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defaultThemeVersion="124226"/>
  <mc:AlternateContent xmlns:mc="http://schemas.openxmlformats.org/markup-compatibility/2006">
    <mc:Choice Requires="x15">
      <x15ac:absPath xmlns:x15ac="http://schemas.microsoft.com/office/spreadsheetml/2010/11/ac" url="W:\Discovery\Kentucky\1 - Kentucky Rate Cases\2021-00214 (2021 Kentucky Rate Case)\Staff Set 1 Attachments\Staff_1-55_Folder 2 - Revenue Requirements Model and WPs\Relied Upons\"/>
    </mc:Choice>
  </mc:AlternateContent>
  <xr:revisionPtr revIDLastSave="0" documentId="13_ncr:1_{F4F9F71F-6838-4516-A759-74BE9E8509EC}" xr6:coauthVersionLast="47" xr6:coauthVersionMax="47" xr10:uidLastSave="{00000000-0000-0000-0000-000000000000}"/>
  <bookViews>
    <workbookView xWindow="-120" yWindow="-120" windowWidth="29040" windowHeight="15840" tabRatio="774" xr2:uid="{00000000-000D-0000-FFFF-FFFF00000000}"/>
  </bookViews>
  <sheets>
    <sheet name="Apr'20-Mar'21 002 WEXP" sheetId="8" r:id="rId1"/>
  </sheets>
  <definedNames>
    <definedName name="_xlnm._FilterDatabase" localSheetId="0" hidden="1">'Apr''20-Mar''21 002 WEXP'!$A$10:$BZ$3420</definedName>
    <definedName name="bp\165">#REF!</definedName>
    <definedName name="_xlnm.Print_Area" localSheetId="0">'Apr''20-Mar''21 002 WEXP'!$A$1:$AQ$3456</definedName>
    <definedName name="_xlnm.Print_Titles" localSheetId="0">'Apr''20-Mar''21 002 WEXP'!$1:$10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451" i="8" l="1"/>
  <c r="AO3451" i="8"/>
  <c r="AH3422" i="8"/>
  <c r="K3422" i="8"/>
  <c r="AO3420" i="8"/>
  <c r="AP3420" i="8" s="1"/>
  <c r="AI3419" i="8"/>
  <c r="AO3419" i="8" s="1"/>
  <c r="AF3418" i="8"/>
  <c r="AO3418" i="8" s="1"/>
  <c r="AQ3417" i="8"/>
  <c r="AO3417" i="8"/>
  <c r="AP3417" i="8" s="1"/>
  <c r="AI3416" i="8"/>
  <c r="AO3416" i="8" s="1"/>
  <c r="AQ3416" i="8" s="1"/>
  <c r="AO3415" i="8"/>
  <c r="AQ3415" i="8" s="1"/>
  <c r="AI3414" i="8"/>
  <c r="AO3414" i="8" s="1"/>
  <c r="AO3413" i="8"/>
  <c r="AQ3413" i="8" s="1"/>
  <c r="AO3412" i="8"/>
  <c r="AP3412" i="8" s="1"/>
  <c r="AO3411" i="8"/>
  <c r="AQ3411" i="8" s="1"/>
  <c r="AO3410" i="8"/>
  <c r="AQ3410" i="8" s="1"/>
  <c r="AO3409" i="8"/>
  <c r="AQ3409" i="8" s="1"/>
  <c r="AO3408" i="8"/>
  <c r="AP3408" i="8" s="1"/>
  <c r="AO3407" i="8"/>
  <c r="AP3407" i="8" s="1"/>
  <c r="AL3406" i="8"/>
  <c r="AO3406" i="8" s="1"/>
  <c r="AQ3406" i="8" s="1"/>
  <c r="AO3405" i="8"/>
  <c r="AQ3405" i="8" s="1"/>
  <c r="AO3404" i="8"/>
  <c r="AQ3404" i="8" s="1"/>
  <c r="AI3403" i="8"/>
  <c r="AO3403" i="8" s="1"/>
  <c r="AI3402" i="8"/>
  <c r="AO3402" i="8" s="1"/>
  <c r="AI3401" i="8"/>
  <c r="AO3401" i="8" s="1"/>
  <c r="AI3400" i="8"/>
  <c r="AO3400" i="8" s="1"/>
  <c r="AO3399" i="8"/>
  <c r="AP3399" i="8" s="1"/>
  <c r="AO3398" i="8"/>
  <c r="AQ3398" i="8" s="1"/>
  <c r="AO3397" i="8"/>
  <c r="AQ3397" i="8" s="1"/>
  <c r="AB3397" i="8"/>
  <c r="AO3396" i="8"/>
  <c r="AQ3396" i="8" s="1"/>
  <c r="AO3395" i="8"/>
  <c r="AQ3395" i="8" s="1"/>
  <c r="AO3394" i="8"/>
  <c r="AP3394" i="8" s="1"/>
  <c r="AO3393" i="8"/>
  <c r="AQ3393" i="8" s="1"/>
  <c r="AO3392" i="8"/>
  <c r="AQ3392" i="8" s="1"/>
  <c r="AO3391" i="8"/>
  <c r="AQ3391" i="8" s="1"/>
  <c r="AO3390" i="8"/>
  <c r="AP3390" i="8" s="1"/>
  <c r="AI3389" i="8"/>
  <c r="AO3389" i="8" s="1"/>
  <c r="AO3388" i="8"/>
  <c r="AQ3388" i="8" s="1"/>
  <c r="AO3387" i="8"/>
  <c r="AQ3387" i="8" s="1"/>
  <c r="AI3386" i="8"/>
  <c r="AO3386" i="8" s="1"/>
  <c r="AI3385" i="8"/>
  <c r="AO3385" i="8" s="1"/>
  <c r="AO3384" i="8"/>
  <c r="AQ3384" i="8" s="1"/>
  <c r="AL3383" i="8"/>
  <c r="AO3383" i="8" s="1"/>
  <c r="AG3382" i="8"/>
  <c r="AO3382" i="8" s="1"/>
  <c r="AO3381" i="8"/>
  <c r="AP3381" i="8" s="1"/>
  <c r="AI3380" i="8"/>
  <c r="AO3380" i="8" s="1"/>
  <c r="AO3379" i="8"/>
  <c r="AQ3379" i="8" s="1"/>
  <c r="AO3378" i="8"/>
  <c r="AQ3378" i="8" s="1"/>
  <c r="AO3377" i="8"/>
  <c r="AQ3377" i="8" s="1"/>
  <c r="AI3376" i="8"/>
  <c r="AO3376" i="8" s="1"/>
  <c r="AO3375" i="8"/>
  <c r="AP3375" i="8" s="1"/>
  <c r="AO3374" i="8"/>
  <c r="AQ3374" i="8" s="1"/>
  <c r="AB3373" i="8"/>
  <c r="AL3372" i="8"/>
  <c r="AO3372" i="8" s="1"/>
  <c r="AQ3372" i="8" s="1"/>
  <c r="AO3371" i="8"/>
  <c r="AQ3371" i="8" s="1"/>
  <c r="AO3370" i="8"/>
  <c r="AQ3370" i="8" s="1"/>
  <c r="AO3369" i="8"/>
  <c r="AP3369" i="8" s="1"/>
  <c r="AO3368" i="8"/>
  <c r="AQ3368" i="8" s="1"/>
  <c r="AI3367" i="8"/>
  <c r="AO3367" i="8" s="1"/>
  <c r="AQ3367" i="8" s="1"/>
  <c r="AO3366" i="8"/>
  <c r="AQ3366" i="8" s="1"/>
  <c r="AO3365" i="8"/>
  <c r="AQ3365" i="8" s="1"/>
  <c r="AO3364" i="8"/>
  <c r="AP3364" i="8" s="1"/>
  <c r="AI3363" i="8"/>
  <c r="AO3363" i="8" s="1"/>
  <c r="AO3362" i="8"/>
  <c r="AP3362" i="8" s="1"/>
  <c r="AO3361" i="8"/>
  <c r="AQ3361" i="8" s="1"/>
  <c r="AO3360" i="8"/>
  <c r="AQ3360" i="8" s="1"/>
  <c r="AO3359" i="8"/>
  <c r="AP3359" i="8" s="1"/>
  <c r="AO3358" i="8"/>
  <c r="AQ3358" i="8" s="1"/>
  <c r="AO3357" i="8"/>
  <c r="AQ3357" i="8" s="1"/>
  <c r="AO3356" i="8"/>
  <c r="AQ3356" i="8" s="1"/>
  <c r="AO3355" i="8"/>
  <c r="AP3355" i="8" s="1"/>
  <c r="AO3354" i="8"/>
  <c r="AQ3354" i="8" s="1"/>
  <c r="AO3353" i="8"/>
  <c r="AQ3353" i="8" s="1"/>
  <c r="AL3352" i="8"/>
  <c r="AO3352" i="8" s="1"/>
  <c r="AO3351" i="8"/>
  <c r="AQ3351" i="8" s="1"/>
  <c r="AO3350" i="8"/>
  <c r="AP3350" i="8" s="1"/>
  <c r="AO3349" i="8"/>
  <c r="AQ3349" i="8" s="1"/>
  <c r="AO3348" i="8"/>
  <c r="AQ3348" i="8" s="1"/>
  <c r="AO3347" i="8"/>
  <c r="AQ3347" i="8" s="1"/>
  <c r="AO3346" i="8"/>
  <c r="AP3346" i="8" s="1"/>
  <c r="AO3345" i="8"/>
  <c r="AP3345" i="8" s="1"/>
  <c r="AL3344" i="8"/>
  <c r="AO3344" i="8" s="1"/>
  <c r="AQ3344" i="8" s="1"/>
  <c r="AO3343" i="8"/>
  <c r="AQ3343" i="8" s="1"/>
  <c r="AO3342" i="8"/>
  <c r="AQ3342" i="8" s="1"/>
  <c r="AO3341" i="8"/>
  <c r="AP3341" i="8" s="1"/>
  <c r="AO3340" i="8"/>
  <c r="AQ3340" i="8" s="1"/>
  <c r="AO3339" i="8"/>
  <c r="AQ3339" i="8" s="1"/>
  <c r="AO3338" i="8"/>
  <c r="AQ3338" i="8" s="1"/>
  <c r="AO3337" i="8"/>
  <c r="AP3337" i="8" s="1"/>
  <c r="AO3336" i="8"/>
  <c r="AP3336" i="8" s="1"/>
  <c r="AO3335" i="8"/>
  <c r="AQ3335" i="8" s="1"/>
  <c r="AO3334" i="8"/>
  <c r="AQ3334" i="8" s="1"/>
  <c r="AO3333" i="8"/>
  <c r="AP3333" i="8" s="1"/>
  <c r="AI3332" i="8"/>
  <c r="AO3332" i="8" s="1"/>
  <c r="AO3331" i="8"/>
  <c r="AP3331" i="8" s="1"/>
  <c r="AO3330" i="8"/>
  <c r="AQ3330" i="8" s="1"/>
  <c r="AI3329" i="8"/>
  <c r="AO3328" i="8"/>
  <c r="AQ3328" i="8" s="1"/>
  <c r="AO3327" i="8"/>
  <c r="AP3327" i="8" s="1"/>
  <c r="AO3326" i="8"/>
  <c r="AP3326" i="8" s="1"/>
  <c r="AO3325" i="8"/>
  <c r="AQ3325" i="8" s="1"/>
  <c r="AO3324" i="8"/>
  <c r="AQ3324" i="8" s="1"/>
  <c r="AO3323" i="8"/>
  <c r="AP3323" i="8" s="1"/>
  <c r="AI3322" i="8"/>
  <c r="AO3322" i="8" s="1"/>
  <c r="AO3321" i="8"/>
  <c r="AP3321" i="8" s="1"/>
  <c r="AO3320" i="8"/>
  <c r="AQ3320" i="8" s="1"/>
  <c r="AO3319" i="8"/>
  <c r="AQ3319" i="8" s="1"/>
  <c r="AO3318" i="8"/>
  <c r="AP3318" i="8" s="1"/>
  <c r="AO3317" i="8"/>
  <c r="AP3317" i="8" s="1"/>
  <c r="AO3316" i="8"/>
  <c r="AQ3316" i="8" s="1"/>
  <c r="AO3315" i="8"/>
  <c r="AQ3315" i="8" s="1"/>
  <c r="AI3314" i="8"/>
  <c r="AO3314" i="8" s="1"/>
  <c r="AI3313" i="8"/>
  <c r="AO3313" i="8" s="1"/>
  <c r="AI3312" i="8"/>
  <c r="AO3312" i="8" s="1"/>
  <c r="AI3311" i="8"/>
  <c r="AO3311" i="8" s="1"/>
  <c r="AI3310" i="8"/>
  <c r="AO3310" i="8" s="1"/>
  <c r="AI3309" i="8"/>
  <c r="AO3309" i="8" s="1"/>
  <c r="AI3308" i="8"/>
  <c r="AO3308" i="8" s="1"/>
  <c r="AI3307" i="8"/>
  <c r="AO3307" i="8" s="1"/>
  <c r="AI3306" i="8"/>
  <c r="AO3306" i="8" s="1"/>
  <c r="AL3305" i="8"/>
  <c r="AG3304" i="8"/>
  <c r="AI3303" i="8"/>
  <c r="AO3303" i="8" s="1"/>
  <c r="AO3302" i="8"/>
  <c r="AP3302" i="8" s="1"/>
  <c r="AO3301" i="8"/>
  <c r="AQ3301" i="8" s="1"/>
  <c r="AO3142" i="8"/>
  <c r="AQ3142" i="8" s="1"/>
  <c r="Z3141" i="8"/>
  <c r="AO3141" i="8" s="1"/>
  <c r="AB3300" i="8"/>
  <c r="AO3300" i="8" s="1"/>
  <c r="AO3299" i="8"/>
  <c r="AO3298" i="8"/>
  <c r="AP3298" i="8" s="1"/>
  <c r="AO3297" i="8"/>
  <c r="AQ3297" i="8" s="1"/>
  <c r="AO3296" i="8"/>
  <c r="AQ3296" i="8" s="1"/>
  <c r="AO3295" i="8"/>
  <c r="AO3294" i="8"/>
  <c r="AP3294" i="8" s="1"/>
  <c r="AO3293" i="8"/>
  <c r="AP3293" i="8" s="1"/>
  <c r="AO3292" i="8"/>
  <c r="AQ3292" i="8" s="1"/>
  <c r="AO3291" i="8"/>
  <c r="AO3290" i="8"/>
  <c r="AP3290" i="8" s="1"/>
  <c r="AO3289" i="8"/>
  <c r="AP3289" i="8" s="1"/>
  <c r="AO3288" i="8"/>
  <c r="AQ3288" i="8" s="1"/>
  <c r="AO3287" i="8"/>
  <c r="AO3286" i="8"/>
  <c r="AP3286" i="8" s="1"/>
  <c r="AO3285" i="8"/>
  <c r="AP3285" i="8" s="1"/>
  <c r="AO3284" i="8"/>
  <c r="AQ3284" i="8" s="1"/>
  <c r="AO3283" i="8"/>
  <c r="AO3282" i="8"/>
  <c r="AP3282" i="8" s="1"/>
  <c r="AO3281" i="8"/>
  <c r="AP3281" i="8" s="1"/>
  <c r="AO3280" i="8"/>
  <c r="AQ3280" i="8" s="1"/>
  <c r="AO3279" i="8"/>
  <c r="AO3278" i="8"/>
  <c r="AP3278" i="8" s="1"/>
  <c r="AO3277" i="8"/>
  <c r="AQ3277" i="8" s="1"/>
  <c r="AO3276" i="8"/>
  <c r="AQ3276" i="8" s="1"/>
  <c r="AO3275" i="8"/>
  <c r="AO3274" i="8"/>
  <c r="AP3274" i="8" s="1"/>
  <c r="AO3273" i="8"/>
  <c r="AP3273" i="8" s="1"/>
  <c r="AO3272" i="8"/>
  <c r="AQ3272" i="8" s="1"/>
  <c r="AO3271" i="8"/>
  <c r="AO3270" i="8"/>
  <c r="AP3270" i="8" s="1"/>
  <c r="AO3269" i="8"/>
  <c r="AP3269" i="8" s="1"/>
  <c r="AO3268" i="8"/>
  <c r="AQ3268" i="8" s="1"/>
  <c r="AO3267" i="8"/>
  <c r="AO3266" i="8"/>
  <c r="AP3266" i="8" s="1"/>
  <c r="AO3265" i="8"/>
  <c r="AP3265" i="8" s="1"/>
  <c r="AI3264" i="8"/>
  <c r="AO3264" i="8" s="1"/>
  <c r="AO3263" i="8"/>
  <c r="AQ3263" i="8" s="1"/>
  <c r="AO3262" i="8"/>
  <c r="AO3261" i="8"/>
  <c r="AP3261" i="8" s="1"/>
  <c r="AO3260" i="8"/>
  <c r="AQ3260" i="8" s="1"/>
  <c r="AO3259" i="8"/>
  <c r="AQ3259" i="8" s="1"/>
  <c r="AO3258" i="8"/>
  <c r="AO3257" i="8"/>
  <c r="AP3257" i="8" s="1"/>
  <c r="AO3256" i="8"/>
  <c r="AQ3256" i="8" s="1"/>
  <c r="AO3255" i="8"/>
  <c r="AQ3255" i="8" s="1"/>
  <c r="AO3254" i="8"/>
  <c r="AO3253" i="8"/>
  <c r="AP3253" i="8" s="1"/>
  <c r="AO3252" i="8"/>
  <c r="AQ3252" i="8" s="1"/>
  <c r="AO3251" i="8"/>
  <c r="AQ3251" i="8" s="1"/>
  <c r="AO3250" i="8"/>
  <c r="AO3249" i="8"/>
  <c r="AP3249" i="8" s="1"/>
  <c r="AO3248" i="8"/>
  <c r="AQ3248" i="8" s="1"/>
  <c r="AO3247" i="8"/>
  <c r="AQ3247" i="8" s="1"/>
  <c r="AO3246" i="8"/>
  <c r="AO3245" i="8"/>
  <c r="AP3245" i="8" s="1"/>
  <c r="AO3244" i="8"/>
  <c r="AP3244" i="8" s="1"/>
  <c r="AO3243" i="8"/>
  <c r="AQ3243" i="8" s="1"/>
  <c r="AO3242" i="8"/>
  <c r="AO3241" i="8"/>
  <c r="AQ3241" i="8" s="1"/>
  <c r="AO3240" i="8"/>
  <c r="AP3240" i="8" s="1"/>
  <c r="AO3239" i="8"/>
  <c r="AQ3239" i="8" s="1"/>
  <c r="AO3238" i="8"/>
  <c r="AO3237" i="8"/>
  <c r="AQ3237" i="8" s="1"/>
  <c r="AO3236" i="8"/>
  <c r="AQ3236" i="8" s="1"/>
  <c r="AO3235" i="8"/>
  <c r="AQ3235" i="8" s="1"/>
  <c r="AO3234" i="8"/>
  <c r="AI3233" i="8"/>
  <c r="AO3233" i="8" s="1"/>
  <c r="AI3232" i="8"/>
  <c r="AO3232" i="8" s="1"/>
  <c r="AI3231" i="8"/>
  <c r="AO3231" i="8" s="1"/>
  <c r="AI3230" i="8"/>
  <c r="AO3230" i="8" s="1"/>
  <c r="AI3229" i="8"/>
  <c r="AO3229" i="8" s="1"/>
  <c r="AI3228" i="8"/>
  <c r="AO3228" i="8" s="1"/>
  <c r="AI3227" i="8"/>
  <c r="AO3227" i="8" s="1"/>
  <c r="AI3226" i="8"/>
  <c r="AO3226" i="8" s="1"/>
  <c r="AI3225" i="8"/>
  <c r="AO3225" i="8" s="1"/>
  <c r="AP3225" i="8" s="1"/>
  <c r="AI3224" i="8"/>
  <c r="AO3224" i="8" s="1"/>
  <c r="AP3224" i="8" s="1"/>
  <c r="AK3223" i="8"/>
  <c r="AO3223" i="8" s="1"/>
  <c r="AP3223" i="8" s="1"/>
  <c r="AI3222" i="8"/>
  <c r="AO3222" i="8" s="1"/>
  <c r="AP3222" i="8" s="1"/>
  <c r="AL3221" i="8"/>
  <c r="AO3221" i="8" s="1"/>
  <c r="AP3221" i="8" s="1"/>
  <c r="AO3220" i="8"/>
  <c r="AP3220" i="8" s="1"/>
  <c r="AO3219" i="8"/>
  <c r="AQ3219" i="8" s="1"/>
  <c r="AO3218" i="8"/>
  <c r="AQ3218" i="8" s="1"/>
  <c r="AO3217" i="8"/>
  <c r="AI3216" i="8"/>
  <c r="AO3216" i="8" s="1"/>
  <c r="AP3216" i="8" s="1"/>
  <c r="AI3215" i="8"/>
  <c r="AO3215" i="8" s="1"/>
  <c r="AP3215" i="8" s="1"/>
  <c r="AI3214" i="8"/>
  <c r="AO3214" i="8" s="1"/>
  <c r="AP3214" i="8" s="1"/>
  <c r="AI3213" i="8"/>
  <c r="AO3213" i="8" s="1"/>
  <c r="AP3213" i="8" s="1"/>
  <c r="AI3212" i="8"/>
  <c r="AO3212" i="8" s="1"/>
  <c r="AP3212" i="8" s="1"/>
  <c r="AI3211" i="8"/>
  <c r="AO3211" i="8" s="1"/>
  <c r="AP3211" i="8" s="1"/>
  <c r="AO3210" i="8"/>
  <c r="AP3210" i="8" s="1"/>
  <c r="AI3209" i="8"/>
  <c r="AO3209" i="8" s="1"/>
  <c r="AQ3209" i="8" s="1"/>
  <c r="AI3208" i="8"/>
  <c r="AO3208" i="8" s="1"/>
  <c r="AP3208" i="8" s="1"/>
  <c r="AI3207" i="8"/>
  <c r="AO3207" i="8" s="1"/>
  <c r="AQ3207" i="8" s="1"/>
  <c r="AI3206" i="8"/>
  <c r="AO3206" i="8" s="1"/>
  <c r="AP3206" i="8" s="1"/>
  <c r="AI3205" i="8"/>
  <c r="AO3205" i="8" s="1"/>
  <c r="AQ3205" i="8" s="1"/>
  <c r="AI3204" i="8"/>
  <c r="AO3204" i="8" s="1"/>
  <c r="AQ3204" i="8" s="1"/>
  <c r="AO3203" i="8"/>
  <c r="AQ3203" i="8" s="1"/>
  <c r="AO3202" i="8"/>
  <c r="AQ3202" i="8" s="1"/>
  <c r="AO3201" i="8"/>
  <c r="AL3200" i="8"/>
  <c r="AO3200" i="8" s="1"/>
  <c r="AP3200" i="8" s="1"/>
  <c r="AO3199" i="8"/>
  <c r="AP3199" i="8" s="1"/>
  <c r="AO3198" i="8"/>
  <c r="AQ3198" i="8" s="1"/>
  <c r="AO3197" i="8"/>
  <c r="AQ3197" i="8" s="1"/>
  <c r="AO3196" i="8"/>
  <c r="AO3195" i="8"/>
  <c r="AP3195" i="8" s="1"/>
  <c r="AO3194" i="8"/>
  <c r="AQ3194" i="8" s="1"/>
  <c r="AO3193" i="8"/>
  <c r="AQ3193" i="8" s="1"/>
  <c r="AO3192" i="8"/>
  <c r="AO3191" i="8"/>
  <c r="AP3191" i="8" s="1"/>
  <c r="AI3190" i="8"/>
  <c r="AO3190" i="8" s="1"/>
  <c r="AQ3190" i="8" s="1"/>
  <c r="AI3189" i="8"/>
  <c r="AO3189" i="8" s="1"/>
  <c r="AG3188" i="8"/>
  <c r="AO3188" i="8" s="1"/>
  <c r="AO3187" i="8"/>
  <c r="AP3187" i="8" s="1"/>
  <c r="AO3186" i="8"/>
  <c r="AQ3186" i="8" s="1"/>
  <c r="AI3185" i="8"/>
  <c r="AO3185" i="8" s="1"/>
  <c r="AO3184" i="8"/>
  <c r="AO3183" i="8"/>
  <c r="AP3183" i="8" s="1"/>
  <c r="AI3182" i="8"/>
  <c r="AO3182" i="8" s="1"/>
  <c r="AO3181" i="8"/>
  <c r="AP3181" i="8" s="1"/>
  <c r="AO3180" i="8"/>
  <c r="AQ3180" i="8" s="1"/>
  <c r="AI3179" i="8"/>
  <c r="AO3179" i="8" s="1"/>
  <c r="AO3178" i="8"/>
  <c r="AO3177" i="8"/>
  <c r="AP3177" i="8" s="1"/>
  <c r="AO3176" i="8"/>
  <c r="AQ3176" i="8" s="1"/>
  <c r="AO3175" i="8"/>
  <c r="AQ3175" i="8" s="1"/>
  <c r="AO3174" i="8"/>
  <c r="AO3173" i="8"/>
  <c r="AP3173" i="8" s="1"/>
  <c r="AO3172" i="8"/>
  <c r="AP3172" i="8" s="1"/>
  <c r="AO3171" i="8"/>
  <c r="AQ3171" i="8" s="1"/>
  <c r="AO3170" i="8"/>
  <c r="AO3169" i="8"/>
  <c r="AP3169" i="8" s="1"/>
  <c r="AO3168" i="8"/>
  <c r="AP3168" i="8" s="1"/>
  <c r="AO3167" i="8"/>
  <c r="AQ3167" i="8" s="1"/>
  <c r="AO3166" i="8"/>
  <c r="AO3165" i="8"/>
  <c r="AP3165" i="8" s="1"/>
  <c r="AO3164" i="8"/>
  <c r="AQ3164" i="8" s="1"/>
  <c r="AI3163" i="8"/>
  <c r="AO3163" i="8" s="1"/>
  <c r="AQ3163" i="8" s="1"/>
  <c r="AO3162" i="8"/>
  <c r="AQ3162" i="8" s="1"/>
  <c r="AO3161" i="8"/>
  <c r="AO3160" i="8"/>
  <c r="AP3160" i="8" s="1"/>
  <c r="AO3159" i="8"/>
  <c r="AQ3159" i="8" s="1"/>
  <c r="AO3158" i="8"/>
  <c r="AQ3158" i="8" s="1"/>
  <c r="AO3157" i="8"/>
  <c r="AO3156" i="8"/>
  <c r="AP3156" i="8" s="1"/>
  <c r="AO3155" i="8"/>
  <c r="AQ3155" i="8" s="1"/>
  <c r="AO3154" i="8"/>
  <c r="AQ3154" i="8" s="1"/>
  <c r="AO3153" i="8"/>
  <c r="AP3153" i="8" s="1"/>
  <c r="AO3152" i="8"/>
  <c r="AQ3152" i="8" s="1"/>
  <c r="AO3151" i="8"/>
  <c r="AQ3151" i="8" s="1"/>
  <c r="AI3150" i="8"/>
  <c r="AO3150" i="8" s="1"/>
  <c r="AB3149" i="8"/>
  <c r="AO3149" i="8" s="1"/>
  <c r="AQ3149" i="8" s="1"/>
  <c r="AI3148" i="8"/>
  <c r="AO3148" i="8" s="1"/>
  <c r="AB3147" i="8"/>
  <c r="AO3147" i="8" s="1"/>
  <c r="AO3146" i="8"/>
  <c r="AQ3146" i="8" s="1"/>
  <c r="AO3145" i="8"/>
  <c r="AP3145" i="8" s="1"/>
  <c r="AO3144" i="8"/>
  <c r="AQ3144" i="8" s="1"/>
  <c r="AO3143" i="8"/>
  <c r="AP3143" i="8" s="1"/>
  <c r="AO3140" i="8"/>
  <c r="AO3139" i="8"/>
  <c r="AQ3139" i="8" s="1"/>
  <c r="AO3138" i="8"/>
  <c r="AQ3138" i="8" s="1"/>
  <c r="AO3137" i="8"/>
  <c r="AP3137" i="8" s="1"/>
  <c r="AO3136" i="8"/>
  <c r="AQ3136" i="8" s="1"/>
  <c r="AC3135" i="8"/>
  <c r="AO3135" i="8" s="1"/>
  <c r="AQ3135" i="8" s="1"/>
  <c r="AO3134" i="8"/>
  <c r="AQ3134" i="8" s="1"/>
  <c r="AO3133" i="8"/>
  <c r="AQ3133" i="8" s="1"/>
  <c r="AL3132" i="8"/>
  <c r="AO3132" i="8" s="1"/>
  <c r="AO3131" i="8"/>
  <c r="AQ3131" i="8" s="1"/>
  <c r="AO3130" i="8"/>
  <c r="AQ3130" i="8" s="1"/>
  <c r="AO3129" i="8"/>
  <c r="AP3129" i="8" s="1"/>
  <c r="AL3128" i="8"/>
  <c r="AO3128" i="8" s="1"/>
  <c r="AO3127" i="8"/>
  <c r="AQ3127" i="8" s="1"/>
  <c r="AL3126" i="8"/>
  <c r="AO3126" i="8" s="1"/>
  <c r="AO3125" i="8"/>
  <c r="AO3124" i="8"/>
  <c r="AQ3124" i="8" s="1"/>
  <c r="AO3123" i="8"/>
  <c r="AQ3123" i="8" s="1"/>
  <c r="AL3122" i="8"/>
  <c r="AO3122" i="8" s="1"/>
  <c r="AO3121" i="8"/>
  <c r="AQ3121" i="8" s="1"/>
  <c r="AO3120" i="8"/>
  <c r="AQ3120" i="8" s="1"/>
  <c r="AI3119" i="8"/>
  <c r="AO3119" i="8" s="1"/>
  <c r="AI3118" i="8"/>
  <c r="AO3118" i="8" s="1"/>
  <c r="AI3117" i="8"/>
  <c r="AO3117" i="8" s="1"/>
  <c r="AI3116" i="8"/>
  <c r="AO3116" i="8" s="1"/>
  <c r="AO3115" i="8"/>
  <c r="AP3115" i="8" s="1"/>
  <c r="AO3114" i="8"/>
  <c r="AP3114" i="8" s="1"/>
  <c r="AO3113" i="8"/>
  <c r="AQ3113" i="8" s="1"/>
  <c r="AB3112" i="8"/>
  <c r="AO3111" i="8"/>
  <c r="AQ3111" i="8" s="1"/>
  <c r="AO3110" i="8"/>
  <c r="AQ3110" i="8" s="1"/>
  <c r="AO3109" i="8"/>
  <c r="AQ3109" i="8" s="1"/>
  <c r="AO3108" i="8"/>
  <c r="AQ3108" i="8" s="1"/>
  <c r="AO3107" i="8"/>
  <c r="AQ3107" i="8" s="1"/>
  <c r="AO3106" i="8"/>
  <c r="AQ3106" i="8" s="1"/>
  <c r="AO3105" i="8"/>
  <c r="AQ3105" i="8" s="1"/>
  <c r="AO3104" i="8"/>
  <c r="AQ3104" i="8" s="1"/>
  <c r="AO3103" i="8"/>
  <c r="AO3102" i="8"/>
  <c r="AQ3102" i="8" s="1"/>
  <c r="AL3101" i="8"/>
  <c r="AO3101" i="8" s="1"/>
  <c r="AP3101" i="8" s="1"/>
  <c r="AL3100" i="8"/>
  <c r="AO3100" i="8" s="1"/>
  <c r="AQ3100" i="8" s="1"/>
  <c r="AL3099" i="8"/>
  <c r="AO3099" i="8" s="1"/>
  <c r="AQ3099" i="8" s="1"/>
  <c r="AL3098" i="8"/>
  <c r="AO3098" i="8" s="1"/>
  <c r="AP3098" i="8" s="1"/>
  <c r="AO3097" i="8"/>
  <c r="AQ3097" i="8" s="1"/>
  <c r="AL3097" i="8"/>
  <c r="AL3096" i="8"/>
  <c r="AO3096" i="8" s="1"/>
  <c r="AP3096" i="8" s="1"/>
  <c r="AO3095" i="8"/>
  <c r="AQ3095" i="8" s="1"/>
  <c r="AO3094" i="8"/>
  <c r="AQ3094" i="8" s="1"/>
  <c r="AO3093" i="8"/>
  <c r="AQ3093" i="8" s="1"/>
  <c r="AI3092" i="8"/>
  <c r="AO3092" i="8" s="1"/>
  <c r="AQ3092" i="8" s="1"/>
  <c r="AI3091" i="8"/>
  <c r="AO3091" i="8" s="1"/>
  <c r="AQ3091" i="8" s="1"/>
  <c r="AO3066" i="8"/>
  <c r="AQ3066" i="8" s="1"/>
  <c r="AI3026" i="8"/>
  <c r="AO3026" i="8" s="1"/>
  <c r="AO3025" i="8"/>
  <c r="AQ3025" i="8" s="1"/>
  <c r="AO2952" i="8"/>
  <c r="AQ2952" i="8" s="1"/>
  <c r="AO2951" i="8"/>
  <c r="AP2951" i="8" s="1"/>
  <c r="AO2950" i="8"/>
  <c r="AQ2950" i="8" s="1"/>
  <c r="AI3090" i="8"/>
  <c r="AO3090" i="8" s="1"/>
  <c r="AP3090" i="8" s="1"/>
  <c r="AI3089" i="8"/>
  <c r="AO3089" i="8" s="1"/>
  <c r="AP3089" i="8" s="1"/>
  <c r="AA3088" i="8"/>
  <c r="AO3088" i="8" s="1"/>
  <c r="AP3088" i="8" s="1"/>
  <c r="AL3087" i="8"/>
  <c r="AO3087" i="8" s="1"/>
  <c r="AP3087" i="8" s="1"/>
  <c r="AL3086" i="8"/>
  <c r="AO3086" i="8" s="1"/>
  <c r="AP3086" i="8" s="1"/>
  <c r="AA3085" i="8"/>
  <c r="AO3085" i="8" s="1"/>
  <c r="AP3085" i="8" s="1"/>
  <c r="AI3084" i="8"/>
  <c r="AO3084" i="8" s="1"/>
  <c r="AP3084" i="8" s="1"/>
  <c r="AF3083" i="8"/>
  <c r="AO3083" i="8" s="1"/>
  <c r="AP3083" i="8" s="1"/>
  <c r="AL3082" i="8"/>
  <c r="AO3082" i="8" s="1"/>
  <c r="AP3082" i="8" s="1"/>
  <c r="AF3081" i="8"/>
  <c r="AO3081" i="8" s="1"/>
  <c r="AP3081" i="8" s="1"/>
  <c r="AL3080" i="8"/>
  <c r="AO3080" i="8" s="1"/>
  <c r="AP3080" i="8" s="1"/>
  <c r="AA3079" i="8"/>
  <c r="AO3079" i="8" s="1"/>
  <c r="AP3079" i="8" s="1"/>
  <c r="AO3078" i="8"/>
  <c r="AP3078" i="8" s="1"/>
  <c r="AL3077" i="8"/>
  <c r="AO3077" i="8" s="1"/>
  <c r="AQ3077" i="8" s="1"/>
  <c r="AO3076" i="8"/>
  <c r="AQ3076" i="8" s="1"/>
  <c r="AO3075" i="8"/>
  <c r="AO3074" i="8"/>
  <c r="AQ3074" i="8" s="1"/>
  <c r="AO3073" i="8"/>
  <c r="AP3073" i="8" s="1"/>
  <c r="AO3072" i="8"/>
  <c r="AQ3072" i="8" s="1"/>
  <c r="AO3071" i="8"/>
  <c r="AO3070" i="8"/>
  <c r="AQ3070" i="8" s="1"/>
  <c r="AO3069" i="8"/>
  <c r="AP3069" i="8" s="1"/>
  <c r="AO3068" i="8"/>
  <c r="AO3067" i="8"/>
  <c r="AO3065" i="8"/>
  <c r="AQ3065" i="8" s="1"/>
  <c r="AO3064" i="8"/>
  <c r="AO3063" i="8"/>
  <c r="AQ3063" i="8" s="1"/>
  <c r="AI3062" i="8"/>
  <c r="AO3062" i="8" s="1"/>
  <c r="AO3061" i="8"/>
  <c r="AO3060" i="8"/>
  <c r="AQ3060" i="8" s="1"/>
  <c r="AO3059" i="8"/>
  <c r="AP3059" i="8" s="1"/>
  <c r="AO3058" i="8"/>
  <c r="AP3058" i="8" s="1"/>
  <c r="AL3057" i="8"/>
  <c r="AO3057" i="8" s="1"/>
  <c r="AI3056" i="8"/>
  <c r="AO3056" i="8" s="1"/>
  <c r="AO3055" i="8"/>
  <c r="AI3054" i="8"/>
  <c r="AO3054" i="8" s="1"/>
  <c r="AI3053" i="8"/>
  <c r="AO3053" i="8" s="1"/>
  <c r="AI3052" i="8"/>
  <c r="AO3052" i="8" s="1"/>
  <c r="AO3051" i="8"/>
  <c r="AQ3051" i="8" s="1"/>
  <c r="AO3050" i="8"/>
  <c r="AP3050" i="8" s="1"/>
  <c r="AO3049" i="8"/>
  <c r="AQ3049" i="8" s="1"/>
  <c r="AI3048" i="8"/>
  <c r="AO3048" i="8" s="1"/>
  <c r="AO3047" i="8"/>
  <c r="AO3046" i="8"/>
  <c r="AQ3046" i="8" s="1"/>
  <c r="AO3045" i="8"/>
  <c r="AP3045" i="8" s="1"/>
  <c r="AO3044" i="8"/>
  <c r="AQ3044" i="8" s="1"/>
  <c r="AI3043" i="8"/>
  <c r="AO3043" i="8" s="1"/>
  <c r="AO3042" i="8"/>
  <c r="AO3041" i="8"/>
  <c r="AQ3041" i="8" s="1"/>
  <c r="AO3040" i="8"/>
  <c r="AP3040" i="8" s="1"/>
  <c r="AI3039" i="8"/>
  <c r="AO3039" i="8" s="1"/>
  <c r="AQ3039" i="8" s="1"/>
  <c r="AO3038" i="8"/>
  <c r="AQ3038" i="8" s="1"/>
  <c r="AI3037" i="8"/>
  <c r="AO3037" i="8" s="1"/>
  <c r="AO3036" i="8"/>
  <c r="AO3035" i="8"/>
  <c r="AQ3035" i="8" s="1"/>
  <c r="AO3034" i="8"/>
  <c r="AP3034" i="8" s="1"/>
  <c r="AO3033" i="8"/>
  <c r="AQ3033" i="8" s="1"/>
  <c r="AO3032" i="8"/>
  <c r="AO3031" i="8"/>
  <c r="AQ3031" i="8" s="1"/>
  <c r="AO3030" i="8"/>
  <c r="AP3030" i="8" s="1"/>
  <c r="AO3029" i="8"/>
  <c r="AQ3029" i="8" s="1"/>
  <c r="AO3028" i="8"/>
  <c r="AO3027" i="8"/>
  <c r="AQ3027" i="8" s="1"/>
  <c r="AO3024" i="8"/>
  <c r="AP3024" i="8" s="1"/>
  <c r="AO3023" i="8"/>
  <c r="AQ3023" i="8" s="1"/>
  <c r="AO3022" i="8"/>
  <c r="AQ3022" i="8" s="1"/>
  <c r="AO3021" i="8"/>
  <c r="AF3020" i="8"/>
  <c r="AF3422" i="8" s="1"/>
  <c r="AI3019" i="8"/>
  <c r="AO3019" i="8" s="1"/>
  <c r="AO3018" i="8"/>
  <c r="AP3018" i="8" s="1"/>
  <c r="AO3017" i="8"/>
  <c r="AQ3017" i="8" s="1"/>
  <c r="AO3016" i="8"/>
  <c r="AQ3016" i="8" s="1"/>
  <c r="AO3015" i="8"/>
  <c r="AO3014" i="8"/>
  <c r="AP3014" i="8" s="1"/>
  <c r="AL3013" i="8"/>
  <c r="AO3013" i="8" s="1"/>
  <c r="AQ3013" i="8" s="1"/>
  <c r="AO3012" i="8"/>
  <c r="AQ3012" i="8" s="1"/>
  <c r="AC3011" i="8"/>
  <c r="AB3011" i="8"/>
  <c r="AL3010" i="8"/>
  <c r="AO3010" i="8" s="1"/>
  <c r="AP3010" i="8" s="1"/>
  <c r="AO3009" i="8"/>
  <c r="AQ3009" i="8" s="1"/>
  <c r="AI3008" i="8"/>
  <c r="AO3008" i="8" s="1"/>
  <c r="AO3007" i="8"/>
  <c r="AQ3007" i="8" s="1"/>
  <c r="AO3006" i="8"/>
  <c r="AO3005" i="8"/>
  <c r="AP3005" i="8" s="1"/>
  <c r="AO3004" i="8"/>
  <c r="AQ3004" i="8" s="1"/>
  <c r="AO3003" i="8"/>
  <c r="AQ3003" i="8" s="1"/>
  <c r="AO3002" i="8"/>
  <c r="AO3001" i="8"/>
  <c r="AP3001" i="8" s="1"/>
  <c r="AO3000" i="8"/>
  <c r="AQ3000" i="8" s="1"/>
  <c r="AO2999" i="8"/>
  <c r="AQ2999" i="8" s="1"/>
  <c r="AO2998" i="8"/>
  <c r="AO2997" i="8"/>
  <c r="AP2997" i="8" s="1"/>
  <c r="AO2996" i="8"/>
  <c r="AP2996" i="8" s="1"/>
  <c r="AO2995" i="8"/>
  <c r="AQ2995" i="8" s="1"/>
  <c r="AO2994" i="8"/>
  <c r="AO2993" i="8"/>
  <c r="AP2993" i="8" s="1"/>
  <c r="AO2992" i="8"/>
  <c r="AQ2992" i="8" s="1"/>
  <c r="AO2991" i="8"/>
  <c r="AQ2991" i="8" s="1"/>
  <c r="AO2990" i="8"/>
  <c r="AO2989" i="8"/>
  <c r="AP2989" i="8" s="1"/>
  <c r="AO2988" i="8"/>
  <c r="AQ2988" i="8" s="1"/>
  <c r="AO2987" i="8"/>
  <c r="AQ2987" i="8" s="1"/>
  <c r="AO2986" i="8"/>
  <c r="AO2985" i="8"/>
  <c r="AP2985" i="8" s="1"/>
  <c r="AO2984" i="8"/>
  <c r="AQ2984" i="8" s="1"/>
  <c r="AI2983" i="8"/>
  <c r="AO2983" i="8" s="1"/>
  <c r="AQ2983" i="8" s="1"/>
  <c r="AI2982" i="8"/>
  <c r="AO2982" i="8" s="1"/>
  <c r="AI2981" i="8"/>
  <c r="AO2981" i="8" s="1"/>
  <c r="AQ2981" i="8" s="1"/>
  <c r="AI2980" i="8"/>
  <c r="AO2980" i="8" s="1"/>
  <c r="AI2979" i="8"/>
  <c r="AO2979" i="8" s="1"/>
  <c r="AQ2979" i="8" s="1"/>
  <c r="AI2978" i="8"/>
  <c r="AO2978" i="8" s="1"/>
  <c r="AQ2978" i="8" s="1"/>
  <c r="AI2977" i="8"/>
  <c r="AO2977" i="8" s="1"/>
  <c r="AQ2977" i="8" s="1"/>
  <c r="AI2976" i="8"/>
  <c r="AO2976" i="8" s="1"/>
  <c r="AI2975" i="8"/>
  <c r="AO2975" i="8" s="1"/>
  <c r="AQ2975" i="8" s="1"/>
  <c r="AI2974" i="8"/>
  <c r="AO2974" i="8" s="1"/>
  <c r="AQ2974" i="8" s="1"/>
  <c r="AI2973" i="8"/>
  <c r="AO2973" i="8" s="1"/>
  <c r="AQ2973" i="8" s="1"/>
  <c r="AI2972" i="8"/>
  <c r="AO2972" i="8" s="1"/>
  <c r="AI2971" i="8"/>
  <c r="AO2971" i="8" s="1"/>
  <c r="AQ2971" i="8" s="1"/>
  <c r="AI2970" i="8"/>
  <c r="AO2970" i="8" s="1"/>
  <c r="AI2969" i="8"/>
  <c r="AO2969" i="8" s="1"/>
  <c r="AQ2969" i="8" s="1"/>
  <c r="AI2968" i="8"/>
  <c r="AO2968" i="8" s="1"/>
  <c r="AI2967" i="8"/>
  <c r="AO2967" i="8" s="1"/>
  <c r="AQ2967" i="8" s="1"/>
  <c r="AI2966" i="8"/>
  <c r="AO2966" i="8" s="1"/>
  <c r="AI2965" i="8"/>
  <c r="AO2965" i="8" s="1"/>
  <c r="AQ2965" i="8" s="1"/>
  <c r="AI2964" i="8"/>
  <c r="AO2964" i="8" s="1"/>
  <c r="AI2963" i="8"/>
  <c r="AO2963" i="8" s="1"/>
  <c r="AI2962" i="8"/>
  <c r="AO2962" i="8" s="1"/>
  <c r="AI2961" i="8"/>
  <c r="AO2961" i="8" s="1"/>
  <c r="AI2960" i="8"/>
  <c r="AO2960" i="8" s="1"/>
  <c r="AI2959" i="8"/>
  <c r="AO2959" i="8" s="1"/>
  <c r="AI2958" i="8"/>
  <c r="AO2958" i="8" s="1"/>
  <c r="AI2957" i="8"/>
  <c r="AO2957" i="8" s="1"/>
  <c r="AI2956" i="8"/>
  <c r="AO2956" i="8" s="1"/>
  <c r="AI2955" i="8"/>
  <c r="AO2955" i="8" s="1"/>
  <c r="AI2954" i="8"/>
  <c r="AO2954" i="8" s="1"/>
  <c r="AO2953" i="8"/>
  <c r="AL2949" i="8"/>
  <c r="AO2949" i="8" s="1"/>
  <c r="AQ2949" i="8" s="1"/>
  <c r="AO2948" i="8"/>
  <c r="AQ2948" i="8" s="1"/>
  <c r="AO2947" i="8"/>
  <c r="AQ2947" i="8" s="1"/>
  <c r="AO2946" i="8"/>
  <c r="AO2945" i="8"/>
  <c r="AP2945" i="8" s="1"/>
  <c r="AO2944" i="8"/>
  <c r="AQ2944" i="8" s="1"/>
  <c r="AO2943" i="8"/>
  <c r="AQ2943" i="8" s="1"/>
  <c r="AO2942" i="8"/>
  <c r="AO2941" i="8"/>
  <c r="AP2941" i="8" s="1"/>
  <c r="AO2940" i="8"/>
  <c r="AO2939" i="8"/>
  <c r="AQ2939" i="8" s="1"/>
  <c r="AI2938" i="8"/>
  <c r="AO2938" i="8" s="1"/>
  <c r="AO2937" i="8"/>
  <c r="AO2936" i="8"/>
  <c r="AP2936" i="8" s="1"/>
  <c r="AO2935" i="8"/>
  <c r="AQ2935" i="8" s="1"/>
  <c r="AO2934" i="8"/>
  <c r="AQ2934" i="8" s="1"/>
  <c r="AL2933" i="8"/>
  <c r="AO2933" i="8" s="1"/>
  <c r="AI2932" i="8"/>
  <c r="AO2932" i="8" s="1"/>
  <c r="AI2931" i="8"/>
  <c r="AO2931" i="8" s="1"/>
  <c r="AO2930" i="8"/>
  <c r="AO2929" i="8"/>
  <c r="AP2929" i="8" s="1"/>
  <c r="AI2928" i="8"/>
  <c r="AO2928" i="8" s="1"/>
  <c r="AQ2928" i="8" s="1"/>
  <c r="AO2927" i="8"/>
  <c r="AQ2927" i="8" s="1"/>
  <c r="AI2926" i="8"/>
  <c r="AO2926" i="8" s="1"/>
  <c r="AQ2926" i="8" s="1"/>
  <c r="AO2925" i="8"/>
  <c r="AQ2925" i="8" s="1"/>
  <c r="AO2924" i="8"/>
  <c r="AI2923" i="8"/>
  <c r="AO2923" i="8" s="1"/>
  <c r="AO2922" i="8"/>
  <c r="AP2922" i="8" s="1"/>
  <c r="AO2921" i="8"/>
  <c r="AQ2921" i="8" s="1"/>
  <c r="AO2920" i="8"/>
  <c r="AQ2920" i="8" s="1"/>
  <c r="AO2919" i="8"/>
  <c r="AQ2919" i="8" s="1"/>
  <c r="AO2918" i="8"/>
  <c r="AP2918" i="8" s="1"/>
  <c r="AO2917" i="8"/>
  <c r="AP2917" i="8" s="1"/>
  <c r="AO2916" i="8"/>
  <c r="AQ2916" i="8" s="1"/>
  <c r="AO2915" i="8"/>
  <c r="AQ2915" i="8" s="1"/>
  <c r="AI2914" i="8"/>
  <c r="AO2914" i="8" s="1"/>
  <c r="AI2913" i="8"/>
  <c r="AO2913" i="8" s="1"/>
  <c r="AP2913" i="8" s="1"/>
  <c r="AO2912" i="8"/>
  <c r="AP2912" i="8" s="1"/>
  <c r="AI2911" i="8"/>
  <c r="AO2911" i="8" s="1"/>
  <c r="AP2911" i="8" s="1"/>
  <c r="AK2910" i="8"/>
  <c r="AI2909" i="8"/>
  <c r="AO2909" i="8" s="1"/>
  <c r="AP2909" i="8" s="1"/>
  <c r="AO2908" i="8"/>
  <c r="AQ2908" i="8" s="1"/>
  <c r="AO2907" i="8"/>
  <c r="AO2906" i="8"/>
  <c r="AQ2906" i="8" s="1"/>
  <c r="AO2905" i="8"/>
  <c r="AP2905" i="8" s="1"/>
  <c r="AO2904" i="8"/>
  <c r="AO2903" i="8"/>
  <c r="AQ2903" i="8" s="1"/>
  <c r="AI2902" i="8"/>
  <c r="AO2902" i="8" s="1"/>
  <c r="AI2901" i="8"/>
  <c r="AO2901" i="8" s="1"/>
  <c r="AI2900" i="8"/>
  <c r="AO2900" i="8" s="1"/>
  <c r="AQ2900" i="8" s="1"/>
  <c r="AI2899" i="8"/>
  <c r="AO2898" i="8"/>
  <c r="AQ2898" i="8" s="1"/>
  <c r="AO2897" i="8"/>
  <c r="AP2897" i="8" s="1"/>
  <c r="AO2896" i="8"/>
  <c r="AQ2896" i="8" s="1"/>
  <c r="AI2895" i="8"/>
  <c r="AO2895" i="8" s="1"/>
  <c r="AG2894" i="8"/>
  <c r="AO2894" i="8" s="1"/>
  <c r="AO2893" i="8"/>
  <c r="AP2893" i="8" s="1"/>
  <c r="AG2892" i="8"/>
  <c r="AO2892" i="8" s="1"/>
  <c r="AQ2892" i="8" s="1"/>
  <c r="AO2891" i="8"/>
  <c r="AQ2891" i="8" s="1"/>
  <c r="AG2890" i="8"/>
  <c r="AL2889" i="8"/>
  <c r="AO2889" i="8" s="1"/>
  <c r="AP2889" i="8" s="1"/>
  <c r="AO2888" i="8"/>
  <c r="AP2888" i="8" s="1"/>
  <c r="AO2887" i="8"/>
  <c r="AQ2887" i="8" s="1"/>
  <c r="AO2886" i="8"/>
  <c r="AQ2886" i="8" s="1"/>
  <c r="AO2885" i="8"/>
  <c r="AQ2885" i="8" s="1"/>
  <c r="AO2884" i="8"/>
  <c r="AP2884" i="8" s="1"/>
  <c r="AO2883" i="8"/>
  <c r="AQ2883" i="8" s="1"/>
  <c r="AO2882" i="8"/>
  <c r="AQ2882" i="8" s="1"/>
  <c r="AO2881" i="8"/>
  <c r="AQ2881" i="8" s="1"/>
  <c r="AO2880" i="8"/>
  <c r="AO2879" i="8"/>
  <c r="AP2879" i="8" s="1"/>
  <c r="AO2878" i="8"/>
  <c r="AO2877" i="8"/>
  <c r="AO2876" i="8"/>
  <c r="AQ2876" i="8" s="1"/>
  <c r="AO2875" i="8"/>
  <c r="AO2874" i="8"/>
  <c r="AP2874" i="8" s="1"/>
  <c r="AO2873" i="8"/>
  <c r="AO2872" i="8"/>
  <c r="AQ2872" i="8" s="1"/>
  <c r="AO2871" i="8"/>
  <c r="AP2871" i="8" s="1"/>
  <c r="AO2870" i="8"/>
  <c r="AP2870" i="8" s="1"/>
  <c r="AO2869" i="8"/>
  <c r="AO2868" i="8"/>
  <c r="AQ2868" i="8" s="1"/>
  <c r="AO2867" i="8"/>
  <c r="AP2867" i="8" s="1"/>
  <c r="AO2866" i="8"/>
  <c r="AQ2866" i="8" s="1"/>
  <c r="AO2865" i="8"/>
  <c r="AO2864" i="8"/>
  <c r="AQ2864" i="8" s="1"/>
  <c r="AO2863" i="8"/>
  <c r="AP2863" i="8" s="1"/>
  <c r="AO2862" i="8"/>
  <c r="AO2861" i="8"/>
  <c r="AO2860" i="8"/>
  <c r="AQ2860" i="8" s="1"/>
  <c r="AO2859" i="8"/>
  <c r="AO2858" i="8"/>
  <c r="AP2858" i="8" s="1"/>
  <c r="AO2857" i="8"/>
  <c r="AO2856" i="8"/>
  <c r="AQ2856" i="8" s="1"/>
  <c r="AO2855" i="8"/>
  <c r="AP2855" i="8" s="1"/>
  <c r="AO2854" i="8"/>
  <c r="AP2854" i="8" s="1"/>
  <c r="AO2853" i="8"/>
  <c r="AO2852" i="8"/>
  <c r="AQ2852" i="8" s="1"/>
  <c r="AO2851" i="8"/>
  <c r="AP2851" i="8" s="1"/>
  <c r="AO2850" i="8"/>
  <c r="AQ2850" i="8" s="1"/>
  <c r="AO2849" i="8"/>
  <c r="AO2848" i="8"/>
  <c r="AQ2848" i="8" s="1"/>
  <c r="AO2847" i="8"/>
  <c r="AP2847" i="8" s="1"/>
  <c r="AO2846" i="8"/>
  <c r="AO2845" i="8"/>
  <c r="AO2844" i="8"/>
  <c r="AQ2844" i="8" s="1"/>
  <c r="AO2843" i="8"/>
  <c r="AO2842" i="8"/>
  <c r="AP2842" i="8" s="1"/>
  <c r="AO2841" i="8"/>
  <c r="AO2840" i="8"/>
  <c r="AQ2840" i="8" s="1"/>
  <c r="AO2839" i="8"/>
  <c r="AP2839" i="8" s="1"/>
  <c r="AO2838" i="8"/>
  <c r="AP2838" i="8" s="1"/>
  <c r="AO2837" i="8"/>
  <c r="AO2836" i="8"/>
  <c r="AQ2836" i="8" s="1"/>
  <c r="AO2835" i="8"/>
  <c r="AP2835" i="8" s="1"/>
  <c r="AO2834" i="8"/>
  <c r="AQ2834" i="8" s="1"/>
  <c r="AO2833" i="8"/>
  <c r="AO2832" i="8"/>
  <c r="AQ2832" i="8" s="1"/>
  <c r="AO2831" i="8"/>
  <c r="AP2831" i="8" s="1"/>
  <c r="AO2830" i="8"/>
  <c r="AO2829" i="8"/>
  <c r="AO2828" i="8"/>
  <c r="AQ2828" i="8" s="1"/>
  <c r="AO2827" i="8"/>
  <c r="AO2826" i="8"/>
  <c r="AP2826" i="8" s="1"/>
  <c r="AO2825" i="8"/>
  <c r="AO2824" i="8"/>
  <c r="AQ2824" i="8" s="1"/>
  <c r="AO2823" i="8"/>
  <c r="AP2823" i="8" s="1"/>
  <c r="AO2822" i="8"/>
  <c r="AP2822" i="8" s="1"/>
  <c r="AO2821" i="8"/>
  <c r="AO2820" i="8"/>
  <c r="AQ2820" i="8" s="1"/>
  <c r="AO2819" i="8"/>
  <c r="AP2819" i="8" s="1"/>
  <c r="AO2818" i="8"/>
  <c r="AQ2818" i="8" s="1"/>
  <c r="AO2817" i="8"/>
  <c r="AO2816" i="8"/>
  <c r="AQ2816" i="8" s="1"/>
  <c r="AO2815" i="8"/>
  <c r="AP2815" i="8" s="1"/>
  <c r="AO2814" i="8"/>
  <c r="AO2813" i="8"/>
  <c r="AO2812" i="8"/>
  <c r="AQ2812" i="8" s="1"/>
  <c r="AB2811" i="8"/>
  <c r="AO2810" i="8"/>
  <c r="AP2810" i="8" s="1"/>
  <c r="AO2809" i="8"/>
  <c r="AO2808" i="8"/>
  <c r="AQ2808" i="8" s="1"/>
  <c r="AO2807" i="8"/>
  <c r="AO2806" i="8"/>
  <c r="AO2805" i="8"/>
  <c r="AP2805" i="8" s="1"/>
  <c r="AO2804" i="8"/>
  <c r="AQ2804" i="8" s="1"/>
  <c r="AO2803" i="8"/>
  <c r="AO2802" i="8"/>
  <c r="AP2802" i="8" s="1"/>
  <c r="AO2801" i="8"/>
  <c r="AO2800" i="8"/>
  <c r="AQ2800" i="8" s="1"/>
  <c r="AO2799" i="8"/>
  <c r="AO2798" i="8"/>
  <c r="AP2798" i="8" s="1"/>
  <c r="AO2797" i="8"/>
  <c r="AQ2797" i="8" s="1"/>
  <c r="AO2796" i="8"/>
  <c r="AQ2796" i="8" s="1"/>
  <c r="AO2795" i="8"/>
  <c r="AO2794" i="8"/>
  <c r="AP2794" i="8" s="1"/>
  <c r="AO2793" i="8"/>
  <c r="AO2792" i="8"/>
  <c r="AQ2792" i="8" s="1"/>
  <c r="AO2791" i="8"/>
  <c r="AO2790" i="8"/>
  <c r="AO2789" i="8"/>
  <c r="AP2789" i="8" s="1"/>
  <c r="AO2788" i="8"/>
  <c r="AQ2788" i="8" s="1"/>
  <c r="AO2787" i="8"/>
  <c r="AO2786" i="8"/>
  <c r="AP2786" i="8" s="1"/>
  <c r="AO2785" i="8"/>
  <c r="AQ2785" i="8" s="1"/>
  <c r="AO2784" i="8"/>
  <c r="AQ2784" i="8" s="1"/>
  <c r="AO2783" i="8"/>
  <c r="AO2782" i="8"/>
  <c r="AP2782" i="8" s="1"/>
  <c r="AO2781" i="8"/>
  <c r="AQ2781" i="8" s="1"/>
  <c r="AO2780" i="8"/>
  <c r="AQ2780" i="8" s="1"/>
  <c r="AO2779" i="8"/>
  <c r="AO2778" i="8"/>
  <c r="AP2778" i="8" s="1"/>
  <c r="AO2776" i="8"/>
  <c r="AO2775" i="8"/>
  <c r="AQ2775" i="8" s="1"/>
  <c r="AO2774" i="8"/>
  <c r="AO2773" i="8"/>
  <c r="AO2772" i="8"/>
  <c r="AP2772" i="8" s="1"/>
  <c r="AO2771" i="8"/>
  <c r="AQ2771" i="8" s="1"/>
  <c r="AO2770" i="8"/>
  <c r="AO2769" i="8"/>
  <c r="AP2769" i="8" s="1"/>
  <c r="AO2768" i="8"/>
  <c r="AO2767" i="8"/>
  <c r="AQ2767" i="8" s="1"/>
  <c r="AO2766" i="8"/>
  <c r="AO2765" i="8"/>
  <c r="AO2764" i="8"/>
  <c r="AQ2764" i="8" s="1"/>
  <c r="AO2763" i="8"/>
  <c r="AQ2763" i="8" s="1"/>
  <c r="AO2762" i="8"/>
  <c r="AO2761" i="8"/>
  <c r="AP2761" i="8" s="1"/>
  <c r="AO2760" i="8"/>
  <c r="AO2759" i="8"/>
  <c r="AQ2759" i="8" s="1"/>
  <c r="AO2758" i="8"/>
  <c r="AO2757" i="8"/>
  <c r="AO2756" i="8"/>
  <c r="AP2756" i="8" s="1"/>
  <c r="AO2755" i="8"/>
  <c r="AQ2755" i="8" s="1"/>
  <c r="AO2754" i="8"/>
  <c r="AO2753" i="8"/>
  <c r="AP2753" i="8" s="1"/>
  <c r="AO2752" i="8"/>
  <c r="AQ2752" i="8" s="1"/>
  <c r="AO2751" i="8"/>
  <c r="AQ2751" i="8" s="1"/>
  <c r="AO2750" i="8"/>
  <c r="AO2749" i="8"/>
  <c r="AP2749" i="8" s="1"/>
  <c r="AO2748" i="8"/>
  <c r="AQ2748" i="8" s="1"/>
  <c r="AO2747" i="8"/>
  <c r="AQ2747" i="8" s="1"/>
  <c r="AO2746" i="8"/>
  <c r="AO2745" i="8"/>
  <c r="AP2745" i="8" s="1"/>
  <c r="AO2744" i="8"/>
  <c r="AO2743" i="8"/>
  <c r="AQ2743" i="8" s="1"/>
  <c r="AO2742" i="8"/>
  <c r="AO2741" i="8"/>
  <c r="AO2740" i="8"/>
  <c r="AP2740" i="8" s="1"/>
  <c r="AO2739" i="8"/>
  <c r="AQ2739" i="8" s="1"/>
  <c r="AO2738" i="8"/>
  <c r="AO2737" i="8"/>
  <c r="AP2737" i="8" s="1"/>
  <c r="AO2736" i="8"/>
  <c r="AQ2736" i="8" s="1"/>
  <c r="AO2735" i="8"/>
  <c r="AQ2735" i="8" s="1"/>
  <c r="AO2734" i="8"/>
  <c r="AO2733" i="8"/>
  <c r="AP2733" i="8" s="1"/>
  <c r="AO2732" i="8"/>
  <c r="AQ2732" i="8" s="1"/>
  <c r="AO2731" i="8"/>
  <c r="AQ2731" i="8" s="1"/>
  <c r="AO2730" i="8"/>
  <c r="AO2729" i="8"/>
  <c r="AP2729" i="8" s="1"/>
  <c r="AO2728" i="8"/>
  <c r="AO2727" i="8"/>
  <c r="AQ2727" i="8" s="1"/>
  <c r="AO2726" i="8"/>
  <c r="AO2725" i="8"/>
  <c r="AO2724" i="8"/>
  <c r="AP2724" i="8" s="1"/>
  <c r="AO2723" i="8"/>
  <c r="AQ2723" i="8" s="1"/>
  <c r="AO2722" i="8"/>
  <c r="AQ2722" i="8" s="1"/>
  <c r="AO2721" i="8"/>
  <c r="AP2721" i="8" s="1"/>
  <c r="AO2720" i="8"/>
  <c r="AQ2720" i="8" s="1"/>
  <c r="AO2719" i="8"/>
  <c r="AQ2719" i="8" s="1"/>
  <c r="AO2718" i="8"/>
  <c r="AQ2718" i="8" s="1"/>
  <c r="AO2717" i="8"/>
  <c r="AO2716" i="8"/>
  <c r="AP2716" i="8" s="1"/>
  <c r="AO2713" i="8"/>
  <c r="AQ2713" i="8" s="1"/>
  <c r="AO2712" i="8"/>
  <c r="AQ2712" i="8" s="1"/>
  <c r="AO2711" i="8"/>
  <c r="AP2711" i="8" s="1"/>
  <c r="AO2710" i="8"/>
  <c r="AQ2710" i="8" s="1"/>
  <c r="AO2709" i="8"/>
  <c r="AP2709" i="8" s="1"/>
  <c r="AO2708" i="8"/>
  <c r="AQ2708" i="8" s="1"/>
  <c r="AO2707" i="8"/>
  <c r="AQ2707" i="8" s="1"/>
  <c r="AO2706" i="8"/>
  <c r="AQ2706" i="8" s="1"/>
  <c r="AO2705" i="8"/>
  <c r="AP2705" i="8" s="1"/>
  <c r="AO2704" i="8"/>
  <c r="AP2704" i="8" s="1"/>
  <c r="AO2703" i="8"/>
  <c r="AQ2703" i="8" s="1"/>
  <c r="AO2702" i="8"/>
  <c r="AQ2702" i="8" s="1"/>
  <c r="AO2701" i="8"/>
  <c r="AO2700" i="8"/>
  <c r="AQ2700" i="8" s="1"/>
  <c r="AO2699" i="8"/>
  <c r="AP2699" i="8" s="1"/>
  <c r="AO2697" i="8"/>
  <c r="AQ2697" i="8" s="1"/>
  <c r="AO2696" i="8"/>
  <c r="AO2695" i="8"/>
  <c r="AO2694" i="8"/>
  <c r="AQ2694" i="8" s="1"/>
  <c r="AO2693" i="8"/>
  <c r="AQ2693" i="8" s="1"/>
  <c r="AO2692" i="8"/>
  <c r="AQ2692" i="8" s="1"/>
  <c r="AO2691" i="8"/>
  <c r="AQ2691" i="8" s="1"/>
  <c r="AO2690" i="8"/>
  <c r="AP2690" i="8" s="1"/>
  <c r="AO2689" i="8"/>
  <c r="AQ2689" i="8" s="1"/>
  <c r="AO2688" i="8"/>
  <c r="AP2688" i="8" s="1"/>
  <c r="AO2687" i="8"/>
  <c r="AO2686" i="8"/>
  <c r="AP2686" i="8" s="1"/>
  <c r="AO2685" i="8"/>
  <c r="AQ2685" i="8" s="1"/>
  <c r="AO2684" i="8"/>
  <c r="AO2683" i="8"/>
  <c r="AP2683" i="8" s="1"/>
  <c r="AO2682" i="8"/>
  <c r="AQ2682" i="8" s="1"/>
  <c r="AO2681" i="8"/>
  <c r="AQ2681" i="8" s="1"/>
  <c r="AO2680" i="8"/>
  <c r="AP2680" i="8" s="1"/>
  <c r="AO2679" i="8"/>
  <c r="AO2678" i="8"/>
  <c r="AP2678" i="8" s="1"/>
  <c r="AO2677" i="8"/>
  <c r="AQ2677" i="8" s="1"/>
  <c r="AO2676" i="8"/>
  <c r="AO2675" i="8"/>
  <c r="AQ2675" i="8" s="1"/>
  <c r="AO2674" i="8"/>
  <c r="AQ2674" i="8" s="1"/>
  <c r="AO2673" i="8"/>
  <c r="AQ2673" i="8" s="1"/>
  <c r="AO2672" i="8"/>
  <c r="AP2672" i="8" s="1"/>
  <c r="AO2671" i="8"/>
  <c r="AO2670" i="8"/>
  <c r="AP2670" i="8" s="1"/>
  <c r="AO2669" i="8"/>
  <c r="AQ2669" i="8" s="1"/>
  <c r="AO2668" i="8"/>
  <c r="AQ2668" i="8" s="1"/>
  <c r="AO2667" i="8"/>
  <c r="AO2666" i="8"/>
  <c r="AQ2666" i="8" s="1"/>
  <c r="AO2665" i="8"/>
  <c r="AQ2665" i="8" s="1"/>
  <c r="AO2664" i="8"/>
  <c r="AQ2664" i="8" s="1"/>
  <c r="AO2663" i="8"/>
  <c r="AQ2663" i="8" s="1"/>
  <c r="AO2662" i="8"/>
  <c r="AP2662" i="8" s="1"/>
  <c r="AO2661" i="8"/>
  <c r="AQ2661" i="8" s="1"/>
  <c r="AO2660" i="8"/>
  <c r="AQ2660" i="8" s="1"/>
  <c r="AO2659" i="8"/>
  <c r="AQ2659" i="8" s="1"/>
  <c r="AO2658" i="8"/>
  <c r="AQ2658" i="8" s="1"/>
  <c r="AO2657" i="8"/>
  <c r="AQ2657" i="8" s="1"/>
  <c r="AO2656" i="8"/>
  <c r="AP2656" i="8" s="1"/>
  <c r="AO2655" i="8"/>
  <c r="AQ2655" i="8" s="1"/>
  <c r="AO2654" i="8"/>
  <c r="AQ2654" i="8" s="1"/>
  <c r="AO2653" i="8"/>
  <c r="AQ2653" i="8" s="1"/>
  <c r="AO2652" i="8"/>
  <c r="AQ2652" i="8" s="1"/>
  <c r="AO2651" i="8"/>
  <c r="AQ2651" i="8" s="1"/>
  <c r="AO2777" i="8"/>
  <c r="AQ2777" i="8" s="1"/>
  <c r="AO2715" i="8"/>
  <c r="AO2714" i="8"/>
  <c r="AQ2714" i="8" s="1"/>
  <c r="AO2698" i="8"/>
  <c r="AQ2698" i="8" s="1"/>
  <c r="AI2650" i="8"/>
  <c r="AO2650" i="8" s="1"/>
  <c r="AP2650" i="8" s="1"/>
  <c r="AI2649" i="8"/>
  <c r="AO2649" i="8" s="1"/>
  <c r="AP2649" i="8" s="1"/>
  <c r="AI2648" i="8"/>
  <c r="AO2648" i="8" s="1"/>
  <c r="AP2648" i="8" s="1"/>
  <c r="AL2647" i="8"/>
  <c r="AO2647" i="8" s="1"/>
  <c r="AP2647" i="8" s="1"/>
  <c r="AL2646" i="8"/>
  <c r="AO2646" i="8" s="1"/>
  <c r="AP2646" i="8" s="1"/>
  <c r="AL2645" i="8"/>
  <c r="AO2645" i="8" s="1"/>
  <c r="AP2645" i="8" s="1"/>
  <c r="AL2644" i="8"/>
  <c r="AO2644" i="8" s="1"/>
  <c r="AP2644" i="8" s="1"/>
  <c r="AL2643" i="8"/>
  <c r="AO2643" i="8" s="1"/>
  <c r="AP2643" i="8" s="1"/>
  <c r="AL2642" i="8"/>
  <c r="AO2642" i="8" s="1"/>
  <c r="AP2642" i="8" s="1"/>
  <c r="AL2641" i="8"/>
  <c r="AO2641" i="8" s="1"/>
  <c r="AP2641" i="8" s="1"/>
  <c r="AI2640" i="8"/>
  <c r="AO2640" i="8" s="1"/>
  <c r="AP2640" i="8" s="1"/>
  <c r="AL2639" i="8"/>
  <c r="AO2639" i="8" s="1"/>
  <c r="AO2638" i="8"/>
  <c r="AP2638" i="8" s="1"/>
  <c r="AL2637" i="8"/>
  <c r="AO2637" i="8" s="1"/>
  <c r="AQ2637" i="8" s="1"/>
  <c r="AO2636" i="8"/>
  <c r="AQ2636" i="8" s="1"/>
  <c r="AL2635" i="8"/>
  <c r="AO2635" i="8" s="1"/>
  <c r="AO2634" i="8"/>
  <c r="AL2633" i="8"/>
  <c r="AO2633" i="8" s="1"/>
  <c r="AL2632" i="8"/>
  <c r="AO2632" i="8" s="1"/>
  <c r="AL2631" i="8"/>
  <c r="AO2631" i="8" s="1"/>
  <c r="AL2630" i="8"/>
  <c r="AO2630" i="8" s="1"/>
  <c r="AI2629" i="8"/>
  <c r="AO2629" i="8" s="1"/>
  <c r="AI2628" i="8"/>
  <c r="AO2628" i="8" s="1"/>
  <c r="AO2627" i="8"/>
  <c r="AQ2627" i="8" s="1"/>
  <c r="AI2626" i="8"/>
  <c r="AO2626" i="8" s="1"/>
  <c r="AP2626" i="8" s="1"/>
  <c r="AO2625" i="8"/>
  <c r="AP2625" i="8" s="1"/>
  <c r="AO2623" i="8"/>
  <c r="AQ2623" i="8" s="1"/>
  <c r="AO2622" i="8"/>
  <c r="AO2621" i="8"/>
  <c r="AQ2621" i="8" s="1"/>
  <c r="AO2620" i="8"/>
  <c r="AP2620" i="8" s="1"/>
  <c r="AO2619" i="8"/>
  <c r="AQ2619" i="8" s="1"/>
  <c r="AI2618" i="8"/>
  <c r="AO2618" i="8" s="1"/>
  <c r="AO2617" i="8"/>
  <c r="AL2616" i="8"/>
  <c r="AO2616" i="8" s="1"/>
  <c r="AO2615" i="8"/>
  <c r="AQ2615" i="8" s="1"/>
  <c r="AO2614" i="8"/>
  <c r="AP2614" i="8" s="1"/>
  <c r="AO2613" i="8"/>
  <c r="AQ2613" i="8" s="1"/>
  <c r="AO2612" i="8"/>
  <c r="AL2611" i="8"/>
  <c r="AO2611" i="8" s="1"/>
  <c r="AO2610" i="8"/>
  <c r="AQ2610" i="8" s="1"/>
  <c r="AO2609" i="8"/>
  <c r="AP2609" i="8" s="1"/>
  <c r="AL2608" i="8"/>
  <c r="AO2608" i="8" s="1"/>
  <c r="AQ2608" i="8" s="1"/>
  <c r="AL2607" i="8"/>
  <c r="AO2607" i="8" s="1"/>
  <c r="AQ2607" i="8" s="1"/>
  <c r="AO2606" i="8"/>
  <c r="AQ2606" i="8" s="1"/>
  <c r="AO2605" i="8"/>
  <c r="AO2604" i="8"/>
  <c r="AQ2604" i="8" s="1"/>
  <c r="AO2603" i="8"/>
  <c r="AP2603" i="8" s="1"/>
  <c r="AL2602" i="8"/>
  <c r="AO2602" i="8" s="1"/>
  <c r="AQ2602" i="8" s="1"/>
  <c r="AL2601" i="8"/>
  <c r="AO2601" i="8" s="1"/>
  <c r="AQ2601" i="8" s="1"/>
  <c r="AL2600" i="8"/>
  <c r="AO2600" i="8" s="1"/>
  <c r="AQ2600" i="8" s="1"/>
  <c r="AO2599" i="8"/>
  <c r="AQ2599" i="8" s="1"/>
  <c r="AO2598" i="8"/>
  <c r="AO2597" i="8"/>
  <c r="AQ2597" i="8" s="1"/>
  <c r="AO2596" i="8"/>
  <c r="AQ2596" i="8" s="1"/>
  <c r="AC2595" i="8"/>
  <c r="AO2595" i="8" s="1"/>
  <c r="AQ2595" i="8" s="1"/>
  <c r="AC2594" i="8"/>
  <c r="AO2594" i="8" s="1"/>
  <c r="AQ2594" i="8" s="1"/>
  <c r="AO2593" i="8"/>
  <c r="AQ2593" i="8" s="1"/>
  <c r="AO2592" i="8"/>
  <c r="AO2591" i="8"/>
  <c r="AQ2591" i="8" s="1"/>
  <c r="AO2590" i="8"/>
  <c r="AQ2590" i="8" s="1"/>
  <c r="AI2589" i="8"/>
  <c r="AO2589" i="8" s="1"/>
  <c r="AQ2589" i="8" s="1"/>
  <c r="AO2588" i="8"/>
  <c r="AQ2588" i="8" s="1"/>
  <c r="AO2587" i="8"/>
  <c r="AL2586" i="8"/>
  <c r="AO2586" i="8" s="1"/>
  <c r="AL2585" i="8"/>
  <c r="AO2585" i="8" s="1"/>
  <c r="AL2584" i="8"/>
  <c r="AO2584" i="8" s="1"/>
  <c r="AL2583" i="8"/>
  <c r="AO2583" i="8" s="1"/>
  <c r="AL2582" i="8"/>
  <c r="AO2582" i="8" s="1"/>
  <c r="AL2581" i="8"/>
  <c r="AO2581" i="8" s="1"/>
  <c r="AI2580" i="8"/>
  <c r="AO2580" i="8" s="1"/>
  <c r="AK2579" i="8"/>
  <c r="AO2579" i="8" s="1"/>
  <c r="AK2578" i="8"/>
  <c r="AO2578" i="8" s="1"/>
  <c r="AK2577" i="8"/>
  <c r="AO2577" i="8" s="1"/>
  <c r="AO2576" i="8"/>
  <c r="AK2575" i="8"/>
  <c r="AO2575" i="8" s="1"/>
  <c r="AP2575" i="8" s="1"/>
  <c r="AK2574" i="8"/>
  <c r="AO2574" i="8" s="1"/>
  <c r="AP2574" i="8" s="1"/>
  <c r="AO2573" i="8"/>
  <c r="AP2573" i="8" s="1"/>
  <c r="AO2572" i="8"/>
  <c r="AP2572" i="8" s="1"/>
  <c r="AO2571" i="8"/>
  <c r="AQ2571" i="8" s="1"/>
  <c r="AI2570" i="8"/>
  <c r="AO2570" i="8" s="1"/>
  <c r="AI2569" i="8"/>
  <c r="AO2569" i="8" s="1"/>
  <c r="AI2568" i="8"/>
  <c r="AO2568" i="8" s="1"/>
  <c r="AO2564" i="8"/>
  <c r="AI2563" i="8"/>
  <c r="AO2563" i="8" s="1"/>
  <c r="AP2563" i="8" s="1"/>
  <c r="AK2562" i="8"/>
  <c r="AO2562" i="8" s="1"/>
  <c r="AP2562" i="8" s="1"/>
  <c r="AK2561" i="8"/>
  <c r="AO2561" i="8" s="1"/>
  <c r="AP2561" i="8" s="1"/>
  <c r="AK2560" i="8"/>
  <c r="AO2560" i="8" s="1"/>
  <c r="AP2560" i="8" s="1"/>
  <c r="AK2559" i="8"/>
  <c r="AO2559" i="8" s="1"/>
  <c r="AP2559" i="8" s="1"/>
  <c r="AK2558" i="8"/>
  <c r="AO2558" i="8" s="1"/>
  <c r="AP2558" i="8" s="1"/>
  <c r="AK2557" i="8"/>
  <c r="AO2557" i="8" s="1"/>
  <c r="AP2557" i="8" s="1"/>
  <c r="AK2556" i="8"/>
  <c r="AO2556" i="8" s="1"/>
  <c r="AP2556" i="8" s="1"/>
  <c r="AK2555" i="8"/>
  <c r="AO2555" i="8" s="1"/>
  <c r="AP2555" i="8" s="1"/>
  <c r="AK2554" i="8"/>
  <c r="AO2554" i="8" s="1"/>
  <c r="AP2554" i="8" s="1"/>
  <c r="AK2553" i="8"/>
  <c r="AI2552" i="8"/>
  <c r="AO2552" i="8" s="1"/>
  <c r="AP2552" i="8" s="1"/>
  <c r="AO2551" i="8"/>
  <c r="AP2551" i="8" s="1"/>
  <c r="AI2550" i="8"/>
  <c r="AO2550" i="8" s="1"/>
  <c r="AP2550" i="8" s="1"/>
  <c r="AO2549" i="8"/>
  <c r="AO2548" i="8"/>
  <c r="AQ2548" i="8" s="1"/>
  <c r="AO2547" i="8"/>
  <c r="AI2546" i="8"/>
  <c r="AO2546" i="8" s="1"/>
  <c r="AI2545" i="8"/>
  <c r="AO2545" i="8" s="1"/>
  <c r="AP2545" i="8" s="1"/>
  <c r="AI2544" i="8"/>
  <c r="AO2544" i="8" s="1"/>
  <c r="AP2544" i="8" s="1"/>
  <c r="AI2543" i="8"/>
  <c r="AO2543" i="8" s="1"/>
  <c r="AP2543" i="8" s="1"/>
  <c r="AO2542" i="8"/>
  <c r="AP2542" i="8" s="1"/>
  <c r="AL2541" i="8"/>
  <c r="AO2541" i="8" s="1"/>
  <c r="AQ2541" i="8" s="1"/>
  <c r="AL2540" i="8"/>
  <c r="AO2540" i="8" s="1"/>
  <c r="AQ2540" i="8" s="1"/>
  <c r="AO2539" i="8"/>
  <c r="AQ2539" i="8" s="1"/>
  <c r="AO2538" i="8"/>
  <c r="AQ2538" i="8" s="1"/>
  <c r="AI2537" i="8"/>
  <c r="AO2537" i="8" s="1"/>
  <c r="AO2536" i="8"/>
  <c r="AO2535" i="8"/>
  <c r="AP2535" i="8" s="1"/>
  <c r="AO2534" i="8"/>
  <c r="AQ2534" i="8" s="1"/>
  <c r="AO2533" i="8"/>
  <c r="AQ2533" i="8" s="1"/>
  <c r="AO2532" i="8"/>
  <c r="AO2531" i="8"/>
  <c r="AP2531" i="8" s="1"/>
  <c r="AO2530" i="8"/>
  <c r="AI2528" i="8"/>
  <c r="AO2528" i="8" s="1"/>
  <c r="AQ2528" i="8" s="1"/>
  <c r="AO2527" i="8"/>
  <c r="AQ2527" i="8" s="1"/>
  <c r="AO2526" i="8"/>
  <c r="AQ2526" i="8" s="1"/>
  <c r="AO2525" i="8"/>
  <c r="AP2525" i="8" s="1"/>
  <c r="AO2524" i="8"/>
  <c r="AP2524" i="8" s="1"/>
  <c r="AO2523" i="8"/>
  <c r="AQ2523" i="8" s="1"/>
  <c r="AO2522" i="8"/>
  <c r="AQ2522" i="8" s="1"/>
  <c r="AI2521" i="8"/>
  <c r="AO2521" i="8" s="1"/>
  <c r="AQ2521" i="8" s="1"/>
  <c r="AO2520" i="8"/>
  <c r="AQ2520" i="8" s="1"/>
  <c r="AO2519" i="8"/>
  <c r="AP2519" i="8" s="1"/>
  <c r="AO2518" i="8"/>
  <c r="AQ2518" i="8" s="1"/>
  <c r="AO2517" i="8"/>
  <c r="AQ2517" i="8" s="1"/>
  <c r="AL2516" i="8"/>
  <c r="AO2516" i="8" s="1"/>
  <c r="AQ2516" i="8" s="1"/>
  <c r="AL2515" i="8"/>
  <c r="AO2515" i="8" s="1"/>
  <c r="AQ2515" i="8" s="1"/>
  <c r="AL2514" i="8"/>
  <c r="AO2514" i="8" s="1"/>
  <c r="AQ2514" i="8" s="1"/>
  <c r="AL2513" i="8"/>
  <c r="AO2513" i="8" s="1"/>
  <c r="AQ2513" i="8" s="1"/>
  <c r="AL2512" i="8"/>
  <c r="AO2512" i="8" s="1"/>
  <c r="AQ2512" i="8" s="1"/>
  <c r="AI2511" i="8"/>
  <c r="AO2511" i="8" s="1"/>
  <c r="AQ2511" i="8" s="1"/>
  <c r="AL2510" i="8"/>
  <c r="AO2510" i="8" s="1"/>
  <c r="AQ2510" i="8" s="1"/>
  <c r="AO2509" i="8"/>
  <c r="AQ2509" i="8" s="1"/>
  <c r="AO2508" i="8"/>
  <c r="AP2508" i="8" s="1"/>
  <c r="AI2507" i="8"/>
  <c r="AO2507" i="8" s="1"/>
  <c r="AI2506" i="8"/>
  <c r="AO2506" i="8" s="1"/>
  <c r="AO2505" i="8"/>
  <c r="AQ2505" i="8" s="1"/>
  <c r="AO2504" i="8"/>
  <c r="AQ2504" i="8" s="1"/>
  <c r="AO2503" i="8"/>
  <c r="AQ2503" i="8" s="1"/>
  <c r="AI2502" i="8"/>
  <c r="AO2502" i="8" s="1"/>
  <c r="AI2501" i="8"/>
  <c r="AO2501" i="8" s="1"/>
  <c r="AI2500" i="8"/>
  <c r="AO2500" i="8" s="1"/>
  <c r="AI2499" i="8"/>
  <c r="AO2498" i="8"/>
  <c r="AP2498" i="8" s="1"/>
  <c r="AO2497" i="8"/>
  <c r="AQ2497" i="8" s="1"/>
  <c r="AO2496" i="8"/>
  <c r="AO2495" i="8"/>
  <c r="AQ2495" i="8" s="1"/>
  <c r="AO2494" i="8"/>
  <c r="AP2494" i="8" s="1"/>
  <c r="AL2493" i="8"/>
  <c r="AO2492" i="8"/>
  <c r="AQ2492" i="8" s="1"/>
  <c r="AO2624" i="8"/>
  <c r="AQ2624" i="8" s="1"/>
  <c r="AO2567" i="8"/>
  <c r="AP2567" i="8" s="1"/>
  <c r="AO2566" i="8"/>
  <c r="AO2565" i="8"/>
  <c r="AQ2565" i="8" s="1"/>
  <c r="AO2529" i="8"/>
  <c r="AQ2529" i="8" s="1"/>
  <c r="AO2491" i="8"/>
  <c r="AO2490" i="8"/>
  <c r="AQ2490" i="8" s="1"/>
  <c r="AI2489" i="8"/>
  <c r="AO2489" i="8" s="1"/>
  <c r="AQ2489" i="8" s="1"/>
  <c r="AI2488" i="8"/>
  <c r="AO2488" i="8" s="1"/>
  <c r="AQ2488" i="8" s="1"/>
  <c r="AI2487" i="8"/>
  <c r="AO2487" i="8" s="1"/>
  <c r="AQ2487" i="8" s="1"/>
  <c r="AI2486" i="8"/>
  <c r="AO2486" i="8" s="1"/>
  <c r="AI2485" i="8"/>
  <c r="AO2485" i="8" s="1"/>
  <c r="AQ2485" i="8" s="1"/>
  <c r="AI2484" i="8"/>
  <c r="AO2484" i="8" s="1"/>
  <c r="AQ2484" i="8" s="1"/>
  <c r="AI2483" i="8"/>
  <c r="AO2483" i="8" s="1"/>
  <c r="AQ2483" i="8" s="1"/>
  <c r="AI2482" i="8"/>
  <c r="AO2482" i="8" s="1"/>
  <c r="AI2481" i="8"/>
  <c r="AO2481" i="8" s="1"/>
  <c r="AQ2481" i="8" s="1"/>
  <c r="AI2480" i="8"/>
  <c r="AO2480" i="8" s="1"/>
  <c r="AI2479" i="8"/>
  <c r="AO2479" i="8" s="1"/>
  <c r="AQ2479" i="8" s="1"/>
  <c r="AI2478" i="8"/>
  <c r="AO2478" i="8" s="1"/>
  <c r="AI2477" i="8"/>
  <c r="AO2477" i="8" s="1"/>
  <c r="AQ2477" i="8" s="1"/>
  <c r="AI2476" i="8"/>
  <c r="AO2476" i="8" s="1"/>
  <c r="AQ2476" i="8" s="1"/>
  <c r="AI2475" i="8"/>
  <c r="AO2475" i="8" s="1"/>
  <c r="AQ2475" i="8" s="1"/>
  <c r="AO2474" i="8"/>
  <c r="Y2473" i="8"/>
  <c r="AO2473" i="8" s="1"/>
  <c r="AI2472" i="8"/>
  <c r="AO2472" i="8" s="1"/>
  <c r="AC2471" i="8"/>
  <c r="AO2471" i="8" s="1"/>
  <c r="AO2470" i="8"/>
  <c r="AO2469" i="8"/>
  <c r="AQ2469" i="8" s="1"/>
  <c r="AO2468" i="8"/>
  <c r="AP2468" i="8" s="1"/>
  <c r="AO2467" i="8"/>
  <c r="AQ2467" i="8" s="1"/>
  <c r="AO2466" i="8"/>
  <c r="AI2465" i="8"/>
  <c r="AO2465" i="8" s="1"/>
  <c r="AP2465" i="8" s="1"/>
  <c r="AO2464" i="8"/>
  <c r="AQ2464" i="8" s="1"/>
  <c r="AC2463" i="8"/>
  <c r="AO2463" i="8" s="1"/>
  <c r="AI2462" i="8"/>
  <c r="AO2462" i="8" s="1"/>
  <c r="AI2461" i="8"/>
  <c r="AO2461" i="8" s="1"/>
  <c r="AP2461" i="8" s="1"/>
  <c r="AL2460" i="8"/>
  <c r="AO2460" i="8" s="1"/>
  <c r="AP2460" i="8" s="1"/>
  <c r="AI2459" i="8"/>
  <c r="AO2459" i="8" s="1"/>
  <c r="AI2458" i="8"/>
  <c r="AO2458" i="8" s="1"/>
  <c r="AP2458" i="8" s="1"/>
  <c r="AI2457" i="8"/>
  <c r="AO2457" i="8" s="1"/>
  <c r="AI2456" i="8"/>
  <c r="AO2456" i="8" s="1"/>
  <c r="AI2455" i="8"/>
  <c r="AO2455" i="8" s="1"/>
  <c r="AI2454" i="8"/>
  <c r="AO2454" i="8" s="1"/>
  <c r="AI2453" i="8"/>
  <c r="AO2453" i="8" s="1"/>
  <c r="AP2453" i="8" s="1"/>
  <c r="AI2452" i="8"/>
  <c r="AO2452" i="8" s="1"/>
  <c r="AP2452" i="8" s="1"/>
  <c r="AL2451" i="8"/>
  <c r="AO2451" i="8" s="1"/>
  <c r="AI2450" i="8"/>
  <c r="AO2450" i="8" s="1"/>
  <c r="AP2450" i="8" s="1"/>
  <c r="AI2449" i="8"/>
  <c r="AO2449" i="8" s="1"/>
  <c r="AO2448" i="8"/>
  <c r="AP2448" i="8" s="1"/>
  <c r="AL2447" i="8"/>
  <c r="AO2447" i="8" s="1"/>
  <c r="AQ2447" i="8" s="1"/>
  <c r="AO2446" i="8"/>
  <c r="AQ2446" i="8" s="1"/>
  <c r="AL2445" i="8"/>
  <c r="AO2445" i="8" s="1"/>
  <c r="AO2444" i="8"/>
  <c r="AI2443" i="8"/>
  <c r="AO2443" i="8" s="1"/>
  <c r="AP2443" i="8" s="1"/>
  <c r="AO2442" i="8"/>
  <c r="AQ2442" i="8" s="1"/>
  <c r="AO2441" i="8"/>
  <c r="AP2441" i="8" s="1"/>
  <c r="AO2440" i="8"/>
  <c r="AQ2440" i="8" s="1"/>
  <c r="AO2439" i="8"/>
  <c r="AO2438" i="8"/>
  <c r="AQ2438" i="8" s="1"/>
  <c r="AO2437" i="8"/>
  <c r="AP2437" i="8" s="1"/>
  <c r="AI2436" i="8"/>
  <c r="AO2436" i="8" s="1"/>
  <c r="AQ2436" i="8" s="1"/>
  <c r="AL2435" i="8"/>
  <c r="AO2435" i="8" s="1"/>
  <c r="AQ2435" i="8" s="1"/>
  <c r="AL2434" i="8"/>
  <c r="AO2434" i="8" s="1"/>
  <c r="AQ2434" i="8" s="1"/>
  <c r="AO2433" i="8"/>
  <c r="AL2432" i="8"/>
  <c r="AO2432" i="8" s="1"/>
  <c r="AO2431" i="8"/>
  <c r="AO2430" i="8"/>
  <c r="AO2429" i="8"/>
  <c r="AP2429" i="8" s="1"/>
  <c r="AI2428" i="8"/>
  <c r="AO2428" i="8" s="1"/>
  <c r="AQ2428" i="8" s="1"/>
  <c r="AI2427" i="8"/>
  <c r="AO2427" i="8" s="1"/>
  <c r="AQ2427" i="8" s="1"/>
  <c r="AI2426" i="8"/>
  <c r="AO2426" i="8" s="1"/>
  <c r="AQ2426" i="8" s="1"/>
  <c r="AI2425" i="8"/>
  <c r="AO2425" i="8" s="1"/>
  <c r="AI2424" i="8"/>
  <c r="AO2424" i="8" s="1"/>
  <c r="AQ2424" i="8" s="1"/>
  <c r="AI2423" i="8"/>
  <c r="AO2423" i="8" s="1"/>
  <c r="AQ2423" i="8" s="1"/>
  <c r="AI2422" i="8"/>
  <c r="AO2422" i="8" s="1"/>
  <c r="AQ2422" i="8" s="1"/>
  <c r="AI2421" i="8"/>
  <c r="AO2421" i="8" s="1"/>
  <c r="AI2420" i="8"/>
  <c r="AO2420" i="8" s="1"/>
  <c r="AQ2420" i="8" s="1"/>
  <c r="AI2419" i="8"/>
  <c r="AO2419" i="8" s="1"/>
  <c r="AQ2419" i="8" s="1"/>
  <c r="AI2418" i="8"/>
  <c r="AO2418" i="8" s="1"/>
  <c r="AQ2418" i="8" s="1"/>
  <c r="AI2417" i="8"/>
  <c r="AO2417" i="8" s="1"/>
  <c r="AI2416" i="8"/>
  <c r="AO2416" i="8" s="1"/>
  <c r="AQ2416" i="8" s="1"/>
  <c r="AI2415" i="8"/>
  <c r="AO2415" i="8" s="1"/>
  <c r="AQ2415" i="8" s="1"/>
  <c r="AI2414" i="8"/>
  <c r="AO2414" i="8" s="1"/>
  <c r="AQ2414" i="8" s="1"/>
  <c r="AI2413" i="8"/>
  <c r="AO2413" i="8" s="1"/>
  <c r="AO2412" i="8"/>
  <c r="AQ2412" i="8" s="1"/>
  <c r="AL2411" i="8"/>
  <c r="AO2411" i="8" s="1"/>
  <c r="Y2410" i="8"/>
  <c r="AO2410" i="8" s="1"/>
  <c r="AI2409" i="8"/>
  <c r="AO2409" i="8" s="1"/>
  <c r="AL2408" i="8"/>
  <c r="AO2408" i="8" s="1"/>
  <c r="AO2407" i="8"/>
  <c r="AO2406" i="8"/>
  <c r="AP2406" i="8" s="1"/>
  <c r="AI2405" i="8"/>
  <c r="AO2405" i="8" s="1"/>
  <c r="AP2405" i="8" s="1"/>
  <c r="AI2404" i="8"/>
  <c r="AO2404" i="8" s="1"/>
  <c r="AO2403" i="8"/>
  <c r="AP2403" i="8" s="1"/>
  <c r="AK2402" i="8"/>
  <c r="AO2402" i="8" s="1"/>
  <c r="AO2401" i="8"/>
  <c r="AQ2401" i="8" s="1"/>
  <c r="AO2400" i="8"/>
  <c r="AP2400" i="8" s="1"/>
  <c r="AI2399" i="8"/>
  <c r="AO2399" i="8" s="1"/>
  <c r="AL2398" i="8"/>
  <c r="AO2398" i="8" s="1"/>
  <c r="AQ2398" i="8" s="1"/>
  <c r="AO2397" i="8"/>
  <c r="AQ2397" i="8" s="1"/>
  <c r="AO2396" i="8"/>
  <c r="AO2395" i="8"/>
  <c r="AQ2395" i="8" s="1"/>
  <c r="AO2394" i="8"/>
  <c r="AO2393" i="8"/>
  <c r="AP2393" i="8" s="1"/>
  <c r="AO2392" i="8"/>
  <c r="AQ2392" i="8" s="1"/>
  <c r="AO2391" i="8"/>
  <c r="AQ2391" i="8" s="1"/>
  <c r="AO2389" i="8"/>
  <c r="AP2389" i="8" s="1"/>
  <c r="AL2388" i="8"/>
  <c r="AO2388" i="8" s="1"/>
  <c r="AQ2388" i="8" s="1"/>
  <c r="AO2387" i="8"/>
  <c r="AP2387" i="8" s="1"/>
  <c r="AO2386" i="8"/>
  <c r="AO2385" i="8"/>
  <c r="AI2384" i="8"/>
  <c r="AO2384" i="8" s="1"/>
  <c r="AO2383" i="8"/>
  <c r="AP2383" i="8" s="1"/>
  <c r="AO2382" i="8"/>
  <c r="AQ2382" i="8" s="1"/>
  <c r="AO2381" i="8"/>
  <c r="AQ2381" i="8" s="1"/>
  <c r="AO2380" i="8"/>
  <c r="AQ2380" i="8" s="1"/>
  <c r="AO2379" i="8"/>
  <c r="AO2378" i="8"/>
  <c r="AP2378" i="8" s="1"/>
  <c r="AO2377" i="8"/>
  <c r="AQ2377" i="8" s="1"/>
  <c r="AO2376" i="8"/>
  <c r="AQ2376" i="8" s="1"/>
  <c r="AI2375" i="8"/>
  <c r="AO2375" i="8" s="1"/>
  <c r="AI2374" i="8"/>
  <c r="AO2374" i="8" s="1"/>
  <c r="AI2373" i="8"/>
  <c r="AO2373" i="8" s="1"/>
  <c r="AP2373" i="8" s="1"/>
  <c r="AI2372" i="8"/>
  <c r="AO2372" i="8" s="1"/>
  <c r="AI2371" i="8"/>
  <c r="AO2371" i="8" s="1"/>
  <c r="AI2370" i="8"/>
  <c r="AO2370" i="8" s="1"/>
  <c r="AI2369" i="8"/>
  <c r="AO2369" i="8" s="1"/>
  <c r="AP2369" i="8" s="1"/>
  <c r="AI2368" i="8"/>
  <c r="AO2368" i="8" s="1"/>
  <c r="AP2368" i="8" s="1"/>
  <c r="AL2367" i="8"/>
  <c r="AO2367" i="8" s="1"/>
  <c r="AP2367" i="8" s="1"/>
  <c r="AO2366" i="8"/>
  <c r="AQ2366" i="8" s="1"/>
  <c r="AO2365" i="8"/>
  <c r="AP2365" i="8" s="1"/>
  <c r="AO2364" i="8"/>
  <c r="AO2363" i="8"/>
  <c r="AQ2363" i="8" s="1"/>
  <c r="AO2362" i="8"/>
  <c r="AP2362" i="8" s="1"/>
  <c r="AO2361" i="8"/>
  <c r="AQ2361" i="8" s="1"/>
  <c r="AL2360" i="8"/>
  <c r="AO2360" i="8" s="1"/>
  <c r="AL2359" i="8"/>
  <c r="AO2359" i="8" s="1"/>
  <c r="AI2358" i="8"/>
  <c r="AO2358" i="8" s="1"/>
  <c r="AO2357" i="8"/>
  <c r="AO2356" i="8"/>
  <c r="AQ2356" i="8" s="1"/>
  <c r="AB2355" i="8"/>
  <c r="AO2355" i="8" s="1"/>
  <c r="AP2355" i="8" s="1"/>
  <c r="AL2354" i="8"/>
  <c r="AO2354" i="8" s="1"/>
  <c r="AP2354" i="8" s="1"/>
  <c r="AO2353" i="8"/>
  <c r="AP2353" i="8" s="1"/>
  <c r="AK2352" i="8"/>
  <c r="AO2352" i="8" s="1"/>
  <c r="AQ2352" i="8" s="1"/>
  <c r="AO2351" i="8"/>
  <c r="AQ2351" i="8" s="1"/>
  <c r="AO2350" i="8"/>
  <c r="AO2349" i="8"/>
  <c r="AQ2349" i="8" s="1"/>
  <c r="AO2348" i="8"/>
  <c r="AQ2348" i="8" s="1"/>
  <c r="AO2347" i="8"/>
  <c r="AQ2347" i="8" s="1"/>
  <c r="AO2346" i="8"/>
  <c r="AO2345" i="8"/>
  <c r="AQ2345" i="8" s="1"/>
  <c r="AO2344" i="8"/>
  <c r="AQ2344" i="8" s="1"/>
  <c r="AC2343" i="8"/>
  <c r="AO2343" i="8" s="1"/>
  <c r="AQ2343" i="8" s="1"/>
  <c r="AO2342" i="8"/>
  <c r="AL2341" i="8"/>
  <c r="AO2341" i="8" s="1"/>
  <c r="AI2340" i="8"/>
  <c r="AO2340" i="8" s="1"/>
  <c r="AI2339" i="8"/>
  <c r="AO2339" i="8" s="1"/>
  <c r="AO2338" i="8"/>
  <c r="AO2337" i="8"/>
  <c r="AQ2337" i="8" s="1"/>
  <c r="AO2336" i="8"/>
  <c r="AP2336" i="8" s="1"/>
  <c r="AO2335" i="8"/>
  <c r="AP2335" i="8" s="1"/>
  <c r="AO2334" i="8"/>
  <c r="AI2333" i="8"/>
  <c r="AO2333" i="8" s="1"/>
  <c r="AI2332" i="8"/>
  <c r="AO2332" i="8" s="1"/>
  <c r="AI2331" i="8"/>
  <c r="AO2331" i="8" s="1"/>
  <c r="AI2330" i="8"/>
  <c r="AO2330" i="8" s="1"/>
  <c r="AI2329" i="8"/>
  <c r="AO2329" i="8" s="1"/>
  <c r="AI2328" i="8"/>
  <c r="AO2328" i="8" s="1"/>
  <c r="AI2327" i="8"/>
  <c r="AO2327" i="8" s="1"/>
  <c r="AO2323" i="8"/>
  <c r="AQ2323" i="8" s="1"/>
  <c r="AL2322" i="8"/>
  <c r="AO2322" i="8" s="1"/>
  <c r="AP2322" i="8" s="1"/>
  <c r="AL2319" i="8"/>
  <c r="AO2319" i="8" s="1"/>
  <c r="AP2319" i="8" s="1"/>
  <c r="AL2318" i="8"/>
  <c r="AO2318" i="8" s="1"/>
  <c r="AP2318" i="8" s="1"/>
  <c r="AI2317" i="8"/>
  <c r="AO2317" i="8" s="1"/>
  <c r="AP2317" i="8" s="1"/>
  <c r="AI2316" i="8"/>
  <c r="AO2316" i="8" s="1"/>
  <c r="AP2316" i="8" s="1"/>
  <c r="AI2315" i="8"/>
  <c r="AO2315" i="8" s="1"/>
  <c r="AP2315" i="8" s="1"/>
  <c r="AI2314" i="8"/>
  <c r="AO2314" i="8" s="1"/>
  <c r="AP2314" i="8" s="1"/>
  <c r="AI2313" i="8"/>
  <c r="AO2313" i="8" s="1"/>
  <c r="AI2312" i="8"/>
  <c r="AO2312" i="8" s="1"/>
  <c r="AP2312" i="8" s="1"/>
  <c r="AI2311" i="8"/>
  <c r="AO2311" i="8" s="1"/>
  <c r="AP2311" i="8" s="1"/>
  <c r="AI2310" i="8"/>
  <c r="AO2310" i="8" s="1"/>
  <c r="AP2310" i="8" s="1"/>
  <c r="AO2309" i="8"/>
  <c r="AP2309" i="8" s="1"/>
  <c r="AO2308" i="8"/>
  <c r="AP2308" i="8" s="1"/>
  <c r="AL2307" i="8"/>
  <c r="AO2307" i="8" s="1"/>
  <c r="AL2306" i="8"/>
  <c r="AO2306" i="8" s="1"/>
  <c r="AL2305" i="8"/>
  <c r="AO2305" i="8" s="1"/>
  <c r="AO2304" i="8"/>
  <c r="AO2303" i="8"/>
  <c r="AQ2303" i="8" s="1"/>
  <c r="AO2302" i="8"/>
  <c r="AP2302" i="8" s="1"/>
  <c r="AO2301" i="8"/>
  <c r="AQ2301" i="8" s="1"/>
  <c r="AO2300" i="8"/>
  <c r="AB2299" i="8"/>
  <c r="AO2299" i="8" s="1"/>
  <c r="AO2298" i="8"/>
  <c r="AQ2298" i="8" s="1"/>
  <c r="AO2297" i="8"/>
  <c r="AP2297" i="8" s="1"/>
  <c r="AO2296" i="8"/>
  <c r="AQ2296" i="8" s="1"/>
  <c r="AO2295" i="8"/>
  <c r="AO2294" i="8"/>
  <c r="AQ2294" i="8" s="1"/>
  <c r="AO2293" i="8"/>
  <c r="AP2293" i="8" s="1"/>
  <c r="AO2292" i="8"/>
  <c r="AI2291" i="8"/>
  <c r="AO2291" i="8" s="1"/>
  <c r="AO2290" i="8"/>
  <c r="AO2289" i="8"/>
  <c r="AQ2289" i="8" s="1"/>
  <c r="AC2288" i="8"/>
  <c r="AO2288" i="8" s="1"/>
  <c r="AP2288" i="8" s="1"/>
  <c r="AC2287" i="8"/>
  <c r="AO2287" i="8" s="1"/>
  <c r="AP2287" i="8" s="1"/>
  <c r="AO2286" i="8"/>
  <c r="AP2286" i="8" s="1"/>
  <c r="AL2285" i="8"/>
  <c r="AO2285" i="8" s="1"/>
  <c r="AQ2285" i="8" s="1"/>
  <c r="AO2284" i="8"/>
  <c r="AQ2284" i="8" s="1"/>
  <c r="AO2283" i="8"/>
  <c r="AG2282" i="8"/>
  <c r="AO2282" i="8" s="1"/>
  <c r="AL2281" i="8"/>
  <c r="AO2281" i="8" s="1"/>
  <c r="AO2280" i="8"/>
  <c r="AP2280" i="8" s="1"/>
  <c r="AO2279" i="8"/>
  <c r="AP2279" i="8" s="1"/>
  <c r="AL2278" i="8"/>
  <c r="AO2278" i="8" s="1"/>
  <c r="AO2277" i="8"/>
  <c r="AQ2277" i="8" s="1"/>
  <c r="AO2276" i="8"/>
  <c r="AL2275" i="8"/>
  <c r="AO2275" i="8" s="1"/>
  <c r="AI2274" i="8"/>
  <c r="AO2274" i="8" s="1"/>
  <c r="AI2273" i="8"/>
  <c r="AO2273" i="8" s="1"/>
  <c r="AI2272" i="8"/>
  <c r="AO2272" i="8" s="1"/>
  <c r="AI2271" i="8"/>
  <c r="AO2271" i="8" s="1"/>
  <c r="AI2270" i="8"/>
  <c r="AO2270" i="8" s="1"/>
  <c r="AI2269" i="8"/>
  <c r="AO2269" i="8" s="1"/>
  <c r="AI2268" i="8"/>
  <c r="AO2268" i="8" s="1"/>
  <c r="AI2267" i="8"/>
  <c r="AO2267" i="8" s="1"/>
  <c r="AI2266" i="8"/>
  <c r="AO2266" i="8" s="1"/>
  <c r="AO2265" i="8"/>
  <c r="AL2264" i="8"/>
  <c r="AO2264" i="8" s="1"/>
  <c r="AP2264" i="8" s="1"/>
  <c r="AI2263" i="8"/>
  <c r="AO2263" i="8" s="1"/>
  <c r="AP2263" i="8" s="1"/>
  <c r="AL2262" i="8"/>
  <c r="AO2262" i="8" s="1"/>
  <c r="AP2262" i="8" s="1"/>
  <c r="AO2261" i="8"/>
  <c r="AO2260" i="8"/>
  <c r="AQ2260" i="8" s="1"/>
  <c r="AO2259" i="8"/>
  <c r="AO2258" i="8"/>
  <c r="AP2258" i="8" s="1"/>
  <c r="AO2257" i="8"/>
  <c r="AQ2257" i="8" s="1"/>
  <c r="AO2256" i="8"/>
  <c r="AQ2256" i="8" s="1"/>
  <c r="AO2255" i="8"/>
  <c r="AO2254" i="8"/>
  <c r="AP2254" i="8" s="1"/>
  <c r="AO2253" i="8"/>
  <c r="AP2253" i="8" s="1"/>
  <c r="AL2252" i="8"/>
  <c r="AO2252" i="8" s="1"/>
  <c r="AQ2252" i="8" s="1"/>
  <c r="AL2251" i="8"/>
  <c r="AO2251" i="8" s="1"/>
  <c r="AQ2251" i="8" s="1"/>
  <c r="AL2250" i="8"/>
  <c r="AO2250" i="8" s="1"/>
  <c r="AQ2250" i="8" s="1"/>
  <c r="AL2249" i="8"/>
  <c r="AO2249" i="8" s="1"/>
  <c r="AQ2249" i="8" s="1"/>
  <c r="AO2248" i="8"/>
  <c r="AQ2248" i="8" s="1"/>
  <c r="AB2247" i="8"/>
  <c r="AO2247" i="8" s="1"/>
  <c r="AO2246" i="8"/>
  <c r="AO2245" i="8"/>
  <c r="AP2245" i="8" s="1"/>
  <c r="AL2244" i="8"/>
  <c r="AO2244" i="8" s="1"/>
  <c r="AQ2244" i="8" s="1"/>
  <c r="AO2243" i="8"/>
  <c r="AQ2243" i="8" s="1"/>
  <c r="AJ2242" i="8"/>
  <c r="AJ3422" i="8" s="1"/>
  <c r="AK2241" i="8"/>
  <c r="AO2241" i="8" s="1"/>
  <c r="AQ2241" i="8" s="1"/>
  <c r="AL2240" i="8"/>
  <c r="AO2240" i="8" s="1"/>
  <c r="AL2239" i="8"/>
  <c r="AO2239" i="8" s="1"/>
  <c r="AO2238" i="8"/>
  <c r="AQ2238" i="8" s="1"/>
  <c r="AO2237" i="8"/>
  <c r="AP2237" i="8" s="1"/>
  <c r="AO2236" i="8"/>
  <c r="AP2236" i="8" s="1"/>
  <c r="AO2235" i="8"/>
  <c r="AQ2235" i="8" s="1"/>
  <c r="AO2234" i="8"/>
  <c r="AQ2234" i="8" s="1"/>
  <c r="AO2233" i="8"/>
  <c r="AP2233" i="8" s="1"/>
  <c r="AO2232" i="8"/>
  <c r="AQ2232" i="8" s="1"/>
  <c r="AL2231" i="8"/>
  <c r="AO2231" i="8" s="1"/>
  <c r="AQ2231" i="8" s="1"/>
  <c r="AL2230" i="8"/>
  <c r="AO2230" i="8" s="1"/>
  <c r="AQ2230" i="8" s="1"/>
  <c r="AL2229" i="8"/>
  <c r="AO2229" i="8" s="1"/>
  <c r="AQ2229" i="8" s="1"/>
  <c r="AO2228" i="8"/>
  <c r="AQ2228" i="8" s="1"/>
  <c r="AO2227" i="8"/>
  <c r="AP2227" i="8" s="1"/>
  <c r="AO2226" i="8"/>
  <c r="AP2226" i="8" s="1"/>
  <c r="AO2225" i="8"/>
  <c r="AO2224" i="8"/>
  <c r="AQ2224" i="8" s="1"/>
  <c r="AL2223" i="8"/>
  <c r="AO2223" i="8" s="1"/>
  <c r="AL2222" i="8"/>
  <c r="AO2222" i="8" s="1"/>
  <c r="AO2221" i="8"/>
  <c r="AP2221" i="8" s="1"/>
  <c r="AO2220" i="8"/>
  <c r="AP2220" i="8" s="1"/>
  <c r="AB2219" i="8"/>
  <c r="AO2219" i="8" s="1"/>
  <c r="AQ2219" i="8" s="1"/>
  <c r="AO2218" i="8"/>
  <c r="AQ2218" i="8" s="1"/>
  <c r="AG2217" i="8"/>
  <c r="AO2217" i="8" s="1"/>
  <c r="AQ2217" i="8" s="1"/>
  <c r="AO2216" i="8"/>
  <c r="AQ2216" i="8" s="1"/>
  <c r="AG2215" i="8"/>
  <c r="AO2215" i="8" s="1"/>
  <c r="AO2214" i="8"/>
  <c r="AG2213" i="8"/>
  <c r="AO2213" i="8" s="1"/>
  <c r="AG2212" i="8"/>
  <c r="AO2212" i="8" s="1"/>
  <c r="AO2211" i="8"/>
  <c r="AQ2211" i="8" s="1"/>
  <c r="AG2210" i="8"/>
  <c r="AO2210" i="8" s="1"/>
  <c r="AQ2210" i="8" s="1"/>
  <c r="AC2209" i="8"/>
  <c r="AO2209" i="8" s="1"/>
  <c r="AQ2209" i="8" s="1"/>
  <c r="AO2208" i="8"/>
  <c r="AQ2208" i="8" s="1"/>
  <c r="AG2207" i="8"/>
  <c r="AO2207" i="8" s="1"/>
  <c r="AQ2207" i="8" s="1"/>
  <c r="AC2206" i="8"/>
  <c r="AO2206" i="8" s="1"/>
  <c r="AQ2206" i="8" s="1"/>
  <c r="AG2205" i="8"/>
  <c r="AO2205" i="8" s="1"/>
  <c r="AQ2205" i="8" s="1"/>
  <c r="AC2204" i="8"/>
  <c r="AB2204" i="8"/>
  <c r="AO2203" i="8"/>
  <c r="AG2202" i="8"/>
  <c r="AO2202" i="8" s="1"/>
  <c r="AQ2202" i="8" s="1"/>
  <c r="AL2201" i="8"/>
  <c r="AO2201" i="8" s="1"/>
  <c r="AQ2201" i="8" s="1"/>
  <c r="AG2200" i="8"/>
  <c r="AO2200" i="8" s="1"/>
  <c r="AQ2200" i="8" s="1"/>
  <c r="AI2199" i="8"/>
  <c r="AO2199" i="8" s="1"/>
  <c r="AQ2199" i="8" s="1"/>
  <c r="AG2198" i="8"/>
  <c r="AO2198" i="8" s="1"/>
  <c r="AQ2198" i="8" s="1"/>
  <c r="AO2197" i="8"/>
  <c r="AQ2197" i="8" s="1"/>
  <c r="AG2196" i="8"/>
  <c r="AO2196" i="8" s="1"/>
  <c r="AG2195" i="8"/>
  <c r="AO2195" i="8" s="1"/>
  <c r="AO2194" i="8"/>
  <c r="AP2194" i="8" s="1"/>
  <c r="AG2193" i="8"/>
  <c r="AO2193" i="8" s="1"/>
  <c r="AB2192" i="8"/>
  <c r="AG2191" i="8"/>
  <c r="AO2190" i="8"/>
  <c r="AO2189" i="8"/>
  <c r="AQ2189" i="8" s="1"/>
  <c r="AO2188" i="8"/>
  <c r="AQ2188" i="8" s="1"/>
  <c r="AO2187" i="8"/>
  <c r="AP2187" i="8" s="1"/>
  <c r="AO2186" i="8"/>
  <c r="AP2186" i="8" s="1"/>
  <c r="AO2185" i="8"/>
  <c r="AQ2185" i="8" s="1"/>
  <c r="AO2184" i="8"/>
  <c r="AQ2184" i="8" s="1"/>
  <c r="AO2183" i="8"/>
  <c r="AP2183" i="8" s="1"/>
  <c r="AO2182" i="8"/>
  <c r="AP2182" i="8" s="1"/>
  <c r="AO2390" i="8"/>
  <c r="AQ2390" i="8" s="1"/>
  <c r="AO2326" i="8"/>
  <c r="AP2326" i="8" s="1"/>
  <c r="AO2325" i="8"/>
  <c r="AP2325" i="8" s="1"/>
  <c r="AO2324" i="8"/>
  <c r="AQ2324" i="8" s="1"/>
  <c r="AO2321" i="8"/>
  <c r="AQ2321" i="8" s="1"/>
  <c r="AO2320" i="8"/>
  <c r="AP2320" i="8" s="1"/>
  <c r="AQ3137" i="8" l="1"/>
  <c r="AP3204" i="8"/>
  <c r="AQ3321" i="8"/>
  <c r="AQ3244" i="8"/>
  <c r="AQ3362" i="8"/>
  <c r="AP3131" i="8"/>
  <c r="AQ3269" i="8"/>
  <c r="AQ3345" i="8"/>
  <c r="AQ3375" i="8"/>
  <c r="AQ3394" i="8"/>
  <c r="AQ3187" i="8"/>
  <c r="AP3194" i="8"/>
  <c r="AP3260" i="8"/>
  <c r="AQ3273" i="8"/>
  <c r="AP3276" i="8"/>
  <c r="AQ3317" i="8"/>
  <c r="AQ3331" i="8"/>
  <c r="AQ3115" i="8"/>
  <c r="AQ3225" i="8"/>
  <c r="AQ3359" i="8"/>
  <c r="AQ3364" i="8"/>
  <c r="AQ3407" i="8"/>
  <c r="AQ2996" i="8"/>
  <c r="AQ3143" i="8"/>
  <c r="AP3146" i="8"/>
  <c r="AQ3156" i="8"/>
  <c r="AP3159" i="8"/>
  <c r="AQ3208" i="8"/>
  <c r="AP3252" i="8"/>
  <c r="AQ3302" i="8"/>
  <c r="AQ3326" i="8"/>
  <c r="AQ3336" i="8"/>
  <c r="AA3422" i="8"/>
  <c r="AP3064" i="8"/>
  <c r="AQ3064" i="8"/>
  <c r="AP3125" i="8"/>
  <c r="AQ3125" i="8"/>
  <c r="AP3188" i="8"/>
  <c r="AQ3188" i="8"/>
  <c r="AP2907" i="8"/>
  <c r="AQ2907" i="8"/>
  <c r="AQ3103" i="8"/>
  <c r="AP3103" i="8"/>
  <c r="AQ3147" i="8"/>
  <c r="AP3147" i="8"/>
  <c r="AQ3150" i="8"/>
  <c r="AP3150" i="8"/>
  <c r="AP3189" i="8"/>
  <c r="AQ3189" i="8"/>
  <c r="AP3141" i="8"/>
  <c r="AQ3141" i="8"/>
  <c r="AP2904" i="8"/>
  <c r="AQ2904" i="8"/>
  <c r="AQ2940" i="8"/>
  <c r="AP2940" i="8"/>
  <c r="AQ3140" i="8"/>
  <c r="AP3140" i="8"/>
  <c r="AQ3148" i="8"/>
  <c r="AP3148" i="8"/>
  <c r="AQ3068" i="8"/>
  <c r="AP3068" i="8"/>
  <c r="AQ3264" i="8"/>
  <c r="AP3264" i="8"/>
  <c r="AP3155" i="8"/>
  <c r="AQ3165" i="8"/>
  <c r="AQ3177" i="8"/>
  <c r="AP3207" i="8"/>
  <c r="AQ3220" i="8"/>
  <c r="AP3239" i="8"/>
  <c r="AP3272" i="8"/>
  <c r="AP3284" i="8"/>
  <c r="AQ3289" i="8"/>
  <c r="AP3292" i="8"/>
  <c r="AP3301" i="8"/>
  <c r="AQ3341" i="8"/>
  <c r="AQ3350" i="8"/>
  <c r="AQ3355" i="8"/>
  <c r="AP3358" i="8"/>
  <c r="AQ3369" i="8"/>
  <c r="AP3374" i="8"/>
  <c r="AP3379" i="8"/>
  <c r="AQ3381" i="8"/>
  <c r="AP3388" i="8"/>
  <c r="AQ3390" i="8"/>
  <c r="AP3393" i="8"/>
  <c r="AQ3399" i="8"/>
  <c r="AQ3412" i="8"/>
  <c r="AQ3420" i="8"/>
  <c r="AQ3024" i="8"/>
  <c r="AP3029" i="8"/>
  <c r="AQ3040" i="8"/>
  <c r="AP3107" i="8"/>
  <c r="AP3124" i="8"/>
  <c r="AP3136" i="8"/>
  <c r="AP3151" i="8"/>
  <c r="AQ3168" i="8"/>
  <c r="AP3193" i="8"/>
  <c r="AQ3195" i="8"/>
  <c r="AP3203" i="8"/>
  <c r="AQ3215" i="8"/>
  <c r="AP3218" i="8"/>
  <c r="AP3237" i="8"/>
  <c r="AP3248" i="8"/>
  <c r="AP3256" i="8"/>
  <c r="AQ3265" i="8"/>
  <c r="AP3268" i="8"/>
  <c r="AP3277" i="8"/>
  <c r="AP3142" i="8"/>
  <c r="AQ3327" i="8"/>
  <c r="AQ3337" i="8"/>
  <c r="AP3340" i="8"/>
  <c r="AQ3346" i="8"/>
  <c r="AP3349" i="8"/>
  <c r="AP3354" i="8"/>
  <c r="AP3368" i="8"/>
  <c r="AP3398" i="8"/>
  <c r="AQ3408" i="8"/>
  <c r="AP3411" i="8"/>
  <c r="AP3149" i="8"/>
  <c r="AP3180" i="8"/>
  <c r="AP3197" i="8"/>
  <c r="AQ3199" i="8"/>
  <c r="AQ3281" i="8"/>
  <c r="AQ2993" i="8"/>
  <c r="AO3011" i="8"/>
  <c r="AQ3011" i="8" s="1"/>
  <c r="AP3093" i="8"/>
  <c r="AP3111" i="8"/>
  <c r="AP3154" i="8"/>
  <c r="AP3164" i="8"/>
  <c r="AQ3172" i="8"/>
  <c r="AQ3181" i="8"/>
  <c r="AQ3191" i="8"/>
  <c r="AP3198" i="8"/>
  <c r="AQ3210" i="8"/>
  <c r="AQ3213" i="8"/>
  <c r="AQ3221" i="8"/>
  <c r="AP3235" i="8"/>
  <c r="AQ3240" i="8"/>
  <c r="AP3280" i="8"/>
  <c r="AQ3285" i="8"/>
  <c r="AP3288" i="8"/>
  <c r="AQ3293" i="8"/>
  <c r="AP3296" i="8"/>
  <c r="AQ3318" i="8"/>
  <c r="AQ3323" i="8"/>
  <c r="AQ3333" i="8"/>
  <c r="AO3373" i="8"/>
  <c r="AQ3373" i="8" s="1"/>
  <c r="AP3306" i="8"/>
  <c r="AQ3306" i="8"/>
  <c r="AP3314" i="8"/>
  <c r="AQ3314" i="8"/>
  <c r="AP3303" i="8"/>
  <c r="AQ3303" i="8"/>
  <c r="AP3311" i="8"/>
  <c r="AQ3311" i="8"/>
  <c r="AP3322" i="8"/>
  <c r="AQ3322" i="8"/>
  <c r="AP3403" i="8"/>
  <c r="AQ3403" i="8"/>
  <c r="AP3308" i="8"/>
  <c r="AQ3308" i="8"/>
  <c r="AP3312" i="8"/>
  <c r="AQ3312" i="8"/>
  <c r="AP3363" i="8"/>
  <c r="AQ3363" i="8"/>
  <c r="AP3382" i="8"/>
  <c r="AQ3382" i="8"/>
  <c r="AQ3386" i="8"/>
  <c r="AP3386" i="8"/>
  <c r="AP3400" i="8"/>
  <c r="AQ3400" i="8"/>
  <c r="AQ3418" i="8"/>
  <c r="AP3418" i="8"/>
  <c r="AP3310" i="8"/>
  <c r="AQ3310" i="8"/>
  <c r="AP3402" i="8"/>
  <c r="AQ3402" i="8"/>
  <c r="AP3307" i="8"/>
  <c r="AQ3307" i="8"/>
  <c r="AQ3332" i="8"/>
  <c r="AP3332" i="8"/>
  <c r="AP3376" i="8"/>
  <c r="AQ3376" i="8"/>
  <c r="AQ3385" i="8"/>
  <c r="AP3385" i="8"/>
  <c r="AP3309" i="8"/>
  <c r="AQ3309" i="8"/>
  <c r="AP3313" i="8"/>
  <c r="AQ3313" i="8"/>
  <c r="AQ3352" i="8"/>
  <c r="AP3352" i="8"/>
  <c r="AP3380" i="8"/>
  <c r="AQ3380" i="8"/>
  <c r="AP3383" i="8"/>
  <c r="AQ3383" i="8"/>
  <c r="AP3389" i="8"/>
  <c r="AQ3389" i="8"/>
  <c r="AP3401" i="8"/>
  <c r="AQ3401" i="8"/>
  <c r="AQ3414" i="8"/>
  <c r="AP3414" i="8"/>
  <c r="AQ3419" i="8"/>
  <c r="AP3419" i="8"/>
  <c r="AP3316" i="8"/>
  <c r="AP3320" i="8"/>
  <c r="AP3325" i="8"/>
  <c r="AO3329" i="8"/>
  <c r="AP3330" i="8"/>
  <c r="AP3335" i="8"/>
  <c r="AP3339" i="8"/>
  <c r="AP3343" i="8"/>
  <c r="AP3344" i="8"/>
  <c r="AP3348" i="8"/>
  <c r="AP3353" i="8"/>
  <c r="AP3357" i="8"/>
  <c r="AP3361" i="8"/>
  <c r="AP3366" i="8"/>
  <c r="AP3367" i="8"/>
  <c r="AP3371" i="8"/>
  <c r="AP3372" i="8"/>
  <c r="AP3378" i="8"/>
  <c r="AP3387" i="8"/>
  <c r="AP3392" i="8"/>
  <c r="AP3396" i="8"/>
  <c r="AP3397" i="8"/>
  <c r="AP3405" i="8"/>
  <c r="AP3406" i="8"/>
  <c r="AP3410" i="8"/>
  <c r="AP3415" i="8"/>
  <c r="AP3416" i="8"/>
  <c r="AO3304" i="8"/>
  <c r="AO3305" i="8"/>
  <c r="AP3315" i="8"/>
  <c r="AP3319" i="8"/>
  <c r="AP3324" i="8"/>
  <c r="AP3328" i="8"/>
  <c r="AP3334" i="8"/>
  <c r="AP3338" i="8"/>
  <c r="AP3342" i="8"/>
  <c r="AP3347" i="8"/>
  <c r="AP3351" i="8"/>
  <c r="AP3356" i="8"/>
  <c r="AP3360" i="8"/>
  <c r="AP3365" i="8"/>
  <c r="AP3370" i="8"/>
  <c r="AP3377" i="8"/>
  <c r="AP3384" i="8"/>
  <c r="AP3391" i="8"/>
  <c r="AP3395" i="8"/>
  <c r="AP3404" i="8"/>
  <c r="AP3409" i="8"/>
  <c r="AP3413" i="8"/>
  <c r="AQ3118" i="8"/>
  <c r="AP3118" i="8"/>
  <c r="AQ3119" i="8"/>
  <c r="AP3119" i="8"/>
  <c r="AQ3182" i="8"/>
  <c r="AP3182" i="8"/>
  <c r="AQ3117" i="8"/>
  <c r="AP3117" i="8"/>
  <c r="AQ3116" i="8"/>
  <c r="AP3116" i="8"/>
  <c r="AP2886" i="8"/>
  <c r="AQ2989" i="8"/>
  <c r="AP2992" i="8"/>
  <c r="AP3038" i="8"/>
  <c r="AQ3069" i="8"/>
  <c r="AP3072" i="8"/>
  <c r="AP3091" i="8"/>
  <c r="AP3092" i="8"/>
  <c r="AP3102" i="8"/>
  <c r="AP3106" i="8"/>
  <c r="AP3110" i="8"/>
  <c r="AP3120" i="8"/>
  <c r="AP3130" i="8"/>
  <c r="AQ3173" i="8"/>
  <c r="AP3176" i="8"/>
  <c r="AQ3183" i="8"/>
  <c r="AQ3211" i="8"/>
  <c r="AP3219" i="8"/>
  <c r="AQ3223" i="8"/>
  <c r="AP3236" i="8"/>
  <c r="AP3241" i="8"/>
  <c r="AP3243" i="8"/>
  <c r="AP3247" i="8"/>
  <c r="AP3251" i="8"/>
  <c r="AP3255" i="8"/>
  <c r="AP3259" i="8"/>
  <c r="AP3263" i="8"/>
  <c r="AQ3266" i="8"/>
  <c r="AQ3270" i="8"/>
  <c r="AQ3274" i="8"/>
  <c r="AQ3278" i="8"/>
  <c r="AQ3282" i="8"/>
  <c r="AQ3286" i="8"/>
  <c r="AQ3290" i="8"/>
  <c r="AQ3294" i="8"/>
  <c r="AQ3298" i="8"/>
  <c r="AQ3160" i="8"/>
  <c r="AQ3169" i="8"/>
  <c r="AQ3245" i="8"/>
  <c r="AQ3249" i="8"/>
  <c r="AQ3253" i="8"/>
  <c r="AQ3257" i="8"/>
  <c r="AQ3261" i="8"/>
  <c r="AP3297" i="8"/>
  <c r="AQ3122" i="8"/>
  <c r="AP3122" i="8"/>
  <c r="AP3126" i="8"/>
  <c r="AQ3126" i="8"/>
  <c r="AQ3128" i="8"/>
  <c r="AP3128" i="8"/>
  <c r="AP3132" i="8"/>
  <c r="AQ3132" i="8"/>
  <c r="AQ3179" i="8"/>
  <c r="AP3179" i="8"/>
  <c r="AQ3157" i="8"/>
  <c r="AP3157" i="8"/>
  <c r="AQ3161" i="8"/>
  <c r="AP3161" i="8"/>
  <c r="AQ3226" i="8"/>
  <c r="AP3226" i="8"/>
  <c r="AQ3234" i="8"/>
  <c r="AP3234" i="8"/>
  <c r="AP3095" i="8"/>
  <c r="AP3097" i="8"/>
  <c r="AP3099" i="8"/>
  <c r="AP3100" i="8"/>
  <c r="AP3105" i="8"/>
  <c r="AP3109" i="8"/>
  <c r="AP3123" i="8"/>
  <c r="AP3134" i="8"/>
  <c r="AP3135" i="8"/>
  <c r="AP3139" i="8"/>
  <c r="AP3163" i="8"/>
  <c r="AQ3184" i="8"/>
  <c r="AP3184" i="8"/>
  <c r="AQ3222" i="8"/>
  <c r="AQ3227" i="8"/>
  <c r="AP3227" i="8"/>
  <c r="AQ3231" i="8"/>
  <c r="AP3231" i="8"/>
  <c r="AQ3238" i="8"/>
  <c r="AP3238" i="8"/>
  <c r="AQ3267" i="8"/>
  <c r="AP3267" i="8"/>
  <c r="AQ3271" i="8"/>
  <c r="AP3271" i="8"/>
  <c r="AQ3275" i="8"/>
  <c r="AP3275" i="8"/>
  <c r="AQ3279" i="8"/>
  <c r="AP3279" i="8"/>
  <c r="AQ3283" i="8"/>
  <c r="AP3283" i="8"/>
  <c r="AQ3287" i="8"/>
  <c r="AP3287" i="8"/>
  <c r="AQ3291" i="8"/>
  <c r="AP3291" i="8"/>
  <c r="AQ3295" i="8"/>
  <c r="AP3295" i="8"/>
  <c r="AQ3299" i="8"/>
  <c r="AP3299" i="8"/>
  <c r="AP3094" i="8"/>
  <c r="AQ3096" i="8"/>
  <c r="AQ3098" i="8"/>
  <c r="AQ3101" i="8"/>
  <c r="AP3104" i="8"/>
  <c r="AP3108" i="8"/>
  <c r="AO3112" i="8"/>
  <c r="AP3113" i="8"/>
  <c r="AQ3114" i="8"/>
  <c r="AP3121" i="8"/>
  <c r="AP3127" i="8"/>
  <c r="AQ3129" i="8"/>
  <c r="AP3133" i="8"/>
  <c r="AP3138" i="8"/>
  <c r="AP3144" i="8"/>
  <c r="AQ3145" i="8"/>
  <c r="AP3152" i="8"/>
  <c r="AQ3153" i="8"/>
  <c r="AP3158" i="8"/>
  <c r="AP3162" i="8"/>
  <c r="AP3190" i="8"/>
  <c r="AQ3192" i="8"/>
  <c r="AP3192" i="8"/>
  <c r="AQ3196" i="8"/>
  <c r="AP3196" i="8"/>
  <c r="AP3202" i="8"/>
  <c r="AP3205" i="8"/>
  <c r="AQ3206" i="8"/>
  <c r="AP3209" i="8"/>
  <c r="AQ3217" i="8"/>
  <c r="AP3217" i="8"/>
  <c r="AQ3228" i="8"/>
  <c r="AP3228" i="8"/>
  <c r="AQ3232" i="8"/>
  <c r="AP3232" i="8"/>
  <c r="AQ3242" i="8"/>
  <c r="AP3242" i="8"/>
  <c r="AQ3246" i="8"/>
  <c r="AP3246" i="8"/>
  <c r="AQ3250" i="8"/>
  <c r="AP3250" i="8"/>
  <c r="AQ3254" i="8"/>
  <c r="AP3254" i="8"/>
  <c r="AQ3258" i="8"/>
  <c r="AP3258" i="8"/>
  <c r="AQ3262" i="8"/>
  <c r="AP3262" i="8"/>
  <c r="AQ3201" i="8"/>
  <c r="AP3201" i="8"/>
  <c r="AQ3230" i="8"/>
  <c r="AP3230" i="8"/>
  <c r="AP3167" i="8"/>
  <c r="AP3171" i="8"/>
  <c r="AP3175" i="8"/>
  <c r="AP3186" i="8"/>
  <c r="AQ3212" i="8"/>
  <c r="AQ3214" i="8"/>
  <c r="AQ3216" i="8"/>
  <c r="AQ3224" i="8"/>
  <c r="AQ3166" i="8"/>
  <c r="AP3166" i="8"/>
  <c r="AQ3170" i="8"/>
  <c r="AP3170" i="8"/>
  <c r="AQ3174" i="8"/>
  <c r="AP3174" i="8"/>
  <c r="AQ3178" i="8"/>
  <c r="AP3178" i="8"/>
  <c r="AQ3185" i="8"/>
  <c r="AP3185" i="8"/>
  <c r="AQ3200" i="8"/>
  <c r="AQ3229" i="8"/>
  <c r="AP3229" i="8"/>
  <c r="AQ3233" i="8"/>
  <c r="AP3233" i="8"/>
  <c r="AQ3300" i="8"/>
  <c r="AP3300" i="8"/>
  <c r="AP3066" i="8"/>
  <c r="AQ2922" i="8"/>
  <c r="AP2935" i="8"/>
  <c r="AP2974" i="8"/>
  <c r="AQ3058" i="8"/>
  <c r="AP2950" i="8"/>
  <c r="AP2921" i="8"/>
  <c r="AQ2945" i="8"/>
  <c r="AP2948" i="8"/>
  <c r="AQ3026" i="8"/>
  <c r="AP3026" i="8"/>
  <c r="AP3025" i="8"/>
  <c r="AQ2884" i="8"/>
  <c r="AQ2893" i="8"/>
  <c r="AP2896" i="8"/>
  <c r="AQ2911" i="8"/>
  <c r="AQ2941" i="8"/>
  <c r="AP2944" i="8"/>
  <c r="AP3012" i="8"/>
  <c r="AQ3014" i="8"/>
  <c r="AP3017" i="8"/>
  <c r="AP3023" i="8"/>
  <c r="AQ3059" i="8"/>
  <c r="AQ3005" i="8"/>
  <c r="AQ3045" i="8"/>
  <c r="AQ2951" i="8"/>
  <c r="AP2952" i="8"/>
  <c r="AQ2966" i="8"/>
  <c r="AP2966" i="8"/>
  <c r="AP2895" i="8"/>
  <c r="AQ2895" i="8"/>
  <c r="AQ2982" i="8"/>
  <c r="AP2982" i="8"/>
  <c r="AP2894" i="8"/>
  <c r="AQ2894" i="8"/>
  <c r="AQ2970" i="8"/>
  <c r="AP2970" i="8"/>
  <c r="AP2883" i="8"/>
  <c r="AP2978" i="8"/>
  <c r="AP2988" i="8"/>
  <c r="AP3004" i="8"/>
  <c r="AQ3010" i="8"/>
  <c r="AP3011" i="8"/>
  <c r="AP3044" i="8"/>
  <c r="AP3063" i="8"/>
  <c r="AP2881" i="8"/>
  <c r="AP2887" i="8"/>
  <c r="AP2908" i="8"/>
  <c r="AP2916" i="8"/>
  <c r="AQ2917" i="8"/>
  <c r="AP2927" i="8"/>
  <c r="AQ2929" i="8"/>
  <c r="AQ2936" i="8"/>
  <c r="AP2939" i="8"/>
  <c r="AP2943" i="8"/>
  <c r="AP2947" i="8"/>
  <c r="AP2984" i="8"/>
  <c r="AQ2997" i="8"/>
  <c r="AP3000" i="8"/>
  <c r="AP3009" i="8"/>
  <c r="AQ3018" i="8"/>
  <c r="AQ3030" i="8"/>
  <c r="AP3033" i="8"/>
  <c r="AP3049" i="8"/>
  <c r="AQ3073" i="8"/>
  <c r="AP3076" i="8"/>
  <c r="AQ3078" i="8"/>
  <c r="AP2919" i="8"/>
  <c r="AQ2985" i="8"/>
  <c r="AQ3001" i="8"/>
  <c r="AQ3034" i="8"/>
  <c r="AQ3050" i="8"/>
  <c r="AQ3086" i="8"/>
  <c r="AQ2932" i="8"/>
  <c r="AP2932" i="8"/>
  <c r="AQ2902" i="8"/>
  <c r="AP2902" i="8"/>
  <c r="AP2923" i="8"/>
  <c r="AQ2923" i="8"/>
  <c r="AQ2938" i="8"/>
  <c r="AP2938" i="8"/>
  <c r="AQ2901" i="8"/>
  <c r="AP2901" i="8"/>
  <c r="AP2914" i="8"/>
  <c r="AQ2914" i="8"/>
  <c r="AQ2924" i="8"/>
  <c r="AP2924" i="8"/>
  <c r="AQ2931" i="8"/>
  <c r="AP2931" i="8"/>
  <c r="AQ2933" i="8"/>
  <c r="AP2933" i="8"/>
  <c r="AQ2956" i="8"/>
  <c r="AP2956" i="8"/>
  <c r="AQ2960" i="8"/>
  <c r="AP2960" i="8"/>
  <c r="AQ2980" i="8"/>
  <c r="AP2980" i="8"/>
  <c r="AQ2994" i="8"/>
  <c r="AP2994" i="8"/>
  <c r="AQ3008" i="8"/>
  <c r="AP3008" i="8"/>
  <c r="AQ3057" i="8"/>
  <c r="AP3057" i="8"/>
  <c r="AQ3067" i="8"/>
  <c r="AP3067" i="8"/>
  <c r="AP2880" i="8"/>
  <c r="AO2899" i="8"/>
  <c r="AP2900" i="8"/>
  <c r="AP2903" i="8"/>
  <c r="AP2906" i="8"/>
  <c r="AQ2990" i="8"/>
  <c r="AP2990" i="8"/>
  <c r="AQ3015" i="8"/>
  <c r="AP3015" i="8"/>
  <c r="AQ3052" i="8"/>
  <c r="AP3052" i="8"/>
  <c r="AQ3084" i="8"/>
  <c r="AQ2909" i="8"/>
  <c r="AQ2912" i="8"/>
  <c r="AP2915" i="8"/>
  <c r="AP2920" i="8"/>
  <c r="AP2925" i="8"/>
  <c r="AQ2930" i="8"/>
  <c r="AP2930" i="8"/>
  <c r="AP2934" i="8"/>
  <c r="AQ2942" i="8"/>
  <c r="AP2942" i="8"/>
  <c r="AQ2946" i="8"/>
  <c r="AP2946" i="8"/>
  <c r="AQ2953" i="8"/>
  <c r="AP2953" i="8"/>
  <c r="AQ2955" i="8"/>
  <c r="AP2955" i="8"/>
  <c r="AQ2957" i="8"/>
  <c r="AP2957" i="8"/>
  <c r="AQ2959" i="8"/>
  <c r="AP2959" i="8"/>
  <c r="AQ2961" i="8"/>
  <c r="AP2961" i="8"/>
  <c r="AQ2963" i="8"/>
  <c r="AP2963" i="8"/>
  <c r="AQ2968" i="8"/>
  <c r="AP2968" i="8"/>
  <c r="AQ2976" i="8"/>
  <c r="AP2976" i="8"/>
  <c r="AQ2986" i="8"/>
  <c r="AP2986" i="8"/>
  <c r="AQ3002" i="8"/>
  <c r="AP3002" i="8"/>
  <c r="AP3013" i="8"/>
  <c r="AQ3032" i="8"/>
  <c r="AP3032" i="8"/>
  <c r="AQ3082" i="8"/>
  <c r="AQ3090" i="8"/>
  <c r="AQ2937" i="8"/>
  <c r="AP2937" i="8"/>
  <c r="AQ2954" i="8"/>
  <c r="AP2954" i="8"/>
  <c r="AQ2958" i="8"/>
  <c r="AP2958" i="8"/>
  <c r="AQ2962" i="8"/>
  <c r="AP2962" i="8"/>
  <c r="AQ2964" i="8"/>
  <c r="AP2964" i="8"/>
  <c r="AQ2972" i="8"/>
  <c r="AP2972" i="8"/>
  <c r="AP3019" i="8"/>
  <c r="AQ3019" i="8"/>
  <c r="AQ3047" i="8"/>
  <c r="AP3047" i="8"/>
  <c r="AQ3055" i="8"/>
  <c r="AP3055" i="8"/>
  <c r="AQ2889" i="8"/>
  <c r="AP2892" i="8"/>
  <c r="AQ2897" i="8"/>
  <c r="AQ2913" i="8"/>
  <c r="AP2926" i="8"/>
  <c r="AP2949" i="8"/>
  <c r="AP2969" i="8"/>
  <c r="AP2977" i="8"/>
  <c r="AQ3006" i="8"/>
  <c r="AP3006" i="8"/>
  <c r="AQ3036" i="8"/>
  <c r="AP3036" i="8"/>
  <c r="AQ3043" i="8"/>
  <c r="AP3043" i="8"/>
  <c r="AQ3062" i="8"/>
  <c r="AP3062" i="8"/>
  <c r="AQ2880" i="8"/>
  <c r="AP2882" i="8"/>
  <c r="AP2885" i="8"/>
  <c r="AQ2888" i="8"/>
  <c r="AP2891" i="8"/>
  <c r="AQ2918" i="8"/>
  <c r="AP2928" i="8"/>
  <c r="AO2890" i="8"/>
  <c r="AP2898" i="8"/>
  <c r="AQ2905" i="8"/>
  <c r="AO2910" i="8"/>
  <c r="AP2965" i="8"/>
  <c r="AP2973" i="8"/>
  <c r="AP2981" i="8"/>
  <c r="AQ2998" i="8"/>
  <c r="AP2998" i="8"/>
  <c r="AQ3021" i="8"/>
  <c r="AP3021" i="8"/>
  <c r="AQ3080" i="8"/>
  <c r="AQ3088" i="8"/>
  <c r="AQ3028" i="8"/>
  <c r="AP3028" i="8"/>
  <c r="AQ3037" i="8"/>
  <c r="AP3037" i="8"/>
  <c r="AQ3048" i="8"/>
  <c r="AP3048" i="8"/>
  <c r="AQ3053" i="8"/>
  <c r="AP3053" i="8"/>
  <c r="AQ3056" i="8"/>
  <c r="AP3056" i="8"/>
  <c r="AQ3075" i="8"/>
  <c r="AP3075" i="8"/>
  <c r="AP2967" i="8"/>
  <c r="AP2971" i="8"/>
  <c r="AP2975" i="8"/>
  <c r="AP2979" i="8"/>
  <c r="AP2983" i="8"/>
  <c r="AP2987" i="8"/>
  <c r="AP2991" i="8"/>
  <c r="AP2995" i="8"/>
  <c r="AP2999" i="8"/>
  <c r="AP3003" i="8"/>
  <c r="AP3007" i="8"/>
  <c r="AP3016" i="8"/>
  <c r="AO3020" i="8"/>
  <c r="AP3022" i="8"/>
  <c r="AP3039" i="8"/>
  <c r="AQ3042" i="8"/>
  <c r="AP3042" i="8"/>
  <c r="AQ3054" i="8"/>
  <c r="AP3054" i="8"/>
  <c r="AQ3061" i="8"/>
  <c r="AP3061" i="8"/>
  <c r="AQ3071" i="8"/>
  <c r="AP3071" i="8"/>
  <c r="AP3077" i="8"/>
  <c r="AQ3079" i="8"/>
  <c r="AQ3081" i="8"/>
  <c r="AQ3083" i="8"/>
  <c r="AQ3085" i="8"/>
  <c r="AQ3087" i="8"/>
  <c r="AQ3089" i="8"/>
  <c r="AP3027" i="8"/>
  <c r="AP3031" i="8"/>
  <c r="AP3035" i="8"/>
  <c r="AP3041" i="8"/>
  <c r="AP3046" i="8"/>
  <c r="AP3051" i="8"/>
  <c r="AP3060" i="8"/>
  <c r="AP3065" i="8"/>
  <c r="AP3070" i="8"/>
  <c r="AP3074" i="8"/>
  <c r="AO2204" i="8"/>
  <c r="AQ2204" i="8" s="1"/>
  <c r="AO2242" i="8"/>
  <c r="AQ2242" i="8" s="1"/>
  <c r="AP2381" i="8"/>
  <c r="AP2490" i="8"/>
  <c r="AQ2683" i="8"/>
  <c r="AQ2782" i="8"/>
  <c r="AP2785" i="8"/>
  <c r="AQ2220" i="8"/>
  <c r="AP2277" i="8"/>
  <c r="AQ2280" i="8"/>
  <c r="AP2523" i="8"/>
  <c r="AQ2716" i="8"/>
  <c r="AQ2870" i="8"/>
  <c r="AQ2365" i="8"/>
  <c r="AQ2308" i="8"/>
  <c r="AQ2772" i="8"/>
  <c r="AQ2838" i="8"/>
  <c r="AP2692" i="8"/>
  <c r="AQ2233" i="8"/>
  <c r="AP2347" i="8"/>
  <c r="AP2539" i="8"/>
  <c r="AP2541" i="8"/>
  <c r="AQ2740" i="8"/>
  <c r="AQ2805" i="8"/>
  <c r="AQ2854" i="8"/>
  <c r="AP2208" i="8"/>
  <c r="AQ2254" i="8"/>
  <c r="AQ2822" i="8"/>
  <c r="AQ2182" i="8"/>
  <c r="AQ2387" i="8"/>
  <c r="AQ2405" i="8"/>
  <c r="AP2442" i="8"/>
  <c r="AP2517" i="8"/>
  <c r="AP2613" i="8"/>
  <c r="AQ2625" i="8"/>
  <c r="AP2714" i="8"/>
  <c r="AQ2756" i="8"/>
  <c r="AQ2789" i="8"/>
  <c r="AQ2826" i="8"/>
  <c r="AQ2858" i="8"/>
  <c r="AP2235" i="8"/>
  <c r="AP2256" i="8"/>
  <c r="AQ2287" i="8"/>
  <c r="AQ2362" i="8"/>
  <c r="AP2504" i="8"/>
  <c r="AQ2572" i="8"/>
  <c r="AQ2656" i="8"/>
  <c r="AP2659" i="8"/>
  <c r="AQ2705" i="8"/>
  <c r="AP2708" i="8"/>
  <c r="AQ2724" i="8"/>
  <c r="AQ2842" i="8"/>
  <c r="AQ2874" i="8"/>
  <c r="AP2261" i="8"/>
  <c r="AQ2261" i="8"/>
  <c r="AP2451" i="8"/>
  <c r="AQ2451" i="8"/>
  <c r="AP2462" i="8"/>
  <c r="AQ2462" i="8"/>
  <c r="AP2639" i="8"/>
  <c r="AQ2639" i="8"/>
  <c r="AQ2326" i="8"/>
  <c r="AQ2225" i="8"/>
  <c r="AP2225" i="8"/>
  <c r="AQ2385" i="8"/>
  <c r="AP2385" i="8"/>
  <c r="AP2454" i="8"/>
  <c r="AQ2454" i="8"/>
  <c r="AP2463" i="8"/>
  <c r="AQ2463" i="8"/>
  <c r="AP2292" i="8"/>
  <c r="AQ2292" i="8"/>
  <c r="AP2343" i="8"/>
  <c r="AP2404" i="8"/>
  <c r="AQ2404" i="8"/>
  <c r="AP2449" i="8"/>
  <c r="AQ2449" i="8"/>
  <c r="AQ2452" i="8"/>
  <c r="AP2455" i="8"/>
  <c r="AQ2455" i="8"/>
  <c r="AQ2480" i="8"/>
  <c r="AP2480" i="8"/>
  <c r="AQ2768" i="8"/>
  <c r="AP2768" i="8"/>
  <c r="AQ2342" i="8"/>
  <c r="AP2342" i="8"/>
  <c r="AP2396" i="8"/>
  <c r="AQ2396" i="8"/>
  <c r="AQ2679" i="8"/>
  <c r="AP2679" i="8"/>
  <c r="AQ2186" i="8"/>
  <c r="AP2190" i="8"/>
  <c r="AQ2190" i="8"/>
  <c r="AQ2263" i="8"/>
  <c r="AQ2278" i="8"/>
  <c r="AP2278" i="8"/>
  <c r="AP2457" i="8"/>
  <c r="AQ2457" i="8"/>
  <c r="AQ2460" i="8"/>
  <c r="AP2491" i="8"/>
  <c r="AQ2491" i="8"/>
  <c r="AP2530" i="8"/>
  <c r="AQ2530" i="8"/>
  <c r="AP2676" i="8"/>
  <c r="AQ2676" i="8"/>
  <c r="AQ2203" i="8"/>
  <c r="AP2203" i="8"/>
  <c r="AQ2262" i="8"/>
  <c r="AP2430" i="8"/>
  <c r="AQ2430" i="8"/>
  <c r="AP2456" i="8"/>
  <c r="AQ2456" i="8"/>
  <c r="AP2459" i="8"/>
  <c r="AQ2459" i="8"/>
  <c r="AP2549" i="8"/>
  <c r="AQ2549" i="8"/>
  <c r="AQ2696" i="8"/>
  <c r="AP2696" i="8"/>
  <c r="AP2765" i="8"/>
  <c r="AQ2765" i="8"/>
  <c r="AP2379" i="8"/>
  <c r="AQ2379" i="8"/>
  <c r="AP2488" i="8"/>
  <c r="AQ2496" i="8"/>
  <c r="AP2496" i="8"/>
  <c r="AQ2647" i="8"/>
  <c r="AP2712" i="8"/>
  <c r="AP2720" i="8"/>
  <c r="AP2722" i="8"/>
  <c r="AQ2749" i="8"/>
  <c r="AP2752" i="8"/>
  <c r="AQ2801" i="8"/>
  <c r="AP2801" i="8"/>
  <c r="AP2546" i="8"/>
  <c r="AQ2546" i="8"/>
  <c r="AP2214" i="8"/>
  <c r="AQ2214" i="8"/>
  <c r="AP2265" i="8"/>
  <c r="AQ2265" i="8"/>
  <c r="AQ2315" i="8"/>
  <c r="AQ2353" i="8"/>
  <c r="AP2361" i="8"/>
  <c r="AP2394" i="8"/>
  <c r="AQ2394" i="8"/>
  <c r="AQ2403" i="8"/>
  <c r="AQ2406" i="8"/>
  <c r="AP2416" i="8"/>
  <c r="AQ2448" i="8"/>
  <c r="AP2469" i="8"/>
  <c r="AQ2552" i="8"/>
  <c r="AQ2573" i="8"/>
  <c r="AP2637" i="8"/>
  <c r="AP2652" i="8"/>
  <c r="AP2701" i="8"/>
  <c r="AQ2701" i="8"/>
  <c r="AQ2704" i="8"/>
  <c r="AQ2709" i="8"/>
  <c r="AP2211" i="8"/>
  <c r="AQ2227" i="8"/>
  <c r="AP2285" i="8"/>
  <c r="AP2313" i="8"/>
  <c r="AQ2313" i="8"/>
  <c r="AQ2336" i="8"/>
  <c r="AP2351" i="8"/>
  <c r="AP2424" i="8"/>
  <c r="AQ2429" i="8"/>
  <c r="AP2438" i="8"/>
  <c r="AQ2450" i="8"/>
  <c r="AQ2453" i="8"/>
  <c r="AQ2458" i="8"/>
  <c r="AQ2461" i="8"/>
  <c r="AP2566" i="8"/>
  <c r="AQ2566" i="8"/>
  <c r="AQ2550" i="8"/>
  <c r="AQ2695" i="8"/>
  <c r="AP2695" i="8"/>
  <c r="AQ2733" i="8"/>
  <c r="AP2736" i="8"/>
  <c r="AQ2798" i="8"/>
  <c r="AQ2819" i="8"/>
  <c r="AQ2835" i="8"/>
  <c r="AQ2851" i="8"/>
  <c r="AQ2867" i="8"/>
  <c r="AQ2667" i="8"/>
  <c r="AP2667" i="8"/>
  <c r="AP2684" i="8"/>
  <c r="AQ2684" i="8"/>
  <c r="AP2725" i="8"/>
  <c r="AQ2725" i="8"/>
  <c r="AP2757" i="8"/>
  <c r="AQ2757" i="8"/>
  <c r="AP2790" i="8"/>
  <c r="AQ2790" i="8"/>
  <c r="AP2843" i="8"/>
  <c r="AQ2843" i="8"/>
  <c r="AP2875" i="8"/>
  <c r="AQ2875" i="8"/>
  <c r="AP2655" i="8"/>
  <c r="AP2664" i="8"/>
  <c r="AQ2671" i="8"/>
  <c r="AP2671" i="8"/>
  <c r="AQ2688" i="8"/>
  <c r="AP2691" i="8"/>
  <c r="AQ2729" i="8"/>
  <c r="AP2732" i="8"/>
  <c r="AQ2744" i="8"/>
  <c r="AP2744" i="8"/>
  <c r="AQ2761" i="8"/>
  <c r="AP2764" i="8"/>
  <c r="AQ2776" i="8"/>
  <c r="AP2776" i="8"/>
  <c r="AQ2794" i="8"/>
  <c r="AP2797" i="8"/>
  <c r="AQ2809" i="8"/>
  <c r="AP2809" i="8"/>
  <c r="AQ2815" i="8"/>
  <c r="AP2818" i="8"/>
  <c r="AQ2830" i="8"/>
  <c r="AP2830" i="8"/>
  <c r="AQ2847" i="8"/>
  <c r="AP2850" i="8"/>
  <c r="AQ2862" i="8"/>
  <c r="AP2862" i="8"/>
  <c r="AQ2879" i="8"/>
  <c r="AP2651" i="8"/>
  <c r="AP2660" i="8"/>
  <c r="AP2668" i="8"/>
  <c r="AP2719" i="8"/>
  <c r="AP2741" i="8"/>
  <c r="AQ2741" i="8"/>
  <c r="AP2773" i="8"/>
  <c r="AQ2773" i="8"/>
  <c r="AP2806" i="8"/>
  <c r="AQ2806" i="8"/>
  <c r="AP2827" i="8"/>
  <c r="AQ2827" i="8"/>
  <c r="AP2859" i="8"/>
  <c r="AQ2859" i="8"/>
  <c r="AP2715" i="8"/>
  <c r="AQ2715" i="8"/>
  <c r="AP2663" i="8"/>
  <c r="AQ2672" i="8"/>
  <c r="AP2675" i="8"/>
  <c r="AQ2687" i="8"/>
  <c r="AP2687" i="8"/>
  <c r="AP2700" i="8"/>
  <c r="AP2717" i="8"/>
  <c r="AQ2717" i="8"/>
  <c r="AQ2728" i="8"/>
  <c r="AP2728" i="8"/>
  <c r="AQ2745" i="8"/>
  <c r="AP2748" i="8"/>
  <c r="AQ2760" i="8"/>
  <c r="AP2760" i="8"/>
  <c r="AQ2778" i="8"/>
  <c r="AP2781" i="8"/>
  <c r="AQ2793" i="8"/>
  <c r="AP2793" i="8"/>
  <c r="AQ2810" i="8"/>
  <c r="AQ2814" i="8"/>
  <c r="AP2814" i="8"/>
  <c r="AQ2831" i="8"/>
  <c r="AP2834" i="8"/>
  <c r="AQ2846" i="8"/>
  <c r="AP2846" i="8"/>
  <c r="AQ2863" i="8"/>
  <c r="AP2866" i="8"/>
  <c r="AQ2878" i="8"/>
  <c r="AP2878" i="8"/>
  <c r="AQ2680" i="8"/>
  <c r="AQ2737" i="8"/>
  <c r="AQ2753" i="8"/>
  <c r="AQ2769" i="8"/>
  <c r="AQ2786" i="8"/>
  <c r="AQ2802" i="8"/>
  <c r="AQ2823" i="8"/>
  <c r="AQ2839" i="8"/>
  <c r="AQ2855" i="8"/>
  <c r="AQ2871" i="8"/>
  <c r="AQ2726" i="8"/>
  <c r="AP2726" i="8"/>
  <c r="AQ2734" i="8"/>
  <c r="AP2734" i="8"/>
  <c r="AQ2750" i="8"/>
  <c r="AP2750" i="8"/>
  <c r="AP2654" i="8"/>
  <c r="AP2713" i="8"/>
  <c r="AQ2721" i="8"/>
  <c r="AQ2821" i="8"/>
  <c r="AP2821" i="8"/>
  <c r="AQ2837" i="8"/>
  <c r="AP2837" i="8"/>
  <c r="AQ2853" i="8"/>
  <c r="AP2853" i="8"/>
  <c r="AQ2869" i="8"/>
  <c r="AP2869" i="8"/>
  <c r="AQ2730" i="8"/>
  <c r="AP2730" i="8"/>
  <c r="AQ2754" i="8"/>
  <c r="AP2754" i="8"/>
  <c r="AQ2758" i="8"/>
  <c r="AP2758" i="8"/>
  <c r="AQ2762" i="8"/>
  <c r="AP2762" i="8"/>
  <c r="AQ2766" i="8"/>
  <c r="AP2766" i="8"/>
  <c r="AQ2770" i="8"/>
  <c r="AP2770" i="8"/>
  <c r="AQ2779" i="8"/>
  <c r="AP2779" i="8"/>
  <c r="AQ2825" i="8"/>
  <c r="AP2825" i="8"/>
  <c r="AQ2841" i="8"/>
  <c r="AP2841" i="8"/>
  <c r="AQ2857" i="8"/>
  <c r="AP2857" i="8"/>
  <c r="AQ2873" i="8"/>
  <c r="AP2873" i="8"/>
  <c r="AP2658" i="8"/>
  <c r="AP2666" i="8"/>
  <c r="AP2674" i="8"/>
  <c r="AP2682" i="8"/>
  <c r="AP2694" i="8"/>
  <c r="AP2703" i="8"/>
  <c r="AP2707" i="8"/>
  <c r="AQ2711" i="8"/>
  <c r="AP2718" i="8"/>
  <c r="AP2723" i="8"/>
  <c r="AP2653" i="8"/>
  <c r="AP2657" i="8"/>
  <c r="AP2661" i="8"/>
  <c r="AQ2662" i="8"/>
  <c r="AP2665" i="8"/>
  <c r="AP2669" i="8"/>
  <c r="AQ2670" i="8"/>
  <c r="AP2673" i="8"/>
  <c r="AP2677" i="8"/>
  <c r="AQ2678" i="8"/>
  <c r="AP2681" i="8"/>
  <c r="AP2685" i="8"/>
  <c r="AQ2686" i="8"/>
  <c r="AP2689" i="8"/>
  <c r="AQ2690" i="8"/>
  <c r="AP2693" i="8"/>
  <c r="AP2697" i="8"/>
  <c r="AQ2699" i="8"/>
  <c r="AP2702" i="8"/>
  <c r="AP2706" i="8"/>
  <c r="AP2710" i="8"/>
  <c r="AP2727" i="8"/>
  <c r="AP2731" i="8"/>
  <c r="AP2735" i="8"/>
  <c r="AP2739" i="8"/>
  <c r="AP2743" i="8"/>
  <c r="AP2747" i="8"/>
  <c r="AP2751" i="8"/>
  <c r="AP2755" i="8"/>
  <c r="AP2759" i="8"/>
  <c r="AP2763" i="8"/>
  <c r="AP2767" i="8"/>
  <c r="AP2771" i="8"/>
  <c r="AP2775" i="8"/>
  <c r="AP2780" i="8"/>
  <c r="AP2784" i="8"/>
  <c r="AP2788" i="8"/>
  <c r="AP2792" i="8"/>
  <c r="AP2796" i="8"/>
  <c r="AP2800" i="8"/>
  <c r="AP2804" i="8"/>
  <c r="AP2808" i="8"/>
  <c r="AQ2817" i="8"/>
  <c r="AP2817" i="8"/>
  <c r="AQ2833" i="8"/>
  <c r="AP2833" i="8"/>
  <c r="AQ2849" i="8"/>
  <c r="AP2849" i="8"/>
  <c r="AQ2865" i="8"/>
  <c r="AP2865" i="8"/>
  <c r="AQ2738" i="8"/>
  <c r="AP2738" i="8"/>
  <c r="AQ2742" i="8"/>
  <c r="AP2742" i="8"/>
  <c r="AQ2746" i="8"/>
  <c r="AP2746" i="8"/>
  <c r="AQ2774" i="8"/>
  <c r="AP2774" i="8"/>
  <c r="AQ2783" i="8"/>
  <c r="AP2783" i="8"/>
  <c r="AQ2787" i="8"/>
  <c r="AP2787" i="8"/>
  <c r="AQ2791" i="8"/>
  <c r="AP2791" i="8"/>
  <c r="AQ2795" i="8"/>
  <c r="AP2795" i="8"/>
  <c r="AQ2799" i="8"/>
  <c r="AP2799" i="8"/>
  <c r="AQ2803" i="8"/>
  <c r="AP2803" i="8"/>
  <c r="AQ2807" i="8"/>
  <c r="AP2807" i="8"/>
  <c r="AO2811" i="8"/>
  <c r="AQ2813" i="8"/>
  <c r="AP2813" i="8"/>
  <c r="AQ2829" i="8"/>
  <c r="AP2829" i="8"/>
  <c r="AQ2845" i="8"/>
  <c r="AP2845" i="8"/>
  <c r="AQ2861" i="8"/>
  <c r="AP2861" i="8"/>
  <c r="AQ2877" i="8"/>
  <c r="AP2877" i="8"/>
  <c r="AP2812" i="8"/>
  <c r="AP2816" i="8"/>
  <c r="AP2820" i="8"/>
  <c r="AP2824" i="8"/>
  <c r="AP2828" i="8"/>
  <c r="AP2832" i="8"/>
  <c r="AP2836" i="8"/>
  <c r="AP2840" i="8"/>
  <c r="AP2844" i="8"/>
  <c r="AP2848" i="8"/>
  <c r="AP2852" i="8"/>
  <c r="AP2856" i="8"/>
  <c r="AP2860" i="8"/>
  <c r="AP2864" i="8"/>
  <c r="AP2868" i="8"/>
  <c r="AP2872" i="8"/>
  <c r="AP2876" i="8"/>
  <c r="AP2698" i="8"/>
  <c r="AP2777" i="8"/>
  <c r="AP2492" i="8"/>
  <c r="AQ2494" i="8"/>
  <c r="AQ2498" i="8"/>
  <c r="AQ2519" i="8"/>
  <c r="AQ2535" i="8"/>
  <c r="AQ2544" i="8"/>
  <c r="AQ2555" i="8"/>
  <c r="AQ2557" i="8"/>
  <c r="AQ2559" i="8"/>
  <c r="AQ2561" i="8"/>
  <c r="AQ2563" i="8"/>
  <c r="AP2590" i="8"/>
  <c r="AP2596" i="8"/>
  <c r="AQ2603" i="8"/>
  <c r="AP2606" i="8"/>
  <c r="AP2608" i="8"/>
  <c r="AQ2620" i="8"/>
  <c r="AP2623" i="8"/>
  <c r="AP2636" i="8"/>
  <c r="AQ2645" i="8"/>
  <c r="AQ2567" i="8"/>
  <c r="AP2497" i="8"/>
  <c r="AP2505" i="8"/>
  <c r="AP2518" i="8"/>
  <c r="AP2522" i="8"/>
  <c r="AP2526" i="8"/>
  <c r="AQ2531" i="8"/>
  <c r="AP2534" i="8"/>
  <c r="AP2538" i="8"/>
  <c r="AQ2542" i="8"/>
  <c r="AQ2551" i="8"/>
  <c r="AQ2574" i="8"/>
  <c r="AP2588" i="8"/>
  <c r="AP2589" i="8"/>
  <c r="AP2593" i="8"/>
  <c r="AP2594" i="8"/>
  <c r="AP2595" i="8"/>
  <c r="AP2599" i="8"/>
  <c r="AP2600" i="8"/>
  <c r="AP2601" i="8"/>
  <c r="AP2602" i="8"/>
  <c r="AP2619" i="8"/>
  <c r="AQ2638" i="8"/>
  <c r="AQ2643" i="8"/>
  <c r="AQ2508" i="8"/>
  <c r="AQ2524" i="8"/>
  <c r="AQ2554" i="8"/>
  <c r="AQ2556" i="8"/>
  <c r="AQ2558" i="8"/>
  <c r="AQ2560" i="8"/>
  <c r="AQ2562" i="8"/>
  <c r="AQ2609" i="8"/>
  <c r="AQ2614" i="8"/>
  <c r="AQ2641" i="8"/>
  <c r="AQ2649" i="8"/>
  <c r="AQ2501" i="8"/>
  <c r="AP2501" i="8"/>
  <c r="AQ2584" i="8"/>
  <c r="AP2584" i="8"/>
  <c r="AQ2502" i="8"/>
  <c r="AP2502" i="8"/>
  <c r="AQ2570" i="8"/>
  <c r="AP2570" i="8"/>
  <c r="AQ2580" i="8"/>
  <c r="AP2580" i="8"/>
  <c r="AP2506" i="8"/>
  <c r="AQ2506" i="8"/>
  <c r="AQ2569" i="8"/>
  <c r="AP2569" i="8"/>
  <c r="AP2507" i="8"/>
  <c r="AQ2507" i="8"/>
  <c r="AQ2582" i="8"/>
  <c r="AP2582" i="8"/>
  <c r="AQ2500" i="8"/>
  <c r="AP2500" i="8"/>
  <c r="AQ2568" i="8"/>
  <c r="AP2568" i="8"/>
  <c r="AQ2578" i="8"/>
  <c r="AP2578" i="8"/>
  <c r="AQ2547" i="8"/>
  <c r="AP2547" i="8"/>
  <c r="AQ2577" i="8"/>
  <c r="AP2577" i="8"/>
  <c r="AQ2583" i="8"/>
  <c r="AP2583" i="8"/>
  <c r="AQ2611" i="8"/>
  <c r="AP2611" i="8"/>
  <c r="AQ2633" i="8"/>
  <c r="AP2633" i="8"/>
  <c r="AP2495" i="8"/>
  <c r="AO2499" i="8"/>
  <c r="AP2503" i="8"/>
  <c r="AP2509" i="8"/>
  <c r="AP2510" i="8"/>
  <c r="AP2511" i="8"/>
  <c r="AP2512" i="8"/>
  <c r="AP2513" i="8"/>
  <c r="AP2514" i="8"/>
  <c r="AP2515" i="8"/>
  <c r="AP2516" i="8"/>
  <c r="AP2520" i="8"/>
  <c r="AP2521" i="8"/>
  <c r="AQ2525" i="8"/>
  <c r="AP2527" i="8"/>
  <c r="AP2528" i="8"/>
  <c r="AP2540" i="8"/>
  <c r="AQ2543" i="8"/>
  <c r="AQ2545" i="8"/>
  <c r="AO2553" i="8"/>
  <c r="AQ2575" i="8"/>
  <c r="AQ2586" i="8"/>
  <c r="AP2586" i="8"/>
  <c r="AQ2605" i="8"/>
  <c r="AP2605" i="8"/>
  <c r="AQ2612" i="8"/>
  <c r="AP2612" i="8"/>
  <c r="AQ2617" i="8"/>
  <c r="AP2617" i="8"/>
  <c r="AQ2626" i="8"/>
  <c r="AQ2630" i="8"/>
  <c r="AP2630" i="8"/>
  <c r="AQ2634" i="8"/>
  <c r="AP2634" i="8"/>
  <c r="AQ2532" i="8"/>
  <c r="AP2532" i="8"/>
  <c r="AQ2581" i="8"/>
  <c r="AP2581" i="8"/>
  <c r="AQ2616" i="8"/>
  <c r="AP2616" i="8"/>
  <c r="AO2493" i="8"/>
  <c r="AP2533" i="8"/>
  <c r="AQ2537" i="8"/>
  <c r="AP2537" i="8"/>
  <c r="AP2548" i="8"/>
  <c r="AQ2576" i="8"/>
  <c r="AP2576" i="8"/>
  <c r="AQ2587" i="8"/>
  <c r="AP2587" i="8"/>
  <c r="AQ2592" i="8"/>
  <c r="AP2592" i="8"/>
  <c r="AQ2598" i="8"/>
  <c r="AP2598" i="8"/>
  <c r="AP2607" i="8"/>
  <c r="AQ2622" i="8"/>
  <c r="AP2622" i="8"/>
  <c r="AQ2631" i="8"/>
  <c r="AP2631" i="8"/>
  <c r="AQ2640" i="8"/>
  <c r="AQ2642" i="8"/>
  <c r="AQ2644" i="8"/>
  <c r="AQ2646" i="8"/>
  <c r="AQ2648" i="8"/>
  <c r="AQ2650" i="8"/>
  <c r="AQ2536" i="8"/>
  <c r="AP2536" i="8"/>
  <c r="AQ2579" i="8"/>
  <c r="AP2579" i="8"/>
  <c r="AQ2585" i="8"/>
  <c r="AP2585" i="8"/>
  <c r="AQ2629" i="8"/>
  <c r="AP2629" i="8"/>
  <c r="AQ2564" i="8"/>
  <c r="AP2564" i="8"/>
  <c r="AP2571" i="8"/>
  <c r="AQ2618" i="8"/>
  <c r="AP2618" i="8"/>
  <c r="AQ2628" i="8"/>
  <c r="AP2628" i="8"/>
  <c r="AQ2632" i="8"/>
  <c r="AP2632" i="8"/>
  <c r="AQ2635" i="8"/>
  <c r="AP2635" i="8"/>
  <c r="AP2591" i="8"/>
  <c r="AP2597" i="8"/>
  <c r="AP2604" i="8"/>
  <c r="AP2610" i="8"/>
  <c r="AP2615" i="8"/>
  <c r="AP2621" i="8"/>
  <c r="AP2627" i="8"/>
  <c r="AP2565" i="8"/>
  <c r="AP2529" i="8"/>
  <c r="AP2624" i="8"/>
  <c r="AQ2325" i="8"/>
  <c r="AQ2183" i="8"/>
  <c r="AQ2187" i="8"/>
  <c r="AP2209" i="8"/>
  <c r="AP2218" i="8"/>
  <c r="AQ2221" i="8"/>
  <c r="AQ2226" i="8"/>
  <c r="AQ2236" i="8"/>
  <c r="AP2243" i="8"/>
  <c r="AP2244" i="8"/>
  <c r="AP2250" i="8"/>
  <c r="AQ2253" i="8"/>
  <c r="AP2257" i="8"/>
  <c r="AQ2258" i="8"/>
  <c r="AQ2279" i="8"/>
  <c r="AQ2286" i="8"/>
  <c r="AQ2293" i="8"/>
  <c r="AP2296" i="8"/>
  <c r="AP2301" i="8"/>
  <c r="AQ2309" i="8"/>
  <c r="AQ2317" i="8"/>
  <c r="AQ2335" i="8"/>
  <c r="AP2344" i="8"/>
  <c r="AP2348" i="8"/>
  <c r="AQ2355" i="8"/>
  <c r="AP2366" i="8"/>
  <c r="AQ2368" i="8"/>
  <c r="AQ2373" i="8"/>
  <c r="AP2376" i="8"/>
  <c r="AQ2378" i="8"/>
  <c r="AP2382" i="8"/>
  <c r="AP2388" i="8"/>
  <c r="AP2391" i="8"/>
  <c r="AQ2393" i="8"/>
  <c r="AP2397" i="8"/>
  <c r="AP2412" i="8"/>
  <c r="AP2420" i="8"/>
  <c r="AP2428" i="8"/>
  <c r="AP2434" i="8"/>
  <c r="AQ2437" i="8"/>
  <c r="AQ2441" i="8"/>
  <c r="AP2464" i="8"/>
  <c r="AQ2468" i="8"/>
  <c r="AP2476" i="8"/>
  <c r="AP2484" i="8"/>
  <c r="AQ2320" i="8"/>
  <c r="AP2185" i="8"/>
  <c r="AP2189" i="8"/>
  <c r="AQ2194" i="8"/>
  <c r="AP2210" i="8"/>
  <c r="AP2219" i="8"/>
  <c r="AP2232" i="8"/>
  <c r="AP2238" i="8"/>
  <c r="AQ2245" i="8"/>
  <c r="AP2251" i="8"/>
  <c r="AP2260" i="8"/>
  <c r="AP2284" i="8"/>
  <c r="AQ2297" i="8"/>
  <c r="AQ2302" i="8"/>
  <c r="AQ2311" i="8"/>
  <c r="AQ2319" i="8"/>
  <c r="AP2418" i="8"/>
  <c r="AP2426" i="8"/>
  <c r="AQ2465" i="8"/>
  <c r="AP2479" i="8"/>
  <c r="AP2487" i="8"/>
  <c r="AQ2400" i="8"/>
  <c r="AP2414" i="8"/>
  <c r="AP2422" i="8"/>
  <c r="AP2436" i="8"/>
  <c r="AP2446" i="8"/>
  <c r="AP2475" i="8"/>
  <c r="AP2483" i="8"/>
  <c r="AQ2223" i="8"/>
  <c r="AP2223" i="8"/>
  <c r="AP2212" i="8"/>
  <c r="AQ2212" i="8"/>
  <c r="AQ2215" i="8"/>
  <c r="AP2215" i="8"/>
  <c r="AQ2195" i="8"/>
  <c r="AP2195" i="8"/>
  <c r="AP2213" i="8"/>
  <c r="AQ2213" i="8"/>
  <c r="AQ2239" i="8"/>
  <c r="AP2239" i="8"/>
  <c r="AP2193" i="8"/>
  <c r="AQ2193" i="8"/>
  <c r="AQ2196" i="8"/>
  <c r="AP2196" i="8"/>
  <c r="AQ2222" i="8"/>
  <c r="AP2222" i="8"/>
  <c r="AQ2240" i="8"/>
  <c r="AP2240" i="8"/>
  <c r="AQ2270" i="8"/>
  <c r="AP2270" i="8"/>
  <c r="AQ2306" i="8"/>
  <c r="AP2306" i="8"/>
  <c r="AQ2332" i="8"/>
  <c r="AP2332" i="8"/>
  <c r="AQ2339" i="8"/>
  <c r="AP2339" i="8"/>
  <c r="AQ2346" i="8"/>
  <c r="AP2346" i="8"/>
  <c r="AQ2350" i="8"/>
  <c r="AP2350" i="8"/>
  <c r="AQ2386" i="8"/>
  <c r="AP2386" i="8"/>
  <c r="AQ2399" i="8"/>
  <c r="AP2399" i="8"/>
  <c r="AP2216" i="8"/>
  <c r="AP2229" i="8"/>
  <c r="AQ2255" i="8"/>
  <c r="AP2255" i="8"/>
  <c r="AQ2264" i="8"/>
  <c r="AQ2271" i="8"/>
  <c r="AP2271" i="8"/>
  <c r="AQ2281" i="8"/>
  <c r="AP2281" i="8"/>
  <c r="AQ2295" i="8"/>
  <c r="AP2295" i="8"/>
  <c r="AQ2314" i="8"/>
  <c r="AQ2329" i="8"/>
  <c r="AP2329" i="8"/>
  <c r="AQ2333" i="8"/>
  <c r="AP2333" i="8"/>
  <c r="AQ2354" i="8"/>
  <c r="AQ2402" i="8"/>
  <c r="AP2402" i="8"/>
  <c r="AQ2417" i="8"/>
  <c r="AP2417" i="8"/>
  <c r="AQ2466" i="8"/>
  <c r="AP2466" i="8"/>
  <c r="AQ2478" i="8"/>
  <c r="AP2478" i="8"/>
  <c r="AQ2486" i="8"/>
  <c r="AP2486" i="8"/>
  <c r="AQ2247" i="8"/>
  <c r="AP2247" i="8"/>
  <c r="AQ2266" i="8"/>
  <c r="AP2266" i="8"/>
  <c r="AQ2290" i="8"/>
  <c r="AP2290" i="8"/>
  <c r="AQ2299" i="8"/>
  <c r="AP2299" i="8"/>
  <c r="AQ2304" i="8"/>
  <c r="AP2304" i="8"/>
  <c r="AQ2328" i="8"/>
  <c r="AP2328" i="8"/>
  <c r="AQ2341" i="8"/>
  <c r="AP2341" i="8"/>
  <c r="AP2371" i="8"/>
  <c r="AQ2371" i="8"/>
  <c r="AQ2407" i="8"/>
  <c r="AP2407" i="8"/>
  <c r="AQ2472" i="8"/>
  <c r="AP2472" i="8"/>
  <c r="AP2184" i="8"/>
  <c r="AP2188" i="8"/>
  <c r="AP2197" i="8"/>
  <c r="AP2198" i="8"/>
  <c r="AP2199" i="8"/>
  <c r="AP2200" i="8"/>
  <c r="AP2201" i="8"/>
  <c r="AP2202" i="8"/>
  <c r="AP2204" i="8"/>
  <c r="AP2205" i="8"/>
  <c r="AP2206" i="8"/>
  <c r="AP2207" i="8"/>
  <c r="AP2217" i="8"/>
  <c r="AP2224" i="8"/>
  <c r="AP2228" i="8"/>
  <c r="AP2230" i="8"/>
  <c r="AP2231" i="8"/>
  <c r="AP2241" i="8"/>
  <c r="AP2249" i="8"/>
  <c r="AQ2267" i="8"/>
  <c r="AP2267" i="8"/>
  <c r="AQ2275" i="8"/>
  <c r="AP2275" i="8"/>
  <c r="AQ2300" i="8"/>
  <c r="AP2300" i="8"/>
  <c r="AQ2310" i="8"/>
  <c r="AQ2312" i="8"/>
  <c r="AQ2316" i="8"/>
  <c r="AQ2318" i="8"/>
  <c r="AQ2322" i="8"/>
  <c r="AP2352" i="8"/>
  <c r="AQ2357" i="8"/>
  <c r="AP2357" i="8"/>
  <c r="AQ2359" i="8"/>
  <c r="AP2359" i="8"/>
  <c r="AP2384" i="8"/>
  <c r="AQ2384" i="8"/>
  <c r="AQ2408" i="8"/>
  <c r="AP2408" i="8"/>
  <c r="AQ2425" i="8"/>
  <c r="AP2425" i="8"/>
  <c r="AQ2432" i="8"/>
  <c r="AP2432" i="8"/>
  <c r="AO2191" i="8"/>
  <c r="AO2192" i="8"/>
  <c r="AP2234" i="8"/>
  <c r="AQ2237" i="8"/>
  <c r="AQ2246" i="8"/>
  <c r="AP2246" i="8"/>
  <c r="AP2248" i="8"/>
  <c r="AP2252" i="8"/>
  <c r="AQ2259" i="8"/>
  <c r="AP2259" i="8"/>
  <c r="AQ2268" i="8"/>
  <c r="AP2268" i="8"/>
  <c r="AQ2272" i="8"/>
  <c r="AP2272" i="8"/>
  <c r="AQ2276" i="8"/>
  <c r="AP2276" i="8"/>
  <c r="AQ2282" i="8"/>
  <c r="AP2282" i="8"/>
  <c r="AQ2288" i="8"/>
  <c r="AQ2291" i="8"/>
  <c r="AP2291" i="8"/>
  <c r="AQ2305" i="8"/>
  <c r="AP2305" i="8"/>
  <c r="AQ2307" i="8"/>
  <c r="AP2307" i="8"/>
  <c r="AQ2330" i="8"/>
  <c r="AP2330" i="8"/>
  <c r="AQ2334" i="8"/>
  <c r="AP2334" i="8"/>
  <c r="AQ2338" i="8"/>
  <c r="AP2338" i="8"/>
  <c r="AQ2340" i="8"/>
  <c r="AP2340" i="8"/>
  <c r="AQ2364" i="8"/>
  <c r="AP2364" i="8"/>
  <c r="AQ2367" i="8"/>
  <c r="AQ2369" i="8"/>
  <c r="AP2372" i="8"/>
  <c r="AQ2372" i="8"/>
  <c r="AP2374" i="8"/>
  <c r="AQ2374" i="8"/>
  <c r="AQ2433" i="8"/>
  <c r="AP2433" i="8"/>
  <c r="AQ2444" i="8"/>
  <c r="AP2444" i="8"/>
  <c r="AQ2274" i="8"/>
  <c r="AP2274" i="8"/>
  <c r="AQ2269" i="8"/>
  <c r="AP2269" i="8"/>
  <c r="AQ2273" i="8"/>
  <c r="AP2273" i="8"/>
  <c r="AQ2283" i="8"/>
  <c r="AP2283" i="8"/>
  <c r="AQ2327" i="8"/>
  <c r="AP2327" i="8"/>
  <c r="AQ2331" i="8"/>
  <c r="AP2331" i="8"/>
  <c r="AQ2358" i="8"/>
  <c r="AP2358" i="8"/>
  <c r="AQ2360" i="8"/>
  <c r="AP2360" i="8"/>
  <c r="AP2370" i="8"/>
  <c r="AQ2370" i="8"/>
  <c r="AP2375" i="8"/>
  <c r="AQ2375" i="8"/>
  <c r="AQ2409" i="8"/>
  <c r="AP2409" i="8"/>
  <c r="AQ2411" i="8"/>
  <c r="AP2411" i="8"/>
  <c r="AQ2413" i="8"/>
  <c r="AP2413" i="8"/>
  <c r="AQ2421" i="8"/>
  <c r="AP2421" i="8"/>
  <c r="AQ2474" i="8"/>
  <c r="AP2474" i="8"/>
  <c r="AQ2482" i="8"/>
  <c r="AP2482" i="8"/>
  <c r="AQ2431" i="8"/>
  <c r="AP2431" i="8"/>
  <c r="AQ2439" i="8"/>
  <c r="AP2439" i="8"/>
  <c r="AQ2470" i="8"/>
  <c r="AP2470" i="8"/>
  <c r="AP2289" i="8"/>
  <c r="AP2294" i="8"/>
  <c r="AP2298" i="8"/>
  <c r="AP2303" i="8"/>
  <c r="AP2323" i="8"/>
  <c r="AP2337" i="8"/>
  <c r="AP2345" i="8"/>
  <c r="AP2349" i="8"/>
  <c r="AP2356" i="8"/>
  <c r="AP2363" i="8"/>
  <c r="AP2377" i="8"/>
  <c r="AP2380" i="8"/>
  <c r="AQ2383" i="8"/>
  <c r="AQ2389" i="8"/>
  <c r="AP2392" i="8"/>
  <c r="AP2395" i="8"/>
  <c r="AP2398" i="8"/>
  <c r="AP2401" i="8"/>
  <c r="AQ2410" i="8"/>
  <c r="AP2410" i="8"/>
  <c r="AQ2445" i="8"/>
  <c r="AP2445" i="8"/>
  <c r="AP2467" i="8"/>
  <c r="AP2477" i="8"/>
  <c r="AP2481" i="8"/>
  <c r="AP2485" i="8"/>
  <c r="AP2489" i="8"/>
  <c r="AP2415" i="8"/>
  <c r="AP2419" i="8"/>
  <c r="AP2423" i="8"/>
  <c r="AP2427" i="8"/>
  <c r="AP2435" i="8"/>
  <c r="AP2440" i="8"/>
  <c r="AQ2443" i="8"/>
  <c r="AP2447" i="8"/>
  <c r="AQ2471" i="8"/>
  <c r="AP2471" i="8"/>
  <c r="AQ2473" i="8"/>
  <c r="AP2473" i="8"/>
  <c r="AP2324" i="8"/>
  <c r="AP2390" i="8"/>
  <c r="AP2321" i="8"/>
  <c r="AP3373" i="8" l="1"/>
  <c r="AP3305" i="8"/>
  <c r="AQ3305" i="8"/>
  <c r="AP3304" i="8"/>
  <c r="AQ3304" i="8"/>
  <c r="AQ3329" i="8"/>
  <c r="AP3329" i="8"/>
  <c r="AP3112" i="8"/>
  <c r="AQ3112" i="8"/>
  <c r="AQ2899" i="8"/>
  <c r="AP2899" i="8"/>
  <c r="AP3020" i="8"/>
  <c r="AQ3020" i="8"/>
  <c r="AP2910" i="8"/>
  <c r="AQ2910" i="8"/>
  <c r="AP2890" i="8"/>
  <c r="AQ2890" i="8"/>
  <c r="AP2242" i="8"/>
  <c r="AP2811" i="8"/>
  <c r="AQ2811" i="8"/>
  <c r="AP2493" i="8"/>
  <c r="AQ2493" i="8"/>
  <c r="AQ2499" i="8"/>
  <c r="AP2499" i="8"/>
  <c r="AP2553" i="8"/>
  <c r="AQ2553" i="8"/>
  <c r="AP2192" i="8"/>
  <c r="AQ2192" i="8"/>
  <c r="AP2191" i="8"/>
  <c r="AQ2191" i="8"/>
  <c r="AO2117" i="8" l="1"/>
  <c r="AQ2117" i="8" s="1"/>
  <c r="Z1843" i="8"/>
  <c r="AO2181" i="8"/>
  <c r="AQ2181" i="8" s="1"/>
  <c r="AI2180" i="8"/>
  <c r="AO2180" i="8" s="1"/>
  <c r="AP2180" i="8" s="1"/>
  <c r="AI2179" i="8"/>
  <c r="AO2179" i="8" s="1"/>
  <c r="AO2178" i="8"/>
  <c r="AP2178" i="8" s="1"/>
  <c r="AO2177" i="8"/>
  <c r="AO2176" i="8"/>
  <c r="AQ2176" i="8" s="1"/>
  <c r="AB2175" i="8"/>
  <c r="AO2175" i="8" s="1"/>
  <c r="AI2174" i="8"/>
  <c r="AO2174" i="8" s="1"/>
  <c r="AI2173" i="8"/>
  <c r="AO2173" i="8" s="1"/>
  <c r="AI2172" i="8"/>
  <c r="AO2172" i="8" s="1"/>
  <c r="AO2171" i="8"/>
  <c r="AQ2171" i="8" s="1"/>
  <c r="AO2170" i="8"/>
  <c r="AP2170" i="8" s="1"/>
  <c r="AI2169" i="8"/>
  <c r="AO2169" i="8" s="1"/>
  <c r="AI2168" i="8"/>
  <c r="AO2168" i="8" s="1"/>
  <c r="AI2167" i="8"/>
  <c r="AO2167" i="8" s="1"/>
  <c r="AI2166" i="8"/>
  <c r="AO2166" i="8" s="1"/>
  <c r="AI2165" i="8"/>
  <c r="AO2165" i="8" s="1"/>
  <c r="AI2164" i="8"/>
  <c r="AO2164" i="8" s="1"/>
  <c r="AO2163" i="8"/>
  <c r="AI2162" i="8"/>
  <c r="AO2162" i="8" s="1"/>
  <c r="AI2161" i="8"/>
  <c r="AO2161" i="8" s="1"/>
  <c r="AI2160" i="8"/>
  <c r="AO2160" i="8" s="1"/>
  <c r="AO2159" i="8"/>
  <c r="AQ2159" i="8" s="1"/>
  <c r="AO2158" i="8"/>
  <c r="AP2158" i="8" s="1"/>
  <c r="AO2157" i="8"/>
  <c r="AP2157" i="8" s="1"/>
  <c r="AO2156" i="8"/>
  <c r="AO2155" i="8"/>
  <c r="AQ2155" i="8" s="1"/>
  <c r="AO2154" i="8"/>
  <c r="AP2154" i="8" s="1"/>
  <c r="AO2153" i="8"/>
  <c r="AO2152" i="8"/>
  <c r="AO2151" i="8"/>
  <c r="AQ2151" i="8" s="1"/>
  <c r="AO2150" i="8"/>
  <c r="AO2149" i="8"/>
  <c r="AQ2149" i="8" s="1"/>
  <c r="AO2148" i="8"/>
  <c r="AO2147" i="8"/>
  <c r="AQ2147" i="8" s="1"/>
  <c r="AO2146" i="8"/>
  <c r="AP2146" i="8" s="1"/>
  <c r="AO2145" i="8"/>
  <c r="AP2145" i="8" s="1"/>
  <c r="AO2144" i="8"/>
  <c r="AO2143" i="8"/>
  <c r="AQ2143" i="8" s="1"/>
  <c r="AL2142" i="8"/>
  <c r="AO2142" i="8" s="1"/>
  <c r="AP2142" i="8" s="1"/>
  <c r="AO2141" i="8"/>
  <c r="AI2140" i="8"/>
  <c r="AO2140" i="8" s="1"/>
  <c r="AO2139" i="8"/>
  <c r="AQ2139" i="8" s="1"/>
  <c r="AO2138" i="8"/>
  <c r="AO2137" i="8"/>
  <c r="AQ2137" i="8" s="1"/>
  <c r="AO2136" i="8"/>
  <c r="AO2135" i="8"/>
  <c r="AQ2135" i="8" s="1"/>
  <c r="AO2134" i="8"/>
  <c r="AO2133" i="8"/>
  <c r="AQ2133" i="8" s="1"/>
  <c r="AO2132" i="8"/>
  <c r="AO2131" i="8"/>
  <c r="AO2130" i="8"/>
  <c r="AQ2130" i="8" s="1"/>
  <c r="AO2129" i="8"/>
  <c r="AO2128" i="8"/>
  <c r="AP2128" i="8" s="1"/>
  <c r="AO2127" i="8"/>
  <c r="AO2126" i="8"/>
  <c r="AL2125" i="8"/>
  <c r="AO2125" i="8" s="1"/>
  <c r="AL2124" i="8"/>
  <c r="AO2124" i="8" s="1"/>
  <c r="AL2123" i="8"/>
  <c r="AO2123" i="8" s="1"/>
  <c r="AO2122" i="8"/>
  <c r="AO2121" i="8"/>
  <c r="AQ2121" i="8" s="1"/>
  <c r="AO2120" i="8"/>
  <c r="AL2119" i="8"/>
  <c r="AO2119" i="8" s="1"/>
  <c r="AO2118" i="8"/>
  <c r="AO2116" i="8"/>
  <c r="AI2115" i="8"/>
  <c r="AO2115" i="8" s="1"/>
  <c r="AP2115" i="8" s="1"/>
  <c r="AO2114" i="8"/>
  <c r="AO2113" i="8"/>
  <c r="AP2113" i="8" s="1"/>
  <c r="AO2112" i="8"/>
  <c r="AO2111" i="8"/>
  <c r="AO2110" i="8"/>
  <c r="AO2109" i="8"/>
  <c r="AO2108" i="8"/>
  <c r="AL2107" i="8"/>
  <c r="AO2107" i="8" s="1"/>
  <c r="AO2106" i="8"/>
  <c r="AO2105" i="8"/>
  <c r="AP2105" i="8" s="1"/>
  <c r="AB2104" i="8"/>
  <c r="AO2104" i="8" s="1"/>
  <c r="AO2103" i="8"/>
  <c r="AQ2103" i="8" s="1"/>
  <c r="AL2102" i="8"/>
  <c r="AO2102" i="8" s="1"/>
  <c r="AQ2102" i="8" s="1"/>
  <c r="AO2101" i="8"/>
  <c r="AK2100" i="8"/>
  <c r="AO2100" i="8" s="1"/>
  <c r="AO2099" i="8"/>
  <c r="AO2098" i="8"/>
  <c r="AQ2098" i="8" s="1"/>
  <c r="AI2097" i="8"/>
  <c r="AO2097" i="8" s="1"/>
  <c r="AQ2097" i="8" s="1"/>
  <c r="AO2096" i="8"/>
  <c r="AI2095" i="8"/>
  <c r="AO2095" i="8" s="1"/>
  <c r="AQ2095" i="8" s="1"/>
  <c r="AO2094" i="8"/>
  <c r="AO2093" i="8"/>
  <c r="AI2092" i="8"/>
  <c r="AO2092" i="8" s="1"/>
  <c r="AI2091" i="8"/>
  <c r="AO2091" i="8" s="1"/>
  <c r="AP2091" i="8" s="1"/>
  <c r="AI2090" i="8"/>
  <c r="AO2090" i="8" s="1"/>
  <c r="AI2089" i="8"/>
  <c r="AO2089" i="8" s="1"/>
  <c r="AP2089" i="8" s="1"/>
  <c r="AI2088" i="8"/>
  <c r="AO2088" i="8" s="1"/>
  <c r="AO2087" i="8"/>
  <c r="AP2087" i="8" s="1"/>
  <c r="AI2086" i="8"/>
  <c r="AO2086" i="8" s="1"/>
  <c r="AI2085" i="8"/>
  <c r="AO2085" i="8" s="1"/>
  <c r="AO2084" i="8"/>
  <c r="AO2083" i="8"/>
  <c r="AL2082" i="8"/>
  <c r="AO2082" i="8" s="1"/>
  <c r="AO2081" i="8"/>
  <c r="AI2080" i="8"/>
  <c r="AO2080" i="8" s="1"/>
  <c r="AO2079" i="8"/>
  <c r="AP2079" i="8" s="1"/>
  <c r="AI2078" i="8"/>
  <c r="AO2078" i="8" s="1"/>
  <c r="AO2077" i="8"/>
  <c r="AP2077" i="8" s="1"/>
  <c r="AO2076" i="8"/>
  <c r="AO2075" i="8"/>
  <c r="AO2074" i="8"/>
  <c r="AP2074" i="8" s="1"/>
  <c r="AO2073" i="8"/>
  <c r="AQ2073" i="8" s="1"/>
  <c r="AI2072" i="8"/>
  <c r="AO2072" i="8" s="1"/>
  <c r="AO2071" i="8"/>
  <c r="AL2070" i="8"/>
  <c r="AO2070" i="8" s="1"/>
  <c r="AO2069" i="8"/>
  <c r="AO2068" i="8"/>
  <c r="AO2067" i="8"/>
  <c r="AQ2067" i="8" s="1"/>
  <c r="AO2066" i="8"/>
  <c r="AO2065" i="8"/>
  <c r="AO2064" i="8"/>
  <c r="AP2064" i="8" s="1"/>
  <c r="AO2063" i="8"/>
  <c r="AQ2063" i="8" s="1"/>
  <c r="AI2062" i="8"/>
  <c r="AO2062" i="8" s="1"/>
  <c r="AI2061" i="8"/>
  <c r="AO2061" i="8" s="1"/>
  <c r="AI2060" i="8"/>
  <c r="AO2060" i="8" s="1"/>
  <c r="AI2059" i="8"/>
  <c r="AO2059" i="8" s="1"/>
  <c r="AI2058" i="8"/>
  <c r="AO2058" i="8" s="1"/>
  <c r="AI2057" i="8"/>
  <c r="AO2057" i="8" s="1"/>
  <c r="AI2056" i="8"/>
  <c r="AO2056" i="8" s="1"/>
  <c r="AQ2056" i="8" s="1"/>
  <c r="AI2055" i="8"/>
  <c r="AO2055" i="8" s="1"/>
  <c r="AI2054" i="8"/>
  <c r="AO2054" i="8" s="1"/>
  <c r="AO2053" i="8"/>
  <c r="AO2052" i="8"/>
  <c r="AO2051" i="8"/>
  <c r="AP2051" i="8" s="1"/>
  <c r="AO2050" i="8"/>
  <c r="AL2049" i="8"/>
  <c r="AO2049" i="8" s="1"/>
  <c r="AP2049" i="8" s="1"/>
  <c r="AO2048" i="8"/>
  <c r="AI2047" i="8"/>
  <c r="AO2047" i="8" s="1"/>
  <c r="AO2046" i="8"/>
  <c r="AO2045" i="8"/>
  <c r="AO2044" i="8"/>
  <c r="AO2043" i="8"/>
  <c r="AO2042" i="8"/>
  <c r="AQ2042" i="8" s="1"/>
  <c r="AO2041" i="8"/>
  <c r="AO2040" i="8"/>
  <c r="AP2040" i="8" s="1"/>
  <c r="AO2039" i="8"/>
  <c r="AP2039" i="8" s="1"/>
  <c r="AO2038" i="8"/>
  <c r="AQ2038" i="8" s="1"/>
  <c r="AI2037" i="8"/>
  <c r="AO2037" i="8" s="1"/>
  <c r="AP2037" i="8" s="1"/>
  <c r="AO2036" i="8"/>
  <c r="AO2035" i="8"/>
  <c r="AQ2035" i="8" s="1"/>
  <c r="AO2034" i="8"/>
  <c r="AO2033" i="8"/>
  <c r="AQ2033" i="8" s="1"/>
  <c r="AB2032" i="8"/>
  <c r="AO2032" i="8" s="1"/>
  <c r="AB2031" i="8"/>
  <c r="AO2031" i="8" s="1"/>
  <c r="AI2030" i="8"/>
  <c r="AO2030" i="8" s="1"/>
  <c r="AI2029" i="8"/>
  <c r="AO2029" i="8" s="1"/>
  <c r="AP2029" i="8" s="1"/>
  <c r="AO2028" i="8"/>
  <c r="AI2027" i="8"/>
  <c r="AO2027" i="8" s="1"/>
  <c r="AI2026" i="8"/>
  <c r="AO2026" i="8" s="1"/>
  <c r="AQ2026" i="8" s="1"/>
  <c r="AI2025" i="8"/>
  <c r="AO2025" i="8" s="1"/>
  <c r="AI2024" i="8"/>
  <c r="AO2024" i="8" s="1"/>
  <c r="AI2023" i="8"/>
  <c r="AO2023" i="8" s="1"/>
  <c r="AI2022" i="8"/>
  <c r="AO2022" i="8" s="1"/>
  <c r="AQ2022" i="8" s="1"/>
  <c r="AI2021" i="8"/>
  <c r="AO2021" i="8" s="1"/>
  <c r="AO2020" i="8"/>
  <c r="AP2020" i="8" s="1"/>
  <c r="AO2019" i="8"/>
  <c r="AI2018" i="8"/>
  <c r="AO2018" i="8" s="1"/>
  <c r="AQ2018" i="8" s="1"/>
  <c r="AI2017" i="8"/>
  <c r="AO2017" i="8" s="1"/>
  <c r="AQ2017" i="8" s="1"/>
  <c r="AI2016" i="8"/>
  <c r="AO2016" i="8" s="1"/>
  <c r="AQ2016" i="8" s="1"/>
  <c r="AI2015" i="8"/>
  <c r="AO2015" i="8" s="1"/>
  <c r="AQ2015" i="8" s="1"/>
  <c r="AI2014" i="8"/>
  <c r="AO2014" i="8" s="1"/>
  <c r="AQ2014" i="8" s="1"/>
  <c r="AI2013" i="8"/>
  <c r="AO2013" i="8" s="1"/>
  <c r="AQ2013" i="8" s="1"/>
  <c r="AI2012" i="8"/>
  <c r="AO2012" i="8" s="1"/>
  <c r="AQ2012" i="8" s="1"/>
  <c r="AI2011" i="8"/>
  <c r="AO2011" i="8" s="1"/>
  <c r="AO2010" i="8"/>
  <c r="AQ2010" i="8" s="1"/>
  <c r="AO2009" i="8"/>
  <c r="AP2009" i="8" s="1"/>
  <c r="AO2008" i="8"/>
  <c r="AO2007" i="8"/>
  <c r="AP2007" i="8" s="1"/>
  <c r="AO2006" i="8"/>
  <c r="AO2005" i="8"/>
  <c r="AB2004" i="8"/>
  <c r="AO2004" i="8" s="1"/>
  <c r="AO2003" i="8"/>
  <c r="AO2002" i="8"/>
  <c r="AP2002" i="8" s="1"/>
  <c r="AO2001" i="8"/>
  <c r="AO2000" i="8"/>
  <c r="AP2000" i="8" s="1"/>
  <c r="AO1999" i="8"/>
  <c r="AQ1999" i="8" s="1"/>
  <c r="AO1998" i="8"/>
  <c r="AP1998" i="8" s="1"/>
  <c r="AO1997" i="8"/>
  <c r="AQ1997" i="8" s="1"/>
  <c r="AO1996" i="8"/>
  <c r="AP1996" i="8" s="1"/>
  <c r="AO1995" i="8"/>
  <c r="AP1995" i="8" s="1"/>
  <c r="AL1994" i="8"/>
  <c r="AO1994" i="8" s="1"/>
  <c r="AO1993" i="8"/>
  <c r="AP1993" i="8" s="1"/>
  <c r="AO1992" i="8"/>
  <c r="AQ1992" i="8" s="1"/>
  <c r="AO1991" i="8"/>
  <c r="AP1991" i="8" s="1"/>
  <c r="AO1990" i="8"/>
  <c r="AQ1990" i="8" s="1"/>
  <c r="AO1989" i="8"/>
  <c r="AO1988" i="8"/>
  <c r="AQ1988" i="8" s="1"/>
  <c r="AO1987" i="8"/>
  <c r="AO1986" i="8"/>
  <c r="AP1986" i="8" s="1"/>
  <c r="AO1985" i="8"/>
  <c r="AO1984" i="8"/>
  <c r="AQ1984" i="8" s="1"/>
  <c r="AO1983" i="8"/>
  <c r="AO1982" i="8"/>
  <c r="AQ1982" i="8" s="1"/>
  <c r="AO1981" i="8"/>
  <c r="AO1980" i="8"/>
  <c r="AO1979" i="8"/>
  <c r="AO1978" i="8"/>
  <c r="AQ1978" i="8" s="1"/>
  <c r="AO1977" i="8"/>
  <c r="AO1976" i="8"/>
  <c r="AQ1976" i="8" s="1"/>
  <c r="AO1975" i="8"/>
  <c r="AP1975" i="8" s="1"/>
  <c r="AO1974" i="8"/>
  <c r="AO1973" i="8"/>
  <c r="AO1972" i="8"/>
  <c r="AQ1972" i="8" s="1"/>
  <c r="AB1971" i="8"/>
  <c r="AO1971" i="8" s="1"/>
  <c r="AO1970" i="8"/>
  <c r="AP1970" i="8" s="1"/>
  <c r="AO1969" i="8"/>
  <c r="AP1969" i="8" s="1"/>
  <c r="AO1968" i="8"/>
  <c r="AO1967" i="8"/>
  <c r="AO1966" i="8"/>
  <c r="AP1966" i="8" s="1"/>
  <c r="AO1965" i="8"/>
  <c r="AQ1965" i="8" s="1"/>
  <c r="AO1964" i="8"/>
  <c r="AL1963" i="8"/>
  <c r="AO1963" i="8" s="1"/>
  <c r="AO1962" i="8"/>
  <c r="AQ1962" i="8" s="1"/>
  <c r="AO1961" i="8"/>
  <c r="AO1960" i="8"/>
  <c r="AO1959" i="8"/>
  <c r="AQ1959" i="8" s="1"/>
  <c r="AB1958" i="8"/>
  <c r="AO1958" i="8" s="1"/>
  <c r="AO1957" i="8"/>
  <c r="AQ1957" i="8" s="1"/>
  <c r="AO1956" i="8"/>
  <c r="AO1955" i="8"/>
  <c r="AQ1955" i="8" s="1"/>
  <c r="AO1954" i="8"/>
  <c r="AP1954" i="8" s="1"/>
  <c r="AO1953" i="8"/>
  <c r="AO1952" i="8"/>
  <c r="AO1951" i="8"/>
  <c r="AQ1951" i="8" s="1"/>
  <c r="AO1950" i="8"/>
  <c r="AQ1950" i="8" s="1"/>
  <c r="AO1949" i="8"/>
  <c r="AQ1949" i="8" s="1"/>
  <c r="AO1948" i="8"/>
  <c r="AP1948" i="8" s="1"/>
  <c r="AK1947" i="8"/>
  <c r="AL1946" i="8"/>
  <c r="AO1946" i="8" s="1"/>
  <c r="AP1946" i="8" s="1"/>
  <c r="AO1945" i="8"/>
  <c r="AP1945" i="8" s="1"/>
  <c r="AO1944" i="8"/>
  <c r="AO1943" i="8"/>
  <c r="AB1942" i="8"/>
  <c r="AO1942" i="8" s="1"/>
  <c r="AO1941" i="8"/>
  <c r="AO1940" i="8"/>
  <c r="AQ1940" i="8" s="1"/>
  <c r="AO1939" i="8"/>
  <c r="AO1938" i="8"/>
  <c r="AO1937" i="8"/>
  <c r="AO1936" i="8"/>
  <c r="AP1936" i="8" s="1"/>
  <c r="AO1935" i="8"/>
  <c r="AC1934" i="8"/>
  <c r="AL1933" i="8"/>
  <c r="AO1933" i="8" s="1"/>
  <c r="AO1932" i="8"/>
  <c r="AO1931" i="8"/>
  <c r="AP1931" i="8" s="1"/>
  <c r="AO1930" i="8"/>
  <c r="AO1929" i="8"/>
  <c r="AQ1929" i="8" s="1"/>
  <c r="AO1928" i="8"/>
  <c r="AL1927" i="8"/>
  <c r="AO1927" i="8" s="1"/>
  <c r="AO1926" i="8"/>
  <c r="AO1925" i="8"/>
  <c r="AO1924" i="8"/>
  <c r="AO1923" i="8"/>
  <c r="Y1922" i="8"/>
  <c r="AO1922" i="8" s="1"/>
  <c r="AP1922" i="8" s="1"/>
  <c r="AO1921" i="8"/>
  <c r="Y1920" i="8"/>
  <c r="AO1920" i="8" s="1"/>
  <c r="AO1919" i="8"/>
  <c r="AQ1919" i="8" s="1"/>
  <c r="AL1918" i="8"/>
  <c r="AO1918" i="8" s="1"/>
  <c r="AQ1918" i="8" s="1"/>
  <c r="AO1917" i="8"/>
  <c r="AQ1917" i="8" s="1"/>
  <c r="AL1916" i="8"/>
  <c r="AO1916" i="8" s="1"/>
  <c r="AO1915" i="8"/>
  <c r="AO1914" i="8"/>
  <c r="AP1914" i="8" s="1"/>
  <c r="AO1913" i="8"/>
  <c r="AO1912" i="8"/>
  <c r="AQ1912" i="8" s="1"/>
  <c r="AO1911" i="8"/>
  <c r="AD1910" i="8"/>
  <c r="AO1909" i="8"/>
  <c r="AL1908" i="8"/>
  <c r="AO1908" i="8" s="1"/>
  <c r="AO1907" i="8"/>
  <c r="AP1907" i="8" s="1"/>
  <c r="AO1906" i="8"/>
  <c r="AO1905" i="8"/>
  <c r="AO1904" i="8"/>
  <c r="AO1903" i="8"/>
  <c r="AP1903" i="8" s="1"/>
  <c r="AO1902" i="8"/>
  <c r="AB1901" i="8"/>
  <c r="AO1901" i="8" s="1"/>
  <c r="AO1900" i="8"/>
  <c r="AO1899" i="8"/>
  <c r="AP1899" i="8" s="1"/>
  <c r="AL1898" i="8"/>
  <c r="AO1898" i="8" s="1"/>
  <c r="AE1897" i="8"/>
  <c r="AO1897" i="8" s="1"/>
  <c r="AO1896" i="8"/>
  <c r="AO1895" i="8"/>
  <c r="AO1894" i="8"/>
  <c r="AO1893" i="8"/>
  <c r="AQ1893" i="8" s="1"/>
  <c r="AO1892" i="8"/>
  <c r="AO1891" i="8"/>
  <c r="AQ1891" i="8" s="1"/>
  <c r="AO1890" i="8"/>
  <c r="AP1890" i="8" s="1"/>
  <c r="AE1889" i="8"/>
  <c r="AO1889" i="8" s="1"/>
  <c r="AO1888" i="8"/>
  <c r="AO1887" i="8"/>
  <c r="AO1886" i="8"/>
  <c r="AQ1886" i="8" s="1"/>
  <c r="AO1885" i="8"/>
  <c r="AO1884" i="8"/>
  <c r="AQ1884" i="8" s="1"/>
  <c r="Y1883" i="8"/>
  <c r="AO1883" i="8" s="1"/>
  <c r="AQ1883" i="8" s="1"/>
  <c r="AO1882" i="8"/>
  <c r="AQ1882" i="8" s="1"/>
  <c r="Y1881" i="8"/>
  <c r="AB1880" i="8"/>
  <c r="AO1880" i="8" s="1"/>
  <c r="AQ1880" i="8" s="1"/>
  <c r="AO1879" i="8"/>
  <c r="AO1878" i="8"/>
  <c r="AO1877" i="8"/>
  <c r="AQ1877" i="8" s="1"/>
  <c r="AO1876" i="8"/>
  <c r="AQ1876" i="8" s="1"/>
  <c r="AB1875" i="8"/>
  <c r="AO1875" i="8" s="1"/>
  <c r="AO1874" i="8"/>
  <c r="AQ1874" i="8" s="1"/>
  <c r="AO1873" i="8"/>
  <c r="AO1872" i="8"/>
  <c r="AO1871" i="8"/>
  <c r="AP1871" i="8" s="1"/>
  <c r="AO1870" i="8"/>
  <c r="AO1869" i="8"/>
  <c r="AP1869" i="8" s="1"/>
  <c r="AO1868" i="8"/>
  <c r="AQ1868" i="8" s="1"/>
  <c r="AO1867" i="8"/>
  <c r="AO1866" i="8"/>
  <c r="AQ1866" i="8" s="1"/>
  <c r="AO1865" i="8"/>
  <c r="AO1864" i="8"/>
  <c r="AO1863" i="8"/>
  <c r="AP1863" i="8" s="1"/>
  <c r="AO1862" i="8"/>
  <c r="AO1861" i="8"/>
  <c r="AP1861" i="8" s="1"/>
  <c r="AE1860" i="8"/>
  <c r="AO1859" i="8"/>
  <c r="AP1859" i="8" s="1"/>
  <c r="AO1858" i="8"/>
  <c r="AP1858" i="8" s="1"/>
  <c r="AO1857" i="8"/>
  <c r="AQ1857" i="8" s="1"/>
  <c r="AO1856" i="8"/>
  <c r="AO1855" i="8"/>
  <c r="AP1855" i="8" s="1"/>
  <c r="AO1854" i="8"/>
  <c r="AQ1854" i="8" s="1"/>
  <c r="AO1853" i="8"/>
  <c r="AO1852" i="8"/>
  <c r="AP1852" i="8" s="1"/>
  <c r="AO1851" i="8"/>
  <c r="AQ1851" i="8" s="1"/>
  <c r="AO1850" i="8"/>
  <c r="AP1850" i="8" s="1"/>
  <c r="AO1849" i="8"/>
  <c r="AQ1849" i="8" s="1"/>
  <c r="AO1848" i="8"/>
  <c r="AO1847" i="8"/>
  <c r="AO1846" i="8"/>
  <c r="AP1846" i="8" s="1"/>
  <c r="AO1845" i="8"/>
  <c r="AO1844" i="8"/>
  <c r="AP1844" i="8" s="1"/>
  <c r="AO1842" i="8"/>
  <c r="AP1842" i="8" s="1"/>
  <c r="AL1841" i="8"/>
  <c r="AO1841" i="8" s="1"/>
  <c r="AO1840" i="8"/>
  <c r="AP1840" i="8" s="1"/>
  <c r="AO1839" i="8"/>
  <c r="AO1838" i="8"/>
  <c r="AL1837" i="8"/>
  <c r="AO1837" i="8" s="1"/>
  <c r="AO1836" i="8"/>
  <c r="AO1835" i="8"/>
  <c r="AQ1835" i="8" s="1"/>
  <c r="AI1834" i="8"/>
  <c r="AO1834" i="8" s="1"/>
  <c r="AQ1834" i="8" s="1"/>
  <c r="AI1833" i="8"/>
  <c r="AO1833" i="8" s="1"/>
  <c r="AQ1833" i="8" s="1"/>
  <c r="AI1832" i="8"/>
  <c r="AO1832" i="8" s="1"/>
  <c r="AI1831" i="8"/>
  <c r="AO1831" i="8" s="1"/>
  <c r="AI1830" i="8"/>
  <c r="AO1830" i="8" s="1"/>
  <c r="AQ1830" i="8" s="1"/>
  <c r="AI1829" i="8"/>
  <c r="AO1829" i="8" s="1"/>
  <c r="AQ1829" i="8" s="1"/>
  <c r="AI1828" i="8"/>
  <c r="AO1828" i="8" s="1"/>
  <c r="AQ1828" i="8" s="1"/>
  <c r="AI1827" i="8"/>
  <c r="AO1827" i="8" s="1"/>
  <c r="AI1826" i="8"/>
  <c r="AO1826" i="8" s="1"/>
  <c r="AI1825" i="8"/>
  <c r="AO1825" i="8" s="1"/>
  <c r="AQ1825" i="8" s="1"/>
  <c r="AI1824" i="8"/>
  <c r="AO1824" i="8" s="1"/>
  <c r="AI1823" i="8"/>
  <c r="AO1823" i="8" s="1"/>
  <c r="AI1822" i="8"/>
  <c r="AO1822" i="8" s="1"/>
  <c r="AQ1822" i="8" s="1"/>
  <c r="AI1821" i="8"/>
  <c r="AO1821" i="8" s="1"/>
  <c r="AI1820" i="8"/>
  <c r="AO1820" i="8" s="1"/>
  <c r="AQ1820" i="8" s="1"/>
  <c r="AI1819" i="8"/>
  <c r="AO1819" i="8" s="1"/>
  <c r="AL1818" i="8"/>
  <c r="AO1818" i="8" s="1"/>
  <c r="AQ1818" i="8" s="1"/>
  <c r="AO1817" i="8"/>
  <c r="AQ1817" i="8" s="1"/>
  <c r="AO1816" i="8"/>
  <c r="AO1815" i="8"/>
  <c r="AQ1815" i="8" s="1"/>
  <c r="AI1814" i="8"/>
  <c r="AO1814" i="8" s="1"/>
  <c r="AI1813" i="8"/>
  <c r="AO1813" i="8" s="1"/>
  <c r="AI1812" i="8"/>
  <c r="AO1812" i="8" s="1"/>
  <c r="AP1812" i="8" s="1"/>
  <c r="AI1811" i="8"/>
  <c r="AO1811" i="8" s="1"/>
  <c r="AI1810" i="8"/>
  <c r="AO1810" i="8" s="1"/>
  <c r="AI1809" i="8"/>
  <c r="AO1809" i="8" s="1"/>
  <c r="AP1809" i="8" s="1"/>
  <c r="AI1808" i="8"/>
  <c r="AO1808" i="8" s="1"/>
  <c r="AP1808" i="8" s="1"/>
  <c r="AI1807" i="8"/>
  <c r="AO1807" i="8" s="1"/>
  <c r="AO1806" i="8"/>
  <c r="AP1806" i="8" s="1"/>
  <c r="AI1806" i="8"/>
  <c r="AI1805" i="8"/>
  <c r="AO1805" i="8" s="1"/>
  <c r="AP1805" i="8" s="1"/>
  <c r="AO1804" i="8"/>
  <c r="AI1803" i="8"/>
  <c r="AO1803" i="8" s="1"/>
  <c r="AI1802" i="8"/>
  <c r="AO1802" i="8" s="1"/>
  <c r="AI1801" i="8"/>
  <c r="AO1801" i="8" s="1"/>
  <c r="AQ1801" i="8" s="1"/>
  <c r="AI1800" i="8"/>
  <c r="AO1800" i="8" s="1"/>
  <c r="AI1799" i="8"/>
  <c r="AO1799" i="8" s="1"/>
  <c r="AI1798" i="8"/>
  <c r="AO1798" i="8" s="1"/>
  <c r="AQ1798" i="8" s="1"/>
  <c r="AI1797" i="8"/>
  <c r="AO1797" i="8" s="1"/>
  <c r="AI1796" i="8"/>
  <c r="AO1796" i="8" s="1"/>
  <c r="AI1795" i="8"/>
  <c r="AO1795" i="8" s="1"/>
  <c r="AI1794" i="8"/>
  <c r="AO1794" i="8" s="1"/>
  <c r="AI1793" i="8"/>
  <c r="AO1793" i="8" s="1"/>
  <c r="AQ1793" i="8" s="1"/>
  <c r="AI1792" i="8"/>
  <c r="AO1792" i="8" s="1"/>
  <c r="AO1791" i="8"/>
  <c r="AO1790" i="8"/>
  <c r="AP1790" i="8" s="1"/>
  <c r="AO1789" i="8"/>
  <c r="AO1788" i="8"/>
  <c r="AP1788" i="8" s="1"/>
  <c r="AL1787" i="8"/>
  <c r="AO1787" i="8" s="1"/>
  <c r="AO1786" i="8"/>
  <c r="AQ1786" i="8" s="1"/>
  <c r="AO1785" i="8"/>
  <c r="AO1784" i="8"/>
  <c r="AO1783" i="8"/>
  <c r="AQ1783" i="8" s="1"/>
  <c r="AO1782" i="8"/>
  <c r="AQ1782" i="8" s="1"/>
  <c r="AO1781" i="8"/>
  <c r="AP1781" i="8" s="1"/>
  <c r="AO1780" i="8"/>
  <c r="AO1779" i="8"/>
  <c r="AQ1779" i="8" s="1"/>
  <c r="AO1778" i="8"/>
  <c r="AQ1778" i="8" s="1"/>
  <c r="AI1777" i="8"/>
  <c r="AO1777" i="8" s="1"/>
  <c r="AI1776" i="8"/>
  <c r="AO1776" i="8" s="1"/>
  <c r="AP1776" i="8" s="1"/>
  <c r="AI1775" i="8"/>
  <c r="AO1775" i="8" s="1"/>
  <c r="AI1774" i="8"/>
  <c r="AO1774" i="8" s="1"/>
  <c r="AI1773" i="8"/>
  <c r="AO1773" i="8" s="1"/>
  <c r="AP1773" i="8" s="1"/>
  <c r="AI1772" i="8"/>
  <c r="AO1772" i="8" s="1"/>
  <c r="AI1771" i="8"/>
  <c r="AO1771" i="8" s="1"/>
  <c r="AP1771" i="8" s="1"/>
  <c r="AI1770" i="8"/>
  <c r="AO1770" i="8" s="1"/>
  <c r="AI1769" i="8"/>
  <c r="AO1769" i="8" s="1"/>
  <c r="AP1769" i="8" s="1"/>
  <c r="AI1768" i="8"/>
  <c r="AO1768" i="8" s="1"/>
  <c r="AP1768" i="8" s="1"/>
  <c r="AI1767" i="8"/>
  <c r="AO1767" i="8" s="1"/>
  <c r="AI1766" i="8"/>
  <c r="AO1766" i="8" s="1"/>
  <c r="AI1765" i="8"/>
  <c r="AO1765" i="8" s="1"/>
  <c r="AP1765" i="8" s="1"/>
  <c r="AI1764" i="8"/>
  <c r="AO1764" i="8" s="1"/>
  <c r="AP1764" i="8" s="1"/>
  <c r="AI1763" i="8"/>
  <c r="AO1763" i="8" s="1"/>
  <c r="AP1763" i="8" s="1"/>
  <c r="AO1762" i="8"/>
  <c r="AO1761" i="8"/>
  <c r="AO1760" i="8"/>
  <c r="AP1760" i="8" s="1"/>
  <c r="AO1759" i="8"/>
  <c r="AO1758" i="8"/>
  <c r="AP1758" i="8" s="1"/>
  <c r="AO1757" i="8"/>
  <c r="AQ1757" i="8" s="1"/>
  <c r="AB1756" i="8"/>
  <c r="AO1756" i="8" s="1"/>
  <c r="AI1755" i="8"/>
  <c r="AO1755" i="8" s="1"/>
  <c r="AP1755" i="8" s="1"/>
  <c r="AI1754" i="8"/>
  <c r="AO1754" i="8" s="1"/>
  <c r="AP1754" i="8" s="1"/>
  <c r="AI1753" i="8"/>
  <c r="AO1753" i="8" s="1"/>
  <c r="AO1752" i="8"/>
  <c r="AP1752" i="8" s="1"/>
  <c r="AB1751" i="8"/>
  <c r="AO1751" i="8" s="1"/>
  <c r="AQ1751" i="8" s="1"/>
  <c r="AO1750" i="8"/>
  <c r="AQ1750" i="8" s="1"/>
  <c r="AO1749" i="8"/>
  <c r="AP1749" i="8" s="1"/>
  <c r="AO1748" i="8"/>
  <c r="AO1747" i="8"/>
  <c r="AQ1747" i="8" s="1"/>
  <c r="AO1746" i="8"/>
  <c r="AO1745" i="8"/>
  <c r="AP1745" i="8" s="1"/>
  <c r="AO1744" i="8"/>
  <c r="AI1743" i="8"/>
  <c r="AO1743" i="8" s="1"/>
  <c r="AI1742" i="8"/>
  <c r="AO1742" i="8" s="1"/>
  <c r="AI1741" i="8"/>
  <c r="AO1741" i="8" s="1"/>
  <c r="AO1740" i="8"/>
  <c r="AI1739" i="8"/>
  <c r="AO1739" i="8" s="1"/>
  <c r="AQ1739" i="8" s="1"/>
  <c r="AI1738" i="8"/>
  <c r="AO1738" i="8" s="1"/>
  <c r="AI1737" i="8"/>
  <c r="AO1737" i="8" s="1"/>
  <c r="AQ1737" i="8" s="1"/>
  <c r="AI1736" i="8"/>
  <c r="AO1736" i="8" s="1"/>
  <c r="AQ1736" i="8" s="1"/>
  <c r="AI1735" i="8"/>
  <c r="AO1735" i="8" s="1"/>
  <c r="AI1734" i="8"/>
  <c r="AO1734" i="8" s="1"/>
  <c r="AI1733" i="8"/>
  <c r="AO1733" i="8" s="1"/>
  <c r="AQ1733" i="8" s="1"/>
  <c r="AI1732" i="8"/>
  <c r="AO1732" i="8" s="1"/>
  <c r="AQ1732" i="8" s="1"/>
  <c r="AI1731" i="8"/>
  <c r="AO1731" i="8" s="1"/>
  <c r="AQ1731" i="8" s="1"/>
  <c r="AI1730" i="8"/>
  <c r="AO1730" i="8" s="1"/>
  <c r="AI1729" i="8"/>
  <c r="AO1729" i="8" s="1"/>
  <c r="AQ1729" i="8" s="1"/>
  <c r="AI1728" i="8"/>
  <c r="AO1728" i="8" s="1"/>
  <c r="AQ1728" i="8" s="1"/>
  <c r="AI1727" i="8"/>
  <c r="AO1727" i="8" s="1"/>
  <c r="AI1726" i="8"/>
  <c r="AO1726" i="8" s="1"/>
  <c r="AI1725" i="8"/>
  <c r="AO1725" i="8" s="1"/>
  <c r="AQ1725" i="8" s="1"/>
  <c r="AI1724" i="8"/>
  <c r="AO1724" i="8" s="1"/>
  <c r="AI1723" i="8"/>
  <c r="AO1723" i="8" s="1"/>
  <c r="AI1722" i="8"/>
  <c r="AO1722" i="8" s="1"/>
  <c r="AI1721" i="8"/>
  <c r="AO1721" i="8" s="1"/>
  <c r="AI1720" i="8"/>
  <c r="AO1720" i="8" s="1"/>
  <c r="AQ1720" i="8" s="1"/>
  <c r="AI1719" i="8"/>
  <c r="AO1719" i="8" s="1"/>
  <c r="AI1718" i="8"/>
  <c r="AO1718" i="8" s="1"/>
  <c r="AI1717" i="8"/>
  <c r="AO1717" i="8" s="1"/>
  <c r="AQ1717" i="8" s="1"/>
  <c r="AI1716" i="8"/>
  <c r="AO1716" i="8" s="1"/>
  <c r="AO1715" i="8"/>
  <c r="AO1714" i="8"/>
  <c r="AO1713" i="8"/>
  <c r="AO1712" i="8"/>
  <c r="AQ1712" i="8" s="1"/>
  <c r="AO1711" i="8"/>
  <c r="AO1710" i="8"/>
  <c r="AP1710" i="8" s="1"/>
  <c r="AB1709" i="8"/>
  <c r="AO1709" i="8" s="1"/>
  <c r="AP1709" i="8" s="1"/>
  <c r="AO1708" i="8"/>
  <c r="AQ1708" i="8" s="1"/>
  <c r="AB1707" i="8"/>
  <c r="AO1707" i="8" s="1"/>
  <c r="AQ1707" i="8" s="1"/>
  <c r="AO1706" i="8"/>
  <c r="AQ1706" i="8" s="1"/>
  <c r="AL1705" i="8"/>
  <c r="AO1705" i="8" s="1"/>
  <c r="AO1704" i="8"/>
  <c r="AI1703" i="8"/>
  <c r="AO1703" i="8" s="1"/>
  <c r="AI1702" i="8"/>
  <c r="AO1702" i="8" s="1"/>
  <c r="AI1701" i="8"/>
  <c r="AO1701" i="8" s="1"/>
  <c r="AQ1701" i="8" s="1"/>
  <c r="AI1700" i="8"/>
  <c r="AO1700" i="8" s="1"/>
  <c r="AQ1700" i="8" s="1"/>
  <c r="AI1699" i="8"/>
  <c r="AO1699" i="8" s="1"/>
  <c r="AQ1699" i="8" s="1"/>
  <c r="AI1698" i="8"/>
  <c r="AO1698" i="8" s="1"/>
  <c r="AQ1698" i="8" s="1"/>
  <c r="AI1697" i="8"/>
  <c r="AO1697" i="8" s="1"/>
  <c r="AQ1697" i="8" s="1"/>
  <c r="AI1696" i="8"/>
  <c r="AO1696" i="8" s="1"/>
  <c r="AQ1696" i="8" s="1"/>
  <c r="AI1695" i="8"/>
  <c r="AO1695" i="8" s="1"/>
  <c r="AQ1695" i="8" s="1"/>
  <c r="AI1694" i="8"/>
  <c r="AO1694" i="8" s="1"/>
  <c r="AQ1694" i="8" s="1"/>
  <c r="AI1693" i="8"/>
  <c r="AO1693" i="8" s="1"/>
  <c r="AQ1693" i="8" s="1"/>
  <c r="AL1692" i="8"/>
  <c r="AO1692" i="8" s="1"/>
  <c r="AQ1692" i="8" s="1"/>
  <c r="AI1691" i="8"/>
  <c r="AO1691" i="8" s="1"/>
  <c r="AQ1691" i="8" s="1"/>
  <c r="AI1690" i="8"/>
  <c r="AO1690" i="8" s="1"/>
  <c r="AQ1690" i="8" s="1"/>
  <c r="AI1689" i="8"/>
  <c r="AO1689" i="8" s="1"/>
  <c r="AQ1689" i="8" s="1"/>
  <c r="AI1688" i="8"/>
  <c r="AO1688" i="8" s="1"/>
  <c r="AQ1688" i="8" s="1"/>
  <c r="AI1687" i="8"/>
  <c r="AO1687" i="8" s="1"/>
  <c r="AQ1687" i="8" s="1"/>
  <c r="AI1686" i="8"/>
  <c r="AO1686" i="8" s="1"/>
  <c r="AQ1686" i="8" s="1"/>
  <c r="AI1685" i="8"/>
  <c r="AO1685" i="8" s="1"/>
  <c r="AQ1685" i="8" s="1"/>
  <c r="AI1684" i="8"/>
  <c r="AO1684" i="8" s="1"/>
  <c r="AQ1684" i="8" s="1"/>
  <c r="AI1683" i="8"/>
  <c r="AO1683" i="8" s="1"/>
  <c r="AQ1683" i="8" s="1"/>
  <c r="AI1682" i="8"/>
  <c r="AO1682" i="8" s="1"/>
  <c r="AQ1682" i="8" s="1"/>
  <c r="AI1681" i="8"/>
  <c r="AO1681" i="8" s="1"/>
  <c r="AQ1681" i="8" s="1"/>
  <c r="AI1680" i="8"/>
  <c r="AO1680" i="8" s="1"/>
  <c r="AQ1680" i="8" s="1"/>
  <c r="AI1679" i="8"/>
  <c r="AO1679" i="8" s="1"/>
  <c r="AQ1679" i="8" s="1"/>
  <c r="AI1678" i="8"/>
  <c r="AO1678" i="8" s="1"/>
  <c r="AQ1678" i="8" s="1"/>
  <c r="AI1677" i="8"/>
  <c r="AO1677" i="8" s="1"/>
  <c r="AQ1677" i="8" s="1"/>
  <c r="AI1676" i="8"/>
  <c r="AO1676" i="8" s="1"/>
  <c r="AQ1676" i="8" s="1"/>
  <c r="AL1675" i="8"/>
  <c r="AO1675" i="8" s="1"/>
  <c r="AQ1675" i="8" s="1"/>
  <c r="AO1674" i="8"/>
  <c r="AQ1674" i="8" s="1"/>
  <c r="AO1673" i="8"/>
  <c r="AQ1673" i="8" s="1"/>
  <c r="AO1672" i="8"/>
  <c r="AQ1672" i="8" s="1"/>
  <c r="AI1671" i="8"/>
  <c r="AO1671" i="8" s="1"/>
  <c r="AQ1671" i="8" s="1"/>
  <c r="AI1670" i="8"/>
  <c r="AO1670" i="8" s="1"/>
  <c r="AI1669" i="8"/>
  <c r="AO1669" i="8" s="1"/>
  <c r="AI1668" i="8"/>
  <c r="AO1668" i="8" s="1"/>
  <c r="AQ1668" i="8" s="1"/>
  <c r="AI1667" i="8"/>
  <c r="AO1667" i="8" s="1"/>
  <c r="AI1666" i="8"/>
  <c r="AO1666" i="8" s="1"/>
  <c r="AI1665" i="8"/>
  <c r="AO1665" i="8" s="1"/>
  <c r="AI1664" i="8"/>
  <c r="AO1664" i="8" s="1"/>
  <c r="AI1663" i="8"/>
  <c r="AO1663" i="8" s="1"/>
  <c r="AI1662" i="8"/>
  <c r="AO1662" i="8" s="1"/>
  <c r="AI1661" i="8"/>
  <c r="AO1661" i="8" s="1"/>
  <c r="AL1660" i="8"/>
  <c r="AO1660" i="8" s="1"/>
  <c r="AO1659" i="8"/>
  <c r="AP1659" i="8" s="1"/>
  <c r="AL1658" i="8"/>
  <c r="AO1658" i="8" s="1"/>
  <c r="AQ1658" i="8" s="1"/>
  <c r="AL1657" i="8"/>
  <c r="AO1657" i="8" s="1"/>
  <c r="AQ1657" i="8" s="1"/>
  <c r="AO1656" i="8"/>
  <c r="AQ1656" i="8" s="1"/>
  <c r="AO1655" i="8"/>
  <c r="AQ1655" i="8" s="1"/>
  <c r="AB1654" i="8"/>
  <c r="AO1654" i="8" s="1"/>
  <c r="AI1653" i="8"/>
  <c r="AO1653" i="8" s="1"/>
  <c r="AO1652" i="8"/>
  <c r="AO1651" i="8"/>
  <c r="AO1650" i="8"/>
  <c r="AQ1650" i="8" s="1"/>
  <c r="AO1649" i="8"/>
  <c r="AQ1649" i="8" s="1"/>
  <c r="AO1648" i="8"/>
  <c r="AO1647" i="8"/>
  <c r="AO1646" i="8"/>
  <c r="AQ1646" i="8" s="1"/>
  <c r="AO1645" i="8"/>
  <c r="AQ1645" i="8" s="1"/>
  <c r="AI1644" i="8"/>
  <c r="AO1644" i="8" s="1"/>
  <c r="AO1643" i="8"/>
  <c r="AP1643" i="8" s="1"/>
  <c r="AO1642" i="8"/>
  <c r="AL1641" i="8"/>
  <c r="AO1641" i="8" s="1"/>
  <c r="AQ1641" i="8" s="1"/>
  <c r="AO1640" i="8"/>
  <c r="AQ1640" i="8" s="1"/>
  <c r="AO1639" i="8"/>
  <c r="AQ1639" i="8" s="1"/>
  <c r="AO1638" i="8"/>
  <c r="AO1637" i="8"/>
  <c r="AO1636" i="8"/>
  <c r="AQ1636" i="8" s="1"/>
  <c r="AO1635" i="8"/>
  <c r="AQ1635" i="8" s="1"/>
  <c r="AO1634" i="8"/>
  <c r="AO1633" i="8"/>
  <c r="AQ1633" i="8" s="1"/>
  <c r="AO1632" i="8"/>
  <c r="AQ1632" i="8" s="1"/>
  <c r="AO1631" i="8"/>
  <c r="AQ1631" i="8" s="1"/>
  <c r="AO1630" i="8"/>
  <c r="AI1629" i="8"/>
  <c r="AO1629" i="8" s="1"/>
  <c r="AO1628" i="8"/>
  <c r="AI1627" i="8"/>
  <c r="AO1627" i="8" s="1"/>
  <c r="AQ1627" i="8" s="1"/>
  <c r="AI1626" i="8"/>
  <c r="AO1626" i="8" s="1"/>
  <c r="AQ1626" i="8" s="1"/>
  <c r="AI1625" i="8"/>
  <c r="AO1625" i="8" s="1"/>
  <c r="AQ1625" i="8" s="1"/>
  <c r="AI1624" i="8"/>
  <c r="AO1624" i="8" s="1"/>
  <c r="AQ1624" i="8" s="1"/>
  <c r="AI1623" i="8"/>
  <c r="AO1623" i="8" s="1"/>
  <c r="AQ1623" i="8" s="1"/>
  <c r="AI1622" i="8"/>
  <c r="AO1622" i="8" s="1"/>
  <c r="AQ1622" i="8" s="1"/>
  <c r="AI1621" i="8"/>
  <c r="AO1621" i="8" s="1"/>
  <c r="AQ1621" i="8" s="1"/>
  <c r="AI1620" i="8"/>
  <c r="AO1620" i="8" s="1"/>
  <c r="AQ1620" i="8" s="1"/>
  <c r="AI1619" i="8"/>
  <c r="AO1619" i="8" s="1"/>
  <c r="AQ1619" i="8" s="1"/>
  <c r="AI1618" i="8"/>
  <c r="AO1618" i="8" s="1"/>
  <c r="AQ1618" i="8" s="1"/>
  <c r="AI1617" i="8"/>
  <c r="AO1617" i="8" s="1"/>
  <c r="AQ1617" i="8" s="1"/>
  <c r="AI1616" i="8"/>
  <c r="AO1616" i="8" s="1"/>
  <c r="AQ1616" i="8" s="1"/>
  <c r="AO1615" i="8"/>
  <c r="AQ1615" i="8" s="1"/>
  <c r="AO1614" i="8"/>
  <c r="AQ1614" i="8" s="1"/>
  <c r="AO1613" i="8"/>
  <c r="AO1612" i="8"/>
  <c r="AQ1612" i="8" s="1"/>
  <c r="AO1611" i="8"/>
  <c r="AQ1611" i="8" s="1"/>
  <c r="AO1610" i="8"/>
  <c r="AQ1610" i="8" s="1"/>
  <c r="AO1609" i="8"/>
  <c r="AO1608" i="8"/>
  <c r="AO1607" i="8"/>
  <c r="AQ1607" i="8" s="1"/>
  <c r="AO1606" i="8"/>
  <c r="AQ1606" i="8" s="1"/>
  <c r="AO1605" i="8"/>
  <c r="AI1604" i="8"/>
  <c r="AO1604" i="8" s="1"/>
  <c r="AI1603" i="8"/>
  <c r="AO1603" i="8" s="1"/>
  <c r="AI1602" i="8"/>
  <c r="AO1602" i="8" s="1"/>
  <c r="AI1601" i="8"/>
  <c r="AO1601" i="8" s="1"/>
  <c r="AI1600" i="8"/>
  <c r="AO1600" i="8" s="1"/>
  <c r="AI1599" i="8"/>
  <c r="AO1599" i="8" s="1"/>
  <c r="AI1598" i="8"/>
  <c r="AO1598" i="8" s="1"/>
  <c r="AI1597" i="8"/>
  <c r="AO1597" i="8" s="1"/>
  <c r="AI1596" i="8"/>
  <c r="AO1596" i="8" s="1"/>
  <c r="AI1595" i="8"/>
  <c r="AO1595" i="8" s="1"/>
  <c r="AI1594" i="8"/>
  <c r="AO1594" i="8" s="1"/>
  <c r="AI1593" i="8"/>
  <c r="AO1593" i="8" s="1"/>
  <c r="AI1592" i="8"/>
  <c r="AO1592" i="8" s="1"/>
  <c r="AI1591" i="8"/>
  <c r="AO1591" i="8" s="1"/>
  <c r="AI1590" i="8"/>
  <c r="AO1590" i="8" s="1"/>
  <c r="AI1589" i="8"/>
  <c r="AO1589" i="8" s="1"/>
  <c r="AO1588" i="8"/>
  <c r="AO1587" i="8"/>
  <c r="AQ1587" i="8" s="1"/>
  <c r="AI1586" i="8"/>
  <c r="AO1586" i="8" s="1"/>
  <c r="AO1585" i="8"/>
  <c r="AQ1585" i="8" s="1"/>
  <c r="AI1584" i="8"/>
  <c r="AO1584" i="8" s="1"/>
  <c r="AO1583" i="8"/>
  <c r="AI1582" i="8"/>
  <c r="AO1582" i="8" s="1"/>
  <c r="AQ1582" i="8" s="1"/>
  <c r="AO1581" i="8"/>
  <c r="AQ1581" i="8" s="1"/>
  <c r="AI1580" i="8"/>
  <c r="AO1580" i="8" s="1"/>
  <c r="AP1580" i="8" s="1"/>
  <c r="AI1579" i="8"/>
  <c r="AO1579" i="8" s="1"/>
  <c r="AQ1579" i="8" s="1"/>
  <c r="AI1578" i="8"/>
  <c r="AO1578" i="8" s="1"/>
  <c r="AQ1578" i="8" s="1"/>
  <c r="AI1577" i="8"/>
  <c r="AO1577" i="8" s="1"/>
  <c r="AQ1577" i="8" s="1"/>
  <c r="AI1576" i="8"/>
  <c r="AO1576" i="8" s="1"/>
  <c r="AQ1576" i="8" s="1"/>
  <c r="AI1575" i="8"/>
  <c r="AO1575" i="8" s="1"/>
  <c r="AQ1575" i="8" s="1"/>
  <c r="AI1574" i="8"/>
  <c r="AO1574" i="8" s="1"/>
  <c r="AQ1574" i="8" s="1"/>
  <c r="AO1573" i="8"/>
  <c r="AQ1573" i="8" s="1"/>
  <c r="AI1572" i="8"/>
  <c r="AO1572" i="8" s="1"/>
  <c r="AI1571" i="8"/>
  <c r="AO1571" i="8" s="1"/>
  <c r="AI1570" i="8"/>
  <c r="AO1570" i="8" s="1"/>
  <c r="AI1569" i="8"/>
  <c r="AO1569" i="8" s="1"/>
  <c r="AI1568" i="8"/>
  <c r="AO1568" i="8" s="1"/>
  <c r="AI1567" i="8"/>
  <c r="AO1567" i="8" s="1"/>
  <c r="AI1566" i="8"/>
  <c r="AO1566" i="8" s="1"/>
  <c r="AI1565" i="8"/>
  <c r="AO1565" i="8" s="1"/>
  <c r="AI1564" i="8"/>
  <c r="AO1564" i="8" s="1"/>
  <c r="AI1563" i="8"/>
  <c r="AO1563" i="8" s="1"/>
  <c r="AI1562" i="8"/>
  <c r="AO1562" i="8" s="1"/>
  <c r="AI1561" i="8"/>
  <c r="AO1561" i="8" s="1"/>
  <c r="AI1560" i="8"/>
  <c r="AO1560" i="8" s="1"/>
  <c r="AI1559" i="8"/>
  <c r="AB1558" i="8"/>
  <c r="AO1557" i="8"/>
  <c r="AQ1557" i="8" s="1"/>
  <c r="AO1556" i="8"/>
  <c r="AQ1556" i="8" s="1"/>
  <c r="AO1555" i="8"/>
  <c r="AO1554" i="8"/>
  <c r="AP1554" i="8" s="1"/>
  <c r="AO1553" i="8"/>
  <c r="AQ1553" i="8" s="1"/>
  <c r="AO1552" i="8"/>
  <c r="AO1551" i="8"/>
  <c r="AO1550" i="8"/>
  <c r="AQ1550" i="8" s="1"/>
  <c r="AL1549" i="8"/>
  <c r="AO1548" i="8"/>
  <c r="AQ1548" i="8" s="1"/>
  <c r="AO1547" i="8"/>
  <c r="AO1546" i="8"/>
  <c r="AP1546" i="8" s="1"/>
  <c r="Z1429" i="8"/>
  <c r="Z3422" i="8" s="1"/>
  <c r="AO1386" i="8"/>
  <c r="AQ1386" i="8" s="1"/>
  <c r="AO1385" i="8"/>
  <c r="AP1385" i="8" s="1"/>
  <c r="AL1545" i="8"/>
  <c r="AO1545" i="8" s="1"/>
  <c r="AP1545" i="8" s="1"/>
  <c r="AL1544" i="8"/>
  <c r="AO1544" i="8" s="1"/>
  <c r="AP1544" i="8" s="1"/>
  <c r="AI1543" i="8"/>
  <c r="AO1543" i="8" s="1"/>
  <c r="AP1543" i="8" s="1"/>
  <c r="AO1542" i="8"/>
  <c r="AI1541" i="8"/>
  <c r="AO1541" i="8" s="1"/>
  <c r="AQ1541" i="8" s="1"/>
  <c r="AI1540" i="8"/>
  <c r="AO1540" i="8" s="1"/>
  <c r="AQ1540" i="8" s="1"/>
  <c r="AI1539" i="8"/>
  <c r="AO1539" i="8" s="1"/>
  <c r="AQ1539" i="8" s="1"/>
  <c r="AI1538" i="8"/>
  <c r="AO1538" i="8" s="1"/>
  <c r="AQ1538" i="8" s="1"/>
  <c r="AI1537" i="8"/>
  <c r="AO1537" i="8" s="1"/>
  <c r="AI1536" i="8"/>
  <c r="AO1536" i="8" s="1"/>
  <c r="AI1535" i="8"/>
  <c r="AO1535" i="8" s="1"/>
  <c r="AQ1535" i="8" s="1"/>
  <c r="AI1534" i="8"/>
  <c r="AO1534" i="8" s="1"/>
  <c r="AQ1534" i="8" s="1"/>
  <c r="AI1533" i="8"/>
  <c r="AO1533" i="8" s="1"/>
  <c r="AO1532" i="8"/>
  <c r="AQ1532" i="8" s="1"/>
  <c r="AO1531" i="8"/>
  <c r="AI1530" i="8"/>
  <c r="AO1530" i="8" s="1"/>
  <c r="AO1529" i="8"/>
  <c r="AQ1529" i="8" s="1"/>
  <c r="AO1528" i="8"/>
  <c r="AO1527" i="8"/>
  <c r="AO1526" i="8"/>
  <c r="AO1525" i="8"/>
  <c r="AQ1525" i="8" s="1"/>
  <c r="AO1524" i="8"/>
  <c r="AO1523" i="8"/>
  <c r="AO1522" i="8"/>
  <c r="AO1521" i="8"/>
  <c r="AQ1521" i="8" s="1"/>
  <c r="AO1520" i="8"/>
  <c r="AQ1520" i="8" s="1"/>
  <c r="AI1519" i="8"/>
  <c r="AO1519" i="8" s="1"/>
  <c r="AI1518" i="8"/>
  <c r="AO1518" i="8" s="1"/>
  <c r="AI1517" i="8"/>
  <c r="AO1517" i="8" s="1"/>
  <c r="AI1516" i="8"/>
  <c r="AO1516" i="8" s="1"/>
  <c r="AI1515" i="8"/>
  <c r="AO1515" i="8" s="1"/>
  <c r="AI1514" i="8"/>
  <c r="AO1514" i="8" s="1"/>
  <c r="AI1513" i="8"/>
  <c r="AO1513" i="8" s="1"/>
  <c r="AI1512" i="8"/>
  <c r="AO1512" i="8" s="1"/>
  <c r="AI1511" i="8"/>
  <c r="AO1511" i="8" s="1"/>
  <c r="AI1510" i="8"/>
  <c r="AO1510" i="8" s="1"/>
  <c r="AI1509" i="8"/>
  <c r="AO1509" i="8" s="1"/>
  <c r="AI1508" i="8"/>
  <c r="AO1508" i="8" s="1"/>
  <c r="AI1507" i="8"/>
  <c r="AO1507" i="8" s="1"/>
  <c r="AI1506" i="8"/>
  <c r="AO1506" i="8" s="1"/>
  <c r="AI1505" i="8"/>
  <c r="AO1505" i="8" s="1"/>
  <c r="AO1504" i="8"/>
  <c r="AO1503" i="8"/>
  <c r="AO1502" i="8"/>
  <c r="AQ1502" i="8" s="1"/>
  <c r="AO1501" i="8"/>
  <c r="AO1500" i="8"/>
  <c r="AO1499" i="8"/>
  <c r="AO1498" i="8"/>
  <c r="AQ1498" i="8" s="1"/>
  <c r="AO1497" i="8"/>
  <c r="AQ1497" i="8" s="1"/>
  <c r="AO1496" i="8"/>
  <c r="AO1495" i="8"/>
  <c r="AO1494" i="8"/>
  <c r="AQ1494" i="8" s="1"/>
  <c r="AO1493" i="8"/>
  <c r="AQ1493" i="8" s="1"/>
  <c r="AO1492" i="8"/>
  <c r="AO1491" i="8"/>
  <c r="AL1490" i="8"/>
  <c r="AO1490" i="8" s="1"/>
  <c r="AO1489" i="8"/>
  <c r="AQ1489" i="8" s="1"/>
  <c r="AO1488" i="8"/>
  <c r="AO1487" i="8"/>
  <c r="AQ1487" i="8" s="1"/>
  <c r="AL1486" i="8"/>
  <c r="AO1486" i="8" s="1"/>
  <c r="AO1485" i="8"/>
  <c r="AI1484" i="8"/>
  <c r="AO1484" i="8" s="1"/>
  <c r="AI1483" i="8"/>
  <c r="AO1483" i="8" s="1"/>
  <c r="AI1482" i="8"/>
  <c r="AO1482" i="8" s="1"/>
  <c r="AI1481" i="8"/>
  <c r="AO1481" i="8" s="1"/>
  <c r="AI1480" i="8"/>
  <c r="AO1480" i="8" s="1"/>
  <c r="AI1479" i="8"/>
  <c r="AO1479" i="8" s="1"/>
  <c r="AO1478" i="8"/>
  <c r="AQ1478" i="8" s="1"/>
  <c r="AO1477" i="8"/>
  <c r="AP1477" i="8" s="1"/>
  <c r="AO1476" i="8"/>
  <c r="AO1475" i="8"/>
  <c r="AO1474" i="8"/>
  <c r="AQ1474" i="8" s="1"/>
  <c r="AO1473" i="8"/>
  <c r="AO1472" i="8"/>
  <c r="AQ1472" i="8" s="1"/>
  <c r="AO1471" i="8"/>
  <c r="AO1470" i="8"/>
  <c r="AQ1470" i="8" s="1"/>
  <c r="AO1469" i="8"/>
  <c r="AP1469" i="8" s="1"/>
  <c r="AO1468" i="8"/>
  <c r="AO1467" i="8"/>
  <c r="AO1466" i="8"/>
  <c r="AQ1466" i="8" s="1"/>
  <c r="AO1465" i="8"/>
  <c r="AO1464" i="8"/>
  <c r="AQ1464" i="8" s="1"/>
  <c r="AO1463" i="8"/>
  <c r="AO1462" i="8"/>
  <c r="AQ1462" i="8" s="1"/>
  <c r="AO1461" i="8"/>
  <c r="AP1461" i="8" s="1"/>
  <c r="AO1460" i="8"/>
  <c r="AO1459" i="8"/>
  <c r="AO1458" i="8"/>
  <c r="AQ1458" i="8" s="1"/>
  <c r="AO1457" i="8"/>
  <c r="AO1456" i="8"/>
  <c r="AQ1456" i="8" s="1"/>
  <c r="AO1455" i="8"/>
  <c r="AO1454" i="8"/>
  <c r="AO1453" i="8"/>
  <c r="AO1452" i="8"/>
  <c r="AP1452" i="8" s="1"/>
  <c r="AI1451" i="8"/>
  <c r="AO1451" i="8" s="1"/>
  <c r="AQ1451" i="8" s="1"/>
  <c r="AO1450" i="8"/>
  <c r="AQ1450" i="8" s="1"/>
  <c r="AO1449" i="8"/>
  <c r="AO1448" i="8"/>
  <c r="AQ1448" i="8" s="1"/>
  <c r="AO1447" i="8"/>
  <c r="AP1447" i="8" s="1"/>
  <c r="AO1446" i="8"/>
  <c r="AQ1446" i="8" s="1"/>
  <c r="AI1445" i="8"/>
  <c r="AO1445" i="8" s="1"/>
  <c r="AO1444" i="8"/>
  <c r="AO1443" i="8"/>
  <c r="AO1442" i="8"/>
  <c r="AQ1442" i="8" s="1"/>
  <c r="AO1441" i="8"/>
  <c r="AO1440" i="8"/>
  <c r="AO1439" i="8"/>
  <c r="AQ1439" i="8" s="1"/>
  <c r="AO1438" i="8"/>
  <c r="AP1438" i="8" s="1"/>
  <c r="AO1437" i="8"/>
  <c r="AQ1437" i="8" s="1"/>
  <c r="AI1436" i="8"/>
  <c r="AO1436" i="8" s="1"/>
  <c r="AO1435" i="8"/>
  <c r="AO1434" i="8"/>
  <c r="AQ1434" i="8" s="1"/>
  <c r="AO1433" i="8"/>
  <c r="AQ1433" i="8" s="1"/>
  <c r="AO1432" i="8"/>
  <c r="AO1431" i="8"/>
  <c r="AO1430" i="8"/>
  <c r="AP1430" i="8" s="1"/>
  <c r="AO1428" i="8"/>
  <c r="AQ1428" i="8" s="1"/>
  <c r="AO1427" i="8"/>
  <c r="AO1426" i="8"/>
  <c r="AO1425" i="8"/>
  <c r="AO1424" i="8"/>
  <c r="AQ1424" i="8" s="1"/>
  <c r="AO1423" i="8"/>
  <c r="AQ1423" i="8" s="1"/>
  <c r="AO1422" i="8"/>
  <c r="AO1421" i="8"/>
  <c r="AO1420" i="8"/>
  <c r="AQ1420" i="8" s="1"/>
  <c r="AO1419" i="8"/>
  <c r="AQ1419" i="8" s="1"/>
  <c r="AO1418" i="8"/>
  <c r="AO1417" i="8"/>
  <c r="AO1416" i="8"/>
  <c r="AK1415" i="8"/>
  <c r="AO1415" i="8" s="1"/>
  <c r="AQ1415" i="8" s="1"/>
  <c r="AK1414" i="8"/>
  <c r="AO1413" i="8"/>
  <c r="AQ1413" i="8" s="1"/>
  <c r="AO1412" i="8"/>
  <c r="AO1411" i="8"/>
  <c r="AQ1411" i="8" s="1"/>
  <c r="AO1410" i="8"/>
  <c r="AQ1410" i="8" s="1"/>
  <c r="AO1409" i="8"/>
  <c r="AQ1409" i="8" s="1"/>
  <c r="AO1408" i="8"/>
  <c r="AO1407" i="8"/>
  <c r="AQ1407" i="8" s="1"/>
  <c r="AO1406" i="8"/>
  <c r="AQ1406" i="8" s="1"/>
  <c r="AO1405" i="8"/>
  <c r="AQ1405" i="8" s="1"/>
  <c r="AO1404" i="8"/>
  <c r="AO1403" i="8"/>
  <c r="AQ1403" i="8" s="1"/>
  <c r="AO1402" i="8"/>
  <c r="AQ1402" i="8" s="1"/>
  <c r="AO1401" i="8"/>
  <c r="AQ1401" i="8" s="1"/>
  <c r="AI1400" i="8"/>
  <c r="AO1400" i="8" s="1"/>
  <c r="AO1399" i="8"/>
  <c r="AO1398" i="8"/>
  <c r="AP1398" i="8" s="1"/>
  <c r="AI1397" i="8"/>
  <c r="AO1397" i="8" s="1"/>
  <c r="AO1396" i="8"/>
  <c r="AQ1396" i="8" s="1"/>
  <c r="AO1395" i="8"/>
  <c r="AQ1395" i="8" s="1"/>
  <c r="AO1394" i="8"/>
  <c r="AO1393" i="8"/>
  <c r="AQ1393" i="8" s="1"/>
  <c r="AO1392" i="8"/>
  <c r="AQ1392" i="8" s="1"/>
  <c r="AL1391" i="8"/>
  <c r="AO1391" i="8" s="1"/>
  <c r="AQ1391" i="8" s="1"/>
  <c r="AO1390" i="8"/>
  <c r="AQ1390" i="8" s="1"/>
  <c r="AO1389" i="8"/>
  <c r="AO1388" i="8"/>
  <c r="AQ1388" i="8" s="1"/>
  <c r="AO1387" i="8"/>
  <c r="AQ1387" i="8" s="1"/>
  <c r="AO1384" i="8"/>
  <c r="AQ1384" i="8" s="1"/>
  <c r="AI1383" i="8"/>
  <c r="AO1383" i="8" s="1"/>
  <c r="AO1382" i="8"/>
  <c r="AO1381" i="8"/>
  <c r="AP1381" i="8" s="1"/>
  <c r="AO1380" i="8"/>
  <c r="AQ1380" i="8" s="1"/>
  <c r="AO1379" i="8"/>
  <c r="AQ1379" i="8" s="1"/>
  <c r="AO1378" i="8"/>
  <c r="AO1377" i="8"/>
  <c r="AP1377" i="8" s="1"/>
  <c r="AO1376" i="8"/>
  <c r="AQ1376" i="8" s="1"/>
  <c r="AO1375" i="8"/>
  <c r="AQ1375" i="8" s="1"/>
  <c r="AO1374" i="8"/>
  <c r="AP1374" i="8" s="1"/>
  <c r="AO1373" i="8"/>
  <c r="AP1373" i="8" s="1"/>
  <c r="AO1372" i="8"/>
  <c r="AP1372" i="8" s="1"/>
  <c r="AO1371" i="8"/>
  <c r="AQ1371" i="8" s="1"/>
  <c r="AO1370" i="8"/>
  <c r="AQ1370" i="8" s="1"/>
  <c r="AO1369" i="8"/>
  <c r="AP1369" i="8" s="1"/>
  <c r="AO1368" i="8"/>
  <c r="AQ1368" i="8" s="1"/>
  <c r="AO1367" i="8"/>
  <c r="AP1367" i="8" s="1"/>
  <c r="AO1366" i="8"/>
  <c r="AQ1366" i="8" s="1"/>
  <c r="AO1365" i="8"/>
  <c r="AP1365" i="8" s="1"/>
  <c r="AO1364" i="8"/>
  <c r="AP1364" i="8" s="1"/>
  <c r="AO1363" i="8"/>
  <c r="AP1363" i="8" s="1"/>
  <c r="AL1362" i="8"/>
  <c r="AO1362" i="8" s="1"/>
  <c r="AL1361" i="8"/>
  <c r="AO1361" i="8" s="1"/>
  <c r="AO1360" i="8"/>
  <c r="AQ1360" i="8" s="1"/>
  <c r="AO1359" i="8"/>
  <c r="AO1358" i="8"/>
  <c r="AQ1358" i="8" s="1"/>
  <c r="AO1357" i="8"/>
  <c r="AP1357" i="8" s="1"/>
  <c r="AO1356" i="8"/>
  <c r="AQ1356" i="8" s="1"/>
  <c r="AO1355" i="8"/>
  <c r="AP1355" i="8" s="1"/>
  <c r="AO1354" i="8"/>
  <c r="AQ1354" i="8" s="1"/>
  <c r="AO1353" i="8"/>
  <c r="AP1353" i="8" s="1"/>
  <c r="AO1352" i="8"/>
  <c r="AQ1352" i="8" s="1"/>
  <c r="AO1351" i="8"/>
  <c r="AP1351" i="8" s="1"/>
  <c r="AO1350" i="8"/>
  <c r="AQ1350" i="8" s="1"/>
  <c r="AO1349" i="8"/>
  <c r="AP1349" i="8" s="1"/>
  <c r="AL1348" i="8"/>
  <c r="AO1348" i="8" s="1"/>
  <c r="AL1347" i="8"/>
  <c r="AO1347" i="8" s="1"/>
  <c r="AL1346" i="8"/>
  <c r="AO1345" i="8"/>
  <c r="AQ1345" i="8" s="1"/>
  <c r="AO1344" i="8"/>
  <c r="AP1344" i="8" s="1"/>
  <c r="AO1343" i="8"/>
  <c r="AQ1343" i="8" s="1"/>
  <c r="AO1342" i="8"/>
  <c r="AQ1342" i="8" s="1"/>
  <c r="AO1341" i="8"/>
  <c r="AQ1341" i="8" s="1"/>
  <c r="AO1340" i="8"/>
  <c r="AP1340" i="8" s="1"/>
  <c r="AO1339" i="8"/>
  <c r="AP1339" i="8" s="1"/>
  <c r="AO1338" i="8"/>
  <c r="AQ1338" i="8" s="1"/>
  <c r="AO1337" i="8"/>
  <c r="AQ1337" i="8" s="1"/>
  <c r="AO1336" i="8"/>
  <c r="AP1336" i="8" s="1"/>
  <c r="AO1335" i="8"/>
  <c r="AP1335" i="8" s="1"/>
  <c r="AO1334" i="8"/>
  <c r="AP1334" i="8" s="1"/>
  <c r="AO1333" i="8"/>
  <c r="AQ1333" i="8" s="1"/>
  <c r="AO1332" i="8"/>
  <c r="AP1332" i="8" s="1"/>
  <c r="AO1331" i="8"/>
  <c r="AQ1331" i="8" s="1"/>
  <c r="AO1330" i="8"/>
  <c r="AQ1330" i="8" s="1"/>
  <c r="AO1329" i="8"/>
  <c r="AQ1329" i="8" s="1"/>
  <c r="AO1328" i="8"/>
  <c r="AP1328" i="8" s="1"/>
  <c r="AO1327" i="8"/>
  <c r="AQ1327" i="8" s="1"/>
  <c r="AO1326" i="8"/>
  <c r="AP1326" i="8" s="1"/>
  <c r="AO1325" i="8"/>
  <c r="AQ1325" i="8" s="1"/>
  <c r="AO1324" i="8"/>
  <c r="AP1324" i="8" s="1"/>
  <c r="AO1323" i="8"/>
  <c r="AP1323" i="8" s="1"/>
  <c r="AO1322" i="8"/>
  <c r="AQ1322" i="8" s="1"/>
  <c r="AO1321" i="8"/>
  <c r="AO1287" i="8"/>
  <c r="AQ1287" i="8" s="1"/>
  <c r="AO1163" i="8"/>
  <c r="AQ1163" i="8" s="1"/>
  <c r="AO1145" i="8"/>
  <c r="AQ1145" i="8" s="1"/>
  <c r="AI1144" i="8"/>
  <c r="AO1144" i="8" s="1"/>
  <c r="AO1320" i="8"/>
  <c r="AO1319" i="8"/>
  <c r="AP1319" i="8" s="1"/>
  <c r="AI1318" i="8"/>
  <c r="AO1318" i="8" s="1"/>
  <c r="AQ1318" i="8" s="1"/>
  <c r="AL1317" i="8"/>
  <c r="AO1317" i="8" s="1"/>
  <c r="AQ1317" i="8" s="1"/>
  <c r="AO1316" i="8"/>
  <c r="AQ1316" i="8" s="1"/>
  <c r="AI1315" i="8"/>
  <c r="AO1315" i="8" s="1"/>
  <c r="AI1314" i="8"/>
  <c r="AO1314" i="8" s="1"/>
  <c r="AO1313" i="8"/>
  <c r="AQ1313" i="8" s="1"/>
  <c r="AO1312" i="8"/>
  <c r="AO1311" i="8"/>
  <c r="AQ1311" i="8" s="1"/>
  <c r="AO1310" i="8"/>
  <c r="AQ1310" i="8" s="1"/>
  <c r="AI1309" i="8"/>
  <c r="AO1309" i="8" s="1"/>
  <c r="AI1308" i="8"/>
  <c r="AO1308" i="8" s="1"/>
  <c r="AI1307" i="8"/>
  <c r="AO1307" i="8" s="1"/>
  <c r="AQ1307" i="8" s="1"/>
  <c r="AI1306" i="8"/>
  <c r="AO1306" i="8" s="1"/>
  <c r="AQ1306" i="8" s="1"/>
  <c r="AO1305" i="8"/>
  <c r="AI1304" i="8"/>
  <c r="AO1304" i="8" s="1"/>
  <c r="AP1304" i="8" s="1"/>
  <c r="AI1303" i="8"/>
  <c r="AO1303" i="8" s="1"/>
  <c r="AP1303" i="8" s="1"/>
  <c r="AO1302" i="8"/>
  <c r="AO1301" i="8"/>
  <c r="AP1301" i="8" s="1"/>
  <c r="AO1300" i="8"/>
  <c r="AQ1300" i="8" s="1"/>
  <c r="AO1299" i="8"/>
  <c r="AO1298" i="8"/>
  <c r="AP1298" i="8" s="1"/>
  <c r="AO1297" i="8"/>
  <c r="AQ1297" i="8" s="1"/>
  <c r="AO1296" i="8"/>
  <c r="AO1295" i="8"/>
  <c r="AQ1295" i="8" s="1"/>
  <c r="AO1294" i="8"/>
  <c r="AO1293" i="8"/>
  <c r="AQ1293" i="8" s="1"/>
  <c r="AO1292" i="8"/>
  <c r="AQ1292" i="8" s="1"/>
  <c r="AO1291" i="8"/>
  <c r="AO1290" i="8"/>
  <c r="AP1290" i="8" s="1"/>
  <c r="AO1289" i="8"/>
  <c r="AQ1289" i="8" s="1"/>
  <c r="AO1288" i="8"/>
  <c r="AO1286" i="8"/>
  <c r="AQ1286" i="8" s="1"/>
  <c r="AO1285" i="8"/>
  <c r="AO1284" i="8"/>
  <c r="AQ1284" i="8" s="1"/>
  <c r="AO1283" i="8"/>
  <c r="AP1283" i="8" s="1"/>
  <c r="AO1282" i="8"/>
  <c r="AO1281" i="8"/>
  <c r="AP1281" i="8" s="1"/>
  <c r="AO1280" i="8"/>
  <c r="AQ1280" i="8" s="1"/>
  <c r="AO1279" i="8"/>
  <c r="AO1278" i="8"/>
  <c r="AQ1278" i="8" s="1"/>
  <c r="AO1277" i="8"/>
  <c r="AO1276" i="8"/>
  <c r="AQ1276" i="8" s="1"/>
  <c r="AO1275" i="8"/>
  <c r="AO1274" i="8"/>
  <c r="AO1273" i="8"/>
  <c r="AP1273" i="8" s="1"/>
  <c r="AO1272" i="8"/>
  <c r="AQ1272" i="8" s="1"/>
  <c r="AO1271" i="8"/>
  <c r="AO1270" i="8"/>
  <c r="AQ1270" i="8" s="1"/>
  <c r="AO1269" i="8"/>
  <c r="AO1268" i="8"/>
  <c r="AQ1268" i="8" s="1"/>
  <c r="AO1267" i="8"/>
  <c r="AQ1267" i="8" s="1"/>
  <c r="AO1266" i="8"/>
  <c r="AO1265" i="8"/>
  <c r="AP1265" i="8" s="1"/>
  <c r="AO1264" i="8"/>
  <c r="AQ1264" i="8" s="1"/>
  <c r="AL1263" i="8"/>
  <c r="AO1263" i="8" s="1"/>
  <c r="AO1262" i="8"/>
  <c r="AO1261" i="8"/>
  <c r="AQ1261" i="8" s="1"/>
  <c r="AO1260" i="8"/>
  <c r="AL1259" i="8"/>
  <c r="AO1259" i="8" s="1"/>
  <c r="AP1259" i="8" s="1"/>
  <c r="AO1258" i="8"/>
  <c r="AQ1258" i="8" s="1"/>
  <c r="AO1257" i="8"/>
  <c r="AQ1257" i="8" s="1"/>
  <c r="AO1256" i="8"/>
  <c r="AQ1256" i="8" s="1"/>
  <c r="AO1255" i="8"/>
  <c r="AP1255" i="8" s="1"/>
  <c r="AL1254" i="8"/>
  <c r="AO1254" i="8" s="1"/>
  <c r="AO1253" i="8"/>
  <c r="AQ1253" i="8" s="1"/>
  <c r="AO1252" i="8"/>
  <c r="AQ1252" i="8" s="1"/>
  <c r="AO1251" i="8"/>
  <c r="AO1250" i="8"/>
  <c r="AP1250" i="8" s="1"/>
  <c r="AL1249" i="8"/>
  <c r="AO1249" i="8" s="1"/>
  <c r="AQ1249" i="8" s="1"/>
  <c r="AO1248" i="8"/>
  <c r="AQ1248" i="8" s="1"/>
  <c r="AB1247" i="8"/>
  <c r="AO1247" i="8" s="1"/>
  <c r="AP1247" i="8" s="1"/>
  <c r="AO1246" i="8"/>
  <c r="AP1246" i="8" s="1"/>
  <c r="AO1245" i="8"/>
  <c r="AQ1245" i="8" s="1"/>
  <c r="AO1244" i="8"/>
  <c r="AP1244" i="8" s="1"/>
  <c r="AO1243" i="8"/>
  <c r="AQ1243" i="8" s="1"/>
  <c r="AO1242" i="8"/>
  <c r="AQ1242" i="8" s="1"/>
  <c r="AB1241" i="8"/>
  <c r="AO1241" i="8" s="1"/>
  <c r="AO1240" i="8"/>
  <c r="AQ1240" i="8" s="1"/>
  <c r="AO1239" i="8"/>
  <c r="AO1238" i="8"/>
  <c r="AQ1238" i="8" s="1"/>
  <c r="AO1237" i="8"/>
  <c r="AQ1237" i="8" s="1"/>
  <c r="AL1236" i="8"/>
  <c r="AO1236" i="8" s="1"/>
  <c r="AO1235" i="8"/>
  <c r="AQ1235" i="8" s="1"/>
  <c r="AL1234" i="8"/>
  <c r="AO1234" i="8" s="1"/>
  <c r="AP1234" i="8" s="1"/>
  <c r="AL1233" i="8"/>
  <c r="AO1233" i="8" s="1"/>
  <c r="AO1232" i="8"/>
  <c r="AP1232" i="8" s="1"/>
  <c r="AL1231" i="8"/>
  <c r="AO1231" i="8" s="1"/>
  <c r="AQ1231" i="8" s="1"/>
  <c r="AO1230" i="8"/>
  <c r="AQ1230" i="8" s="1"/>
  <c r="AO1229" i="8"/>
  <c r="AO1228" i="8"/>
  <c r="AQ1228" i="8" s="1"/>
  <c r="AO1227" i="8"/>
  <c r="AL1226" i="8"/>
  <c r="AO1226" i="8" s="1"/>
  <c r="AP1226" i="8" s="1"/>
  <c r="AO1225" i="8"/>
  <c r="AQ1225" i="8" s="1"/>
  <c r="AO1224" i="8"/>
  <c r="AQ1224" i="8" s="1"/>
  <c r="AO1223" i="8"/>
  <c r="AQ1223" i="8" s="1"/>
  <c r="AO1222" i="8"/>
  <c r="AP1222" i="8" s="1"/>
  <c r="AO1221" i="8"/>
  <c r="AQ1221" i="8" s="1"/>
  <c r="AO1220" i="8"/>
  <c r="AP1220" i="8" s="1"/>
  <c r="AO1219" i="8"/>
  <c r="AQ1219" i="8" s="1"/>
  <c r="AO1218" i="8"/>
  <c r="AP1218" i="8" s="1"/>
  <c r="AO1217" i="8"/>
  <c r="AQ1217" i="8" s="1"/>
  <c r="AO1216" i="8"/>
  <c r="AQ1216" i="8" s="1"/>
  <c r="AO1215" i="8"/>
  <c r="AQ1215" i="8" s="1"/>
  <c r="AO1214" i="8"/>
  <c r="AP1214" i="8" s="1"/>
  <c r="AO1213" i="8"/>
  <c r="AQ1213" i="8" s="1"/>
  <c r="AO1212" i="8"/>
  <c r="AP1212" i="8" s="1"/>
  <c r="AO1211" i="8"/>
  <c r="AQ1211" i="8" s="1"/>
  <c r="AO1210" i="8"/>
  <c r="AP1210" i="8" s="1"/>
  <c r="AO1209" i="8"/>
  <c r="AQ1209" i="8" s="1"/>
  <c r="AO1208" i="8"/>
  <c r="AQ1208" i="8" s="1"/>
  <c r="AO1207" i="8"/>
  <c r="AQ1207" i="8" s="1"/>
  <c r="AO1206" i="8"/>
  <c r="AP1206" i="8" s="1"/>
  <c r="AL1205" i="8"/>
  <c r="AO1205" i="8" s="1"/>
  <c r="AO1204" i="8"/>
  <c r="AQ1204" i="8" s="1"/>
  <c r="AO1203" i="8"/>
  <c r="AQ1203" i="8" s="1"/>
  <c r="AO1202" i="8"/>
  <c r="AO1201" i="8"/>
  <c r="AP1201" i="8" s="1"/>
  <c r="AO1200" i="8"/>
  <c r="AQ1200" i="8" s="1"/>
  <c r="AB1199" i="8"/>
  <c r="AO1199" i="8" s="1"/>
  <c r="AO1198" i="8"/>
  <c r="AO1197" i="8"/>
  <c r="AO1196" i="8"/>
  <c r="AO1195" i="8"/>
  <c r="AQ1195" i="8" s="1"/>
  <c r="AO1194" i="8"/>
  <c r="AQ1194" i="8" s="1"/>
  <c r="AO1193" i="8"/>
  <c r="AL1192" i="8"/>
  <c r="AO1192" i="8" s="1"/>
  <c r="AP1192" i="8" s="1"/>
  <c r="AO1191" i="8"/>
  <c r="AP1191" i="8" s="1"/>
  <c r="AO1190" i="8"/>
  <c r="AQ1190" i="8" s="1"/>
  <c r="AO1189" i="8"/>
  <c r="AI1188" i="8"/>
  <c r="AO1188" i="8" s="1"/>
  <c r="AQ1188" i="8" s="1"/>
  <c r="AO1187" i="8"/>
  <c r="AO1186" i="8"/>
  <c r="AP1186" i="8" s="1"/>
  <c r="AO1185" i="8"/>
  <c r="AQ1185" i="8" s="1"/>
  <c r="AO1184" i="8"/>
  <c r="AO1183" i="8"/>
  <c r="AQ1183" i="8" s="1"/>
  <c r="AL1182" i="8"/>
  <c r="AO1182" i="8" s="1"/>
  <c r="AO1181" i="8"/>
  <c r="AP1181" i="8" s="1"/>
  <c r="AL1180" i="8"/>
  <c r="AO1180" i="8" s="1"/>
  <c r="AQ1180" i="8" s="1"/>
  <c r="AL1179" i="8"/>
  <c r="AO1179" i="8" s="1"/>
  <c r="AQ1179" i="8" s="1"/>
  <c r="AL1178" i="8"/>
  <c r="AO1178" i="8" s="1"/>
  <c r="AL1177" i="8"/>
  <c r="AO1177" i="8" s="1"/>
  <c r="AP1177" i="8" s="1"/>
  <c r="AL1176" i="8"/>
  <c r="AO1176" i="8" s="1"/>
  <c r="AQ1176" i="8" s="1"/>
  <c r="AL1175" i="8"/>
  <c r="AO1175" i="8" s="1"/>
  <c r="AQ1175" i="8" s="1"/>
  <c r="AO1174" i="8"/>
  <c r="AQ1174" i="8" s="1"/>
  <c r="AO1173" i="8"/>
  <c r="AO1172" i="8"/>
  <c r="AP1172" i="8" s="1"/>
  <c r="AO1171" i="8"/>
  <c r="AL1170" i="8"/>
  <c r="AO1170" i="8" s="1"/>
  <c r="AQ1170" i="8" s="1"/>
  <c r="AO1169" i="8"/>
  <c r="AQ1169" i="8" s="1"/>
  <c r="AI1168" i="8"/>
  <c r="AO1168" i="8" s="1"/>
  <c r="AO1167" i="8"/>
  <c r="AO1166" i="8"/>
  <c r="AP1166" i="8" s="1"/>
  <c r="AO1165" i="8"/>
  <c r="AP1165" i="8" s="1"/>
  <c r="AO1164" i="8"/>
  <c r="AQ1164" i="8" s="1"/>
  <c r="AO1162" i="8"/>
  <c r="AO1161" i="8"/>
  <c r="AP1161" i="8" s="1"/>
  <c r="AO1160" i="8"/>
  <c r="AP1160" i="8" s="1"/>
  <c r="AO1159" i="8"/>
  <c r="AQ1159" i="8" s="1"/>
  <c r="AO1158" i="8"/>
  <c r="AO1157" i="8"/>
  <c r="AP1157" i="8" s="1"/>
  <c r="AO1156" i="8"/>
  <c r="AP1156" i="8" s="1"/>
  <c r="AO1155" i="8"/>
  <c r="AQ1155" i="8" s="1"/>
  <c r="AO1154" i="8"/>
  <c r="AL1153" i="8"/>
  <c r="AO1153" i="8" s="1"/>
  <c r="AP1153" i="8" s="1"/>
  <c r="AO1152" i="8"/>
  <c r="AP1152" i="8" s="1"/>
  <c r="AO1151" i="8"/>
  <c r="AQ1151" i="8" s="1"/>
  <c r="AO1150" i="8"/>
  <c r="AQ1150" i="8" s="1"/>
  <c r="AO1149" i="8"/>
  <c r="AO1148" i="8"/>
  <c r="AP1148" i="8" s="1"/>
  <c r="AL1147" i="8"/>
  <c r="AO1147" i="8" s="1"/>
  <c r="AP1147" i="8" s="1"/>
  <c r="AO1146" i="8"/>
  <c r="AP1146" i="8" s="1"/>
  <c r="AO1143" i="8"/>
  <c r="AQ1143" i="8" s="1"/>
  <c r="AO1142" i="8"/>
  <c r="AO1141" i="8"/>
  <c r="AP1141" i="8" s="1"/>
  <c r="AO1140" i="8"/>
  <c r="AQ1140" i="8" s="1"/>
  <c r="AO1139" i="8"/>
  <c r="AQ1139" i="8" s="1"/>
  <c r="AL1138" i="8"/>
  <c r="AO1138" i="8" s="1"/>
  <c r="AO1137" i="8"/>
  <c r="AO1136" i="8"/>
  <c r="AP1136" i="8" s="1"/>
  <c r="AO1135" i="8"/>
  <c r="AQ1135" i="8" s="1"/>
  <c r="AO1134" i="8"/>
  <c r="AQ1134" i="8" s="1"/>
  <c r="AO1133" i="8"/>
  <c r="AL1132" i="8"/>
  <c r="AO1132" i="8" s="1"/>
  <c r="AP1132" i="8" s="1"/>
  <c r="AO1131" i="8"/>
  <c r="AP1131" i="8" s="1"/>
  <c r="AO1130" i="8"/>
  <c r="AQ1130" i="8" s="1"/>
  <c r="AO1129" i="8"/>
  <c r="AQ1129" i="8" s="1"/>
  <c r="AO1128" i="8"/>
  <c r="AO1127" i="8"/>
  <c r="AP1127" i="8" s="1"/>
  <c r="AO1126" i="8"/>
  <c r="AP1126" i="8" s="1"/>
  <c r="AO1125" i="8"/>
  <c r="AQ1125" i="8" s="1"/>
  <c r="AO1124" i="8"/>
  <c r="AO1123" i="8"/>
  <c r="AP1123" i="8" s="1"/>
  <c r="AL1122" i="8"/>
  <c r="AO1122" i="8" s="1"/>
  <c r="AQ1122" i="8" s="1"/>
  <c r="AL1121" i="8"/>
  <c r="AO1121" i="8" s="1"/>
  <c r="AQ1121" i="8" s="1"/>
  <c r="AO1120" i="8"/>
  <c r="AQ1120" i="8" s="1"/>
  <c r="AL1119" i="8"/>
  <c r="AO1119" i="8" s="1"/>
  <c r="AQ1119" i="8" s="1"/>
  <c r="AO1118" i="8"/>
  <c r="AQ1118" i="8" s="1"/>
  <c r="AO1117" i="8"/>
  <c r="AO1116" i="8"/>
  <c r="AP1116" i="8" s="1"/>
  <c r="AO1115" i="8"/>
  <c r="AQ1115" i="8" s="1"/>
  <c r="AL1114" i="8"/>
  <c r="AO1114" i="8" s="1"/>
  <c r="AQ1114" i="8" s="1"/>
  <c r="AL1113" i="8"/>
  <c r="AO1113" i="8" s="1"/>
  <c r="AQ1113" i="8" s="1"/>
  <c r="AO1112" i="8"/>
  <c r="AQ1112" i="8" s="1"/>
  <c r="AO1111" i="8"/>
  <c r="AQ1111" i="8" s="1"/>
  <c r="AO1110" i="8"/>
  <c r="AP1110" i="8" s="1"/>
  <c r="AO1109" i="8"/>
  <c r="AQ1109" i="8" s="1"/>
  <c r="AO1108" i="8"/>
  <c r="AQ1108" i="8" s="1"/>
  <c r="AL1107" i="8"/>
  <c r="AO1107" i="8" s="1"/>
  <c r="AO1106" i="8"/>
  <c r="AQ1106" i="8" s="1"/>
  <c r="AB1105" i="8"/>
  <c r="AO1105" i="8" s="1"/>
  <c r="AO1104" i="8"/>
  <c r="AP1104" i="8" s="1"/>
  <c r="AO1103" i="8"/>
  <c r="AQ1103" i="8" s="1"/>
  <c r="AL1102" i="8"/>
  <c r="AO1102" i="8" s="1"/>
  <c r="AQ1102" i="8" s="1"/>
  <c r="AL1101" i="8"/>
  <c r="AO1101" i="8" s="1"/>
  <c r="AQ1101" i="8" s="1"/>
  <c r="AO1100" i="8"/>
  <c r="AQ1100" i="8" s="1"/>
  <c r="AO1099" i="8"/>
  <c r="AQ1099" i="8" s="1"/>
  <c r="AO1098" i="8"/>
  <c r="AP1098" i="8" s="1"/>
  <c r="AO1097" i="8"/>
  <c r="AQ1097" i="8" s="1"/>
  <c r="AO1096" i="8"/>
  <c r="AQ1096" i="8" s="1"/>
  <c r="AO1095" i="8"/>
  <c r="AQ1095" i="8" s="1"/>
  <c r="AI1094" i="8"/>
  <c r="AO1094" i="8" s="1"/>
  <c r="AO1093" i="8"/>
  <c r="AQ1093" i="8" s="1"/>
  <c r="AO1092" i="8"/>
  <c r="AQ1092" i="8" s="1"/>
  <c r="AO1091" i="8"/>
  <c r="AP1091" i="8" s="1"/>
  <c r="AO1090" i="8"/>
  <c r="AQ1090" i="8" s="1"/>
  <c r="AO1089" i="8"/>
  <c r="AQ1089" i="8" s="1"/>
  <c r="AO1088" i="8"/>
  <c r="AQ1088" i="8" s="1"/>
  <c r="AL1087" i="8"/>
  <c r="AO1087" i="8" s="1"/>
  <c r="AQ1087" i="8" s="1"/>
  <c r="AO1086" i="8"/>
  <c r="AQ1086" i="8" s="1"/>
  <c r="AL1085" i="8"/>
  <c r="AO1085" i="8" s="1"/>
  <c r="AL1084" i="8"/>
  <c r="AO1084" i="8" s="1"/>
  <c r="AO1083" i="8"/>
  <c r="AQ1083" i="8" s="1"/>
  <c r="AL1082" i="8"/>
  <c r="AO1082" i="8" s="1"/>
  <c r="AO1081" i="8"/>
  <c r="AQ1081" i="8" s="1"/>
  <c r="AO1080" i="8"/>
  <c r="AQ1080" i="8" s="1"/>
  <c r="AB1079" i="8"/>
  <c r="AO1079" i="8" s="1"/>
  <c r="AP1079" i="8" s="1"/>
  <c r="AO1078" i="8"/>
  <c r="AP1078" i="8" s="1"/>
  <c r="AO1077" i="8"/>
  <c r="AQ1077" i="8" s="1"/>
  <c r="AL1076" i="8"/>
  <c r="AO1076" i="8" s="1"/>
  <c r="AO1075" i="8"/>
  <c r="AQ1075" i="8" s="1"/>
  <c r="AO1074" i="8"/>
  <c r="AQ1074" i="8" s="1"/>
  <c r="AO1073" i="8"/>
  <c r="AP1073" i="8" s="1"/>
  <c r="AO1072" i="8"/>
  <c r="AQ1072" i="8" s="1"/>
  <c r="AO1071" i="8"/>
  <c r="AQ1071" i="8" s="1"/>
  <c r="AB1070" i="8"/>
  <c r="AO1070" i="8" s="1"/>
  <c r="AQ1070" i="8" s="1"/>
  <c r="AO1069" i="8"/>
  <c r="AQ1069" i="8" s="1"/>
  <c r="AO1068" i="8"/>
  <c r="AQ1068" i="8" s="1"/>
  <c r="AO1067" i="8"/>
  <c r="AQ1067" i="8" s="1"/>
  <c r="AO1066" i="8"/>
  <c r="AQ1066" i="8" s="1"/>
  <c r="AO1065" i="8"/>
  <c r="AQ1065" i="8" s="1"/>
  <c r="AL1064" i="8"/>
  <c r="AO1064" i="8" s="1"/>
  <c r="AP1064" i="8" s="1"/>
  <c r="AO1063" i="8"/>
  <c r="AP1063" i="8" s="1"/>
  <c r="AO1062" i="8"/>
  <c r="AQ1062" i="8" s="1"/>
  <c r="AO1061" i="8"/>
  <c r="AP1061" i="8" s="1"/>
  <c r="AO1060" i="8"/>
  <c r="AQ1060" i="8" s="1"/>
  <c r="AO1059" i="8"/>
  <c r="AQ1059" i="8" s="1"/>
  <c r="AO1058" i="8"/>
  <c r="AQ1058" i="8" s="1"/>
  <c r="AO1057" i="8"/>
  <c r="AP1057" i="8" s="1"/>
  <c r="AO1056" i="8"/>
  <c r="AQ1056" i="8" s="1"/>
  <c r="AG1055" i="8"/>
  <c r="AO1055" i="8" s="1"/>
  <c r="AP1055" i="8" s="1"/>
  <c r="AG1054" i="8"/>
  <c r="AL1053" i="8"/>
  <c r="AO1053" i="8" s="1"/>
  <c r="AP1053" i="8" s="1"/>
  <c r="AI1052" i="8"/>
  <c r="AO1052" i="8" s="1"/>
  <c r="AP1052" i="8" s="1"/>
  <c r="AI1051" i="8"/>
  <c r="AO1050" i="8"/>
  <c r="AP1050" i="8" s="1"/>
  <c r="AO1049" i="8"/>
  <c r="AQ1049" i="8" s="1"/>
  <c r="AO1048" i="8"/>
  <c r="AQ1048" i="8" s="1"/>
  <c r="AO1047" i="8"/>
  <c r="AQ1047" i="8" s="1"/>
  <c r="AO1046" i="8"/>
  <c r="AP1046" i="8" s="1"/>
  <c r="AO1045" i="8"/>
  <c r="AQ1045" i="8" s="1"/>
  <c r="AO1044" i="8"/>
  <c r="AQ1044" i="8" s="1"/>
  <c r="AO1043" i="8"/>
  <c r="AQ1043" i="8" s="1"/>
  <c r="AO1042" i="8"/>
  <c r="AQ1042" i="8" s="1"/>
  <c r="AO1041" i="8"/>
  <c r="AQ1041" i="8" s="1"/>
  <c r="AO1040" i="8"/>
  <c r="AQ1040" i="8" s="1"/>
  <c r="AO1039" i="8"/>
  <c r="AQ1039" i="8" s="1"/>
  <c r="AO1038" i="8"/>
  <c r="AQ1038" i="8" s="1"/>
  <c r="AO1037" i="8"/>
  <c r="AQ1037" i="8" s="1"/>
  <c r="AO1036" i="8"/>
  <c r="AQ1036" i="8" s="1"/>
  <c r="AO1035" i="8"/>
  <c r="AQ1035" i="8" s="1"/>
  <c r="AL1034" i="8"/>
  <c r="AK3422" i="8" l="1"/>
  <c r="AO1051" i="8"/>
  <c r="AP1051" i="8" s="1"/>
  <c r="AI3422" i="8"/>
  <c r="AO1881" i="8"/>
  <c r="AP1881" i="8" s="1"/>
  <c r="Y3422" i="8"/>
  <c r="AO1034" i="8"/>
  <c r="AL3422" i="8"/>
  <c r="AO1054" i="8"/>
  <c r="AP1054" i="8" s="1"/>
  <c r="AG3422" i="8"/>
  <c r="AP1708" i="8"/>
  <c r="AQ2157" i="8"/>
  <c r="AP1535" i="8"/>
  <c r="AQ1546" i="8"/>
  <c r="AP2073" i="8"/>
  <c r="AQ2170" i="8"/>
  <c r="AQ2180" i="8"/>
  <c r="AP1581" i="8"/>
  <c r="AQ1855" i="8"/>
  <c r="AQ1945" i="8"/>
  <c r="AP1877" i="8"/>
  <c r="AQ1899" i="8"/>
  <c r="AQ1969" i="8"/>
  <c r="AP1990" i="8"/>
  <c r="AP2035" i="8"/>
  <c r="AP2067" i="8"/>
  <c r="AQ2091" i="8"/>
  <c r="AP2098" i="8"/>
  <c r="AQ2145" i="8"/>
  <c r="AP1424" i="8"/>
  <c r="AP1532" i="8"/>
  <c r="AQ1659" i="8"/>
  <c r="AQ1805" i="8"/>
  <c r="AP1868" i="8"/>
  <c r="AQ1871" i="8"/>
  <c r="AP1893" i="8"/>
  <c r="AP1972" i="8"/>
  <c r="AQ1975" i="8"/>
  <c r="AP1982" i="8"/>
  <c r="AP1984" i="8"/>
  <c r="AP2017" i="8"/>
  <c r="AP1493" i="8"/>
  <c r="AP1556" i="8"/>
  <c r="AQ1907" i="8"/>
  <c r="AQ1914" i="8"/>
  <c r="AP1917" i="8"/>
  <c r="AQ1970" i="8"/>
  <c r="AP1999" i="8"/>
  <c r="AQ2040" i="8"/>
  <c r="AQ2128" i="8"/>
  <c r="AQ2154" i="8"/>
  <c r="AQ1533" i="8"/>
  <c r="AP1533" i="8"/>
  <c r="AQ1528" i="8"/>
  <c r="AP1528" i="8"/>
  <c r="AP1406" i="8"/>
  <c r="AO1414" i="8"/>
  <c r="AQ1414" i="8" s="1"/>
  <c r="AQ1452" i="8"/>
  <c r="AP1487" i="8"/>
  <c r="AP1497" i="8"/>
  <c r="AP1534" i="8"/>
  <c r="AQ1536" i="8"/>
  <c r="AP1536" i="8"/>
  <c r="AP1555" i="8"/>
  <c r="AQ1555" i="8"/>
  <c r="AQ1652" i="8"/>
  <c r="AP1652" i="8"/>
  <c r="AQ1669" i="8"/>
  <c r="AP1669" i="8"/>
  <c r="AQ1846" i="8"/>
  <c r="AQ1931" i="8"/>
  <c r="AQ1943" i="8"/>
  <c r="AP1943" i="8"/>
  <c r="AP1959" i="8"/>
  <c r="AP1962" i="8"/>
  <c r="AP1965" i="8"/>
  <c r="AP1977" i="8"/>
  <c r="AQ1977" i="8"/>
  <c r="AP2179" i="8"/>
  <c r="AQ2179" i="8"/>
  <c r="AQ1537" i="8"/>
  <c r="AP1537" i="8"/>
  <c r="AP1660" i="8"/>
  <c r="AQ1660" i="8"/>
  <c r="AQ1670" i="8"/>
  <c r="AP1670" i="8"/>
  <c r="AQ1879" i="8"/>
  <c r="AP1879" i="8"/>
  <c r="AP1729" i="8"/>
  <c r="AQ1863" i="8"/>
  <c r="AQ1870" i="8"/>
  <c r="AP1870" i="8"/>
  <c r="AQ2003" i="8"/>
  <c r="AP2003" i="8"/>
  <c r="AP2078" i="8"/>
  <c r="AQ2078" i="8"/>
  <c r="AP1396" i="8"/>
  <c r="AP1552" i="8"/>
  <c r="AQ1552" i="8"/>
  <c r="AQ1588" i="8"/>
  <c r="AP1588" i="8"/>
  <c r="AP1633" i="8"/>
  <c r="AQ1724" i="8"/>
  <c r="AP1724" i="8"/>
  <c r="AQ1749" i="8"/>
  <c r="AP1757" i="8"/>
  <c r="AQ1760" i="8"/>
  <c r="AP1884" i="8"/>
  <c r="AP1888" i="8"/>
  <c r="AQ1888" i="8"/>
  <c r="AP1925" i="8"/>
  <c r="AQ1925" i="8"/>
  <c r="AQ1954" i="8"/>
  <c r="AP1957" i="8"/>
  <c r="AP2005" i="8"/>
  <c r="AQ2005" i="8"/>
  <c r="AQ2110" i="8"/>
  <c r="AP2110" i="8"/>
  <c r="AQ2153" i="8"/>
  <c r="AP2153" i="8"/>
  <c r="AP1952" i="8"/>
  <c r="AQ1952" i="8"/>
  <c r="AQ2120" i="8"/>
  <c r="AP2120" i="8"/>
  <c r="AQ2131" i="8"/>
  <c r="AP2131" i="8"/>
  <c r="AP2150" i="8"/>
  <c r="AQ2150" i="8"/>
  <c r="AQ2009" i="8"/>
  <c r="AP2026" i="8"/>
  <c r="AQ2039" i="8"/>
  <c r="AQ2049" i="8"/>
  <c r="AP2056" i="8"/>
  <c r="AP2063" i="8"/>
  <c r="AQ2077" i="8"/>
  <c r="AP2135" i="8"/>
  <c r="AQ2146" i="8"/>
  <c r="AP2149" i="8"/>
  <c r="AP2171" i="8"/>
  <c r="AQ2178" i="8"/>
  <c r="AP2181" i="8"/>
  <c r="AP1612" i="8"/>
  <c r="AP1750" i="8"/>
  <c r="AQ1752" i="8"/>
  <c r="AP1851" i="8"/>
  <c r="AQ1903" i="8"/>
  <c r="AP1919" i="8"/>
  <c r="AP1950" i="8"/>
  <c r="AP1976" i="8"/>
  <c r="AP1978" i="8"/>
  <c r="AQ1986" i="8"/>
  <c r="AP1992" i="8"/>
  <c r="AQ1995" i="8"/>
  <c r="AP2013" i="8"/>
  <c r="AQ2079" i="8"/>
  <c r="AQ2087" i="8"/>
  <c r="AP2103" i="8"/>
  <c r="AQ2105" i="8"/>
  <c r="AQ2115" i="8"/>
  <c r="AP2130" i="8"/>
  <c r="AP2139" i="8"/>
  <c r="AQ2142" i="8"/>
  <c r="AQ2158" i="8"/>
  <c r="AQ1601" i="8"/>
  <c r="AP1601" i="8"/>
  <c r="AQ1590" i="8"/>
  <c r="AP1590" i="8"/>
  <c r="AQ1594" i="8"/>
  <c r="AP1594" i="8"/>
  <c r="AQ1598" i="8"/>
  <c r="AP1598" i="8"/>
  <c r="AQ1602" i="8"/>
  <c r="AP1602" i="8"/>
  <c r="AQ1661" i="8"/>
  <c r="AP1661" i="8"/>
  <c r="AQ1665" i="8"/>
  <c r="AP1665" i="8"/>
  <c r="AP1397" i="8"/>
  <c r="AQ1397" i="8"/>
  <c r="AQ1593" i="8"/>
  <c r="AP1593" i="8"/>
  <c r="AQ1591" i="8"/>
  <c r="AP1591" i="8"/>
  <c r="AQ1595" i="8"/>
  <c r="AP1595" i="8"/>
  <c r="AQ1599" i="8"/>
  <c r="AP1599" i="8"/>
  <c r="AQ1603" i="8"/>
  <c r="AP1603" i="8"/>
  <c r="AQ1662" i="8"/>
  <c r="AP1662" i="8"/>
  <c r="AQ1666" i="8"/>
  <c r="AP1666" i="8"/>
  <c r="AQ1589" i="8"/>
  <c r="AP1589" i="8"/>
  <c r="AQ1597" i="8"/>
  <c r="AP1597" i="8"/>
  <c r="AQ1664" i="8"/>
  <c r="AP1664" i="8"/>
  <c r="AP1144" i="8"/>
  <c r="AQ1144" i="8"/>
  <c r="AQ1592" i="8"/>
  <c r="AP1592" i="8"/>
  <c r="AQ1596" i="8"/>
  <c r="AP1596" i="8"/>
  <c r="AQ1600" i="8"/>
  <c r="AP1600" i="8"/>
  <c r="AQ1604" i="8"/>
  <c r="AP1604" i="8"/>
  <c r="AQ1663" i="8"/>
  <c r="AP1663" i="8"/>
  <c r="AQ1667" i="8"/>
  <c r="AP1667" i="8"/>
  <c r="AQ1787" i="8"/>
  <c r="AP1787" i="8"/>
  <c r="AP1810" i="8"/>
  <c r="AQ1810" i="8"/>
  <c r="AQ1220" i="8"/>
  <c r="AP1420" i="8"/>
  <c r="AP1439" i="8"/>
  <c r="AP1456" i="8"/>
  <c r="AQ1469" i="8"/>
  <c r="AP1472" i="8"/>
  <c r="AP1668" i="8"/>
  <c r="AP1671" i="8"/>
  <c r="AQ1715" i="8"/>
  <c r="AP1715" i="8"/>
  <c r="AQ1784" i="8"/>
  <c r="AP1784" i="8"/>
  <c r="AQ1808" i="8"/>
  <c r="AP1813" i="8"/>
  <c r="AQ1813" i="8"/>
  <c r="AQ1897" i="8"/>
  <c r="AP1897" i="8"/>
  <c r="AQ1902" i="8"/>
  <c r="AP1902" i="8"/>
  <c r="AP1908" i="8"/>
  <c r="AQ1908" i="8"/>
  <c r="AQ1921" i="8"/>
  <c r="AP1921" i="8"/>
  <c r="AQ1980" i="8"/>
  <c r="AP1980" i="8"/>
  <c r="AP2068" i="8"/>
  <c r="AQ2068" i="8"/>
  <c r="AQ2084" i="8"/>
  <c r="AP2084" i="8"/>
  <c r="AQ2086" i="8"/>
  <c r="AP2086" i="8"/>
  <c r="AQ2096" i="8"/>
  <c r="AP2096" i="8"/>
  <c r="AQ2140" i="8"/>
  <c r="AP2140" i="8"/>
  <c r="AP1887" i="8"/>
  <c r="AQ1887" i="8"/>
  <c r="AQ1920" i="8"/>
  <c r="AP1920" i="8"/>
  <c r="AQ2011" i="8"/>
  <c r="AP2011" i="8"/>
  <c r="AP2028" i="8"/>
  <c r="AQ2028" i="8"/>
  <c r="AP2048" i="8"/>
  <c r="AQ2048" i="8"/>
  <c r="AQ2060" i="8"/>
  <c r="AP2060" i="8"/>
  <c r="AQ2112" i="8"/>
  <c r="AP2112" i="8"/>
  <c r="AQ2136" i="8"/>
  <c r="AP2136" i="8"/>
  <c r="AP1195" i="8"/>
  <c r="AP1145" i="8"/>
  <c r="AP1520" i="8"/>
  <c r="AQ1702" i="8"/>
  <c r="AP1702" i="8"/>
  <c r="AP1731" i="8"/>
  <c r="AQ1744" i="8"/>
  <c r="AP1744" i="8"/>
  <c r="AP1804" i="8"/>
  <c r="AQ1804" i="8"/>
  <c r="AP1873" i="8"/>
  <c r="AQ1873" i="8"/>
  <c r="AQ1892" i="8"/>
  <c r="AP1892" i="8"/>
  <c r="AQ1913" i="8"/>
  <c r="AP1913" i="8"/>
  <c r="AP1960" i="8"/>
  <c r="AQ1960" i="8"/>
  <c r="AQ2001" i="8"/>
  <c r="AP2001" i="8"/>
  <c r="AP2019" i="8"/>
  <c r="AQ2019" i="8"/>
  <c r="AQ2058" i="8"/>
  <c r="AP2058" i="8"/>
  <c r="AQ2104" i="8"/>
  <c r="AP2104" i="8"/>
  <c r="AQ2127" i="8"/>
  <c r="AP2127" i="8"/>
  <c r="AQ2141" i="8"/>
  <c r="AP2141" i="8"/>
  <c r="AP1387" i="8"/>
  <c r="AQ1461" i="8"/>
  <c r="AP1464" i="8"/>
  <c r="AQ1477" i="8"/>
  <c r="AQ1385" i="8"/>
  <c r="AP1582" i="8"/>
  <c r="AP1814" i="8"/>
  <c r="AQ1814" i="8"/>
  <c r="AQ1836" i="8"/>
  <c r="AP1836" i="8"/>
  <c r="AQ1896" i="8"/>
  <c r="AP1896" i="8"/>
  <c r="AQ1898" i="8"/>
  <c r="AP1898" i="8"/>
  <c r="AQ1930" i="8"/>
  <c r="AP1930" i="8"/>
  <c r="AQ1974" i="8"/>
  <c r="AP1974" i="8"/>
  <c r="AQ2085" i="8"/>
  <c r="AP2085" i="8"/>
  <c r="AP2097" i="8"/>
  <c r="AQ2132" i="8"/>
  <c r="AP2132" i="8"/>
  <c r="AQ1709" i="8"/>
  <c r="AQ1890" i="8"/>
  <c r="AQ1936" i="8"/>
  <c r="AQ1946" i="8"/>
  <c r="AP1949" i="8"/>
  <c r="AP1951" i="8"/>
  <c r="AP1955" i="8"/>
  <c r="AQ1764" i="8"/>
  <c r="AQ1769" i="8"/>
  <c r="AQ1771" i="8"/>
  <c r="AP1779" i="8"/>
  <c r="AQ1806" i="8"/>
  <c r="AQ1809" i="8"/>
  <c r="AQ1812" i="8"/>
  <c r="AP1815" i="8"/>
  <c r="AP1857" i="8"/>
  <c r="AP1874" i="8"/>
  <c r="AP1940" i="8"/>
  <c r="AQ1966" i="8"/>
  <c r="AP1988" i="8"/>
  <c r="AP1997" i="8"/>
  <c r="AQ2007" i="8"/>
  <c r="AP2015" i="8"/>
  <c r="AQ2020" i="8"/>
  <c r="AP2033" i="8"/>
  <c r="AQ2037" i="8"/>
  <c r="AQ2051" i="8"/>
  <c r="AQ2074" i="8"/>
  <c r="AQ2089" i="8"/>
  <c r="AQ2113" i="8"/>
  <c r="AP2117" i="8"/>
  <c r="AQ1501" i="8"/>
  <c r="AP1501" i="8"/>
  <c r="AQ1642" i="8"/>
  <c r="AP1642" i="8"/>
  <c r="AQ1797" i="8"/>
  <c r="AP1797" i="8"/>
  <c r="AQ2024" i="8"/>
  <c r="AP2024" i="8"/>
  <c r="AQ2054" i="8"/>
  <c r="AP2054" i="8"/>
  <c r="AP1465" i="8"/>
  <c r="AQ1465" i="8"/>
  <c r="AP1488" i="8"/>
  <c r="AQ1488" i="8"/>
  <c r="AP1583" i="8"/>
  <c r="AQ1583" i="8"/>
  <c r="AQ1711" i="8"/>
  <c r="AP1711" i="8"/>
  <c r="AP1780" i="8"/>
  <c r="AQ1780" i="8"/>
  <c r="AP1811" i="8"/>
  <c r="AQ1811" i="8"/>
  <c r="AQ1889" i="8"/>
  <c r="AP1889" i="8"/>
  <c r="AQ1904" i="8"/>
  <c r="AP1904" i="8"/>
  <c r="AQ1909" i="8"/>
  <c r="AP1909" i="8"/>
  <c r="AQ1926" i="8"/>
  <c r="AP1926" i="8"/>
  <c r="AP1956" i="8"/>
  <c r="AQ1956" i="8"/>
  <c r="AP1971" i="8"/>
  <c r="AQ1971" i="8"/>
  <c r="AP1989" i="8"/>
  <c r="AQ1989" i="8"/>
  <c r="AQ2008" i="8"/>
  <c r="AP2008" i="8"/>
  <c r="AP2034" i="8"/>
  <c r="AQ2034" i="8"/>
  <c r="AQ2044" i="8"/>
  <c r="AP2044" i="8"/>
  <c r="AQ2066" i="8"/>
  <c r="AP2066" i="8"/>
  <c r="AP2090" i="8"/>
  <c r="AQ2090" i="8"/>
  <c r="AQ2109" i="8"/>
  <c r="AP2109" i="8"/>
  <c r="AQ2114" i="8"/>
  <c r="AP2114" i="8"/>
  <c r="AQ1432" i="8"/>
  <c r="AP1432" i="8"/>
  <c r="AQ1608" i="8"/>
  <c r="AP1608" i="8"/>
  <c r="AQ1629" i="8"/>
  <c r="AP1629" i="8"/>
  <c r="AP1714" i="8"/>
  <c r="AQ1714" i="8"/>
  <c r="AQ1864" i="8"/>
  <c r="AP1864" i="8"/>
  <c r="AQ2083" i="8"/>
  <c r="AP2083" i="8"/>
  <c r="AQ1166" i="8"/>
  <c r="AQ1283" i="8"/>
  <c r="AP1410" i="8"/>
  <c r="AQ1273" i="8"/>
  <c r="AQ1319" i="8"/>
  <c r="AQ1369" i="8"/>
  <c r="AQ1372" i="8"/>
  <c r="AQ1398" i="8"/>
  <c r="AP1401" i="8"/>
  <c r="AQ1416" i="8"/>
  <c r="AP1416" i="8"/>
  <c r="AQ1430" i="8"/>
  <c r="AQ1447" i="8"/>
  <c r="AQ1453" i="8"/>
  <c r="AP1453" i="8"/>
  <c r="AQ1460" i="8"/>
  <c r="AP1460" i="8"/>
  <c r="AQ1476" i="8"/>
  <c r="AP1476" i="8"/>
  <c r="AP1551" i="8"/>
  <c r="AQ1551" i="8"/>
  <c r="AQ1628" i="8"/>
  <c r="AP1628" i="8"/>
  <c r="AQ1637" i="8"/>
  <c r="AP1637" i="8"/>
  <c r="AQ1648" i="8"/>
  <c r="AP1648" i="8"/>
  <c r="AQ1761" i="8"/>
  <c r="AP1761" i="8"/>
  <c r="AP1807" i="8"/>
  <c r="AQ1807" i="8"/>
  <c r="AP1847" i="8"/>
  <c r="AQ1847" i="8"/>
  <c r="AQ1939" i="8"/>
  <c r="AP1939" i="8"/>
  <c r="AQ1944" i="8"/>
  <c r="AP1944" i="8"/>
  <c r="AQ1953" i="8"/>
  <c r="AP1953" i="8"/>
  <c r="AP1968" i="8"/>
  <c r="AQ1968" i="8"/>
  <c r="AP1987" i="8"/>
  <c r="AQ1987" i="8"/>
  <c r="AP1994" i="8"/>
  <c r="AQ1994" i="8"/>
  <c r="AQ2006" i="8"/>
  <c r="AP2006" i="8"/>
  <c r="AP2032" i="8"/>
  <c r="AQ2032" i="8"/>
  <c r="AQ2050" i="8"/>
  <c r="AP2050" i="8"/>
  <c r="AP2088" i="8"/>
  <c r="AQ2088" i="8"/>
  <c r="AQ1455" i="8"/>
  <c r="AP1455" i="8"/>
  <c r="AQ1468" i="8"/>
  <c r="AP1468" i="8"/>
  <c r="AQ1872" i="8"/>
  <c r="AP1872" i="8"/>
  <c r="AQ1937" i="8"/>
  <c r="AP1937" i="8"/>
  <c r="AP1973" i="8"/>
  <c r="AQ1973" i="8"/>
  <c r="AP2092" i="8"/>
  <c r="AQ2092" i="8"/>
  <c r="AP1180" i="8"/>
  <c r="AP1248" i="8"/>
  <c r="AP1392" i="8"/>
  <c r="AQ1438" i="8"/>
  <c r="AQ1441" i="8"/>
  <c r="AP1441" i="8"/>
  <c r="AP1457" i="8"/>
  <c r="AQ1457" i="8"/>
  <c r="AP1473" i="8"/>
  <c r="AQ1473" i="8"/>
  <c r="AQ1524" i="8"/>
  <c r="AP1524" i="8"/>
  <c r="AP1756" i="8"/>
  <c r="AQ1756" i="8"/>
  <c r="AQ1802" i="8"/>
  <c r="AP1802" i="8"/>
  <c r="AQ1867" i="8"/>
  <c r="AP1867" i="8"/>
  <c r="AP1942" i="8"/>
  <c r="AQ1942" i="8"/>
  <c r="AQ1964" i="8"/>
  <c r="AP1964" i="8"/>
  <c r="AQ2046" i="8"/>
  <c r="AP2046" i="8"/>
  <c r="AQ2062" i="8"/>
  <c r="AP2062" i="8"/>
  <c r="AQ2072" i="8"/>
  <c r="AP2072" i="8"/>
  <c r="AQ2119" i="8"/>
  <c r="AP2119" i="8"/>
  <c r="AQ1842" i="8"/>
  <c r="AQ1859" i="8"/>
  <c r="AQ1869" i="8"/>
  <c r="AP1918" i="8"/>
  <c r="AQ1922" i="8"/>
  <c r="AP1929" i="8"/>
  <c r="AQ1948" i="8"/>
  <c r="AQ1991" i="8"/>
  <c r="AQ1993" i="8"/>
  <c r="AQ1996" i="8"/>
  <c r="AQ1998" i="8"/>
  <c r="AP2010" i="8"/>
  <c r="AP2012" i="8"/>
  <c r="AP2014" i="8"/>
  <c r="AP2016" i="8"/>
  <c r="AP2018" i="8"/>
  <c r="AP2022" i="8"/>
  <c r="AQ2029" i="8"/>
  <c r="AP2038" i="8"/>
  <c r="AP2042" i="8"/>
  <c r="AQ2064" i="8"/>
  <c r="AP2095" i="8"/>
  <c r="AP2102" i="8"/>
  <c r="AP2121" i="8"/>
  <c r="AQ1643" i="8"/>
  <c r="AO1843" i="8"/>
  <c r="AQ1421" i="8"/>
  <c r="AP1421" i="8"/>
  <c r="AQ1609" i="8"/>
  <c r="AP1609" i="8"/>
  <c r="AQ1630" i="8"/>
  <c r="AP1630" i="8"/>
  <c r="AQ1638" i="8"/>
  <c r="AP1638" i="8"/>
  <c r="AQ1647" i="8"/>
  <c r="AP1647" i="8"/>
  <c r="AQ1723" i="8"/>
  <c r="AP1723" i="8"/>
  <c r="AQ1740" i="8"/>
  <c r="AP1740" i="8"/>
  <c r="AP1359" i="8"/>
  <c r="AQ1359" i="8"/>
  <c r="AQ1504" i="8"/>
  <c r="AP1504" i="8"/>
  <c r="AQ1508" i="8"/>
  <c r="AP1508" i="8"/>
  <c r="AQ1514" i="8"/>
  <c r="AP1514" i="8"/>
  <c r="AQ1721" i="8"/>
  <c r="AP1721" i="8"/>
  <c r="AP1777" i="8"/>
  <c r="AQ1777" i="8"/>
  <c r="AQ1171" i="8"/>
  <c r="AP1171" i="8"/>
  <c r="AP1275" i="8"/>
  <c r="AQ1275" i="8"/>
  <c r="AQ1492" i="8"/>
  <c r="AP1492" i="8"/>
  <c r="AP1542" i="8"/>
  <c r="AQ1542" i="8"/>
  <c r="AQ1605" i="8"/>
  <c r="AP1605" i="8"/>
  <c r="AQ1613" i="8"/>
  <c r="AP1613" i="8"/>
  <c r="AQ1634" i="8"/>
  <c r="AP1634" i="8"/>
  <c r="AQ1704" i="8"/>
  <c r="AP1704" i="8"/>
  <c r="AQ1716" i="8"/>
  <c r="AP1716" i="8"/>
  <c r="AQ1741" i="8"/>
  <c r="AP1741" i="8"/>
  <c r="AQ1743" i="8"/>
  <c r="AP1743" i="8"/>
  <c r="AP1772" i="8"/>
  <c r="AQ1772" i="8"/>
  <c r="AQ1789" i="8"/>
  <c r="AP1789" i="8"/>
  <c r="AQ1839" i="8"/>
  <c r="AP1839" i="8"/>
  <c r="AQ1862" i="8"/>
  <c r="AP1862" i="8"/>
  <c r="AQ1443" i="8"/>
  <c r="AP1443" i="8"/>
  <c r="AQ1500" i="8"/>
  <c r="AP1500" i="8"/>
  <c r="AP1785" i="8"/>
  <c r="AQ1785" i="8"/>
  <c r="AQ1826" i="8"/>
  <c r="AP1826" i="8"/>
  <c r="AQ1837" i="8"/>
  <c r="AP1837" i="8"/>
  <c r="AQ1425" i="8"/>
  <c r="AP1425" i="8"/>
  <c r="AQ1506" i="8"/>
  <c r="AP1506" i="8"/>
  <c r="AQ1510" i="8"/>
  <c r="AP1510" i="8"/>
  <c r="AQ1512" i="8"/>
  <c r="AP1512" i="8"/>
  <c r="AQ1516" i="8"/>
  <c r="AP1516" i="8"/>
  <c r="AQ1518" i="8"/>
  <c r="AP1518" i="8"/>
  <c r="AQ1527" i="8"/>
  <c r="AP1527" i="8"/>
  <c r="AQ1547" i="8"/>
  <c r="AP1547" i="8"/>
  <c r="AQ1651" i="8"/>
  <c r="AP1651" i="8"/>
  <c r="AQ1748" i="8"/>
  <c r="AP1748" i="8"/>
  <c r="AQ1821" i="8"/>
  <c r="AP1821" i="8"/>
  <c r="AP1841" i="8"/>
  <c r="AQ1841" i="8"/>
  <c r="AP1189" i="8"/>
  <c r="AQ1189" i="8"/>
  <c r="AQ1417" i="8"/>
  <c r="AP1417" i="8"/>
  <c r="AQ1427" i="8"/>
  <c r="AP1427" i="8"/>
  <c r="AQ1496" i="8"/>
  <c r="AP1496" i="8"/>
  <c r="AQ1505" i="8"/>
  <c r="AP1505" i="8"/>
  <c r="AQ1507" i="8"/>
  <c r="AP1507" i="8"/>
  <c r="AQ1509" i="8"/>
  <c r="AP1509" i="8"/>
  <c r="AQ1511" i="8"/>
  <c r="AP1511" i="8"/>
  <c r="AQ1513" i="8"/>
  <c r="AP1513" i="8"/>
  <c r="AQ1515" i="8"/>
  <c r="AP1515" i="8"/>
  <c r="AQ1517" i="8"/>
  <c r="AP1517" i="8"/>
  <c r="AQ1519" i="8"/>
  <c r="AP1519" i="8"/>
  <c r="AQ1746" i="8"/>
  <c r="AP1746" i="8"/>
  <c r="AP1753" i="8"/>
  <c r="AQ1753" i="8"/>
  <c r="AQ1796" i="8"/>
  <c r="AP1796" i="8"/>
  <c r="AP1865" i="8"/>
  <c r="AQ1865" i="8"/>
  <c r="AQ1197" i="8"/>
  <c r="AP1197" i="8"/>
  <c r="AQ1523" i="8"/>
  <c r="AP1523" i="8"/>
  <c r="AQ1713" i="8"/>
  <c r="AP1713" i="8"/>
  <c r="AQ1742" i="8"/>
  <c r="AP1742" i="8"/>
  <c r="AQ1794" i="8"/>
  <c r="AP1794" i="8"/>
  <c r="AP1672" i="8"/>
  <c r="AP1252" i="8"/>
  <c r="AP1732" i="8"/>
  <c r="AP1737" i="8"/>
  <c r="AP1739" i="8"/>
  <c r="AQ1745" i="8"/>
  <c r="AP1747" i="8"/>
  <c r="AQ1763" i="8"/>
  <c r="AP1782" i="8"/>
  <c r="AP1786" i="8"/>
  <c r="AP1818" i="8"/>
  <c r="AP1829" i="8"/>
  <c r="AP1834" i="8"/>
  <c r="AP1849" i="8"/>
  <c r="AQ1861" i="8"/>
  <c r="AP1866" i="8"/>
  <c r="AQ1565" i="8"/>
  <c r="AP1565" i="8"/>
  <c r="AQ1727" i="8"/>
  <c r="AP1727" i="8"/>
  <c r="AQ1738" i="8"/>
  <c r="AP1738" i="8"/>
  <c r="AQ1800" i="8"/>
  <c r="AP1800" i="8"/>
  <c r="AQ1819" i="8"/>
  <c r="AP1819" i="8"/>
  <c r="AQ1562" i="8"/>
  <c r="AP1562" i="8"/>
  <c r="AQ1566" i="8"/>
  <c r="AP1566" i="8"/>
  <c r="AQ1570" i="8"/>
  <c r="AP1570" i="8"/>
  <c r="AP1584" i="8"/>
  <c r="AQ1584" i="8"/>
  <c r="AP1644" i="8"/>
  <c r="AQ1644" i="8"/>
  <c r="AQ1719" i="8"/>
  <c r="AP1719" i="8"/>
  <c r="AQ1730" i="8"/>
  <c r="AP1730" i="8"/>
  <c r="AP1775" i="8"/>
  <c r="AQ1775" i="8"/>
  <c r="AQ1792" i="8"/>
  <c r="AP1792" i="8"/>
  <c r="AQ1803" i="8"/>
  <c r="AP1803" i="8"/>
  <c r="AQ1824" i="8"/>
  <c r="AP1824" i="8"/>
  <c r="AP1653" i="8"/>
  <c r="AQ1653" i="8"/>
  <c r="AQ1722" i="8"/>
  <c r="AP1722" i="8"/>
  <c r="AP1767" i="8"/>
  <c r="AQ1767" i="8"/>
  <c r="AQ1795" i="8"/>
  <c r="AP1795" i="8"/>
  <c r="AQ1827" i="8"/>
  <c r="AP1827" i="8"/>
  <c r="AQ1561" i="8"/>
  <c r="AP1561" i="8"/>
  <c r="AQ1569" i="8"/>
  <c r="AP1569" i="8"/>
  <c r="AQ1563" i="8"/>
  <c r="AP1563" i="8"/>
  <c r="AQ1567" i="8"/>
  <c r="AP1567" i="8"/>
  <c r="AQ1571" i="8"/>
  <c r="AP1571" i="8"/>
  <c r="AQ1560" i="8"/>
  <c r="AP1560" i="8"/>
  <c r="AQ1564" i="8"/>
  <c r="AP1564" i="8"/>
  <c r="AQ1568" i="8"/>
  <c r="AP1568" i="8"/>
  <c r="AQ1572" i="8"/>
  <c r="AP1572" i="8"/>
  <c r="AQ1586" i="8"/>
  <c r="AP1586" i="8"/>
  <c r="AP1654" i="8"/>
  <c r="AQ1654" i="8"/>
  <c r="AP1703" i="8"/>
  <c r="AQ1703" i="8"/>
  <c r="AQ1735" i="8"/>
  <c r="AP1735" i="8"/>
  <c r="AP1770" i="8"/>
  <c r="AQ1770" i="8"/>
  <c r="AQ1832" i="8"/>
  <c r="AP1832" i="8"/>
  <c r="AQ1911" i="8"/>
  <c r="AP1911" i="8"/>
  <c r="AQ1923" i="8"/>
  <c r="AP1923" i="8"/>
  <c r="AP1927" i="8"/>
  <c r="AQ1927" i="8"/>
  <c r="AP1941" i="8"/>
  <c r="AQ1941" i="8"/>
  <c r="AQ2021" i="8"/>
  <c r="AP2021" i="8"/>
  <c r="AQ2057" i="8"/>
  <c r="AP2057" i="8"/>
  <c r="AP2175" i="8"/>
  <c r="AQ2175" i="8"/>
  <c r="AP1550" i="8"/>
  <c r="AO1558" i="8"/>
  <c r="AP1574" i="8"/>
  <c r="AP1577" i="8"/>
  <c r="AP1579" i="8"/>
  <c r="AP1607" i="8"/>
  <c r="AP1611" i="8"/>
  <c r="AP1616" i="8"/>
  <c r="AP1618" i="8"/>
  <c r="AP1620" i="8"/>
  <c r="AP1622" i="8"/>
  <c r="AP1623" i="8"/>
  <c r="AP1625" i="8"/>
  <c r="AP1627" i="8"/>
  <c r="AP1632" i="8"/>
  <c r="AP1636" i="8"/>
  <c r="AP1640" i="8"/>
  <c r="AP1641" i="8"/>
  <c r="AP1657" i="8"/>
  <c r="AP1675" i="8"/>
  <c r="AP1677" i="8"/>
  <c r="AP1679" i="8"/>
  <c r="AP1681" i="8"/>
  <c r="AP1683" i="8"/>
  <c r="AP1685" i="8"/>
  <c r="AP1687" i="8"/>
  <c r="AP1689" i="8"/>
  <c r="AP1691" i="8"/>
  <c r="AP1693" i="8"/>
  <c r="AP1695" i="8"/>
  <c r="AP1697" i="8"/>
  <c r="AP1699" i="8"/>
  <c r="AP1701" i="8"/>
  <c r="AP1706" i="8"/>
  <c r="AP1707" i="8"/>
  <c r="AP1712" i="8"/>
  <c r="AP1725" i="8"/>
  <c r="AP1728" i="8"/>
  <c r="AP1736" i="8"/>
  <c r="AQ1755" i="8"/>
  <c r="AQ1758" i="8"/>
  <c r="AP1762" i="8"/>
  <c r="AQ1762" i="8"/>
  <c r="AQ1765" i="8"/>
  <c r="AQ1773" i="8"/>
  <c r="AP1778" i="8"/>
  <c r="AQ1781" i="8"/>
  <c r="AP1793" i="8"/>
  <c r="AP1801" i="8"/>
  <c r="AP1838" i="8"/>
  <c r="AQ1838" i="8"/>
  <c r="AQ1840" i="8"/>
  <c r="AQ1844" i="8"/>
  <c r="AP1848" i="8"/>
  <c r="AQ1848" i="8"/>
  <c r="AQ1850" i="8"/>
  <c r="AP1854" i="8"/>
  <c r="AP1876" i="8"/>
  <c r="AP1886" i="8"/>
  <c r="AP1891" i="8"/>
  <c r="AQ1895" i="8"/>
  <c r="AP1895" i="8"/>
  <c r="AQ1915" i="8"/>
  <c r="AP1915" i="8"/>
  <c r="AQ1924" i="8"/>
  <c r="AP1924" i="8"/>
  <c r="AQ1928" i="8"/>
  <c r="AP1928" i="8"/>
  <c r="AO1934" i="8"/>
  <c r="AQ1938" i="8"/>
  <c r="AP1938" i="8"/>
  <c r="AQ1963" i="8"/>
  <c r="AP1963" i="8"/>
  <c r="AQ1967" i="8"/>
  <c r="AP1967" i="8"/>
  <c r="AQ2000" i="8"/>
  <c r="AQ2002" i="8"/>
  <c r="AQ2004" i="8"/>
  <c r="AP2004" i="8"/>
  <c r="AQ2027" i="8"/>
  <c r="AP2027" i="8"/>
  <c r="AP2036" i="8"/>
  <c r="AQ2036" i="8"/>
  <c r="AQ2059" i="8"/>
  <c r="AP2059" i="8"/>
  <c r="AQ2070" i="8"/>
  <c r="AP2070" i="8"/>
  <c r="AQ2076" i="8"/>
  <c r="AP2076" i="8"/>
  <c r="AQ2081" i="8"/>
  <c r="AP2081" i="8"/>
  <c r="AQ2123" i="8"/>
  <c r="AP2123" i="8"/>
  <c r="AQ2134" i="8"/>
  <c r="AP2134" i="8"/>
  <c r="AQ2138" i="8"/>
  <c r="AP2138" i="8"/>
  <c r="AQ2162" i="8"/>
  <c r="AP2162" i="8"/>
  <c r="AP2172" i="8"/>
  <c r="AQ2172" i="8"/>
  <c r="AP1816" i="8"/>
  <c r="AQ1816" i="8"/>
  <c r="AQ1881" i="8"/>
  <c r="AQ1894" i="8"/>
  <c r="AP1894" i="8"/>
  <c r="AQ1900" i="8"/>
  <c r="AP1900" i="8"/>
  <c r="AQ1906" i="8"/>
  <c r="AP1906" i="8"/>
  <c r="AP2041" i="8"/>
  <c r="AQ2041" i="8"/>
  <c r="AP2080" i="8"/>
  <c r="AQ2080" i="8"/>
  <c r="AO1549" i="8"/>
  <c r="AP1573" i="8"/>
  <c r="AP1575" i="8"/>
  <c r="AP1576" i="8"/>
  <c r="AP1578" i="8"/>
  <c r="AP1587" i="8"/>
  <c r="AP1615" i="8"/>
  <c r="AP1617" i="8"/>
  <c r="AP1619" i="8"/>
  <c r="AP1621" i="8"/>
  <c r="AP1624" i="8"/>
  <c r="AP1626" i="8"/>
  <c r="AP1646" i="8"/>
  <c r="AP1650" i="8"/>
  <c r="AP1656" i="8"/>
  <c r="AP1658" i="8"/>
  <c r="AP1674" i="8"/>
  <c r="AP1676" i="8"/>
  <c r="AP1678" i="8"/>
  <c r="AP1680" i="8"/>
  <c r="AP1682" i="8"/>
  <c r="AP1684" i="8"/>
  <c r="AP1686" i="8"/>
  <c r="AP1688" i="8"/>
  <c r="AP1690" i="8"/>
  <c r="AP1692" i="8"/>
  <c r="AP1694" i="8"/>
  <c r="AP1696" i="8"/>
  <c r="AP1698" i="8"/>
  <c r="AP1700" i="8"/>
  <c r="AQ1710" i="8"/>
  <c r="AP1717" i="8"/>
  <c r="AP1720" i="8"/>
  <c r="AP1733" i="8"/>
  <c r="AQ1768" i="8"/>
  <c r="AQ1776" i="8"/>
  <c r="AP1783" i="8"/>
  <c r="AQ1788" i="8"/>
  <c r="AP1798" i="8"/>
  <c r="AP1820" i="8"/>
  <c r="AP1828" i="8"/>
  <c r="AP1548" i="8"/>
  <c r="AP1553" i="8"/>
  <c r="AQ1554" i="8"/>
  <c r="AP1557" i="8"/>
  <c r="AQ1580" i="8"/>
  <c r="AP1585" i="8"/>
  <c r="AP1606" i="8"/>
  <c r="AP1610" i="8"/>
  <c r="AP1614" i="8"/>
  <c r="AP1631" i="8"/>
  <c r="AP1635" i="8"/>
  <c r="AP1639" i="8"/>
  <c r="AP1645" i="8"/>
  <c r="AP1649" i="8"/>
  <c r="AP1655" i="8"/>
  <c r="AP1673" i="8"/>
  <c r="AP1751" i="8"/>
  <c r="AQ1754" i="8"/>
  <c r="AQ1759" i="8"/>
  <c r="AP1759" i="8"/>
  <c r="AQ1790" i="8"/>
  <c r="AP1817" i="8"/>
  <c r="AP1822" i="8"/>
  <c r="AP1825" i="8"/>
  <c r="AP1830" i="8"/>
  <c r="AP1833" i="8"/>
  <c r="AP1835" i="8"/>
  <c r="AQ1845" i="8"/>
  <c r="AP1845" i="8"/>
  <c r="AQ1852" i="8"/>
  <c r="AP1856" i="8"/>
  <c r="AQ1856" i="8"/>
  <c r="AQ1858" i="8"/>
  <c r="AO1860" i="8"/>
  <c r="AP1878" i="8"/>
  <c r="AQ1878" i="8"/>
  <c r="AP1880" i="8"/>
  <c r="AP1882" i="8"/>
  <c r="AP1883" i="8"/>
  <c r="AQ1901" i="8"/>
  <c r="AP1901" i="8"/>
  <c r="AP1912" i="8"/>
  <c r="AQ1916" i="8"/>
  <c r="AP1916" i="8"/>
  <c r="AQ1932" i="8"/>
  <c r="AP1932" i="8"/>
  <c r="AQ1935" i="8"/>
  <c r="AP1935" i="8"/>
  <c r="AP1985" i="8"/>
  <c r="AQ1985" i="8"/>
  <c r="AQ2025" i="8"/>
  <c r="AP2025" i="8"/>
  <c r="AP2031" i="8"/>
  <c r="AQ2031" i="8"/>
  <c r="AQ2047" i="8"/>
  <c r="AP2047" i="8"/>
  <c r="AQ1823" i="8"/>
  <c r="AP1823" i="8"/>
  <c r="AQ1831" i="8"/>
  <c r="AP1831" i="8"/>
  <c r="AP1979" i="8"/>
  <c r="AQ1979" i="8"/>
  <c r="AP2030" i="8"/>
  <c r="AQ2030" i="8"/>
  <c r="AQ2126" i="8"/>
  <c r="AP2126" i="8"/>
  <c r="AO1559" i="8"/>
  <c r="AQ1705" i="8"/>
  <c r="AP1705" i="8"/>
  <c r="AQ1718" i="8"/>
  <c r="AP1718" i="8"/>
  <c r="AQ1726" i="8"/>
  <c r="AP1726" i="8"/>
  <c r="AQ1734" i="8"/>
  <c r="AP1734" i="8"/>
  <c r="AP1766" i="8"/>
  <c r="AQ1766" i="8"/>
  <c r="AP1774" i="8"/>
  <c r="AQ1774" i="8"/>
  <c r="AQ1791" i="8"/>
  <c r="AP1791" i="8"/>
  <c r="AQ1799" i="8"/>
  <c r="AP1799" i="8"/>
  <c r="AQ1853" i="8"/>
  <c r="AP1853" i="8"/>
  <c r="AQ1875" i="8"/>
  <c r="AP1875" i="8"/>
  <c r="AP1885" i="8"/>
  <c r="AQ1885" i="8"/>
  <c r="AQ1905" i="8"/>
  <c r="AP1905" i="8"/>
  <c r="AO1910" i="8"/>
  <c r="AQ1933" i="8"/>
  <c r="AP1933" i="8"/>
  <c r="AQ1958" i="8"/>
  <c r="AP1958" i="8"/>
  <c r="AP1981" i="8"/>
  <c r="AQ1981" i="8"/>
  <c r="AP2043" i="8"/>
  <c r="AQ2043" i="8"/>
  <c r="AO1947" i="8"/>
  <c r="AP1961" i="8"/>
  <c r="AQ1961" i="8"/>
  <c r="AP1983" i="8"/>
  <c r="AQ1983" i="8"/>
  <c r="AQ2023" i="8"/>
  <c r="AP2023" i="8"/>
  <c r="AP2045" i="8"/>
  <c r="AQ2045" i="8"/>
  <c r="AQ2053" i="8"/>
  <c r="AP2053" i="8"/>
  <c r="AQ2061" i="8"/>
  <c r="AP2061" i="8"/>
  <c r="AQ2071" i="8"/>
  <c r="AP2071" i="8"/>
  <c r="AQ2100" i="8"/>
  <c r="AP2100" i="8"/>
  <c r="AQ2107" i="8"/>
  <c r="AP2107" i="8"/>
  <c r="AQ2111" i="8"/>
  <c r="AP2111" i="8"/>
  <c r="AQ2118" i="8"/>
  <c r="AP2118" i="8"/>
  <c r="AQ2124" i="8"/>
  <c r="AP2124" i="8"/>
  <c r="AP2173" i="8"/>
  <c r="AQ2173" i="8"/>
  <c r="AQ2055" i="8"/>
  <c r="AP2055" i="8"/>
  <c r="AQ2065" i="8"/>
  <c r="AP2065" i="8"/>
  <c r="AQ2082" i="8"/>
  <c r="AP2082" i="8"/>
  <c r="AQ2094" i="8"/>
  <c r="AP2094" i="8"/>
  <c r="AQ2101" i="8"/>
  <c r="AP2101" i="8"/>
  <c r="AQ2108" i="8"/>
  <c r="AP2108" i="8"/>
  <c r="AQ2125" i="8"/>
  <c r="AP2125" i="8"/>
  <c r="AQ2129" i="8"/>
  <c r="AP2129" i="8"/>
  <c r="AQ2144" i="8"/>
  <c r="AP2144" i="8"/>
  <c r="AQ2148" i="8"/>
  <c r="AP2148" i="8"/>
  <c r="AQ2152" i="8"/>
  <c r="AP2152" i="8"/>
  <c r="AQ2156" i="8"/>
  <c r="AP2156" i="8"/>
  <c r="AQ2160" i="8"/>
  <c r="AP2160" i="8"/>
  <c r="AP2174" i="8"/>
  <c r="AQ2174" i="8"/>
  <c r="AQ2075" i="8"/>
  <c r="AP2075" i="8"/>
  <c r="AQ2093" i="8"/>
  <c r="AP2093" i="8"/>
  <c r="AQ2099" i="8"/>
  <c r="AP2099" i="8"/>
  <c r="AQ2116" i="8"/>
  <c r="AP2116" i="8"/>
  <c r="AQ2122" i="8"/>
  <c r="AP2122" i="8"/>
  <c r="AQ2161" i="8"/>
  <c r="AP2161" i="8"/>
  <c r="AQ2164" i="8"/>
  <c r="AP2164" i="8"/>
  <c r="AQ2166" i="8"/>
  <c r="AP2166" i="8"/>
  <c r="AQ2168" i="8"/>
  <c r="AP2168" i="8"/>
  <c r="AQ2052" i="8"/>
  <c r="AP2052" i="8"/>
  <c r="AQ2069" i="8"/>
  <c r="AP2069" i="8"/>
  <c r="AQ2106" i="8"/>
  <c r="AP2106" i="8"/>
  <c r="AQ2163" i="8"/>
  <c r="AP2163" i="8"/>
  <c r="AQ2165" i="8"/>
  <c r="AP2165" i="8"/>
  <c r="AQ2167" i="8"/>
  <c r="AP2167" i="8"/>
  <c r="AQ2169" i="8"/>
  <c r="AP2169" i="8"/>
  <c r="AQ2177" i="8"/>
  <c r="AP2177" i="8"/>
  <c r="AP2133" i="8"/>
  <c r="AP2137" i="8"/>
  <c r="AP2143" i="8"/>
  <c r="AP2147" i="8"/>
  <c r="AP2151" i="8"/>
  <c r="AP2155" i="8"/>
  <c r="AP2159" i="8"/>
  <c r="AP2176" i="8"/>
  <c r="AO1429" i="8"/>
  <c r="AP1190" i="8"/>
  <c r="AP1209" i="8"/>
  <c r="AP1219" i="8"/>
  <c r="AP1221" i="8"/>
  <c r="AP1228" i="8"/>
  <c r="AP1231" i="8"/>
  <c r="AQ1247" i="8"/>
  <c r="AP1267" i="8"/>
  <c r="AP1300" i="8"/>
  <c r="AP1313" i="8"/>
  <c r="AP1316" i="8"/>
  <c r="AQ1381" i="8"/>
  <c r="AP1384" i="8"/>
  <c r="AP1391" i="8"/>
  <c r="AP1403" i="8"/>
  <c r="AP1405" i="8"/>
  <c r="AP1428" i="8"/>
  <c r="AP1434" i="8"/>
  <c r="AP1442" i="8"/>
  <c r="AP1446" i="8"/>
  <c r="AP1451" i="8"/>
  <c r="AQ1165" i="8"/>
  <c r="AP1175" i="8"/>
  <c r="AP1194" i="8"/>
  <c r="AP1213" i="8"/>
  <c r="AQ1335" i="8"/>
  <c r="AP1350" i="8"/>
  <c r="AQ1364" i="8"/>
  <c r="AQ1373" i="8"/>
  <c r="AP1376" i="8"/>
  <c r="AP1388" i="8"/>
  <c r="AP1390" i="8"/>
  <c r="AP1393" i="8"/>
  <c r="AP1395" i="8"/>
  <c r="AP1402" i="8"/>
  <c r="AP1407" i="8"/>
  <c r="AP1411" i="8"/>
  <c r="AP1415" i="8"/>
  <c r="AP1433" i="8"/>
  <c r="AP1437" i="8"/>
  <c r="AP1448" i="8"/>
  <c r="AP1450" i="8"/>
  <c r="AP1386" i="8"/>
  <c r="AP1048" i="8"/>
  <c r="AP1211" i="8"/>
  <c r="AP1217" i="8"/>
  <c r="AP1225" i="8"/>
  <c r="AQ1246" i="8"/>
  <c r="AQ1250" i="8"/>
  <c r="AQ1265" i="8"/>
  <c r="AQ1298" i="8"/>
  <c r="AP1311" i="8"/>
  <c r="AQ1328" i="8"/>
  <c r="AP1331" i="8"/>
  <c r="AQ1339" i="8"/>
  <c r="AQ1351" i="8"/>
  <c r="AP1354" i="8"/>
  <c r="AQ1377" i="8"/>
  <c r="AP1380" i="8"/>
  <c r="AP1318" i="8"/>
  <c r="AQ1186" i="8"/>
  <c r="AP1200" i="8"/>
  <c r="AP1203" i="8"/>
  <c r="AQ1226" i="8"/>
  <c r="AP1237" i="8"/>
  <c r="AP1261" i="8"/>
  <c r="AQ1281" i="8"/>
  <c r="AQ1301" i="8"/>
  <c r="AQ1303" i="8"/>
  <c r="AP1317" i="8"/>
  <c r="AQ1323" i="8"/>
  <c r="AQ1332" i="8"/>
  <c r="AQ1344" i="8"/>
  <c r="AQ1061" i="8"/>
  <c r="AP1081" i="8"/>
  <c r="AP1099" i="8"/>
  <c r="AP1176" i="8"/>
  <c r="AP1179" i="8"/>
  <c r="AP1185" i="8"/>
  <c r="AQ1201" i="8"/>
  <c r="AQ1212" i="8"/>
  <c r="AP1253" i="8"/>
  <c r="AQ1259" i="8"/>
  <c r="AP1264" i="8"/>
  <c r="AP1272" i="8"/>
  <c r="AP1280" i="8"/>
  <c r="AP1289" i="8"/>
  <c r="AP1292" i="8"/>
  <c r="AP1297" i="8"/>
  <c r="AP1307" i="8"/>
  <c r="AP1310" i="8"/>
  <c r="AQ1324" i="8"/>
  <c r="AP1327" i="8"/>
  <c r="AQ1340" i="8"/>
  <c r="AP1343" i="8"/>
  <c r="AQ1355" i="8"/>
  <c r="AP1358" i="8"/>
  <c r="AQ1365" i="8"/>
  <c r="AP1368" i="8"/>
  <c r="AP1295" i="8"/>
  <c r="AQ1336" i="8"/>
  <c r="AP1379" i="8"/>
  <c r="AQ1400" i="8"/>
  <c r="AP1400" i="8"/>
  <c r="AQ1348" i="8"/>
  <c r="AP1348" i="8"/>
  <c r="AQ1361" i="8"/>
  <c r="AP1361" i="8"/>
  <c r="AQ1383" i="8"/>
  <c r="AP1383" i="8"/>
  <c r="AQ1445" i="8"/>
  <c r="AP1445" i="8"/>
  <c r="AQ1347" i="8"/>
  <c r="AP1347" i="8"/>
  <c r="AQ1362" i="8"/>
  <c r="AP1362" i="8"/>
  <c r="AQ1436" i="8"/>
  <c r="AP1436" i="8"/>
  <c r="AQ1412" i="8"/>
  <c r="AP1412" i="8"/>
  <c r="AQ1463" i="8"/>
  <c r="AP1463" i="8"/>
  <c r="AQ1471" i="8"/>
  <c r="AP1471" i="8"/>
  <c r="AQ1479" i="8"/>
  <c r="AP1479" i="8"/>
  <c r="AQ1486" i="8"/>
  <c r="AP1486" i="8"/>
  <c r="AP1322" i="8"/>
  <c r="AP1330" i="8"/>
  <c r="AP1338" i="8"/>
  <c r="AP1342" i="8"/>
  <c r="AP1371" i="8"/>
  <c r="AP1409" i="8"/>
  <c r="AP1419" i="8"/>
  <c r="AQ1484" i="8"/>
  <c r="AP1484" i="8"/>
  <c r="AQ1491" i="8"/>
  <c r="AP1491" i="8"/>
  <c r="AQ1503" i="8"/>
  <c r="AP1503" i="8"/>
  <c r="AQ1522" i="8"/>
  <c r="AP1522" i="8"/>
  <c r="AQ1526" i="8"/>
  <c r="AP1526" i="8"/>
  <c r="AP1321" i="8"/>
  <c r="AP1325" i="8"/>
  <c r="AQ1326" i="8"/>
  <c r="AP1329" i="8"/>
  <c r="AP1333" i="8"/>
  <c r="AQ1334" i="8"/>
  <c r="AP1337" i="8"/>
  <c r="AP1341" i="8"/>
  <c r="AP1345" i="8"/>
  <c r="AQ1349" i="8"/>
  <c r="AP1352" i="8"/>
  <c r="AQ1353" i="8"/>
  <c r="AP1356" i="8"/>
  <c r="AQ1357" i="8"/>
  <c r="AP1360" i="8"/>
  <c r="AQ1363" i="8"/>
  <c r="AP1366" i="8"/>
  <c r="AQ1367" i="8"/>
  <c r="AP1370" i="8"/>
  <c r="AQ1378" i="8"/>
  <c r="AP1378" i="8"/>
  <c r="AQ1389" i="8"/>
  <c r="AP1389" i="8"/>
  <c r="AQ1394" i="8"/>
  <c r="AP1394" i="8"/>
  <c r="AQ1404" i="8"/>
  <c r="AP1404" i="8"/>
  <c r="AP1413" i="8"/>
  <c r="AP1423" i="8"/>
  <c r="AQ1431" i="8"/>
  <c r="AP1431" i="8"/>
  <c r="AQ1440" i="8"/>
  <c r="AP1440" i="8"/>
  <c r="AQ1449" i="8"/>
  <c r="AP1449" i="8"/>
  <c r="AQ1454" i="8"/>
  <c r="AP1454" i="8"/>
  <c r="AQ1481" i="8"/>
  <c r="AP1481" i="8"/>
  <c r="AQ1485" i="8"/>
  <c r="AP1485" i="8"/>
  <c r="AQ1531" i="8"/>
  <c r="AP1531" i="8"/>
  <c r="AQ1422" i="8"/>
  <c r="AP1422" i="8"/>
  <c r="AQ1459" i="8"/>
  <c r="AP1459" i="8"/>
  <c r="AQ1467" i="8"/>
  <c r="AP1467" i="8"/>
  <c r="AQ1475" i="8"/>
  <c r="AP1475" i="8"/>
  <c r="AQ1483" i="8"/>
  <c r="AP1483" i="8"/>
  <c r="AQ1490" i="8"/>
  <c r="AP1490" i="8"/>
  <c r="AO1346" i="8"/>
  <c r="AQ1374" i="8"/>
  <c r="AQ1426" i="8"/>
  <c r="AP1426" i="8"/>
  <c r="AQ1480" i="8"/>
  <c r="AP1480" i="8"/>
  <c r="AQ1495" i="8"/>
  <c r="AP1495" i="8"/>
  <c r="AQ1499" i="8"/>
  <c r="AP1499" i="8"/>
  <c r="AQ1530" i="8"/>
  <c r="AP1530" i="8"/>
  <c r="AP1539" i="8"/>
  <c r="AP1541" i="8"/>
  <c r="AQ1543" i="8"/>
  <c r="AQ1545" i="8"/>
  <c r="AQ1321" i="8"/>
  <c r="AP1375" i="8"/>
  <c r="AQ1382" i="8"/>
  <c r="AP1382" i="8"/>
  <c r="AQ1399" i="8"/>
  <c r="AP1399" i="8"/>
  <c r="AQ1408" i="8"/>
  <c r="AP1408" i="8"/>
  <c r="AQ1418" i="8"/>
  <c r="AP1418" i="8"/>
  <c r="AQ1435" i="8"/>
  <c r="AP1435" i="8"/>
  <c r="AQ1444" i="8"/>
  <c r="AP1444" i="8"/>
  <c r="AQ1482" i="8"/>
  <c r="AP1482" i="8"/>
  <c r="AP1538" i="8"/>
  <c r="AP1540" i="8"/>
  <c r="AQ1544" i="8"/>
  <c r="AP1458" i="8"/>
  <c r="AP1462" i="8"/>
  <c r="AP1466" i="8"/>
  <c r="AP1470" i="8"/>
  <c r="AP1474" i="8"/>
  <c r="AP1478" i="8"/>
  <c r="AP1489" i="8"/>
  <c r="AP1494" i="8"/>
  <c r="AP1498" i="8"/>
  <c r="AP1502" i="8"/>
  <c r="AP1521" i="8"/>
  <c r="AP1525" i="8"/>
  <c r="AP1529" i="8"/>
  <c r="AP1287" i="8"/>
  <c r="AP1036" i="8"/>
  <c r="AQ1057" i="8"/>
  <c r="AP1060" i="8"/>
  <c r="AP1103" i="8"/>
  <c r="AP1109" i="8"/>
  <c r="AQ1147" i="8"/>
  <c r="AQ1172" i="8"/>
  <c r="AP1183" i="8"/>
  <c r="AP1204" i="8"/>
  <c r="AP1230" i="8"/>
  <c r="AP1238" i="8"/>
  <c r="AP1240" i="8"/>
  <c r="AP1243" i="8"/>
  <c r="AP1245" i="8"/>
  <c r="AP1258" i="8"/>
  <c r="AP1268" i="8"/>
  <c r="AP1270" i="8"/>
  <c r="AP1276" i="8"/>
  <c r="AP1278" i="8"/>
  <c r="AP1284" i="8"/>
  <c r="AP1286" i="8"/>
  <c r="AP1293" i="8"/>
  <c r="AP1093" i="8"/>
  <c r="AQ1177" i="8"/>
  <c r="AQ1290" i="8"/>
  <c r="AP1163" i="8"/>
  <c r="AP1056" i="8"/>
  <c r="AP1115" i="8"/>
  <c r="AQ1131" i="8"/>
  <c r="AQ1141" i="8"/>
  <c r="AP1044" i="8"/>
  <c r="AP1071" i="8"/>
  <c r="AP1080" i="8"/>
  <c r="AQ1146" i="8"/>
  <c r="AQ1156" i="8"/>
  <c r="AP1040" i="8"/>
  <c r="AP1097" i="8"/>
  <c r="AQ1110" i="8"/>
  <c r="AP1066" i="8"/>
  <c r="AP1075" i="8"/>
  <c r="AP1089" i="8"/>
  <c r="AQ1116" i="8"/>
  <c r="AQ1126" i="8"/>
  <c r="AQ1136" i="8"/>
  <c r="AQ1160" i="8"/>
  <c r="AP1035" i="8"/>
  <c r="AP1039" i="8"/>
  <c r="AP1043" i="8"/>
  <c r="AP1047" i="8"/>
  <c r="AP1065" i="8"/>
  <c r="AP1069" i="8"/>
  <c r="AP1070" i="8"/>
  <c r="AP1074" i="8"/>
  <c r="AP1088" i="8"/>
  <c r="AP1092" i="8"/>
  <c r="AP1096" i="8"/>
  <c r="AP1120" i="8"/>
  <c r="AQ1127" i="8"/>
  <c r="AP1130" i="8"/>
  <c r="AP1135" i="8"/>
  <c r="AP1140" i="8"/>
  <c r="AQ1152" i="8"/>
  <c r="AP1155" i="8"/>
  <c r="AP1159" i="8"/>
  <c r="AP1164" i="8"/>
  <c r="AQ1104" i="8"/>
  <c r="AP1112" i="8"/>
  <c r="AQ1123" i="8"/>
  <c r="AQ1148" i="8"/>
  <c r="AP1151" i="8"/>
  <c r="AQ1157" i="8"/>
  <c r="AQ1161" i="8"/>
  <c r="AP1082" i="8"/>
  <c r="AQ1082" i="8"/>
  <c r="AQ1315" i="8"/>
  <c r="AP1315" i="8"/>
  <c r="AP1076" i="8"/>
  <c r="AQ1076" i="8"/>
  <c r="AP1094" i="8"/>
  <c r="AQ1094" i="8"/>
  <c r="AQ1138" i="8"/>
  <c r="AP1138" i="8"/>
  <c r="AQ1309" i="8"/>
  <c r="AP1309" i="8"/>
  <c r="AQ1085" i="8"/>
  <c r="AP1085" i="8"/>
  <c r="AQ1236" i="8"/>
  <c r="AP1236" i="8"/>
  <c r="AQ1107" i="8"/>
  <c r="AP1107" i="8"/>
  <c r="AQ1084" i="8"/>
  <c r="AP1084" i="8"/>
  <c r="AP1105" i="8"/>
  <c r="AQ1105" i="8"/>
  <c r="AP1182" i="8"/>
  <c r="AQ1182" i="8"/>
  <c r="AQ1117" i="8"/>
  <c r="AP1117" i="8"/>
  <c r="AQ1149" i="8"/>
  <c r="AP1149" i="8"/>
  <c r="AQ1199" i="8"/>
  <c r="AP1199" i="8"/>
  <c r="AP1227" i="8"/>
  <c r="AQ1227" i="8"/>
  <c r="AQ1241" i="8"/>
  <c r="AP1241" i="8"/>
  <c r="AQ1254" i="8"/>
  <c r="AP1254" i="8"/>
  <c r="AQ1263" i="8"/>
  <c r="AP1263" i="8"/>
  <c r="AQ1271" i="8"/>
  <c r="AP1271" i="8"/>
  <c r="AQ1279" i="8"/>
  <c r="AP1279" i="8"/>
  <c r="AP1038" i="8"/>
  <c r="AP1042" i="8"/>
  <c r="AP1059" i="8"/>
  <c r="AP1068" i="8"/>
  <c r="AP1086" i="8"/>
  <c r="AP1087" i="8"/>
  <c r="AP1119" i="8"/>
  <c r="AP1122" i="8"/>
  <c r="AP1134" i="8"/>
  <c r="AQ1142" i="8"/>
  <c r="AP1142" i="8"/>
  <c r="AP1170" i="8"/>
  <c r="AP1174" i="8"/>
  <c r="AQ1184" i="8"/>
  <c r="AP1184" i="8"/>
  <c r="AQ1191" i="8"/>
  <c r="AQ1205" i="8"/>
  <c r="AP1205" i="8"/>
  <c r="AP1257" i="8"/>
  <c r="AP1269" i="8"/>
  <c r="AQ1269" i="8"/>
  <c r="AP1277" i="8"/>
  <c r="AQ1277" i="8"/>
  <c r="AP1285" i="8"/>
  <c r="AQ1285" i="8"/>
  <c r="AP1294" i="8"/>
  <c r="AQ1294" i="8"/>
  <c r="AP1302" i="8"/>
  <c r="AQ1302" i="8"/>
  <c r="AQ1308" i="8"/>
  <c r="AP1308" i="8"/>
  <c r="AQ1314" i="8"/>
  <c r="AP1314" i="8"/>
  <c r="AQ1034" i="8"/>
  <c r="AP1037" i="8"/>
  <c r="AP1041" i="8"/>
  <c r="AP1045" i="8"/>
  <c r="AQ1046" i="8"/>
  <c r="AP1049" i="8"/>
  <c r="AQ1050" i="8"/>
  <c r="AQ1051" i="8"/>
  <c r="AQ1052" i="8"/>
  <c r="AQ1053" i="8"/>
  <c r="AQ1055" i="8"/>
  <c r="AP1058" i="8"/>
  <c r="AP1062" i="8"/>
  <c r="AQ1063" i="8"/>
  <c r="AQ1064" i="8"/>
  <c r="AP1067" i="8"/>
  <c r="AP1072" i="8"/>
  <c r="AQ1073" i="8"/>
  <c r="AP1077" i="8"/>
  <c r="AQ1078" i="8"/>
  <c r="AQ1079" i="8"/>
  <c r="AP1083" i="8"/>
  <c r="AP1090" i="8"/>
  <c r="AQ1091" i="8"/>
  <c r="AP1095" i="8"/>
  <c r="AQ1098" i="8"/>
  <c r="AP1100" i="8"/>
  <c r="AP1101" i="8"/>
  <c r="AP1102" i="8"/>
  <c r="AP1108" i="8"/>
  <c r="AP1111" i="8"/>
  <c r="AP1114" i="8"/>
  <c r="AP1118" i="8"/>
  <c r="AP1121" i="8"/>
  <c r="AQ1132" i="8"/>
  <c r="AP1150" i="8"/>
  <c r="AQ1154" i="8"/>
  <c r="AP1154" i="8"/>
  <c r="AQ1158" i="8"/>
  <c r="AP1158" i="8"/>
  <c r="AQ1162" i="8"/>
  <c r="AP1162" i="8"/>
  <c r="AQ1167" i="8"/>
  <c r="AP1167" i="8"/>
  <c r="AP1169" i="8"/>
  <c r="AQ1178" i="8"/>
  <c r="AP1178" i="8"/>
  <c r="AP1188" i="8"/>
  <c r="AQ1198" i="8"/>
  <c r="AP1198" i="8"/>
  <c r="AQ1202" i="8"/>
  <c r="AP1202" i="8"/>
  <c r="AP1208" i="8"/>
  <c r="AP1216" i="8"/>
  <c r="AP1224" i="8"/>
  <c r="AP1242" i="8"/>
  <c r="AP1249" i="8"/>
  <c r="AQ1255" i="8"/>
  <c r="AQ1262" i="8"/>
  <c r="AP1262" i="8"/>
  <c r="AQ1266" i="8"/>
  <c r="AP1266" i="8"/>
  <c r="AQ1274" i="8"/>
  <c r="AP1274" i="8"/>
  <c r="AQ1282" i="8"/>
  <c r="AP1282" i="8"/>
  <c r="AQ1291" i="8"/>
  <c r="AP1291" i="8"/>
  <c r="AQ1299" i="8"/>
  <c r="AP1299" i="8"/>
  <c r="AQ1304" i="8"/>
  <c r="AP1306" i="8"/>
  <c r="AP1312" i="8"/>
  <c r="AQ1312" i="8"/>
  <c r="AP1320" i="8"/>
  <c r="AQ1320" i="8"/>
  <c r="AQ1168" i="8"/>
  <c r="AP1168" i="8"/>
  <c r="AQ1193" i="8"/>
  <c r="AP1193" i="8"/>
  <c r="AP1233" i="8"/>
  <c r="AQ1233" i="8"/>
  <c r="AQ1288" i="8"/>
  <c r="AP1288" i="8"/>
  <c r="AQ1296" i="8"/>
  <c r="AP1296" i="8"/>
  <c r="AP1034" i="8"/>
  <c r="AP1106" i="8"/>
  <c r="AQ1124" i="8"/>
  <c r="AP1124" i="8"/>
  <c r="AQ1128" i="8"/>
  <c r="AP1128" i="8"/>
  <c r="AQ1153" i="8"/>
  <c r="AP1239" i="8"/>
  <c r="AQ1239" i="8"/>
  <c r="AQ1251" i="8"/>
  <c r="AP1251" i="8"/>
  <c r="AP1113" i="8"/>
  <c r="AP1125" i="8"/>
  <c r="AP1129" i="8"/>
  <c r="AQ1133" i="8"/>
  <c r="AP1133" i="8"/>
  <c r="AQ1137" i="8"/>
  <c r="AP1137" i="8"/>
  <c r="AP1139" i="8"/>
  <c r="AP1143" i="8"/>
  <c r="AQ1173" i="8"/>
  <c r="AP1173" i="8"/>
  <c r="AQ1187" i="8"/>
  <c r="AP1187" i="8"/>
  <c r="AQ1192" i="8"/>
  <c r="AP1196" i="8"/>
  <c r="AQ1196" i="8"/>
  <c r="AQ1206" i="8"/>
  <c r="AQ1214" i="8"/>
  <c r="AQ1222" i="8"/>
  <c r="AQ1229" i="8"/>
  <c r="AP1229" i="8"/>
  <c r="AQ1234" i="8"/>
  <c r="AP1260" i="8"/>
  <c r="AQ1260" i="8"/>
  <c r="AQ1305" i="8"/>
  <c r="AP1305" i="8"/>
  <c r="AQ1181" i="8"/>
  <c r="AP1207" i="8"/>
  <c r="AQ1210" i="8"/>
  <c r="AP1215" i="8"/>
  <c r="AQ1218" i="8"/>
  <c r="AP1223" i="8"/>
  <c r="AQ1232" i="8"/>
  <c r="AP1235" i="8"/>
  <c r="AQ1244" i="8"/>
  <c r="AP1256" i="8"/>
  <c r="AQ1054" i="8" l="1"/>
  <c r="AP1414" i="8"/>
  <c r="AQ1843" i="8"/>
  <c r="AP1843" i="8"/>
  <c r="AQ1559" i="8"/>
  <c r="AP1559" i="8"/>
  <c r="AQ1549" i="8"/>
  <c r="AP1549" i="8"/>
  <c r="AP1910" i="8"/>
  <c r="AQ1910" i="8"/>
  <c r="AQ1558" i="8"/>
  <c r="AP1558" i="8"/>
  <c r="AP1860" i="8"/>
  <c r="AQ1860" i="8"/>
  <c r="AQ1934" i="8"/>
  <c r="AP1934" i="8"/>
  <c r="AQ1947" i="8"/>
  <c r="AP1947" i="8"/>
  <c r="AQ1429" i="8"/>
  <c r="AP1429" i="8"/>
  <c r="AQ1346" i="8"/>
  <c r="AP1346" i="8"/>
  <c r="AO1033" i="8" l="1"/>
  <c r="AP1033" i="8" s="1"/>
  <c r="AO1032" i="8"/>
  <c r="AQ1032" i="8" s="1"/>
  <c r="AO1031" i="8"/>
  <c r="AP1031" i="8" s="1"/>
  <c r="AO1030" i="8"/>
  <c r="AO1029" i="8"/>
  <c r="AP1029" i="8" s="1"/>
  <c r="AO1028" i="8"/>
  <c r="AO1027" i="8"/>
  <c r="AP1027" i="8" s="1"/>
  <c r="AO1026" i="8"/>
  <c r="AO1025" i="8"/>
  <c r="AP1025" i="8" s="1"/>
  <c r="AO1024" i="8"/>
  <c r="AO1023" i="8"/>
  <c r="AO1022" i="8"/>
  <c r="AQ1022" i="8" s="1"/>
  <c r="AO1021" i="8"/>
  <c r="AO1020" i="8"/>
  <c r="AQ1020" i="8" s="1"/>
  <c r="AO1019" i="8"/>
  <c r="AO1018" i="8"/>
  <c r="AQ1018" i="8" s="1"/>
  <c r="AO1017" i="8"/>
  <c r="AO1016" i="8"/>
  <c r="AQ1016" i="8" s="1"/>
  <c r="AO1015" i="8"/>
  <c r="AP1015" i="8" s="1"/>
  <c r="AO1014" i="8"/>
  <c r="AO1013" i="8"/>
  <c r="AP1013" i="8" s="1"/>
  <c r="AO1012" i="8"/>
  <c r="AO1011" i="8"/>
  <c r="AP1011" i="8" s="1"/>
  <c r="AO1010" i="8"/>
  <c r="AO1009" i="8"/>
  <c r="AP1009" i="8" s="1"/>
  <c r="AO1008" i="8"/>
  <c r="AQ1008" i="8" s="1"/>
  <c r="AO1007" i="8"/>
  <c r="AO1006" i="8"/>
  <c r="AO1005" i="8"/>
  <c r="AO1004" i="8"/>
  <c r="AQ1004" i="8" s="1"/>
  <c r="AO1003" i="8"/>
  <c r="AO1002" i="8"/>
  <c r="AO1001" i="8"/>
  <c r="AO1000" i="8"/>
  <c r="AP1000" i="8" s="1"/>
  <c r="AO999" i="8"/>
  <c r="AP999" i="8" s="1"/>
  <c r="AO998" i="8"/>
  <c r="AQ998" i="8" s="1"/>
  <c r="AO997" i="8"/>
  <c r="AP997" i="8" s="1"/>
  <c r="AO996" i="8"/>
  <c r="AP996" i="8" s="1"/>
  <c r="AO995" i="8"/>
  <c r="AP995" i="8" s="1"/>
  <c r="AO994" i="8"/>
  <c r="AO993" i="8"/>
  <c r="AP993" i="8" s="1"/>
  <c r="AO992" i="8"/>
  <c r="AP992" i="8" s="1"/>
  <c r="AO991" i="8"/>
  <c r="AO990" i="8"/>
  <c r="AO989" i="8"/>
  <c r="AO988" i="8"/>
  <c r="AC987" i="8"/>
  <c r="AO987" i="8" s="1"/>
  <c r="AP987" i="8" s="1"/>
  <c r="AO986" i="8"/>
  <c r="AO985" i="8"/>
  <c r="AQ985" i="8" s="1"/>
  <c r="AO984" i="8"/>
  <c r="AO983" i="8"/>
  <c r="AP983" i="8" s="1"/>
  <c r="AO982" i="8"/>
  <c r="AO981" i="8"/>
  <c r="AO980" i="8"/>
  <c r="AO979" i="8"/>
  <c r="AQ979" i="8" s="1"/>
  <c r="AO978" i="8"/>
  <c r="AO977" i="8"/>
  <c r="AQ977" i="8" s="1"/>
  <c r="AO976" i="8"/>
  <c r="AP976" i="8" s="1"/>
  <c r="AO975" i="8"/>
  <c r="AO973" i="8"/>
  <c r="AP973" i="8" s="1"/>
  <c r="AO972" i="8"/>
  <c r="AQ972" i="8" s="1"/>
  <c r="AO971" i="8"/>
  <c r="AP971" i="8" s="1"/>
  <c r="AO970" i="8"/>
  <c r="AQ970" i="8" s="1"/>
  <c r="AO969" i="8"/>
  <c r="AO968" i="8"/>
  <c r="AQ968" i="8" s="1"/>
  <c r="AO967" i="8"/>
  <c r="AO966" i="8"/>
  <c r="AP966" i="8" s="1"/>
  <c r="AO965" i="8"/>
  <c r="AO964" i="8"/>
  <c r="AQ964" i="8" s="1"/>
  <c r="AO963" i="8"/>
  <c r="AO962" i="8"/>
  <c r="AQ962" i="8" s="1"/>
  <c r="AO961" i="8"/>
  <c r="AO960" i="8"/>
  <c r="AQ960" i="8" s="1"/>
  <c r="AO959" i="8"/>
  <c r="AP959" i="8" s="1"/>
  <c r="AO958" i="8"/>
  <c r="AO957" i="8"/>
  <c r="AP957" i="8" s="1"/>
  <c r="AO956" i="8"/>
  <c r="AQ956" i="8" s="1"/>
  <c r="AO955" i="8"/>
  <c r="AP955" i="8" s="1"/>
  <c r="AO954" i="8"/>
  <c r="AQ954" i="8" s="1"/>
  <c r="AO953" i="8"/>
  <c r="AO952" i="8"/>
  <c r="AO951" i="8"/>
  <c r="AO950" i="8"/>
  <c r="AP950" i="8" s="1"/>
  <c r="AO949" i="8"/>
  <c r="AP949" i="8" s="1"/>
  <c r="AO948" i="8"/>
  <c r="AO947" i="8"/>
  <c r="AO946" i="8"/>
  <c r="AQ946" i="8" s="1"/>
  <c r="AO945" i="8"/>
  <c r="AP945" i="8" s="1"/>
  <c r="AO944" i="8"/>
  <c r="AQ944" i="8" s="1"/>
  <c r="AO943" i="8"/>
  <c r="AO942" i="8"/>
  <c r="AQ942" i="8" s="1"/>
  <c r="AO941" i="8"/>
  <c r="AP941" i="8" s="1"/>
  <c r="AO940" i="8"/>
  <c r="AQ940" i="8" s="1"/>
  <c r="AO939" i="8"/>
  <c r="AP939" i="8" s="1"/>
  <c r="AO938" i="8"/>
  <c r="AO937" i="8"/>
  <c r="AQ937" i="8" s="1"/>
  <c r="AO936" i="8"/>
  <c r="AQ936" i="8" s="1"/>
  <c r="AO935" i="8"/>
  <c r="AO934" i="8"/>
  <c r="AQ934" i="8" s="1"/>
  <c r="AO933" i="8"/>
  <c r="AP933" i="8" s="1"/>
  <c r="AO932" i="8"/>
  <c r="AQ932" i="8" s="1"/>
  <c r="AO931" i="8"/>
  <c r="AP931" i="8" s="1"/>
  <c r="AO930" i="8"/>
  <c r="AO929" i="8"/>
  <c r="AQ929" i="8" s="1"/>
  <c r="AO928" i="8"/>
  <c r="AQ928" i="8" s="1"/>
  <c r="AO927" i="8"/>
  <c r="AO926" i="8"/>
  <c r="AQ926" i="8" s="1"/>
  <c r="AO925" i="8"/>
  <c r="AP925" i="8" s="1"/>
  <c r="AO924" i="8"/>
  <c r="AQ924" i="8" s="1"/>
  <c r="AO923" i="8"/>
  <c r="AP923" i="8" s="1"/>
  <c r="AO922" i="8"/>
  <c r="AO921" i="8"/>
  <c r="AQ921" i="8" s="1"/>
  <c r="AO920" i="8"/>
  <c r="AQ920" i="8" s="1"/>
  <c r="AO919" i="8"/>
  <c r="AO918" i="8"/>
  <c r="AP918" i="8" s="1"/>
  <c r="AO917" i="8"/>
  <c r="AP917" i="8" s="1"/>
  <c r="AO916" i="8"/>
  <c r="AQ916" i="8" s="1"/>
  <c r="AO915" i="8"/>
  <c r="AP915" i="8" s="1"/>
  <c r="AO914" i="8"/>
  <c r="AO913" i="8"/>
  <c r="AQ913" i="8" s="1"/>
  <c r="AO912" i="8"/>
  <c r="AQ912" i="8" s="1"/>
  <c r="AO911" i="8"/>
  <c r="AO910" i="8"/>
  <c r="AQ910" i="8" s="1"/>
  <c r="AO909" i="8"/>
  <c r="AO908" i="8"/>
  <c r="AQ908" i="8" s="1"/>
  <c r="AO907" i="8"/>
  <c r="AP907" i="8" s="1"/>
  <c r="AO906" i="8"/>
  <c r="AO905" i="8"/>
  <c r="AQ905" i="8" s="1"/>
  <c r="AO904" i="8"/>
  <c r="AQ904" i="8" s="1"/>
  <c r="AO903" i="8"/>
  <c r="AO902" i="8"/>
  <c r="AQ902" i="8" s="1"/>
  <c r="AO901" i="8"/>
  <c r="AP901" i="8" s="1"/>
  <c r="AO900" i="8"/>
  <c r="AQ900" i="8" s="1"/>
  <c r="AO899" i="8"/>
  <c r="AP899" i="8" s="1"/>
  <c r="AO898" i="8"/>
  <c r="AO897" i="8"/>
  <c r="AQ897" i="8" s="1"/>
  <c r="AO896" i="8"/>
  <c r="AQ896" i="8" s="1"/>
  <c r="AO895" i="8"/>
  <c r="AO894" i="8"/>
  <c r="AQ894" i="8" s="1"/>
  <c r="AO893" i="8"/>
  <c r="AP893" i="8" s="1"/>
  <c r="AO892" i="8"/>
  <c r="AQ892" i="8" s="1"/>
  <c r="AO891" i="8"/>
  <c r="AP891" i="8" s="1"/>
  <c r="AO890" i="8"/>
  <c r="AO889" i="8"/>
  <c r="AQ889" i="8" s="1"/>
  <c r="AO888" i="8"/>
  <c r="AQ888" i="8" s="1"/>
  <c r="AO887" i="8"/>
  <c r="AO886" i="8"/>
  <c r="AO885" i="8"/>
  <c r="AP885" i="8" s="1"/>
  <c r="AO884" i="8"/>
  <c r="AQ884" i="8" s="1"/>
  <c r="AO883" i="8"/>
  <c r="AP883" i="8" s="1"/>
  <c r="AO882" i="8"/>
  <c r="AO881" i="8"/>
  <c r="AQ881" i="8" s="1"/>
  <c r="AO880" i="8"/>
  <c r="AQ880" i="8" s="1"/>
  <c r="AO879" i="8"/>
  <c r="AO878" i="8"/>
  <c r="AQ878" i="8" s="1"/>
  <c r="AO877" i="8"/>
  <c r="AP877" i="8" s="1"/>
  <c r="AO876" i="8"/>
  <c r="AQ876" i="8" s="1"/>
  <c r="AO875" i="8"/>
  <c r="AP875" i="8" s="1"/>
  <c r="AO874" i="8"/>
  <c r="AO873" i="8"/>
  <c r="AQ873" i="8" s="1"/>
  <c r="AO872" i="8"/>
  <c r="AQ872" i="8" s="1"/>
  <c r="AO871" i="8"/>
  <c r="AO870" i="8"/>
  <c r="AQ870" i="8" s="1"/>
  <c r="AO869" i="8"/>
  <c r="AP869" i="8" s="1"/>
  <c r="AO868" i="8"/>
  <c r="AQ868" i="8" s="1"/>
  <c r="AO867" i="8"/>
  <c r="AP867" i="8" s="1"/>
  <c r="AO866" i="8"/>
  <c r="AO865" i="8"/>
  <c r="AQ865" i="8" s="1"/>
  <c r="AO864" i="8"/>
  <c r="AQ864" i="8" s="1"/>
  <c r="AO863" i="8"/>
  <c r="AQ863" i="8" s="1"/>
  <c r="AO862" i="8"/>
  <c r="AQ862" i="8" s="1"/>
  <c r="AO861" i="8"/>
  <c r="AO860" i="8"/>
  <c r="AP860" i="8" s="1"/>
  <c r="AO859" i="8"/>
  <c r="AQ859" i="8" s="1"/>
  <c r="AO858" i="8"/>
  <c r="AQ858" i="8" s="1"/>
  <c r="AB857" i="8"/>
  <c r="AO856" i="8"/>
  <c r="AO855" i="8"/>
  <c r="AO854" i="8"/>
  <c r="AQ854" i="8" s="1"/>
  <c r="AO853" i="8"/>
  <c r="AQ853" i="8" s="1"/>
  <c r="AO852" i="8"/>
  <c r="AO851" i="8"/>
  <c r="AP851" i="8" s="1"/>
  <c r="AO850" i="8"/>
  <c r="AQ850" i="8" s="1"/>
  <c r="AC849" i="8"/>
  <c r="AO849" i="8" s="1"/>
  <c r="AQ849" i="8" s="1"/>
  <c r="AO848" i="8"/>
  <c r="AQ848" i="8" s="1"/>
  <c r="AO847" i="8"/>
  <c r="AO846" i="8"/>
  <c r="AP846" i="8" s="1"/>
  <c r="AO845" i="8"/>
  <c r="AP845" i="8" s="1"/>
  <c r="AC844" i="8"/>
  <c r="AO844" i="8" s="1"/>
  <c r="AQ844" i="8" s="1"/>
  <c r="AO843" i="8"/>
  <c r="AQ843" i="8" s="1"/>
  <c r="AO842" i="8"/>
  <c r="AO841" i="8"/>
  <c r="AP841" i="8" s="1"/>
  <c r="AO840" i="8"/>
  <c r="AQ840" i="8" s="1"/>
  <c r="AO836" i="8"/>
  <c r="AQ836" i="8" s="1"/>
  <c r="AO835" i="8"/>
  <c r="AO834" i="8"/>
  <c r="AP834" i="8" s="1"/>
  <c r="AO833" i="8"/>
  <c r="AQ833" i="8" s="1"/>
  <c r="AO832" i="8"/>
  <c r="AQ832" i="8" s="1"/>
  <c r="AO831" i="8"/>
  <c r="AO830" i="8"/>
  <c r="AP830" i="8" s="1"/>
  <c r="AO829" i="8"/>
  <c r="AP829" i="8" s="1"/>
  <c r="AO828" i="8"/>
  <c r="AQ828" i="8" s="1"/>
  <c r="AO827" i="8"/>
  <c r="AO826" i="8"/>
  <c r="AO825" i="8"/>
  <c r="AO824" i="8"/>
  <c r="AQ824" i="8" s="1"/>
  <c r="AO823" i="8"/>
  <c r="AO822" i="8"/>
  <c r="AO821" i="8"/>
  <c r="AQ821" i="8" s="1"/>
  <c r="AO820" i="8"/>
  <c r="AO819" i="8"/>
  <c r="AO818" i="8"/>
  <c r="AP818" i="8" s="1"/>
  <c r="AO817" i="8"/>
  <c r="AO816" i="8"/>
  <c r="AQ816" i="8" s="1"/>
  <c r="AO815" i="8"/>
  <c r="AO814" i="8"/>
  <c r="AO813" i="8"/>
  <c r="AQ813" i="8" s="1"/>
  <c r="AO812" i="8"/>
  <c r="AQ812" i="8" s="1"/>
  <c r="AO811" i="8"/>
  <c r="AO810" i="8"/>
  <c r="AQ810" i="8" s="1"/>
  <c r="AO809" i="8"/>
  <c r="AO808" i="8"/>
  <c r="AQ808" i="8" s="1"/>
  <c r="AO807" i="8"/>
  <c r="AO806" i="8"/>
  <c r="AQ806" i="8" s="1"/>
  <c r="AO805" i="8"/>
  <c r="AP805" i="8" s="1"/>
  <c r="AO804" i="8"/>
  <c r="AQ804" i="8" s="1"/>
  <c r="AO803" i="8"/>
  <c r="AO802" i="8"/>
  <c r="AQ802" i="8" s="1"/>
  <c r="AO801" i="8"/>
  <c r="AO800" i="8"/>
  <c r="AO799" i="8"/>
  <c r="AO798" i="8"/>
  <c r="AO797" i="8"/>
  <c r="AQ797" i="8" s="1"/>
  <c r="AO796" i="8"/>
  <c r="AO795" i="8"/>
  <c r="AO794" i="8"/>
  <c r="AP794" i="8" s="1"/>
  <c r="AO793" i="8"/>
  <c r="AQ793" i="8" s="1"/>
  <c r="AO792" i="8"/>
  <c r="AQ792" i="8" s="1"/>
  <c r="AO791" i="8"/>
  <c r="AO790" i="8"/>
  <c r="AQ790" i="8" s="1"/>
  <c r="AO789" i="8"/>
  <c r="AO788" i="8"/>
  <c r="AQ788" i="8" s="1"/>
  <c r="AO785" i="8"/>
  <c r="AO784" i="8"/>
  <c r="AO783" i="8"/>
  <c r="AO782" i="8"/>
  <c r="AO781" i="8"/>
  <c r="AO780" i="8"/>
  <c r="AP780" i="8" s="1"/>
  <c r="AO779" i="8"/>
  <c r="AO778" i="8"/>
  <c r="AQ778" i="8" s="1"/>
  <c r="AO777" i="8"/>
  <c r="AO776" i="8"/>
  <c r="AQ776" i="8" s="1"/>
  <c r="AO775" i="8"/>
  <c r="AQ775" i="8" s="1"/>
  <c r="AO774" i="8"/>
  <c r="AQ774" i="8" s="1"/>
  <c r="AO773" i="8"/>
  <c r="AO772" i="8"/>
  <c r="AQ772" i="8" s="1"/>
  <c r="AO771" i="8"/>
  <c r="AQ771" i="8" s="1"/>
  <c r="AO770" i="8"/>
  <c r="AQ770" i="8" s="1"/>
  <c r="AO769" i="8"/>
  <c r="AO768" i="8"/>
  <c r="AQ768" i="8" s="1"/>
  <c r="AO767" i="8"/>
  <c r="AQ767" i="8" s="1"/>
  <c r="AO766" i="8"/>
  <c r="AQ766" i="8" s="1"/>
  <c r="AO765" i="8"/>
  <c r="AO764" i="8"/>
  <c r="AO763" i="8"/>
  <c r="AQ763" i="8" s="1"/>
  <c r="AO762" i="8"/>
  <c r="AO761" i="8"/>
  <c r="AO760" i="8"/>
  <c r="AO759" i="8"/>
  <c r="AO758" i="8"/>
  <c r="AQ758" i="8" s="1"/>
  <c r="AO757" i="8"/>
  <c r="AO756" i="8"/>
  <c r="AQ756" i="8" s="1"/>
  <c r="AO755" i="8"/>
  <c r="AO754" i="8"/>
  <c r="AQ754" i="8" s="1"/>
  <c r="AO753" i="8"/>
  <c r="AO752" i="8"/>
  <c r="AQ752" i="8" s="1"/>
  <c r="AO751" i="8"/>
  <c r="AO750" i="8"/>
  <c r="AQ750" i="8" s="1"/>
  <c r="AO747" i="8"/>
  <c r="AO746" i="8"/>
  <c r="AQ746" i="8" s="1"/>
  <c r="AO745" i="8"/>
  <c r="AP745" i="8" s="1"/>
  <c r="AO744" i="8"/>
  <c r="AQ744" i="8" s="1"/>
  <c r="AO743" i="8"/>
  <c r="AO742" i="8"/>
  <c r="AQ742" i="8" s="1"/>
  <c r="AO741" i="8"/>
  <c r="AO740" i="8"/>
  <c r="AQ740" i="8" s="1"/>
  <c r="AO739" i="8"/>
  <c r="AO738" i="8"/>
  <c r="AQ738" i="8" s="1"/>
  <c r="AO737" i="8"/>
  <c r="AQ737" i="8" s="1"/>
  <c r="AO736" i="8"/>
  <c r="AO735" i="8"/>
  <c r="AQ735" i="8" s="1"/>
  <c r="AO734" i="8"/>
  <c r="AQ734" i="8" s="1"/>
  <c r="AO733" i="8"/>
  <c r="AQ733" i="8" s="1"/>
  <c r="AO732" i="8"/>
  <c r="AO731" i="8"/>
  <c r="AQ731" i="8" s="1"/>
  <c r="AO730" i="8"/>
  <c r="AQ730" i="8" s="1"/>
  <c r="AO729" i="8"/>
  <c r="AQ729" i="8" s="1"/>
  <c r="AO728" i="8"/>
  <c r="AP728" i="8" s="1"/>
  <c r="AO727" i="8"/>
  <c r="AO726" i="8"/>
  <c r="AQ726" i="8" s="1"/>
  <c r="AO725" i="8"/>
  <c r="AQ725" i="8" s="1"/>
  <c r="AO724" i="8"/>
  <c r="AO723" i="8"/>
  <c r="AP723" i="8" s="1"/>
  <c r="AO722" i="8"/>
  <c r="AQ722" i="8" s="1"/>
  <c r="AO721" i="8"/>
  <c r="AQ721" i="8" s="1"/>
  <c r="AO720" i="8"/>
  <c r="AP720" i="8" s="1"/>
  <c r="AO719" i="8"/>
  <c r="AQ719" i="8" s="1"/>
  <c r="AO718" i="8"/>
  <c r="AQ718" i="8" s="1"/>
  <c r="AO717" i="8"/>
  <c r="AQ717" i="8" s="1"/>
  <c r="AO716" i="8"/>
  <c r="AP716" i="8" s="1"/>
  <c r="AO715" i="8"/>
  <c r="AO714" i="8"/>
  <c r="AQ714" i="8" s="1"/>
  <c r="AO713" i="8"/>
  <c r="AQ713" i="8" s="1"/>
  <c r="AO712" i="8"/>
  <c r="AO711" i="8"/>
  <c r="AP711" i="8" s="1"/>
  <c r="AO710" i="8"/>
  <c r="AQ710" i="8" s="1"/>
  <c r="AO709" i="8"/>
  <c r="AQ709" i="8" s="1"/>
  <c r="AO708" i="8"/>
  <c r="AO707" i="8"/>
  <c r="AQ707" i="8" s="1"/>
  <c r="AO706" i="8"/>
  <c r="AQ706" i="8" s="1"/>
  <c r="AO705" i="8"/>
  <c r="AQ705" i="8" s="1"/>
  <c r="AO704" i="8"/>
  <c r="AP704" i="8" s="1"/>
  <c r="AO703" i="8"/>
  <c r="AO702" i="8"/>
  <c r="AQ702" i="8" s="1"/>
  <c r="AO701" i="8"/>
  <c r="AQ701" i="8" s="1"/>
  <c r="AO700" i="8"/>
  <c r="AO699" i="8"/>
  <c r="AO698" i="8"/>
  <c r="AQ698" i="8" s="1"/>
  <c r="AO697" i="8"/>
  <c r="AQ697" i="8" s="1"/>
  <c r="AO696" i="8"/>
  <c r="AO695" i="8"/>
  <c r="AP695" i="8" s="1"/>
  <c r="AO974" i="8"/>
  <c r="AQ974" i="8" s="1"/>
  <c r="AO839" i="8"/>
  <c r="AP839" i="8" s="1"/>
  <c r="AO838" i="8"/>
  <c r="AQ838" i="8" s="1"/>
  <c r="AO837" i="8"/>
  <c r="AQ837" i="8" s="1"/>
  <c r="AO787" i="8"/>
  <c r="AQ787" i="8" s="1"/>
  <c r="AO786" i="8"/>
  <c r="AP786" i="8" s="1"/>
  <c r="AO749" i="8"/>
  <c r="AO748" i="8"/>
  <c r="AQ748" i="8" s="1"/>
  <c r="AO694" i="8"/>
  <c r="AQ694" i="8" s="1"/>
  <c r="AO693" i="8"/>
  <c r="AP693" i="8" s="1"/>
  <c r="AO692" i="8"/>
  <c r="AO691" i="8"/>
  <c r="AO690" i="8"/>
  <c r="AQ690" i="8" s="1"/>
  <c r="AO689" i="8"/>
  <c r="AP689" i="8" s="1"/>
  <c r="AO688" i="8"/>
  <c r="AP688" i="8" s="1"/>
  <c r="AO687" i="8"/>
  <c r="AO686" i="8"/>
  <c r="AQ686" i="8" s="1"/>
  <c r="AO685" i="8"/>
  <c r="AP685" i="8" s="1"/>
  <c r="AO684" i="8"/>
  <c r="AP684" i="8" s="1"/>
  <c r="AO683" i="8"/>
  <c r="AO682" i="8"/>
  <c r="AQ682" i="8" s="1"/>
  <c r="AO681" i="8"/>
  <c r="AP681" i="8" s="1"/>
  <c r="AO680" i="8"/>
  <c r="AQ680" i="8" s="1"/>
  <c r="AO679" i="8"/>
  <c r="AO678" i="8"/>
  <c r="AQ678" i="8" s="1"/>
  <c r="AO677" i="8"/>
  <c r="AP677" i="8" s="1"/>
  <c r="AO676" i="8"/>
  <c r="AQ676" i="8" s="1"/>
  <c r="AO675" i="8"/>
  <c r="AO674" i="8"/>
  <c r="AQ674" i="8" s="1"/>
  <c r="AO673" i="8"/>
  <c r="AP673" i="8" s="1"/>
  <c r="AO672" i="8"/>
  <c r="AO671" i="8"/>
  <c r="AO670" i="8"/>
  <c r="AQ670" i="8" s="1"/>
  <c r="AO669" i="8"/>
  <c r="AO668" i="8"/>
  <c r="AP668" i="8" s="1"/>
  <c r="AO667" i="8"/>
  <c r="AO666" i="8"/>
  <c r="AQ666" i="8" s="1"/>
  <c r="AO665" i="8"/>
  <c r="AP665" i="8" s="1"/>
  <c r="AO664" i="8"/>
  <c r="AQ664" i="8" s="1"/>
  <c r="AO663" i="8"/>
  <c r="AO662" i="8"/>
  <c r="AQ662" i="8" s="1"/>
  <c r="AO661" i="8"/>
  <c r="AP661" i="8" s="1"/>
  <c r="AO660" i="8"/>
  <c r="AP660" i="8" s="1"/>
  <c r="AO659" i="8"/>
  <c r="AO658" i="8"/>
  <c r="AQ658" i="8" s="1"/>
  <c r="AO657" i="8"/>
  <c r="AP657" i="8" s="1"/>
  <c r="AO656" i="8"/>
  <c r="AP656" i="8" s="1"/>
  <c r="AO655" i="8"/>
  <c r="AO654" i="8"/>
  <c r="AQ654" i="8" s="1"/>
  <c r="AO653" i="8"/>
  <c r="AO652" i="8"/>
  <c r="AP652" i="8" s="1"/>
  <c r="AO651" i="8"/>
  <c r="AO650" i="8"/>
  <c r="AQ650" i="8" s="1"/>
  <c r="AO649" i="8"/>
  <c r="AP649" i="8" s="1"/>
  <c r="AO648" i="8"/>
  <c r="AQ648" i="8" s="1"/>
  <c r="AO647" i="8"/>
  <c r="AO646" i="8"/>
  <c r="AQ646" i="8" s="1"/>
  <c r="AO645" i="8"/>
  <c r="AP645" i="8" s="1"/>
  <c r="AO644" i="8"/>
  <c r="AO643" i="8"/>
  <c r="AO642" i="8"/>
  <c r="AQ642" i="8" s="1"/>
  <c r="AO641" i="8"/>
  <c r="AO640" i="8"/>
  <c r="AO639" i="8"/>
  <c r="AO638" i="8"/>
  <c r="AQ638" i="8" s="1"/>
  <c r="AO637" i="8"/>
  <c r="AO636" i="8"/>
  <c r="AP636" i="8" s="1"/>
  <c r="AO635" i="8"/>
  <c r="AO634" i="8"/>
  <c r="AQ634" i="8" s="1"/>
  <c r="AO633" i="8"/>
  <c r="AP633" i="8" s="1"/>
  <c r="AO632" i="8"/>
  <c r="AQ632" i="8" s="1"/>
  <c r="AO631" i="8"/>
  <c r="AO630" i="8"/>
  <c r="AQ630" i="8" s="1"/>
  <c r="AO629" i="8"/>
  <c r="AP629" i="8" s="1"/>
  <c r="AO628" i="8"/>
  <c r="AO627" i="8"/>
  <c r="AO626" i="8"/>
  <c r="AQ626" i="8" s="1"/>
  <c r="AO625" i="8"/>
  <c r="AO624" i="8"/>
  <c r="AQ624" i="8" s="1"/>
  <c r="AO623" i="8"/>
  <c r="AO622" i="8"/>
  <c r="AQ622" i="8" s="1"/>
  <c r="AO621" i="8"/>
  <c r="AP621" i="8" s="1"/>
  <c r="AO620" i="8"/>
  <c r="AP620" i="8" s="1"/>
  <c r="AO619" i="8"/>
  <c r="AO618" i="8"/>
  <c r="AQ618" i="8" s="1"/>
  <c r="AO617" i="8"/>
  <c r="AP617" i="8" s="1"/>
  <c r="AO616" i="8"/>
  <c r="AQ616" i="8" s="1"/>
  <c r="AO615" i="8"/>
  <c r="AO614" i="8"/>
  <c r="AQ614" i="8" s="1"/>
  <c r="AO613" i="8"/>
  <c r="AP613" i="8" s="1"/>
  <c r="AO612" i="8"/>
  <c r="AO611" i="8"/>
  <c r="AO610" i="8"/>
  <c r="AQ610" i="8" s="1"/>
  <c r="AO609" i="8"/>
  <c r="AP609" i="8" s="1"/>
  <c r="AO608" i="8"/>
  <c r="AO607" i="8"/>
  <c r="AO606" i="8"/>
  <c r="AQ606" i="8" s="1"/>
  <c r="AO605" i="8"/>
  <c r="AP605" i="8" s="1"/>
  <c r="AO604" i="8"/>
  <c r="AP604" i="8" s="1"/>
  <c r="AO603" i="8"/>
  <c r="AO602" i="8"/>
  <c r="AQ602" i="8" s="1"/>
  <c r="AO601" i="8"/>
  <c r="AP601" i="8" s="1"/>
  <c r="AO600" i="8"/>
  <c r="AQ600" i="8" s="1"/>
  <c r="AO599" i="8"/>
  <c r="AO598" i="8"/>
  <c r="AQ598" i="8" s="1"/>
  <c r="AO597" i="8"/>
  <c r="AP597" i="8" s="1"/>
  <c r="AO596" i="8"/>
  <c r="AO595" i="8"/>
  <c r="AO594" i="8"/>
  <c r="AQ594" i="8" s="1"/>
  <c r="AO593" i="8"/>
  <c r="AP593" i="8" s="1"/>
  <c r="AO592" i="8"/>
  <c r="AP592" i="8" s="1"/>
  <c r="AO591" i="8"/>
  <c r="AO590" i="8"/>
  <c r="AQ590" i="8" s="1"/>
  <c r="AO589" i="8"/>
  <c r="AP589" i="8" s="1"/>
  <c r="AO588" i="8"/>
  <c r="AP588" i="8" s="1"/>
  <c r="AO587" i="8"/>
  <c r="AC586" i="8"/>
  <c r="AO586" i="8" s="1"/>
  <c r="AO585" i="8"/>
  <c r="AQ585" i="8" s="1"/>
  <c r="AO584" i="8"/>
  <c r="AO583" i="8"/>
  <c r="AP583" i="8" s="1"/>
  <c r="AO582" i="8"/>
  <c r="AO581" i="8"/>
  <c r="AQ581" i="8" s="1"/>
  <c r="AO580" i="8"/>
  <c r="AP580" i="8" s="1"/>
  <c r="AO579" i="8"/>
  <c r="AQ579" i="8" s="1"/>
  <c r="AO578" i="8"/>
  <c r="AO577" i="8"/>
  <c r="AQ577" i="8" s="1"/>
  <c r="AO576" i="8"/>
  <c r="AP576" i="8" s="1"/>
  <c r="AO575" i="8"/>
  <c r="AP575" i="8" s="1"/>
  <c r="AO574" i="8"/>
  <c r="AO573" i="8"/>
  <c r="AQ573" i="8" s="1"/>
  <c r="AO569" i="8"/>
  <c r="AP569" i="8" s="1"/>
  <c r="AO568" i="8"/>
  <c r="AQ568" i="8" s="1"/>
  <c r="AO563" i="8"/>
  <c r="AO562" i="8"/>
  <c r="AQ562" i="8" s="1"/>
  <c r="AO561" i="8"/>
  <c r="AP561" i="8" s="1"/>
  <c r="AO560" i="8"/>
  <c r="AP560" i="8" s="1"/>
  <c r="AO559" i="8"/>
  <c r="AO558" i="8"/>
  <c r="AQ558" i="8" s="1"/>
  <c r="AO557" i="8"/>
  <c r="AP557" i="8" s="1"/>
  <c r="AO556" i="8"/>
  <c r="AQ556" i="8" s="1"/>
  <c r="AO555" i="8"/>
  <c r="AO554" i="8"/>
  <c r="AQ554" i="8" s="1"/>
  <c r="AO553" i="8"/>
  <c r="AP553" i="8" s="1"/>
  <c r="AO552" i="8"/>
  <c r="AP552" i="8" s="1"/>
  <c r="AO551" i="8"/>
  <c r="AO550" i="8"/>
  <c r="AQ550" i="8" s="1"/>
  <c r="AO549" i="8"/>
  <c r="AP549" i="8" s="1"/>
  <c r="AO548" i="8"/>
  <c r="AQ548" i="8" s="1"/>
  <c r="AO547" i="8"/>
  <c r="AO546" i="8"/>
  <c r="AQ546" i="8" s="1"/>
  <c r="AC545" i="8"/>
  <c r="AO545" i="8" s="1"/>
  <c r="AP545" i="8" s="1"/>
  <c r="AO544" i="8"/>
  <c r="AP544" i="8" s="1"/>
  <c r="AO543" i="8"/>
  <c r="AO542" i="8"/>
  <c r="AO541" i="8"/>
  <c r="AQ541" i="8" s="1"/>
  <c r="AO540" i="8"/>
  <c r="AP540" i="8" s="1"/>
  <c r="AO539" i="8"/>
  <c r="AO538" i="8"/>
  <c r="AO537" i="8"/>
  <c r="AO536" i="8"/>
  <c r="AO535" i="8"/>
  <c r="AP535" i="8" s="1"/>
  <c r="AO534" i="8"/>
  <c r="AQ534" i="8" s="1"/>
  <c r="AO533" i="8"/>
  <c r="AP533" i="8" s="1"/>
  <c r="AO532" i="8"/>
  <c r="AP532" i="8" s="1"/>
  <c r="AO531" i="8"/>
  <c r="AO530" i="8"/>
  <c r="AP530" i="8" s="1"/>
  <c r="AO529" i="8"/>
  <c r="AO528" i="8"/>
  <c r="AQ528" i="8" s="1"/>
  <c r="AO527" i="8"/>
  <c r="AO526" i="8"/>
  <c r="AP526" i="8" s="1"/>
  <c r="AO525" i="8"/>
  <c r="AQ525" i="8" s="1"/>
  <c r="AO524" i="8"/>
  <c r="AQ524" i="8" s="1"/>
  <c r="AO523" i="8"/>
  <c r="AQ523" i="8" s="1"/>
  <c r="AO522" i="8"/>
  <c r="AP522" i="8" s="1"/>
  <c r="AO521" i="8"/>
  <c r="AQ521" i="8" s="1"/>
  <c r="AE520" i="8"/>
  <c r="AO520" i="8" s="1"/>
  <c r="AO519" i="8"/>
  <c r="AQ519" i="8" s="1"/>
  <c r="AO518" i="8"/>
  <c r="AP518" i="8" s="1"/>
  <c r="AO517" i="8"/>
  <c r="AP517" i="8" s="1"/>
  <c r="AO516" i="8"/>
  <c r="AQ516" i="8" s="1"/>
  <c r="AO515" i="8"/>
  <c r="AQ515" i="8" s="1"/>
  <c r="AO514" i="8"/>
  <c r="AP514" i="8" s="1"/>
  <c r="AO513" i="8"/>
  <c r="AP513" i="8" s="1"/>
  <c r="AO512" i="8"/>
  <c r="AQ512" i="8" s="1"/>
  <c r="AO511" i="8"/>
  <c r="AQ511" i="8" s="1"/>
  <c r="AE510" i="8"/>
  <c r="AO510" i="8" s="1"/>
  <c r="AO509" i="8"/>
  <c r="AP509" i="8" s="1"/>
  <c r="AO508" i="8"/>
  <c r="AQ508" i="8" s="1"/>
  <c r="AC507" i="8"/>
  <c r="AO507" i="8" s="1"/>
  <c r="AQ507" i="8" s="1"/>
  <c r="AO506" i="8"/>
  <c r="AQ506" i="8" s="1"/>
  <c r="AO505" i="8"/>
  <c r="AQ505" i="8" s="1"/>
  <c r="AO504" i="8"/>
  <c r="AQ504" i="8" s="1"/>
  <c r="AB503" i="8"/>
  <c r="AO503" i="8" s="1"/>
  <c r="AO502" i="8"/>
  <c r="AO501" i="8"/>
  <c r="AQ501" i="8" s="1"/>
  <c r="AO500" i="8"/>
  <c r="AQ500" i="8" s="1"/>
  <c r="AO499" i="8"/>
  <c r="AO498" i="8"/>
  <c r="AQ498" i="8" s="1"/>
  <c r="AB497" i="8"/>
  <c r="AO497" i="8" s="1"/>
  <c r="AQ497" i="8" s="1"/>
  <c r="AO496" i="8"/>
  <c r="AQ496" i="8" s="1"/>
  <c r="AO495" i="8"/>
  <c r="AQ495" i="8" s="1"/>
  <c r="AO494" i="8"/>
  <c r="AP494" i="8" s="1"/>
  <c r="AO493" i="8"/>
  <c r="AO492" i="8"/>
  <c r="AQ492" i="8" s="1"/>
  <c r="AO491" i="8"/>
  <c r="AQ491" i="8" s="1"/>
  <c r="AO490" i="8"/>
  <c r="AO489" i="8"/>
  <c r="AQ489" i="8" s="1"/>
  <c r="AO488" i="8"/>
  <c r="AQ488" i="8" s="1"/>
  <c r="AO487" i="8"/>
  <c r="AQ487" i="8" s="1"/>
  <c r="AO486" i="8"/>
  <c r="AP486" i="8" s="1"/>
  <c r="AO485" i="8"/>
  <c r="AQ485" i="8" s="1"/>
  <c r="AO484" i="8"/>
  <c r="AQ484" i="8" s="1"/>
  <c r="AO483" i="8"/>
  <c r="AQ483" i="8" s="1"/>
  <c r="AO482" i="8"/>
  <c r="AP482" i="8" s="1"/>
  <c r="AO481" i="8"/>
  <c r="AQ481" i="8" s="1"/>
  <c r="AO480" i="8"/>
  <c r="AQ480" i="8" s="1"/>
  <c r="AO479" i="8"/>
  <c r="AQ479" i="8" s="1"/>
  <c r="AO478" i="8"/>
  <c r="AP478" i="8" s="1"/>
  <c r="AO477" i="8"/>
  <c r="AQ477" i="8" s="1"/>
  <c r="AO476" i="8"/>
  <c r="AQ476" i="8" s="1"/>
  <c r="AO475" i="8"/>
  <c r="AQ475" i="8" s="1"/>
  <c r="AO474" i="8"/>
  <c r="AP474" i="8" s="1"/>
  <c r="AO473" i="8"/>
  <c r="AP473" i="8" s="1"/>
  <c r="AO472" i="8"/>
  <c r="AQ472" i="8" s="1"/>
  <c r="AO471" i="8"/>
  <c r="AQ471" i="8" s="1"/>
  <c r="AO470" i="8"/>
  <c r="AO469" i="8"/>
  <c r="AQ469" i="8" s="1"/>
  <c r="AO468" i="8"/>
  <c r="AQ468" i="8" s="1"/>
  <c r="AO467" i="8"/>
  <c r="AQ467" i="8" s="1"/>
  <c r="AO466" i="8"/>
  <c r="AP466" i="8" s="1"/>
  <c r="AO465" i="8"/>
  <c r="AP465" i="8" s="1"/>
  <c r="AO572" i="8"/>
  <c r="AQ572" i="8" s="1"/>
  <c r="AO571" i="8"/>
  <c r="AP571" i="8" s="1"/>
  <c r="AO570" i="8"/>
  <c r="AQ570" i="8" s="1"/>
  <c r="AO567" i="8"/>
  <c r="AQ567" i="8" s="1"/>
  <c r="AO566" i="8"/>
  <c r="AO565" i="8"/>
  <c r="AP565" i="8" s="1"/>
  <c r="AO564" i="8"/>
  <c r="AQ564" i="8" s="1"/>
  <c r="AO464" i="8"/>
  <c r="AO463" i="8"/>
  <c r="AQ463" i="8" s="1"/>
  <c r="AO462" i="8"/>
  <c r="AQ462" i="8" s="1"/>
  <c r="AC461" i="8"/>
  <c r="AO461" i="8" s="1"/>
  <c r="AC460" i="8"/>
  <c r="AO460" i="8" s="1"/>
  <c r="AO459" i="8"/>
  <c r="AO458" i="8"/>
  <c r="AO457" i="8"/>
  <c r="AO456" i="8"/>
  <c r="AQ456" i="8" s="1"/>
  <c r="AO455" i="8"/>
  <c r="AO454" i="8"/>
  <c r="AP454" i="8" s="1"/>
  <c r="AO453" i="8"/>
  <c r="AQ453" i="8" s="1"/>
  <c r="AO452" i="8"/>
  <c r="AQ452" i="8" s="1"/>
  <c r="AO451" i="8"/>
  <c r="AO450" i="8"/>
  <c r="AP450" i="8" s="1"/>
  <c r="AO449" i="8"/>
  <c r="AO448" i="8"/>
  <c r="AQ448" i="8" s="1"/>
  <c r="AO447" i="8"/>
  <c r="AO446" i="8"/>
  <c r="AP446" i="8" s="1"/>
  <c r="AO445" i="8"/>
  <c r="AO444" i="8"/>
  <c r="AQ444" i="8" s="1"/>
  <c r="AO443" i="8"/>
  <c r="AO442" i="8"/>
  <c r="AO440" i="8"/>
  <c r="AO439" i="8"/>
  <c r="AQ439" i="8" s="1"/>
  <c r="AO438" i="8"/>
  <c r="AO437" i="8"/>
  <c r="AP437" i="8" s="1"/>
  <c r="AO436" i="8"/>
  <c r="AO435" i="8"/>
  <c r="AQ435" i="8" s="1"/>
  <c r="AO434" i="8"/>
  <c r="AO433" i="8"/>
  <c r="AO432" i="8"/>
  <c r="AQ432" i="8" s="1"/>
  <c r="AO431" i="8"/>
  <c r="AQ431" i="8" s="1"/>
  <c r="AO430" i="8"/>
  <c r="AO429" i="8"/>
  <c r="AP429" i="8" s="1"/>
  <c r="AO428" i="8"/>
  <c r="AO427" i="8"/>
  <c r="AQ427" i="8" s="1"/>
  <c r="AO426" i="8"/>
  <c r="AO425" i="8"/>
  <c r="AO424" i="8"/>
  <c r="AQ424" i="8" s="1"/>
  <c r="AO423" i="8"/>
  <c r="AQ423" i="8" s="1"/>
  <c r="AO422" i="8"/>
  <c r="AO421" i="8"/>
  <c r="AP421" i="8" s="1"/>
  <c r="AO420" i="8"/>
  <c r="AO419" i="8"/>
  <c r="AQ419" i="8" s="1"/>
  <c r="AO418" i="8"/>
  <c r="AO417" i="8"/>
  <c r="AO416" i="8"/>
  <c r="AQ416" i="8" s="1"/>
  <c r="AO415" i="8"/>
  <c r="AQ415" i="8" s="1"/>
  <c r="AO414" i="8"/>
  <c r="AO413" i="8"/>
  <c r="AP413" i="8" s="1"/>
  <c r="AO412" i="8"/>
  <c r="AO411" i="8"/>
  <c r="AQ411" i="8" s="1"/>
  <c r="AO410" i="8"/>
  <c r="AO409" i="8"/>
  <c r="AO408" i="8"/>
  <c r="AQ408" i="8" s="1"/>
  <c r="AO407" i="8"/>
  <c r="AQ407" i="8" s="1"/>
  <c r="AO406" i="8"/>
  <c r="AO405" i="8"/>
  <c r="AO404" i="8"/>
  <c r="AO403" i="8"/>
  <c r="AQ403" i="8" s="1"/>
  <c r="AO402" i="8"/>
  <c r="AO401" i="8"/>
  <c r="AO400" i="8"/>
  <c r="AO399" i="8"/>
  <c r="AO398" i="8"/>
  <c r="AO397" i="8"/>
  <c r="AQ397" i="8" s="1"/>
  <c r="AO396" i="8"/>
  <c r="AO395" i="8"/>
  <c r="AO394" i="8"/>
  <c r="AO393" i="8"/>
  <c r="AO392" i="8"/>
  <c r="AQ392" i="8" s="1"/>
  <c r="AO391" i="8"/>
  <c r="AQ391" i="8" s="1"/>
  <c r="AO390" i="8"/>
  <c r="AO389" i="8"/>
  <c r="AP389" i="8" s="1"/>
  <c r="AB388" i="8"/>
  <c r="AO388" i="8" s="1"/>
  <c r="AQ388" i="8" s="1"/>
  <c r="AO387" i="8"/>
  <c r="AQ387" i="8" s="1"/>
  <c r="AO386" i="8"/>
  <c r="AO385" i="8"/>
  <c r="AO384" i="8"/>
  <c r="AP384" i="8" s="1"/>
  <c r="AO383" i="8"/>
  <c r="AO382" i="8"/>
  <c r="AO381" i="8"/>
  <c r="AO380" i="8"/>
  <c r="AO379" i="8"/>
  <c r="AQ379" i="8" s="1"/>
  <c r="AO378" i="8"/>
  <c r="AO377" i="8"/>
  <c r="AO376" i="8"/>
  <c r="AO375" i="8"/>
  <c r="AO374" i="8"/>
  <c r="AQ374" i="8" s="1"/>
  <c r="AO373" i="8"/>
  <c r="AO372" i="8"/>
  <c r="AO371" i="8"/>
  <c r="AP371" i="8" s="1"/>
  <c r="AO370" i="8"/>
  <c r="AO369" i="8"/>
  <c r="AO368" i="8"/>
  <c r="AQ368" i="8" s="1"/>
  <c r="AO367" i="8"/>
  <c r="AC366" i="8"/>
  <c r="AO366" i="8" s="1"/>
  <c r="AO365" i="8"/>
  <c r="AC364" i="8"/>
  <c r="AO364" i="8" s="1"/>
  <c r="AC363" i="8"/>
  <c r="AO363" i="8" s="1"/>
  <c r="AO362" i="8"/>
  <c r="AO361" i="8"/>
  <c r="AO360" i="8"/>
  <c r="AP360" i="8" s="1"/>
  <c r="AO359" i="8"/>
  <c r="AO358" i="8"/>
  <c r="AO357" i="8"/>
  <c r="AO356" i="8"/>
  <c r="AO355" i="8"/>
  <c r="AQ355" i="8" s="1"/>
  <c r="AO354" i="8"/>
  <c r="AO353" i="8"/>
  <c r="AO352" i="8"/>
  <c r="AO351" i="8"/>
  <c r="AQ351" i="8" s="1"/>
  <c r="AC350" i="8"/>
  <c r="AO350" i="8" s="1"/>
  <c r="AO349" i="8"/>
  <c r="AO348" i="8"/>
  <c r="AO347" i="8"/>
  <c r="AQ347" i="8" s="1"/>
  <c r="AO346" i="8"/>
  <c r="AQ346" i="8" s="1"/>
  <c r="AO345" i="8"/>
  <c r="AO344" i="8"/>
  <c r="AO343" i="8"/>
  <c r="AQ343" i="8" s="1"/>
  <c r="AO342" i="8"/>
  <c r="AQ342" i="8" s="1"/>
  <c r="AO341" i="8"/>
  <c r="AO340" i="8"/>
  <c r="AP340" i="8" s="1"/>
  <c r="AO339" i="8"/>
  <c r="AO338" i="8"/>
  <c r="AO337" i="8"/>
  <c r="AO336" i="8"/>
  <c r="AP336" i="8" s="1"/>
  <c r="AO335" i="8"/>
  <c r="AP335" i="8" s="1"/>
  <c r="AO334" i="8"/>
  <c r="AO333" i="8"/>
  <c r="AO332" i="8"/>
  <c r="AP332" i="8" s="1"/>
  <c r="AO331" i="8"/>
  <c r="AO330" i="8"/>
  <c r="AO329" i="8"/>
  <c r="AO328" i="8"/>
  <c r="AO327" i="8"/>
  <c r="AP327" i="8" s="1"/>
  <c r="AO326" i="8"/>
  <c r="AO325" i="8"/>
  <c r="AO324" i="8"/>
  <c r="AE323" i="8"/>
  <c r="AO323" i="8" s="1"/>
  <c r="AO322" i="8"/>
  <c r="AO321" i="8"/>
  <c r="AO320" i="8"/>
  <c r="AO319" i="8"/>
  <c r="AQ319" i="8" s="1"/>
  <c r="AO318" i="8"/>
  <c r="AQ318" i="8" s="1"/>
  <c r="AE317" i="8"/>
  <c r="AO317" i="8" s="1"/>
  <c r="AQ317" i="8" s="1"/>
  <c r="AO316" i="8"/>
  <c r="AO315" i="8"/>
  <c r="AO314" i="8"/>
  <c r="AO313" i="8"/>
  <c r="AE312" i="8"/>
  <c r="AO312" i="8" s="1"/>
  <c r="AO311" i="8"/>
  <c r="AO310" i="8"/>
  <c r="AO309" i="8"/>
  <c r="AO308" i="8"/>
  <c r="AP308" i="8" s="1"/>
  <c r="AO307" i="8"/>
  <c r="AQ307" i="8" s="1"/>
  <c r="AO306" i="8"/>
  <c r="AO305" i="8"/>
  <c r="AC304" i="8"/>
  <c r="AO304" i="8" s="1"/>
  <c r="AB303" i="8"/>
  <c r="AO303" i="8" s="1"/>
  <c r="AO302" i="8"/>
  <c r="AE301" i="8"/>
  <c r="AO301" i="8" s="1"/>
  <c r="AQ301" i="8" s="1"/>
  <c r="AO300" i="8"/>
  <c r="AO299" i="8"/>
  <c r="AQ299" i="8" s="1"/>
  <c r="AO298" i="8"/>
  <c r="AO297" i="8"/>
  <c r="AQ297" i="8" s="1"/>
  <c r="AO296" i="8"/>
  <c r="AO295" i="8"/>
  <c r="AO294" i="8"/>
  <c r="AO293" i="8"/>
  <c r="AQ293" i="8" s="1"/>
  <c r="AO292" i="8"/>
  <c r="AO291" i="8"/>
  <c r="AO290" i="8"/>
  <c r="AO289" i="8"/>
  <c r="AC288" i="8"/>
  <c r="AO288" i="8" s="1"/>
  <c r="AO287" i="8"/>
  <c r="AO286" i="8"/>
  <c r="AQ286" i="8" s="1"/>
  <c r="AB285" i="8"/>
  <c r="AO285" i="8" s="1"/>
  <c r="AO284" i="8"/>
  <c r="AO283" i="8"/>
  <c r="AO282" i="8"/>
  <c r="AP282" i="8" s="1"/>
  <c r="AE281" i="8"/>
  <c r="AO281" i="8" s="1"/>
  <c r="AO280" i="8"/>
  <c r="AQ280" i="8" s="1"/>
  <c r="AB279" i="8"/>
  <c r="AO279" i="8" s="1"/>
  <c r="AO278" i="8"/>
  <c r="AO277" i="8"/>
  <c r="AP277" i="8" s="1"/>
  <c r="AE276" i="8"/>
  <c r="AO276" i="8" s="1"/>
  <c r="AP276" i="8" s="1"/>
  <c r="AO275" i="8"/>
  <c r="AO274" i="8"/>
  <c r="AQ274" i="8" s="1"/>
  <c r="AE273" i="8"/>
  <c r="AO273" i="8" s="1"/>
  <c r="AB272" i="8"/>
  <c r="AO272" i="8" s="1"/>
  <c r="AB271" i="8"/>
  <c r="AO271" i="8" s="1"/>
  <c r="AO270" i="8"/>
  <c r="AO269" i="8"/>
  <c r="AP269" i="8" s="1"/>
  <c r="AO268" i="8"/>
  <c r="AO267" i="8"/>
  <c r="AO266" i="8"/>
  <c r="AO265" i="8"/>
  <c r="AO264" i="8"/>
  <c r="AP264" i="8" s="1"/>
  <c r="AO263" i="8"/>
  <c r="AD262" i="8"/>
  <c r="AO262" i="8" s="1"/>
  <c r="AO261" i="8"/>
  <c r="AC260" i="8"/>
  <c r="AO260" i="8" s="1"/>
  <c r="AO259" i="8"/>
  <c r="AO258" i="8"/>
  <c r="AO257" i="8"/>
  <c r="AO256" i="8"/>
  <c r="AE255" i="8"/>
  <c r="AO255" i="8" s="1"/>
  <c r="AO254" i="8"/>
  <c r="AP254" i="8" s="1"/>
  <c r="AO253" i="8"/>
  <c r="AO252" i="8"/>
  <c r="AO251" i="8"/>
  <c r="AO250" i="8"/>
  <c r="AO249" i="8"/>
  <c r="AP249" i="8" s="1"/>
  <c r="AO248" i="8"/>
  <c r="AO247" i="8"/>
  <c r="AC246" i="8"/>
  <c r="AO246" i="8" s="1"/>
  <c r="AO245" i="8"/>
  <c r="AO244" i="8"/>
  <c r="AB243" i="8"/>
  <c r="AO243" i="8" s="1"/>
  <c r="AQ243" i="8" s="1"/>
  <c r="AO242" i="8"/>
  <c r="AQ242" i="8" s="1"/>
  <c r="AO241" i="8"/>
  <c r="AO240" i="8"/>
  <c r="AO239" i="8"/>
  <c r="AO238" i="8"/>
  <c r="AO237" i="8"/>
  <c r="AO236" i="8"/>
  <c r="AO235" i="8"/>
  <c r="AO234" i="8"/>
  <c r="AQ234" i="8" s="1"/>
  <c r="AO233" i="8"/>
  <c r="AO232" i="8"/>
  <c r="AP232" i="8" s="1"/>
  <c r="AO228" i="8"/>
  <c r="AO227" i="8"/>
  <c r="AQ227" i="8" s="1"/>
  <c r="AO226" i="8"/>
  <c r="AO225" i="8"/>
  <c r="AQ225" i="8" s="1"/>
  <c r="AO224" i="8"/>
  <c r="AO223" i="8"/>
  <c r="AO222" i="8"/>
  <c r="AO221" i="8"/>
  <c r="AQ221" i="8" s="1"/>
  <c r="AO220" i="8"/>
  <c r="AO219" i="8"/>
  <c r="AO218" i="8"/>
  <c r="AO217" i="8"/>
  <c r="AQ217" i="8" s="1"/>
  <c r="AO216" i="8"/>
  <c r="AP216" i="8" s="1"/>
  <c r="AO215" i="8"/>
  <c r="AQ215" i="8" s="1"/>
  <c r="AO214" i="8"/>
  <c r="AP214" i="8" s="1"/>
  <c r="AO210" i="8"/>
  <c r="AQ210" i="8" s="1"/>
  <c r="AO209" i="8"/>
  <c r="AO208" i="8"/>
  <c r="AQ208" i="8" s="1"/>
  <c r="AO207" i="8"/>
  <c r="AP207" i="8" s="1"/>
  <c r="AC206" i="8"/>
  <c r="AO206" i="8" s="1"/>
  <c r="AQ206" i="8" s="1"/>
  <c r="AO205" i="8"/>
  <c r="AQ205" i="8" s="1"/>
  <c r="AO204" i="8"/>
  <c r="AP204" i="8" s="1"/>
  <c r="AO203" i="8"/>
  <c r="AQ203" i="8" s="1"/>
  <c r="AO202" i="8"/>
  <c r="AP202" i="8" s="1"/>
  <c r="AO201" i="8"/>
  <c r="AO200" i="8"/>
  <c r="AQ200" i="8" s="1"/>
  <c r="AO199" i="8"/>
  <c r="AO198" i="8"/>
  <c r="AP198" i="8" s="1"/>
  <c r="AO197" i="8"/>
  <c r="AP197" i="8" s="1"/>
  <c r="AO196" i="8"/>
  <c r="AQ196" i="8" s="1"/>
  <c r="AO195" i="8"/>
  <c r="AQ195" i="8" s="1"/>
  <c r="AO194" i="8"/>
  <c r="AO193" i="8"/>
  <c r="AP193" i="8" s="1"/>
  <c r="AO192" i="8"/>
  <c r="AQ192" i="8" s="1"/>
  <c r="AO191" i="8"/>
  <c r="AO190" i="8"/>
  <c r="AP190" i="8" s="1"/>
  <c r="AO189" i="8"/>
  <c r="AO188" i="8"/>
  <c r="AP188" i="8" s="1"/>
  <c r="AO187" i="8"/>
  <c r="AQ187" i="8" s="1"/>
  <c r="AB186" i="8"/>
  <c r="AO186" i="8" s="1"/>
  <c r="AO185" i="8"/>
  <c r="AP185" i="8" s="1"/>
  <c r="AO184" i="8"/>
  <c r="AP184" i="8" s="1"/>
  <c r="AO183" i="8"/>
  <c r="AQ183" i="8" s="1"/>
  <c r="AO182" i="8"/>
  <c r="AQ182" i="8" s="1"/>
  <c r="AO181" i="8"/>
  <c r="AO180" i="8"/>
  <c r="AO179" i="8"/>
  <c r="AQ179" i="8" s="1"/>
  <c r="AO178" i="8"/>
  <c r="AQ178" i="8" s="1"/>
  <c r="AO177" i="8"/>
  <c r="AP177" i="8" s="1"/>
  <c r="AO176" i="8"/>
  <c r="AP176" i="8" s="1"/>
  <c r="AO175" i="8"/>
  <c r="AQ175" i="8" s="1"/>
  <c r="AO174" i="8"/>
  <c r="AQ174" i="8" s="1"/>
  <c r="AO173" i="8"/>
  <c r="AQ173" i="8" s="1"/>
  <c r="AO172" i="8"/>
  <c r="AQ172" i="8" s="1"/>
  <c r="AO171" i="8"/>
  <c r="AO170" i="8"/>
  <c r="AQ170" i="8" s="1"/>
  <c r="AO169" i="8"/>
  <c r="AQ169" i="8" s="1"/>
  <c r="AO168" i="8"/>
  <c r="AO167" i="8"/>
  <c r="AQ167" i="8" s="1"/>
  <c r="AO166" i="8"/>
  <c r="AQ166" i="8" s="1"/>
  <c r="AO165" i="8"/>
  <c r="AQ165" i="8" s="1"/>
  <c r="AO164" i="8"/>
  <c r="AO163" i="8"/>
  <c r="AQ163" i="8" s="1"/>
  <c r="AO162" i="8"/>
  <c r="AQ162" i="8" s="1"/>
  <c r="AO161" i="8"/>
  <c r="AQ161" i="8" s="1"/>
  <c r="AO160" i="8"/>
  <c r="AP160" i="8" s="1"/>
  <c r="AO159" i="8"/>
  <c r="AO158" i="8"/>
  <c r="AQ158" i="8" s="1"/>
  <c r="AO157" i="8"/>
  <c r="AQ157" i="8" s="1"/>
  <c r="AO156" i="8"/>
  <c r="AQ156" i="8" s="1"/>
  <c r="AO155" i="8"/>
  <c r="AO154" i="8"/>
  <c r="AQ154" i="8" s="1"/>
  <c r="AO153" i="8"/>
  <c r="AQ153" i="8" s="1"/>
  <c r="AO152" i="8"/>
  <c r="AP152" i="8" s="1"/>
  <c r="AO151" i="8"/>
  <c r="AQ151" i="8" s="1"/>
  <c r="AO150" i="8"/>
  <c r="AQ150" i="8" s="1"/>
  <c r="AO149" i="8"/>
  <c r="AQ149" i="8" s="1"/>
  <c r="AO148" i="8"/>
  <c r="AO147" i="8"/>
  <c r="AQ147" i="8" s="1"/>
  <c r="AO146" i="8"/>
  <c r="AQ146" i="8" s="1"/>
  <c r="AO145" i="8"/>
  <c r="AQ145" i="8" s="1"/>
  <c r="AO144" i="8"/>
  <c r="AP144" i="8" s="1"/>
  <c r="AO143" i="8"/>
  <c r="AO142" i="8"/>
  <c r="AQ142" i="8" s="1"/>
  <c r="AO141" i="8"/>
  <c r="AQ141" i="8" s="1"/>
  <c r="AO140" i="8"/>
  <c r="AQ140" i="8" s="1"/>
  <c r="AO139" i="8"/>
  <c r="AO138" i="8"/>
  <c r="AQ138" i="8" s="1"/>
  <c r="AC137" i="8"/>
  <c r="AO136" i="8"/>
  <c r="AQ136" i="8" s="1"/>
  <c r="AO135" i="8"/>
  <c r="AB134" i="8"/>
  <c r="AO134" i="8" s="1"/>
  <c r="AO133" i="8"/>
  <c r="AO132" i="8"/>
  <c r="AQ132" i="8" s="1"/>
  <c r="AO131" i="8"/>
  <c r="AQ131" i="8" s="1"/>
  <c r="AO130" i="8"/>
  <c r="AO129" i="8"/>
  <c r="AO128" i="8"/>
  <c r="AQ128" i="8" s="1"/>
  <c r="AO127" i="8"/>
  <c r="AQ127" i="8" s="1"/>
  <c r="AO126" i="8"/>
  <c r="AO125" i="8"/>
  <c r="AP125" i="8" s="1"/>
  <c r="AO124" i="8"/>
  <c r="AQ124" i="8" s="1"/>
  <c r="AO123" i="8"/>
  <c r="AQ123" i="8" s="1"/>
  <c r="AO122" i="8"/>
  <c r="AQ122" i="8" s="1"/>
  <c r="AO121" i="8"/>
  <c r="AO120" i="8"/>
  <c r="AQ120" i="8" s="1"/>
  <c r="AO119" i="8"/>
  <c r="AQ119" i="8" s="1"/>
  <c r="AO118" i="8"/>
  <c r="AO117" i="8"/>
  <c r="AP117" i="8" s="1"/>
  <c r="AO116" i="8"/>
  <c r="AQ116" i="8" s="1"/>
  <c r="AO115" i="8"/>
  <c r="AQ115" i="8" s="1"/>
  <c r="AO114" i="8"/>
  <c r="AQ114" i="8" s="1"/>
  <c r="AO113" i="8"/>
  <c r="AO112" i="8"/>
  <c r="AQ112" i="8" s="1"/>
  <c r="AO111" i="8"/>
  <c r="AQ111" i="8" s="1"/>
  <c r="AO110" i="8"/>
  <c r="AO109" i="8"/>
  <c r="AO108" i="8"/>
  <c r="AQ108" i="8" s="1"/>
  <c r="AO107" i="8"/>
  <c r="AQ107" i="8" s="1"/>
  <c r="AO106" i="8"/>
  <c r="AO105" i="8"/>
  <c r="AO104" i="8"/>
  <c r="AQ104" i="8" s="1"/>
  <c r="AO103" i="8"/>
  <c r="AQ103" i="8" s="1"/>
  <c r="AO102" i="8"/>
  <c r="AO101" i="8"/>
  <c r="AO100" i="8"/>
  <c r="AQ100" i="8" s="1"/>
  <c r="AO99" i="8"/>
  <c r="AQ99" i="8" s="1"/>
  <c r="AO98" i="8"/>
  <c r="AO97" i="8"/>
  <c r="AO96" i="8"/>
  <c r="AQ96" i="8" s="1"/>
  <c r="AO95" i="8"/>
  <c r="AQ95" i="8" s="1"/>
  <c r="AO94" i="8"/>
  <c r="AO93" i="8"/>
  <c r="AO92" i="8"/>
  <c r="AQ92" i="8" s="1"/>
  <c r="AO91" i="8"/>
  <c r="AQ91" i="8" s="1"/>
  <c r="AO90" i="8"/>
  <c r="AO89" i="8"/>
  <c r="AO88" i="8"/>
  <c r="AQ88" i="8" s="1"/>
  <c r="AO87" i="8"/>
  <c r="AQ87" i="8" s="1"/>
  <c r="AO86" i="8"/>
  <c r="AO85" i="8"/>
  <c r="AO84" i="8"/>
  <c r="AQ84" i="8" s="1"/>
  <c r="AO83" i="8"/>
  <c r="AQ83" i="8" s="1"/>
  <c r="AO82" i="8"/>
  <c r="AO81" i="8"/>
  <c r="AO80" i="8"/>
  <c r="AQ80" i="8" s="1"/>
  <c r="AE79" i="8"/>
  <c r="AO79" i="8" s="1"/>
  <c r="AO78" i="8"/>
  <c r="AQ78" i="8" s="1"/>
  <c r="AO77" i="8"/>
  <c r="AP77" i="8" s="1"/>
  <c r="AO76" i="8"/>
  <c r="AQ76" i="8" s="1"/>
  <c r="AO75" i="8"/>
  <c r="AQ75" i="8" s="1"/>
  <c r="AO74" i="8"/>
  <c r="AQ74" i="8" s="1"/>
  <c r="AO73" i="8"/>
  <c r="AP73" i="8" s="1"/>
  <c r="AO72" i="8"/>
  <c r="AO71" i="8"/>
  <c r="AQ71" i="8" s="1"/>
  <c r="AO70" i="8"/>
  <c r="AQ70" i="8" s="1"/>
  <c r="AO69" i="8"/>
  <c r="AO68" i="8"/>
  <c r="AQ68" i="8" s="1"/>
  <c r="AO67" i="8"/>
  <c r="AQ67" i="8" s="1"/>
  <c r="AO66" i="8"/>
  <c r="AQ66" i="8" s="1"/>
  <c r="AO65" i="8"/>
  <c r="AP65" i="8" s="1"/>
  <c r="AB64" i="8"/>
  <c r="AO63" i="8"/>
  <c r="AQ63" i="8" s="1"/>
  <c r="AO62" i="8"/>
  <c r="AQ62" i="8" s="1"/>
  <c r="AO61" i="8"/>
  <c r="AQ61" i="8" s="1"/>
  <c r="AO60" i="8"/>
  <c r="AP60" i="8" s="1"/>
  <c r="AO59" i="8"/>
  <c r="AO58" i="8"/>
  <c r="AQ58" i="8" s="1"/>
  <c r="AO57" i="8"/>
  <c r="AQ57" i="8" s="1"/>
  <c r="AE56" i="8"/>
  <c r="AO56" i="8" s="1"/>
  <c r="AO55" i="8"/>
  <c r="AQ55" i="8" s="1"/>
  <c r="AD54" i="8"/>
  <c r="AO54" i="8" s="1"/>
  <c r="AO53" i="8"/>
  <c r="AP53" i="8" s="1"/>
  <c r="AO52" i="8"/>
  <c r="AQ52" i="8" s="1"/>
  <c r="AO51" i="8"/>
  <c r="AQ51" i="8" s="1"/>
  <c r="AO50" i="8"/>
  <c r="AO49" i="8"/>
  <c r="AQ49" i="8" s="1"/>
  <c r="AO48" i="8"/>
  <c r="AQ48" i="8" s="1"/>
  <c r="AE47" i="8"/>
  <c r="AO47" i="8" s="1"/>
  <c r="AO46" i="8"/>
  <c r="AQ46" i="8" s="1"/>
  <c r="AO45" i="8"/>
  <c r="AP45" i="8" s="1"/>
  <c r="AO44" i="8"/>
  <c r="AO43" i="8"/>
  <c r="AQ43" i="8" s="1"/>
  <c r="AO42" i="8"/>
  <c r="AQ42" i="8" s="1"/>
  <c r="AO41" i="8"/>
  <c r="AE40" i="8"/>
  <c r="AO39" i="8"/>
  <c r="AP39" i="8" s="1"/>
  <c r="AO38" i="8"/>
  <c r="AQ38" i="8" s="1"/>
  <c r="AO37" i="8"/>
  <c r="AQ37" i="8" s="1"/>
  <c r="AO36" i="8"/>
  <c r="AO35" i="8"/>
  <c r="AO34" i="8"/>
  <c r="AQ34" i="8" s="1"/>
  <c r="AO33" i="8"/>
  <c r="AQ33" i="8" s="1"/>
  <c r="AO32" i="8"/>
  <c r="AO31" i="8"/>
  <c r="AP31" i="8" s="1"/>
  <c r="AO30" i="8"/>
  <c r="AQ30" i="8" s="1"/>
  <c r="AO29" i="8"/>
  <c r="AQ29" i="8" s="1"/>
  <c r="AO28" i="8"/>
  <c r="AP28" i="8" s="1"/>
  <c r="AO27" i="8"/>
  <c r="AQ27" i="8" s="1"/>
  <c r="AO26" i="8"/>
  <c r="AQ26" i="8" s="1"/>
  <c r="AO25" i="8"/>
  <c r="AQ25" i="8" s="1"/>
  <c r="AO24" i="8"/>
  <c r="AP24" i="8" s="1"/>
  <c r="AO23" i="8"/>
  <c r="AO441" i="8"/>
  <c r="AQ441" i="8" s="1"/>
  <c r="AO231" i="8"/>
  <c r="AQ231" i="8" s="1"/>
  <c r="AO230" i="8"/>
  <c r="AP230" i="8" s="1"/>
  <c r="AO229" i="8"/>
  <c r="AP229" i="8" s="1"/>
  <c r="AO213" i="8"/>
  <c r="AQ213" i="8" s="1"/>
  <c r="AO212" i="8"/>
  <c r="AQ212" i="8" s="1"/>
  <c r="AO211" i="8"/>
  <c r="AP211" i="8" s="1"/>
  <c r="AO22" i="8"/>
  <c r="AO21" i="8"/>
  <c r="AQ21" i="8" s="1"/>
  <c r="AD20" i="8"/>
  <c r="AO19" i="8"/>
  <c r="AQ19" i="8" s="1"/>
  <c r="AC18" i="8"/>
  <c r="AO17" i="8"/>
  <c r="AP17" i="8" s="1"/>
  <c r="AO16" i="8"/>
  <c r="AO15" i="8"/>
  <c r="AQ15" i="8" s="1"/>
  <c r="AO14" i="8"/>
  <c r="AQ14" i="8" s="1"/>
  <c r="AO13" i="8"/>
  <c r="AO12" i="8"/>
  <c r="AQ12" i="8" s="1"/>
  <c r="AO11" i="8"/>
  <c r="AQ11" i="8" l="1"/>
  <c r="AE3422" i="8"/>
  <c r="AO64" i="8"/>
  <c r="AQ64" i="8" s="1"/>
  <c r="AB3422" i="8"/>
  <c r="AO18" i="8"/>
  <c r="AC3422" i="8"/>
  <c r="AO20" i="8"/>
  <c r="AQ20" i="8" s="1"/>
  <c r="AD3422" i="8"/>
  <c r="AP205" i="8"/>
  <c r="AP297" i="8"/>
  <c r="AP319" i="8"/>
  <c r="AQ966" i="8"/>
  <c r="AP379" i="8"/>
  <c r="AQ229" i="8"/>
  <c r="AQ188" i="8"/>
  <c r="AQ660" i="8"/>
  <c r="AP942" i="8"/>
  <c r="AQ945" i="8"/>
  <c r="AQ996" i="8"/>
  <c r="AP1018" i="8"/>
  <c r="AQ39" i="8"/>
  <c r="AP299" i="8"/>
  <c r="AP1016" i="8"/>
  <c r="AP859" i="8"/>
  <c r="AP902" i="8"/>
  <c r="AP68" i="8"/>
  <c r="AQ371" i="8"/>
  <c r="AQ389" i="8"/>
  <c r="AP408" i="8"/>
  <c r="AQ473" i="8"/>
  <c r="AQ518" i="8"/>
  <c r="AP525" i="8"/>
  <c r="AQ552" i="8"/>
  <c r="AQ688" i="8"/>
  <c r="AQ723" i="8"/>
  <c r="AP752" i="8"/>
  <c r="AP775" i="8"/>
  <c r="AQ983" i="8"/>
  <c r="AP12" i="8"/>
  <c r="AQ211" i="8"/>
  <c r="AN441" i="8"/>
  <c r="AP63" i="8"/>
  <c r="AQ277" i="8"/>
  <c r="AQ340" i="8"/>
  <c r="AP343" i="8"/>
  <c r="AP498" i="8"/>
  <c r="AQ592" i="8"/>
  <c r="AP813" i="8"/>
  <c r="AP998" i="8"/>
  <c r="AP133" i="8"/>
  <c r="AQ133" i="8"/>
  <c r="AP490" i="8"/>
  <c r="AQ490" i="8"/>
  <c r="AP54" i="8"/>
  <c r="AQ54" i="8"/>
  <c r="AQ143" i="8"/>
  <c r="AP143" i="8"/>
  <c r="AQ223" i="8"/>
  <c r="AP223" i="8"/>
  <c r="AP331" i="8"/>
  <c r="AQ331" i="8"/>
  <c r="AP420" i="8"/>
  <c r="AQ420" i="8"/>
  <c r="AQ493" i="8"/>
  <c r="AP493" i="8"/>
  <c r="AP692" i="8"/>
  <c r="AQ692" i="8"/>
  <c r="AQ760" i="8"/>
  <c r="AP760" i="8"/>
  <c r="AQ130" i="8"/>
  <c r="AP130" i="8"/>
  <c r="AQ281" i="8"/>
  <c r="AP281" i="8"/>
  <c r="AQ312" i="8"/>
  <c r="AP312" i="8"/>
  <c r="AP608" i="8"/>
  <c r="AQ608" i="8"/>
  <c r="AQ762" i="8"/>
  <c r="AP762" i="8"/>
  <c r="AP672" i="8"/>
  <c r="AQ672" i="8"/>
  <c r="AQ822" i="8"/>
  <c r="AP822" i="8"/>
  <c r="AQ990" i="8"/>
  <c r="AP990" i="8"/>
  <c r="AP49" i="8"/>
  <c r="AQ73" i="8"/>
  <c r="AP76" i="8"/>
  <c r="AQ207" i="8"/>
  <c r="AP221" i="8"/>
  <c r="AP242" i="8"/>
  <c r="AQ466" i="8"/>
  <c r="AP469" i="8"/>
  <c r="AQ509" i="8"/>
  <c r="AQ561" i="8"/>
  <c r="AP568" i="8"/>
  <c r="AP790" i="8"/>
  <c r="AP833" i="8"/>
  <c r="AQ918" i="8"/>
  <c r="AQ925" i="8"/>
  <c r="AQ657" i="8"/>
  <c r="AQ685" i="8"/>
  <c r="AQ786" i="8"/>
  <c r="AP838" i="8"/>
  <c r="AQ695" i="8"/>
  <c r="AQ959" i="8"/>
  <c r="AP1004" i="8"/>
  <c r="AQ322" i="8"/>
  <c r="AP322" i="8"/>
  <c r="AP584" i="8"/>
  <c r="AQ584" i="8"/>
  <c r="AQ715" i="8"/>
  <c r="AP715" i="8"/>
  <c r="AQ886" i="8"/>
  <c r="AP886" i="8"/>
  <c r="AP963" i="8"/>
  <c r="AQ963" i="8"/>
  <c r="AQ1012" i="8"/>
  <c r="AP1012" i="8"/>
  <c r="AQ199" i="8"/>
  <c r="AP199" i="8"/>
  <c r="AQ383" i="8"/>
  <c r="AP383" i="8"/>
  <c r="AQ502" i="8"/>
  <c r="AP502" i="8"/>
  <c r="AQ529" i="8"/>
  <c r="AP529" i="8"/>
  <c r="AP596" i="8"/>
  <c r="AQ596" i="8"/>
  <c r="AP909" i="8"/>
  <c r="AQ909" i="8"/>
  <c r="AP168" i="8"/>
  <c r="AQ168" i="8"/>
  <c r="AP44" i="8"/>
  <c r="AQ44" i="8"/>
  <c r="AP236" i="8"/>
  <c r="AQ236" i="8"/>
  <c r="AQ375" i="8"/>
  <c r="AP375" i="8"/>
  <c r="AQ191" i="8"/>
  <c r="AP191" i="8"/>
  <c r="AQ314" i="8"/>
  <c r="AP314" i="8"/>
  <c r="AQ348" i="8"/>
  <c r="AP348" i="8"/>
  <c r="AP712" i="8"/>
  <c r="AQ712" i="8"/>
  <c r="AQ1002" i="8"/>
  <c r="AP1002" i="8"/>
  <c r="AP36" i="8"/>
  <c r="AQ36" i="8"/>
  <c r="AP81" i="8"/>
  <c r="AQ81" i="8"/>
  <c r="AP89" i="8"/>
  <c r="AQ89" i="8"/>
  <c r="AP97" i="8"/>
  <c r="AQ97" i="8"/>
  <c r="AP105" i="8"/>
  <c r="AQ105" i="8"/>
  <c r="AP134" i="8"/>
  <c r="AQ134" i="8"/>
  <c r="AQ184" i="8"/>
  <c r="AP189" i="8"/>
  <c r="AQ189" i="8"/>
  <c r="AP41" i="8"/>
  <c r="AQ41" i="8"/>
  <c r="AQ86" i="8"/>
  <c r="AP86" i="8"/>
  <c r="AQ94" i="8"/>
  <c r="AP94" i="8"/>
  <c r="AQ102" i="8"/>
  <c r="AP102" i="8"/>
  <c r="AQ110" i="8"/>
  <c r="AP110" i="8"/>
  <c r="AQ139" i="8"/>
  <c r="AP139" i="8"/>
  <c r="AQ291" i="8"/>
  <c r="AP291" i="8"/>
  <c r="AQ370" i="8"/>
  <c r="AP370" i="8"/>
  <c r="AP380" i="8"/>
  <c r="AQ380" i="8"/>
  <c r="AQ449" i="8"/>
  <c r="AP449" i="8"/>
  <c r="AP499" i="8"/>
  <c r="AQ499" i="8"/>
  <c r="AQ612" i="8"/>
  <c r="AP612" i="8"/>
  <c r="AQ628" i="8"/>
  <c r="AP628" i="8"/>
  <c r="AQ749" i="8"/>
  <c r="AP749" i="8"/>
  <c r="AQ736" i="8"/>
  <c r="AP736" i="8"/>
  <c r="AQ800" i="8"/>
  <c r="AP800" i="8"/>
  <c r="AQ825" i="8"/>
  <c r="AP825" i="8"/>
  <c r="AP965" i="8"/>
  <c r="AQ965" i="8"/>
  <c r="AQ1014" i="8"/>
  <c r="AP1014" i="8"/>
  <c r="AP23" i="8"/>
  <c r="AQ23" i="8"/>
  <c r="AQ155" i="8"/>
  <c r="AP155" i="8"/>
  <c r="AQ171" i="8"/>
  <c r="AP171" i="8"/>
  <c r="AP194" i="8"/>
  <c r="AQ194" i="8"/>
  <c r="AQ197" i="8"/>
  <c r="AP258" i="8"/>
  <c r="AQ258" i="8"/>
  <c r="AQ503" i="8"/>
  <c r="AP503" i="8"/>
  <c r="AP625" i="8"/>
  <c r="AQ625" i="8"/>
  <c r="AQ751" i="8"/>
  <c r="AP751" i="8"/>
  <c r="AQ820" i="8"/>
  <c r="AP820" i="8"/>
  <c r="AP978" i="8"/>
  <c r="AQ978" i="8"/>
  <c r="AQ1028" i="8"/>
  <c r="AP1028" i="8"/>
  <c r="AQ704" i="8"/>
  <c r="AP707" i="8"/>
  <c r="AQ728" i="8"/>
  <c r="AP731" i="8"/>
  <c r="AP767" i="8"/>
  <c r="AQ794" i="8"/>
  <c r="AQ818" i="8"/>
  <c r="AQ845" i="8"/>
  <c r="AQ851" i="8"/>
  <c r="AP854" i="8"/>
  <c r="AQ860" i="8"/>
  <c r="AP863" i="8"/>
  <c r="AP870" i="8"/>
  <c r="AQ893" i="8"/>
  <c r="AP934" i="8"/>
  <c r="AQ950" i="8"/>
  <c r="AQ992" i="8"/>
  <c r="AQ1000" i="8"/>
  <c r="AP1022" i="8"/>
  <c r="AP1032" i="8"/>
  <c r="AQ327" i="8"/>
  <c r="AQ360" i="8"/>
  <c r="AQ545" i="8"/>
  <c r="AP548" i="8"/>
  <c r="AQ575" i="8"/>
  <c r="AQ589" i="8"/>
  <c r="AQ605" i="8"/>
  <c r="AQ621" i="8"/>
  <c r="AP624" i="8"/>
  <c r="AQ689" i="8"/>
  <c r="AQ720" i="8"/>
  <c r="AP735" i="8"/>
  <c r="AQ745" i="8"/>
  <c r="AP750" i="8"/>
  <c r="AQ780" i="8"/>
  <c r="AQ805" i="8"/>
  <c r="AQ830" i="8"/>
  <c r="AQ877" i="8"/>
  <c r="AP964" i="8"/>
  <c r="AP968" i="8"/>
  <c r="AP985" i="8"/>
  <c r="AQ987" i="8"/>
  <c r="AP1020" i="8"/>
  <c r="AP13" i="8"/>
  <c r="AQ13" i="8"/>
  <c r="AQ59" i="8"/>
  <c r="AP59" i="8"/>
  <c r="AQ135" i="8"/>
  <c r="AP135" i="8"/>
  <c r="AQ164" i="8"/>
  <c r="AP164" i="8"/>
  <c r="AQ259" i="8"/>
  <c r="AP259" i="8"/>
  <c r="AP283" i="8"/>
  <c r="AQ283" i="8"/>
  <c r="AQ72" i="8"/>
  <c r="AP72" i="8"/>
  <c r="AQ90" i="8"/>
  <c r="AP90" i="8"/>
  <c r="AQ106" i="8"/>
  <c r="AP106" i="8"/>
  <c r="AP250" i="8"/>
  <c r="AQ250" i="8"/>
  <c r="AP417" i="8"/>
  <c r="AQ417" i="8"/>
  <c r="AQ436" i="8"/>
  <c r="AP436" i="8"/>
  <c r="AQ981" i="8"/>
  <c r="AP981" i="8"/>
  <c r="AP186" i="8"/>
  <c r="AQ186" i="8"/>
  <c r="AQ240" i="8"/>
  <c r="AP240" i="8"/>
  <c r="AQ295" i="8"/>
  <c r="AP295" i="8"/>
  <c r="AP253" i="8"/>
  <c r="AQ253" i="8"/>
  <c r="AQ35" i="8"/>
  <c r="AP35" i="8"/>
  <c r="AQ82" i="8"/>
  <c r="AP82" i="8"/>
  <c r="AQ98" i="8"/>
  <c r="AP98" i="8"/>
  <c r="AP114" i="8"/>
  <c r="AQ117" i="8"/>
  <c r="AP121" i="8"/>
  <c r="AQ121" i="8"/>
  <c r="AQ219" i="8"/>
  <c r="AP219" i="8"/>
  <c r="AQ323" i="8"/>
  <c r="AP323" i="8"/>
  <c r="AP356" i="8"/>
  <c r="AQ356" i="8"/>
  <c r="AP393" i="8"/>
  <c r="AQ393" i="8"/>
  <c r="AP464" i="8"/>
  <c r="AQ464" i="8"/>
  <c r="AP641" i="8"/>
  <c r="AQ641" i="8"/>
  <c r="AQ699" i="8"/>
  <c r="AP699" i="8"/>
  <c r="AQ703" i="8"/>
  <c r="AP703" i="8"/>
  <c r="AQ759" i="8"/>
  <c r="AP759" i="8"/>
  <c r="AQ789" i="8"/>
  <c r="AP789" i="8"/>
  <c r="AQ798" i="8"/>
  <c r="AP798" i="8"/>
  <c r="AQ22" i="8"/>
  <c r="AP22" i="8"/>
  <c r="AP69" i="8"/>
  <c r="AQ69" i="8"/>
  <c r="AP85" i="8"/>
  <c r="AQ85" i="8"/>
  <c r="AP101" i="8"/>
  <c r="AQ101" i="8"/>
  <c r="AQ257" i="8"/>
  <c r="AP257" i="8"/>
  <c r="AQ289" i="8"/>
  <c r="AP289" i="8"/>
  <c r="AQ386" i="8"/>
  <c r="AP386" i="8"/>
  <c r="AQ404" i="8"/>
  <c r="AP404" i="8"/>
  <c r="AP433" i="8"/>
  <c r="AQ433" i="8"/>
  <c r="AQ814" i="8"/>
  <c r="AP814" i="8"/>
  <c r="AQ975" i="8"/>
  <c r="AP975" i="8"/>
  <c r="AP1019" i="8"/>
  <c r="AQ1019" i="8"/>
  <c r="AQ16" i="8"/>
  <c r="AP16" i="8"/>
  <c r="AP32" i="8"/>
  <c r="AQ32" i="8"/>
  <c r="AP93" i="8"/>
  <c r="AQ93" i="8"/>
  <c r="AP109" i="8"/>
  <c r="AQ109" i="8"/>
  <c r="AQ126" i="8"/>
  <c r="AP126" i="8"/>
  <c r="AP148" i="8"/>
  <c r="AQ148" i="8"/>
  <c r="AP180" i="8"/>
  <c r="AQ180" i="8"/>
  <c r="AP209" i="8"/>
  <c r="AQ209" i="8"/>
  <c r="AP307" i="8"/>
  <c r="AQ450" i="8"/>
  <c r="AP453" i="8"/>
  <c r="AQ465" i="8"/>
  <c r="AP470" i="8"/>
  <c r="AQ470" i="8"/>
  <c r="AQ539" i="8"/>
  <c r="AP539" i="8"/>
  <c r="AQ673" i="8"/>
  <c r="AP676" i="8"/>
  <c r="AQ839" i="8"/>
  <c r="AP696" i="8"/>
  <c r="AQ696" i="8"/>
  <c r="AP700" i="8"/>
  <c r="AQ700" i="8"/>
  <c r="AP746" i="8"/>
  <c r="AP756" i="8"/>
  <c r="AQ784" i="8"/>
  <c r="AP784" i="8"/>
  <c r="AQ118" i="8"/>
  <c r="AP118" i="8"/>
  <c r="AP201" i="8"/>
  <c r="AQ201" i="8"/>
  <c r="AQ238" i="8"/>
  <c r="AP238" i="8"/>
  <c r="AP244" i="8"/>
  <c r="AQ244" i="8"/>
  <c r="AP268" i="8"/>
  <c r="AQ268" i="8"/>
  <c r="AP287" i="8"/>
  <c r="AQ287" i="8"/>
  <c r="AQ305" i="8"/>
  <c r="AP305" i="8"/>
  <c r="AQ401" i="8"/>
  <c r="AP401" i="8"/>
  <c r="AP536" i="8"/>
  <c r="AQ536" i="8"/>
  <c r="AQ741" i="8"/>
  <c r="AP741" i="8"/>
  <c r="AP890" i="8"/>
  <c r="AQ890" i="8"/>
  <c r="AQ914" i="8"/>
  <c r="AP914" i="8"/>
  <c r="AP927" i="8"/>
  <c r="AQ927" i="8"/>
  <c r="AP947" i="8"/>
  <c r="AQ947" i="8"/>
  <c r="AQ958" i="8"/>
  <c r="AP958" i="8"/>
  <c r="AP1003" i="8"/>
  <c r="AQ1003" i="8"/>
  <c r="AQ1010" i="8"/>
  <c r="AP1010" i="8"/>
  <c r="AP113" i="8"/>
  <c r="AQ113" i="8"/>
  <c r="AP122" i="8"/>
  <c r="AQ125" i="8"/>
  <c r="AP129" i="8"/>
  <c r="AQ129" i="8"/>
  <c r="AQ152" i="8"/>
  <c r="AQ159" i="8"/>
  <c r="AP159" i="8"/>
  <c r="AP175" i="8"/>
  <c r="AP217" i="8"/>
  <c r="AQ245" i="8"/>
  <c r="AP245" i="8"/>
  <c r="AP265" i="8"/>
  <c r="AQ265" i="8"/>
  <c r="AP293" i="8"/>
  <c r="AQ335" i="8"/>
  <c r="AQ339" i="8"/>
  <c r="AP339" i="8"/>
  <c r="AP640" i="8"/>
  <c r="AQ640" i="8"/>
  <c r="AQ644" i="8"/>
  <c r="AP644" i="8"/>
  <c r="AP732" i="8"/>
  <c r="AQ732" i="8"/>
  <c r="AQ779" i="8"/>
  <c r="AP779" i="8"/>
  <c r="AP816" i="8"/>
  <c r="AP821" i="8"/>
  <c r="AP826" i="8"/>
  <c r="AQ826" i="8"/>
  <c r="AQ829" i="8"/>
  <c r="AQ841" i="8"/>
  <c r="AQ846" i="8"/>
  <c r="AP855" i="8"/>
  <c r="AQ855" i="8"/>
  <c r="AP874" i="8"/>
  <c r="AQ874" i="8"/>
  <c r="AQ898" i="8"/>
  <c r="AP898" i="8"/>
  <c r="AP911" i="8"/>
  <c r="AQ911" i="8"/>
  <c r="AP938" i="8"/>
  <c r="AQ938" i="8"/>
  <c r="AQ948" i="8"/>
  <c r="AP948" i="8"/>
  <c r="AP1001" i="8"/>
  <c r="AQ1001" i="8"/>
  <c r="AQ353" i="8"/>
  <c r="AP353" i="8"/>
  <c r="AP440" i="8"/>
  <c r="AQ440" i="8"/>
  <c r="AP727" i="8"/>
  <c r="AQ727" i="8"/>
  <c r="AQ782" i="8"/>
  <c r="AP782" i="8"/>
  <c r="AP801" i="8"/>
  <c r="AQ801" i="8"/>
  <c r="AQ882" i="8"/>
  <c r="AP882" i="8"/>
  <c r="AP895" i="8"/>
  <c r="AQ895" i="8"/>
  <c r="AP922" i="8"/>
  <c r="AQ922" i="8"/>
  <c r="AP961" i="8"/>
  <c r="AQ961" i="8"/>
  <c r="AQ988" i="8"/>
  <c r="AP988" i="8"/>
  <c r="AQ994" i="8"/>
  <c r="AP994" i="8"/>
  <c r="AP1017" i="8"/>
  <c r="AQ1017" i="8"/>
  <c r="AQ1026" i="8"/>
  <c r="AP1026" i="8"/>
  <c r="AQ308" i="8"/>
  <c r="AP344" i="8"/>
  <c r="AQ344" i="8"/>
  <c r="AQ384" i="8"/>
  <c r="AP387" i="8"/>
  <c r="AQ395" i="8"/>
  <c r="AP395" i="8"/>
  <c r="AQ421" i="8"/>
  <c r="AP424" i="8"/>
  <c r="AP566" i="8"/>
  <c r="AQ566" i="8"/>
  <c r="AQ486" i="8"/>
  <c r="AP489" i="8"/>
  <c r="AQ514" i="8"/>
  <c r="AP653" i="8"/>
  <c r="AQ653" i="8"/>
  <c r="AQ656" i="8"/>
  <c r="AP669" i="8"/>
  <c r="AQ669" i="8"/>
  <c r="AP708" i="8"/>
  <c r="AQ708" i="8"/>
  <c r="AQ711" i="8"/>
  <c r="AQ716" i="8"/>
  <c r="AP719" i="8"/>
  <c r="AP739" i="8"/>
  <c r="AQ739" i="8"/>
  <c r="AQ755" i="8"/>
  <c r="AP755" i="8"/>
  <c r="AP766" i="8"/>
  <c r="AP771" i="8"/>
  <c r="AQ783" i="8"/>
  <c r="AP783" i="8"/>
  <c r="AP793" i="8"/>
  <c r="AQ796" i="8"/>
  <c r="AP796" i="8"/>
  <c r="AP809" i="8"/>
  <c r="AQ809" i="8"/>
  <c r="AQ866" i="8"/>
  <c r="AP866" i="8"/>
  <c r="AP879" i="8"/>
  <c r="AQ879" i="8"/>
  <c r="AP906" i="8"/>
  <c r="AQ906" i="8"/>
  <c r="AQ930" i="8"/>
  <c r="AP930" i="8"/>
  <c r="AP943" i="8"/>
  <c r="AQ943" i="8"/>
  <c r="AQ949" i="8"/>
  <c r="AQ952" i="8"/>
  <c r="AP952" i="8"/>
  <c r="AQ976" i="8"/>
  <c r="AP982" i="8"/>
  <c r="AQ982" i="8"/>
  <c r="AP1008" i="8"/>
  <c r="AQ1030" i="8"/>
  <c r="AP1030" i="8"/>
  <c r="AP457" i="8"/>
  <c r="AQ457" i="8"/>
  <c r="AP543" i="8"/>
  <c r="AQ543" i="8"/>
  <c r="AP637" i="8"/>
  <c r="AQ637" i="8"/>
  <c r="AP724" i="8"/>
  <c r="AQ724" i="8"/>
  <c r="AQ764" i="8"/>
  <c r="AP764" i="8"/>
  <c r="AQ817" i="8"/>
  <c r="AP817" i="8"/>
  <c r="AP871" i="8"/>
  <c r="AQ871" i="8"/>
  <c r="AP887" i="8"/>
  <c r="AQ887" i="8"/>
  <c r="AP903" i="8"/>
  <c r="AQ903" i="8"/>
  <c r="AP919" i="8"/>
  <c r="AQ919" i="8"/>
  <c r="AP935" i="8"/>
  <c r="AQ935" i="8"/>
  <c r="AP980" i="8"/>
  <c r="AQ980" i="8"/>
  <c r="AQ1006" i="8"/>
  <c r="AP1006" i="8"/>
  <c r="AQ1024" i="8"/>
  <c r="AP1024" i="8"/>
  <c r="AP742" i="8"/>
  <c r="AP744" i="8"/>
  <c r="AP763" i="8"/>
  <c r="AP768" i="8"/>
  <c r="AP772" i="8"/>
  <c r="AP776" i="8"/>
  <c r="AP778" i="8"/>
  <c r="AP797" i="8"/>
  <c r="AP802" i="8"/>
  <c r="AP806" i="8"/>
  <c r="AP810" i="8"/>
  <c r="AP812" i="8"/>
  <c r="AQ834" i="8"/>
  <c r="AP840" i="8"/>
  <c r="AP844" i="8"/>
  <c r="AP848" i="8"/>
  <c r="AP850" i="8"/>
  <c r="AQ869" i="8"/>
  <c r="AP878" i="8"/>
  <c r="AQ885" i="8"/>
  <c r="AP894" i="8"/>
  <c r="AQ901" i="8"/>
  <c r="AP910" i="8"/>
  <c r="AQ917" i="8"/>
  <c r="AP926" i="8"/>
  <c r="AQ933" i="8"/>
  <c r="AP944" i="8"/>
  <c r="AP946" i="8"/>
  <c r="AP954" i="8"/>
  <c r="AP956" i="8"/>
  <c r="AP960" i="8"/>
  <c r="AP962" i="8"/>
  <c r="AP970" i="8"/>
  <c r="AP972" i="8"/>
  <c r="AP977" i="8"/>
  <c r="AP979" i="8"/>
  <c r="AQ997" i="8"/>
  <c r="AQ999" i="8"/>
  <c r="AQ1013" i="8"/>
  <c r="AQ1015" i="8"/>
  <c r="AQ1029" i="8"/>
  <c r="AQ1031" i="8"/>
  <c r="AQ1033" i="8"/>
  <c r="AQ757" i="8"/>
  <c r="AP757" i="8"/>
  <c r="AP951" i="8"/>
  <c r="AQ951" i="8"/>
  <c r="AP967" i="8"/>
  <c r="AQ967" i="8"/>
  <c r="AP698" i="8"/>
  <c r="AP702" i="8"/>
  <c r="AP706" i="8"/>
  <c r="AP710" i="8"/>
  <c r="AP714" i="8"/>
  <c r="AP718" i="8"/>
  <c r="AP722" i="8"/>
  <c r="AP726" i="8"/>
  <c r="AP730" i="8"/>
  <c r="AP734" i="8"/>
  <c r="AP738" i="8"/>
  <c r="AQ743" i="8"/>
  <c r="AP743" i="8"/>
  <c r="AP754" i="8"/>
  <c r="AQ761" i="8"/>
  <c r="AP761" i="8"/>
  <c r="AP770" i="8"/>
  <c r="AQ777" i="8"/>
  <c r="AP777" i="8"/>
  <c r="AP788" i="8"/>
  <c r="AQ795" i="8"/>
  <c r="AP795" i="8"/>
  <c r="AP804" i="8"/>
  <c r="AQ811" i="8"/>
  <c r="AP811" i="8"/>
  <c r="AP824" i="8"/>
  <c r="AP828" i="8"/>
  <c r="AP832" i="8"/>
  <c r="AP836" i="8"/>
  <c r="AP843" i="8"/>
  <c r="AQ852" i="8"/>
  <c r="AP852" i="8"/>
  <c r="AQ856" i="8"/>
  <c r="AP856" i="8"/>
  <c r="AP858" i="8"/>
  <c r="AP862" i="8"/>
  <c r="AP868" i="8"/>
  <c r="AP876" i="8"/>
  <c r="AP884" i="8"/>
  <c r="AP892" i="8"/>
  <c r="AP900" i="8"/>
  <c r="AP908" i="8"/>
  <c r="AP916" i="8"/>
  <c r="AP924" i="8"/>
  <c r="AP932" i="8"/>
  <c r="AP940" i="8"/>
  <c r="AP991" i="8"/>
  <c r="AQ991" i="8"/>
  <c r="AP1007" i="8"/>
  <c r="AQ1007" i="8"/>
  <c r="AP1023" i="8"/>
  <c r="AQ1023" i="8"/>
  <c r="AQ807" i="8"/>
  <c r="AP807" i="8"/>
  <c r="AP697" i="8"/>
  <c r="AP701" i="8"/>
  <c r="AP705" i="8"/>
  <c r="AP709" i="8"/>
  <c r="AP713" i="8"/>
  <c r="AP717" i="8"/>
  <c r="AP721" i="8"/>
  <c r="AP725" i="8"/>
  <c r="AP729" i="8"/>
  <c r="AP733" i="8"/>
  <c r="AP737" i="8"/>
  <c r="AP740" i="8"/>
  <c r="AQ747" i="8"/>
  <c r="AP747" i="8"/>
  <c r="AP758" i="8"/>
  <c r="AQ765" i="8"/>
  <c r="AP765" i="8"/>
  <c r="AP774" i="8"/>
  <c r="AQ781" i="8"/>
  <c r="AP781" i="8"/>
  <c r="AP792" i="8"/>
  <c r="AQ799" i="8"/>
  <c r="AP799" i="8"/>
  <c r="AP808" i="8"/>
  <c r="AQ815" i="8"/>
  <c r="AP815" i="8"/>
  <c r="AQ819" i="8"/>
  <c r="AP819" i="8"/>
  <c r="AQ847" i="8"/>
  <c r="AP847" i="8"/>
  <c r="AP989" i="8"/>
  <c r="AQ989" i="8"/>
  <c r="AP1005" i="8"/>
  <c r="AQ1005" i="8"/>
  <c r="AP1021" i="8"/>
  <c r="AQ1021" i="8"/>
  <c r="AQ773" i="8"/>
  <c r="AP773" i="8"/>
  <c r="AQ791" i="8"/>
  <c r="AP791" i="8"/>
  <c r="AP984" i="8"/>
  <c r="AQ984" i="8"/>
  <c r="AQ753" i="8"/>
  <c r="AP753" i="8"/>
  <c r="AQ769" i="8"/>
  <c r="AP769" i="8"/>
  <c r="AQ785" i="8"/>
  <c r="AP785" i="8"/>
  <c r="AQ803" i="8"/>
  <c r="AP803" i="8"/>
  <c r="AQ823" i="8"/>
  <c r="AP823" i="8"/>
  <c r="AQ827" i="8"/>
  <c r="AP827" i="8"/>
  <c r="AQ831" i="8"/>
  <c r="AP831" i="8"/>
  <c r="AQ835" i="8"/>
  <c r="AP835" i="8"/>
  <c r="AQ842" i="8"/>
  <c r="AP842" i="8"/>
  <c r="AP849" i="8"/>
  <c r="AP853" i="8"/>
  <c r="AO857" i="8"/>
  <c r="AQ861" i="8"/>
  <c r="AP861" i="8"/>
  <c r="AP865" i="8"/>
  <c r="AP873" i="8"/>
  <c r="AP881" i="8"/>
  <c r="AP889" i="8"/>
  <c r="AP897" i="8"/>
  <c r="AP905" i="8"/>
  <c r="AP913" i="8"/>
  <c r="AP921" i="8"/>
  <c r="AP929" i="8"/>
  <c r="AP937" i="8"/>
  <c r="AP953" i="8"/>
  <c r="AQ953" i="8"/>
  <c r="AP969" i="8"/>
  <c r="AQ969" i="8"/>
  <c r="AP986" i="8"/>
  <c r="AQ986" i="8"/>
  <c r="AP864" i="8"/>
  <c r="AQ867" i="8"/>
  <c r="AP872" i="8"/>
  <c r="AQ875" i="8"/>
  <c r="AP880" i="8"/>
  <c r="AQ883" i="8"/>
  <c r="AP888" i="8"/>
  <c r="AQ891" i="8"/>
  <c r="AP896" i="8"/>
  <c r="AQ899" i="8"/>
  <c r="AP904" i="8"/>
  <c r="AQ907" i="8"/>
  <c r="AP912" i="8"/>
  <c r="AQ915" i="8"/>
  <c r="AP920" i="8"/>
  <c r="AQ923" i="8"/>
  <c r="AP928" i="8"/>
  <c r="AQ931" i="8"/>
  <c r="AP936" i="8"/>
  <c r="AQ939" i="8"/>
  <c r="AQ941" i="8"/>
  <c r="AQ955" i="8"/>
  <c r="AQ957" i="8"/>
  <c r="AQ971" i="8"/>
  <c r="AQ973" i="8"/>
  <c r="AQ993" i="8"/>
  <c r="AQ995" i="8"/>
  <c r="AQ1009" i="8"/>
  <c r="AQ1011" i="8"/>
  <c r="AQ1025" i="8"/>
  <c r="AQ1027" i="8"/>
  <c r="AP748" i="8"/>
  <c r="AP837" i="8"/>
  <c r="AP787" i="8"/>
  <c r="AP974" i="8"/>
  <c r="AQ482" i="8"/>
  <c r="AP485" i="8"/>
  <c r="AP508" i="8"/>
  <c r="AP528" i="8"/>
  <c r="AQ557" i="8"/>
  <c r="AQ601" i="8"/>
  <c r="AQ617" i="8"/>
  <c r="AQ633" i="8"/>
  <c r="AQ665" i="8"/>
  <c r="AQ681" i="8"/>
  <c r="AQ565" i="8"/>
  <c r="AQ474" i="8"/>
  <c r="AP477" i="8"/>
  <c r="AQ478" i="8"/>
  <c r="AP481" i="8"/>
  <c r="AQ494" i="8"/>
  <c r="AP504" i="8"/>
  <c r="AQ513" i="8"/>
  <c r="AQ517" i="8"/>
  <c r="AQ522" i="8"/>
  <c r="AQ526" i="8"/>
  <c r="AQ530" i="8"/>
  <c r="AQ535" i="8"/>
  <c r="AQ544" i="8"/>
  <c r="AQ553" i="8"/>
  <c r="AP556" i="8"/>
  <c r="AQ560" i="8"/>
  <c r="AQ576" i="8"/>
  <c r="AP579" i="8"/>
  <c r="AQ583" i="8"/>
  <c r="AQ588" i="8"/>
  <c r="AQ597" i="8"/>
  <c r="AP600" i="8"/>
  <c r="AQ604" i="8"/>
  <c r="AQ613" i="8"/>
  <c r="AP616" i="8"/>
  <c r="AQ620" i="8"/>
  <c r="AQ629" i="8"/>
  <c r="AP632" i="8"/>
  <c r="AQ636" i="8"/>
  <c r="AQ645" i="8"/>
  <c r="AP648" i="8"/>
  <c r="AQ652" i="8"/>
  <c r="AQ661" i="8"/>
  <c r="AP664" i="8"/>
  <c r="AQ668" i="8"/>
  <c r="AQ677" i="8"/>
  <c r="AP680" i="8"/>
  <c r="AQ684" i="8"/>
  <c r="AQ693" i="8"/>
  <c r="AQ571" i="8"/>
  <c r="AP524" i="8"/>
  <c r="AQ580" i="8"/>
  <c r="AQ649" i="8"/>
  <c r="AP564" i="8"/>
  <c r="AP570" i="8"/>
  <c r="AQ540" i="8"/>
  <c r="AQ549" i="8"/>
  <c r="AQ569" i="8"/>
  <c r="AQ593" i="8"/>
  <c r="AQ609" i="8"/>
  <c r="AP510" i="8"/>
  <c r="AQ510" i="8"/>
  <c r="AQ520" i="8"/>
  <c r="AP520" i="8"/>
  <c r="AQ599" i="8"/>
  <c r="AP599" i="8"/>
  <c r="AQ615" i="8"/>
  <c r="AP615" i="8"/>
  <c r="AP468" i="8"/>
  <c r="AP472" i="8"/>
  <c r="AP476" i="8"/>
  <c r="AP480" i="8"/>
  <c r="AP484" i="8"/>
  <c r="AP488" i="8"/>
  <c r="AP492" i="8"/>
  <c r="AP496" i="8"/>
  <c r="AP497" i="8"/>
  <c r="AP501" i="8"/>
  <c r="AP506" i="8"/>
  <c r="AP507" i="8"/>
  <c r="AP512" i="8"/>
  <c r="AP516" i="8"/>
  <c r="AP521" i="8"/>
  <c r="AQ537" i="8"/>
  <c r="AP537" i="8"/>
  <c r="AQ542" i="8"/>
  <c r="AP542" i="8"/>
  <c r="AQ551" i="8"/>
  <c r="AP551" i="8"/>
  <c r="AQ574" i="8"/>
  <c r="AP574" i="8"/>
  <c r="AQ595" i="8"/>
  <c r="AP595" i="8"/>
  <c r="AQ611" i="8"/>
  <c r="AP611" i="8"/>
  <c r="AQ627" i="8"/>
  <c r="AP627" i="8"/>
  <c r="AQ643" i="8"/>
  <c r="AP643" i="8"/>
  <c r="AQ659" i="8"/>
  <c r="AP659" i="8"/>
  <c r="AQ675" i="8"/>
  <c r="AP675" i="8"/>
  <c r="AQ691" i="8"/>
  <c r="AP691" i="8"/>
  <c r="AQ647" i="8"/>
  <c r="AP647" i="8"/>
  <c r="AQ663" i="8"/>
  <c r="AP663" i="8"/>
  <c r="AP467" i="8"/>
  <c r="AP471" i="8"/>
  <c r="AP475" i="8"/>
  <c r="AP479" i="8"/>
  <c r="AP483" i="8"/>
  <c r="AP487" i="8"/>
  <c r="AP491" i="8"/>
  <c r="AP495" i="8"/>
  <c r="AP500" i="8"/>
  <c r="AP505" i="8"/>
  <c r="AP511" i="8"/>
  <c r="AP515" i="8"/>
  <c r="AP519" i="8"/>
  <c r="AP523" i="8"/>
  <c r="AQ527" i="8"/>
  <c r="AP527" i="8"/>
  <c r="AQ531" i="8"/>
  <c r="AP531" i="8"/>
  <c r="AQ538" i="8"/>
  <c r="AP538" i="8"/>
  <c r="AQ547" i="8"/>
  <c r="AP547" i="8"/>
  <c r="AQ563" i="8"/>
  <c r="AP563" i="8"/>
  <c r="AQ586" i="8"/>
  <c r="AP586" i="8"/>
  <c r="AQ591" i="8"/>
  <c r="AP591" i="8"/>
  <c r="AQ607" i="8"/>
  <c r="AP607" i="8"/>
  <c r="AQ623" i="8"/>
  <c r="AP623" i="8"/>
  <c r="AQ639" i="8"/>
  <c r="AP639" i="8"/>
  <c r="AQ655" i="8"/>
  <c r="AP655" i="8"/>
  <c r="AQ671" i="8"/>
  <c r="AP671" i="8"/>
  <c r="AQ687" i="8"/>
  <c r="AP687" i="8"/>
  <c r="AQ555" i="8"/>
  <c r="AP555" i="8"/>
  <c r="AQ578" i="8"/>
  <c r="AP578" i="8"/>
  <c r="AQ631" i="8"/>
  <c r="AP631" i="8"/>
  <c r="AQ679" i="8"/>
  <c r="AP679" i="8"/>
  <c r="AP534" i="8"/>
  <c r="AQ559" i="8"/>
  <c r="AP559" i="8"/>
  <c r="AQ582" i="8"/>
  <c r="AP582" i="8"/>
  <c r="AQ587" i="8"/>
  <c r="AP587" i="8"/>
  <c r="AQ603" i="8"/>
  <c r="AP603" i="8"/>
  <c r="AQ619" i="8"/>
  <c r="AP619" i="8"/>
  <c r="AQ635" i="8"/>
  <c r="AP635" i="8"/>
  <c r="AQ651" i="8"/>
  <c r="AP651" i="8"/>
  <c r="AQ667" i="8"/>
  <c r="AP667" i="8"/>
  <c r="AQ683" i="8"/>
  <c r="AP683" i="8"/>
  <c r="AP541" i="8"/>
  <c r="AP546" i="8"/>
  <c r="AP550" i="8"/>
  <c r="AP554" i="8"/>
  <c r="AP558" i="8"/>
  <c r="AP562" i="8"/>
  <c r="AP573" i="8"/>
  <c r="AP577" i="8"/>
  <c r="AP581" i="8"/>
  <c r="AP585" i="8"/>
  <c r="AP590" i="8"/>
  <c r="AP594" i="8"/>
  <c r="AP598" i="8"/>
  <c r="AP602" i="8"/>
  <c r="AP606" i="8"/>
  <c r="AP610" i="8"/>
  <c r="AP614" i="8"/>
  <c r="AP618" i="8"/>
  <c r="AP622" i="8"/>
  <c r="AP626" i="8"/>
  <c r="AP630" i="8"/>
  <c r="AP634" i="8"/>
  <c r="AP638" i="8"/>
  <c r="AP642" i="8"/>
  <c r="AP646" i="8"/>
  <c r="AP650" i="8"/>
  <c r="AP654" i="8"/>
  <c r="AP658" i="8"/>
  <c r="AP662" i="8"/>
  <c r="AP666" i="8"/>
  <c r="AP670" i="8"/>
  <c r="AP674" i="8"/>
  <c r="AP678" i="8"/>
  <c r="AP682" i="8"/>
  <c r="AP686" i="8"/>
  <c r="AP690" i="8"/>
  <c r="AP694" i="8"/>
  <c r="AP567" i="8"/>
  <c r="AP572" i="8"/>
  <c r="AP296" i="8"/>
  <c r="AQ296" i="8"/>
  <c r="AQ328" i="8"/>
  <c r="AP328" i="8"/>
  <c r="AQ334" i="8"/>
  <c r="AP334" i="8"/>
  <c r="AQ378" i="8"/>
  <c r="AP378" i="8"/>
  <c r="AQ53" i="8"/>
  <c r="AP234" i="8"/>
  <c r="AP239" i="8"/>
  <c r="AQ239" i="8"/>
  <c r="AQ252" i="8"/>
  <c r="AP252" i="8"/>
  <c r="AQ400" i="8"/>
  <c r="AP400" i="8"/>
  <c r="AQ17" i="8"/>
  <c r="AQ230" i="8"/>
  <c r="AQ24" i="8"/>
  <c r="AP27" i="8"/>
  <c r="AQ31" i="8"/>
  <c r="AQ45" i="8"/>
  <c r="AP55" i="8"/>
  <c r="AQ60" i="8"/>
  <c r="AQ77" i="8"/>
  <c r="AP140" i="8"/>
  <c r="AQ144" i="8"/>
  <c r="AP147" i="8"/>
  <c r="AP156" i="8"/>
  <c r="AQ160" i="8"/>
  <c r="AP163" i="8"/>
  <c r="AP172" i="8"/>
  <c r="AQ176" i="8"/>
  <c r="AP181" i="8"/>
  <c r="AQ181" i="8"/>
  <c r="AP196" i="8"/>
  <c r="AQ202" i="8"/>
  <c r="AQ204" i="8"/>
  <c r="AP208" i="8"/>
  <c r="AP210" i="8"/>
  <c r="AP225" i="8"/>
  <c r="AP227" i="8"/>
  <c r="AQ232" i="8"/>
  <c r="AP235" i="8"/>
  <c r="AQ235" i="8"/>
  <c r="AP274" i="8"/>
  <c r="AQ276" i="8"/>
  <c r="AP280" i="8"/>
  <c r="AQ282" i="8"/>
  <c r="AP286" i="8"/>
  <c r="AP288" i="8"/>
  <c r="AQ288" i="8"/>
  <c r="AQ304" i="8"/>
  <c r="AP304" i="8"/>
  <c r="AQ330" i="8"/>
  <c r="AP330" i="8"/>
  <c r="AQ338" i="8"/>
  <c r="AP338" i="8"/>
  <c r="AP347" i="8"/>
  <c r="AP355" i="8"/>
  <c r="AQ361" i="8"/>
  <c r="AP361" i="8"/>
  <c r="AQ376" i="8"/>
  <c r="AP376" i="8"/>
  <c r="AP388" i="8"/>
  <c r="AP397" i="8"/>
  <c r="AP403" i="8"/>
  <c r="AQ405" i="8"/>
  <c r="AP405" i="8"/>
  <c r="AP442" i="8"/>
  <c r="AQ442" i="8"/>
  <c r="AP463" i="8"/>
  <c r="AP224" i="8"/>
  <c r="AQ224" i="8"/>
  <c r="AQ365" i="8"/>
  <c r="AP365" i="8"/>
  <c r="AQ372" i="8"/>
  <c r="AP372" i="8"/>
  <c r="AQ396" i="8"/>
  <c r="AP396" i="8"/>
  <c r="AP409" i="8"/>
  <c r="AQ409" i="8"/>
  <c r="AP425" i="8"/>
  <c r="AQ425" i="8"/>
  <c r="AP458" i="8"/>
  <c r="AQ458" i="8"/>
  <c r="AQ28" i="8"/>
  <c r="AP50" i="8"/>
  <c r="AQ50" i="8"/>
  <c r="AQ65" i="8"/>
  <c r="AP151" i="8"/>
  <c r="AP167" i="8"/>
  <c r="AP178" i="8"/>
  <c r="AP183" i="8"/>
  <c r="AQ193" i="8"/>
  <c r="AP215" i="8"/>
  <c r="AP220" i="8"/>
  <c r="AQ220" i="8"/>
  <c r="AQ249" i="8"/>
  <c r="AQ254" i="8"/>
  <c r="AQ264" i="8"/>
  <c r="AQ267" i="8"/>
  <c r="AP267" i="8"/>
  <c r="AQ269" i="8"/>
  <c r="AP292" i="8"/>
  <c r="AQ292" i="8"/>
  <c r="AQ313" i="8"/>
  <c r="AP313" i="8"/>
  <c r="AP318" i="8"/>
  <c r="AQ352" i="8"/>
  <c r="AP352" i="8"/>
  <c r="AQ357" i="8"/>
  <c r="AP357" i="8"/>
  <c r="AP368" i="8"/>
  <c r="AP392" i="8"/>
  <c r="AQ413" i="8"/>
  <c r="AP416" i="8"/>
  <c r="AQ429" i="8"/>
  <c r="AP432" i="8"/>
  <c r="AQ445" i="8"/>
  <c r="AP445" i="8"/>
  <c r="AP228" i="8"/>
  <c r="AQ228" i="8"/>
  <c r="AQ248" i="8"/>
  <c r="AP248" i="8"/>
  <c r="AQ263" i="8"/>
  <c r="AP263" i="8"/>
  <c r="AP275" i="8"/>
  <c r="AQ275" i="8"/>
  <c r="AP300" i="8"/>
  <c r="AQ300" i="8"/>
  <c r="AQ309" i="8"/>
  <c r="AP309" i="8"/>
  <c r="AQ324" i="8"/>
  <c r="AP324" i="8"/>
  <c r="AQ367" i="8"/>
  <c r="AP367" i="8"/>
  <c r="AQ412" i="8"/>
  <c r="AP412" i="8"/>
  <c r="AQ428" i="8"/>
  <c r="AP428" i="8"/>
  <c r="AQ446" i="8"/>
  <c r="AP317" i="8"/>
  <c r="AQ332" i="8"/>
  <c r="AQ336" i="8"/>
  <c r="AP346" i="8"/>
  <c r="AQ437" i="8"/>
  <c r="AQ454" i="8"/>
  <c r="AP462" i="8"/>
  <c r="AQ79" i="8"/>
  <c r="AP79" i="8"/>
  <c r="AQ47" i="8"/>
  <c r="AP47" i="8"/>
  <c r="AP56" i="8"/>
  <c r="AQ56" i="8"/>
  <c r="AQ247" i="8"/>
  <c r="AP247" i="8"/>
  <c r="AQ251" i="8"/>
  <c r="AP251" i="8"/>
  <c r="AQ262" i="8"/>
  <c r="AP262" i="8"/>
  <c r="AQ266" i="8"/>
  <c r="AP266" i="8"/>
  <c r="AQ272" i="8"/>
  <c r="AP272" i="8"/>
  <c r="AQ337" i="8"/>
  <c r="AP337" i="8"/>
  <c r="AQ362" i="8"/>
  <c r="AP362" i="8"/>
  <c r="AQ366" i="8"/>
  <c r="AP366" i="8"/>
  <c r="AQ399" i="8"/>
  <c r="AP399" i="8"/>
  <c r="AQ460" i="8"/>
  <c r="AP460" i="8"/>
  <c r="AP26" i="8"/>
  <c r="AP30" i="8"/>
  <c r="AP34" i="8"/>
  <c r="AP38" i="8"/>
  <c r="AP43" i="8"/>
  <c r="AP48" i="8"/>
  <c r="AP52" i="8"/>
  <c r="AP58" i="8"/>
  <c r="AP62" i="8"/>
  <c r="AP67" i="8"/>
  <c r="AP71" i="8"/>
  <c r="AP75" i="8"/>
  <c r="AP80" i="8"/>
  <c r="AP84" i="8"/>
  <c r="AP88" i="8"/>
  <c r="AP92" i="8"/>
  <c r="AP96" i="8"/>
  <c r="AP100" i="8"/>
  <c r="AP104" i="8"/>
  <c r="AP108" i="8"/>
  <c r="AP112" i="8"/>
  <c r="AP116" i="8"/>
  <c r="AP120" i="8"/>
  <c r="AP124" i="8"/>
  <c r="AP128" i="8"/>
  <c r="AP132" i="8"/>
  <c r="AO137" i="8"/>
  <c r="AP138" i="8"/>
  <c r="AP142" i="8"/>
  <c r="AP146" i="8"/>
  <c r="AP150" i="8"/>
  <c r="AP154" i="8"/>
  <c r="AP158" i="8"/>
  <c r="AP162" i="8"/>
  <c r="AP166" i="8"/>
  <c r="AP170" i="8"/>
  <c r="AP174" i="8"/>
  <c r="AQ177" i="8"/>
  <c r="AP179" i="8"/>
  <c r="AP182" i="8"/>
  <c r="AQ185" i="8"/>
  <c r="AQ214" i="8"/>
  <c r="AQ216" i="8"/>
  <c r="AQ218" i="8"/>
  <c r="AP218" i="8"/>
  <c r="AQ222" i="8"/>
  <c r="AP222" i="8"/>
  <c r="AQ226" i="8"/>
  <c r="AP226" i="8"/>
  <c r="AQ233" i="8"/>
  <c r="AP233" i="8"/>
  <c r="AQ237" i="8"/>
  <c r="AP237" i="8"/>
  <c r="AQ241" i="8"/>
  <c r="AP241" i="8"/>
  <c r="AP243" i="8"/>
  <c r="AQ256" i="8"/>
  <c r="AP256" i="8"/>
  <c r="AQ260" i="8"/>
  <c r="AP260" i="8"/>
  <c r="AQ278" i="8"/>
  <c r="AP278" i="8"/>
  <c r="AQ284" i="8"/>
  <c r="AP284" i="8"/>
  <c r="AQ302" i="8"/>
  <c r="AP302" i="8"/>
  <c r="AQ311" i="8"/>
  <c r="AP311" i="8"/>
  <c r="AQ326" i="8"/>
  <c r="AP326" i="8"/>
  <c r="AQ359" i="8"/>
  <c r="AP359" i="8"/>
  <c r="AQ385" i="8"/>
  <c r="AP385" i="8"/>
  <c r="AQ461" i="8"/>
  <c r="AP461" i="8"/>
  <c r="AQ270" i="8"/>
  <c r="AP270" i="8"/>
  <c r="AQ316" i="8"/>
  <c r="AP316" i="8"/>
  <c r="AQ329" i="8"/>
  <c r="AP329" i="8"/>
  <c r="AQ333" i="8"/>
  <c r="AP333" i="8"/>
  <c r="AP25" i="8"/>
  <c r="AP29" i="8"/>
  <c r="AP33" i="8"/>
  <c r="AP37" i="8"/>
  <c r="AP42" i="8"/>
  <c r="AP46" i="8"/>
  <c r="AP51" i="8"/>
  <c r="AP57" i="8"/>
  <c r="AP61" i="8"/>
  <c r="AP66" i="8"/>
  <c r="AP70" i="8"/>
  <c r="AP74" i="8"/>
  <c r="AP78" i="8"/>
  <c r="AP83" i="8"/>
  <c r="AP87" i="8"/>
  <c r="AP91" i="8"/>
  <c r="AP95" i="8"/>
  <c r="AP99" i="8"/>
  <c r="AP103" i="8"/>
  <c r="AP107" i="8"/>
  <c r="AP111" i="8"/>
  <c r="AP115" i="8"/>
  <c r="AP119" i="8"/>
  <c r="AP123" i="8"/>
  <c r="AP127" i="8"/>
  <c r="AP131" i="8"/>
  <c r="AP136" i="8"/>
  <c r="AP141" i="8"/>
  <c r="AP145" i="8"/>
  <c r="AP149" i="8"/>
  <c r="AP153" i="8"/>
  <c r="AP157" i="8"/>
  <c r="AP161" i="8"/>
  <c r="AP165" i="8"/>
  <c r="AP169" i="8"/>
  <c r="AP173" i="8"/>
  <c r="AP187" i="8"/>
  <c r="AQ190" i="8"/>
  <c r="AP192" i="8"/>
  <c r="AP195" i="8"/>
  <c r="AQ198" i="8"/>
  <c r="AP200" i="8"/>
  <c r="AP203" i="8"/>
  <c r="AP206" i="8"/>
  <c r="AQ261" i="8"/>
  <c r="AP261" i="8"/>
  <c r="AQ271" i="8"/>
  <c r="AP271" i="8"/>
  <c r="AQ273" i="8"/>
  <c r="AP273" i="8"/>
  <c r="AQ290" i="8"/>
  <c r="AP290" i="8"/>
  <c r="AQ294" i="8"/>
  <c r="AP294" i="8"/>
  <c r="AQ298" i="8"/>
  <c r="AP298" i="8"/>
  <c r="AQ382" i="8"/>
  <c r="AP382" i="8"/>
  <c r="AQ255" i="8"/>
  <c r="AP255" i="8"/>
  <c r="AQ364" i="8"/>
  <c r="AP364" i="8"/>
  <c r="AO40" i="8"/>
  <c r="AQ246" i="8"/>
  <c r="AP246" i="8"/>
  <c r="AQ279" i="8"/>
  <c r="AP279" i="8"/>
  <c r="AQ285" i="8"/>
  <c r="AP285" i="8"/>
  <c r="AQ303" i="8"/>
  <c r="AP303" i="8"/>
  <c r="AQ321" i="8"/>
  <c r="AP321" i="8"/>
  <c r="AQ350" i="8"/>
  <c r="AP350" i="8"/>
  <c r="AQ369" i="8"/>
  <c r="AP369" i="8"/>
  <c r="AQ402" i="8"/>
  <c r="AP402" i="8"/>
  <c r="AQ341" i="8"/>
  <c r="AP341" i="8"/>
  <c r="AQ373" i="8"/>
  <c r="AP373" i="8"/>
  <c r="AQ390" i="8"/>
  <c r="AP390" i="8"/>
  <c r="AQ406" i="8"/>
  <c r="AP406" i="8"/>
  <c r="AQ410" i="8"/>
  <c r="AP410" i="8"/>
  <c r="AQ414" i="8"/>
  <c r="AP414" i="8"/>
  <c r="AQ418" i="8"/>
  <c r="AP418" i="8"/>
  <c r="AQ422" i="8"/>
  <c r="AP422" i="8"/>
  <c r="AQ426" i="8"/>
  <c r="AP426" i="8"/>
  <c r="AQ430" i="8"/>
  <c r="AP430" i="8"/>
  <c r="AQ434" i="8"/>
  <c r="AP434" i="8"/>
  <c r="AQ438" i="8"/>
  <c r="AP438" i="8"/>
  <c r="AQ443" i="8"/>
  <c r="AP443" i="8"/>
  <c r="AQ447" i="8"/>
  <c r="AP447" i="8"/>
  <c r="AQ451" i="8"/>
  <c r="AP451" i="8"/>
  <c r="AQ455" i="8"/>
  <c r="AP455" i="8"/>
  <c r="AQ459" i="8"/>
  <c r="AP459" i="8"/>
  <c r="AQ306" i="8"/>
  <c r="AP306" i="8"/>
  <c r="AQ345" i="8"/>
  <c r="AP345" i="8"/>
  <c r="AQ354" i="8"/>
  <c r="AP354" i="8"/>
  <c r="AQ363" i="8"/>
  <c r="AP363" i="8"/>
  <c r="AQ377" i="8"/>
  <c r="AP377" i="8"/>
  <c r="AQ394" i="8"/>
  <c r="AP394" i="8"/>
  <c r="AP301" i="8"/>
  <c r="AQ310" i="8"/>
  <c r="AP310" i="8"/>
  <c r="AQ315" i="8"/>
  <c r="AP315" i="8"/>
  <c r="AQ320" i="8"/>
  <c r="AP320" i="8"/>
  <c r="AQ325" i="8"/>
  <c r="AP325" i="8"/>
  <c r="AP342" i="8"/>
  <c r="AQ349" i="8"/>
  <c r="AP349" i="8"/>
  <c r="AP351" i="8"/>
  <c r="AQ358" i="8"/>
  <c r="AP358" i="8"/>
  <c r="AP374" i="8"/>
  <c r="AQ381" i="8"/>
  <c r="AP381" i="8"/>
  <c r="AP391" i="8"/>
  <c r="AQ398" i="8"/>
  <c r="AP398" i="8"/>
  <c r="AP407" i="8"/>
  <c r="AP411" i="8"/>
  <c r="AP415" i="8"/>
  <c r="AP419" i="8"/>
  <c r="AP423" i="8"/>
  <c r="AP427" i="8"/>
  <c r="AP431" i="8"/>
  <c r="AP435" i="8"/>
  <c r="AP439" i="8"/>
  <c r="AP444" i="8"/>
  <c r="AP448" i="8"/>
  <c r="AP452" i="8"/>
  <c r="AP456" i="8"/>
  <c r="AP18" i="8"/>
  <c r="AQ18" i="8"/>
  <c r="AP11" i="8"/>
  <c r="AP15" i="8"/>
  <c r="AP21" i="8"/>
  <c r="AP213" i="8"/>
  <c r="AP14" i="8"/>
  <c r="AP19" i="8"/>
  <c r="AP212" i="8"/>
  <c r="AP231" i="8"/>
  <c r="AP441" i="8"/>
  <c r="AP20" i="8" l="1"/>
  <c r="AO3424" i="8"/>
  <c r="AP64" i="8"/>
  <c r="AO3422" i="8"/>
  <c r="AP3422" i="8" s="1"/>
  <c r="AQ857" i="8"/>
  <c r="AP857" i="8"/>
  <c r="AP40" i="8"/>
  <c r="AP3424" i="8" s="1"/>
  <c r="AQ40" i="8"/>
  <c r="AQ137" i="8"/>
  <c r="AP137" i="8"/>
</calcChain>
</file>

<file path=xl/sharedStrings.xml><?xml version="1.0" encoding="utf-8"?>
<sst xmlns="http://schemas.openxmlformats.org/spreadsheetml/2006/main" count="54759" uniqueCount="7818">
  <si>
    <t>Dues</t>
  </si>
  <si>
    <t xml:space="preserve">Complete - With Adjustment </t>
  </si>
  <si>
    <t>Flagged - for follow-up</t>
  </si>
  <si>
    <t>Will not be reviewed - Employee Advance</t>
  </si>
  <si>
    <t>Will not be reviewed - In-Out</t>
  </si>
  <si>
    <t>Will not be reviewed - single negative amount</t>
  </si>
  <si>
    <t>Complete - No Adjustment</t>
  </si>
  <si>
    <t>Adjustment Categories and Amounts</t>
  </si>
  <si>
    <t>Alcohol</t>
  </si>
  <si>
    <t>Total Adjustment</t>
  </si>
  <si>
    <t>Distribution Amount Net of Adjustments</t>
  </si>
  <si>
    <t>Status</t>
  </si>
  <si>
    <t>Meals</t>
  </si>
  <si>
    <t>Transportation</t>
  </si>
  <si>
    <t>Lodging</t>
  </si>
  <si>
    <t>Spousal</t>
  </si>
  <si>
    <t>Entertainment</t>
  </si>
  <si>
    <t>Adjustment Commentary</t>
  </si>
  <si>
    <t>Review Details</t>
  </si>
  <si>
    <t>Adjustment Status</t>
  </si>
  <si>
    <t>Line No.</t>
  </si>
  <si>
    <t>Source</t>
  </si>
  <si>
    <t>Images</t>
  </si>
  <si>
    <t>Original Data - Ledger</t>
  </si>
  <si>
    <t>Company</t>
  </si>
  <si>
    <t>Cost Center</t>
  </si>
  <si>
    <t>Request ID</t>
  </si>
  <si>
    <t>Vendor Name</t>
  </si>
  <si>
    <t>Vendor Number</t>
  </si>
  <si>
    <t>Invoice Number</t>
  </si>
  <si>
    <t>Batch Name</t>
  </si>
  <si>
    <t>Invoice Date</t>
  </si>
  <si>
    <t>GL Date</t>
  </si>
  <si>
    <t>Invoice Amount</t>
  </si>
  <si>
    <t>Project Number</t>
  </si>
  <si>
    <t>FERC Account</t>
  </si>
  <si>
    <t>Service Area</t>
  </si>
  <si>
    <t>Task Number</t>
  </si>
  <si>
    <t>Expenditure Type</t>
  </si>
  <si>
    <t>Board of Directors</t>
  </si>
  <si>
    <t>8740</t>
  </si>
  <si>
    <t>05411</t>
  </si>
  <si>
    <t>4265</t>
  </si>
  <si>
    <t>8700</t>
  </si>
  <si>
    <t>05413</t>
  </si>
  <si>
    <t>05414</t>
  </si>
  <si>
    <t>07499</t>
  </si>
  <si>
    <t>04040</t>
  </si>
  <si>
    <t>05421</t>
  </si>
  <si>
    <t>07443</t>
  </si>
  <si>
    <t>0000</t>
  </si>
  <si>
    <t>1070</t>
  </si>
  <si>
    <t>03004</t>
  </si>
  <si>
    <t>04046</t>
  </si>
  <si>
    <t>05412</t>
  </si>
  <si>
    <t>30740</t>
  </si>
  <si>
    <t>05420</t>
  </si>
  <si>
    <t>05419</t>
  </si>
  <si>
    <t>Other Employee Expenses</t>
  </si>
  <si>
    <t>05415</t>
  </si>
  <si>
    <t>9210</t>
  </si>
  <si>
    <t>9030</t>
  </si>
  <si>
    <t>05010</t>
  </si>
  <si>
    <t>30743</t>
  </si>
  <si>
    <t>4264</t>
  </si>
  <si>
    <t>05377</t>
  </si>
  <si>
    <t>Meal Over Limit</t>
  </si>
  <si>
    <t>Excessive Tip</t>
  </si>
  <si>
    <t>Room Over Limit</t>
  </si>
  <si>
    <t>Political</t>
  </si>
  <si>
    <t/>
  </si>
  <si>
    <t xml:space="preserve">Meal Over Limit, Excessive Tip, </t>
  </si>
  <si>
    <t>1630</t>
  </si>
  <si>
    <t>02005</t>
  </si>
  <si>
    <t>05111</t>
  </si>
  <si>
    <t>04201</t>
  </si>
  <si>
    <t>07590</t>
  </si>
  <si>
    <t>202021</t>
  </si>
  <si>
    <t>1154</t>
  </si>
  <si>
    <t>05417</t>
  </si>
  <si>
    <t>4261</t>
  </si>
  <si>
    <t>30736</t>
  </si>
  <si>
    <t>06111</t>
  </si>
  <si>
    <t>262113</t>
  </si>
  <si>
    <t>Oct</t>
  </si>
  <si>
    <t>Nov</t>
  </si>
  <si>
    <t>Dec</t>
  </si>
  <si>
    <t>Jan</t>
  </si>
  <si>
    <t>Feb</t>
  </si>
  <si>
    <t>Mar</t>
  </si>
  <si>
    <t>Apr</t>
  </si>
  <si>
    <t>May</t>
  </si>
  <si>
    <t>Jun</t>
  </si>
  <si>
    <t>Aug</t>
  </si>
  <si>
    <t>Sep</t>
  </si>
  <si>
    <t>Account Type</t>
  </si>
  <si>
    <t>Capital</t>
  </si>
  <si>
    <t>Other</t>
  </si>
  <si>
    <t>O&amp;M</t>
  </si>
  <si>
    <t xml:space="preserve"> </t>
  </si>
  <si>
    <t>Christian, Joe T (Joe)</t>
  </si>
  <si>
    <t>30705</t>
  </si>
  <si>
    <t>Boyd, Derek W (Derek)</t>
  </si>
  <si>
    <t>1108</t>
  </si>
  <si>
    <t>04212</t>
  </si>
  <si>
    <t>9010</t>
  </si>
  <si>
    <t>Goodson, Andrea (Andrea)</t>
  </si>
  <si>
    <t>288387</t>
  </si>
  <si>
    <t>05425</t>
  </si>
  <si>
    <t>05428</t>
  </si>
  <si>
    <t>Dues/Memberships</t>
  </si>
  <si>
    <t>WD-EXP REPORTS</t>
  </si>
  <si>
    <t>CAPITAL</t>
  </si>
  <si>
    <t>04146</t>
  </si>
  <si>
    <t>07520</t>
  </si>
  <si>
    <t>OK - See Supplemental Data for Original Receipt Image</t>
  </si>
  <si>
    <t>Travel Expense</t>
  </si>
  <si>
    <t>Office Supplies</t>
  </si>
  <si>
    <t>30702</t>
  </si>
  <si>
    <t>07510</t>
  </si>
  <si>
    <t>Heroy, Giselle R (Giselle)</t>
  </si>
  <si>
    <t>258114</t>
  </si>
  <si>
    <t>06121</t>
  </si>
  <si>
    <t>05427</t>
  </si>
  <si>
    <t>07495</t>
  </si>
  <si>
    <t>Smith, Tami L (Tami)</t>
  </si>
  <si>
    <t>279193</t>
  </si>
  <si>
    <t>Distribution Amount Matching</t>
  </si>
  <si>
    <t>Sub Account</t>
  </si>
  <si>
    <t>Invoice Description</t>
  </si>
  <si>
    <t>Invoice Detail</t>
  </si>
  <si>
    <t>Any alcohol</t>
  </si>
  <si>
    <t>Any Board of Director committee or spousal related expense</t>
  </si>
  <si>
    <t>Any employee spousal expense, travel, meals, etc.</t>
  </si>
  <si>
    <t>Meal expense &gt; $25 per person per meal (excluding taxes)</t>
  </si>
  <si>
    <t>Excessive Tip &gt; than 20% (Meals and Transportation)</t>
  </si>
  <si>
    <t>Premium travel (air, car rental, limos, etc.)</t>
  </si>
  <si>
    <t>Lodging expense &gt; than $150 per person per night (room rate exclusive of taxes)</t>
  </si>
  <si>
    <t>Any due or membership fee other than professional licenses, associations</t>
  </si>
  <si>
    <t>Political, PAC, etc.</t>
  </si>
  <si>
    <t xml:space="preserve">Athletic events, golf, theater etc. </t>
  </si>
  <si>
    <t>Gifts, Appreciation, Awards, Celebrations, Parties, Other Expenses (e.g., travel to funerals, retirements, gifts, giveaways, etc.)</t>
  </si>
  <si>
    <t>Decor, artwork, appliances, furniture</t>
  </si>
  <si>
    <t>Mileage without detail or support</t>
  </si>
  <si>
    <t xml:space="preserve">Missing a detailed receipt (applies to all expenditures), illegible receipts, other miscellaneous expenses </t>
  </si>
  <si>
    <t>Celebratory</t>
  </si>
  <si>
    <t>Missing Receipts/Other</t>
  </si>
  <si>
    <t>Premium Travel</t>
  </si>
  <si>
    <t>Mileage</t>
  </si>
  <si>
    <t>Professional Dues TSBPA Individual License Renewal</t>
  </si>
  <si>
    <t>243740</t>
  </si>
  <si>
    <t>Kallas, Raymond C (Raymond)</t>
  </si>
  <si>
    <t>213840</t>
  </si>
  <si>
    <t>Smith, Gary L (Gary)</t>
  </si>
  <si>
    <t xml:space="preserve">Alcohol, Meal Over Limit, </t>
  </si>
  <si>
    <t>COVID</t>
  </si>
  <si>
    <t>CHC20200327-WD-EXP</t>
  </si>
  <si>
    <t>247822</t>
  </si>
  <si>
    <t>Schneider, Jason L (Jason)</t>
  </si>
  <si>
    <t>SGA Women and Leadership Workshop</t>
  </si>
  <si>
    <t>CHC20200409-WD-EXP</t>
  </si>
  <si>
    <t>CHC20200428-WD-EXP</t>
  </si>
  <si>
    <t>CHC20200414-EXP-WD</t>
  </si>
  <si>
    <t>KAW200429_1 EDEXP</t>
  </si>
  <si>
    <t>CHC20200424-WD-EXP</t>
  </si>
  <si>
    <t>CHC20200403-WD-EXP</t>
  </si>
  <si>
    <t>CHC20200423-WD-EXP</t>
  </si>
  <si>
    <t>COVID - NDR</t>
  </si>
  <si>
    <t>CHC20200417-WD-EXP</t>
  </si>
  <si>
    <t>KAW200413_1 WDEXP</t>
  </si>
  <si>
    <t>CHC20200402-WD-EXP</t>
  </si>
  <si>
    <t>KAW200401_1 WDEXP</t>
  </si>
  <si>
    <t>CHC20200416-WD-EXP</t>
  </si>
  <si>
    <t>CHC20200420-WD-EXP</t>
  </si>
  <si>
    <t>05424</t>
  </si>
  <si>
    <t>KAW200408_1 WDEXP</t>
  </si>
  <si>
    <t>CHC20200421-WD-EXP</t>
  </si>
  <si>
    <t>CHC20200407-WD-EXP</t>
  </si>
  <si>
    <t>CHC20200430-WD-EXP</t>
  </si>
  <si>
    <t xml:space="preserve">COVID </t>
  </si>
  <si>
    <t>CHC20200406-WD-WXP</t>
  </si>
  <si>
    <t>CHC20200427-WD-EXP</t>
  </si>
  <si>
    <t>KAW200422_1 WDEXP</t>
  </si>
  <si>
    <t>KAW200415-1WDEXP</t>
  </si>
  <si>
    <t>CHC20200508-WD-EXP</t>
  </si>
  <si>
    <t>CHC20200522-WD EXP</t>
  </si>
  <si>
    <t>CHC20200504-WD-EXP</t>
  </si>
  <si>
    <t>CHC20200529-WD EXP</t>
  </si>
  <si>
    <t>KAW200527_1 WDEXP</t>
  </si>
  <si>
    <t>CHC20200511-WD-EXP</t>
  </si>
  <si>
    <t>CHC20200501-WD-EXP</t>
  </si>
  <si>
    <t>CHC20200514-WD EXP</t>
  </si>
  <si>
    <t>CHC20200507-WD-EXP</t>
  </si>
  <si>
    <t>CHC20200521-WD EXP</t>
  </si>
  <si>
    <t>KAW200513_1 WD EXP</t>
  </si>
  <si>
    <t>KAW200506_1 WDEXP</t>
  </si>
  <si>
    <t>CHC20200505-WD-EXP</t>
  </si>
  <si>
    <t>KAW200520_1 WDEXP</t>
  </si>
  <si>
    <t>CHC20200519-WD EXP</t>
  </si>
  <si>
    <t>CHC20200515-WD EXP</t>
  </si>
  <si>
    <t>CHC20200512-WD-EXP</t>
  </si>
  <si>
    <t>CHC20200619-WD EXP</t>
  </si>
  <si>
    <t>CHC20200601-WD EXP</t>
  </si>
  <si>
    <t>CHC20200602-WD EXP</t>
  </si>
  <si>
    <t>CHC20200615-WD EXP</t>
  </si>
  <si>
    <t>CHC20200629-WD EXP</t>
  </si>
  <si>
    <t>KAW200610_1 WDEXP</t>
  </si>
  <si>
    <t>CHC20200605-WD EXP</t>
  </si>
  <si>
    <t>CHC20200618-WD EXP</t>
  </si>
  <si>
    <t>CHC20200611-WD EXP</t>
  </si>
  <si>
    <t>CHC20200623-WD EXP</t>
  </si>
  <si>
    <t>CHC20200612-WD EXP</t>
  </si>
  <si>
    <t>CHC20200622-WD EXP</t>
  </si>
  <si>
    <t>KAW200617_1 WDEXP</t>
  </si>
  <si>
    <t>CHC20200608-WD EXP</t>
  </si>
  <si>
    <t>CHC20200630-WD EXP</t>
  </si>
  <si>
    <t>KAW200603_1WDEXP</t>
  </si>
  <si>
    <t>CHC20200625-WD EXP</t>
  </si>
  <si>
    <t>CHC20200609-WD EXP</t>
  </si>
  <si>
    <t>CHC20200616-WD EXP</t>
  </si>
  <si>
    <t>WEXP-00025507</t>
  </si>
  <si>
    <t>11085908.tif 11085909.tif 11085910.tif 11085911.tif 11085912.tif 11085913.tif 11085914.tif 11085915.tif 11085916.tif 11085917.tif 11085918.tif 11085919.tif 11085920.tif</t>
  </si>
  <si>
    <t>Atmos supporting local business lunch</t>
  </si>
  <si>
    <t>Employee Spousal</t>
  </si>
  <si>
    <t>Tips</t>
  </si>
  <si>
    <t>Lobbying</t>
  </si>
  <si>
    <t>Employee Expenses</t>
  </si>
  <si>
    <t xml:space="preserve">Décor </t>
  </si>
  <si>
    <t xml:space="preserve">Mileage </t>
  </si>
  <si>
    <t>Missing Receipts and Other</t>
  </si>
  <si>
    <t>010</t>
  </si>
  <si>
    <t>Davis, Kelley J (Kelley)</t>
  </si>
  <si>
    <t>283064</t>
  </si>
  <si>
    <t>Sherosky-Wilhite, Karen L (Karen)</t>
  </si>
  <si>
    <t>263852</t>
  </si>
  <si>
    <t>Tarpley, Alexandra (Alex)</t>
  </si>
  <si>
    <t>288414</t>
  </si>
  <si>
    <t>Weinert, Karen D (Karen)</t>
  </si>
  <si>
    <t>285188</t>
  </si>
  <si>
    <t>Betzen, Phillip B (Phillip)</t>
  </si>
  <si>
    <t>280462</t>
  </si>
  <si>
    <t>Curtis, Jeffrey A (Jeff)</t>
  </si>
  <si>
    <t>264252</t>
  </si>
  <si>
    <t>Hamilton, Zane M (Zane)</t>
  </si>
  <si>
    <t>259991</t>
  </si>
  <si>
    <t>Murray, Tristan (Tristan)</t>
  </si>
  <si>
    <t>287459</t>
  </si>
  <si>
    <t>Akers, John K (Kevin)</t>
  </si>
  <si>
    <t>207922</t>
  </si>
  <si>
    <t>Gilmore, Cynthia A (Cindy)</t>
  </si>
  <si>
    <t>243299</t>
  </si>
  <si>
    <t>286446</t>
  </si>
  <si>
    <t>Reitmajer, Kimberly A (Kimberly)</t>
  </si>
  <si>
    <t>242010</t>
  </si>
  <si>
    <t>Daigle, Dennis G (Dennis)</t>
  </si>
  <si>
    <t>222724</t>
  </si>
  <si>
    <t>Culbertson, Kristie G (Kristie)</t>
  </si>
  <si>
    <t>249095</t>
  </si>
  <si>
    <t>Newland, Kimberly L (Kim)</t>
  </si>
  <si>
    <t>261638</t>
  </si>
  <si>
    <t>Check</t>
  </si>
  <si>
    <t>Jul</t>
  </si>
  <si>
    <t>Hadley, Latisha R (Tish)</t>
  </si>
  <si>
    <t>286150</t>
  </si>
  <si>
    <t>Shannon, Debbie P (Debbie)</t>
  </si>
  <si>
    <t>258250</t>
  </si>
  <si>
    <t>INV-010-002</t>
  </si>
  <si>
    <t>Abair, Jillana K (Jill)</t>
  </si>
  <si>
    <t>271512</t>
  </si>
  <si>
    <t>1119</t>
  </si>
  <si>
    <t>002000</t>
  </si>
  <si>
    <t>1133</t>
  </si>
  <si>
    <t>1508</t>
  </si>
  <si>
    <t>Almanza, Jeannette (Jeannette)</t>
  </si>
  <si>
    <t>262598</t>
  </si>
  <si>
    <t>Bass, Shelly M (Shelly)</t>
  </si>
  <si>
    <t>284784</t>
  </si>
  <si>
    <t>1501</t>
  </si>
  <si>
    <t>Bates, James P (Jim)</t>
  </si>
  <si>
    <t>246122</t>
  </si>
  <si>
    <t>1137</t>
  </si>
  <si>
    <t>1408</t>
  </si>
  <si>
    <t>Beauchamp, Elizabeth A (Liz)</t>
  </si>
  <si>
    <t>264059</t>
  </si>
  <si>
    <t>1503</t>
  </si>
  <si>
    <t>Berry, Teri L (Teri)</t>
  </si>
  <si>
    <t>270616</t>
  </si>
  <si>
    <t>1415</t>
  </si>
  <si>
    <t>1414</t>
  </si>
  <si>
    <t>1164</t>
  </si>
  <si>
    <t>Blodgett, Bronson A (Bronson)</t>
  </si>
  <si>
    <t>213906</t>
  </si>
  <si>
    <t>1227</t>
  </si>
  <si>
    <t>1209</t>
  </si>
  <si>
    <t>1831</t>
  </si>
  <si>
    <t>Bonner, Karen D (Karen)</t>
  </si>
  <si>
    <t>249625</t>
  </si>
  <si>
    <t>1822</t>
  </si>
  <si>
    <t>1407</t>
  </si>
  <si>
    <t>Boyd, Savannah B (Bree)</t>
  </si>
  <si>
    <t>285929</t>
  </si>
  <si>
    <t>Bradshaw, Joel R (Joel)</t>
  </si>
  <si>
    <t>233017</t>
  </si>
  <si>
    <t>1130</t>
  </si>
  <si>
    <t>Brown, Kristina (Kristina)</t>
  </si>
  <si>
    <t>263422</t>
  </si>
  <si>
    <t>Burton, Ashley A (Ashley)</t>
  </si>
  <si>
    <t>286840</t>
  </si>
  <si>
    <t>Butler, Johnnie R (Johnnie)</t>
  </si>
  <si>
    <t>232168</t>
  </si>
  <si>
    <t>1825</t>
  </si>
  <si>
    <t>1417</t>
  </si>
  <si>
    <t>Carpenter, James (Kyle)</t>
  </si>
  <si>
    <t>253668</t>
  </si>
  <si>
    <t>1835</t>
  </si>
  <si>
    <t>Cheng, Melissa (Melissa)</t>
  </si>
  <si>
    <t>279073</t>
  </si>
  <si>
    <t>1161</t>
  </si>
  <si>
    <t>Connelly, Melanie P (Melanie)</t>
  </si>
  <si>
    <t>261907</t>
  </si>
  <si>
    <t>1416</t>
  </si>
  <si>
    <t>Croissant, Cara A (Cara)</t>
  </si>
  <si>
    <t>248019</t>
  </si>
  <si>
    <t>1121</t>
  </si>
  <si>
    <t>Crowder, David B (David)</t>
  </si>
  <si>
    <t>249761</t>
  </si>
  <si>
    <t>1403</t>
  </si>
  <si>
    <t>Darrough, Jack H (Jack)</t>
  </si>
  <si>
    <t>254930</t>
  </si>
  <si>
    <t>Daugherty, Amanda G (Amanda)</t>
  </si>
  <si>
    <t>237429</t>
  </si>
  <si>
    <t>1159</t>
  </si>
  <si>
    <t>Denton, Joseph M (Joey)</t>
  </si>
  <si>
    <t>280854</t>
  </si>
  <si>
    <t>1504</t>
  </si>
  <si>
    <t>DeVincenzo, Christina (Christina)</t>
  </si>
  <si>
    <t>284029</t>
  </si>
  <si>
    <t>Deweese, Amy L (Amy)</t>
  </si>
  <si>
    <t>274667</t>
  </si>
  <si>
    <t>1507</t>
  </si>
  <si>
    <t>Dohm, Laurie P (Laurie)</t>
  </si>
  <si>
    <t>243296</t>
  </si>
  <si>
    <t>1134</t>
  </si>
  <si>
    <t>Draper, Cody L (Cody)</t>
  </si>
  <si>
    <t>266173</t>
  </si>
  <si>
    <t>Erickson, Don A (Don)</t>
  </si>
  <si>
    <t>252560</t>
  </si>
  <si>
    <t>1833</t>
  </si>
  <si>
    <t>Ferrari, Lynna J (Jan)</t>
  </si>
  <si>
    <t>268508</t>
  </si>
  <si>
    <t>216639</t>
  </si>
  <si>
    <t>Flowers, Karen J (Karen)</t>
  </si>
  <si>
    <t>252916</t>
  </si>
  <si>
    <t>Forsythe, Christopher T (Chris)</t>
  </si>
  <si>
    <t>233421</t>
  </si>
  <si>
    <t>1101</t>
  </si>
  <si>
    <t>1118</t>
  </si>
  <si>
    <t>1829</t>
  </si>
  <si>
    <t>Frank, Kevin C (Kevin)</t>
  </si>
  <si>
    <t>262289</t>
  </si>
  <si>
    <t>Freel, Kevin M (Kevin)</t>
  </si>
  <si>
    <t>272569</t>
  </si>
  <si>
    <t>1107</t>
  </si>
  <si>
    <t>Friend, Tevyan L (Tevyan)</t>
  </si>
  <si>
    <t>237801</t>
  </si>
  <si>
    <t>1128</t>
  </si>
  <si>
    <t>1155</t>
  </si>
  <si>
    <t>Gillham, Laura K (Laura)</t>
  </si>
  <si>
    <t>283103</t>
  </si>
  <si>
    <t>1117</t>
  </si>
  <si>
    <t>Gooding, Scott E (Scott)</t>
  </si>
  <si>
    <t>210434</t>
  </si>
  <si>
    <t>Gruber, Conrad E (Conrad)</t>
  </si>
  <si>
    <t>205486</t>
  </si>
  <si>
    <t>1150</t>
  </si>
  <si>
    <t>1201</t>
  </si>
  <si>
    <t>Hall, Christopher B (Chris)</t>
  </si>
  <si>
    <t>237917</t>
  </si>
  <si>
    <t>1229</t>
  </si>
  <si>
    <t>Hartsfield, Karen E (Karen)</t>
  </si>
  <si>
    <t>277740</t>
  </si>
  <si>
    <t>Hearne, Donna M (Donna)</t>
  </si>
  <si>
    <t>285476</t>
  </si>
  <si>
    <t>1401</t>
  </si>
  <si>
    <t>Henry, John R (John)</t>
  </si>
  <si>
    <t>268787</t>
  </si>
  <si>
    <t>1420</t>
  </si>
  <si>
    <t>1132</t>
  </si>
  <si>
    <t>Hofmann, Harold N (Nick)</t>
  </si>
  <si>
    <t>251692</t>
  </si>
  <si>
    <t>Horn, Joe M (Joe)</t>
  </si>
  <si>
    <t>204994</t>
  </si>
  <si>
    <t>Igoe, Kathryn J (Janell)</t>
  </si>
  <si>
    <t>268645</t>
  </si>
  <si>
    <t>Jobe, Robert B (Brad)</t>
  </si>
  <si>
    <t>248242</t>
  </si>
  <si>
    <t>258459</t>
  </si>
  <si>
    <t>1135</t>
  </si>
  <si>
    <t>Johnson, David P (David)</t>
  </si>
  <si>
    <t>273532</t>
  </si>
  <si>
    <t>Johnson, Suzanne L (Suzie)</t>
  </si>
  <si>
    <t>211887</t>
  </si>
  <si>
    <t>1502</t>
  </si>
  <si>
    <t>04125</t>
  </si>
  <si>
    <t>1167</t>
  </si>
  <si>
    <t>1402</t>
  </si>
  <si>
    <t>9230</t>
  </si>
  <si>
    <t>Lance-Stamport, Tamara D (Tamara)</t>
  </si>
  <si>
    <t>246255</t>
  </si>
  <si>
    <t>Leon, Mikala L (Mikala)</t>
  </si>
  <si>
    <t>223279</t>
  </si>
  <si>
    <t>Lopez, Adalberto (Albert)</t>
  </si>
  <si>
    <t>280049</t>
  </si>
  <si>
    <t>Macgibbon, Ruth M (Ruth)</t>
  </si>
  <si>
    <t>247952</t>
  </si>
  <si>
    <t>Martin, Kelli L (Kelli)</t>
  </si>
  <si>
    <t>243034</t>
  </si>
  <si>
    <t>Matthews, William D (William)</t>
  </si>
  <si>
    <t>251139</t>
  </si>
  <si>
    <t>McDill, John S (John)</t>
  </si>
  <si>
    <t>231916</t>
  </si>
  <si>
    <t>Melson, Maureen H (Mo)</t>
  </si>
  <si>
    <t>245185</t>
  </si>
  <si>
    <t>1145</t>
  </si>
  <si>
    <t>Monger, Fred A (Fred)</t>
  </si>
  <si>
    <t>249514</t>
  </si>
  <si>
    <t>1827</t>
  </si>
  <si>
    <t>279716</t>
  </si>
  <si>
    <t>249135</t>
  </si>
  <si>
    <t>1837</t>
  </si>
  <si>
    <t>Myers, Barbara W (Barbara)</t>
  </si>
  <si>
    <t>246882</t>
  </si>
  <si>
    <t>Nguyen, Nga T (Nga)</t>
  </si>
  <si>
    <t>240591</t>
  </si>
  <si>
    <t>North, Jordan K (Jordan)</t>
  </si>
  <si>
    <t>270534</t>
  </si>
  <si>
    <t>Ocanas, James R (James)</t>
  </si>
  <si>
    <t>256130</t>
  </si>
  <si>
    <t>Paris, Claire L (Claire)</t>
  </si>
  <si>
    <t>279819</t>
  </si>
  <si>
    <t>Patrick, David (Rod)</t>
  </si>
  <si>
    <t>261013</t>
  </si>
  <si>
    <t>Pettineo, Kimberly D (Kim)</t>
  </si>
  <si>
    <t>226724</t>
  </si>
  <si>
    <t>1405</t>
  </si>
  <si>
    <t>Powell, Scott (Scott)</t>
  </si>
  <si>
    <t>227604</t>
  </si>
  <si>
    <t>Price, Carla D (Carla)</t>
  </si>
  <si>
    <t>257301</t>
  </si>
  <si>
    <t>Radhakrishnan, Muthukumar (Kumar)</t>
  </si>
  <si>
    <t>286208</t>
  </si>
  <si>
    <t>1838</t>
  </si>
  <si>
    <t>Reneau, Rebecca H (Rebecca)</t>
  </si>
  <si>
    <t>262265</t>
  </si>
  <si>
    <t>Reynolds, Michael H (Michael)</t>
  </si>
  <si>
    <t>223133</t>
  </si>
  <si>
    <t>1110</t>
  </si>
  <si>
    <t>Reynolds, Patrick H (Hunter)</t>
  </si>
  <si>
    <t>272734</t>
  </si>
  <si>
    <t>Robbins, John M (Matt)</t>
  </si>
  <si>
    <t>271354</t>
  </si>
  <si>
    <t>Roberson, John A (Shorty)</t>
  </si>
  <si>
    <t>256454</t>
  </si>
  <si>
    <t>Ross, Theresa (Theresa)</t>
  </si>
  <si>
    <t>267193</t>
  </si>
  <si>
    <t>1126</t>
  </si>
  <si>
    <t>Saenz, Arturo A (Aaron)</t>
  </si>
  <si>
    <t>260350</t>
  </si>
  <si>
    <t>Shaffer, William M (Mark)</t>
  </si>
  <si>
    <t>236997</t>
  </si>
  <si>
    <t>Sheffield, Rebecca A (Becki)</t>
  </si>
  <si>
    <t>253970</t>
  </si>
  <si>
    <t>1120</t>
  </si>
  <si>
    <t>Socia, Ryan (Ryan)</t>
  </si>
  <si>
    <t>284103</t>
  </si>
  <si>
    <t>Sontheimer, Lisa F. (Lisa)</t>
  </si>
  <si>
    <t>265855</t>
  </si>
  <si>
    <t>Staz, Douglas M (Doug)</t>
  </si>
  <si>
    <t>276703</t>
  </si>
  <si>
    <t>Thorpe, Wincy M (Wincy)</t>
  </si>
  <si>
    <t>258577</t>
  </si>
  <si>
    <t>1836</t>
  </si>
  <si>
    <t>Treadway, Lawrence A (Andy)</t>
  </si>
  <si>
    <t>232127</t>
  </si>
  <si>
    <t>1125</t>
  </si>
  <si>
    <t>Walls, Gregory M (Greg)</t>
  </si>
  <si>
    <t>253040</t>
  </si>
  <si>
    <t>Walther, Douglas C (Doug)</t>
  </si>
  <si>
    <t>204541</t>
  </si>
  <si>
    <t>Ward, Ty C (Ty)</t>
  </si>
  <si>
    <t>245811</t>
  </si>
  <si>
    <t>Westfall, Casie N (Casie)</t>
  </si>
  <si>
    <t>244318</t>
  </si>
  <si>
    <t>Wezwick, Keith C (Keith)</t>
  </si>
  <si>
    <t>240486</t>
  </si>
  <si>
    <t>Wiggans, Sherri R (Sherri)</t>
  </si>
  <si>
    <t>270634</t>
  </si>
  <si>
    <t>1102</t>
  </si>
  <si>
    <t>Williams, Ebbony K (Ebbony)</t>
  </si>
  <si>
    <t>241039</t>
  </si>
  <si>
    <t>Williams, Jerod C (Jerod)</t>
  </si>
  <si>
    <t>256084</t>
  </si>
  <si>
    <t>Williamson, Carol D (Carol)</t>
  </si>
  <si>
    <t>285560</t>
  </si>
  <si>
    <t>285829</t>
  </si>
  <si>
    <t>1123</t>
  </si>
  <si>
    <t>1114</t>
  </si>
  <si>
    <t>1116</t>
  </si>
  <si>
    <t>Wolford, Sandy E (Sandy)</t>
  </si>
  <si>
    <t>240925</t>
  </si>
  <si>
    <t>Yan, Chunyan (Cathy)</t>
  </si>
  <si>
    <t>278846</t>
  </si>
  <si>
    <t>Baugh, John S (John)</t>
  </si>
  <si>
    <t>234126</t>
  </si>
  <si>
    <t>1141</t>
  </si>
  <si>
    <t>Boles, Michele A (Shele)</t>
  </si>
  <si>
    <t>242486</t>
  </si>
  <si>
    <t>Brooks, Wendy (Wendy)</t>
  </si>
  <si>
    <t>258672</t>
  </si>
  <si>
    <t>1106</t>
  </si>
  <si>
    <t>Conner, Brian C (Brian)</t>
  </si>
  <si>
    <t>215843</t>
  </si>
  <si>
    <t>287347</t>
  </si>
  <si>
    <t>Furry, Penelope L (Penelope)</t>
  </si>
  <si>
    <t>258410</t>
  </si>
  <si>
    <t>Garcia, Carlos H (Carlos)</t>
  </si>
  <si>
    <t>278167</t>
  </si>
  <si>
    <t>Garcia, Valerie A (Valerie)</t>
  </si>
  <si>
    <t>287076</t>
  </si>
  <si>
    <t>Hardy, Julie C (Julie)</t>
  </si>
  <si>
    <t>280050</t>
  </si>
  <si>
    <t>Harris, Ryan C (Ryan)</t>
  </si>
  <si>
    <t>280786</t>
  </si>
  <si>
    <t>1823</t>
  </si>
  <si>
    <t>Harris, Sean M (Sean)</t>
  </si>
  <si>
    <t>281497</t>
  </si>
  <si>
    <t>Harris, Steve E (Steve)</t>
  </si>
  <si>
    <t>252781</t>
  </si>
  <si>
    <t>Jackson, Tracie L (Tracie)</t>
  </si>
  <si>
    <t>272383</t>
  </si>
  <si>
    <t>04112</t>
  </si>
  <si>
    <t>Laster, Patricia D (Patricia)</t>
  </si>
  <si>
    <t>253590</t>
  </si>
  <si>
    <t>Malter, Kenneth M (Kenny)</t>
  </si>
  <si>
    <t>226968</t>
  </si>
  <si>
    <t>1821</t>
  </si>
  <si>
    <t>287921</t>
  </si>
  <si>
    <t>McDonald, Edward P IV (Pace)</t>
  </si>
  <si>
    <t>228018</t>
  </si>
  <si>
    <t>Middleton, Angela R (Angie)</t>
  </si>
  <si>
    <t>207055</t>
  </si>
  <si>
    <t>Mitschke, Richard A (Richard)</t>
  </si>
  <si>
    <t>258180</t>
  </si>
  <si>
    <t>Montelongo, Elizbeth R (Elizbeth)</t>
  </si>
  <si>
    <t>276691</t>
  </si>
  <si>
    <t>Nyhan, Torrey R (Torrey)</t>
  </si>
  <si>
    <t>283127</t>
  </si>
  <si>
    <t>Park, David J (David)</t>
  </si>
  <si>
    <t>247138</t>
  </si>
  <si>
    <t>1913</t>
  </si>
  <si>
    <t>Poulsen, Jake D (Jake)</t>
  </si>
  <si>
    <t>276482</t>
  </si>
  <si>
    <t>Quach, Chi K (Kim)</t>
  </si>
  <si>
    <t>228251</t>
  </si>
  <si>
    <t>287848</t>
  </si>
  <si>
    <t>Richey, Elizabeth A (Liz)</t>
  </si>
  <si>
    <t>244061</t>
  </si>
  <si>
    <t>Roach, Christopher E (Chris)</t>
  </si>
  <si>
    <t>253058</t>
  </si>
  <si>
    <t>260029</t>
  </si>
  <si>
    <t>Self, Melissa (Melissa)</t>
  </si>
  <si>
    <t>264782</t>
  </si>
  <si>
    <t>Servigna, Fernando E (Fernando)</t>
  </si>
  <si>
    <t>278742</t>
  </si>
  <si>
    <t>Story, Jennifer K (Jennifer)</t>
  </si>
  <si>
    <t>255588</t>
  </si>
  <si>
    <t>Wilen, Eric J (Eric)</t>
  </si>
  <si>
    <t>256415</t>
  </si>
  <si>
    <t>Wright, Tony (Tony)</t>
  </si>
  <si>
    <t>238341</t>
  </si>
  <si>
    <t>Young, Trisha E (Trisha)</t>
  </si>
  <si>
    <t>279572</t>
  </si>
  <si>
    <t>Camacho, Jeanna M (Jeanna)</t>
  </si>
  <si>
    <t>262358</t>
  </si>
  <si>
    <t>Camacho, Juanita (Janie)</t>
  </si>
  <si>
    <t>251059</t>
  </si>
  <si>
    <t>Campos, Rhonda L (Rhonda)</t>
  </si>
  <si>
    <t>272574</t>
  </si>
  <si>
    <t>Cardenas, Celina A (Celina)</t>
  </si>
  <si>
    <t>269952</t>
  </si>
  <si>
    <t>Coffman, Mark A (Mark)</t>
  </si>
  <si>
    <t>222540</t>
  </si>
  <si>
    <t>1129</t>
  </si>
  <si>
    <t>Durham, Rachel K (Rachel)</t>
  </si>
  <si>
    <t>261012</t>
  </si>
  <si>
    <t>Francis, Jos (Jos)</t>
  </si>
  <si>
    <t>252028</t>
  </si>
  <si>
    <t>Ginty, Ryan D (Ryan)</t>
  </si>
  <si>
    <t>251207</t>
  </si>
  <si>
    <t>Hammett, Tara (Tara)</t>
  </si>
  <si>
    <t>262596</t>
  </si>
  <si>
    <t>04145</t>
  </si>
  <si>
    <t>Jackson, Stellie S (Stellie)</t>
  </si>
  <si>
    <t>272570</t>
  </si>
  <si>
    <t>Marchbanks, Paul (Paul)</t>
  </si>
  <si>
    <t>266513</t>
  </si>
  <si>
    <t>McNealy, Nira L (Nira)</t>
  </si>
  <si>
    <t>263423</t>
  </si>
  <si>
    <t>McPherson, Nicole R (Nicole)</t>
  </si>
  <si>
    <t>274521</t>
  </si>
  <si>
    <t>Ordemann, Marshall F Jr (Marshall)</t>
  </si>
  <si>
    <t>225225</t>
  </si>
  <si>
    <t>253923</t>
  </si>
  <si>
    <t>Phillips, Billy J (Billy)</t>
  </si>
  <si>
    <t>255147</t>
  </si>
  <si>
    <t>Raj, Kevin A (Kevin)</t>
  </si>
  <si>
    <t>274216</t>
  </si>
  <si>
    <t>Ramirez, Elma (Elma)</t>
  </si>
  <si>
    <t>279195</t>
  </si>
  <si>
    <t>Rihner, Diane T (Diane)</t>
  </si>
  <si>
    <t>242489</t>
  </si>
  <si>
    <t>Sievers, Bradley S (Bradley)</t>
  </si>
  <si>
    <t>243720</t>
  </si>
  <si>
    <t>Squires, Richard L (Richard)</t>
  </si>
  <si>
    <t>247909</t>
  </si>
  <si>
    <t>288124</t>
  </si>
  <si>
    <t>288169</t>
  </si>
  <si>
    <t>288123</t>
  </si>
  <si>
    <t>Thomas, Richard M (Richard)</t>
  </si>
  <si>
    <t>271706</t>
  </si>
  <si>
    <t>Wallace, Bridget K (Bridget)</t>
  </si>
  <si>
    <t>248775</t>
  </si>
  <si>
    <t>Whitaker, Joeseph D (Joeseph)</t>
  </si>
  <si>
    <t>257545</t>
  </si>
  <si>
    <t>Breen, Patrick C (Patrick)</t>
  </si>
  <si>
    <t>270737</t>
  </si>
  <si>
    <t>Brock, Tommy B (Tom)</t>
  </si>
  <si>
    <t>248492</t>
  </si>
  <si>
    <t>Da Silva, Elainea J (Ellie)</t>
  </si>
  <si>
    <t>283912</t>
  </si>
  <si>
    <t>Dase, Michael F (Michael)</t>
  </si>
  <si>
    <t>227072</t>
  </si>
  <si>
    <t>1828</t>
  </si>
  <si>
    <t>Early, Ivy D (Ivy)</t>
  </si>
  <si>
    <t>267687</t>
  </si>
  <si>
    <t>Faulk, Michelle H (Michelle)</t>
  </si>
  <si>
    <t>244800</t>
  </si>
  <si>
    <t>Garcia, Michelle M (Michelle)</t>
  </si>
  <si>
    <t>277666</t>
  </si>
  <si>
    <t>Grantham, Ashley S (Ashley)</t>
  </si>
  <si>
    <t>240681</t>
  </si>
  <si>
    <t>Hise, Erikka L (Erikka)</t>
  </si>
  <si>
    <t>247733</t>
  </si>
  <si>
    <t>Kalakoti, Srinivasa R (Srinivasa)</t>
  </si>
  <si>
    <t>254582</t>
  </si>
  <si>
    <t>Knaus, Ashley Johnson (Ashley)</t>
  </si>
  <si>
    <t>Nguyen, Trinh (Trinh)</t>
  </si>
  <si>
    <t>286829</t>
  </si>
  <si>
    <t>1144</t>
  </si>
  <si>
    <t>Rowley, Rebecca K (Becky)</t>
  </si>
  <si>
    <t>267738</t>
  </si>
  <si>
    <t>Swaim, Catherine R (Catherine)</t>
  </si>
  <si>
    <t>247788</t>
  </si>
  <si>
    <t>288370</t>
  </si>
  <si>
    <t>Yurova, Maria V (Maria)</t>
  </si>
  <si>
    <t>270763</t>
  </si>
  <si>
    <t>Bone, Jason B (Brian)</t>
  </si>
  <si>
    <t>206170</t>
  </si>
  <si>
    <t>Cocklin, Kim R (Kim)</t>
  </si>
  <si>
    <t>251430</t>
  </si>
  <si>
    <t>288665</t>
  </si>
  <si>
    <t>Gonzalez, Vanessa M (Vanessa)</t>
  </si>
  <si>
    <t>257364</t>
  </si>
  <si>
    <t>1839</t>
  </si>
  <si>
    <t>Huang, Pei (Catherine)</t>
  </si>
  <si>
    <t>288498</t>
  </si>
  <si>
    <t>288546</t>
  </si>
  <si>
    <t>Pilkinton, Chad W (Chad)</t>
  </si>
  <si>
    <t>249602</t>
  </si>
  <si>
    <t>Qassem, Emran (Emran)</t>
  </si>
  <si>
    <t>285433</t>
  </si>
  <si>
    <t>288636</t>
  </si>
  <si>
    <t>Rowe, Sheri W (Sheri)</t>
  </si>
  <si>
    <t>233956</t>
  </si>
  <si>
    <t>288674</t>
  </si>
  <si>
    <t>288635</t>
  </si>
  <si>
    <t>Terfassa, Diriba K (DT)</t>
  </si>
  <si>
    <t>253102</t>
  </si>
  <si>
    <t>Willis, Yvonne (Yvonne)</t>
  </si>
  <si>
    <t>265343</t>
  </si>
  <si>
    <t>Anderson, Timothy (Timothy)</t>
  </si>
  <si>
    <t>288655</t>
  </si>
  <si>
    <t>288833</t>
  </si>
  <si>
    <t>Garza-Gonzalez, Cassandra Y (Cassie)</t>
  </si>
  <si>
    <t>288122</t>
  </si>
  <si>
    <t>George, Serena C (Serena)</t>
  </si>
  <si>
    <t>286468</t>
  </si>
  <si>
    <t>Gomez, Alvin (Alvin)</t>
  </si>
  <si>
    <t>278682</t>
  </si>
  <si>
    <t>Hazzard, Eddie G (Ed)</t>
  </si>
  <si>
    <t>211613</t>
  </si>
  <si>
    <t>288883</t>
  </si>
  <si>
    <t>Lanz, Joanne C (Joanne)</t>
  </si>
  <si>
    <t>275925</t>
  </si>
  <si>
    <t>Mavar, Dean S (Dean)</t>
  </si>
  <si>
    <t>273683</t>
  </si>
  <si>
    <t>1826</t>
  </si>
  <si>
    <t>Morgan, Amanda (Amanda)</t>
  </si>
  <si>
    <t>288609</t>
  </si>
  <si>
    <t>Mullins, Gerrit B (Gerrit)</t>
  </si>
  <si>
    <t>280789</t>
  </si>
  <si>
    <t>Nelson, Patricia A (Patricia)</t>
  </si>
  <si>
    <t>270820</t>
  </si>
  <si>
    <t>Smith, Malachi S (Malachi)</t>
  </si>
  <si>
    <t>287058</t>
  </si>
  <si>
    <t>Teakell, Joseph C (Joseph)</t>
  </si>
  <si>
    <t>288959</t>
  </si>
  <si>
    <t>1153</t>
  </si>
  <si>
    <t>288966</t>
  </si>
  <si>
    <t>288996</t>
  </si>
  <si>
    <t>286181</t>
  </si>
  <si>
    <t>288977</t>
  </si>
  <si>
    <t>Gregory, Christina M (Christina)</t>
  </si>
  <si>
    <t>277087</t>
  </si>
  <si>
    <t>Johnson, John C (John)</t>
  </si>
  <si>
    <t>250311</t>
  </si>
  <si>
    <t>Mervicker, Farren D (Farren)</t>
  </si>
  <si>
    <t>204998</t>
  </si>
  <si>
    <t>Nguyen, Yen M (Mary)</t>
  </si>
  <si>
    <t>288843</t>
  </si>
  <si>
    <t>Rea, Brooke A (Brooke)</t>
  </si>
  <si>
    <t>216635</t>
  </si>
  <si>
    <t>Smith, Gregory W (Gregory)</t>
  </si>
  <si>
    <t>201246</t>
  </si>
  <si>
    <t>Tekell, Lou N (Lou Nan)</t>
  </si>
  <si>
    <t>248603</t>
  </si>
  <si>
    <t>Thirumavalavan, Padmaja (Padmaja)</t>
  </si>
  <si>
    <t>224230</t>
  </si>
  <si>
    <t>288965</t>
  </si>
  <si>
    <t>Bitting, Marcus G (Marcus)</t>
  </si>
  <si>
    <t>280294</t>
  </si>
  <si>
    <t>Chandler, Brian J (Brian)</t>
  </si>
  <si>
    <t>266063</t>
  </si>
  <si>
    <t>DeAnda, Mary Lou (Mary Lou)</t>
  </si>
  <si>
    <t>271700</t>
  </si>
  <si>
    <t>Friend, Cory A (Cory)</t>
  </si>
  <si>
    <t>237605</t>
  </si>
  <si>
    <t>Getz, Corbin (Corbin)</t>
  </si>
  <si>
    <t>289554</t>
  </si>
  <si>
    <t>07120</t>
  </si>
  <si>
    <t>Kalpat, Kala R (Kala)</t>
  </si>
  <si>
    <t>242009</t>
  </si>
  <si>
    <t>284025</t>
  </si>
  <si>
    <t>Vital, Cheryl L (Cheryl)</t>
  </si>
  <si>
    <t>258174</t>
  </si>
  <si>
    <t>Meals &amp; Alcohol - PAC AGA Monthly Legislative Meeting in DC</t>
  </si>
  <si>
    <t>Brazell, Ashley (Ashley)</t>
  </si>
  <si>
    <t>289372</t>
  </si>
  <si>
    <t>Brooks, Lita J (Lita)</t>
  </si>
  <si>
    <t>262599</t>
  </si>
  <si>
    <t>Day, Ashley Elizabeth (Ashley)</t>
  </si>
  <si>
    <t>278455</t>
  </si>
  <si>
    <t>Harris-Carter, Conya M (Conya)</t>
  </si>
  <si>
    <t>229864</t>
  </si>
  <si>
    <t>Kraft, Deborah M (Deborah)</t>
  </si>
  <si>
    <t>256721</t>
  </si>
  <si>
    <t>LaMunion, Chelsey (Chelsey)</t>
  </si>
  <si>
    <t>285805</t>
  </si>
  <si>
    <t>Marrs, Gregory E (Greg)</t>
  </si>
  <si>
    <t>248312</t>
  </si>
  <si>
    <t>Page, Stephanie S (Stephanie)</t>
  </si>
  <si>
    <t>258794</t>
  </si>
  <si>
    <t>Other - MC Monthly subscription for Wall Street Journal</t>
  </si>
  <si>
    <t>.Business Meals Restock conference rooms for future meetings</t>
  </si>
  <si>
    <t>Simpson, Debbie L (Debbie)</t>
  </si>
  <si>
    <t>284960</t>
  </si>
  <si>
    <t>Stevens, William J (Joey)</t>
  </si>
  <si>
    <t>Thorn, Ashlea R (Ashlea)</t>
  </si>
  <si>
    <t>257948</t>
  </si>
  <si>
    <t>288964</t>
  </si>
  <si>
    <t>289560</t>
  </si>
  <si>
    <t>.Business Meals Month end close lunch for benefit accounting department</t>
  </si>
  <si>
    <t>Koen, Lara S (Lara)</t>
  </si>
  <si>
    <t>256322</t>
  </si>
  <si>
    <t>1216</t>
  </si>
  <si>
    <t>Patterson, John L Jr (John)</t>
  </si>
  <si>
    <t>243858</t>
  </si>
  <si>
    <t>Schuette, Theresa (Tere)</t>
  </si>
  <si>
    <t>242688</t>
  </si>
  <si>
    <t>Urteaga, Daniel L (Dan)</t>
  </si>
  <si>
    <t>233565</t>
  </si>
  <si>
    <t>1221</t>
  </si>
  <si>
    <t>Audibert, Shawn M (Shawn)</t>
  </si>
  <si>
    <t>232248</t>
  </si>
  <si>
    <t>Bailey, Kevin D (Kevin)</t>
  </si>
  <si>
    <t>258231</t>
  </si>
  <si>
    <t>248006</t>
  </si>
  <si>
    <t>Carter, Andrew F. (Andrew)</t>
  </si>
  <si>
    <t>Durrance IV, Benjamin L (Benjamin)</t>
  </si>
  <si>
    <t>Enstice, Timothy M (Tim)</t>
  </si>
  <si>
    <t>Lewis, Benjamin D (Ben)</t>
  </si>
  <si>
    <t>Sim, Raymond J (Raymond)</t>
  </si>
  <si>
    <t>Tiffin, Shannon Leigh (Shannon)</t>
  </si>
  <si>
    <t>Vo, Amanda L (Amanda)</t>
  </si>
  <si>
    <t>220015</t>
  </si>
  <si>
    <t>Wilson, Maria S (Sandra)</t>
  </si>
  <si>
    <t>Co 010 Div 002 - General Office - WEXP Expense Review Data File</t>
  </si>
  <si>
    <t>289068</t>
  </si>
  <si>
    <t>Alalwan, Abeer S (Abeer)</t>
  </si>
  <si>
    <t>Anderson, Justin (Justin)</t>
  </si>
  <si>
    <t>.Business Meals Benefits and Payroll accounting working lunch</t>
  </si>
  <si>
    <t>Moon, Barton G (Bart)</t>
  </si>
  <si>
    <t>Civic &amp; Club Dues Intelius Premier Monthly Subscription for Fraud Investigations</t>
  </si>
  <si>
    <t>289561</t>
  </si>
  <si>
    <t>Rader, Roy (Roy)</t>
  </si>
  <si>
    <t>226798</t>
  </si>
  <si>
    <t>Stiebing III, Charles P (Chuck)</t>
  </si>
  <si>
    <t>267093</t>
  </si>
  <si>
    <t>Adapa, Rajani (Rajani)</t>
  </si>
  <si>
    <t>Barrilleaux, Danna M (Danna)</t>
  </si>
  <si>
    <t>290472</t>
  </si>
  <si>
    <t>Hatcher, Anne (Anne)</t>
  </si>
  <si>
    <t>279773</t>
  </si>
  <si>
    <t>Jones, Nathaniel (Nathaniel)</t>
  </si>
  <si>
    <t>Professional Dues Texas State Board of Public Accountancy License Renewal</t>
  </si>
  <si>
    <t>289876</t>
  </si>
  <si>
    <t>Ngo, Lan Ngoc (Lan)</t>
  </si>
  <si>
    <t>290376</t>
  </si>
  <si>
    <t>Pitts, Joseph (Nick)</t>
  </si>
  <si>
    <t>Other - MC Wall Street Journal monthly subscription for Matt Robbins</t>
  </si>
  <si>
    <t>Vo, Nguyen (Nguyen)</t>
  </si>
  <si>
    <t>White, Melody A (Melody)</t>
  </si>
  <si>
    <t>Décor</t>
  </si>
  <si>
    <t>290962</t>
  </si>
  <si>
    <t>Arif, Huma (Huma)</t>
  </si>
  <si>
    <t>Childers, Katherine Manning (Katie)</t>
  </si>
  <si>
    <t>291025</t>
  </si>
  <si>
    <t>Greene, Quincy (Quincy)</t>
  </si>
  <si>
    <t>272061</t>
  </si>
  <si>
    <t>Hadley, Monte D (Monte)</t>
  </si>
  <si>
    <t>Kelly, Tanner b (Tanner)</t>
  </si>
  <si>
    <t>290685</t>
  </si>
  <si>
    <t>Lane, John Russell (Rusty)</t>
  </si>
  <si>
    <t>261818</t>
  </si>
  <si>
    <t>Newman, Scott A (Scott)</t>
  </si>
  <si>
    <t>Ortiz, Patricia (Patricia)</t>
  </si>
  <si>
    <t>290682</t>
  </si>
  <si>
    <t>Pagan, Neal Brandon (Neal)</t>
  </si>
  <si>
    <t>COVID?</t>
  </si>
  <si>
    <t>Sanderson, Wilford Dean (Dean)</t>
  </si>
  <si>
    <t>Tarlton, Stephanie S. (Stephanie)</t>
  </si>
  <si>
    <t>WEXP-00019117</t>
  </si>
  <si>
    <t>Airfare Change Fee_MSNYC and BAML Conferences_Mar 1-4 2020</t>
  </si>
  <si>
    <t>Spouse Transportation - MC Spouse Airfare_AGA BOD Mtg &amp; Financial Forum_May 15-20 2020</t>
  </si>
  <si>
    <t>Meals &amp; Alcohol - MC Lunch with Dale Petroskey of DRC_2 27 2020</t>
  </si>
  <si>
    <t>Transportation - MC Airfare Change Fee_MSNYC and BAML Conferences_Mar 1-4 2020</t>
  </si>
  <si>
    <t>Lodging - MC Lodging for Feb Board Meeting_02 04 2020</t>
  </si>
  <si>
    <t>Transportation - MC Airfare_AGA BOD Mtg &amp; Financial Forum_May 15-20 2020</t>
  </si>
  <si>
    <t>Employee Development - MC Conference Registration Fee_AGA Financial Forum_May 17-19 2020</t>
  </si>
  <si>
    <t>Meals &amp; Alcohol - MC Lunch with Make-A-Wish North Texas_2 13 2020</t>
  </si>
  <si>
    <t>Meals &amp; Alcohol - MC Safety &amp; Compliance Regulatory Updates Lunch_2 26 2020</t>
  </si>
  <si>
    <t>Transportation - MC Airfare_MS 5 YR Plan Op Mtg_Feb 25-26 2020</t>
  </si>
  <si>
    <t>Transportation - MC Airfare_MSNYC &amp; BAML Conferences_March 1-4 2020</t>
  </si>
  <si>
    <t>Transportation - MC Airfare_KMD 5 YR OP Plan Mtg_Feb 18-19 2020</t>
  </si>
  <si>
    <t>Meals &amp; Alcohol - MC Crockett's Receipt_Contingency Planning Lunch_3 11 2020</t>
  </si>
  <si>
    <t>WEXP-00022070</t>
  </si>
  <si>
    <t>Finger printing services to maintain CPA license</t>
  </si>
  <si>
    <t>Other - MC Finger printing services to maintain CPA license</t>
  </si>
  <si>
    <t>Meals &amp; Alcohol - MC Lunch to discuss future state of the accounting department</t>
  </si>
  <si>
    <t>Employee Development - MC Professional Education - CPE to maintain CPA license</t>
  </si>
  <si>
    <t>WEXP-00022675</t>
  </si>
  <si>
    <t>Flowers for widow of Dan Busbee (former BOD Member)</t>
  </si>
  <si>
    <t>Other - MC Flowers for widow of Dan Busbee (former BOD Member)</t>
  </si>
  <si>
    <t>WEXP-00022896</t>
  </si>
  <si>
    <t>Board of Directors Meeting, February 4-6, 2020, Dallas, Texas</t>
  </si>
  <si>
    <t>Meals &amp; Alcohol - MC Board of Directors Meeting, February 4-6, 2020, Dallas, Texas</t>
  </si>
  <si>
    <t>WEXP-00023107</t>
  </si>
  <si>
    <t>2020 NACD Membership Annual Renewal for Board of Directors</t>
  </si>
  <si>
    <t>Professional Dues - MC 2020 NACD Membership Annual Renewal for Board of Directors</t>
  </si>
  <si>
    <t>Thomas, Gayle D. (Gayle)</t>
  </si>
  <si>
    <t>WEXP-00022783</t>
  </si>
  <si>
    <t>Digital Shipping Scale for Postage</t>
  </si>
  <si>
    <t>Office Supplies Digital Shipping Scale for Postage</t>
  </si>
  <si>
    <t>248190</t>
  </si>
  <si>
    <t>Al-Refai, Maher J (Maher)</t>
  </si>
  <si>
    <t>WEXP-00021942</t>
  </si>
  <si>
    <t>10876912.tif 10876913.tif 10876914.tif</t>
  </si>
  <si>
    <t>Team working lunch - 3/31/2020</t>
  </si>
  <si>
    <t>.Business Meals Team working lunch - 3/31/2020</t>
  </si>
  <si>
    <t>WEXP-00022576</t>
  </si>
  <si>
    <t>10893510.tif 10893511.tif 10893512.tif 10893513.tif 10893514.tif 10893515.tif 10893516.tif 10893517.tif 10893518.tif 10893519.tif 10893520.tif 10893521.tif 10893522.tif 10893523.tif 10893524.tif 10893525.tif 10893526.tif 10893527.tif 10893528.tif 10893529.tif 10893530.tif 10893531.tif 10893532.tif 10893533.tif 10893534.tif 10893535.tif 10893536.tif 10893537.tif 10893538.tif 10893539.tif 10893540.tif 10893541.tif 10893542.tif 10893543.tif 10893544.tif 10893545.tif 10893546.tif 10893547.tif 10893548.tif 10893549.tif 10893550.tif 10893551.tif 10893552.tif 10893553.tif 10893554.tif 10893555.tif 10893556.tif 10893557.tif 10893558.tif 10893559.tif 10893560.tif 10893561.tif 10893562.tif 10893563.tif 10893462.tif 10893463.tif 10893464.tif 10893465.tif 10893466.tif 10893467.tif 10893468.tif 10893469.tif 10893470.tif 10893471.tif 10893472.tif 10893473.tif 10893474.tif 10893475.tif 10893476.tif 10893477.tif 10893478.tif 10893479.tif 10893480.tif 10893481.tif 10893482.tif 10893483.tif 10893484.tif 10893485.tif 10893486.tif 10893487.tif 10893488.tif 10893489.tif 10893490.tif 10893491.tif 10893492.tif 10893493.tif 10893494.tif 10893495.tif 10893496.tif 10893497.tif 10893498.tif 10893499.tif 10893500.tif 10893501.tif 10893502.tif 10893503.tif 10893504.tif 10893505.tif 10893506.tif 10893507.tif 10893508.tif 10893509.tif</t>
  </si>
  <si>
    <t>Meal Expense; QPR Meeting with leadership team- Dallas, TX</t>
  </si>
  <si>
    <t>Parking Parking; Lunch with Stephanie Tarlton ( Atmos Inventors relations) office Visit- New Orleans LA</t>
  </si>
  <si>
    <t>.Business Meals Meal Expense; Lunch with Stephanie  Tarlton ( Atmos Inventors relations) office Visit- New Orleans, LA</t>
  </si>
  <si>
    <t>.Business Meals Meal Expense; QPR Quarter 1 Meeting- New Orleans, LA</t>
  </si>
  <si>
    <t>Parking Airport parking;  QPR Quarter 1 Meeting- Dallas, TX</t>
  </si>
  <si>
    <t>Taxi/Train/Uber Transportation; Uber to Atmos Energy Regional Gas Supply Holiday Party; New Orleans LA</t>
  </si>
  <si>
    <t>Office Supplies Office Supplies; Toner needed for at home printer to print documents(  Covid- 19 stay at home mandate)</t>
  </si>
  <si>
    <t>.Business Meals Meal Expense; Lunch with HR for interviews on Thursday &amp; Friday for open positions</t>
  </si>
  <si>
    <t>Airfare Airfare; VA Hedging Commission Meeting - Richmond, VA</t>
  </si>
  <si>
    <t>Parking Airport parking;Sequent Energy Customer Visit-Houston, TX</t>
  </si>
  <si>
    <t>Airfare Roundtrip Airfare; (MSY to DAL / DAL to MSY)APT/Midtex/Gas Supply Winter Meeting-Dallas, TX</t>
  </si>
  <si>
    <t>.Business Meals Meal Expense; QPR Meeting with leadership team- Dallas, TX</t>
  </si>
  <si>
    <t>Office Supplies IT Equipment; Needed couplers to bridge ethernet connect for hard connection to internet</t>
  </si>
  <si>
    <t>Airfare Airfare; Return flight for Colorado (seat purchased in order to guarantee seat assignment on flight) PUC Hedging Meeting-Denver, CO</t>
  </si>
  <si>
    <t>Airfare Airfare; Sequent Energy Customer Visit-Houston, TX</t>
  </si>
  <si>
    <t>Lodging Lodging; VA Hedging Commission Meeting - Richmond, VA</t>
  </si>
  <si>
    <t>Airfare Roundtrip Aifare  ; QPR  Quarter 1 Meeting , Dallas TX/ Dallas TX to New Orleans , LA</t>
  </si>
  <si>
    <t>Airfare Airfare;  Return flight VA Hedging Commission Meeting - Richmond, VA</t>
  </si>
  <si>
    <t>Taxi/Train/Uber Transportation; Uber transporation from hotel to airport VA Hedging Commission Meeting - Richmond, VA</t>
  </si>
  <si>
    <t>.Business Meals Meal Expense; Colorado PUC Hedging Meeting-Denver, CO</t>
  </si>
  <si>
    <t>Parking Airport Parking; Colorado PUC Hedging Meeting-Denver, CO</t>
  </si>
  <si>
    <t>Taxi/Train/Uber Transportation; Lyft from Atmos Energy Regional Gas Supply Holiday Party; New Orleans LA</t>
  </si>
  <si>
    <t>Lodging Lodging; Colorado PUC Hedging Meeting-Denver, CO</t>
  </si>
  <si>
    <t>Airfare Airfare; Colorado PUC Hedging Meeting-Denver, CO</t>
  </si>
  <si>
    <t>.Business Meals Meal Expense; TLGP operational meeting with Division-Metairie , LA</t>
  </si>
  <si>
    <t>Parking Airport parking; APT/Midtex/Gas Supply Winter Meeting-Dallas, TX</t>
  </si>
  <si>
    <t>Airfare Airfare: Return flight Sequent Energy Customer Visit-Houston, TX</t>
  </si>
  <si>
    <t>Taxi/Train/Uber Transporation; Uber Trip from hotel to aiport- QPR 1 Meeting-Dallas TX</t>
  </si>
  <si>
    <t>.Business Meals Meal Expense; Sequent Energy Customer Visit-Houston, TX</t>
  </si>
  <si>
    <t>Lodging Lodging; Sequent Energy Customer Visit-Houston, TX</t>
  </si>
  <si>
    <t>Alcohol Meal &amp; Alcohol; Drinks after dinner with Leadership team  to discuss QPR Quarter 1; Dallas TX</t>
  </si>
  <si>
    <t>Alcohol Meal &amp; Alcohol ; Drinks after Saints game in junction with Meeting regarding Tennesse Pipeline- New Orleans, LA</t>
  </si>
  <si>
    <t>Lodging Lodging; QPR Quarter 1 Meeting- Dallas, TX</t>
  </si>
  <si>
    <t>Airfare Roundtrip Airfare; ( MSY to DAL/DAL to MSY) Workforce Development Team Presentation-Dallas, TX ( Meeting cancelled due to Covid 19- Funds will be used for future flight)</t>
  </si>
  <si>
    <t>Parking Airport parking;VA Hedging Commission Meeting - Richmond, VA</t>
  </si>
  <si>
    <t>Lodging Lodging: Workforce Development Team Presentation( Meeting cancelled due to Covid-19- hotel cancellation fee not waived ) -Dallas, TX</t>
  </si>
  <si>
    <t>.Business Meals Meal Expense; VA Hedging Commission Meeting - Richmond, VA</t>
  </si>
  <si>
    <t>WEXP-00022059</t>
  </si>
  <si>
    <t>10892241.tif 10892242.tif 10892243.tif</t>
  </si>
  <si>
    <t>Lunch ordered for helping the local business day during the COVID-19 crisis.</t>
  </si>
  <si>
    <t>.Business Meals Lunch ordered for helping the local business day during the COVID-19 crisis.</t>
  </si>
  <si>
    <t>WEXP-00022368</t>
  </si>
  <si>
    <t>10892864.tif 10892865.tif 10892866.tif 10892867.tif 10892868.tif 10892869.tif 10892870.tif 10892871.tif 10892872.tif 10892873.tif 10892811.tif 10892812.tif 10892813.tif 10892814.tif 10892815.tif 10892816.tif 10892817.tif 10892818.tif 10892819.tif 10892820.tif 10892821.tif 10892822.tif 10892823.tif 10892824.tif 10892825.tif 10892826.tif 10892827.tif 10892828.tif 10892829.tif 10892830.tif 10892831.tif 10892832.tif 10892833.tif 10892834.tif 10892835.tif 10892836.tif 10892837.tif 10892838.tif 10892839.tif 10892840.tif 10892841.tif 10892842.tif 10892843.tif 10892844.tif 10892845.tif 10892846.tif 10892847.tif 10892848.tif 10892849.tif 10892850.tif 10892851.tif 10892852.tif 10892853.tif 10892854.tif 10892855.tif 10892856.tif 10892857.tif 10892858.tif 10892859.tif 10892860.tif 10892861.tif 10892862.tif 10892863.tif</t>
  </si>
  <si>
    <t>Southwest Airlines -Rec: UGG7TI - Denver Legislative Meeting</t>
  </si>
  <si>
    <t>Taxi/Train/Uber Uber - Texas Women Conference - to after dinner event</t>
  </si>
  <si>
    <t>Taxi/Train/Uber Uber - Texas Women Conf - Hotel to dinner</t>
  </si>
  <si>
    <t>.Business Meals Governmental Affairs Update and Strategy Meeting</t>
  </si>
  <si>
    <t>Transportation - PAC Uber - Legislative Meetings in Denver, CO - Dinner to Hotel</t>
  </si>
  <si>
    <t>Transportation - PAC Uber - Denver Legislative Meeting - Meeting to Hotel</t>
  </si>
  <si>
    <t>Meals &amp; Alcohol - PAC Meal - Legislative Meetings in Denver, CO</t>
  </si>
  <si>
    <t>Transportation - PAC Uber - AGA Legislative Mtg - Dinner to Hotel</t>
  </si>
  <si>
    <t>Taxi/Train/Uber Uber -  Hotel to Conference Dinner</t>
  </si>
  <si>
    <t>Lodging SFA InterContinental - Texas Women for Children Conference in Austin TX</t>
  </si>
  <si>
    <t>Transportation - PAC AGA Monthly Legislative Meeting in DC</t>
  </si>
  <si>
    <t>Airfare Texas Women for Children Conference</t>
  </si>
  <si>
    <t>Lodging - PAC Hotel - AGA Legislative Meeting in Washington DC</t>
  </si>
  <si>
    <t>.Business Meals Meeting with VP of Advocacy for North Texas Commission</t>
  </si>
  <si>
    <t>Meals &amp; Alcohol - PAC Dinner at Airport  - travel to Denver Legislative Meeting</t>
  </si>
  <si>
    <t>.Business Meals Lunch Meeting on Upcoming Marketing and Online Initiatives</t>
  </si>
  <si>
    <t>Transportation - PAC Uber - AGA Monthly Legislative Meeting - Hotel to Airport</t>
  </si>
  <si>
    <t>Transportation - PAC Uber - AGA Monthly Legislative Mtg - Hotel to AGA office</t>
  </si>
  <si>
    <t>Taxi/Train/Uber Uber - Texas Women Conf - after dinner event to Hotel</t>
  </si>
  <si>
    <t>Taxi/Train/Uber Uber - Texas Women Conf. - Dinner to event</t>
  </si>
  <si>
    <t>Lodging - PAC Legislative Meeting in Denver, CO</t>
  </si>
  <si>
    <t>Transportation - PAC Southwest Airlines -Rec: UGG7TI - Denver Legislative Meeting</t>
  </si>
  <si>
    <t>Transportation - PAC Airport Parking-AGA Monthly Legislative Meeting in DC</t>
  </si>
  <si>
    <t>Transportation - PAC Hertz Rental Legislative Meeting in Denver, CO</t>
  </si>
  <si>
    <t>.Business Meals Table Sponsorship for North Texas Commission - Community Event no attendees list available</t>
  </si>
  <si>
    <t>WEXP-00022484</t>
  </si>
  <si>
    <t>10967581.tif 10967582.tif 10967583.tif 10967584.tif 10967585.tif 10967586.tif 10967587.tif 10967588.tif 10967589.tif 10967590.tif 10967591.tif 10967592.tif 10967593.tif 10967594.tif 10967595.tif 10967596.tif 10967597.tif 10967598.tif 10967599.tif 10967600.tif 10967601.tif 10967602.tif 10967603.tif 10967604.tif 10967605.tif 10967606.tif 10967607.tif 10967640.tif 10967641.tif 10967642.tif 10967643.tif 10967644.tif 10967608.tif 10967609.tif 10967610.tif 10967611.tif 10967612.tif 10967613.tif 10967614.tif 10967615.tif 10967616.tif 10967617.tif 10967618.tif 10967619.tif 10967620.tif 10967621.tif 10967622.tif 10967623.tif 10967624.tif 10967625.tif 10967626.tif 10967627.tif 10967628.tif 10967629.tif 10967630.tif 10967631.tif 10967632.tif 10967633.tif 10967634.tif 10967635.tif 10967636.tif 10967637.tif 10967638.tif 10967639.tif</t>
  </si>
  <si>
    <t>LIHEAP Legislative Meeting in DC</t>
  </si>
  <si>
    <t>Transportation - PAC Airfare -LIHEAP Legislative Meeting in DC</t>
  </si>
  <si>
    <t>.Business Meals Dinner - Vice Presidents of Public Affairs Monthly Dallas Meeting</t>
  </si>
  <si>
    <t>Alcohol Dinner - Vice Presidents of Public Affairs Monthly Dallas Meeting</t>
  </si>
  <si>
    <t>.Business Meals Site Inspection for May Employee Broadcast in Baton Rouge, LA</t>
  </si>
  <si>
    <t>Taxi/Train/Uber Uber - Lincoln Centre to meeting downtown</t>
  </si>
  <si>
    <t>Meals &amp; Alcohol - PAC Legislative Meeting in Denver, CO</t>
  </si>
  <si>
    <t>Meals &amp; Alcohol - PAC LIHEAP Legislative Meeting in DC</t>
  </si>
  <si>
    <t>Airfare Site Inspection for May Employee Broadcast in Baton Rouge, LA</t>
  </si>
  <si>
    <t>Transportation - PAC LIHEAP Legislative Meeting in DC</t>
  </si>
  <si>
    <t>.Business Meals VPA and Marketing Leadership Team Meeting</t>
  </si>
  <si>
    <t>Transportation - PAC Legislative Meeting in Denver, CO</t>
  </si>
  <si>
    <t>Lodging - PAC LIHEAP Legislative Meeting in DC</t>
  </si>
  <si>
    <t>.Business Meals Site Inspection for May Employee Bcast in Baton Rouge, LA</t>
  </si>
  <si>
    <t>Transportation - PAC Airfare - Legislative Meeting in Denver, CO</t>
  </si>
  <si>
    <t>Transportation - PAC Taxi - hotel to meeting - LIHEAP Legislative Meeting in DC</t>
  </si>
  <si>
    <t>WEXP-00021857</t>
  </si>
  <si>
    <t>10864506.tif 10864507.tif 10864508.tif</t>
  </si>
  <si>
    <t>Working lunch virtual training</t>
  </si>
  <si>
    <t>.Business Meals Working lunch virtual training</t>
  </si>
  <si>
    <t>WEXP-00021075</t>
  </si>
  <si>
    <t>10848865.tif 10848866.tif 10848867.tif</t>
  </si>
  <si>
    <t>1903</t>
  </si>
  <si>
    <t>Headsets for Amarillo agents to get them set up and ready to work from home</t>
  </si>
  <si>
    <t>PER JAMES KEITH 4/17/20</t>
  </si>
  <si>
    <t>010.37055</t>
  </si>
  <si>
    <t>Miscellaneous</t>
  </si>
  <si>
    <t>WEXP-00022333</t>
  </si>
  <si>
    <t>10967725.tif 10967726.tif 10967727.tif 10967728.tif 10967729.tif 10967730.tif 10967731.tif 10967732.tif 10967733.tif 10967734.tif 10967735.tif 10967736.tif 10967737.tif</t>
  </si>
  <si>
    <t>Appreciation and thank you meal for all SES Employees</t>
  </si>
  <si>
    <t>Professional Dues Membership to Business Architecture Guild</t>
  </si>
  <si>
    <t>Books &amp; Manuals Books for department related to organizational design and change management</t>
  </si>
  <si>
    <t>Gifts Appreciation and thank you meal for all SES Employees</t>
  </si>
  <si>
    <t>Books &amp; Manuals Book from ATD on MicroLearning Concepts</t>
  </si>
  <si>
    <t>WEXP-00021784</t>
  </si>
  <si>
    <t>10864212.tif 10864213.tif 10864214.tif 10864215.tif</t>
  </si>
  <si>
    <t>Team working lunch March 31, 2020</t>
  </si>
  <si>
    <t>.Business Meals Team working lunch March 31, 2020</t>
  </si>
  <si>
    <t>WEXP-00020872</t>
  </si>
  <si>
    <t>10893149.tif 10893150.tif 10893151.tif 10893152.tif 10893153.tif 10893154.tif 10893155.tif 10893156.tif 10893157.tif 10893158.tif 10893159.tif 10893160.tif 10893161.tif 10893162.tif 10893163.tif 10893164.tif 10893165.tif 10893166.tif 10893167.tif 10893168.tif 10893169.tif 10893170.tif 10893171.tif 10893172.tif 10893173.tif 10893174.tif</t>
  </si>
  <si>
    <t>Hotel during trip to Amarillo for Energy Assistance Event with Panhandle Community Services</t>
  </si>
  <si>
    <t>Fuel Fuel for rental car during trip to Amarillo for Energy Assistance Event with Panhandle Community Services</t>
  </si>
  <si>
    <t>Parking Overnight parking during trip to Amarillo for Energy Assistance Event with Panhandle Community Services</t>
  </si>
  <si>
    <t>Parking Parking during trip to Amarillo for Energy Assistance Event with Panhandle Community Services</t>
  </si>
  <si>
    <t>.Business Meals Lunch during trip to Amarillo for Energy Assistance Event with Panhandle Community Services</t>
  </si>
  <si>
    <t>Lodging Hotel during trip to Amarillo for Energy Assistance Event with Panhandle Community Services</t>
  </si>
  <si>
    <t>Parking Parking during trip to San Angelo for Concho Valley Sharing the Warmth Blitz</t>
  </si>
  <si>
    <t>Fuel Fuel for rental car  during trip to Amarillo for Energy Assistance Event with Panhandle Community Services</t>
  </si>
  <si>
    <t>.Business Meals Lunch for team during preparation for COVID-19 remote work protocol</t>
  </si>
  <si>
    <t>Rental Car Rental car for trip to Amarillo for Energy Assistance Event with Panhandle Community Services</t>
  </si>
  <si>
    <t>WEXP-00021680</t>
  </si>
  <si>
    <t>10864196.tif 10864197.tif 10864198.tif 10864199.tif 10864200.tif 10864201.tif 10864202.tif</t>
  </si>
  <si>
    <t>Travel to Jackson for MS 5-year Operating Plan mtg.</t>
  </si>
  <si>
    <t>Airfare Travel to Jackson for MS 5-year Operating Plan mtg.</t>
  </si>
  <si>
    <t>Airfare Travel to Jackson for MS 5-year Operating Plan meeting</t>
  </si>
  <si>
    <t>WEXP-00023117</t>
  </si>
  <si>
    <t>10967648.tif 10967649.tif 10967650.tif</t>
  </si>
  <si>
    <t>Attending SGA webinar on PHMSA webinar</t>
  </si>
  <si>
    <t>Training Attending SGA webinar on PHMSA webinar</t>
  </si>
  <si>
    <t>WEXP-00022020</t>
  </si>
  <si>
    <t>10877242.tif 10877243.tif 10877244.tif</t>
  </si>
  <si>
    <t>Group lunch to introduce ourselves to our new team member</t>
  </si>
  <si>
    <t>.Business Meals Group lunch to introduce ourselves to our new team member</t>
  </si>
  <si>
    <t>WEXP-00022056</t>
  </si>
  <si>
    <t>10877516.tif 10877517.tif 10877518.tif</t>
  </si>
  <si>
    <t>Receipt for attending the Virtual Workshop : Women and Leadership through the Southern Gas Association on 4/7/2020</t>
  </si>
  <si>
    <t>Training Receipt for attending the Virtual Workshop : Women and Leadership through the Southern Gas Association on 4/7/2020</t>
  </si>
  <si>
    <t>WEXP-00022919</t>
  </si>
  <si>
    <t>10914356.tif 10914357.tif 10914358.tif</t>
  </si>
  <si>
    <t>State Bar of Texas Annual Dues</t>
  </si>
  <si>
    <t>Professional Dues State Bar of Texas Annual Dues</t>
  </si>
  <si>
    <t>WEXP-00022541</t>
  </si>
  <si>
    <t>10892900.tif 10892901.tif 10892902.tif</t>
  </si>
  <si>
    <t>Black ink purchased for printer at home in order to work remotely during COVID-19</t>
  </si>
  <si>
    <t>Office Supplies Black ink purchased for printer at home in order to work remotely during COVID-19</t>
  </si>
  <si>
    <t>WEXP-00022713</t>
  </si>
  <si>
    <t>10913403.tif 10913404.tif 10913405.tif 10913406.tif 10913407.tif 10913408.tif 10913409.tif</t>
  </si>
  <si>
    <t>Public Relations Society of Dallas 40 under 40 award nomination for Atmos Energy Director of Communications, Nick Pitts.  Nomination approved by Director of Communications, Tim Enstice and Vice President of Governmental and Public Affairs,</t>
  </si>
  <si>
    <t>Public Relations Public Relations Society of Dallas 40 under 40 award nomination for Atmos Energy Director of Communications, Nick Pitts.  Nomination approved by Director of Communications, Tim Enstice and Vice President of Governmental and</t>
  </si>
  <si>
    <t>WEXP-00022784</t>
  </si>
  <si>
    <t>10914502.tif 10914503.tif 10914504.tif 10914505.tif 10914506.tif 10914507.tif 10914508.tif 10914509.tif 10914510.tif 10914511.tif 10914512.tif 10914513.tif 10914514.tif 10914515.tif 10914516.tif 10914517.tif 10914518.tif 10914519.tif 10914520.tif 10914521.tif 10914522.tif 10914523.tif 10914524.tif 10914525.tif 10914526.tif 10914527.tif 10914528.tif 10914529.tif 10914530.tif 10914531.tif 10914532.tif 10914533.tif 10914534.tif 10914535.tif 10914536.tif 10914537.tif 10914538.tif 10914539.tif 10914540.tif 10914541.tif 10914542.tif 10914543.tif 10914544.tif 10914545.tif 10914546.tif 10914547.tif 10914548.tif 10914549.tif 10914550.tif 10914551.tif 10914552.tif 10914553.tif 10914554.tif 10914555.tif 10914556.tif 10914557.tif 10914558.tif 10914559.tif 10914560.tif 10914561.tif 10914562.tif 10914563.tif 10914564.tif 10914565.tif 10914566.tif 10914567.tif 10914568.tif 10914569.tif 10914570.tif 10914571.tif 10914572.tif 10914573.tif 10914574.tif 10914575.tif 10914576.tif 10914577.tif 10914578.tif 10914579.tif 10914580.tif 10914581.tif 10914582.tif 10914583.tif 10914584.tif 10914585.tif 10914586.tif 10914587.tif 10914588.tif 10914589.tif 10914590.tif 10914591.tif 10914592.tif 10914593.tif 10914594.tif 10914595.tif 10914596.tif 10914597.tif 10914598.tif 10914599.tif 10914600.tif 10914601.tif 10914602.tif 10914603.tif 10914604.tif 10914605.tif 10914606.tif 10914607.tif 10914608.tif 10914609.tif 10914610.tif 10914611.tif 10914612.tif 10914613.tif 10914614.tif 10914615.tif 10914616.tif 10914617.tif 10914618.tif 10914619.tif 10914620.tif 10914621.tif 10914622.tif 10914623.tif 10914624.tif 10914625.tif 10914626.tif 10914627.tif 10914628.tif 10914629.tif 10914630.tif 10914631.tif 10914632.tif 10914633.tif 10914634.tif 10914635.tif 10914636.tif 10914637.tif 10914638.tif 10914639.tif 10914640.tif 10914641.tif 10914642.tif 10914643.tif 10914644.tif 10914645.tif 10914646.tif 10914647.tif 10914648.tif 10914649.tif 10914650.tif 10914651.tif 10914652.tif 10914653.tif 10914654.tif 10914655.tif 10914656.tif 10914657.tif 10914658.tif 10914659.tif 10914660.tif 10914661.tif 10914662.tif 10914663.tif 10914664.tif 10914665.tif 10914666.tif 10914667.tif 10914668.tif 10914669.tif 10914670.tif 10914671.tif 10914672.tif 10914673.tif 10914674.tif 10914675.tif 10914676.tif 10914677.tif 10914678.tif 10914679.tif 10914680.tif 10914681.tif 10914682.tif 10914683.tif 10914684.tif 10914685.tif 10914686.tif 10914687.tif 10914688.tif 10914689.tif 10914690.tif 10914691.tif 10914692.tif 10914693.tif 10914694.tif 10914695.tif 10914696.tif 10914697.tif 10914698.tif 10914699.tif 10914700.tif 10914701.tif 10914702.tif 10914703.tif 10914704.tif 10914705.tif 10914706.tif 10914707.tif 10914708.tif 10914709.tif 10914710.tif 10914711.tif 10914712.tif 10914713.tif 10914714.tif 10914715.tif 10914716.tif 10914717.tif 10914718.tif 10914719.tif 10914720.tif 10914721.tif 10914722.tif 10914723.tif 10914724.tif 10914725.tif 10914726.tif 10914727.tif 10914728.tif 10914729.tif 10914730.tif 10914731.tif 10914732.tif 10914733.tif 10914734.tif 10914735.tif 10914736.tif 10914737.tif 10914738.tif 10914739.tif 10914740.tif 10914741.tif 10914742.tif 10914743.tif 10914744.tif 10914745.tif 10914746.tif 10914747.tif 10914748.tif 10914749.tif 10914750.tif 10914751.tif 10914752.tif 10914753.tif 10914754.tif 10914755.tif 10914756.tif 10914757.tif 10914758.tif 10914759.tif 10914760.tif 10914761.tif 10914762.tif 10914763.tif 10914764.tif 10914765.tif 10914766.tif 10914767.tif 10914768.tif 10914769.tif 10914770.tif 10914771.tif 10914772.tif 10914773.tif 10914774.tif 10914775.tif 10914776.tif 10914777.tif 10914778.tif 10914779.tif 10914780.tif 10914781.tif 10914782.tif 10914783.tif 10914784.tif 10914785.tif 10914786.tif 10914787.tif 10914788.tif 10914789.tif 10914790.tif 10914791.tif 10914792.tif 10914793.tif 10914794.tif 10914795.tif 10914796.tif 10914797.tif 10914798.tif 10914799.tif 10914800.tif 10914801.tif 10914802.tif 10914803.tif 10914804.tif 10914805.tif 10914806.tif 10914807.tif 10914808.tif 10914809</t>
  </si>
  <si>
    <t>Paper Towel purchase for remote Gas Control office in Columbia, TN</t>
  </si>
  <si>
    <t>IT Equipment Computer Monitor; Set up at remote Gas Control office in Columbia, TN</t>
  </si>
  <si>
    <t>Office Supplies Office supplies (Extension cords and electrical supplies) to set up Generator at remote Gas Control office in Columbia, TN</t>
  </si>
  <si>
    <t>Mileage Mileage as of 4/18/2020 - See attached</t>
  </si>
  <si>
    <t>Office Supplies Office supplies (calculators and computer speaker) to set up remote Gas Control office in Columbia, TN</t>
  </si>
  <si>
    <t>.Business Meals Office supplies (mouse pads, plates, creamer) for remote Gas Control office in Columbia, TN</t>
  </si>
  <si>
    <t>Office Supplies Office supplies (mouse pads, plates, creamer) for remote Gas Control office in Columbia, TN</t>
  </si>
  <si>
    <t>Office Supplies Office supplies (plunger and gas can)  to set up remote Gas Control office of Columbia, TN</t>
  </si>
  <si>
    <t>Office Supplies Paper Towel purchase for remote Gas Control office in Columbia, TN</t>
  </si>
  <si>
    <t>.Business Meals Office snacks for Franklin &amp; Columbia TN Gas Control Rooms</t>
  </si>
  <si>
    <t>.Business Meals Meal expense;  Set up remote office at Columbia, TN</t>
  </si>
  <si>
    <t>Fuel Fuel for generator at remote office in Columbia, TN</t>
  </si>
  <si>
    <t>.Business Meals Meal expense; Set up of remote office at Columbia, TN</t>
  </si>
  <si>
    <t>WEXP-00022414</t>
  </si>
  <si>
    <t>10892673.tif 10892674.tif 10892675.tif 10892676.tif 10892677.tif</t>
  </si>
  <si>
    <t>Texas CLE Online Bundle from Lawline</t>
  </si>
  <si>
    <t>Employee Development Expense Texas CLE Online Bundle from Lawline</t>
  </si>
  <si>
    <t>WEXP-00022435</t>
  </si>
  <si>
    <t>10892490.tif 10892491.tif 10892492.tif</t>
  </si>
  <si>
    <t>appoved weekly lunch for workforce development by vice president</t>
  </si>
  <si>
    <t>.Business Meals appoved weekly lunch for workforce development by vice president</t>
  </si>
  <si>
    <t>WEXP-00021996</t>
  </si>
  <si>
    <t>10877093.tif 10877094.tif 10877095.tif</t>
  </si>
  <si>
    <t>approved lunch for work force development from vice president</t>
  </si>
  <si>
    <t>.Business Meals approved lunch for work force development from vice president</t>
  </si>
  <si>
    <t>WEXP-00022652</t>
  </si>
  <si>
    <t>10893889.tif 10893890.tif 10893891.tif</t>
  </si>
  <si>
    <t>weekly approved lunch for work force development by vice president</t>
  </si>
  <si>
    <t>.Business Meals weekly approved lunch for work force development by vice president</t>
  </si>
  <si>
    <t>WEXP-00022960</t>
  </si>
  <si>
    <t>10966969.tif 10966970.tif 10966971.tif</t>
  </si>
  <si>
    <t>free lunch for work force development approved by vice president</t>
  </si>
  <si>
    <t>.Business Meals free lunch for work force development approved by vice president</t>
  </si>
  <si>
    <t>WEXP-00021184</t>
  </si>
  <si>
    <t>10878173.tif 10878174.tif 10878175.tif 10878176.tif</t>
  </si>
  <si>
    <t>Benefit and Accounting Dept working lunch</t>
  </si>
  <si>
    <t>.Business Meals Benefit and Payroll Accounting Dept working lunch</t>
  </si>
  <si>
    <t>WEXP-00022688</t>
  </si>
  <si>
    <t>10913436.tif 10913437.tif 10913438.tif 10913439.tif 10913440.tif 10913441.tif 10913442.tif</t>
  </si>
  <si>
    <t>TXCPA Online Training Event - Convergence</t>
  </si>
  <si>
    <t>Training TXCPA Online Energy Conference</t>
  </si>
  <si>
    <t>Office Supplies Work from home office supplies (mouse pad)</t>
  </si>
  <si>
    <t>Training TXCPA Online Training Event - Convergence</t>
  </si>
  <si>
    <t>WEXP-00021941</t>
  </si>
  <si>
    <t>10877032.tif 10877033.tif 10877034.tif 10877035.tif 10877036.tif 10877037.tif 10877038.tif</t>
  </si>
  <si>
    <t>Lunch with Teri Berry to go over upcoming LMS project to replace SumTotal.</t>
  </si>
  <si>
    <t>.Business Meals Lunch with Teri Berry to go over upcoming LMS project to replace SumTotal.</t>
  </si>
  <si>
    <t>.Business Meals Lunch to meet with retiree to understand what works and what does not work when going through retirement process.</t>
  </si>
  <si>
    <t>WEXP-00022692</t>
  </si>
  <si>
    <t>10913496.tif 10913497.tif 10913498.tif 10913499.tif 10913500.tif 10913501.tif 10913502.tif 10913503.tif 10913504.tif</t>
  </si>
  <si>
    <t>Lunch meal while working remotely in Technical Training</t>
  </si>
  <si>
    <t>Office Supplies Akaso ek7000 camera for completing virtual training from remote location.</t>
  </si>
  <si>
    <t>.Business Meals Lunch meal while working remotely in Technical Training</t>
  </si>
  <si>
    <t>.Business Meals Meal while working remotely in Technical Training</t>
  </si>
  <si>
    <t>WEXP-00022566</t>
  </si>
  <si>
    <t>10913263.tif 10913264.tif 10913265.tif</t>
  </si>
  <si>
    <t>Lunch while working remotely during the Coronavirus Pandemic</t>
  </si>
  <si>
    <t>.Business Meals Lunch while working remotely during the Coronavirus Pandemic</t>
  </si>
  <si>
    <t>WEXP-00022949</t>
  </si>
  <si>
    <t>10967251.tif 10967252.tif 10967253.tif</t>
  </si>
  <si>
    <t>Lunch when working from home during the Corona Virus stay home policy.</t>
  </si>
  <si>
    <t>.Business Meals Lunch when working from home during the Corona Virus stay home policy.</t>
  </si>
  <si>
    <t>WEXP-00021649</t>
  </si>
  <si>
    <t>10913635.tif 10913636.tif 10913637.tif 10913638.tif 10913639.tif 10913640.tif 10913641.tif 10913642.tif 10913643.tif 10913644.tif</t>
  </si>
  <si>
    <t>Lunch while working remote for Virtual Training.</t>
  </si>
  <si>
    <t>Employee Welfare Expense Provided meal for Lorinda during medical emergency for her daughter.</t>
  </si>
  <si>
    <t>.Business Meals Lunch while working remote on Apr. 3</t>
  </si>
  <si>
    <t>.Business Meals 54th Street Meal while working remote</t>
  </si>
  <si>
    <t>WEXP-00022394</t>
  </si>
  <si>
    <t>10892146.tif 10892147.tif 10892148.tif</t>
  </si>
  <si>
    <t>Monitor, Keyboard for creating easier viewing options, connect stand alone monitor to company Laptop</t>
  </si>
  <si>
    <t>IT Equipment Monitor, Keyboard for creating easier viewing options, connect stand alone monitor to company Laptop</t>
  </si>
  <si>
    <t>WEXP-00021267</t>
  </si>
  <si>
    <t>10893031.tif 10893032.tif 10893033.tif 10893034.tif 10893035.tif 10893036.tif 10893037.tif 10893038.tif 10893039.tif 10893040.tif 10893041.tif 10893042.tif 10893043.tif 10893044.tif 10893045.tif 10893046.tif</t>
  </si>
  <si>
    <t>Hard drive to edit videos and work on multimedia projects while out of the office.</t>
  </si>
  <si>
    <t>Mileage Round trip mileage to/from CKV and Lincoln Centre to present at AE Essentials Class.</t>
  </si>
  <si>
    <t>IT Equipment Hard drive to edit videos and work on multimedia projects while out of the office.</t>
  </si>
  <si>
    <t>Mileage Roundtrip mileage to/from Lincoln Centre and Cedar Crest Elementary School for United Way Reading Day.</t>
  </si>
  <si>
    <t>Mileage Round trip mileage to/from CKV and Lincoln Centre to film video for Mid-Tex safety group.</t>
  </si>
  <si>
    <t>Toll Tolls incurred from business travel from 2/18 - 3/23.</t>
  </si>
  <si>
    <t>Technical (Job Skills) Training Online webinar training for social media strategy.</t>
  </si>
  <si>
    <t>.Business Meals Corp Comm lunch to discuss messaging efforts.</t>
  </si>
  <si>
    <t>WEXP-00022697</t>
  </si>
  <si>
    <t>10913512.tif 10913513.tif 10913514.tif 10913515.tif</t>
  </si>
  <si>
    <t>Work Continuity Planning discussed over lunch</t>
  </si>
  <si>
    <t>.Business Meals Work Continuity Planning discussed over lunch</t>
  </si>
  <si>
    <t>WEXP-00022717</t>
  </si>
  <si>
    <t>10913899.tif 10913900.tif 10913901.tif 10913902.tif</t>
  </si>
  <si>
    <t>Employee lunch while working remotely on Construction Essentials classes.</t>
  </si>
  <si>
    <t>.Business Meals Employee lunch while working remotely on Construction Essentials classes.</t>
  </si>
  <si>
    <t>COVID - Excessive Tip</t>
  </si>
  <si>
    <t>WEXP-00023005</t>
  </si>
  <si>
    <t>10967177.tif 10967178.tif 10967179.tif 10967180.tif</t>
  </si>
  <si>
    <t>Employee lunch while working remotely on Construction Essentials Classes.</t>
  </si>
  <si>
    <t>.Business Meals Employee lunch while working remotely on Construction Essentials Classes.</t>
  </si>
  <si>
    <t>WEXP-00021540</t>
  </si>
  <si>
    <t>10877166.tif 10877167.tif 10877168.tif 10877169.tif</t>
  </si>
  <si>
    <t>Employee lunch while working remotely on Construction Essentials Virtual Content.</t>
  </si>
  <si>
    <t>.Business Meals Employee lunch while working remotely on Construction Essentials Virtual Content.</t>
  </si>
  <si>
    <t>WEXP-00021979</t>
  </si>
  <si>
    <t>10877234.tif 10877235.tif 10877236.tif 10877237.tif 10877238.tif</t>
  </si>
  <si>
    <t>Employee lunch while working remotely on Virtual Construction Essentials Class.</t>
  </si>
  <si>
    <t>.Business Meals Employee lunch while working remotely on Virtual Construction Essentials Class.</t>
  </si>
  <si>
    <t>WEXP-00022492</t>
  </si>
  <si>
    <t>10892382.tif 10892383.tif 10892384.tif</t>
  </si>
  <si>
    <t>WEXP-00021585</t>
  </si>
  <si>
    <t>10863135.tif 10863136.tif 10863137.tif 10863138.tif 10863139.tif 10863140.tif</t>
  </si>
  <si>
    <t>Airfare to the Dell/EMC/VMWare Briefing in Boston</t>
  </si>
  <si>
    <t>Airfare Airfare to Dell/EMC/VMWare Briefing in Boston</t>
  </si>
  <si>
    <t>WEXP-00023087</t>
  </si>
  <si>
    <t>10967645.tif 10967646.tif 10967647.tif</t>
  </si>
  <si>
    <t>SGA Webinar PHMSA Mega Rule 1 Registration Fee</t>
  </si>
  <si>
    <t>Training SGA Webinar PHMSA Mega Rule 1 Registration Fee</t>
  </si>
  <si>
    <t>WEXP-00022863</t>
  </si>
  <si>
    <t>10914245.tif 10914246.tif 10914247.tif</t>
  </si>
  <si>
    <t>Team supporting local restaurants for lunch during the pandemic</t>
  </si>
  <si>
    <t>.Business Meals Team supporting local restaurants for lunch during the pandemic</t>
  </si>
  <si>
    <t>WEXP-00021790</t>
  </si>
  <si>
    <t>10864110.tif 10864111.tif 10864112.tif</t>
  </si>
  <si>
    <t>LA Division appreciation lunch</t>
  </si>
  <si>
    <t>.Social Meal &amp; Events LA Division appreciation lunch</t>
  </si>
  <si>
    <t>WEXP-00022039</t>
  </si>
  <si>
    <t>10878397.tif 10878398.tif 10878399.tif 10878400.tif 10878401.tif 10878402.tif 10878403.tif</t>
  </si>
  <si>
    <t>Month end close lunch for Ashley</t>
  </si>
  <si>
    <t>.Business Meals Month end close lunch for Ashley</t>
  </si>
  <si>
    <t>WEXP-00022577</t>
  </si>
  <si>
    <t>10892733.tif 10892734.tif 10892735.tif 10892736.tif 10892737.tif</t>
  </si>
  <si>
    <t>Weekly lunch while working from home. Pre-approved by Kelli Martin.</t>
  </si>
  <si>
    <t>.Business Meals Weekly lunch while working from home. Pre-approved by Kelli Martin.</t>
  </si>
  <si>
    <t>WEXP-00022058</t>
  </si>
  <si>
    <t>10877683.tif 10877684.tif 10877685.tif</t>
  </si>
  <si>
    <t>Software purchase, SecureCRT, from VanDyke Software</t>
  </si>
  <si>
    <t>Software Maintenance Software purchase, SecureCRT, from VanDyke Software</t>
  </si>
  <si>
    <t>WEXP-00022753</t>
  </si>
  <si>
    <t>10913660.tif 10913661.tif 10913662.tif</t>
  </si>
  <si>
    <t>Virtual Training Planning Lunch (employee lunch plus 1/2 tip and tax total)</t>
  </si>
  <si>
    <t>.Business Meals Virtual Training Planning Lunch (employee lunch plus 1/2 tip and tax total)</t>
  </si>
  <si>
    <t>WEXP-00021845</t>
  </si>
  <si>
    <t>10864671.tif 10864672.tif 10864673.tif</t>
  </si>
  <si>
    <t>Pre-approved lunch expense while working.</t>
  </si>
  <si>
    <t>.Business Meals Pre-approved lunch expense while working.</t>
  </si>
  <si>
    <t>WEXP-00022808</t>
  </si>
  <si>
    <t>10913887.tif 10913888.tif 10913889.tif</t>
  </si>
  <si>
    <t>Fee for the SGA PHMSA Mega Rule Webinar</t>
  </si>
  <si>
    <t>Training Fee for the SGA PHMSA Mega Rule Webinar</t>
  </si>
  <si>
    <t>WEXP-00021762</t>
  </si>
  <si>
    <t>10863752.tif 10863753.tif 10863754.tif</t>
  </si>
  <si>
    <t>LA Division Appreciation Lunch</t>
  </si>
  <si>
    <t>.Social Meal &amp; Events LA Division Appreciation Lunch</t>
  </si>
  <si>
    <t>WEXP-00023062</t>
  </si>
  <si>
    <t>10967765.tif 10967766.tif 10967767.tif</t>
  </si>
  <si>
    <t>Hofmann 2020-2021 Texas State Bar Dues</t>
  </si>
  <si>
    <t>Association Dues Hofmann 2020-2021 Texas State Bar Dues</t>
  </si>
  <si>
    <t>WEXP-00022654</t>
  </si>
  <si>
    <t>10893670.tif 10893671.tif 10893672.tif</t>
  </si>
  <si>
    <t>Remote working lunch approve by Kelli</t>
  </si>
  <si>
    <t>.Business Meals Remote working lunch approve by Kelli</t>
  </si>
  <si>
    <t>WEXP-00022820</t>
  </si>
  <si>
    <t>10914078.tif 10914079.tif 10914080.tif 10914081.tif</t>
  </si>
  <si>
    <t>HR Support Local Restaurants Day Meal</t>
  </si>
  <si>
    <t>.Business Meals HR Support Local Restaurants Day Meal</t>
  </si>
  <si>
    <t>WEXP-00022458</t>
  </si>
  <si>
    <t>10892616.tif 10892617.tif 10892618.tif</t>
  </si>
  <si>
    <t>SGA - Women and Leadership Workshop</t>
  </si>
  <si>
    <t>Training SGA - Women and Leadership Workshop</t>
  </si>
  <si>
    <t>WEXP-00023153</t>
  </si>
  <si>
    <t>10967947.tif 10967948.tif 10967949.tif 10967950.tif 10967951.tif</t>
  </si>
  <si>
    <t>Lunch; Mid-Tex &amp; APT Divisions/Gas Supply appreciation lunch (Reimbursement up to $15)</t>
  </si>
  <si>
    <t>.Social Meal &amp; Events Lunch; Mid-Tex &amp; APT Divisions/Gas Supply appreciation lunch (Reimbursement up to $15)</t>
  </si>
  <si>
    <t>WEXP-00021747</t>
  </si>
  <si>
    <t>10863732.tif 10863733.tif 10863734.tif 10863735.tif 10863736.tif</t>
  </si>
  <si>
    <t>Lunch; LA Division/Gas Supply appreciation lunch (Reimbursement up to $15)</t>
  </si>
  <si>
    <t>.Social Meal &amp; Events Lunch; LA Division/Gas Supply appreciation lunch (Reimbursement up to $15)</t>
  </si>
  <si>
    <t>WEXP-00021535</t>
  </si>
  <si>
    <t>10863442.tif 10863443.tif 10863444.tif</t>
  </si>
  <si>
    <t>Purchased printer ink to work remotely.</t>
  </si>
  <si>
    <t>Office Supplies Purchased printer ink to work remotely.</t>
  </si>
  <si>
    <t>238477</t>
  </si>
  <si>
    <t>Leon, Silvano (Silvano)</t>
  </si>
  <si>
    <t>WEXP-00021837</t>
  </si>
  <si>
    <t>10864655.tif 10864656.tif 10864657.tif</t>
  </si>
  <si>
    <t>La Division appreciation lunch</t>
  </si>
  <si>
    <t>WEXP-00022438</t>
  </si>
  <si>
    <t>10892414.tif 10892415.tif 10892416.tif 10892417.tif 10892418.tif 10892419.tif</t>
  </si>
  <si>
    <t>Lunch - one weekly lunch provided per Kelley Davis with working from home during the COVID-19</t>
  </si>
  <si>
    <t>.Business Meals Lunch - one weekly lunch provided per Kelley Davis with working from home during the COVID-19</t>
  </si>
  <si>
    <t>290883</t>
  </si>
  <si>
    <t>Lirette, Courtney M (Courtney)</t>
  </si>
  <si>
    <t>WEXP-00023112</t>
  </si>
  <si>
    <t>10967651.tif 10967652.tif 10967653.tif 10967654.tif 10967655.tif</t>
  </si>
  <si>
    <t>Office Supplies; purchased tack board, pins, stick strips and staples to hang documents while working remote due to Covid-19</t>
  </si>
  <si>
    <t>Office Supplies Office Supplies; purchased printer USB cords  &amp; USB Adapter so printer could work while working remote due to Covid19</t>
  </si>
  <si>
    <t>Office Supplies Office Supplies; purchased tack board, pins, stick strips and staples to hang documents while working remote due to Covid-19</t>
  </si>
  <si>
    <t>WEXP-00022980</t>
  </si>
  <si>
    <t>10967016.tif 10967017.tif 10967018.tif 10967019.tif 10967020.tif 10967021.tif 10967022.tif</t>
  </si>
  <si>
    <t>Provide lunch for Instructor during Virtual Training</t>
  </si>
  <si>
    <t>.Business Meals Provide lunch for Instructor during Virtual Training</t>
  </si>
  <si>
    <t>.Business Meals Purchased Lunch For Instructor while traveling to Nebraska to attend Honeywell Training</t>
  </si>
  <si>
    <t>WEXP-00022979</t>
  </si>
  <si>
    <t>10966947.tif 10966948.tif 10966949.tif 10966950.tif 10966951.tif</t>
  </si>
  <si>
    <t>Provide breakfast for Construction Essentials Class Training @ CKV</t>
  </si>
  <si>
    <t>.Business Meals Provide breakfast for Construction Essentials Class Training @ CKV</t>
  </si>
  <si>
    <t>WEXP-00022563</t>
  </si>
  <si>
    <t>10893106.tif 10893107.tif 10893108.tif 10893109.tif 10893110.tif 10893111.tif 10893112.tif</t>
  </si>
  <si>
    <t>Provide Breakfast For Construction Essentials Training Class At CKV</t>
  </si>
  <si>
    <t>.Business Meals Provide Breakfast For Construction Essentials Training Class At CKV</t>
  </si>
  <si>
    <t>WEXP-00021673</t>
  </si>
  <si>
    <t>10877519.tif 10877520.tif 10877521.tif 10877522.tif 10877523.tif 10877524.tif</t>
  </si>
  <si>
    <t>Bereavement arrangement for Lita Brook's father</t>
  </si>
  <si>
    <t>Airfare Airfare; customer meeting with Cardinal Gas, Houston TX - ( Mtg cancelled due to Covid, funds to be used from future flight)</t>
  </si>
  <si>
    <t>Employee Welfare Expense Bereavement arrangement for Lita Brook's father</t>
  </si>
  <si>
    <t>WEXP-00020642</t>
  </si>
  <si>
    <t>10876780.tif 10876781.tif 10876782.tif 10876783.tif 10876784.tif 10876785.tif 10876786.tif 10876787.tif 10876788.tif 10876789.tif 10876790.tif 10876791.tif 10876792.tif 10876793.tif 10876794.tif 10876795.tif 10876796.tif 10876797.tif 10876798.tif 10876799.tif 10876800.tif 10876801.tif 10876802.tif 10876803.tif 10876804.tif 10876805.tif 10876806.tif 10876807.tif 10876808.tif 10876809.tif 10876810.tif 10876811.tif 10876812.tif 10876813.tif 10876814.tif 10876815.tif 10876816.tif 10876817.tif 10876818.tif 10876819.tif 10876820.tif 10876821.tif 10876822.tif 10876823.tif 10876824.tif 10876825.tif 10876826.tif 10876827.tif 10876828.tif 10876829.tif 10876830.tif 10876831.tif 10876832.tif 10876833.tif 10876834.tif 10876835.tif 10876836.tif 10876837.tif 10876838.tif 10876839.tif 10876840.tif 10876841.tif 10876842.tif 10876843.tif 10876844.tif 10876845.tif 10876846.tif 10876847.tif 10876848.tif 10876849.tif 10876850.tif 10876851.tif 10876852.tif 10876853.tif 10876854.tif 10876855.tif 10876856.tif 10876857.tif 10876858.tif 10876859.tif 10876860.tif 10876861.tif 10876862.tif 10876863.tif 10876864.tif 10876865.tif 10876866.tif 10876867.tif</t>
  </si>
  <si>
    <t>Meal Expense;APT/Midtex/Gas Supply Winter Meeting-Dallas, TX</t>
  </si>
  <si>
    <t>Taxi/Train/Uber Roundtrip Airport Transportation;Sequent Energy Customer Visit-Houston, TX</t>
  </si>
  <si>
    <t>.Business Meals Meal Expense;Sequent Energy Customer Visit-Houston, TX</t>
  </si>
  <si>
    <t>Parking Airport Parking;Sequent Energy Customer Visit-Houston, TX</t>
  </si>
  <si>
    <t>Lodging Lodging;Sequent Energy Customer Visit-Houston, TX</t>
  </si>
  <si>
    <t>Airfare Airfare &amp; Flight Change;Sequent Energy Customer Visit-Houston, TX</t>
  </si>
  <si>
    <t>Parking Airport Parking;Colorado PUC Hedging Meeting-Denver, CO</t>
  </si>
  <si>
    <t>Airfare Airfare;Colorado PUC Hedging Meeting-Denver, CO</t>
  </si>
  <si>
    <t>.Business Meals Meal Expense;APT/Midtex/Gas Supply Winter Meeting-Dallas, TX</t>
  </si>
  <si>
    <t>Airfare Airfare &amp; Flight Change;Employee Broadcast-Dallas, TX</t>
  </si>
  <si>
    <t>Parking Airport Parking;APT/Midtex/Gas Supply Winter Meeting-Dallas, TX</t>
  </si>
  <si>
    <t>Parking Airport Parking; Employee Broadcast-Dallas, TX</t>
  </si>
  <si>
    <t>Airfare Airfare;VA Hedging Commission Meeting-Richmond, VA / Hedging &amp; AMP Meeting, Jackson, MS</t>
  </si>
  <si>
    <t>Taxi/Train/Uber Transportation; VA Hedging Commission Meeting-Richmond, VA / Hedging &amp; AMP Meeting, Jackson, MS</t>
  </si>
  <si>
    <t>Rental Car Rental Car;VA Hedging Commission Meeting-Richmond, VA / Hedging &amp; AMP Meeting, Jackson, MS</t>
  </si>
  <si>
    <t>.Business Meals Lunch Meeting to Discuss HR open positions &amp; interviews</t>
  </si>
  <si>
    <t>.Business Meals Lunch meeting to discuss new position with Executive Assistant</t>
  </si>
  <si>
    <t>.Business Meals Lunch meeting to discuss safety and corona virus concerns</t>
  </si>
  <si>
    <t>Lodging Lodging &amp; Meal Expense;Employee Broadcast-Dallas, TX</t>
  </si>
  <si>
    <t>Airfare Airfare &amp; Flight Change;APT/Midtex/Gas Supply Winter Meeting-Dallas, TX</t>
  </si>
  <si>
    <t>.Business Meals Lodging &amp; Meal Expense;Employee Broadcast-Dallas, TX</t>
  </si>
  <si>
    <t>Lodging Lodging &amp; Meal Expense;Colorado PUC Hedging Meeting-Denver, CO</t>
  </si>
  <si>
    <t>.Business Meals Lodging &amp; Meal Expense;Colorado PUC Hedging Meeting-Denver, CO</t>
  </si>
  <si>
    <t>Alcohol Meal Expense;Colorado PUC Hedging Meeting-Denver, CO</t>
  </si>
  <si>
    <t>.Business Meals Meal Expense;Colorado PUC Hedging Meeting-Denver, CO</t>
  </si>
  <si>
    <t>.Business Meals Meal Expense;Employee Broadcast-Dallas, TX</t>
  </si>
  <si>
    <t>Lodging Lodging &amp; Meal Expense;VA Hedging Commission Meeting-Richmond, VA / Hedging &amp; AMP Meeting, Jackson, MS</t>
  </si>
  <si>
    <t>Alcohol Lodging &amp; Meal Expense;VA Hedging Commission Meeting-Richmond, VA / Hedging &amp; AMP Meeting, Jackson, MS</t>
  </si>
  <si>
    <t>.Business Meals Lodging &amp; Meal Expense;VA Hedging Commission Meeting-Richmond, VA / Hedging &amp; AMP Meeting, Jackson, MS</t>
  </si>
  <si>
    <t>.Business Meals Dinner meeting to discuss open position and interview process</t>
  </si>
  <si>
    <t>Alcohol Dinner meeting to discuss open position and interview process</t>
  </si>
  <si>
    <t>WEXP-00022962</t>
  </si>
  <si>
    <t>10967047.tif 10967048.tif 10967049.tif</t>
  </si>
  <si>
    <t>1-800 Flowers for Professional Admin day for Kelley Davis</t>
  </si>
  <si>
    <t>Employee Welfare Expense 1-800 Flowers for Professional Admin day for Kelley Davis</t>
  </si>
  <si>
    <t>WEXP-00020895</t>
  </si>
  <si>
    <t>10893743.tif 10893744.tif 10893745.tif 10893746.tif 10893747.tif 10893748.tif 10893749.tif 10893750.tif 10893751.tif 10893752.tif 10893753.tif 10893754.tif 10893755.tif 10893756.tif 10893757.tif 10893758.tif 10893759.tif 10893760.tif 10893761.tif 10893762.tif 10893763.tif 10893764.tif 10893765.tif 10893766.tif 10893767.tif 10893768.tif 10893769.tif 10893770.tif 10893771.tif 10893772.tif 10893773.tif 10893774.tif 10893775.tif 10893776.tif 10893777.tif 10893778.tif 10893779.tif 10893780.tif 10893781.tif 10893782.tif 10893783.tif 10893784.tif 10893785.tif 10893786.tif 10893787.tif 10893788.tif 10893789.tif 10893790.tif 10893791.tif 10893792.tif 10893793.tif 10893794.tif 10893795.tif 10893796.tif 10893797.tif 10893798.tif 10893799.tif 10893800.tif 10893801.tif 10893802.tif 10893803.tif 10893804.tif 10893805.tif 10893806.tif 10893807.tif 10893808.tif 10893809.tif 10893810.tif 10893811.tif 10893812.tif 10893813.tif 10893814.tif 10893815.tif 10893816.tif 10893817.tif 10893818.tif 10893819.tif 10893820.tif 10893821.tif 10893822.tif 10893823.tif 10893824.tif 10893825.tif 10893826.tif 10893827.tif 10893828.tif 10893829.tif 10893830.tif 10893831.tif 10893832.tif 10893833.tif 10893834.tif 10893835.tif 10893836.tif 10893837.tif 10893838.tif 10893839.tif 10893840.tif 10893841.tif 10893842.tif 10893843.tif 10893844.tif 10893845.tif 10893846.tif 10893847.tif 10893848.tif 10893849.tif 10893850.tif 10893851.tif 10893852.tif 10893853.tif 10893854.tif</t>
  </si>
  <si>
    <t>Airport parking for Dallas trip for QPR.</t>
  </si>
  <si>
    <t>Airfare Flight to Richmond for the VA hedging update.</t>
  </si>
  <si>
    <t>Taxi/Train/Uber Uber during trip to Denver for hedging update meeting.</t>
  </si>
  <si>
    <t>Taxi/Train/Uber Uber during Houston trip for the cookoff</t>
  </si>
  <si>
    <t>Parking Airport parking for Dallas trip for QPR.</t>
  </si>
  <si>
    <t>Airfare Airfare from New Orleans to Dallas for QPR</t>
  </si>
  <si>
    <t>Fuel Fill up of rental car for trip to MS for hedging meeting.</t>
  </si>
  <si>
    <t>Lodging Hotel in Jackson for the hedging update meeting.</t>
  </si>
  <si>
    <t>.Business Meals Lunch at airport during trip to Houston for the cookoff.</t>
  </si>
  <si>
    <t>.Business Meals Relationship building with suppliers at the cookoff in Houston.</t>
  </si>
  <si>
    <t>.Business Meals Breakfast during trip to Denver for hedging update meeting.</t>
  </si>
  <si>
    <t>Lodging Hotel for Denver trip for the hedging update meeting.</t>
  </si>
  <si>
    <t>.Business Meals Lunch after hedging update meeting in Baton Rouge.</t>
  </si>
  <si>
    <t>.Business Meals Meal at ATL airport during trip to Richmond for hedging update meeting.</t>
  </si>
  <si>
    <t>Airfare Airfare from Richmond to Jackson for hedging update meeting (change fee to fly from Richmond to Jackson instead of New Orleans).</t>
  </si>
  <si>
    <t>Taxi/Train/Uber Uber during trip to VA for hedging update meeting.</t>
  </si>
  <si>
    <t>Parking Airport parking for trip to VA for hedging update meeting.</t>
  </si>
  <si>
    <t>Airfare Flight to Denver for the hedging update meeting.</t>
  </si>
  <si>
    <t>Taxi/Train/Uber Uber during trip to Dallas for QPR.</t>
  </si>
  <si>
    <t>Lodging Hotel in Dallas for QPR in January.</t>
  </si>
  <si>
    <t>Taxi/Train/Uber Uber during Houston trip for the cookoff.</t>
  </si>
  <si>
    <t>Parking Airport parking for trip to Houston for the cookoff.</t>
  </si>
  <si>
    <t>.Business Meals Relationship building with Wells Fargo.</t>
  </si>
  <si>
    <t>Meals &amp; Alcohol - Entertainment &amp; Sports Relationship building with Wells Fargo.</t>
  </si>
  <si>
    <t>Lodging Hotel charge for trip to Richmond for hedging update meeting.</t>
  </si>
  <si>
    <t>Alcohol Drinks at hotel lounge during trip to Richmond for hedging update meeting.</t>
  </si>
  <si>
    <t>.Business Meals Food expense during trip to Richmond for hedging update meeting.</t>
  </si>
  <si>
    <t>.Business Meals Lunch after MS hedging update meeting.</t>
  </si>
  <si>
    <t>Alcohol Relationship building with Texla during trip to Houston.</t>
  </si>
  <si>
    <t>Airfare Airfare to Houston for relationship building at the cookoff.</t>
  </si>
  <si>
    <t>Lodging Relationship building with suppliers at the cookoff in Houston.</t>
  </si>
  <si>
    <t>Toll Train from Denver airport to hotel in Denver for hedging update meeting.</t>
  </si>
  <si>
    <t>.Business Meals Coffee after hedging update meeting in CO.</t>
  </si>
  <si>
    <t>Parking Airport parking for hedging update meeting in CO.</t>
  </si>
  <si>
    <t>.Business Meals Meal at Denver airport for the hedging update meeting.</t>
  </si>
  <si>
    <t>Airfare Airfare to Denver for hedging update meeting.</t>
  </si>
  <si>
    <t>Mileage Car travel to Baton Rouge for hedging update meeting.</t>
  </si>
  <si>
    <t>Taxi/Train/Uber Uber during trip to VA for hedging update meeting</t>
  </si>
  <si>
    <t>WEXP-00021615</t>
  </si>
  <si>
    <t>10863113.tif 10863114.tif 10863115.tif 10863116.tif 10863117.tif</t>
  </si>
  <si>
    <t>Adapter for Monitor and Laptop Computer</t>
  </si>
  <si>
    <t>IT Equipment Computer mouse for laptop computer</t>
  </si>
  <si>
    <t>IT Equipment Adapter for Monitor and Laptop Computer</t>
  </si>
  <si>
    <t>239909</t>
  </si>
  <si>
    <t>Monrreal, Mary E (Mary)</t>
  </si>
  <si>
    <t>WEXP-00021981</t>
  </si>
  <si>
    <t>10877228.tif 10877229.tif 10877230.tif</t>
  </si>
  <si>
    <t>There was a group lunch held for the new employee so we could introduce ourselves.</t>
  </si>
  <si>
    <t>.Business Meals There was a group lunch held for the new employee so we could introduce ourselves.</t>
  </si>
  <si>
    <t>WEXP-00019030</t>
  </si>
  <si>
    <t>10863714.tif 10863715.tif 10863716.tif 10863717.tif 10863718.tif 10863719.tif 10863720.tif 10863721.tif 10863722.tif</t>
  </si>
  <si>
    <t>Went to Nashville office to assist first close in Aligne</t>
  </si>
  <si>
    <t>Lodging Hotel in Houston while attending FIS Conference</t>
  </si>
  <si>
    <t>Airfare Airfare to Houston for FIS Conference</t>
  </si>
  <si>
    <t>Lodging Went to Nashville office to assist first month close in Aligne</t>
  </si>
  <si>
    <t>Airfare Went to Nashville office to assist first close in Aligne</t>
  </si>
  <si>
    <t>WEXP-00020063</t>
  </si>
  <si>
    <t>10878000.tif 10878001.tif 10878002.tif 10878003.tif 10878004.tif 10878005.tif 10878006.tif 10878007.tif 10878008.tif 10878009.tif 10878010.tif 10878011.tif 10878012.tif 10878013.tif 10878014.tif 10878015.tif 10878016.tif 10878017.tif 10878018.tif 10878019.tif 10878020.tif 10878021.tif 10878022.tif 10878023.tif 10878024.tif 10878025.tif 10878026.tif 10878027.tif 10878028.tif 10878029.tif 10878030.tif 10878031.tif 10878032.tif</t>
  </si>
  <si>
    <t>American Airlines Change Fee_MSNYC and BAML Conferences_2 28 2020</t>
  </si>
  <si>
    <t>Airfare American Airlines Change Fee_MSNYC and BAML Conferences_02 28 2020</t>
  </si>
  <si>
    <t>Meals &amp; Alcohol - MC Birthday Celebration for Executive Floor_3 5 2020</t>
  </si>
  <si>
    <t>Meals &amp; Alcohol - MC COVID Planning Meeting and Lunch_3 12 2020</t>
  </si>
  <si>
    <t>COVID - Mgmt Committee</t>
  </si>
  <si>
    <t>.Business Meals Bain Kickoff Meeting_2 28 2020</t>
  </si>
  <si>
    <t>Meals &amp; Alcohol - MC Management Committee Weekly Meeting and Lunch_3 9 2020</t>
  </si>
  <si>
    <t>Meals &amp; Alcohol - MC Management Committee COVID Discussion Lunch Meeting_3 13 2020</t>
  </si>
  <si>
    <t>Meals &amp; Alcohol - MC CO/KS 5 YR Planning Virtual Mtg Lunch_3 4 2020</t>
  </si>
  <si>
    <t>Transportation - MC American Airlines Change Fee_MSNYC and BAML Conferences_02 28 2020</t>
  </si>
  <si>
    <t>WEXP-00022712</t>
  </si>
  <si>
    <t>10913862.tif 10913863.tif 10913864.tif 10913865.tif 10913866.tif 10913867.tif 10913868.tif 10913869.tif</t>
  </si>
  <si>
    <t>Lunch meal during Covid-19 per Kelli Martin</t>
  </si>
  <si>
    <t>.Business Meals Lunch meal during Covid-19 pandemic per Keili Martin</t>
  </si>
  <si>
    <t>.Business Meals lunch meal during Covid-19 pandemic per Kelli Martin</t>
  </si>
  <si>
    <t>.Business Meals Lunch meal during Covid-19 per Kelli Martin</t>
  </si>
  <si>
    <t>WEXP-00022557</t>
  </si>
  <si>
    <t>10892881.tif 10892882.tif 10892883.tif 10892884.tif 10892885.tif 10892886.tif 10892887.tif</t>
  </si>
  <si>
    <t>Office Supply-Monitor to work from home due to Covid-19</t>
  </si>
  <si>
    <t>Office Supplies Office Supply-Keyboard &amp; Mouse to work from home due to Covid-19</t>
  </si>
  <si>
    <t>Office Supplies Office Supply-Monitor to work from home due to Covid-19</t>
  </si>
  <si>
    <t>WEXP-00022341</t>
  </si>
  <si>
    <t>10913415.tif 10913416.tif 10913417.tif 10913418.tif</t>
  </si>
  <si>
    <t>Virtual training planning lunch</t>
  </si>
  <si>
    <t>.Business Meals Virtual training planning lunch</t>
  </si>
  <si>
    <t>WEXP-00022646</t>
  </si>
  <si>
    <t>10913429.tif 10913430.tif 10913431.tif 10913432.tif</t>
  </si>
  <si>
    <t>WEXP-00019246</t>
  </si>
  <si>
    <t>10877010.tif 10877011.tif 10877012.tif 10877013.tif 10877014.tif 10877015.tif 10877016.tif 10877017.tif 10877018.tif 10877019.tif 10877020.tif 10877021.tif 10877022.tif</t>
  </si>
  <si>
    <t>Piktochart invoice that is a tool corp comm uses to create infographics for social media.</t>
  </si>
  <si>
    <t>IT Equipment Piktochart invoice that is a tool corp comm uses to create infographics for social media.</t>
  </si>
  <si>
    <t>Office Supplies Infographics for legislative invitations from Canva.</t>
  </si>
  <si>
    <t>IT Equipment Computer case for carrying equipment while traveling.</t>
  </si>
  <si>
    <t>Mileage Attached document has two mileage trips</t>
  </si>
  <si>
    <t>Employee Welfare Expense Department bereavement acknowledgement for Karen Flowers and family.</t>
  </si>
  <si>
    <t>WEXP-00022795</t>
  </si>
  <si>
    <t>10914019.tif 10914020.tif 10914021.tif 10914022.tif</t>
  </si>
  <si>
    <t>Business lunch to support local businesses during the pandemic</t>
  </si>
  <si>
    <t>.Business Meals Business lunch to support local businesses during the pandemic</t>
  </si>
  <si>
    <t>WEXP-00023150</t>
  </si>
  <si>
    <t>10967498.tif 10967499.tif 10967500.tif</t>
  </si>
  <si>
    <t>Lunch while working from home during COVID</t>
  </si>
  <si>
    <t>.Business Meals Working from home lunch during COVID</t>
  </si>
  <si>
    <t>WEXP-00022709</t>
  </si>
  <si>
    <t>10913344.tif 10913345.tif 10913346.tif</t>
  </si>
  <si>
    <t>Lunch while working from home during COVID 19</t>
  </si>
  <si>
    <t>.Business Meals Lunch while working from home during COVID 19</t>
  </si>
  <si>
    <t>WEXP-00022523</t>
  </si>
  <si>
    <t>10892960.tif 10892961.tif 10892962.tif 10892963.tif 10892964.tif 10892965.tif 10892966.tif 10892967.tif 10892968.tif 10892969.tif 10892970.tif 10892971.tif 10892972.tif</t>
  </si>
  <si>
    <t>Annual Subscription to Kahoot for Employee Development</t>
  </si>
  <si>
    <t>.Business Meals Lunch while working remotely due to COVID</t>
  </si>
  <si>
    <t>.Business Meals Lunch while working from home during COVID</t>
  </si>
  <si>
    <t>Books &amp; Manuals Annual Subscription to Kahoot for Employee Development</t>
  </si>
  <si>
    <t>WEXP-00022945</t>
  </si>
  <si>
    <t>10967007.tif 10967008.tif 10967009.tif 10967010.tif 10967011.tif 10967012.tif 10967013.tif 10967014.tif 10967015.tif</t>
  </si>
  <si>
    <t>Flip Chart Paper and Bluetooth Headphones with Mic for teaching classes virtually</t>
  </si>
  <si>
    <t>Office Supplies Flip Chart Paper and Bluetooth Headphones with Mic for teaching classes virtually</t>
  </si>
  <si>
    <t>Books &amp; Manuals Kahoot Subscription Upgrade to Pro to allow for more people to participate in a Kahoot for Employee Development</t>
  </si>
  <si>
    <t>.Business Meals Lunch while working from home during COVID19</t>
  </si>
  <si>
    <t>WEXP-00022703</t>
  </si>
  <si>
    <t>10913488.tif 10913489.tif 10913490.tif</t>
  </si>
  <si>
    <t>Intelius Premier Monthly Subscription for Fraud Investigations</t>
  </si>
  <si>
    <t>WEXP-00022385</t>
  </si>
  <si>
    <t>10892613.tif 10892614.tif 10892615.tif</t>
  </si>
  <si>
    <t>Bluetooth Headset used for Team meeting</t>
  </si>
  <si>
    <t>Office Supplies Bluetooth Headset used for Team meeting</t>
  </si>
  <si>
    <t>WEXP-00021064</t>
  </si>
  <si>
    <t>10877084.tif 10877085.tif 10877086.tif</t>
  </si>
  <si>
    <t>eLearning courses to refresh Tableau basis</t>
  </si>
  <si>
    <t>Training eLearning courses to refresh Tableau basis</t>
  </si>
  <si>
    <t>WEXP-00021632</t>
  </si>
  <si>
    <t>10892767.tif 10892768.tif 10892769.tif</t>
  </si>
  <si>
    <t>Wireless keyboard and mouse to work at home more efficiently.</t>
  </si>
  <si>
    <t>IT Equipment Wireless keyboard and mouse to work at home more efficiently.</t>
  </si>
  <si>
    <t>Raube, Priyankari Bose (Priya)</t>
  </si>
  <si>
    <t>WEXP-00022908</t>
  </si>
  <si>
    <t>10914312.tif 10914313.tif 10914314.tif 10914315.tif</t>
  </si>
  <si>
    <t>SGA PHMSA Mega Rule Phase 1 Webinar</t>
  </si>
  <si>
    <t>Employee Development Expense SGA PHMSA Mega rule phase 1 webinar</t>
  </si>
  <si>
    <t>Recio, Keith Michael (Keith)</t>
  </si>
  <si>
    <t>WEXP-00022034</t>
  </si>
  <si>
    <t>10876925.tif 10876926.tif 10876927.tif</t>
  </si>
  <si>
    <t>Day 4 of close-working lunch while finishing up journal entries</t>
  </si>
  <si>
    <t>.Business Meals Day 4 of close-working lunch while finishing up journal entries</t>
  </si>
  <si>
    <t>WEXP-00022773</t>
  </si>
  <si>
    <t>10914483.tif 10914484.tif 10914485.tif</t>
  </si>
  <si>
    <t>Employee Lunch (Working Remotely)</t>
  </si>
  <si>
    <t>.Business Meals Employee Lunch (Working Remotely)</t>
  </si>
  <si>
    <t>WEXP-00022519</t>
  </si>
  <si>
    <t>10892459.tif 10892460.tif 10892461.tif</t>
  </si>
  <si>
    <t>WEXP-00022761</t>
  </si>
  <si>
    <t>10913654.tif 10913655.tif 10913656.tif</t>
  </si>
  <si>
    <t>HR Support Local Restaurants Day</t>
  </si>
  <si>
    <t>.Business Meals Receipt for the Atmos HR Support Local Restaurants Day on Friday, April 17, 2020</t>
  </si>
  <si>
    <t>WEXP-00023047</t>
  </si>
  <si>
    <t>10967664.tif 10967665.tif 10967666.tif 10967667.tif</t>
  </si>
  <si>
    <t>Virtual Team Meeting - Strategic Planning</t>
  </si>
  <si>
    <t>.Business Meals Virtual Team Meeting - Strategic Planning</t>
  </si>
  <si>
    <t>WEXP-00022538</t>
  </si>
  <si>
    <t>10892751.tif 10892752.tif 10892753.tif</t>
  </si>
  <si>
    <t>Lunch for construction essentials while working from home.</t>
  </si>
  <si>
    <t>.Business Meals Lunch for construction essentials while working from home.</t>
  </si>
  <si>
    <t>WEXP-00022830</t>
  </si>
  <si>
    <t>10914143.tif 10914144.tif 10914145.tif</t>
  </si>
  <si>
    <t>Construction Essentials lunch during work from home.</t>
  </si>
  <si>
    <t>.Business Meals Construction Essentials lunch during work from home.</t>
  </si>
  <si>
    <t>WEXP-00022079</t>
  </si>
  <si>
    <t>10877686.tif 10877687.tif 10877688.tif</t>
  </si>
  <si>
    <t>Lunch for Construction Essentials while working from home</t>
  </si>
  <si>
    <t>.Business Meals Lunch for Construction Essentials while working from home</t>
  </si>
  <si>
    <t>WEXP-00021631</t>
  </si>
  <si>
    <t>10877338.tif 10877339.tif 10877340.tif</t>
  </si>
  <si>
    <t>Lunch During outage for construction essentials studies.</t>
  </si>
  <si>
    <t>.Business Meals Lunch During outage for construction essentials studies.</t>
  </si>
  <si>
    <t>WEXP-00023083</t>
  </si>
  <si>
    <t>10967844.tif 10967845.tif 10967846.tif</t>
  </si>
  <si>
    <t>Certified Payroll Professional 2020 spring exam fee</t>
  </si>
  <si>
    <t>Employee Development Expense Certified Payroll Professional 2020 spring exam fee</t>
  </si>
  <si>
    <t>WEXP-00022778</t>
  </si>
  <si>
    <t>10913685.tif 10913686.tif 10913687.tif</t>
  </si>
  <si>
    <t>Lunch at Chuy¿¿¿s paid for by HR on 4/17 to support local businesses</t>
  </si>
  <si>
    <t>.Business Meals Lunch at Chuy¿¿¿s paid for by HR on 4/17 to support local businesses</t>
  </si>
  <si>
    <t>WEXP-00022812</t>
  </si>
  <si>
    <t>10967156.tif 10967157.tif 10967158.tif 10967159.tif 10967160.tif 10967161.tif</t>
  </si>
  <si>
    <t>WEXP-00022123</t>
  </si>
  <si>
    <t>10877747.tif 10877748.tif 10877749.tif 10877750.tif 10877751.tif 10877752.tif 10877753.tif 10877754.tif 10877755.tif 10877756.tif 10877757.tif 10877758.tif 10877759.tif 10877760.tif 10877761.tif 10877762.tif 10877763.tif 10877764.tif 10877765.tif 10877766.tif 10877767.tif 10877768.tif 10877769.tif 10877770.tif 10877771.tif 10877772.tif 10877773.tif 10877774.tif 10877775.tif 10877776.tif 10877777.tif 10877778.tif</t>
  </si>
  <si>
    <t>Team/Vendor meetings: Work from home planning/testing for CSC agents and dispathers, VPN planning/testing.</t>
  </si>
  <si>
    <t>Lodging Team/Vendor meetings: Work from home planning/testing for CSC agents and dispathers, VPN planning/testing.</t>
  </si>
  <si>
    <t>.Business Meals Team/Vendor meetings: Work from home planning/testing for CSC agents and dispathers, VPN planning/testing.</t>
  </si>
  <si>
    <t>Parking Team/Vendor meetings: Work from home planning/testing for CSC agents and dispathers, VPN planning/testing.</t>
  </si>
  <si>
    <t>Toll Team/Vendor meetings: Work from home planning/testing for CSC agents and dispathers, VPN planning/testing.</t>
  </si>
  <si>
    <t>Airfare Team/Vendor meetings: Work from home planning/testing for CSC agents and dispathers, VPN planning/testing.</t>
  </si>
  <si>
    <t>Alcohol Team/Vendor meetings: Work from home planning/testing for CSC agents and dispathers, VPN planning/testing.</t>
  </si>
  <si>
    <t>Rental Car Team/Vendor meetings: Work from home planning/testing for CSC agents and dispathers, VPN planning/testing.</t>
  </si>
  <si>
    <t>WEXP-00021602</t>
  </si>
  <si>
    <t>10863492.tif 10863493.tif 10863494.tif 10863495.tif 10863496.tif 10863497.tif 10863498.tif 10863499.tif</t>
  </si>
  <si>
    <t>Deaths - Liz Richey / mother-in-law; Becky Shumate / grandfather</t>
  </si>
  <si>
    <t>Employee Welfare Expense Deaths - Liz Richey / mother-in-law; Becky Shumate / grandfather</t>
  </si>
  <si>
    <t>291077</t>
  </si>
  <si>
    <t>Simmons, Daniel M. (Daniel)</t>
  </si>
  <si>
    <t>WEXP-00021638</t>
  </si>
  <si>
    <t>10863439.tif 10863440.tif 10863441.tif</t>
  </si>
  <si>
    <t>Registration for SGA Intro to Natural Gas Virtual Conference</t>
  </si>
  <si>
    <t>Training Introduction to Natural Gas Industry Virtual Workshop</t>
  </si>
  <si>
    <t>WEXP-00021795</t>
  </si>
  <si>
    <t>10864681.tif 10864682.tif 10864683.tif 10864684.tif 10864685.tif 10864686.tif 10864687.tif</t>
  </si>
  <si>
    <t>PROSCI Virtual Course Apr 21-23 registration</t>
  </si>
  <si>
    <t>Technical (Job Skills) Training PROSCI Virtual Course Apr 21-23 registration</t>
  </si>
  <si>
    <t>WEXP-00022851</t>
  </si>
  <si>
    <t>10914159.tif 10914160.tif 10914161.tif</t>
  </si>
  <si>
    <t>Gift card to employee to help during daughter¿¿¿s recovery.</t>
  </si>
  <si>
    <t>Gifts Gift card to employee to help during daughter¿¿¿s recovery.</t>
  </si>
  <si>
    <t>WEXP-00021641</t>
  </si>
  <si>
    <t>10877261.tif 10877262.tif 10877263.tif 10877264.tif 10877265.tif 10877266.tif 10877267.tif 10877268.tif 10877269.tif 10877270.tif 10877271.tif 10877272.tif 10877273.tif 10877274.tif</t>
  </si>
  <si>
    <t>West Texas Leadership Meeting - PSMS Presentation</t>
  </si>
  <si>
    <t>.Business Meals West Texas Leadership Meeting - PSMS Presentation</t>
  </si>
  <si>
    <t>Mileage West Texas Leadership Meeting - PSMS Presentation</t>
  </si>
  <si>
    <t>Toll West Texas Leadership Meeting - PSMS Presentation</t>
  </si>
  <si>
    <t>WEXP-00022040</t>
  </si>
  <si>
    <t>10877531.tif 10877532.tif 10877533.tif 10877534.tif 10877535.tif 10877536.tif 10877537.tif 10877538.tif 10877539.tif 10877540.tif 10877541.tif 10877542.tif 10877543.tif 10877544.tif</t>
  </si>
  <si>
    <t>WTEX Construction Meeting - PRP Project Process Review</t>
  </si>
  <si>
    <t>Toll WTEX Construction Meeting - PRP Project Process Review</t>
  </si>
  <si>
    <t>.Business Meals WTEX Construction Meeting - PRP Project Process Review</t>
  </si>
  <si>
    <t>Mileage WTEX Construction Meeting - PRP Project Process Review</t>
  </si>
  <si>
    <t>Lodging WTEX Construction Meeting - PRP Project Process Review</t>
  </si>
  <si>
    <t>WEXP-00021856</t>
  </si>
  <si>
    <t>10877361.tif 10877362.tif 10877363.tif 10877364.tif 10877365.tif 10877366.tif 10877367.tif 10877368.tif 10877369.tif 10877370.tif 10877371.tif 10877372.tif 10877373.tif 10877374.tif 10877375.tif 10877376.tif 10877377.tif 10877378.tif 10877379.tif 10877380.tif 10877381.tif 10877382.tif 10877383.tif 10877384.tif 10877385.tif 10877386.tif</t>
  </si>
  <si>
    <t>PHMSA Code Update and PSMS Meeting - Houston, TX</t>
  </si>
  <si>
    <t>.Business Meals PHMSA Code Update and PSMS Meeting - Houston, TX</t>
  </si>
  <si>
    <t>Mileage PHMSA Code Update and PSMS Meeting - Houston, TX</t>
  </si>
  <si>
    <t>Lodging PHMSA Code Update and PSMS Meeting - Houston, TX</t>
  </si>
  <si>
    <t>Office Supplies Pipeline Safety - Office Supplies for Printer</t>
  </si>
  <si>
    <t>Toll PHMSA Code Update and PSMS Meeting - Houston, TX</t>
  </si>
  <si>
    <t>WEXP-00021496</t>
  </si>
  <si>
    <t>10878251.tif 10878252.tif 10878253.tif 10878254.tif 10878255.tif 10878256.tif</t>
  </si>
  <si>
    <t>Cancelled Non-Refuindable Airfare : AGA Peer Review Project, Trip Cancelled due to Covid-19 Restrictions</t>
  </si>
  <si>
    <t>Airfare Cancelled Non-Refuindable Airfare : AGA Peer Review Project, Trip Cancelled due to Covid-19 Restrictions</t>
  </si>
  <si>
    <t>WEXP-00022634</t>
  </si>
  <si>
    <t>10893338.tif 10893339.tif 10893340.tif 10893341.tif 10893342.tif 10893343.tif 10893344.tif 10893345.tif</t>
  </si>
  <si>
    <t>phone bill while working from home durring covid -19" energy assistance phone calls"</t>
  </si>
  <si>
    <t>Employee Welfare Expense phone bill while working from home durring covid -19" energy assistance phone calls"</t>
  </si>
  <si>
    <t>WEXP-00021752</t>
  </si>
  <si>
    <t>10863855.tif 10863856.tif 10863857.tif</t>
  </si>
  <si>
    <t>Lunch to Support Local Restaurants during Coronavirus as guided by Manager</t>
  </si>
  <si>
    <t>.Business Meals Lunch to Support Local Restaurants during Coronavirus as guided by Manager</t>
  </si>
  <si>
    <t>WEXP-00022736</t>
  </si>
  <si>
    <t>10913706.tif 10913707.tif 10913708.tif 10913709.tif</t>
  </si>
  <si>
    <t>Business lunch to support local businesses during pandemic</t>
  </si>
  <si>
    <t>.Business Meals Business lunch to support local businesses during pandemic</t>
  </si>
  <si>
    <t>WEXP-00022718</t>
  </si>
  <si>
    <t>10913530.tif 10913531.tif 10913532.tif 10913533.tif 10913534.tif 10913535.tif 10913536.tif 10913537.tif 10913538.tif 10913539.tif 10913540.tif 10913541.tif 10913542.tif</t>
  </si>
  <si>
    <t>Required Ethics course - CPA License Renewal</t>
  </si>
  <si>
    <t>Professional Dues Annual CPA License Fee - Texas</t>
  </si>
  <si>
    <t>Professional Dues Required Ethics course - CPA License Renewal</t>
  </si>
  <si>
    <t>Books &amp; Manuals WSJ Online Subscription Jan - Apr 2020</t>
  </si>
  <si>
    <t>Professional Dues Fingerprint required TX CPA License</t>
  </si>
  <si>
    <t>WEXP-00023181</t>
  </si>
  <si>
    <t>10967721.tif 10967722.tif 10967723.tif 10967724.tif</t>
  </si>
  <si>
    <t>Atmos Energy Take Out Tuesday - Black Walnut Cafe</t>
  </si>
  <si>
    <t>.Business Meals Atmos Energy Take Out Tuesday - Black Walnut Cafe</t>
  </si>
  <si>
    <t>WEXP-00021760</t>
  </si>
  <si>
    <t>10864034.tif 10864035.tif 10864036.tif</t>
  </si>
  <si>
    <t>Atmos Energy Order Out to support local business March 31</t>
  </si>
  <si>
    <t>.Business Meals Atmos Energy Order Out to support local business March 31</t>
  </si>
  <si>
    <t>WEXP-00021965</t>
  </si>
  <si>
    <t>10877420.tif 10877421.tif 10877422.tif</t>
  </si>
  <si>
    <t>SGA - Women and Leadership Workshop - Virtual</t>
  </si>
  <si>
    <t>Training SGA - Women and Leadership Workshop - Virtual</t>
  </si>
  <si>
    <t>WEXP-00022517</t>
  </si>
  <si>
    <t>10892343.tif 10892344.tif 10892345.tif</t>
  </si>
  <si>
    <t>Annual dues for Texas CPA for 5/1-4/30/21</t>
  </si>
  <si>
    <t>Professional Dues Annual dues for Texas CPA for 5/1-4/30/21</t>
  </si>
  <si>
    <t>WEXP-00022151</t>
  </si>
  <si>
    <t>10878089.tif 10878090.tif 10878091.tif</t>
  </si>
  <si>
    <t>Employee Development Expense SGA Women and Leadership Workshop</t>
  </si>
  <si>
    <t>WEXP-00021799</t>
  </si>
  <si>
    <t>10877331.tif 10877332.tif 10877333.tif 10877334.tif</t>
  </si>
  <si>
    <t>Cost to attend Introduction to Gas industry workshop to better understand our industry and provide support during projects</t>
  </si>
  <si>
    <t>Training Cost to attend Introduction to Gas industry workshop to better understand our industry and provide support during projects</t>
  </si>
  <si>
    <t>WEXP-00022952</t>
  </si>
  <si>
    <t>10967110.tif 10967111.tif 10967112.tif 10967113.tif 10967114.tif 10967115.tif 10967116.tif 10967117.tif 10967118.tif 10967119.tif 10967120.tif 10967121.tif</t>
  </si>
  <si>
    <t>Lunch from a local business during work from home.</t>
  </si>
  <si>
    <t>.Business Meals Lunch from local business during "safer at home" period.</t>
  </si>
  <si>
    <t>.Business Meals Business portion of receipt for lunch.</t>
  </si>
  <si>
    <t>.Business Meals Lunch from local business during work from home.</t>
  </si>
  <si>
    <t>.Business Meals Atmos employee portion of lunch</t>
  </si>
  <si>
    <t>WEXP-00022679</t>
  </si>
  <si>
    <t>10913307.tif 10913308.tif 10913309.tif</t>
  </si>
  <si>
    <t>Computer headset to allow me to work from home during COVID-19.</t>
  </si>
  <si>
    <t>IT Equipment Computer headset to allow me to work from home during COVID-19.</t>
  </si>
  <si>
    <t>WEXP-00022670</t>
  </si>
  <si>
    <t>10893706.tif 10893707.tif 10893708.tif 10893709.tif 10893710.tif 10893711.tif</t>
  </si>
  <si>
    <t>Computer keyboard to allow me to work from home during COVID-19.</t>
  </si>
  <si>
    <t>IT Equipment Computer keyboard to allow me to work from home during COVID-19.</t>
  </si>
  <si>
    <t>IT Equipment Computer monitor to allow me to work from home during COVID-19.</t>
  </si>
  <si>
    <t>WEXP-00022539</t>
  </si>
  <si>
    <t>10892800.tif 10892801.tif 10892802.tif 10892803.tif 10892804.tif</t>
  </si>
  <si>
    <t>Lunch for working from home during covid19</t>
  </si>
  <si>
    <t>.Business Meals Lunch for working from home during covid19</t>
  </si>
  <si>
    <t>WEXP-00022702</t>
  </si>
  <si>
    <t>10913354.tif 10913355.tif 10913356.tif</t>
  </si>
  <si>
    <t>USB flash drives for putting documents to send to outside counsel</t>
  </si>
  <si>
    <t>Office Supplies USB flash drives for putting documents to send to outside counsel</t>
  </si>
  <si>
    <t>WEXP-00022701</t>
  </si>
  <si>
    <t>10913979.tif 10913980.tif 10913981.tif</t>
  </si>
  <si>
    <t>Flowers for Rusty Lane Family new baby arrival</t>
  </si>
  <si>
    <t>Gifts Flowers for Rusty Lane Family new baby arrival</t>
  </si>
  <si>
    <t>WEXP-00022033</t>
  </si>
  <si>
    <t>10877799.tif 10877800.tif 10877801.tif 10877802.tif</t>
  </si>
  <si>
    <t>wireless keyboard and mouse combo  - sandra wilson</t>
  </si>
  <si>
    <t>Office Supplies wireless keyboard and mouse - sandra wilson</t>
  </si>
  <si>
    <t>Employee Welfare Expense care package for tax department employees</t>
  </si>
  <si>
    <t>WEXP-00022683</t>
  </si>
  <si>
    <t>10913277.tif 10913278.tif 10913279.tif 10913280.tif 10913281.tif 10913282.tif 10913283.tif 10913284.tif</t>
  </si>
  <si>
    <t>Raffle prize for video conference game for Tax Department</t>
  </si>
  <si>
    <t>.Social Meal &amp; Events Care package for tax department - snacks</t>
  </si>
  <si>
    <t>COVID - Celebratory</t>
  </si>
  <si>
    <t>Gifts Raffle prize for video conference game for Tax Department</t>
  </si>
  <si>
    <t>WEXP-00021759</t>
  </si>
  <si>
    <t>10876905.tif 10876906.tif 10876907.tif 10876908.tif</t>
  </si>
  <si>
    <t>¿¿¿Support Our Local Restaurants Day¿¿¿.</t>
  </si>
  <si>
    <t>.Business Meals ¿¿¿Support Our Local Restaurants Day¿¿¿.</t>
  </si>
  <si>
    <t>WEXP-00023203</t>
  </si>
  <si>
    <t>10967910.tif 10967911.tif 10967912.tif 10967913.tif 10967914.tif</t>
  </si>
  <si>
    <t>Order meal from a local restaurant to support local business</t>
  </si>
  <si>
    <t>.Social Meal &amp; Events Order meal from a local restaurant to support local business</t>
  </si>
  <si>
    <t>WEXP-00021484</t>
  </si>
  <si>
    <t>10876701.tif 10876702.tif 10876703.tif 10876704.tif 10876705.tif 10876706.tif 10876707.tif 10876708.tif</t>
  </si>
  <si>
    <t>Airfare; customer mtg with Cardinal Gas, Houston TX ( Meeting cancelled due to Covid 19- Funds will be used for future flight)</t>
  </si>
  <si>
    <t>Airfare Airfare; customer mtg with Cardinal Gas, Houston TX ( Meeting cancelled due to Covid 19- Funds will be used for future flight)</t>
  </si>
  <si>
    <t>WEXP-00023951</t>
  </si>
  <si>
    <t>Funeral Flowers for Erikka Hise's Mother</t>
  </si>
  <si>
    <t>IT Equipment Dell Monitor COVID Work at Home</t>
  </si>
  <si>
    <t>Other - MC Funeral Flowers for Erikka Hise's Mother</t>
  </si>
  <si>
    <t>Professional Dues - MC State Bar of Texas 2020-2021 Dues Hartsfield</t>
  </si>
  <si>
    <t>Professional Dues - MC SHRM 2020-2021 Membership Hartsfield</t>
  </si>
  <si>
    <t>WEXP-00024129</t>
  </si>
  <si>
    <t>Board of Directors Meeting, May 4-6, 2020, Dallas, TX (Meeting Materials)</t>
  </si>
  <si>
    <t>Board Meeting Expenses Board of Directors Meeting, May 4-6, 2020, Dallas, TX (Meeting Materials)</t>
  </si>
  <si>
    <t>WEXP-00024319</t>
  </si>
  <si>
    <t>Board of Directors Meeting, May 5-6, 2020 (Chair Rental Fee Per Contract)</t>
  </si>
  <si>
    <t>Board Meeting Expenses Board of Directors Meeting, May 5-6, 2020 (Chair Rental Fee Per Contract)</t>
  </si>
  <si>
    <t>WEXP-00024159</t>
  </si>
  <si>
    <t>The Corporate Board Subscription Renewal for Board of Directors</t>
  </si>
  <si>
    <t>Employee Development - MC The Corporate Board Subscription Renewal for Board of Directors</t>
  </si>
  <si>
    <t>WEXP-00023595</t>
  </si>
  <si>
    <t>10980399.tif 10980400.tif 10980401.tif</t>
  </si>
  <si>
    <t>Team Lunch to support local restaurants</t>
  </si>
  <si>
    <t>.Business Meals Team Lunch to support local restaurants</t>
  </si>
  <si>
    <t>WEXP-00024177</t>
  </si>
  <si>
    <t>11021123.tif 11021124.tif 11021125.tif</t>
  </si>
  <si>
    <t>Panera Bread Lunch April Close 2020</t>
  </si>
  <si>
    <t>.Business Meals Panera Bread Lunch April Close 2020</t>
  </si>
  <si>
    <t>WEXP-00023936</t>
  </si>
  <si>
    <t>10999572.tif 10999573.tif 10999574.tif</t>
  </si>
  <si>
    <t>Lunch to help the local businesses during COVID-19.</t>
  </si>
  <si>
    <t>.Business Meals Lunch to help the local businesses during COVID-19.</t>
  </si>
  <si>
    <t>WEXP-00023955</t>
  </si>
  <si>
    <t>10999869.tif 10999870.tif 10999871.tif</t>
  </si>
  <si>
    <t>New office chair for back support</t>
  </si>
  <si>
    <t>Office Supplies New office chair for back support</t>
  </si>
  <si>
    <t>WEXP-00023811</t>
  </si>
  <si>
    <t>10999070.tif 10999071.tif 10999072.tif 10999073.tif 10999074.tif</t>
  </si>
  <si>
    <t>special tax form called an FBAR because Derek is a signatory on a foreign bank account for Blueflame/Atmos</t>
  </si>
  <si>
    <t>Employee Welfare Expense special tax form called an FBAR because Derek is a signatory on a foreign bank account for Blueflame/Atmos</t>
  </si>
  <si>
    <t>291194</t>
  </si>
  <si>
    <t>Braddy, Vanessa (Vanessa)</t>
  </si>
  <si>
    <t>WEXP-00023554</t>
  </si>
  <si>
    <t>10980695.tif 10980696.tif 10980697.tif 10980698.tif 10980699.tif</t>
  </si>
  <si>
    <t>Take Out Tuesday Meal on 4/28/2020</t>
  </si>
  <si>
    <t>.Social Meal &amp; Events Take Out Tuesday Meal on 4/28/2020</t>
  </si>
  <si>
    <t>WEXP-00024281</t>
  </si>
  <si>
    <t>CHC20200528-WD EXP</t>
  </si>
  <si>
    <t>11033578.tif 11033579.tif 11033580.tif 11033581.tif 11033582.tif</t>
  </si>
  <si>
    <t>Employee recognition while working remotely - Silvano Leon 20 year service anniversary.</t>
  </si>
  <si>
    <t>.Social Meal &amp; Events Employee recognition while working remotely - Silvano Leon 20 year service anniversary.</t>
  </si>
  <si>
    <t>WEXP-00023568</t>
  </si>
  <si>
    <t>10980810.tif 10980811.tif 10980812.tif</t>
  </si>
  <si>
    <t>Toner and paper for working from home during pandemic.</t>
  </si>
  <si>
    <t>Office Supplies Toner and paper for working from home during pandemic.</t>
  </si>
  <si>
    <t>WEXP-00022956</t>
  </si>
  <si>
    <t>10981808.tif 10981809.tif 10981810.tif 10981811.tif 10981812.tif 10981813.tif 10981814.tif 10981815.tif 10981816.tif 10981817.tif 10981818.tif 10981819.tif 10981820.tif 10981821.tif 10981822.tif</t>
  </si>
  <si>
    <t>Lunch for the mail guys working during COVID 19</t>
  </si>
  <si>
    <t>.Business Meals Tiff's Treats for the mailroom workers</t>
  </si>
  <si>
    <t>.Business Meals Lunch for the mailroom guys working during COVID 19</t>
  </si>
  <si>
    <t>.Business Meals Lunch for the mail guys working during COVID 19</t>
  </si>
  <si>
    <t>.Business Meals Lunch for the mailroom guys during COVID 19</t>
  </si>
  <si>
    <t>WEXP-00023734</t>
  </si>
  <si>
    <t>10999182.tif 10999183.tif 10999184.tif 10999185.tif 10999186.tif 10999187.tif 10999188.tif 10999189.tif 10999190.tif</t>
  </si>
  <si>
    <t>Snacks for Columbia Gas Control</t>
  </si>
  <si>
    <t>.Business Meals Lunch for the controllers in Columbia</t>
  </si>
  <si>
    <t>IT Equipment Refurbished server for SCADA poller</t>
  </si>
  <si>
    <t>.Business Meals Snacks for Columbia Gas Control</t>
  </si>
  <si>
    <t>Office Supplies Ink for printer for Columbia Gas Control</t>
  </si>
  <si>
    <t>WEXP-00023479</t>
  </si>
  <si>
    <t>10968401.tif 10968402.tif 10968403.tif 10968404.tif 10968405.tif 10968406.tif 10968407.tif 10968408.tif 10968409.tif 10968410.tif</t>
  </si>
  <si>
    <t>Office Supplies during Work at Home</t>
  </si>
  <si>
    <t>Office Supplies Office Supplies during Work at Home</t>
  </si>
  <si>
    <t>WEXP-00024057</t>
  </si>
  <si>
    <t>11020850.tif 11020851.tif 11020852.tif</t>
  </si>
  <si>
    <t>approved lunch for work force development from V.P.</t>
  </si>
  <si>
    <t>.Business Meals approved lunch for work force development from V.P.</t>
  </si>
  <si>
    <t>WEXP-00023666</t>
  </si>
  <si>
    <t>10981512.tif 10981513.tif 10981514.tif</t>
  </si>
  <si>
    <t>free lunch for workforce development approved by V.P.</t>
  </si>
  <si>
    <t>.Business Meals free lunch for workforce development approved by V.P.</t>
  </si>
  <si>
    <t>WEXP-00023855</t>
  </si>
  <si>
    <t>10999020.tif 10999021.tif 10999022.tif</t>
  </si>
  <si>
    <t>approved lunch for workforce development by V.P</t>
  </si>
  <si>
    <t>.Business Meals approved lunch for workforce development by V.P</t>
  </si>
  <si>
    <t>WEXP-00024229</t>
  </si>
  <si>
    <t>11033243.tif 11033244.tif 11033245.tif</t>
  </si>
  <si>
    <t>Weekly approved lunch for work force development from V.P.</t>
  </si>
  <si>
    <t>.Business Meals Weekly approved lunch for work force development from V.P.</t>
  </si>
  <si>
    <t>WEXP-00023628</t>
  </si>
  <si>
    <t>10982456.tif 10982457.tif 10982458.tif 10982459.tif 10982460.tif</t>
  </si>
  <si>
    <t>Strategic Planning Department Virtual Lunch</t>
  </si>
  <si>
    <t>Association Dues Texas Society of CPA's Annual Dues+Dallas Chapter of TSCPA</t>
  </si>
  <si>
    <t>.Business Meals Strategic Planning Department Virtual Lunch</t>
  </si>
  <si>
    <t>WEXP-00024204</t>
  </si>
  <si>
    <t>11021393.tif 11021394.tif 11021395.tif 11021396.tif 11021397.tif 11021398.tif 11021399.tif 11021400.tif</t>
  </si>
  <si>
    <t>Lunch to support local restaurants</t>
  </si>
  <si>
    <t>.Business Meals Lunch for No Dirty Dishes Day - May 18th.</t>
  </si>
  <si>
    <t>.Business Meals Lunch to support local restaurants</t>
  </si>
  <si>
    <t>WEXP-00023004</t>
  </si>
  <si>
    <t>10968762.tif 10968763.tif 10968764.tif 10968765.tif 10968766.tif 10968767.tif 10968768.tif 10968769.tif 10968770.tif 10968771.tif 10968772.tif 10968773.tif 10968774.tif 10968775.tif 10968776.tif 10968777.tif 10968778.tif 10968779.tif 10968780.tif 10968781.tif 10968782.tif 10968783.tif 10968784.tif 10968785.tif 10968786.tif 10968787.tif 10968788.tif 10968789.tif 10968790.tif 10968791.tif 10968792.tif 10968793.tif 10968794.tif 10968795.tif 10968796.tif 10968797.tif 10968798.tif 10968799.tif 10968737.tif 10968738.tif 10968739.tif 10968740.tif 10968741.tif 10968742.tif 10968743.tif 10968744.tif 10968745.tif 10968746.tif 10968747.tif 10968748.tif 10968749.tif 10968750.tif 10968751.tif 10968752.tif 10968753.tif 10968754.tif 10968755.tif 10968756.tif 10968757.tif 10968758.tif 10968759.tif 10968760.tif 10968761.tif</t>
  </si>
  <si>
    <t>Lunch during property tax compressor station tour</t>
  </si>
  <si>
    <t>.Business Meals Ice Cream during tax conference in San Antonio</t>
  </si>
  <si>
    <t>.Business Meals Snacks during property tax compressor station tour</t>
  </si>
  <si>
    <t>Parking parking at airport during property tax compressor station tour</t>
  </si>
  <si>
    <t>Airfare Airfare one way to Midland during property tax compressor station tour</t>
  </si>
  <si>
    <t>.Business Meals Team State &amp; Local Tax team building lunch</t>
  </si>
  <si>
    <t>.Business Meals Lunch during property tax compressor station tour</t>
  </si>
  <si>
    <t>Uniforms Safety Boot Purchase for Tax Tours</t>
  </si>
  <si>
    <t>.Business Meals Snacks for Tax Department (Pretzels, Drinks)</t>
  </si>
  <si>
    <t>Alcohol dinner during tax conference in San Antonio</t>
  </si>
  <si>
    <t>.Business Meals dinner during tax conference in San Antonio</t>
  </si>
  <si>
    <t>Alcohol Dinner during tax Conference in San Antonio</t>
  </si>
  <si>
    <t>.Business Meals Breakfast during tax conference in San Antonio</t>
  </si>
  <si>
    <t>.Business Meals Lunch during tax appraisal of Bethel Storage</t>
  </si>
  <si>
    <t>.Business Meals Lunch during property tax tour</t>
  </si>
  <si>
    <t>.Business Meals Snacks during tax conference in San Antonio</t>
  </si>
  <si>
    <t>.Business Meals Lunch during Cooper Compression tax appraisal</t>
  </si>
  <si>
    <t>Lodging Hotel stay during tax conference in San Antonio</t>
  </si>
  <si>
    <t>.Business Meals Lunch during tax conference in San Antonio</t>
  </si>
  <si>
    <t>Mileage TOur of Offices in Dallas area for property tax appraisals</t>
  </si>
  <si>
    <t>Mileage Drive to Delta County Compressor Station and Paris Office for property tax appraisals</t>
  </si>
  <si>
    <t>Parking Parking at Hotel during Texas Appraisal District Conference in Dallas</t>
  </si>
  <si>
    <t>.Business Meals Lunch during property tax tours of Dallas area offices</t>
  </si>
  <si>
    <t>.Business Meals Dinner during tax Conference in San Antonio</t>
  </si>
  <si>
    <t>.Business Meals Lunch during Property Tax tour of WAHA compression</t>
  </si>
  <si>
    <t>.Business Meals Dinner during compressor property tax tour</t>
  </si>
  <si>
    <t>Lodging Hotel stay during property tax compressor station tour</t>
  </si>
  <si>
    <t>Fuel gas fillup of rental car during property tax compressor station tour</t>
  </si>
  <si>
    <t>Fuel Gas fillup of rental car during property tax compressor station tour</t>
  </si>
  <si>
    <t>.Business Meals Lunch during Texas Appraisal District Conference in Dallas</t>
  </si>
  <si>
    <t>Rental Car Rental car From Odessa to Dallas during property tax compressor station tour</t>
  </si>
  <si>
    <t>OK - Rental vehicle for tour</t>
  </si>
  <si>
    <t>WEXP-00024247</t>
  </si>
  <si>
    <t>11033482.tif 11033483.tif 11033484.tif 11033485.tif 11033486.tif 11033487.tif 11033488.tif 11033489.tif 11033490.tif 11033491.tif</t>
  </si>
  <si>
    <t>Meal while working remotely to present Advanced Service Training</t>
  </si>
  <si>
    <t>.Business Meals Meal while working remotely to present Advanced Service Training</t>
  </si>
  <si>
    <t>WEXP-00024187</t>
  </si>
  <si>
    <t>11021349.tif 11021350.tif 11021351.tif</t>
  </si>
  <si>
    <t>HR lunch to support local businesses during COVID</t>
  </si>
  <si>
    <t>.Business Meals HR lunch to support local businesses during COVID</t>
  </si>
  <si>
    <t>WEXP-00023432</t>
  </si>
  <si>
    <t>10968604.tif 10968605.tif 10968606.tif</t>
  </si>
  <si>
    <t>Lunch while working at home during the Covid-19 outbreak.</t>
  </si>
  <si>
    <t>.Business Meals Lunch while working at home during the Covid-19 outbreak.</t>
  </si>
  <si>
    <t>WEXP-00024032</t>
  </si>
  <si>
    <t>10999913.tif 10999914.tif 10999915.tif</t>
  </si>
  <si>
    <t>External Video Camera for delivering virtual training for Atmos Energy Essentials Class</t>
  </si>
  <si>
    <t>IT Equipment External Video Camera for delivering virtual training for Atmos Energy Essentials Class</t>
  </si>
  <si>
    <t>WEXP-00023900</t>
  </si>
  <si>
    <t>10999249.tif 10999250.tif 10999251.tif 10999252.tif</t>
  </si>
  <si>
    <t>WEXP-00023660</t>
  </si>
  <si>
    <t>10981373.tif 10981374.tif 10981375.tif 10981376.tif</t>
  </si>
  <si>
    <t>WEXP-00024290</t>
  </si>
  <si>
    <t>11033687.tif 11033688.tif 11033689.tif 11033690.tif</t>
  </si>
  <si>
    <t>WEXP-00024085</t>
  </si>
  <si>
    <t>11020928.tif 11020929.tif 11020930.tif 11020931.tif</t>
  </si>
  <si>
    <t>WEXP-00016505</t>
  </si>
  <si>
    <t>10980303.tif 10980304.tif 10980305.tif 10980306.tif 10980307.tif 10980308.tif 10980309.tif</t>
  </si>
  <si>
    <t>Delivery of cookies to employee from department on birthday while social distancing</t>
  </si>
  <si>
    <t>.Business Meals Take out Tuesday Company Campaign. Lunch.</t>
  </si>
  <si>
    <t>.Business Meals Delivery of cookies to employee from department on birthday while social distancing</t>
  </si>
  <si>
    <t>WEXP-00018251</t>
  </si>
  <si>
    <t>10980954.tif 10980955.tif 10980956.tif 10980957.tif 10980958.tif 10980959.tif 10980960.tif 10980961.tif 10980962.tif 10980963.tif 10980964.tif 10980965.tif</t>
  </si>
  <si>
    <t>ETNG Pipeline Conference TN/VA, Washington DC</t>
  </si>
  <si>
    <t>Parking ETNG Pipeline Conference TN/VA, Washington DC</t>
  </si>
  <si>
    <t>Airfare ETNG Pipeline Conference TN/VA, Washington DC</t>
  </si>
  <si>
    <t>Lodging ETNG Pipeline Conference TN/VA, Washington DC</t>
  </si>
  <si>
    <t>Alcohol West Triangle Discussion, Washington, DC</t>
  </si>
  <si>
    <t>Mileage ETNG Pipeline Conference TN/VA, Washington DC</t>
  </si>
  <si>
    <t>.Business Meals West Texas Triangle Discussion</t>
  </si>
  <si>
    <t>.Business Meals West Triangle Discussion, Washington, DC</t>
  </si>
  <si>
    <t>WEXP-00020364</t>
  </si>
  <si>
    <t>10999715.tif 10999716.tif 10999717.tif 10999718.tif</t>
  </si>
  <si>
    <t>Postage for mailing Mid-Tex property tax returns</t>
  </si>
  <si>
    <t>Postage Postage for mailing Mid-Tex property tax returns</t>
  </si>
  <si>
    <t>WEXP-00024179</t>
  </si>
  <si>
    <t>11021495.tif 11021496.tif 11021497.tif</t>
  </si>
  <si>
    <t>business lunch to support local businesses during pandemic</t>
  </si>
  <si>
    <t>.Business Meals business lunch to support local businesses during pandemic</t>
  </si>
  <si>
    <t>WEXP-00023603</t>
  </si>
  <si>
    <t>10980966.tif 10980967.tif 10980968.tif</t>
  </si>
  <si>
    <t>Down payment to hold space for a Rough Riders Baseball Game for teambuilding for the Dallas HR team for May, 2020.  Due to COVID19, the season has been postponed and we will use this down payment to schedule a game in 2021.</t>
  </si>
  <si>
    <t>Entertainment &amp; Sports Events Down payment to hold space for a Rough Riders Baseball Game for teambuilding for the Dallas HR team for May, 2020.  Due to COVID19, the season has been postponed and we will use this down payment to schedule a</t>
  </si>
  <si>
    <t>WEXP-00023440</t>
  </si>
  <si>
    <t>10968811.tif 10968812.tif 10968813.tif 10968814.tif</t>
  </si>
  <si>
    <t>WEXP-00023961</t>
  </si>
  <si>
    <t>10999590.tif 10999591.tif 10999592.tif 10999593.tif 10999594.tif 10999595.tif 10999596.tif 10999597.tif 10999598.tif 10999599.tif 10999600.tif 10999601.tif 10999602.tif 10999603.tif 10999604.tif 10999605.tif 10999606.tif</t>
  </si>
  <si>
    <t>Work through lunch on WD expense report issues.</t>
  </si>
  <si>
    <t>.Overtime Meal Work through lunch and late on quarter close</t>
  </si>
  <si>
    <t>.Overtime Meal Work though lunch workday expense testing</t>
  </si>
  <si>
    <t>.Business Meals Work through lunch on WD expense report issues.</t>
  </si>
  <si>
    <t>.Overtime Meal Work through lunch and late on month-end</t>
  </si>
  <si>
    <t>Postage Stamps to mail Oracle AR invoices while working remotely.</t>
  </si>
  <si>
    <t>.Overtime Meal Work Sunday on capitalization and allocations for Q2</t>
  </si>
  <si>
    <t>.Business Meals Work through lunch on Debbie's last day transferring knowledge to Roy</t>
  </si>
  <si>
    <t>.Overtime Meal Work through lunch at office at beginning of pandemic</t>
  </si>
  <si>
    <t>WEXP-00023808</t>
  </si>
  <si>
    <t>10999660.tif 10999661.tif 10999662.tif 10999663.tif 10999664.tif 10999665.tif 10999666.tif 10999667.tif 10999668.tif</t>
  </si>
  <si>
    <t>Month End Close Lunch for Ashley</t>
  </si>
  <si>
    <t>.Business Meals Month End Close Lunch for Ashley</t>
  </si>
  <si>
    <t>WEXP-00023889</t>
  </si>
  <si>
    <t>10999026.tif 10999027.tif 10999028.tif</t>
  </si>
  <si>
    <t>WEXP-00024117</t>
  </si>
  <si>
    <t>11020666.tif 11020667.tif 11020668.tif</t>
  </si>
  <si>
    <t>State Bar of Texas Membership Dues 2020</t>
  </si>
  <si>
    <t>Professional Dues State Bar of Texas Membership Dues 2020</t>
  </si>
  <si>
    <t>WEXP-00022848</t>
  </si>
  <si>
    <t>10981263.tif 10981264.tif 10981265.tif</t>
  </si>
  <si>
    <t>Appreciation meal while working from home due to COVID 19.</t>
  </si>
  <si>
    <t>.Business Meals Appreciation meal while working from home due to COVID 19.</t>
  </si>
  <si>
    <t>WEXP-00023699</t>
  </si>
  <si>
    <t>10982045.tif 10982046.tif 10982047.tif 10982048.tif</t>
  </si>
  <si>
    <t>receipt from Archinal camera for camera lights and equipment</t>
  </si>
  <si>
    <t>Office Supplies receipt from Archinal camera for camera lights and equipment</t>
  </si>
  <si>
    <t>291128</t>
  </si>
  <si>
    <t>Johnson, Kimberly R (Kimberly)</t>
  </si>
  <si>
    <t>WEXP-00023378</t>
  </si>
  <si>
    <t>10981011.tif 10981012.tif 10981013.tif 10981014.tif</t>
  </si>
  <si>
    <t>Support Local Eatery Initiative on 4/28</t>
  </si>
  <si>
    <t>.Business Meals Receipt Attached - Greater than $15.00</t>
  </si>
  <si>
    <t>WEXP-00024208</t>
  </si>
  <si>
    <t>11021390.tif 11021391.tif 11021392.tif</t>
  </si>
  <si>
    <t>WEXP-00024035</t>
  </si>
  <si>
    <t>11033323.tif 11033324.tif 11033325.tif 11033326.tif 11033327.tif 11033328.tif 11033329.tif 11033330.tif 11033331.tif</t>
  </si>
  <si>
    <t>RSA token shipped to user in Temple tx</t>
  </si>
  <si>
    <t>Postage RSA token shipping to user in plano</t>
  </si>
  <si>
    <t>Postage shipping RSA token to the user</t>
  </si>
  <si>
    <t>Postage RSA token shipped to user in Temple tx</t>
  </si>
  <si>
    <t>Postage Shipping RSA token to user in Mississippi</t>
  </si>
  <si>
    <t>WEXP-00023326</t>
  </si>
  <si>
    <t>10968704.tif 10968705.tif 10968706.tif 10968707.tif</t>
  </si>
  <si>
    <t>Attended the virtual Women and Leadership workshop to learn different approaches for effectively handling common obstacles, demonstrating professional presence to bolster credibility, strengthening emotional intelligence, and developing com</t>
  </si>
  <si>
    <t>Employee Development Expense Attended the virtual Women and Leadership workshop to learn different approaches for effectively handling common obstacles, demonstrating professional presence to bolster credibility, strengthening emotional int</t>
  </si>
  <si>
    <t>WEXP-00023891</t>
  </si>
  <si>
    <t>10999341.tif 10999342.tif 10999343.tif 10999344.tif 10999345.tif 10999346.tif 10999347.tif 10999348.tif 10999349.tif 10999350.tif 10999351.tif</t>
  </si>
  <si>
    <t>Lunch for staff in off working on Remote Work  Ennoblement</t>
  </si>
  <si>
    <t>.Business Meals Lunch for staff in off working on Remote Work  Ennoblement</t>
  </si>
  <si>
    <t>Employee Welfare Expense Renewal of TSA Precheck background for Elevated access to sites</t>
  </si>
  <si>
    <t>IT Equipment Purchase of locked box and lock for storage of IT Equipment for Remote Work</t>
  </si>
  <si>
    <t>Postage Sending RSA Tokens for remote work</t>
  </si>
  <si>
    <t>WEXP-00023996</t>
  </si>
  <si>
    <t>11020637.tif 11020638.tif 11020639.tif 11020640.tif</t>
  </si>
  <si>
    <t>Social Meal &amp; Events:Lunch; LA Division/Gas Supply Appreciation Lunch( Reimbursement up to $15)</t>
  </si>
  <si>
    <t>.Social Meal &amp; Events Social Meal &amp; Events:Lunch; LA Division/Gas Supply Appreciation Lunch( Reimbursement up to $15)</t>
  </si>
  <si>
    <t>254275</t>
  </si>
  <si>
    <t>Littleton, Deborah D (Debbie)</t>
  </si>
  <si>
    <t>WEXP-00023735</t>
  </si>
  <si>
    <t>10981780.tif 10981781.tif 10981782.tif 10981783.tif 10981784.tif</t>
  </si>
  <si>
    <t>Purchases of office supplies for work at home. Payment for Instant Ink.</t>
  </si>
  <si>
    <t>Office Supplies Purchases of office supplies for work at home.</t>
  </si>
  <si>
    <t>WEXP-00023697</t>
  </si>
  <si>
    <t>10981521.tif 10981522.tif 10981523.tif 10981524.tif 10981525.tif 10981526.tif 10981527.tif 10981528.tif 10981529.tif</t>
  </si>
  <si>
    <t>Benefits and Payroll Accounting Monitor stand</t>
  </si>
  <si>
    <t>.Business Meals Benefits and Payroll Accounting working lunch</t>
  </si>
  <si>
    <t>.Business Meals Benefits and Payroll Accounting lunch</t>
  </si>
  <si>
    <t>Office Supplies Benefits and Payroll Acounting Laptop Stand</t>
  </si>
  <si>
    <t>Office Supplies Benefits and Payroll Accounting Monitor stand</t>
  </si>
  <si>
    <t>WEXP-00023064</t>
  </si>
  <si>
    <t>10968437.tif 10968438.tif 10968439.tif</t>
  </si>
  <si>
    <t>laptop charger for work from home</t>
  </si>
  <si>
    <t>Office Supplies laptop charger for work from home</t>
  </si>
  <si>
    <t>WEXP-00023790</t>
  </si>
  <si>
    <t>10999282.tif 10999283.tif 10999284.tif</t>
  </si>
  <si>
    <t>Memo Virtual Team Lunch - Strategic Planning</t>
  </si>
  <si>
    <t>.Business Meals Memo Virtual Team Lunch - Strategic Planning</t>
  </si>
  <si>
    <t>WEXP-00023442</t>
  </si>
  <si>
    <t>10980709.tif 10980710.tif 10980711.tif</t>
  </si>
  <si>
    <t>Lunch with the TBS Appications group</t>
  </si>
  <si>
    <t>.Business Meals Lunch with the TBS Appications group</t>
  </si>
  <si>
    <t>WEXP-00024182</t>
  </si>
  <si>
    <t>11021176.tif 11021177.tif 11021178.tif</t>
  </si>
  <si>
    <t>No Dirty Dishes Day Lunch - HR</t>
  </si>
  <si>
    <t>.Business Meals No Dirty Dishes Day Lunch - HR</t>
  </si>
  <si>
    <t>WEXP-00023908</t>
  </si>
  <si>
    <t>10999269.tif 10999270.tif 10999271.tif 10999272.tif 10999273.tif 10999274.tif 10999275.tif 10999276.tif</t>
  </si>
  <si>
    <t>Lunch meal during the Covid-19 pandemic per Kelli Martin</t>
  </si>
  <si>
    <t>.Business Meals Lunch meal during the Covid-19 pandemic per Kelli Martin</t>
  </si>
  <si>
    <t>.Business Meals lunch meal during the covid-19 pandemic per Kelli Martin</t>
  </si>
  <si>
    <t>.Business Meals Lunch meal during Covid-19 pandemic per Kelli Martin</t>
  </si>
  <si>
    <t>WEXP-00023647</t>
  </si>
  <si>
    <t>10980989.tif 10980990.tif 10980991.tif 10980992.tif 10980993.tif 10980994.tif 10980995.tif 10980996.tif 10980997.tif 10980998.tif 10980999.tif 10981000.tif 10981001.tif</t>
  </si>
  <si>
    <t>Employee Virtual Staff Meeting to discuss the status of current work projects, and remote work environment.</t>
  </si>
  <si>
    <t>Professional Dues Texas Society Certified Public Accountants - Annual Membership Fee (6/1/2020 through 5/31/2021)</t>
  </si>
  <si>
    <t>Employee Development Expense TXCPA Energy Conference - Registration Fee - Conference May 11 -12, 2020</t>
  </si>
  <si>
    <t>.Business Meals Employee Virtual Staff Meeting to discuss the status of current work projects, and remote work environment.</t>
  </si>
  <si>
    <t>Airfare GUD No. 10796/10779 Rate Case Expense Hearing - Southwest Airlines Flight cancelled due to weather</t>
  </si>
  <si>
    <t>WEXP-00023713</t>
  </si>
  <si>
    <t>10982554.tif 10982555.tif 10982556.tif 10982557.tif</t>
  </si>
  <si>
    <t>Yearly $99 Apple Developer Program Fee</t>
  </si>
  <si>
    <t>Computer Skills &amp; Systems Training Yearly $99 Apple Developer Program Fee</t>
  </si>
  <si>
    <t>WEXP-00023566</t>
  </si>
  <si>
    <t>10981200.tif 10981201.tif 10981202.tif 10981203.tif 10981204.tif 10981205.tif 10981206.tif 10981207.tif 10981208.tif 10981209.tif 10981210.tif 10981211.tif 10981212.tif 10981213.tif 10981214.tif</t>
  </si>
  <si>
    <t>Lunch while training Advanced Service from home during COVID.</t>
  </si>
  <si>
    <t>.Business Meals Lunch while training Gas Fundamentals from home during COVID.</t>
  </si>
  <si>
    <t>.Business Meals Lunch while training Advanced Service from home during COVID.</t>
  </si>
  <si>
    <t>WEXP-00024137</t>
  </si>
  <si>
    <t>11021065.tif 11021066.tif 11021067.tif 11021068.tif 11021069.tif 11021070.tif 11021071.tif 11021072.tif 11021073.tif 11021074.tif 11021075.tif 11021076.tif 11021077.tif 11021078.tif 11021079.tif</t>
  </si>
  <si>
    <t>LUNCH WHILE PARTICIPATING IN ENTERPRISE TAKE OUT TUESDAY EVENT.</t>
  </si>
  <si>
    <t>Employee Welfare Expense 811 Challenge internal contest winner for MS Divisionor</t>
  </si>
  <si>
    <t>Employee Welfare Expense 811 Challenge internal contest winner for KMD Division</t>
  </si>
  <si>
    <t>Employee Welfare Expense 811 Challenge internal contest winner for WTX Division</t>
  </si>
  <si>
    <t>Employee Welfare Expense 811 Challenge internal contest winner for MDTX Division</t>
  </si>
  <si>
    <t>Employee Welfare Expense 811 Challenge internal contest winner for SHSR Division</t>
  </si>
  <si>
    <t>Employee Welfare Expense 811 Challenge internal contest winner for LA Division</t>
  </si>
  <si>
    <t>Employee Welfare Expense 811 Challenge internal contest winner for COKS Division</t>
  </si>
  <si>
    <t>WEXP-00024164</t>
  </si>
  <si>
    <t>11021278.tif 11021279.tif 11021280.tif 11021281.tif 11021282.tif 11021283.tif 11021284.tif 11021285.tif 11021286.tif 11021287.tif</t>
  </si>
  <si>
    <t>Office supplies (steno pads) for business use while working remotely</t>
  </si>
  <si>
    <t>Office Supplies Office supplies (steno pads) for business use while working remotely</t>
  </si>
  <si>
    <t>WEXP-00024022</t>
  </si>
  <si>
    <t>11020720.tif 11020721.tif 11020722.tif 11020723.tif 11020724.tif 11020725.tif 11020726.tif 11020727.tif</t>
  </si>
  <si>
    <t>Rates and Planning Virtual Lunch</t>
  </si>
  <si>
    <t>Training TXCPA Energy Conference 2020 for CPE Credit</t>
  </si>
  <si>
    <t>.Business Meals Rates and Planning Virtual Lunch</t>
  </si>
  <si>
    <t>Training Ethics Training CPE for CPA License</t>
  </si>
  <si>
    <t>WEXP-00024039</t>
  </si>
  <si>
    <t>10999957.tif 10999958.tif 10999959.tif 10999960.tif 10999961.tif</t>
  </si>
  <si>
    <t>Lunch during covid19 work from home</t>
  </si>
  <si>
    <t>.Business Meals Lunch during covid19 work from home</t>
  </si>
  <si>
    <t>WEXP-00024102</t>
  </si>
  <si>
    <t>11020592.tif 11020593.tif 11020594.tif</t>
  </si>
  <si>
    <t>WEXP-00024073</t>
  </si>
  <si>
    <t>CHC20200518-WD EXP</t>
  </si>
  <si>
    <t>11020582.tif 11020583.tif 11020584.tif</t>
  </si>
  <si>
    <t>Renew professional annual CPA license</t>
  </si>
  <si>
    <t>Professional Dues Renew professional annual CPA license</t>
  </si>
  <si>
    <t>WEXP-00021976</t>
  </si>
  <si>
    <t>10980868.tif 10980869.tif 10980870.tif 10980871.tif 10980872.tif</t>
  </si>
  <si>
    <t>Logitech Camera for Work From Home</t>
  </si>
  <si>
    <t>.Business Meals Team working lunch - March 31st 2020</t>
  </si>
  <si>
    <t>Office Supplies Logitech Camera for Work From Home</t>
  </si>
  <si>
    <t>WEXP-00023839</t>
  </si>
  <si>
    <t>10982426.tif 10982427.tif 10982428.tif 10982429.tif 10982430.tif 10982431.tif 10982432.tif 10982433.tif 10982434.tif 10982435.tif 10982436.tif 10982437.tif 10982438.tif 10982439.tif 10982440.tif 10982441.tif 10982442.tif 10982443.tif 10982444.tif 10982445.tif 10982446.tif 10982447.tif 10982448.tif</t>
  </si>
  <si>
    <t>Restock conference rooms for future meetings</t>
  </si>
  <si>
    <t>IT Equipment Printer, scanner, fax, copier for remote working</t>
  </si>
  <si>
    <t>Employee Welfare Expense Sympathy flowers for the passing of David Hebert's father.</t>
  </si>
  <si>
    <t>Other - MC March and April subscription to Wall Street Journal</t>
  </si>
  <si>
    <t>Employee Welfare Expense Sympathy flowers for the passing of Tere Schuette's mother</t>
  </si>
  <si>
    <t>Other - MC Renew six month digital subscription</t>
  </si>
  <si>
    <t>WEXP-00023907</t>
  </si>
  <si>
    <t>10999288.tif 10999289.tif 10999290.tif</t>
  </si>
  <si>
    <t>WEXP-00023976</t>
  </si>
  <si>
    <t>10999769.tif 10999770.tif 10999771.tif</t>
  </si>
  <si>
    <t>Web Cam for Virtual Atmospirit</t>
  </si>
  <si>
    <t>IT Equipment Web Cam for Virtual Atmospirit</t>
  </si>
  <si>
    <t>WEXP-00024180</t>
  </si>
  <si>
    <t>11021295.tif 11021296.tif 11021297.tif</t>
  </si>
  <si>
    <t>HR lunch receipt for National No Dirty Dishes Day</t>
  </si>
  <si>
    <t>.Business Meals HR lunch receipt for National No Dirty Dishes Day</t>
  </si>
  <si>
    <t>WEXP-00023201</t>
  </si>
  <si>
    <t>10980907.tif 10980908.tif 10980909.tif</t>
  </si>
  <si>
    <t>lunch while working from home for Construction Essentials</t>
  </si>
  <si>
    <t>.Business Meals lunch while working from home for Construction Essentials</t>
  </si>
  <si>
    <t>WEXP-00023964</t>
  </si>
  <si>
    <t>10999678.tif 10999679.tif 10999680.tif</t>
  </si>
  <si>
    <t>Lunch for Construction Essentials While working from home</t>
  </si>
  <si>
    <t>.Business Meals Lunch for Construction Essentials While working from home</t>
  </si>
  <si>
    <t>WEXP-00023731</t>
  </si>
  <si>
    <t>10981837.tif 10981838.tif 10981839.tif</t>
  </si>
  <si>
    <t>WEXP-00023841</t>
  </si>
  <si>
    <t>11021525.tif 11021526.tif 11021527.tif</t>
  </si>
  <si>
    <t>Annual subscription dues for the Dallas Business Journal.</t>
  </si>
  <si>
    <t>Employee Welfare Expense Annual subscription dues for the Dallas Business Journal.</t>
  </si>
  <si>
    <t>WEXP-00023942</t>
  </si>
  <si>
    <t>10999681.tif 10999682.tif 10999683.tif 10999684.tif 10999685.tif 10999686.tif 10999687.tif 10999688.tif 10999689.tif 10999690.tif 10999691.tif 10999692.tif 10999693.tif 10999694.tif</t>
  </si>
  <si>
    <t>Annual Renewal Texas Society of CPAs</t>
  </si>
  <si>
    <t>Professional Dues Texas CPA License renewal fees</t>
  </si>
  <si>
    <t>Professional Dues Annual Renewal Texas Society of CPAs</t>
  </si>
  <si>
    <t>Professional Dues Annual CTP Certification fees AFP</t>
  </si>
  <si>
    <t>Professional Dues Annual CTP renewal fees AFP.org</t>
  </si>
  <si>
    <t>Professional Dues Texas CPA renewal fees - fingerprint</t>
  </si>
  <si>
    <t>WEXP-00024026</t>
  </si>
  <si>
    <t>10999927.tif 10999928.tif 10999929.tif</t>
  </si>
  <si>
    <t>Reimbursement for switch used in the set up of my computer while working remotely</t>
  </si>
  <si>
    <t>IT Equipment Reimbursement for switch used in the set up of my computer while working remotely</t>
  </si>
  <si>
    <t>WEXP-00022947</t>
  </si>
  <si>
    <t>11033760.tif 11033761.tif 11033762.tif 11033763.tif</t>
  </si>
  <si>
    <t>Annual membership dues for Project Management Institute</t>
  </si>
  <si>
    <t>Professional Dues Annual membership dues for Project Management Institute</t>
  </si>
  <si>
    <t>WEXP-00005049</t>
  </si>
  <si>
    <t>11021305.tif 11021306.tif 11021307.tif 11021308.tif 11021309.tif 11021310.tif 11021311.tif 11021312.tif 11021313.tif 11021314.tif</t>
  </si>
  <si>
    <t>Keurig Rental - L2 / 16 / west &amp; east breakrooms</t>
  </si>
  <si>
    <t>Employee Welfare Expense David Grant's father passed away</t>
  </si>
  <si>
    <t>.Business Meals Keurig Rental - L2 / 16 / west &amp; east break rooms</t>
  </si>
  <si>
    <t>WEXP-00005004</t>
  </si>
  <si>
    <t>10980554.tif 10980555.tif 10980556.tif 10980557.tif 10980558.tif 10980559.tif 10980560.tif 10980561.tif 10980562.tif 10980563.tif 10980564.tif 10980565.tif 10980566.tif 10980567.tif 10980568.tif 10980569.tif 10980570.tif</t>
  </si>
  <si>
    <t>Mechelle Watts' sister passed away</t>
  </si>
  <si>
    <t>Employee Welfare Expense Mechelle Watts' sister passed away</t>
  </si>
  <si>
    <t>.Business Meals Monthly Rental of Keurig Machines for IT L2 / 16 / west &amp; east breakrooms</t>
  </si>
  <si>
    <t>Cell Phone Equipment &amp; Accessories Repair Screen on my Samsung 8+ Device</t>
  </si>
  <si>
    <t>Office Supplies Thumbdrives for Scott Womer - BCP Documents</t>
  </si>
  <si>
    <t>Office Supplies Office Supplies for Debbie Shannon</t>
  </si>
  <si>
    <t>WEXP-00010941</t>
  </si>
  <si>
    <t>11021288.tif 11021289.tif 11021290.tif 11021291.tif 11021292.tif 11021293.tif 11021294.tif</t>
  </si>
  <si>
    <t>Cancellation - ITLT 7/21 &amp; 7/22/2020 FTF Meetings at Stonebriar CC</t>
  </si>
  <si>
    <t>Employee Development Expense Cancellation - ITLT 7/21 &amp; 7/22/2020 FTF Meetings at Stonebriar CC</t>
  </si>
  <si>
    <t>COVID Cancellation</t>
  </si>
  <si>
    <t>WEXP-00024184</t>
  </si>
  <si>
    <t>11032787.tif 11032788.tif 11032789.tif</t>
  </si>
  <si>
    <t>No Dirty Dishes day for HR to support local restaurants</t>
  </si>
  <si>
    <t>.Business Meals No Dirty Dishes day for HR to support local restaurants</t>
  </si>
  <si>
    <t>291230</t>
  </si>
  <si>
    <t>Stoker, James G (Garrett)</t>
  </si>
  <si>
    <t>WEXP-00023550</t>
  </si>
  <si>
    <t>10980282.tif 10980283.tif 10980284.tif</t>
  </si>
  <si>
    <t>Tasty Egg Roll lunch receipt for take out tuesday</t>
  </si>
  <si>
    <t>.Social Meal &amp; Events Tasty Egg Roll lunch receipt for take out tuesday</t>
  </si>
  <si>
    <t>WEXP-00023783</t>
  </si>
  <si>
    <t>10982156.tif 10982157.tif 10982158.tif</t>
  </si>
  <si>
    <t>Mailing Unemployment Paperwork</t>
  </si>
  <si>
    <t>Postage Mailing Unemployment Paperwork</t>
  </si>
  <si>
    <t>WEXP-00023782</t>
  </si>
  <si>
    <t>10982039.tif 10982040.tif 10982041.tif</t>
  </si>
  <si>
    <t>Mailing Unemployment paperwork</t>
  </si>
  <si>
    <t>Postage Mailing Unemployment paperwork</t>
  </si>
  <si>
    <t>WEXP-00023781</t>
  </si>
  <si>
    <t>10982273.tif 10982274.tif 10982275.tif 10982276.tif</t>
  </si>
  <si>
    <t>Mailing unemployment documentation</t>
  </si>
  <si>
    <t>Postage Mailing unemployment documentation</t>
  </si>
  <si>
    <t>WEXP-00024315</t>
  </si>
  <si>
    <t>11033734.tif 11033735.tif 11033736.tif</t>
  </si>
  <si>
    <t>Miscellaneous Home Office Supplies</t>
  </si>
  <si>
    <t>Office Supplies Miscellaneous Home Office Supplies</t>
  </si>
  <si>
    <t>WEXP-00024169</t>
  </si>
  <si>
    <t>11033609.tif 11033610.tif 11033611.tif 11033612.tif 11033613.tif 11033614.tif 11033615.tif 11033616.tif 11033617.tif 11033618.tif 11033619.tif 11033620.tif 11033621.tif 11033622.tif 11033623.tif 11033624.tif 11033625.tif 11033626.tif 11033627.tif 11033628.tif 11033629.tif 11033630.tif 11033631.tif 11033632.tif 11033633.tif 11033634.tif 11033635.tif 11033636.tif 11033637.tif 11033638.tif 11033639.tif 11033640.tif 11033641.tif 11033642.tif 11033643.tif 11033644.tif 11033645.tif 11033646.tif 11033647.tif 11033648.tif 11033649.tif 11033650.tif 11033651.tif 11033652.tif 11033653.tif 11033654.tif 11033655.tif 11033656.tif 11033657.tif 11033658.tif 11033659.tif 11033660.tif 11033661.tif 11033662.tif 11033663.tif 11033664.tif 11033665.tif 11033666.tif 11033667.tif 11033668.tif 11033669.tif 11033670.tif 11033671.tif 11033672.tif 11033673.tif 11033674.tif 11033675.tif 11033676.tif 11033677.tif 11033678.tif 11033679.tif 11033680.tif 11033681.tif 11033682.tif 11033683.tif 11033684.tif 11033685.tif 11033686.tif</t>
  </si>
  <si>
    <t>Virtual Bagel Wednesday for Tax Department</t>
  </si>
  <si>
    <t>.Social Meal &amp; Events Virtual Bagel Wednesday for Tax Department</t>
  </si>
  <si>
    <t>Office Supplies Clip Art with License for tax/accounting care packages</t>
  </si>
  <si>
    <t>IT Equipment USB Y Splitter Cable-Shipped to Catherine Huang</t>
  </si>
  <si>
    <t>.Social Meal &amp; Events Birthday Meal for Joeseph Whitaker from Financial Reporting Department</t>
  </si>
  <si>
    <t>Gifts Virtual Bingo for Tax Department Prize</t>
  </si>
  <si>
    <t>WEXP-00023178</t>
  </si>
  <si>
    <t>10981562.tif 10981563.tif 10981564.tif</t>
  </si>
  <si>
    <t>As a way to say thank you for your dedication and tireless efforts, lunch is on us.   On Tuesday, April 28, employees across our utility divisions will have the opportunity to participate in ¿¿¿Take-Out Tuesday¿¿¿ to support local restauran</t>
  </si>
  <si>
    <t>.Business Meals As a way to say thank you for your dedication and tireless efforts, lunch is on us.   On Tuesday, April 28, employees across our utility divisions will have the opportunity to participate in ¿¿¿Take-Out Tuesday¿¿¿ to support</t>
  </si>
  <si>
    <t>WEXP-00023707</t>
  </si>
  <si>
    <t>10981565.tif 10981566.tif 10981567.tif</t>
  </si>
  <si>
    <t>ups for home office work from home</t>
  </si>
  <si>
    <t>IT Equipment ups for home office work from home</t>
  </si>
  <si>
    <t>WEXP-00023635</t>
  </si>
  <si>
    <t>10981125.tif 10981126.tif 10981127.tif</t>
  </si>
  <si>
    <t>Virtual Lunch with Rates &amp; Budget groups  in an effort to foster a sense of online community and to support local business</t>
  </si>
  <si>
    <t>.Business Meals Virtual Lunch with Rates &amp; Budget groups  in an effort to foster a sense of online community and to support local business</t>
  </si>
  <si>
    <t>WEXP-00020740</t>
  </si>
  <si>
    <t>CHC20200626-WD EXP</t>
  </si>
  <si>
    <t>Airfare_Sept Board Work Session_Pebble Beach, CA (9/22-9/26)</t>
  </si>
  <si>
    <t>Spouse Transportation - MC Spouse Airfare_Sept Board Work Session_Pebble Beach, CA (9/22-9/26)</t>
  </si>
  <si>
    <t>Transportation - MC Airfare_Sept Board Work Session_Pebble Beach, CA (9/22-9/26)</t>
  </si>
  <si>
    <t>WEXP-00024502</t>
  </si>
  <si>
    <t>FEI Executive Membership Dues Dallas</t>
  </si>
  <si>
    <t>Professional Dues - MC FEI Executive Membership Dues Dallas</t>
  </si>
  <si>
    <t>Professional Dues - MC Member Dues 6/1/2020 - 5/31/2021</t>
  </si>
  <si>
    <t>WEXP-00025626</t>
  </si>
  <si>
    <t>Webcam for Atmos Energy Team meetings</t>
  </si>
  <si>
    <t>Office Supplies Webcam for Atmos Energy Team meetings</t>
  </si>
  <si>
    <t>WEXP-00025282</t>
  </si>
  <si>
    <t>Mini SD Chip for Samsung Galaxy Wipe and Restart</t>
  </si>
  <si>
    <t>Office Supplies Mini SD Chip for Samsung Galaxy Wipe and Restart</t>
  </si>
  <si>
    <t>WEXP-00024440</t>
  </si>
  <si>
    <t>Office Supplies during work from home</t>
  </si>
  <si>
    <t>Office Supplies Office Supplies during work from home</t>
  </si>
  <si>
    <t>WEXP-00024965</t>
  </si>
  <si>
    <t>Take Out Tuesday Lunch, June 9, 2020</t>
  </si>
  <si>
    <t>.Social Meal &amp; Events Take Out Tuesday Lunch, June 9, 2020</t>
  </si>
  <si>
    <t>WEXP-00024981</t>
  </si>
  <si>
    <t>11064555.tif 11064556.tif 11064557.tif</t>
  </si>
  <si>
    <t>289105</t>
  </si>
  <si>
    <t>Anderson, Briane (Briane)</t>
  </si>
  <si>
    <t>WEXP-00025002</t>
  </si>
  <si>
    <t>11064882.tif 11064883.tif 11064884.tif</t>
  </si>
  <si>
    <t>This is for the company wide Take Out Tuesday. The total amount on the receipt is 22.73 but I put 15.00 in total amount I have attached the receipt as a JPEG file</t>
  </si>
  <si>
    <t>.Business Meals This is for the company wide Take Out Tuesday. The total amount on the receipt is 22.73 but I put 15.00 in total amount I have attached the receipt as a JPEG file</t>
  </si>
  <si>
    <t>WEXP-00024466</t>
  </si>
  <si>
    <t>11063726.tif 11063727.tif 11063728.tif</t>
  </si>
  <si>
    <t>Work from Home Team Lunch from Leadership</t>
  </si>
  <si>
    <t>.Social Meal &amp; Events Work from Home Team Lunch from Leadership</t>
  </si>
  <si>
    <t>WEXP-00024666</t>
  </si>
  <si>
    <t>11064652.tif 11064653.tif 11064654.tif</t>
  </si>
  <si>
    <t>Local Restaurant Support Tuesday</t>
  </si>
  <si>
    <t>.Business Meals Local Restaurant Support Tuesday</t>
  </si>
  <si>
    <t>WEXP-00024587</t>
  </si>
  <si>
    <t>11063820.tif 11063821.tif 11063822.tif 11063823.tif</t>
  </si>
  <si>
    <t>Zoe's Kitchen Lunch May Close 2020</t>
  </si>
  <si>
    <t>.Business Meals Zoe's Kitchen Lunch May Close 2020</t>
  </si>
  <si>
    <t>WEXP-00024581</t>
  </si>
  <si>
    <t>11063962.tif 11063963.tif 11063964.tif</t>
  </si>
  <si>
    <t>Panera Bread Lunch May Close 2020</t>
  </si>
  <si>
    <t>.Business Meals Panera Bread Lunch May Close 2020</t>
  </si>
  <si>
    <t>WEXP-00025031</t>
  </si>
  <si>
    <t>11085606.tif 11085607.tif 11085608.tif</t>
  </si>
  <si>
    <t>Take Out Tuesday 9th June 2020</t>
  </si>
  <si>
    <t>.Business Meals Take Out Tuesday 9th June 2020</t>
  </si>
  <si>
    <t>WEXP-00024521</t>
  </si>
  <si>
    <t>11048500.tif 11048501.tif 11048502.tif</t>
  </si>
  <si>
    <t>CPE Online Courses-Self Study Yearly Access</t>
  </si>
  <si>
    <t>Employee Development Expense CPE Online Courses-Self Study Yearly Access</t>
  </si>
  <si>
    <t>WEXP-00025518</t>
  </si>
  <si>
    <t>11086209.tif 11086210.tif 11086211.tif 11086212.tif</t>
  </si>
  <si>
    <t>Purchase of 1 year 5 license pack for TreeSize Disk Analysis utility</t>
  </si>
  <si>
    <t>Software Maintenance Purchase of 1 year 5 license pack for TreeSize Disk Analysis utility</t>
  </si>
  <si>
    <t>WEXP-00024368</t>
  </si>
  <si>
    <t>KAW200624_1 WDEXP</t>
  </si>
  <si>
    <t>11100751.tif 11100752.tif 11100753.tif</t>
  </si>
  <si>
    <t>Annual Wall Street Journal Subscription</t>
  </si>
  <si>
    <t>Employee Welfare Expense Annual Wall Street Journal Subscription</t>
  </si>
  <si>
    <t>Birge, Justin (Justin)</t>
  </si>
  <si>
    <t>WEXP-00025070</t>
  </si>
  <si>
    <t>11084708.tif 11084709.tif 11084710.tif 11084711.tif</t>
  </si>
  <si>
    <t>Meal on Atmos. Not for the full amount, but the $15 covered</t>
  </si>
  <si>
    <t>.Business Meals Meal on Atmos. Not for the full amount, but the $15 covered</t>
  </si>
  <si>
    <t>WEXP-00024728</t>
  </si>
  <si>
    <t>11064155.tif 11064156.tif 11064157.tif 11064158.tif 11064159.tif 11064160.tif</t>
  </si>
  <si>
    <t>Takeout Tuesday Lunch As Authorized By Managment.</t>
  </si>
  <si>
    <t>.Business Meals Takeout Tuesday Lunch As Authorized By Managment.Takeout Tuesday Lunch As Authorized By Managment.</t>
  </si>
  <si>
    <t>Office Supplies Custom masks from Patti Monzingo for CKV until mask supply could be provided by procurement.</t>
  </si>
  <si>
    <t>WEXP-00024416</t>
  </si>
  <si>
    <t>11048490.tif 11048491.tif 11048492.tif 11048493.tif</t>
  </si>
  <si>
    <t>Yearly AICPA Renwal of Membership/CGMA Dues</t>
  </si>
  <si>
    <t>Professional Dues Yearly AICPA Renwal of Membership/CGMA Dues</t>
  </si>
  <si>
    <t>WEXP-00024414</t>
  </si>
  <si>
    <t>11048487.tif 11048488.tif 11048489.tif</t>
  </si>
  <si>
    <t>Annual yearly memebership dues for Texas Socieity of Certified Public Accountants</t>
  </si>
  <si>
    <t>Professional Dues Annual yearly memebership dues for Texas Socieity of Certified Public Accountants</t>
  </si>
  <si>
    <t>WEXP-00025301</t>
  </si>
  <si>
    <t>11085120.tif 11085121.tif 11085122.tif 11085123.tif 11085124.tif 11085125.tif 11085126.tif 11085127.tif 11085128.tif</t>
  </si>
  <si>
    <t>Office supplies while working from home during pandemic.</t>
  </si>
  <si>
    <t>Office Supplies Office supplies while working from home during pandemic.</t>
  </si>
  <si>
    <t>.Business Meals Gas Supply working lunch - 06-09-2020</t>
  </si>
  <si>
    <t>WEXP-00025045</t>
  </si>
  <si>
    <t>11085577.tif 11085578.tif 11085579.tif 11085580.tif</t>
  </si>
  <si>
    <t>Atmos Energy's, Take Out Tuesday to support local restaurants</t>
  </si>
  <si>
    <t>.Business Meals Atmos Energy's, Take Out Tuesday to support local restaurants</t>
  </si>
  <si>
    <t>WEXP-00025239</t>
  </si>
  <si>
    <t>11084635.tif 11084636.tif 11084637.tif 11084638.tif</t>
  </si>
  <si>
    <t>TSBPA Individual License Renewal</t>
  </si>
  <si>
    <t>WEXP-00025269</t>
  </si>
  <si>
    <t>11085335.tif 11085336.tif 11085337.tif 11085338.tif 11085339.tif 11085340.tif 11085341.tif 11085342.tif 11085343.tif 11085344.tif 11085345.tif 11085346.tif 11085347.tif 11085348.tif 11085349.tif 11085350.tif 11085351.tif 11085352.tif 11085353.tif 11085354.tif 11085355.tif 11085356.tif 11085357.tif 11085358.tif</t>
  </si>
  <si>
    <t>Enterprise wide lunch for takeout tuesday</t>
  </si>
  <si>
    <t>Software Maintenance Video editing app approved on device use for BPCM by IT - used for video editing of tutorial video for Daily Wellness Check-in tool</t>
  </si>
  <si>
    <t>.Business Meals Business Process and Change Management Work Lunch per Bronson Blodgett - Employee Welfare</t>
  </si>
  <si>
    <t>Software Maintenance Weekly subscription for cellphone based app to record video for BPCM project deliverable for Daily wellness check in tool</t>
  </si>
  <si>
    <t>Software Maintenance Weekly subscription for cell phone based app used for BPCM video deliverable for Daily Wellness tool</t>
  </si>
  <si>
    <t>.Business Meals Enterprise wide lunch for take out tuesday</t>
  </si>
  <si>
    <t>WEXP-00024334</t>
  </si>
  <si>
    <t>11047803.tif 11047804.tif 11047805.tif 11047806.tif 11047807.tif 11047808.tif 11047809.tif 11047810.tif 11047811.tif 11047812.tif 11047813.tif 11047814.tif 11047815.tif 11047816.tif 11047817.tif 11047818.tif</t>
  </si>
  <si>
    <t>Chili's for the mail room employees during our shutdown</t>
  </si>
  <si>
    <t>.Business Meals Chipotle for the mail room employees during our shutdown</t>
  </si>
  <si>
    <t>.Business Meals Chili's for the mail room employees during our shutdown</t>
  </si>
  <si>
    <t>.Business Meals Taco Cabana for the mail room employees during our shutdown</t>
  </si>
  <si>
    <t>.Business Meals Chuy's  for the mail room employees during our shutdown</t>
  </si>
  <si>
    <t>WEXP-00024471</t>
  </si>
  <si>
    <t>11048410.tif 11048411.tif 11048412.tif</t>
  </si>
  <si>
    <t>Reimbursement for Mask for Gordon Joswiak</t>
  </si>
  <si>
    <t>Office Supplies Reimbursement for Mask for Gordon Joswiak</t>
  </si>
  <si>
    <t>WEXP-00024339</t>
  </si>
  <si>
    <t>11048497.tif 11048498.tif 11048499.tif</t>
  </si>
  <si>
    <t>Office Supplies from Staples (ink for printer)</t>
  </si>
  <si>
    <t>Office Supplies Office Supplies from Staples (ink for printer)</t>
  </si>
  <si>
    <t>WEXP-00025467</t>
  </si>
  <si>
    <t>11085501.tif 11085502.tif 11085503.tif 11085504.tif</t>
  </si>
  <si>
    <t>Society for Corporate Governance 2020 Virtual National Conference, July 7-10, 2020</t>
  </si>
  <si>
    <t>Employee Development Expense Society for Corporate Governance 2020 Virtual National Conference, July 7-10, 2020</t>
  </si>
  <si>
    <t>WEXP-00024816</t>
  </si>
  <si>
    <t>11085183.tif 11085184.tif 11085185.tif</t>
  </si>
  <si>
    <t>Take Out Tuesday: We¿¿¿ll Get the Tab</t>
  </si>
  <si>
    <t>.Business Meals Take Out Tuesday: We¿¿¿ll Get the Tab</t>
  </si>
  <si>
    <t>WEXP-00025393</t>
  </si>
  <si>
    <t>11085696.tif 11085697.tif 11085698.tif 11085699.tif 11085700.tif 11085701.tif 11085702.tif 11085703.tif 11085704.tif 11085705.tif 11085706.tif 11085707.tif 11085708.tif 11085709.tif 11085710.tif 11085711.tif 11085712.tif 11085713.tif 11085714.tif 11085715.tif 11085716.tif 11085717.tif</t>
  </si>
  <si>
    <t>four Round trip mileage to Columbia Gas Control Site</t>
  </si>
  <si>
    <t>.Business Meals Lunch provided by company for all employees</t>
  </si>
  <si>
    <t>.Business Meals Lunch provided meal for all employees</t>
  </si>
  <si>
    <t>.Business Meals Snacks for Columbia Gas Control room</t>
  </si>
  <si>
    <t>.Business Meals Snacks for both Gas Control rooms</t>
  </si>
  <si>
    <t>Mileage four Round trip mileage to Columbia Gas Control Site</t>
  </si>
  <si>
    <t>Office Supplies Keys for controllers to front door at Columbia operations</t>
  </si>
  <si>
    <t>.Business Meals Snacks for both Gas Control Rooms</t>
  </si>
  <si>
    <t>Office Supplies Paper towels for Gas Control Room in Columbia TN</t>
  </si>
  <si>
    <t>WEXP-00024378</t>
  </si>
  <si>
    <t>11047839.tif 11047840.tif 11047841.tif</t>
  </si>
  <si>
    <t>Annual Dues for State Bar of Texas</t>
  </si>
  <si>
    <t>Professional Dues Annual Dues for State Bar of Texas</t>
  </si>
  <si>
    <t>WEXP-00025587</t>
  </si>
  <si>
    <t>11100173.tif 11100174.tif 11100175.tif</t>
  </si>
  <si>
    <t>approved lunch for workforce development by V.P.</t>
  </si>
  <si>
    <t>.Business Meals approved lunch for workforce development by V.P.</t>
  </si>
  <si>
    <t>WEXP-00024559</t>
  </si>
  <si>
    <t>11063986.tif 11063987.tif 11063988.tif</t>
  </si>
  <si>
    <t>WEXP-00024383</t>
  </si>
  <si>
    <t>11047977.tif 11047978.tif 11047979.tif</t>
  </si>
  <si>
    <t>approved weekly lunch for work force development by our V.P.</t>
  </si>
  <si>
    <t>.Business Meals approved weekly lunch for work force development by our V.P.</t>
  </si>
  <si>
    <t>WEXP-00024726</t>
  </si>
  <si>
    <t>11064131.tif 11064132.tif 11064133.tif</t>
  </si>
  <si>
    <t>approved lunch for Take Out Tuesday</t>
  </si>
  <si>
    <t>.Business Meals approved lunch for Take Out Tuesday</t>
  </si>
  <si>
    <t>WEXP-00024483</t>
  </si>
  <si>
    <t>11084618.tif 11084619.tif 11084620.tif</t>
  </si>
  <si>
    <t>The Impact of COVID-19 on Utility Rate Making</t>
  </si>
  <si>
    <t>Training The Impact of COVID-19 on Utility Rate Making</t>
  </si>
  <si>
    <t>COVID - Class on Rate making</t>
  </si>
  <si>
    <t>WEXP-00025382</t>
  </si>
  <si>
    <t>11084621.tif 11084622.tif 11084623.tif 11084624.tif 11084625.tif 11084626.tif 11084627.tif 11084628.tif</t>
  </si>
  <si>
    <t>NARUC Summer Policy Summit 2020</t>
  </si>
  <si>
    <t>Employee Development Expense NARUC Summer Policy Summit 2020</t>
  </si>
  <si>
    <t>Training Taxation Committee Meeting Registration Fee</t>
  </si>
  <si>
    <t>Association Dues American Institute of Certified Public Accountants</t>
  </si>
  <si>
    <t>WEXP-00025761</t>
  </si>
  <si>
    <t>11101010.tif 11101011.tif 11101012.tif</t>
  </si>
  <si>
    <t>Lunch for Take Out Tuesday in support of local restaurants</t>
  </si>
  <si>
    <t>.Business Meals Lunch for Take Out Tuesday in support of local restaurants</t>
  </si>
  <si>
    <t>WEXP-00024454</t>
  </si>
  <si>
    <t>11048742.tif 11048743.tif 11048744.tif 11048745.tif 11048746.tif 11048747.tif 11048748.tif</t>
  </si>
  <si>
    <t>Cell phone accessories company cell phone</t>
  </si>
  <si>
    <t>Cell Phone Equipment &amp; Accessories Cell phone accessories company cell phone</t>
  </si>
  <si>
    <t>Office Supplies Office supplies for remote working</t>
  </si>
  <si>
    <t>WEXP-00025476</t>
  </si>
  <si>
    <t>11085421.tif 11085422.tif 11085423.tif</t>
  </si>
  <si>
    <t>Take Out Tuesday-Support Local Resaurants</t>
  </si>
  <si>
    <t>.Business Meals Take Out Tuesday-Support Local Resaurants</t>
  </si>
  <si>
    <t>WEXP-00025506</t>
  </si>
  <si>
    <t>11100096.tif 11100097.tif 11100098.tif 11100099.tif 11100100.tif 11100101.tif 11100102.tif 11100103.tif 11100104.tif 11100105.tif 11100106.tif</t>
  </si>
  <si>
    <t>Business meal while teaching monitoring systems while working remotely</t>
  </si>
  <si>
    <t>.Business Meals Business meal while teaching monitoring systems while working remotely</t>
  </si>
  <si>
    <t>.Business Meals Business meal  teaching Monitoring Systems while working remotely</t>
  </si>
  <si>
    <t>.Business Meals Business meal while teaching monitoring Systems while working remotely</t>
  </si>
  <si>
    <t>WEXP-00025783</t>
  </si>
  <si>
    <t>11107613.tif 11107614.tif 11107615.tif 11107616.tif 11107617.tif 11107818.tif 11107819.tif 11107820.tif 11107821.tif 11107822.tif 11107868.tif 11107869.tif 11107870.tif</t>
  </si>
  <si>
    <t>Lunches for 5/18/20 HR "No Dirty Dishes Day"</t>
  </si>
  <si>
    <t>.Business Meals Lunch - 6/9/20 Atmos Enterprise "Take Out Tuesday"</t>
  </si>
  <si>
    <t>.Business Meals Lunches for 5/18/20 HR "No Dirty Dishes Day"</t>
  </si>
  <si>
    <t>WEXP-00025785</t>
  </si>
  <si>
    <t>11100858.tif 11100859.tif 11100860.tif 11100861.tif</t>
  </si>
  <si>
    <t>Walk the Talk - Boss to Peer book for New Leader HR Orientation session - CSO &amp; Shared Services</t>
  </si>
  <si>
    <t>Books &amp; Manuals Walk the Talk - Boss to Peer book for New Leader HR Orientation session - CSO &amp; Shared Services</t>
  </si>
  <si>
    <t>256541</t>
  </si>
  <si>
    <t>Darling, Jolene M (Jolene)</t>
  </si>
  <si>
    <t>WEXP-00025430</t>
  </si>
  <si>
    <t>11085359.tif 11085360.tif 11085361.tif</t>
  </si>
  <si>
    <t>takeout Tuesday 06/09/2020 - sponsored by Atmos</t>
  </si>
  <si>
    <t>.Business Meals takeout Tuesday 06/09/2020 - sponsored by Atmos</t>
  </si>
  <si>
    <t>WEXP-00024660</t>
  </si>
  <si>
    <t>11064737.tif 11064738.tif 11064739.tif</t>
  </si>
  <si>
    <t>Take Out Tuesday Lunch on Atmos</t>
  </si>
  <si>
    <t>.Business Meals Take Out Tuesday Lunch on Atmos</t>
  </si>
  <si>
    <t>WEXP-00024694</t>
  </si>
  <si>
    <t>11084477.tif 11084478.tif 11084479.tif 11084480.tif</t>
  </si>
  <si>
    <t>Take out Tuesday working lunch</t>
  </si>
  <si>
    <t>.Business Meals Take out Tuesday working lunch</t>
  </si>
  <si>
    <t>WEXP-00025123</t>
  </si>
  <si>
    <t>11084458.tif 11084459.tif 11084460.tif 11084461.tif</t>
  </si>
  <si>
    <t>Department birthday celbration</t>
  </si>
  <si>
    <t>Employee Welfare Expense Department birthday celbration</t>
  </si>
  <si>
    <t>WEXP-00025900</t>
  </si>
  <si>
    <t>11119815.tif 11119816.tif 11119817.tif</t>
  </si>
  <si>
    <t>Weekly lunch provided while working remote</t>
  </si>
  <si>
    <t>.Business Meals Weekly lunch provided while working remote</t>
  </si>
  <si>
    <t>WEXP-00025740</t>
  </si>
  <si>
    <t>11100401.tif 11100402.tif 11100403.tif 11100404.tif 11100405.tif 11100406.tif</t>
  </si>
  <si>
    <t>Two spiral notebooks while working remote for Virtual Training Classes</t>
  </si>
  <si>
    <t>Office Supplies Two spiral notebooks while working remote for Virtual Training Classes</t>
  </si>
  <si>
    <t>.Business Meals Weekly lunch granted by Workforce Development Management Team</t>
  </si>
  <si>
    <t>Dean, Celesta Y (Celesta)</t>
  </si>
  <si>
    <t>WEXP-00025484</t>
  </si>
  <si>
    <t>11085208.tif 11085209.tif 11085210.tif 11085211.tif 11085212.tif</t>
  </si>
  <si>
    <t>Take Out Tue - Lunch for employee only, to support local businesses.</t>
  </si>
  <si>
    <t>.Business Meals Take Out Tue Lunch Total $14.05 Food - $12.98 Tax - $1.07</t>
  </si>
  <si>
    <t>WEXP-00025334</t>
  </si>
  <si>
    <t>11085782.tif 11085783.tif 11085784.tif</t>
  </si>
  <si>
    <t>Webcam for videoconferencing on Teams</t>
  </si>
  <si>
    <t>Office Supplies Webcam for videoconferencing on Teams</t>
  </si>
  <si>
    <t>WEXP-00023513</t>
  </si>
  <si>
    <t>11100781.tif 11100782.tif 11100783.tif 11100784.tif 11100785.tif 11100786.tif 11100787.tif 11100788.tif 11100789.tif 11100790.tif</t>
  </si>
  <si>
    <t>Otterbox purchased to protect new work iPhone.</t>
  </si>
  <si>
    <t>.Business Meals Lunch supporting local business for enterprise wide Take Out Tuesday.</t>
  </si>
  <si>
    <t>.Business Meals Lunch supporting local restaurant for Take Out Tuesday.</t>
  </si>
  <si>
    <t>Cell Phone Equipment &amp; Accessories Otterbox phone case purchased to protect new work iPhone.</t>
  </si>
  <si>
    <t>Employee Development Expense Virtual training workshop for social media and digital communications.</t>
  </si>
  <si>
    <t>WEXP-00024558</t>
  </si>
  <si>
    <t>11063817.tif 11063818.tif 11063819.tif</t>
  </si>
  <si>
    <t>Employee lunch while working remotely on Construction Essentials classes</t>
  </si>
  <si>
    <t>.Business Meals Employee lunch while working remotely on Construction Essentials classes</t>
  </si>
  <si>
    <t>WEXP-00024926</t>
  </si>
  <si>
    <t>11085927.tif 11085928.tif 11085929.tif</t>
  </si>
  <si>
    <t>WEXP-00024386</t>
  </si>
  <si>
    <t>11047845.tif 11047846.tif 11047847.tif 11047848.tif</t>
  </si>
  <si>
    <t>268491</t>
  </si>
  <si>
    <t>Farishta, Saleem S (Sam)</t>
  </si>
  <si>
    <t>WEXP-00025325</t>
  </si>
  <si>
    <t>11085018.tif 11085019.tif 11085020.tif</t>
  </si>
  <si>
    <t>Takeout Tuesday Lunch for employess</t>
  </si>
  <si>
    <t>.Business Meals Takeout Tuesday Lunch for employess</t>
  </si>
  <si>
    <t>WEXP-00024717</t>
  </si>
  <si>
    <t>11064219.tif 11064220.tif 11064221.tif</t>
  </si>
  <si>
    <t>Take out Tuesday lunch from local restaurant.</t>
  </si>
  <si>
    <t>.Business Meals Take out Tuesday lunch from local restaurant.</t>
  </si>
  <si>
    <t>WEXP-00024971</t>
  </si>
  <si>
    <t>11064925.tif 11064926.tif 11064927.tif</t>
  </si>
  <si>
    <t>Field, Gregory L (Greg)</t>
  </si>
  <si>
    <t>WEXP-00024654</t>
  </si>
  <si>
    <t>11064703.tif 11064704.tif 11064705.tif</t>
  </si>
  <si>
    <t>take out Tuesday event for Atmos ordered from Pizza hut</t>
  </si>
  <si>
    <t>.Social Meal &amp; Events take out Tuesday event for Atmos ordered from Pizza hut</t>
  </si>
  <si>
    <t>290723</t>
  </si>
  <si>
    <t>Fields, Michael B. (Michael)</t>
  </si>
  <si>
    <t>WEXP-00025585</t>
  </si>
  <si>
    <t>11086055.tif 11086056.tif 11086057.tif 11086058.tif 11086059.tif</t>
  </si>
  <si>
    <t>Texas and Local CPA Society Dues</t>
  </si>
  <si>
    <t>Association Dues Texas &amp; Local CPA Society Dues</t>
  </si>
  <si>
    <t>Professional Dues Texas CPA License Renewal Fee for 2020-2021 License Period</t>
  </si>
  <si>
    <t>WEXP-00025666</t>
  </si>
  <si>
    <t>11100421.tif 11100422.tif 11100423.tif</t>
  </si>
  <si>
    <t>Employee Lunch for Company Sponsored - Take Out Tuesday</t>
  </si>
  <si>
    <t>.Business Meals Employee Lunch for Company Sponsored - Take Out Tuesday</t>
  </si>
  <si>
    <t>WEXP-00025921</t>
  </si>
  <si>
    <t>11119812.tif 11119813.tif 11119814.tif</t>
  </si>
  <si>
    <t>Certified Treasury Professional recertification fee</t>
  </si>
  <si>
    <t>Professional Dues Certified Treasury Professional recertification fee</t>
  </si>
  <si>
    <t>WEXP-00025308</t>
  </si>
  <si>
    <t>11085255.tif 11085256.tif 11085257.tif</t>
  </si>
  <si>
    <t>Lunch to participate in Take Out Tuesday</t>
  </si>
  <si>
    <t>.Business Meals Lunch to participate in Take Out Tuesday</t>
  </si>
  <si>
    <t>WEXP-00025359</t>
  </si>
  <si>
    <t>11100449.tif 11100450.tif 11100451.tif</t>
  </si>
  <si>
    <t>Takeout Tuesdsy Meal From HUman Resources</t>
  </si>
  <si>
    <t>.Business Meals Takeout Tuesdsy Meal From HUman Resources</t>
  </si>
  <si>
    <t>WEXP-00024275</t>
  </si>
  <si>
    <t>11048752.tif 11048753.tif 11048754.tif 11048755.tif 11048756.tif 11048757.tif 11048758.tif 11048759.tif 11048760.tif 11048761.tif 11048762.tif 11048763.tif 11048764.tif 11048765.tif 11048766.tif 11048767.tif 11048768.tif 11048769.tif 11048770.tif 11048771.tif 11048772.tif 11048773.tif 11048774.tif</t>
  </si>
  <si>
    <t>Office Supplies - Toner for Printer</t>
  </si>
  <si>
    <t>Professional Dues Annual Dues for State Bar Texas</t>
  </si>
  <si>
    <t>Office Supplies Office Supplies - Notebooks - 2</t>
  </si>
  <si>
    <t>Employee Development Expense CLE - Blurred Lines: Multi-Jurisdictional Practice</t>
  </si>
  <si>
    <t>.Business Meals Lunch Delivered to Team Members</t>
  </si>
  <si>
    <t>Office Supplies Office Supplies - Toner for Printer</t>
  </si>
  <si>
    <t>WEXP-00024702</t>
  </si>
  <si>
    <t>11064561.tif 11064562.tif 11064563.tif</t>
  </si>
  <si>
    <t>Team meeting lunch - Strenghts Group Lesson</t>
  </si>
  <si>
    <t>.Business Meals Team meeting lunch - Strenghts Group Lesson</t>
  </si>
  <si>
    <t>WEXP-00024976</t>
  </si>
  <si>
    <t>11065150.tif 11065151.tif 11065152.tif 11065153.tif 11065154.tif 11065155.tif</t>
  </si>
  <si>
    <t>Shippling Labels (Office Supplies)</t>
  </si>
  <si>
    <t>Office Supplies Shippling Labels (Office Supplies)</t>
  </si>
  <si>
    <t>224137</t>
  </si>
  <si>
    <t>Gayle, Robert B (Robert)</t>
  </si>
  <si>
    <t>WEXP-00025079</t>
  </si>
  <si>
    <t>11065378.tif 11065379.tif 11065380.tif</t>
  </si>
  <si>
    <t>McAlister's Deli - takeout lunch</t>
  </si>
  <si>
    <t>.Business Meals McAlister's Deli - takeout lunch</t>
  </si>
  <si>
    <t>WEXP-00025172</t>
  </si>
  <si>
    <t>11085905.tif 11085906.tif 11085907.tif</t>
  </si>
  <si>
    <t>Reimbursement for Atmos Energy Take out Tuesday, June 9, 2020</t>
  </si>
  <si>
    <t>.Social Meal &amp; Events Reimbursement for Atmos Energy Take out Tuesday, June 9, 2020</t>
  </si>
  <si>
    <t>WEXP-00024865</t>
  </si>
  <si>
    <t>11065073.tif 11065074.tif 11065075.tif</t>
  </si>
  <si>
    <t>Atmos-provided meal for June 9th</t>
  </si>
  <si>
    <t>.Business Meals Atmos-provided meal for lunch on June 9th</t>
  </si>
  <si>
    <t>WEXP-00025915</t>
  </si>
  <si>
    <t>11119818.tif 11119819.tif 11119820.tif 11119821.tif 11119822.tif 11119823.tif 11119824.tif</t>
  </si>
  <si>
    <t>AICPA 2020 annual membership dues</t>
  </si>
  <si>
    <t>Professional Dues AICPA 2020 annual membership dues</t>
  </si>
  <si>
    <t>Employee Development Expense Registration fee for 2020 virtual AGA Rates School</t>
  </si>
  <si>
    <t>WEXP-00025049</t>
  </si>
  <si>
    <t>11064864.tif 11064865.tif 11064866.tif</t>
  </si>
  <si>
    <t>This is my participation in the Company initiative called, "Take out Tuesday" to support local restaurants.</t>
  </si>
  <si>
    <t>.Business Meals This is my participation in the Company initiative called, "Take out Tuesday" to support local restaurants.</t>
  </si>
  <si>
    <t>WEXP-00025574</t>
  </si>
  <si>
    <t>11100110.tif 11100111.tif 11100112.tif</t>
  </si>
  <si>
    <t>In memory donation to a charity in lieu of flowers for the passing of an employee's mother-in-law.</t>
  </si>
  <si>
    <t>Donations In memory donation to a charity in lieu of flowers for the passing of an employee's mother-in-law.</t>
  </si>
  <si>
    <t>222248</t>
  </si>
  <si>
    <t>Glover, Tracy D (Tracy)</t>
  </si>
  <si>
    <t>WEXP-00025667</t>
  </si>
  <si>
    <t>11100472.tif 11100473.tif 11100474.tif 11100475.tif</t>
  </si>
  <si>
    <t>Take Out Tuesday Lunch per Matt Robbins</t>
  </si>
  <si>
    <t>.Business Meals Take Out Tuesday Lunch per Matt Robbins</t>
  </si>
  <si>
    <t>WEXP-00025591</t>
  </si>
  <si>
    <t>11100398.tif 11100399.tif 11100400.tif</t>
  </si>
  <si>
    <t>P.F. Changs meal for two.  Meals did not contain beverages of any kind.  Meal is for my birthday celebration.  Meal consisted of pepper steak with rice and sesame chicken with rice.</t>
  </si>
  <si>
    <t>Spouse Meals &amp; Alcohol - Entertainment &amp; Sports P.F. Changs meal for two.  Meals did not contain beverages of any kind.  Meal is for my birthday celebration.  Meal consisted of pepper steak with rice and sesame chicken with rice.</t>
  </si>
  <si>
    <t>Meals &amp; Alcohol - Entertainment &amp; Sports P.F. Changs meal for two.  Meals did not contain beverages of any kind.  Meal is for my birthday celebration.  Meal consisted of pepper steak with rice and sesame chicken with rice.</t>
  </si>
  <si>
    <t>WEXP-00025524</t>
  </si>
  <si>
    <t>11085774.tif 11085775.tif 11085776.tif 11085777.tif</t>
  </si>
  <si>
    <t>Take-out Tuesday- Support Small Businesses</t>
  </si>
  <si>
    <t>.Social Meal &amp; Events Take-out Tuesday- Support Small Businesses</t>
  </si>
  <si>
    <t>WEXP-00025676</t>
  </si>
  <si>
    <t>11099931.tif 11099932.tif 11099933.tif 11099934.tif 11099935.tif 11099936.tif 11099937.tif</t>
  </si>
  <si>
    <t>This is an iPhone XR case for my business phone</t>
  </si>
  <si>
    <t>Cell Phone Equipment &amp; Accessories This is an iPhone XR case for my business phone</t>
  </si>
  <si>
    <t>WEXP-00025309</t>
  </si>
  <si>
    <t>11084725.tif 11084726.tif 11084727.tif 11084728.tif 11084729.tif 11084730.tif 11084731.tif 11084732.tif 11084733.tif</t>
  </si>
  <si>
    <t>Socially distanced staff meeting in park near office</t>
  </si>
  <si>
    <t>.Business Meals Take out Tuesday business meal</t>
  </si>
  <si>
    <t>.Overtime Meal Work through lunch and into the evening on month end close</t>
  </si>
  <si>
    <t>.Business Meals Socially distanced staff meeting in park near office</t>
  </si>
  <si>
    <t>Postage Stamps for Oracle AR invoices.</t>
  </si>
  <si>
    <t>241630</t>
  </si>
  <si>
    <t>Gragert, Elizabeth J (Beth)</t>
  </si>
  <si>
    <t>WEXP-00024658</t>
  </si>
  <si>
    <t>11084915.tif 11084916.tif 11084917.tif</t>
  </si>
  <si>
    <t>Regulatory Filing Print Copies</t>
  </si>
  <si>
    <t>Printing/Slides/Graphics Tennesse and  Union City  PGA Filing filed 5-28-20</t>
  </si>
  <si>
    <t>WEXP-00024669</t>
  </si>
  <si>
    <t>11119669.tif 11119670.tif 11119671.tif 11119672.tif</t>
  </si>
  <si>
    <t>WEXP-00024979</t>
  </si>
  <si>
    <t>11064756.tif 11064757.tif 11064758.tif</t>
  </si>
  <si>
    <t>Take out Tuesday Meal Supporting Restaurant</t>
  </si>
  <si>
    <t>.Business Meals Take out Tuesday Meal Supporting Restaurant</t>
  </si>
  <si>
    <t>WEXP-00024539</t>
  </si>
  <si>
    <t>11063605.tif 11063606.tif 11063607.tif 11063608.tif 11063609.tif</t>
  </si>
  <si>
    <t>WEXP-00025473</t>
  </si>
  <si>
    <t>11085798.tif 11085799.tif 11085800.tif</t>
  </si>
  <si>
    <t>Protective case for new cellular phone</t>
  </si>
  <si>
    <t>Cell Phone Equipment &amp; Accessories Protective Case for new cellular phone</t>
  </si>
  <si>
    <t>WEXP-00024978</t>
  </si>
  <si>
    <t>11064827.tif 11064828.tif 11064829.tif</t>
  </si>
  <si>
    <t>Strengths Training for Terra William (new employee)</t>
  </si>
  <si>
    <t>Training Strengths Training for Terra William (new employee)</t>
  </si>
  <si>
    <t>WEXP-00025508</t>
  </si>
  <si>
    <t>11085638.tif 11085639.tif 11085640.tif 11085641.tif 11085642.tif 11085643.tif</t>
  </si>
  <si>
    <t>Prosci Training course - for Tierra Williams</t>
  </si>
  <si>
    <t>Training Prosci Training course - for Tierra Williams</t>
  </si>
  <si>
    <t>WEXP-00024713</t>
  </si>
  <si>
    <t>11064069.tif 11064070.tif 11064071.tif</t>
  </si>
  <si>
    <t>Atmos Energy Take Out Tuesday Lunch</t>
  </si>
  <si>
    <t>.Social Meal &amp; Events Atmos Energy Take Out Tuesday Lunch</t>
  </si>
  <si>
    <t>WEXP-00024959</t>
  </si>
  <si>
    <t>11065195.tif 11065196.tif 11065197.tif</t>
  </si>
  <si>
    <t>Company provided lunch for covid 19</t>
  </si>
  <si>
    <t>.Business Meals Company provided lunch for covid 19</t>
  </si>
  <si>
    <t>220313</t>
  </si>
  <si>
    <t>Henley, Christopher J (Chris)</t>
  </si>
  <si>
    <t>WEXP-00025071</t>
  </si>
  <si>
    <t>11065236.tif 11065237.tif 11065238.tif</t>
  </si>
  <si>
    <t>Take Out Tuesday for all employees per EMPCOM</t>
  </si>
  <si>
    <t>.Business Meals Take Out Tuesday for all employees per EMPCOM</t>
  </si>
  <si>
    <t>WEXP-00025238</t>
  </si>
  <si>
    <t>11084492.tif 11084493.tif 11084494.tif 11084495.tif 11084496.tif 11084497.tif</t>
  </si>
  <si>
    <t>State Bar of Texas Annual  Dues</t>
  </si>
  <si>
    <t>Professional Dues State Bar of Texas Annual  Dues</t>
  </si>
  <si>
    <t>Professional Dues Dallas Bar Association Annual Dues</t>
  </si>
  <si>
    <t>WEXP-00024605</t>
  </si>
  <si>
    <t>11064091.tif 11064092.tif 11064093.tif 11064094.tif 11064095.tif 11064096.tif 11064097.tif</t>
  </si>
  <si>
    <t>Printing the third draft of 2020 May Visions Montly</t>
  </si>
  <si>
    <t>Office Supplies Printing the second draft of the 2020 May Visions Montly</t>
  </si>
  <si>
    <t>Office Supplies Printing the third draft of 2020 May Visions Montly</t>
  </si>
  <si>
    <t>Office Supplies Printing the first draft of May 2020 Visions Monthly</t>
  </si>
  <si>
    <t>WEXP-00025889</t>
  </si>
  <si>
    <t>11119929.tif 11119930.tif 11119931.tif</t>
  </si>
  <si>
    <t>Take out Tuesday- Lunch for myself while working from home.</t>
  </si>
  <si>
    <t>.Business Meals Take out Tuesday- Lunch for myself while working from home.</t>
  </si>
  <si>
    <t>WEXP-00025028</t>
  </si>
  <si>
    <t>11085585.tif 11085586.tif 11085587.tif 11085588.tif</t>
  </si>
  <si>
    <t>WEXP-00024665</t>
  </si>
  <si>
    <t>11065018.tif 11065019.tif 11065020.tif</t>
  </si>
  <si>
    <t>Weekly lunch and photo shoot for training content lunch</t>
  </si>
  <si>
    <t>.Business Meals Weekly lunch and photo shoot for training content lunch</t>
  </si>
  <si>
    <t>WEXP-00024475</t>
  </si>
  <si>
    <t>11048685.tif 11048686.tif 11048687.tif</t>
  </si>
  <si>
    <t>Online Training Course - Microsoft PowerApps</t>
  </si>
  <si>
    <t>Technical (Job Skills) Training Online Training Course - Microsoft PowerApps</t>
  </si>
  <si>
    <t>WEXP-00024467</t>
  </si>
  <si>
    <t>11048524.tif 11048525.tif 11048526.tif 11048527.tif</t>
  </si>
  <si>
    <t>iPhone Case - New Work Phone - For Protection</t>
  </si>
  <si>
    <t>Cell Phone Equipment &amp; Accessories iPhone Case - New Work Phone - For Protection</t>
  </si>
  <si>
    <t>WEXP-00024468</t>
  </si>
  <si>
    <t>11048814.tif 11048815.tif 11048816.tif 11048817.tif 11048818.tif 11048819.tif 11048820.tif</t>
  </si>
  <si>
    <t>Training Books for Risk Management and Compliance Application Development</t>
  </si>
  <si>
    <t>Technical (Job Skills) Training Books for Training - Developing Application for Work</t>
  </si>
  <si>
    <t>258609</t>
  </si>
  <si>
    <t>Kiang, Tony (Tony)</t>
  </si>
  <si>
    <t>WEXP-00025418</t>
  </si>
  <si>
    <t>11085272.tif 11085273.tif 11085274.tif</t>
  </si>
  <si>
    <t>Take-Out-Tuesday meal to support local community campaign.</t>
  </si>
  <si>
    <t>.Social Meal &amp; Events Take-Out-Tuesday meal to support local community campaign.</t>
  </si>
  <si>
    <t>WEXP-00025510</t>
  </si>
  <si>
    <t>11085823.tif 11085824.tif 11085825.tif</t>
  </si>
  <si>
    <t>Take-Out Tuesday Participation to Support Local Restaurant</t>
  </si>
  <si>
    <t>.Business Meals Take-Out Tuesday Participation to Support Local Restaurant</t>
  </si>
  <si>
    <t>WEXP-00024672</t>
  </si>
  <si>
    <t>11064277.tif 11064278.tif 11064279.tif</t>
  </si>
  <si>
    <t>Lunch expense; Take Out Tuesday on behalf of Atmos Energy</t>
  </si>
  <si>
    <t>.Social Meal &amp; Events Lunch expense; Take Out Tuesday on behalf of Atmos Energy</t>
  </si>
  <si>
    <t>WEXP-00025434</t>
  </si>
  <si>
    <t>11085490.tif 11085491.tif 11085492.tif 11085493.tif 11085494.tif 11085495.tif 11085496.tif</t>
  </si>
  <si>
    <t>Celebration for Co-worker's Accomplishment</t>
  </si>
  <si>
    <t>.Business Meals Take-Out Tuesday - Atmos Sponsored Support your Community</t>
  </si>
  <si>
    <t>.Business Meals Zoom Team Meeting and Lunch - In Lieu of Broadcast Luncheon</t>
  </si>
  <si>
    <t>Meals &amp; Alcohol - Entertainment &amp; Sports Celebration for Co-worker's Accomplishment</t>
  </si>
  <si>
    <t>WEXP-00024601</t>
  </si>
  <si>
    <t>11064365.tif 11064366.tif 11064367.tif</t>
  </si>
  <si>
    <t>HP ink for printer to work remotely.</t>
  </si>
  <si>
    <t>Office Supplies HP ink for printer to work remotely.</t>
  </si>
  <si>
    <t>WEXP-00024968</t>
  </si>
  <si>
    <t>11064718.tif 11064719.tif 11064720.tif 11064721.tif</t>
  </si>
  <si>
    <t>Takeout Tuesday lunch supporting local businesses</t>
  </si>
  <si>
    <t>.Business Meals Takeout Tuesday lunch supporting local businesses</t>
  </si>
  <si>
    <t>WEXP-00024363</t>
  </si>
  <si>
    <t>11048101.tif 11048102.tif 11048103.tif 11048104.tif 11048105.tif 11048106.tif 11048107.tif 11048108.tif 11048109.tif</t>
  </si>
  <si>
    <t>Provide lunch for instructor while delivering Virtual Training</t>
  </si>
  <si>
    <t>.Business Meals Provide lunch for instructor while delivering Virtual Training</t>
  </si>
  <si>
    <t>Lynn, Ryan (Ryan)</t>
  </si>
  <si>
    <t>WEXP-00025470</t>
  </si>
  <si>
    <t>11085445.tif 11085446.tif 11085447.tif 11085448.tif</t>
  </si>
  <si>
    <t>RUSHED Index for Upcoming Regulatory Filings: Handy-Whitman Index of Public Utility Construction Costs</t>
  </si>
  <si>
    <t>Books &amp; Manuals RUSHED Index for Upcoming Regulatory Filings: Handy-Whitman Index of Public Utility Construction Costs</t>
  </si>
  <si>
    <t>WEXP-00025337</t>
  </si>
  <si>
    <t>11085416.tif 11085417.tif 11085418.tif 11085419.tif 11085420.tif</t>
  </si>
  <si>
    <t>Benefits and Payroll Accounting working lunch</t>
  </si>
  <si>
    <t>256592</t>
  </si>
  <si>
    <t>McAhren, David P (David)</t>
  </si>
  <si>
    <t>WEXP-00025130</t>
  </si>
  <si>
    <t>11065413.tif 11065414.tif 11065415.tif</t>
  </si>
  <si>
    <t>This was for free lunch Tuesday on June 9, 2020</t>
  </si>
  <si>
    <t>.Business Meals This was for free lunch Tuesday on June 9, 2020</t>
  </si>
  <si>
    <t>WEXP-00024493</t>
  </si>
  <si>
    <t>11048593.tif 11048594.tif 11048595.tif 11048596.tif 11048597.tif 11048598.tif 11048599.tif 11048600.tif 11048601.tif 11048602.tif 11048603.tif 11048604.tif 11048605.tif 11048606.tif 11048607.tif 11048608.tif 11048609.tif 11048610.tif 11048611.tif</t>
  </si>
  <si>
    <t>Tax Executives Institute Renewing Member Dues</t>
  </si>
  <si>
    <t>.Business Meals Soft Drinks for Brian Conner at CKV</t>
  </si>
  <si>
    <t>Office Supplies Office Supplies - Mouse Pad.....</t>
  </si>
  <si>
    <t>Professional Dues Texas Society of CPA Annual Dues</t>
  </si>
  <si>
    <t>Professional Dues Tax Executives Institute Renewing Member Dues</t>
  </si>
  <si>
    <t>IT Equipment Office Supplies - Jabra Charging Stand</t>
  </si>
  <si>
    <t>IT Equipment Office Supplies - Jabra Headphones</t>
  </si>
  <si>
    <t>209906</t>
  </si>
  <si>
    <t>Messinger, Scott F (Scott)</t>
  </si>
  <si>
    <t>WEXP-00025152</t>
  </si>
  <si>
    <t>11085844.tif 11085845.tif 11085846.tif</t>
  </si>
  <si>
    <t>Take Out Tuesday Lunch for take out tuesday</t>
  </si>
  <si>
    <t>.Business Meals Take Out Tuesday lunch for take out tuesday</t>
  </si>
  <si>
    <t>WEXP-00025561</t>
  </si>
  <si>
    <t>11086161.tif 11086162.tif 11086163.tif 11086164.tif 11086165.tif</t>
  </si>
  <si>
    <t>Virtual Online Course (MS Excel Formulas and Tools of the Trade) from Simpliv, August 6, 2020</t>
  </si>
  <si>
    <t>Employee Development Expense Virtual Online Course (MS Excel Formulas and Tools of the Trade) from Simpliv, August 6, 2020</t>
  </si>
  <si>
    <t>224210</t>
  </si>
  <si>
    <t>Milton, Diane M (Diane)</t>
  </si>
  <si>
    <t>WEXP-00025117</t>
  </si>
  <si>
    <t>11065500.tif 11065501.tif 11065502.tif</t>
  </si>
  <si>
    <t>Company EmpCom Take Out Tuesday for June 9, 2020</t>
  </si>
  <si>
    <t>.Business Meals Company Empcom Take Out Tuesday</t>
  </si>
  <si>
    <t>WEXP-00024738</t>
  </si>
  <si>
    <t>11064062.tif 11064063.tif 11064064.tif 11064065.tif</t>
  </si>
  <si>
    <t>Make a Difference: Take-Out Tuesday 06-09-2020 - Order for Elizbeth Montelongo 25579 and Julio Reyes 24243</t>
  </si>
  <si>
    <t>.Business Meals Make a Difference: Take-Out Tuesday 06-09-2020 - Order for Elizbeth Montelongo 25579 and Julio Reyes 24243</t>
  </si>
  <si>
    <t>WEXP-00024921</t>
  </si>
  <si>
    <t>11064488.tif 11064489.tif 11064490.tif 11064491.tif</t>
  </si>
  <si>
    <t>Take out Tuesday Lunch - Marco's Pizza</t>
  </si>
  <si>
    <t>.Business Meals Take out Tuesday Lunch - Marco's Pizza</t>
  </si>
  <si>
    <t>WEXP-00024357</t>
  </si>
  <si>
    <t>11047766.tif 11047767.tif 11047768.tif</t>
  </si>
  <si>
    <t>Compensation/HRMS Team Meal -5/28</t>
  </si>
  <si>
    <t>.Business Meals Compensation/HRMS Team Meal -5/28</t>
  </si>
  <si>
    <t>WEXP-00024359</t>
  </si>
  <si>
    <t>11047772.tif 11047773.tif 11047774.tif</t>
  </si>
  <si>
    <t>HR Support Local Restaurants Day - $25 Max</t>
  </si>
  <si>
    <t>.Business Meals HR Support Local Restaurants Day - $25 Max</t>
  </si>
  <si>
    <t>Moore, George (Akers)</t>
  </si>
  <si>
    <t>WEXP-00025052</t>
  </si>
  <si>
    <t>11064558.tif 11064559.tif 11064560.tif</t>
  </si>
  <si>
    <t>Take-out Tuesday lunch from EAPC</t>
  </si>
  <si>
    <t>.Business Meals Take-out Tuesday lunch from EAPC</t>
  </si>
  <si>
    <t>WEXP-00025233</t>
  </si>
  <si>
    <t>11084426.tif 11084427.tif 11084428.tif</t>
  </si>
  <si>
    <t>Easel and box to hold a dry erase board and markers for teaching emergency responder refresher class</t>
  </si>
  <si>
    <t>Office Supplies Easel and box to hold a dry erase board and markers for teaching emergency responder refresher class</t>
  </si>
  <si>
    <t>WEXP-00024563</t>
  </si>
  <si>
    <t>11063838.tif 11063839.tif 11063840.tif 11063841.tif 11063842.tif 11063843.tif 11063844.tif 11063845.tif 11063846.tif 11063847.tif</t>
  </si>
  <si>
    <t>Lunch meal per Kelli Martin during Covid-19 pandemic</t>
  </si>
  <si>
    <t>.Business Meals Lunch meal per Kelli Martin during Covid-19 pandemic</t>
  </si>
  <si>
    <t>.Business Meals Lunch meal per Kelli Martin  during Covid-19 pandemic</t>
  </si>
  <si>
    <t>WEXP-00025391</t>
  </si>
  <si>
    <t>11119568.tif 11119569.tif 11119570.tif</t>
  </si>
  <si>
    <t>Take Out Tuesday - we'll take the tab</t>
  </si>
  <si>
    <t>.Business Meals Take Out Tuesday - we'll take the tab</t>
  </si>
  <si>
    <t>284309</t>
  </si>
  <si>
    <t>O'Neal, Amanda (Amanda)</t>
  </si>
  <si>
    <t>WEXP-00024937</t>
  </si>
  <si>
    <t>11064696.tif 11064697.tif 11064698.tif 11064699.tif</t>
  </si>
  <si>
    <t>Lunch on Atmos Energy for employees</t>
  </si>
  <si>
    <t>.Business Meals Lunch on Atmos Energy for employees</t>
  </si>
  <si>
    <t>WEXP-00024446</t>
  </si>
  <si>
    <t>11048466.tif 11048467.tif 11048468.tif 11048469.tif 11048470.tif 11048471.tif</t>
  </si>
  <si>
    <t>Louisiana State Bar Dues and Assessment Fee</t>
  </si>
  <si>
    <t>Professional Dues Louisiana State Bar Dues and Assessment Fee</t>
  </si>
  <si>
    <t>WEXP-00025466</t>
  </si>
  <si>
    <t>11085461.tif 11085462.tif 11085463.tif</t>
  </si>
  <si>
    <t>Company Wide Takeout Tuesday Lunch</t>
  </si>
  <si>
    <t>.Business Meals Company Wide Takeout Tuesday Lunch</t>
  </si>
  <si>
    <t>WEXP-00025469</t>
  </si>
  <si>
    <t>11085570.tif 11085571.tif 11085572.tif 11085573.tif</t>
  </si>
  <si>
    <t>Lunch Provided for Workday 4 Close-Plant Accounting</t>
  </si>
  <si>
    <t>.Business Meals Lunch Provided for Workday 4 Close-Plant Accounting</t>
  </si>
  <si>
    <t>WEXP-00025468</t>
  </si>
  <si>
    <t>11085515.tif 11085516.tif 11085517.tif 11085518.tif</t>
  </si>
  <si>
    <t>Lunch provided for Workday 3 Close-Plant Accounting</t>
  </si>
  <si>
    <t>.Business Meals Lunch provided for Workday 3 Close-Plant Accounting</t>
  </si>
  <si>
    <t>288960</t>
  </si>
  <si>
    <t>Owens, Latrice (Latrice)</t>
  </si>
  <si>
    <t>WEXP-00024940</t>
  </si>
  <si>
    <t>11065558.tif 11065559.tif 11065560.tif</t>
  </si>
  <si>
    <t>Take out Tuesday to support communities</t>
  </si>
  <si>
    <t>.Business Meals Take out Tuesday to support communities</t>
  </si>
  <si>
    <t>WEXP-00024235</t>
  </si>
  <si>
    <t>11063689.tif 11063690.tif 11063691.tif 11063692.tif</t>
  </si>
  <si>
    <t>.Business Meals "Business lunch to support local businesses during the pandemic"</t>
  </si>
  <si>
    <t>WEXP-00025326</t>
  </si>
  <si>
    <t>11084918.tif 11084919.tif 11084920.tif 11084921.tif</t>
  </si>
  <si>
    <t>PDU-Power Gear for LC3 datacenter maintenance.</t>
  </si>
  <si>
    <t>IT Equipment PDU-Power gear for LC3 datacenter maintenance.</t>
  </si>
  <si>
    <t>WEXP-00025775</t>
  </si>
  <si>
    <t>11100926.tif 11100927.tif 11100928.tif</t>
  </si>
  <si>
    <t>Max reimbursement of 15 dollars on takeout lunch for any emloyee on June 9, 2020</t>
  </si>
  <si>
    <t>.Social Meal &amp; Events Max reimbursement of 15 dollars on takeout lunch for any emloyee on June 9, 2020</t>
  </si>
  <si>
    <t>WEXP-00025159</t>
  </si>
  <si>
    <t>11065239.tif 11065240.tif 11065241.tif 11065242.tif</t>
  </si>
  <si>
    <t>Meal for company sponsored "Takeout Tuesday" event to support local restaurants</t>
  </si>
  <si>
    <t>.Business Meals Meal for company sponsored "Takeout Tuesday" event to support local restaurants</t>
  </si>
  <si>
    <t>291328</t>
  </si>
  <si>
    <t>Pham, Theresa (Theresa)</t>
  </si>
  <si>
    <t>WEXP-00024814</t>
  </si>
  <si>
    <t>11100435.tif 11100436.tif 11100437.tif</t>
  </si>
  <si>
    <t>Take Out Tuesday for local restaurant</t>
  </si>
  <si>
    <t>.Business Meals Take Out Tuesday for local restaurant</t>
  </si>
  <si>
    <t>WEXP-00024597</t>
  </si>
  <si>
    <t>11063851.tif 11063852.tif 11063853.tif</t>
  </si>
  <si>
    <t>GSEC certification renewal fee</t>
  </si>
  <si>
    <t>Professional Dues GSEC certification renewal fee</t>
  </si>
  <si>
    <t>WEXP-00025289</t>
  </si>
  <si>
    <t>11085075.tif 11085076.tif 11085077.tif 11085078.tif 11085079.tif 11085080.tif 11085081.tif 11085082.tif 11085083.tif 11085084.tif 11085085.tif 11085086.tif 11085087.tif 11085088.tif 11085089.tif 11085090.tif 11085091.tif 11085092.tif 11085093.tif 11085094.tif 11085095.tif</t>
  </si>
  <si>
    <t>Lunch while working from home during COVID 19 outbreak</t>
  </si>
  <si>
    <t>Books &amp; Manuals Human Operating System Book for Atmos Energy Essentials</t>
  </si>
  <si>
    <t>.Business Meals Lunch while working from home during COVID 19 outbreak</t>
  </si>
  <si>
    <t>WEXP-00025717</t>
  </si>
  <si>
    <t>11100476.tif 11100477.tif 11100478.tif 11100479.tif 11100480.tif</t>
  </si>
  <si>
    <t>Meal during Workforce Development and Engineering and Compliance</t>
  </si>
  <si>
    <t>.Business Meals Meal during Workforce Development and Engineering and Compliance</t>
  </si>
  <si>
    <t>WEXP-00025121</t>
  </si>
  <si>
    <t>11065198.tif 11065199.tif 11065200.tif</t>
  </si>
  <si>
    <t>Take out Tuesday: we will get the tab</t>
  </si>
  <si>
    <t>Meals &amp; Alcohol - Entertainment &amp; Sports Take out Tuesday: we will get the tab</t>
  </si>
  <si>
    <t>WEXP-00024641</t>
  </si>
  <si>
    <t>11064234.tif 11064235.tif 11064236.tif 11064237.tif</t>
  </si>
  <si>
    <t>Lunch that Atmos Energy is paying for on Tuesday June 9th</t>
  </si>
  <si>
    <t>.Business Meals Lunch that Atmos Energy is paying for on Tuesday June 9th</t>
  </si>
  <si>
    <t>WEXP-00024909</t>
  </si>
  <si>
    <t>11065127.tif 11065128.tif 11065129.tif 11065130.tif</t>
  </si>
  <si>
    <t>Atmos Energy - Take Out Tuesday</t>
  </si>
  <si>
    <t>.Business Meals Atmos Energy - Take Out Tuesday</t>
  </si>
  <si>
    <t>WEXP-00025747</t>
  </si>
  <si>
    <t>11119590.tif 11119591.tif 11119592.tif</t>
  </si>
  <si>
    <t>Monthly subscription for Wall Street Journal</t>
  </si>
  <si>
    <t>WEXP-00023849</t>
  </si>
  <si>
    <t>11065088.tif 11065089.tif 11065090.tif 11065091.tif 11065092.tif 11065093.tif 11065094.tif 11065095.tif 11065096.tif 11065097.tif 11065098.tif 11065099.tif 11065100.tif 11065101.tif 11065102.tif 11065103.tif 11065104.tif 11065105.tif</t>
  </si>
  <si>
    <t>May water purifier machine for 5th floor breakroom</t>
  </si>
  <si>
    <t>Other - MC Monthly Wall Street Journal subscription</t>
  </si>
  <si>
    <t>Non-Inventory Supply May water purifier machine for 18th floor breakroom</t>
  </si>
  <si>
    <t>Non-Inventory Supply May water purifier machine for 5th floor breakroom</t>
  </si>
  <si>
    <t>Employee Welfare Expense Flowers for Wendy Sadler's retirement</t>
  </si>
  <si>
    <t>Non-Inventory Supply April water purifier machine for 18th floor break room</t>
  </si>
  <si>
    <t>.Business Meals HR approved lunch to support our community</t>
  </si>
  <si>
    <t>.Business Meals Take out Tuesday to support local businesses</t>
  </si>
  <si>
    <t>.Business Meals Water purifier for 5th floor break room</t>
  </si>
  <si>
    <t>WEXP-00025686</t>
  </si>
  <si>
    <t>11100353.tif 11100354.tif 11100355.tif</t>
  </si>
  <si>
    <t>Del Frisco - Lunch for Keith Scott's Retirement</t>
  </si>
  <si>
    <t>.Business Meals Retirement Lunch for Keith Scott</t>
  </si>
  <si>
    <t>Alcohol Retirement Lunch for Keith Scott</t>
  </si>
  <si>
    <t>WEXP-00024415</t>
  </si>
  <si>
    <t>11048259.tif 11048260.tif 11048261.tif 11048262.tif 11048263.tif</t>
  </si>
  <si>
    <t>Working Remotely - Employee Meal</t>
  </si>
  <si>
    <t>.Business Meals Working Remotely - Employee Meal</t>
  </si>
  <si>
    <t>Office Supplies Web Cam Stand for Virtual Atmos Energy Essentials</t>
  </si>
  <si>
    <t>WEXP-00024431</t>
  </si>
  <si>
    <t>11048285.tif 11048286.tif 11048287.tif</t>
  </si>
  <si>
    <t>Compensation/HRMS quarterly Birthday and anniversary celebration lunch meeting</t>
  </si>
  <si>
    <t>.Business Meals Compensation/HRMS quarterly Birthday and anniversary celebration lunch meeting</t>
  </si>
  <si>
    <t>WEXP-00025162</t>
  </si>
  <si>
    <t>11065564.tif 11065565.tif 11065566.tif</t>
  </si>
  <si>
    <t>Company-wide Take Out Tuesday lunch to support Local restaurants.</t>
  </si>
  <si>
    <t>.Business Meals Company-wide Take Out Tuesday lunch to support Local restaurants.</t>
  </si>
  <si>
    <t>WEXP-00025781</t>
  </si>
  <si>
    <t>11100894.tif 11100895.tif 11100896.tif 11100897.tif</t>
  </si>
  <si>
    <t>Atmos Energy Take Out Tuesday - Lunch</t>
  </si>
  <si>
    <t>.Business Meals Atmos Energy Take Out Tuesday - Lunch</t>
  </si>
  <si>
    <t>WEXP-00024520</t>
  </si>
  <si>
    <t>11048832.tif 11048833.tif 11048834.tif</t>
  </si>
  <si>
    <t>Lunch while working from home. Construction Essentials.</t>
  </si>
  <si>
    <t>.Business Meals Lunch while working from home. Construction Essentials.</t>
  </si>
  <si>
    <t>WEXP-00024465</t>
  </si>
  <si>
    <t>11048536.tif 11048537.tif 11048538.tif</t>
  </si>
  <si>
    <t>Lunch for Construction Essentials Class while teaching virtual</t>
  </si>
  <si>
    <t>.Business Meals Lunch for Construction Essentials Class while teaching virtual</t>
  </si>
  <si>
    <t>WEXP-00024505</t>
  </si>
  <si>
    <t>11048841.tif 11048842.tif 11048843.tif</t>
  </si>
  <si>
    <t>Lunch at Chick-fil-a paid for by HR on 5/18 for No Dirty Dishes Day</t>
  </si>
  <si>
    <t>.Business Meals Lunch at Chick-fil-a paid for by HR on 5/18 for No Dirty Dishes Day</t>
  </si>
  <si>
    <t>WEXP-00025157</t>
  </si>
  <si>
    <t>11065571.tif 11065572.tif 11065573.tif</t>
  </si>
  <si>
    <t>Lunch at Flower Child paid for by company on 6/9 for Take Out Tuesday.</t>
  </si>
  <si>
    <t>.Business Meals Lunch at Flower Child paid for by company on 6/9 for Take Out Tuesday.</t>
  </si>
  <si>
    <t>WEXP-00025565</t>
  </si>
  <si>
    <t>11100424.tif 11100425.tif 11100426.tif 11100427.tif 11100428.tif 11100429.tif 11100430.tif 11100431.tif</t>
  </si>
  <si>
    <t>Approved lunch expense for HR - No dirty dishes day</t>
  </si>
  <si>
    <t>.Business Meals Approved lunch for Atmos Energy employees</t>
  </si>
  <si>
    <t>.Business Meals Approved lunch expense for HR - No dirty dishes day</t>
  </si>
  <si>
    <t>WEXP-00025592</t>
  </si>
  <si>
    <t>11100356.tif 11100357.tif 11100358.tif 11100359.tif 11100360.tif 11100361.tif</t>
  </si>
  <si>
    <t>Certified Scrum Master Renewal Fee</t>
  </si>
  <si>
    <t>Professional Dues Certified Scrum Master Renewal Fee</t>
  </si>
  <si>
    <t>WEXP-00025782</t>
  </si>
  <si>
    <t>11119847.tif 11119848.tif 11119849.tif 11119850.tif 11119851.tif</t>
  </si>
  <si>
    <t>PMP Exam Preparation Course for new certification</t>
  </si>
  <si>
    <t>Training PMP Exam Preparation Course for new certification</t>
  </si>
  <si>
    <t>WEXP-00025167</t>
  </si>
  <si>
    <t>11065168.tif 11065169.tif 11065170.tif 11065171.tif 11065172.tif 11065173.tif 11065174.tif 11065175.tif 11065176.tif 11065177.tif</t>
  </si>
  <si>
    <t>Company - Take Out Tuesday (6/9)</t>
  </si>
  <si>
    <t>.Business Meals Keurig Rental for L2 /16 / East &amp; West Breakrooms</t>
  </si>
  <si>
    <t>.Business Meals Company - Take Out Tuesday (6/9)</t>
  </si>
  <si>
    <t>WEXP-00025279</t>
  </si>
  <si>
    <t>11084541.tif 11084542.tif 11084543.tif</t>
  </si>
  <si>
    <t>Room Down payment for ITLT Dec. 2020 FTF Meeting</t>
  </si>
  <si>
    <t>Employee Development Expense Room Down payment for ITLT Dec. 2020 FTF Meeting</t>
  </si>
  <si>
    <t>WEXP-00025837</t>
  </si>
  <si>
    <t>11119562.tif 11119563.tif 11119564.tif 11119565.tif 11119566.tif 11119567.tif</t>
  </si>
  <si>
    <t>Registration for 2020 Atmos' BMW Dallas Marathon Team</t>
  </si>
  <si>
    <t>Health Registration for 2020 Atmos' BMW Dallas Marathon Team</t>
  </si>
  <si>
    <t>249266</t>
  </si>
  <si>
    <t>Siedelmann, Richard T (Rick)</t>
  </si>
  <si>
    <t>WEXP-00025026</t>
  </si>
  <si>
    <t>11064746.tif 11064747.tif 11064748.tif 11064749.tif</t>
  </si>
  <si>
    <t>Take-Out Tuesday lunch order, participating in company event</t>
  </si>
  <si>
    <t>.Business Meals Take-Out Tuesday lunch order, participating in company event</t>
  </si>
  <si>
    <t>WEXP-00024870</t>
  </si>
  <si>
    <t>11085111.tif 11085112.tif 11085113.tif 11085114.tif 11085115.tif 11085116.tif</t>
  </si>
  <si>
    <t>Take Out Tuesday Participation - Maximum of $15 per employee meal</t>
  </si>
  <si>
    <t>Training Conference - COVID-19 &amp; Lessons Learned from Prior Utility Financial Challenges</t>
  </si>
  <si>
    <t>COVID Seminar</t>
  </si>
  <si>
    <t>.Business Meals Take Out Tuesday Participation - Maximum of $15 per employee meal</t>
  </si>
  <si>
    <t>.Business Meals Atmos Energy Supporting Local Eating Establishments</t>
  </si>
  <si>
    <t>Office Supplies Dividers for New Hire Compliance Training Folders</t>
  </si>
  <si>
    <t>Office Supplies Ink for home printer while working remotely from home for printing documents</t>
  </si>
  <si>
    <t>WEXP-00024364</t>
  </si>
  <si>
    <t>11047833.tif 11047834.tif 11047835.tif</t>
  </si>
  <si>
    <t>HRMS/Compensation quarterly meeting</t>
  </si>
  <si>
    <t>.Business Meals HRMS/Compensation quarterly meeting</t>
  </si>
  <si>
    <t>WEXP-00025144</t>
  </si>
  <si>
    <t>11065426.tif 11065427.tif 11065428.tif</t>
  </si>
  <si>
    <t>Company wide Take-Out Tuesday to support local restaurants.</t>
  </si>
  <si>
    <t>.Business Meals Company wide Take-Out Tuesday to support local restaurants.</t>
  </si>
  <si>
    <t>WEXP-00025645</t>
  </si>
  <si>
    <t>11086173.tif 11086174.tif 11086175.tif</t>
  </si>
  <si>
    <t>Lunch during HRMS/Compensation Leader's meeting to discuss upcoming projects.</t>
  </si>
  <si>
    <t>.Business Meals Lunch during HRMS/Compensation Leader's meeting to discuss upcoming projects.</t>
  </si>
  <si>
    <t>238479</t>
  </si>
  <si>
    <t>Soto, David (David)</t>
  </si>
  <si>
    <t>WEXP-00025355</t>
  </si>
  <si>
    <t>11085171.tif 11085172.tif 11085173.tif 11085174.tif</t>
  </si>
  <si>
    <t>WEXP-00024327</t>
  </si>
  <si>
    <t>11047918.tif 11047919.tif 11047920.tif 11047921.tif 11047922.tif 11047923.tif 11047924.tif</t>
  </si>
  <si>
    <t>Printer Cords: to connect laptop to printer</t>
  </si>
  <si>
    <t>.Social Meal &amp; Events LA Division/Gas Supply appreciation lunch (Reimbursement up to $15)</t>
  </si>
  <si>
    <t>IT Equipment Purchased cords from Office Depot for Printer</t>
  </si>
  <si>
    <t>WEXP-00025496</t>
  </si>
  <si>
    <t>11085895.tif 11085896.tif 11085897.tif 11085898.tif 11085899.tif</t>
  </si>
  <si>
    <t>support for local restaurants during COVID 19</t>
  </si>
  <si>
    <t>.Business Meals support for local restaurants during COVID 19</t>
  </si>
  <si>
    <t>WEXP-00025495</t>
  </si>
  <si>
    <t>11085820.tif 11085821.tif 11085822.tif</t>
  </si>
  <si>
    <t>CPA annual Professional dues FYE 2020 LCPA</t>
  </si>
  <si>
    <t>Professional Dues CPA annual Professional dues FYE 2020 LCPA</t>
  </si>
  <si>
    <t>WEXP-00024252</t>
  </si>
  <si>
    <t>11048244.tif 11048245.tif 11048246.tif 11048247.tif 11048248.tif 11048249.tif 11048250.tif 11048251.tif 11048252.tif 11048253.tif 11048254.tif 11048255.tif 11048256.tif 11048257.tif 11048258.tif</t>
  </si>
  <si>
    <t>Flowers for Giselle Heroy for Admin Asst Day</t>
  </si>
  <si>
    <t>Training NRRI Webinar on COVID 19 Recovery in various states</t>
  </si>
  <si>
    <t>COVID Webinar</t>
  </si>
  <si>
    <t>Training NRRI Webinar on COVID 19 Financial Impacts</t>
  </si>
  <si>
    <t>COVID Training</t>
  </si>
  <si>
    <t>.Business Meals Lunch order - virtual lunch with strategic planning</t>
  </si>
  <si>
    <t>Training TSCPA Energy Conference - Virtual Meeting</t>
  </si>
  <si>
    <t>Employee Welfare Expense Flowers for Giselle Heroy for Admin Asst Day</t>
  </si>
  <si>
    <t>WEXP-00025480</t>
  </si>
  <si>
    <t>11085741.tif 11085742.tif 11085734.tif 11085735.tif 11085736.tif 11085737.tif 11085738.tif 11085739.tif 11085740.tif</t>
  </si>
  <si>
    <t>Plant Accounting Lunch WorkDay 3</t>
  </si>
  <si>
    <t>.Business Meals Workday 3 lunch plant accounting</t>
  </si>
  <si>
    <t>.Business Meals Plant Accouting Workday 3 lunch</t>
  </si>
  <si>
    <t>.Business Meals Take out Tuesday lunch provided to Plant Accounting.</t>
  </si>
  <si>
    <t>COVID -- NDR</t>
  </si>
  <si>
    <t>.Business Meals Plant Accounting Work Day 4 Lunch</t>
  </si>
  <si>
    <t>WEXP-00025513</t>
  </si>
  <si>
    <t>11085801.tif 11085802.tif 11085803.tif 11085804.tif 11085805.tif 11085806.tif 11085807.tif 11085808.tif 11085809.tif 11085810.tif 11085811.tif</t>
  </si>
  <si>
    <t>Lunch expense for takeout Tuesday</t>
  </si>
  <si>
    <t>Professional Dues CFA Institute annual dues, DFW</t>
  </si>
  <si>
    <t>Professional Dues NIRI Corporate New Member Dues</t>
  </si>
  <si>
    <t>Professional Dues CFA Institute annual dues, national</t>
  </si>
  <si>
    <t>.Social Meal &amp; Events Lunch expense for takeout Tuesday</t>
  </si>
  <si>
    <t>Professional Dues NIRI Dallas*Ft. Worth Annual Dues</t>
  </si>
  <si>
    <t>Office Supplies Rocketbook notebook ordered from Amazon</t>
  </si>
  <si>
    <t>WEXP-00025841</t>
  </si>
  <si>
    <t>11119825.tif 11119826.tif 11119827.tif 11119828.tif 11119829.tif 11119830.tif</t>
  </si>
  <si>
    <t>Take out Tuesday Empcom from Matt Robins</t>
  </si>
  <si>
    <t>Postage mailing unemployment docs to TWC overnight shipping</t>
  </si>
  <si>
    <t>.Business Meals Take out Tuesday Empcom from Matt Robins</t>
  </si>
  <si>
    <t>WEXP-00024320</t>
  </si>
  <si>
    <t>11049916.tif 11049917.tif 11049918.tif 11049919.tif 11049920.tif 11049921.tif 11049922.tif 11049923.tif 11049924.tif 11049925.tif 11049926.tif</t>
  </si>
  <si>
    <t>mailing for unemployment claim</t>
  </si>
  <si>
    <t>Postage mailing certified mail for unemployment</t>
  </si>
  <si>
    <t>.Business Meals no dirty dishes  human resources meal</t>
  </si>
  <si>
    <t>Postage mailing overnight letter for Hillary Summers in regards to separation for Tanya Reed</t>
  </si>
  <si>
    <t>Postage mailing for unemployment claim</t>
  </si>
  <si>
    <t>Postage mailing express letter for Tanya Reed</t>
  </si>
  <si>
    <t>WEXP-00024943</t>
  </si>
  <si>
    <t>11064454.tif 11064455.tif 11064456.tif</t>
  </si>
  <si>
    <t>Take Out Tuesday - Jasons Deli</t>
  </si>
  <si>
    <t>.Business Meals Take Out Tuesday - Jasons Deli</t>
  </si>
  <si>
    <t>WEXP-00024933</t>
  </si>
  <si>
    <t>11065584.tif 11065585.tif 11065586.tif</t>
  </si>
  <si>
    <t>Take Out Tuesday - We'll get the tab</t>
  </si>
  <si>
    <t>.Business Meals Take Out Tuesday - We'll get the tab</t>
  </si>
  <si>
    <t>WEXP-00024325</t>
  </si>
  <si>
    <t>11047986.tif 11047987.tif 11047988.tif</t>
  </si>
  <si>
    <t>Purchase of 35 prints for 6th floor wall art post remodel</t>
  </si>
  <si>
    <t>Non-Inventory Supply Purchase of 35 prints for 6th floor wall art post remodel</t>
  </si>
  <si>
    <t>WEXP-00024314</t>
  </si>
  <si>
    <t>11047786.tif 11047787.tif 11047788.tif 11047789.tif</t>
  </si>
  <si>
    <t>Registration for Virtual AGA Conference in June</t>
  </si>
  <si>
    <t>Employee Development Expense Registration for Virtual AGA Conference in June</t>
  </si>
  <si>
    <t>WEXP-00025727</t>
  </si>
  <si>
    <t>11100287.tif 11100288.tif 11100289.tif</t>
  </si>
  <si>
    <t>Emp Com - On Tuesday, June 9, we as a company want to Make A Difference in our local communities by participating in ¿¿¿Take-Out Tuesday.¿¿¿ This nation-wide initiative supports local restaurants during this trying time</t>
  </si>
  <si>
    <t>.Business Meals Emp Com - On Tuesday, June 9, we as a company want to Make A Difference in our local communities by participating in ¿¿¿Take-Out Tuesday.¿¿¿ This nation-wide initiative supports local restaurants during this trying time</t>
  </si>
  <si>
    <t>287483</t>
  </si>
  <si>
    <t>Vo, Christina N (Christina)</t>
  </si>
  <si>
    <t>WEXP-00024689</t>
  </si>
  <si>
    <t>11064325.tif 11064326.tif 11064327.tif</t>
  </si>
  <si>
    <t>Takeout Tuesday - Employee Lunch</t>
  </si>
  <si>
    <t>.Business Meals Takeout Tuesday - Employee Lunch</t>
  </si>
  <si>
    <t>WEXP-00024731</t>
  </si>
  <si>
    <t>11064913.tif 11064914.tif 11064915.tif</t>
  </si>
  <si>
    <t>Takeout Tuesday Company Lunch 6-9-20</t>
  </si>
  <si>
    <t>.Business Meals Takeout Tuesday Company Lunch 6-9-20</t>
  </si>
  <si>
    <t>WEXP-00024546</t>
  </si>
  <si>
    <t>11064655.tif 11064656.tif 11064657.tif</t>
  </si>
  <si>
    <t>Cost of Team Development Lunch</t>
  </si>
  <si>
    <t>.Business Meals Cost of Team Development Lunch</t>
  </si>
  <si>
    <t>WEXP-00025365</t>
  </si>
  <si>
    <t>11085539.tif 11085540.tif 11085541.tif 11085542.tif</t>
  </si>
  <si>
    <t>Replacement mouse for remote work</t>
  </si>
  <si>
    <t>IT Equipment Replacement mouse for remote work</t>
  </si>
  <si>
    <t>238156</t>
  </si>
  <si>
    <t>Walker, Stephen A (Stephen)</t>
  </si>
  <si>
    <t>WEXP-00024954</t>
  </si>
  <si>
    <t>11085933.tif 11085934.tif 11085935.tif</t>
  </si>
  <si>
    <t>Take Out Tuesday Lunch Happy Wok Chinese Restaurant</t>
  </si>
  <si>
    <t>.Business Meals Take Out Tuesday Lunch Happy Wok Chinese Restaurant</t>
  </si>
  <si>
    <t>WEXP-00024338</t>
  </si>
  <si>
    <t>11063586.tif 11063587.tif 11063588.tif 11063589.tif 11063590.tif 11063591.tif 11063592.tif 11063593.tif 11063594.tif 11063595.tif 11063596.tif 11063597.tif 11063598.tif 11063599.tif 11063600.tif 11063601.tif 11063602.tif 11063603.tif 11063604.tif</t>
  </si>
  <si>
    <t>Annual web subscription for Atmos stock ticker for Atmosphere and .com</t>
  </si>
  <si>
    <t>IT Equipment Microsoft office subscription for department intern</t>
  </si>
  <si>
    <t>Software Maintenance Annual web subscription for Atmos stock ticker for Atmosphere and .com</t>
  </si>
  <si>
    <t>.Business Meals takeout Tuesday lunch from local dallas area restaurant</t>
  </si>
  <si>
    <t>Office Supplies Printer ink for work from home printer</t>
  </si>
  <si>
    <t>WEXP-00024569</t>
  </si>
  <si>
    <t>11063827.tif 11063828.tif 11063829.tif</t>
  </si>
  <si>
    <t>Covid-19 BPCM team appreciation lunch (Thank you!!)</t>
  </si>
  <si>
    <t>.Business Meals Covid-19 BPCM team appreciation lunch (Thank you!!)</t>
  </si>
  <si>
    <t>WEXP-00024924</t>
  </si>
  <si>
    <t>11065037.tif 11065038.tif 11065039.tif</t>
  </si>
  <si>
    <t>Take Out Tuesday sponsored by Atmos (Thank you!)</t>
  </si>
  <si>
    <t>.Business Meals Take Out Tuesday sponsored by Atmos (Thank you!)</t>
  </si>
  <si>
    <t>WEXP-00025316</t>
  </si>
  <si>
    <t>11084977.tif 11084978.tif 11084979.tif 11084980.tif 11084981.tif 11084982.tif</t>
  </si>
  <si>
    <t>Care Team: Stamps for BPCM Team Birthday/Anniversary cards</t>
  </si>
  <si>
    <t>Employee Welfare Expense Care Team: Stamps for BPCM Team Birthday/Anniversary cards</t>
  </si>
  <si>
    <t>Employee Welfare Expense Care Team: BPCM Team Birthday/Anniversary cards</t>
  </si>
  <si>
    <t>WEXP-00024491</t>
  </si>
  <si>
    <t>11084658.tif 11084659.tif 11084660.tif 11084661.tif 11084662.tif 11084663.tif 11084664.tif 11084665.tif 11084666.tif 11084667.tif 11084668.tif 11084669.tif 11084670.tif 11084671.tif 11084672.tif 11084673.tif 11084674.tif</t>
  </si>
  <si>
    <t>One meal per week from a local business.</t>
  </si>
  <si>
    <t>.Business Meals One lunch per week at a local business during work from home.</t>
  </si>
  <si>
    <t>.Business Meals One meal per week at a local business during closure of CKV training center. Includes tip.</t>
  </si>
  <si>
    <t>.Business Meals One lunch per week during work from home.</t>
  </si>
  <si>
    <t>.Business Meals One meal from a local business per week during work at home.</t>
  </si>
  <si>
    <t>.Business Meals One business lunch per week during work from home.</t>
  </si>
  <si>
    <t>WEXP-00024455</t>
  </si>
  <si>
    <t>11048657.tif 11048658.tif 11048659.tif 11048660.tif 11048661.tif 11048662.tif</t>
  </si>
  <si>
    <t>Printer cartridge used for printing FedEx Labels</t>
  </si>
  <si>
    <t>Office Supplies printer cartridge used for printing FedEx labels</t>
  </si>
  <si>
    <t>Office Supplies Printer cartridge, labels, key tag rings, erasers</t>
  </si>
  <si>
    <t>WEXP-00025192</t>
  </si>
  <si>
    <t>11084983.tif 11084984.tif 11084985.tif 11084986.tif</t>
  </si>
  <si>
    <t>Take-Out Tuesday. Atmos token of appreciation to employees and restaurant workers.</t>
  </si>
  <si>
    <t>.Business Meals Take-Out Tuesday. Atmos token of appreciation to employees and restaurant workers.</t>
  </si>
  <si>
    <t>WEXP-00025195</t>
  </si>
  <si>
    <t>11084895.tif 11084896.tif 11084897.tif</t>
  </si>
  <si>
    <t>Employee Take-Out-Tuesday  - for Yvonne Willis</t>
  </si>
  <si>
    <t>.Business Meals Employee Take-Out-Tuesday  - for Yvonne Willis</t>
  </si>
  <si>
    <t>Wilson, Alona (Alona)</t>
  </si>
  <si>
    <t>WEXP-00024709</t>
  </si>
  <si>
    <t>11085305.tif 11085306.tif 11085307.tif</t>
  </si>
  <si>
    <t>Lunch for "Take Out Tuesday". The total amount is more but submitting only $15.00</t>
  </si>
  <si>
    <t>.Business Meals Allowed lunch expense for Take Out Tuesday</t>
  </si>
  <si>
    <t>WEXP-00024621</t>
  </si>
  <si>
    <t>11064858.tif 11064859.tif 11064860.tif</t>
  </si>
  <si>
    <t>Condolence Package from Accounting Dpt to Melisa Cheng</t>
  </si>
  <si>
    <t>.Social Meal &amp; Events Condolence Package from Accounting Dpt to Melisa Cheng</t>
  </si>
  <si>
    <t>WEXP-00024490</t>
  </si>
  <si>
    <t>11048503.tif 11048504.tif 11048505.tif 11048506.tif 11048507.tif 11048508.tif 11048509.tif 11048510.tif 11048511.tif 11048512.tif 11048513.tif 11048514.tif 11048515.tif 11048516.tif 11048517.tif 11048518.tif 11048519.tif 11048520.tif 11048521.tif 11048522.tif 11048523.tif</t>
  </si>
  <si>
    <t>Office Supplies - Delivered to Sandra Wilson</t>
  </si>
  <si>
    <t>Office Supplies Office Supplies - Delivered to Sandra Wilson</t>
  </si>
  <si>
    <t>Office Supplies Offices supplies - delivered to Sandra Wilson</t>
  </si>
  <si>
    <t>Office Supplies Office Supplies - Delivered to Rodney James</t>
  </si>
  <si>
    <t>Postage Postage for Gas Accounting Regulatory Commission Letters</t>
  </si>
  <si>
    <t>Office Supplies Office Supplies -  Delivered to Mike Hall</t>
  </si>
  <si>
    <t>IT Equipment Wireless Mouse -  Delivered to Christina Vo</t>
  </si>
  <si>
    <t>Office Supplies Office Supplies - Delivered to Melinda McBride</t>
  </si>
  <si>
    <t>Office Supplies Office Supplies - Delivered to George Evans</t>
  </si>
  <si>
    <t>WEXP-00024613</t>
  </si>
  <si>
    <t>11100512.tif 11100513.tif 11100514.tif 11100515.tif 11100516.tif 11100517.tif 11100518.tif 11100519.tif 11100520.tif 11100521.tif 11100522.tif 11100523.tif 11100524.tif 11100525.tif 11100526.tif 11100527.tif 11100528.tif 11100529.tif 11100530.tif 11100531.tif 11100532.tif 11100533.tif 11100534.tif 11100535.tif 11100536.tif 11100537.tif 11100538.tif 11100539.tif 11100540.tif 11100541.tif 11100542.tif</t>
  </si>
  <si>
    <t>Second Quarter Service Anniversary Virtual Appreciation Lunch</t>
  </si>
  <si>
    <t>.Social Meal &amp; Events End of Return Season Remote Celebratory Lunch</t>
  </si>
  <si>
    <t>.Social Meal &amp; Events Second Quarter Service Anniversary Virtual Appreciation Lunch</t>
  </si>
  <si>
    <t>.Social Meal &amp; Events End  of Return Season Remote  Celebratory Lunch</t>
  </si>
  <si>
    <t>.Social Meal &amp; Events Take Out Tuesday: We'll get the tabl</t>
  </si>
  <si>
    <t>WEXP-00025351</t>
  </si>
  <si>
    <t>11084719.tif 11084720.tif 11084721.tif</t>
  </si>
  <si>
    <t>Lunch per Empcom Take Out Tuesday: We¿¿¿ll Get the Tab</t>
  </si>
  <si>
    <t>.Business Meals Lunch per Empcom Take Out Tuesday: We¿¿¿ll Get the Tab</t>
  </si>
  <si>
    <t>WEXP-00024679</t>
  </si>
  <si>
    <t>11085564.tif 11085565.tif 11085566.tif 11085567.tif 11085568.tif 11085569.tif</t>
  </si>
  <si>
    <t>n Tuesday, June 9, we as a company want to Make A Difference in our local communities by participating in ¿¿¿Take-Out Tuesday.¿¿¿ This nation-wide initiative supports local restaurants during this trying time.</t>
  </si>
  <si>
    <t>Cell Phone Equipment &amp; Accessories Apple cell phone case for new cell phone</t>
  </si>
  <si>
    <t>.Business Meals n Tuesday, June 9, we as a company want to Make A Difference in our local communities by participating in ¿¿¿Take-Out Tuesday.¿¿¿ This nation-wide initiative supports local restaurants during this trying time.</t>
  </si>
  <si>
    <t>WEXP-00025766</t>
  </si>
  <si>
    <t>11101080.tif 11101081.tif 11101082.tif</t>
  </si>
  <si>
    <t>June 2020 office expenses from Office Depot</t>
  </si>
  <si>
    <t>Office Supplies June 2020 office expenses from Office Depot</t>
  </si>
  <si>
    <t>WEXP-00024356</t>
  </si>
  <si>
    <t>11047763.tif 11047764.tif 11047765.tif</t>
  </si>
  <si>
    <t>Celebrate ¿¿¿No Dirty Dishes Day¿¿¿ on Monday, May 18th</t>
  </si>
  <si>
    <t>.Business Meals Celebrate ¿¿¿No Dirty Dishes Day¿¿¿ on Monday, May 18th</t>
  </si>
  <si>
    <t>WEXP-00025298</t>
  </si>
  <si>
    <t>11085438.tif 11085439.tif 11085440.tif</t>
  </si>
  <si>
    <t>Tuesday lunch take-out. Make a difference in our local communities</t>
  </si>
  <si>
    <t>.Business Meals Tuesday lunch take-out. Make a difference in our local communities</t>
  </si>
  <si>
    <t>NDR, COVID</t>
  </si>
  <si>
    <t>Meal Over Limit, COVID</t>
  </si>
  <si>
    <t>WEXP-00026618</t>
  </si>
  <si>
    <t>KAW20724_1 WDEXP</t>
  </si>
  <si>
    <t>11174135.tif 11174136.tif 11174137.tif 11174138.tif</t>
  </si>
  <si>
    <t>Take Out Tuesday: We¿¿¿ll Get the Tab -Empcom-June 2020</t>
  </si>
  <si>
    <t>.Business Meals Take Out Tuesday: We¿¿¿ll Get the Tab -Empcom-June 2020</t>
  </si>
  <si>
    <t>WEXP-00026697</t>
  </si>
  <si>
    <t>CHC20200728-WD EX[</t>
  </si>
  <si>
    <t>11192167.tif 11192168.tif 11192169.tif</t>
  </si>
  <si>
    <t>Take-Out Tuesday: Our Treat -Empcom July 2020</t>
  </si>
  <si>
    <t>.Business Meals Take-Out Tuesday: Our Treat -Empcom July 2020</t>
  </si>
  <si>
    <t>WEXP-00026744</t>
  </si>
  <si>
    <t>11173919.tif 11173920.tif 11173921.tif</t>
  </si>
  <si>
    <t>WEXP-00026845</t>
  </si>
  <si>
    <t>KAW200727_1 WD EXP</t>
  </si>
  <si>
    <t>11191683.tif 11191684.tif 11191685.tif</t>
  </si>
  <si>
    <t>July 21 2020 Company Takeout Tuesday</t>
  </si>
  <si>
    <t>.Business Meals July 21 2020 Company Takeout Tuesday</t>
  </si>
  <si>
    <t>WEXP-00026122</t>
  </si>
  <si>
    <t>KAW200710_1 WDEXP</t>
  </si>
  <si>
    <t>11131149.tif 11131150.tif 11131151.tif</t>
  </si>
  <si>
    <t>Jason's Deli Lunch Takeout Day 4 June 2020 Close</t>
  </si>
  <si>
    <t>.Business Meals Jason's Deli Lunch Takeout Day 4 June 2020 Close</t>
  </si>
  <si>
    <t>WEXP-00026117</t>
  </si>
  <si>
    <t>11131050.tif 11131051.tif 11131052.tif</t>
  </si>
  <si>
    <t>Zoe's Kitchen Lunch Takeout June 2020 Mock Close TN 8.209</t>
  </si>
  <si>
    <t>.Business Meals Zoe's Kitchen Lunch Takeout June 2020 Mock Close TN 8.209</t>
  </si>
  <si>
    <t>WEXP-00026119</t>
  </si>
  <si>
    <t>11131079.tif 11131080.tif 11131081.tif</t>
  </si>
  <si>
    <t>Panera Bread Lunch Takeout June 2020 Close</t>
  </si>
  <si>
    <t>.Business Meals Panera Bread Lunch Takeout June 2020 Close</t>
  </si>
  <si>
    <t>WEXP-00026523</t>
  </si>
  <si>
    <t>11191917.tif 11191918.tif 11191919.tif</t>
  </si>
  <si>
    <t>Corporate-wide ¿¿¿Take-out Tuesday¿¿¿</t>
  </si>
  <si>
    <t>.Business Meals Corporate-wide ¿¿¿Take-out Tuesday¿¿¿</t>
  </si>
  <si>
    <t>WEXP-00026972</t>
  </si>
  <si>
    <t>CHC20200731-WD-EXP</t>
  </si>
  <si>
    <t>11193693.tif 11193694.tif 11193695.tif 11193696.tif 11193697.tif 11193698.tif 11193699.tif 11193700.tif 11193701.tif 11193702.tif 11193703.tif 11193704.tif 11193705.tif 11193706.tif 11193707.tif 11193708.tif 11193709.tif 11193710.tif 11193711.tif</t>
  </si>
  <si>
    <t>Office Supplies for home office due to Covid 19.</t>
  </si>
  <si>
    <t>Office Supplies Office Supplies for home office due to Covid 19.</t>
  </si>
  <si>
    <t>WEXP-00024796</t>
  </si>
  <si>
    <t>11131089.tif 11131090.tif 11131091.tif</t>
  </si>
  <si>
    <t>Take-out Tuesday Employee Lunch</t>
  </si>
  <si>
    <t>.Business Meals Take-out Tuesday Employee Lunch</t>
  </si>
  <si>
    <t>WEXP-00025942</t>
  </si>
  <si>
    <t>KAW200701_1 WDEXP</t>
  </si>
  <si>
    <t>11120162.tif 11120163.tif 11120164.tif 11120165.tif 11120166.tif 11120167.tif 11120168.tif 11120169.tif 11120170.tif 11120171.tif 11120172.tif</t>
  </si>
  <si>
    <t>Purchased Department  Appreciation T-Shirts - Sent to A. DeWeese directly</t>
  </si>
  <si>
    <t>Employee Welfare Expense Purchased Department  Appreciation T-Shirts - Sent to A. DeWeese directly</t>
  </si>
  <si>
    <t>Employee Welfare Expense Purchased Department  Appreciation T-Shirts</t>
  </si>
  <si>
    <t>Community Welfare Juvenile Diabetes Research Foundation JDRF Company Sponsorship</t>
  </si>
  <si>
    <t>Company Sponsorship</t>
  </si>
  <si>
    <t>WEXP-00026691</t>
  </si>
  <si>
    <t>11174183.tif 11174184.tif 11174185.tif</t>
  </si>
  <si>
    <t>Atmos Energy Paid Tuesday Lunch</t>
  </si>
  <si>
    <t>.Business Meals Atmos Energy Paid Tuesday Lunch</t>
  </si>
  <si>
    <t>Buckner, Christina (Chrissy)</t>
  </si>
  <si>
    <t>WEXP-00026887</t>
  </si>
  <si>
    <t>11192314.tif 11192315.tif 11192316.tif 11192317.tif 11192318.tif 11192319.tif 11192320.tif</t>
  </si>
  <si>
    <t>WEXP-00021526</t>
  </si>
  <si>
    <t>CHC20200716-WD EXP</t>
  </si>
  <si>
    <t>11150182.tif 11150183.tif 11150184.tif 11150185.tif 11150186.tif 11150187.tif 11150188.tif 11150189.tif 11150190.tif 11150191.tif 11150192.tif 11150193.tif 11150194.tif 11150195.tif 11150196.tif 11150197.tif 11150198.tif 11150199.tif 11150200.tif 11150201.tif 11150202.tif 11150203.tif 11150204.tif 11150205.tif 11150206.tif 11150207.tif 11150208.tif 11150209.tif 11150210.tif 11150211.tif 11150212.tif</t>
  </si>
  <si>
    <t>Business meal for ShSr Gas Control while working on DR Site setup</t>
  </si>
  <si>
    <t>.Business Meals Business meal for ShSr Gas Control Neal Pagan</t>
  </si>
  <si>
    <t>.Business Meals Business meal for ShSr Gas Control Staff DRSite meeting</t>
  </si>
  <si>
    <t>.Business Meals Business meal for ShSr Gas Control while working at DR Site</t>
  </si>
  <si>
    <t>Office Supplies Back up power supply for ShSr Gas Control operations at DR Site</t>
  </si>
  <si>
    <t>.Business Meals Purchase business meal while coordinating shifts and activities related to alternate DR-Site for ShSr Gas Control</t>
  </si>
  <si>
    <t>Office Supplies Office supplies for ShSr Gas Control DR Site</t>
  </si>
  <si>
    <t>Office Supplies Office Supplies for ShSr Gas Control DR Site</t>
  </si>
  <si>
    <t>Office Supplies Office Supplies for ShSr Gas Control staff to support DR Site operations</t>
  </si>
  <si>
    <t>.Business Meals Business meal for ShSr Gas Control while working on DR Site setup</t>
  </si>
  <si>
    <t>Mileage Personal mileage for 4 trips between ShSr Gas Control operations and Columbia TN DR Site . Dates were March 16, 17, 18, 19</t>
  </si>
  <si>
    <t>.Business Meals Employee meal for ShSr Gas Control Mike Walker</t>
  </si>
  <si>
    <t>Postage Stamps and postage for ShSr Gas Control activities</t>
  </si>
  <si>
    <t>WEXP-00026097</t>
  </si>
  <si>
    <t>CHC20200709-WD EXP</t>
  </si>
  <si>
    <t>11131008.tif 11131009.tif 11131010.tif 11131011.tif</t>
  </si>
  <si>
    <t>Purchase of postal stamps for mailings to claimants while working remotely under COVID-19 guidelines</t>
  </si>
  <si>
    <t>Postage Purchase of postal stamps for mailings to claimants while working remotely under COVID-19 guidelines</t>
  </si>
  <si>
    <t>WEXP-00027045</t>
  </si>
  <si>
    <t>KAW200729_1 WDEXP</t>
  </si>
  <si>
    <t>11192676.tif 11192677.tif 11192678.tif 11192679.tif 11192680.tif 11192681.tif 11192682.tif 11192683.tif 11192684.tif 11192685.tif 11192686.tif 11192687.tif 11192688.tif</t>
  </si>
  <si>
    <t>3 round trips to Columbia TN &amp; 2 round trips to Bowling Green KY</t>
  </si>
  <si>
    <t>Office Supplies Paper towels and coffee cups for Columbia control room.</t>
  </si>
  <si>
    <t>.Business Meals Company sponsored employee lunch for controllers</t>
  </si>
  <si>
    <t>Mileage 3 round trips to Columbia TN &amp; 2 round trips to Bowling Green KY</t>
  </si>
  <si>
    <t>Office Supplies Computer wire ties for workstations in Franklin control room</t>
  </si>
  <si>
    <t>.Business Meals Snacks and supplies for both control rooms</t>
  </si>
  <si>
    <t>Office Supplies Paper towels and Cutlery for Columbia Control room</t>
  </si>
  <si>
    <t>WEXP-00026865</t>
  </si>
  <si>
    <t>11191686.tif 11191687.tif 11191688.tif</t>
  </si>
  <si>
    <t>Office supplies from Amazon for Working from Home During Covid-19</t>
  </si>
  <si>
    <t>Office Supplies Office supplies from Amazon for Working from Home During Covid-19</t>
  </si>
  <si>
    <t>WEXP-00026141</t>
  </si>
  <si>
    <t>11150266.tif 11150267.tif 11150268.tif</t>
  </si>
  <si>
    <t>approved weekly lunch for workforce development from V.P..</t>
  </si>
  <si>
    <t>.Business Meals approved weekly lunch for workforce development from V.P..</t>
  </si>
  <si>
    <t>WEXP-00026377</t>
  </si>
  <si>
    <t>11174129.tif 11174130.tif 11174131.tif</t>
  </si>
  <si>
    <t>weekly lunch for workforce development approved by V.P.</t>
  </si>
  <si>
    <t>.Business Meals weekly lunch for workforce development approved by V.P.</t>
  </si>
  <si>
    <t>WEXP-00026262</t>
  </si>
  <si>
    <t>CHC20200717-WD EXP</t>
  </si>
  <si>
    <t>11150520.tif 11150521.tif 11150522.tif</t>
  </si>
  <si>
    <t>approved weekly lunch for workforce development from V.P.</t>
  </si>
  <si>
    <t>.Business Meals approved weekly lunch for workforce development from V.P.</t>
  </si>
  <si>
    <t>WEXP-00027203</t>
  </si>
  <si>
    <t>11193730.tif 11193731.tif 11193732.tif</t>
  </si>
  <si>
    <t>weekly approved lunch for workforce development from V.P.</t>
  </si>
  <si>
    <t>.Business Meals weekly approved lunch for workforce development from V.P.</t>
  </si>
  <si>
    <t>WEXP-00025947</t>
  </si>
  <si>
    <t>11120197.tif 11120198.tif 11120199.tif</t>
  </si>
  <si>
    <t>approved weekly lunch for workforce development</t>
  </si>
  <si>
    <t>.Business Meals approved weekly lunch for workforce development</t>
  </si>
  <si>
    <t>WEXP-00025702</t>
  </si>
  <si>
    <t>KAW20200708_1 WDEXP</t>
  </si>
  <si>
    <t>11130645.tif 11130646.tif 11130647.tif 11130648.tif 11130649.tif 11130650.tif 11130651.tif 11130652.tif</t>
  </si>
  <si>
    <t>Southern Gas Industry Training</t>
  </si>
  <si>
    <t>.Business Meals Benefit Accounting Dept Working Lunch</t>
  </si>
  <si>
    <t>Training Southern Gas Industry Training</t>
  </si>
  <si>
    <t>WEXP-00026892</t>
  </si>
  <si>
    <t>11192689.tif 11192690.tif 11192691.tif 11192692.tif 11192693.tif 11192694.tif 11192695.tif 11192696.tif 11192697.tif</t>
  </si>
  <si>
    <t>Onboarding Lunch with T Troup  at CKV</t>
  </si>
  <si>
    <t>Cell Phone Equipment &amp; Accessories Phone Shield / Phone Protective Case</t>
  </si>
  <si>
    <t>.Business Meals Onboarding Lunch with T Troup  at CKV</t>
  </si>
  <si>
    <t>Employee Welfare Expense Annual Digital/Print Subscription for Wall Street Journal</t>
  </si>
  <si>
    <t>WEXP-00026752</t>
  </si>
  <si>
    <t>11191701.tif 11191702.tif 11191703.tif</t>
  </si>
  <si>
    <t>Lunch in support of local businesses for Take out Tuesday</t>
  </si>
  <si>
    <t>.Business Meals Lunch in support of local businesses for Take out Tuesday</t>
  </si>
  <si>
    <t>WEXP-00026251</t>
  </si>
  <si>
    <t>11150374.tif 11150375.tif 11150376.tif</t>
  </si>
  <si>
    <t>Meal for 20 year service award recognition</t>
  </si>
  <si>
    <t>.Business Meals Meal for 20 year service award recognition</t>
  </si>
  <si>
    <t>WEXP-00026553</t>
  </si>
  <si>
    <t>11192866.tif 11192867.tif 11192868.tif 11192869.tif 11192870.tif 11192871.tif 11192872.tif</t>
  </si>
  <si>
    <t>Take Out Tuesday June 09, 2020</t>
  </si>
  <si>
    <t>.Business Meals Take Out Tuesday June 09, 2020</t>
  </si>
  <si>
    <t>.Business Meals Take Out Tuesday for June 9, 2020</t>
  </si>
  <si>
    <t>WEXP-00026066</t>
  </si>
  <si>
    <t>11130625.tif 11130626.tif 11130627.tif 11130628.tif 11130629.tif</t>
  </si>
  <si>
    <t>Lunch for day 3 of Jun-20 close for Cara Croissant</t>
  </si>
  <si>
    <t>.Business Meals Lunch for day 3 of Jun-20 close for Cara Croissant</t>
  </si>
  <si>
    <t>WEXP-00026064</t>
  </si>
  <si>
    <t>11130619.tif 11130620.tif 11130621.tif 11130622.tif 11130623.tif 11130624.tif</t>
  </si>
  <si>
    <t>Lunch for day 4 of Jun-20 close for Cara Croissant</t>
  </si>
  <si>
    <t>.Business Meals Lunch for day 4 of Jun-20 close for Cara Croissant</t>
  </si>
  <si>
    <t>WEXP-00026987</t>
  </si>
  <si>
    <t>11192503.tif 11192504.tif 11192505.tif</t>
  </si>
  <si>
    <t>Meal during Advanced service monitoring distribution and pipeline systems</t>
  </si>
  <si>
    <t>.Business Meals Meal during Advanced service monitoring distribution and pipeline systems</t>
  </si>
  <si>
    <t>WEXP-00026248</t>
  </si>
  <si>
    <t>11150385.tif 11150386.tif 11150387.tif</t>
  </si>
  <si>
    <t>Meal during remote Advanced Service training Monitoring Distribution &amp;Pipeline Systems</t>
  </si>
  <si>
    <t>.Business Meals Meal during remote Advanced Service training Monitoring Distribution &amp;Pipeline Systems</t>
  </si>
  <si>
    <t>WEXP-00026131</t>
  </si>
  <si>
    <t>11150103.tif 11150104.tif 11150105.tif</t>
  </si>
  <si>
    <t>Meal during Advanced Service Class, working remotely</t>
  </si>
  <si>
    <t>.Business Meals Meal during Advanced Service Class, working remotely</t>
  </si>
  <si>
    <t>WEXP-00026694</t>
  </si>
  <si>
    <t>11173896.tif 11173897.tif 11173898.tif</t>
  </si>
  <si>
    <t>Take Out Tuesday 7/21/2020 sponsored by Atmos Energy</t>
  </si>
  <si>
    <t>.Business Meals Take Out Tuesday 7/21/2020 sponsored by Atmos Energy</t>
  </si>
  <si>
    <t>WEXP-00026430</t>
  </si>
  <si>
    <t>KAW200722_1 WDEXP</t>
  </si>
  <si>
    <t>11173277.tif 11173278.tif 11173279.tif 11173280.tif</t>
  </si>
  <si>
    <t>WEXP-00026052</t>
  </si>
  <si>
    <t>11131185.tif 11131186.tif 11131187.tif</t>
  </si>
  <si>
    <t>Working the holiday during quarter end</t>
  </si>
  <si>
    <t>.Business Meals Working the holiday during quarter end</t>
  </si>
  <si>
    <t>WEXP-00026027</t>
  </si>
  <si>
    <t>KAW20200706_1 WDEXP</t>
  </si>
  <si>
    <t>11130266.tif 11130267.tif 11130268.tif</t>
  </si>
  <si>
    <t>Weekly lunch while working remote</t>
  </si>
  <si>
    <t>.Business Meals Weekly lunch while working remote</t>
  </si>
  <si>
    <t>WEXP-00026797</t>
  </si>
  <si>
    <t>11192754.tif 11192755.tif 11192756.tif 11192757.tif 11192758.tif 11192759.tif 11192760.tif</t>
  </si>
  <si>
    <t>Virtual Coordinators Thank you lunch</t>
  </si>
  <si>
    <t>.Business Meals Lunch provided for working remote by Workforce Development</t>
  </si>
  <si>
    <t>.Business Meals Virtual Coordinators Thank you lunch</t>
  </si>
  <si>
    <t>.Business Meals Lunch for Take out Tuesday : Our Treat</t>
  </si>
  <si>
    <t>WEXP-00026221</t>
  </si>
  <si>
    <t>KAW200715_WDEXP</t>
  </si>
  <si>
    <t>11150094.tif 11150095.tif 11150096.tif 11150097.tif 11150098.tif 11150099.tif 11150100.tif 11150101.tif 11150102.tif</t>
  </si>
  <si>
    <t>Printer cartridge for manager while working remote.</t>
  </si>
  <si>
    <t>Office Supplies Pens for manager while working remotely.</t>
  </si>
  <si>
    <t>Office Supplies Printer cartridge for manager while working remote.</t>
  </si>
  <si>
    <t>Office Supplies Highlighters and a printer for manager while working remote.</t>
  </si>
  <si>
    <t>.Business Meals Lunch provided while working remotely.</t>
  </si>
  <si>
    <t>WEXP-00026314</t>
  </si>
  <si>
    <t>CHC20200721-WD EXP</t>
  </si>
  <si>
    <t>11172945.tif 11172946.tif 11172947.tif 11172948.tif 11172949.tif 11172950.tif 11172951.tif</t>
  </si>
  <si>
    <t>Provided lunch for My Possibilities Staff</t>
  </si>
  <si>
    <t>.Business Meals Provided lunch for My Possibilities Staff</t>
  </si>
  <si>
    <t>WEXP-00026731</t>
  </si>
  <si>
    <t>11173868.tif 11173869.tif 11173870.tif 11173871.tif</t>
  </si>
  <si>
    <t>Annual Dues for the Academy of Certified ArchivistsAnnual Dues for the Academy of Certified Archivists</t>
  </si>
  <si>
    <t>Association Dues Annual Dues for the Academy of Certified ArchivistsAnnual Dues for the Academy of Certified Archivists</t>
  </si>
  <si>
    <t>WEXP-00026733</t>
  </si>
  <si>
    <t>11174073.tif 11174074.tif 11174075.tif 11174076.tif</t>
  </si>
  <si>
    <t>Registration for the virtual annual meeting of the Society of American Archivists</t>
  </si>
  <si>
    <t>Employee Development Expense Registration for the virtual annual meeting of the Society of American Archivists</t>
  </si>
  <si>
    <t>WEXP-00026802</t>
  </si>
  <si>
    <t>11192149.tif 11192150.tif 11192151.tif</t>
  </si>
  <si>
    <t>Take Out Tuesday Meal on 7.21.20</t>
  </si>
  <si>
    <t>.Business Meals Take Out Tuesday Meal on 7.21.20</t>
  </si>
  <si>
    <t>Douglas, Imelda J (Imelda)</t>
  </si>
  <si>
    <t>WEXP-00026860</t>
  </si>
  <si>
    <t>11192618.tif 11192619.tif 11192620.tif</t>
  </si>
  <si>
    <t>Take out Tuesday - We'll Get the tab</t>
  </si>
  <si>
    <t>.Social Meal &amp; Events take out tuesday - we'll ge the tab</t>
  </si>
  <si>
    <t>WEXP-00025342</t>
  </si>
  <si>
    <t>CHC20200702-WD EXP</t>
  </si>
  <si>
    <t>11120288.tif 11120289.tif 11120290.tif</t>
  </si>
  <si>
    <t>.Social Meal &amp; Events Take out Tuesday - We'll Get the tab</t>
  </si>
  <si>
    <t>WEXP-00026361</t>
  </si>
  <si>
    <t>11174025.tif 11174026.tif 11174027.tif 11174028.tif</t>
  </si>
  <si>
    <t>Takeout Tuesday! Employee lunch while working remotely on Construction Essentials Classes.</t>
  </si>
  <si>
    <t>.Business Meals Takeout Tuesday! Employee lunch while working remotely on Construction Essentials Classes.</t>
  </si>
  <si>
    <t>WEXP-00026157</t>
  </si>
  <si>
    <t>CHC20200713-WD EXP</t>
  </si>
  <si>
    <t>11149780.tif 11149781.tif 11149782.tif 11149783.tif</t>
  </si>
  <si>
    <t>Employee lunch while working remotely on Damage Prevention Classes.</t>
  </si>
  <si>
    <t>.Business Meals Employee lunch while working remotely on Damage Prevention Classes.</t>
  </si>
  <si>
    <t>WEXP-00026011</t>
  </si>
  <si>
    <t>11130707.tif 11130708.tif 11130709.tif</t>
  </si>
  <si>
    <t>WEXP-00026271</t>
  </si>
  <si>
    <t>11150363.tif 11150364.tif 11150365.tif 11150366.tif</t>
  </si>
  <si>
    <t>Employee lunch while working remotely on Damage Prevention classes.</t>
  </si>
  <si>
    <t>.Business Meals Employee lunch while working remotely on Damage Prevention classes.</t>
  </si>
  <si>
    <t>WEXP-00027022</t>
  </si>
  <si>
    <t>11192873.tif 11192874.tif 11192875.tif 11192876.tif 11192877.tif 11192878.tif</t>
  </si>
  <si>
    <t>Take Out Tuesday 06092020 - Uncork'd</t>
  </si>
  <si>
    <t>.Business Meals Take Out Tuesday 7/21/2020 - Zen Sushi &amp; Grill</t>
  </si>
  <si>
    <t>.Business Meals Take Out Tuesday 06092020 - Uncork'd</t>
  </si>
  <si>
    <t>WEXP-00026988</t>
  </si>
  <si>
    <t>11192911.tif 11192912.tif 11192913.tif</t>
  </si>
  <si>
    <t>Takeout Tuesday for all employees</t>
  </si>
  <si>
    <t>.Business Meals Takeout Tuesday for all employees</t>
  </si>
  <si>
    <t>WEXP-00026215</t>
  </si>
  <si>
    <t>11150078.tif 11150079.tif 11150080.tif</t>
  </si>
  <si>
    <t>ARMA International, Inc., Annual Fees</t>
  </si>
  <si>
    <t>Professional Dues ARMA International, Inc., Annual Fees</t>
  </si>
  <si>
    <t>WEXP-00025742</t>
  </si>
  <si>
    <t>11120303.tif 11120304.tif 11120305.tif</t>
  </si>
  <si>
    <t>2020 DC Bar Dues - Kevin Frank</t>
  </si>
  <si>
    <t>Association Dues 2020 DC Bar Dues - Kevin Frank</t>
  </si>
  <si>
    <t>WEXP-00026175</t>
  </si>
  <si>
    <t>11150139.tif 11150140.tif 11150141.tif 11150142.tif 11150143.tif 11150144.tif</t>
  </si>
  <si>
    <t>Prosci Advanced Practitioner continuing education class for PMP recertification</t>
  </si>
  <si>
    <t>Employee Development Expense Prosci Advanced Practitioner class for PMP continuing education credit</t>
  </si>
  <si>
    <t>WEXP-00026559</t>
  </si>
  <si>
    <t>11192645.tif 11192646.tif 11192647.tif</t>
  </si>
  <si>
    <t>Participation in Enterprise Take-Out Tuesday to support our local restaurants.</t>
  </si>
  <si>
    <t>.Business Meals Participation in Enterprise Take-Out Tuesday to support our local restaurants.</t>
  </si>
  <si>
    <t>WEXP-00027184</t>
  </si>
  <si>
    <t>11193763.tif 11193764.tif 11193765.tif 11193766.tif</t>
  </si>
  <si>
    <t>Lunch Take Out Tuesday for 7-21-20 per EmpCom</t>
  </si>
  <si>
    <t>.Business Meals Lunch Take Out Tuesday for 7-21-20 per EmpCom</t>
  </si>
  <si>
    <t>WEXP-00026473</t>
  </si>
  <si>
    <t>11173313.tif 11173314.tif 11173315.tif</t>
  </si>
  <si>
    <t>Take out Tuesday - employee covered meal.</t>
  </si>
  <si>
    <t>.Social Meal &amp; Events Take out Tuesday - employee covered meal. Pizza</t>
  </si>
  <si>
    <t>WEXP-00026442</t>
  </si>
  <si>
    <t>CHC20200723-WD EXP</t>
  </si>
  <si>
    <t>11173468.tif 11173469.tif 11173470.tif</t>
  </si>
  <si>
    <t>Take-Out Tuesday: Our Treat per email dated July 20, 2020 Take-Out Tuesday: Our Treat per email dated July 20, 2020</t>
  </si>
  <si>
    <t>.Business Meals Take-Out Tuesday: Our Treat per email dated July 20, 2020</t>
  </si>
  <si>
    <t>WEXP-00026478</t>
  </si>
  <si>
    <t>11173631.tif 11173632.tif 11173633.tif</t>
  </si>
  <si>
    <t>Printing/Slides/Graphics Print copies of regulatory filing to be filed with Tennessee Commission</t>
  </si>
  <si>
    <t>WEXP-00026490</t>
  </si>
  <si>
    <t>11173581.tif 11173582.tif 11173583.tif 11173584.tif 11173585.tif 11173586.tif 11173587.tif</t>
  </si>
  <si>
    <t>Take Out Tuesday Meal Covered by Atmos for Ashley</t>
  </si>
  <si>
    <t>.Business Meals Take Out Tuesday Meal Covered by Atmos for Ashley</t>
  </si>
  <si>
    <t>WEXP-00026038</t>
  </si>
  <si>
    <t>11130696.tif 11130697.tif 11130698.tif 11130699.tif 11130700.tif 11130701.tif 11130702.tif</t>
  </si>
  <si>
    <t>Month End Accounting Lunch for Ashley</t>
  </si>
  <si>
    <t>.Business Meals Month End close for Ashley Grantham</t>
  </si>
  <si>
    <t>.Business Meals Month End Accounting Lunch for Ashley</t>
  </si>
  <si>
    <t>204519</t>
  </si>
  <si>
    <t>Gregory, Gary W (Gary)</t>
  </si>
  <si>
    <t>WEXP-00025983</t>
  </si>
  <si>
    <t>11130584.tif 11130585.tif 11130586.tif</t>
  </si>
  <si>
    <t>Preperation and review of federal and state tax returns for 2019 tax year.</t>
  </si>
  <si>
    <t>Contract Labor Preperation and review of federal and state tax returns for 2019 tax year.</t>
  </si>
  <si>
    <t>WEXP-00026412</t>
  </si>
  <si>
    <t>11173939.tif 11173940.tif 11173941.tif</t>
  </si>
  <si>
    <t>Lunch and partial tax and tip for company-provided ¿¿¿Takeout Tuesday¿¿¿. $14 for meal plus $2.55 for tax/tip.</t>
  </si>
  <si>
    <t>.Business Meals Lunch and partial tax and tip for company-provided ¿¿¿Takeout Tuesday¿¿¿. $14 for meal plus $2.55 for tax/tip.</t>
  </si>
  <si>
    <t>WEXP-00026851</t>
  </si>
  <si>
    <t>11191778.tif 11191779.tif 11191780.tif</t>
  </si>
  <si>
    <t>Takeout Tuesday dinner meal from local vendor</t>
  </si>
  <si>
    <t>.Business Meals Takeout Tuesday dinner meal from local vendor</t>
  </si>
  <si>
    <t>WEXP-00026358</t>
  </si>
  <si>
    <t>11173233.tif 11173234.tif 11173235.tif</t>
  </si>
  <si>
    <t>Powtoons subscription renewal used to create material for change initiatives</t>
  </si>
  <si>
    <t>Software Maintenance Powtoons subscription renewal used to create material for change initiatives</t>
  </si>
  <si>
    <t>WEXP-00026467</t>
  </si>
  <si>
    <t>11173646.tif 11173647.tif 11173648.tif</t>
  </si>
  <si>
    <t>Atmos Energy Take-Out Tuesday Lunch</t>
  </si>
  <si>
    <t>.Social Meal &amp; Events Atmos Energy Take-Out Tuesday Lunch</t>
  </si>
  <si>
    <t>WEXP-00026572</t>
  </si>
  <si>
    <t>11179337.tif 11179338.tif 11179339.tif</t>
  </si>
  <si>
    <t>Atmos EmployeesTake Out Tuesday Our Treat</t>
  </si>
  <si>
    <t>.Social Meal &amp; Events Atmos Employees  Take Out Tuesday Our Treat</t>
  </si>
  <si>
    <t>277188</t>
  </si>
  <si>
    <t>Haynes, Keith J (Keith)</t>
  </si>
  <si>
    <t>WEXP-00026728</t>
  </si>
  <si>
    <t>11173832.tif 11173833.tif 11173834.tif</t>
  </si>
  <si>
    <t>Lunch Tuesday from the Empcom email</t>
  </si>
  <si>
    <t>.Business Meals Lunch Tuesday from the Empcom email</t>
  </si>
  <si>
    <t>WEXP-00026734</t>
  </si>
  <si>
    <t>11173865.tif 11173866.tif 11173867.tif</t>
  </si>
  <si>
    <t>convert emails in the new EVAUL System downloads</t>
  </si>
  <si>
    <t>IT Equipment convert emails in the new EVAUL System downloads</t>
  </si>
  <si>
    <t>WEXP-00012540</t>
  </si>
  <si>
    <t>11150478.tif 11150479.tif 11150480.tif 11150481.tif 11150482.tif 11150483.tif 11150484.tif 11150485.tif 11150486.tif 11150487.tif 11150488.tif 11150489.tif 11150490.tif 11150491.tif 11150492.tif</t>
  </si>
  <si>
    <t>Renewal of annual SHRM membership subscription dues. HR Employee Relations &amp; Compliance team and Recruiting team will have online account access to research regulatory landscape and employment trends.</t>
  </si>
  <si>
    <t>Professional Dues Renewal of annual SHRM membership subscription dues. HR Employee Relations &amp; Compliance team and Recruiting team will have online account access to research regulatory landscape and employment trends.</t>
  </si>
  <si>
    <t>.Business Meals HR Support Local Restaurants Day Max $25</t>
  </si>
  <si>
    <t>.Business Meals HR Support No Dirty Dishes Day Max $15</t>
  </si>
  <si>
    <t>WEXP-00026783</t>
  </si>
  <si>
    <t>11173855.tif 11173856.tif 11173857.tif</t>
  </si>
  <si>
    <t>WEXP-00026315</t>
  </si>
  <si>
    <t>11172965.tif 11172966.tif 11172967.tif 11172968.tif</t>
  </si>
  <si>
    <t>American Gas Association Virtual Legal Forum 2020 - Hofmann</t>
  </si>
  <si>
    <t>Employee Development Expense American Gas Association Virtual Legal Forum 2020 - Hofmann</t>
  </si>
  <si>
    <t>WEXP-00026858</t>
  </si>
  <si>
    <t>CHC20200730-WD EXP</t>
  </si>
  <si>
    <t>11193103.tif 11193104.tif 11193105.tif 11193106.tif</t>
  </si>
  <si>
    <t>Take Out Tuesday Lunch Order from Torchy's Taco on July 21, 2020</t>
  </si>
  <si>
    <t>.Business Meals Take Out Tuesday Lunch Order from Torchy's Taco on July 21, 2020</t>
  </si>
  <si>
    <t>WEXP-00027185</t>
  </si>
  <si>
    <t>11193527.tif 11193528.tif 11193529.tif</t>
  </si>
  <si>
    <t>Registration for the 2020 NEUAC virtual conference on 8/4/2020 and 8/5/2020</t>
  </si>
  <si>
    <t>Employee Development Expense Registration for the 2020 NEUAC virtual conference on 8/4/2020 and 8/5/2020</t>
  </si>
  <si>
    <t>258294</t>
  </si>
  <si>
    <t>Jackson, Christine M (Christine)</t>
  </si>
  <si>
    <t>WEXP-00026659</t>
  </si>
  <si>
    <t>11192528.tif 11192529.tif 11192530.tif</t>
  </si>
  <si>
    <t>company approved take out lunch</t>
  </si>
  <si>
    <t>.Business Meals company approved take out lunch</t>
  </si>
  <si>
    <t>WEXP-00026045</t>
  </si>
  <si>
    <t>11131032.tif 11131033.tif 11131034.tif 11131035.tif 11131036.tif 11131037.tif</t>
  </si>
  <si>
    <t>Employee Lunch - June 2020 Close</t>
  </si>
  <si>
    <t>.Business Meals Employee Lunch - June 2020 Close</t>
  </si>
  <si>
    <t>WEXP-00026291</t>
  </si>
  <si>
    <t>11172942.tif 11172943.tif 11172944.tif</t>
  </si>
  <si>
    <t>Student tools for VWI Vr training</t>
  </si>
  <si>
    <t>Non-Inventory Supply Student tools for VWI Vr training</t>
  </si>
  <si>
    <t>WEXP-00026085</t>
  </si>
  <si>
    <t>CHC20200714-WD EXP</t>
  </si>
  <si>
    <t>11149922.tif 11149923.tif 11149924.tif</t>
  </si>
  <si>
    <t>VWI Tools for VR VWI training tools will be shipped to students</t>
  </si>
  <si>
    <t>Non-Inventory Supply VWI Tools for VR VWI training tools will be shipped to students</t>
  </si>
  <si>
    <t>WEXP-00026202</t>
  </si>
  <si>
    <t>11149946.tif 11149947.tif 11149948.tif 11149949.tif 11149950.tif</t>
  </si>
  <si>
    <t>Annual Membership Dues for the Society of Depreciation Professionals</t>
  </si>
  <si>
    <t>Professional Dues Annual Membership Dues for the Society of Depreciation Professionals</t>
  </si>
  <si>
    <t>Training Society of Depreciation Professionals Annual Business Conference</t>
  </si>
  <si>
    <t>WEXP-00026848</t>
  </si>
  <si>
    <t>11191753.tif 11191754.tif 11191755.tif</t>
  </si>
  <si>
    <t>$15.00 Take out Tuesday lunch Reimbursement</t>
  </si>
  <si>
    <t>.Business Meals $15.00 Take out Tuesday lunch Reimbursement</t>
  </si>
  <si>
    <t>289134</t>
  </si>
  <si>
    <t>Khan, Omar (Omar)</t>
  </si>
  <si>
    <t>WEXP-00026767</t>
  </si>
  <si>
    <t>11174015.tif 11174016.tif 11174017.tif</t>
  </si>
  <si>
    <t>Company Sponsored team Lunch to support local restaurants and businesses in the area</t>
  </si>
  <si>
    <t>.Business Meals Company Sponsored team Lunch to support local restaurants and businesses in the area</t>
  </si>
  <si>
    <t>WEXP-00026807</t>
  </si>
  <si>
    <t>11192146.tif 11192147.tif 11192148.tif</t>
  </si>
  <si>
    <t>7/21/2020 Take Out Tuesday to support local restaurant</t>
  </si>
  <si>
    <t>.Social Meal &amp; Events 7/21/2020 Take Out Tuesday to support local restaurant</t>
  </si>
  <si>
    <t>WEXP-00026385</t>
  </si>
  <si>
    <t>11173083.tif 11173084.tif 11173085.tif</t>
  </si>
  <si>
    <t>Take Out Tuesday Lunch expense report</t>
  </si>
  <si>
    <t>.Business Meals Take Out Tuesday Lunch expense report</t>
  </si>
  <si>
    <t>WEXP-00026071</t>
  </si>
  <si>
    <t>11130510.tif 11130511.tif 11130512.tif</t>
  </si>
  <si>
    <t>Jimmy Moore's Retirement Lunch</t>
  </si>
  <si>
    <t>.Business Meals Jimmy Moore's Retirement Lunch</t>
  </si>
  <si>
    <t>WEXP-00019779</t>
  </si>
  <si>
    <t>11130541.tif 11130542.tif 11130543.tif 11130544.tif 11130545.tif 11130546.tif 11130547.tif 11130548.tif 11130549.tif 11130550.tif 11130551.tif 11130552.tif</t>
  </si>
  <si>
    <t>Attending Imperva Customer Advisory Meeting</t>
  </si>
  <si>
    <t>.Business Meals Attending Imperva Customer Advisory Council meeting</t>
  </si>
  <si>
    <t>.Business Meals Attending Imperva Customer Advisory Meeting</t>
  </si>
  <si>
    <t>Mileage Attending Imperva Customer Advisory Council meeting</t>
  </si>
  <si>
    <t>Parking Attending Imperva Customer Advisory Council meeting</t>
  </si>
  <si>
    <t>WEXP-00019768</t>
  </si>
  <si>
    <t>11131164.tif 11131165.tif 11131166.tif 11131167.tif 11131168.tif 11131169.tif 11131170.tif 11131171.tif 11131172.tif 11131173.tif 11131174.tif 11131175.tif 11131176.tif 11131177.tif 11131178.tif 11131179.tif</t>
  </si>
  <si>
    <t>Attending API 1164 Rewrite Working Sessions</t>
  </si>
  <si>
    <t>.Business Meals Attending API 1164 Rewrite Working Sessions</t>
  </si>
  <si>
    <t>Lodging Attending API 1164 Rewrite Working Sessions</t>
  </si>
  <si>
    <t>Mileage Attending API 1164 Rewrite Working Sessions</t>
  </si>
  <si>
    <t>WEXP-00026013</t>
  </si>
  <si>
    <t>11130102.tif 11130103.tif 11130104.tif 11130105.tif 11130106.tif 11130107.tif 11130108.tif</t>
  </si>
  <si>
    <t>Postage to work remotely from home.</t>
  </si>
  <si>
    <t>Office Supplies Office chair to work remotely.</t>
  </si>
  <si>
    <t>Office Supplies Office supplies to work remote.</t>
  </si>
  <si>
    <t>Postage Postage to work remotely from home.</t>
  </si>
  <si>
    <t>WEXP-00026630</t>
  </si>
  <si>
    <t>11173711.tif 11173712.tif 11173713.tif</t>
  </si>
  <si>
    <t>Takeout Tuesday to support local businesses</t>
  </si>
  <si>
    <t>.Business Meals Takeout Tuesday to support local businesses</t>
  </si>
  <si>
    <t>WEXP-00027089</t>
  </si>
  <si>
    <t>11193195.tif 11193196.tif 11193197.tif 11193198.tif 11193199.tif 11193200.tif 11193201.tif 11193202.tif 11193203.tif 11193204.tif</t>
  </si>
  <si>
    <t>Webcam to use when training upcoming CSA's at the Amarillo CCC</t>
  </si>
  <si>
    <t>.Business Meals Virtual Coordinator's Appreciation Lunch</t>
  </si>
  <si>
    <t>Training Webcam to use when training upcoming CSA's at the Amarillo CCC</t>
  </si>
  <si>
    <t>Training Training material to train new hire CSA's at the Amarillo CCC</t>
  </si>
  <si>
    <t>WEXP-00026240</t>
  </si>
  <si>
    <t>11150151.tif 11150152.tif 11150153.tif 11150154.tif 11150155.tif 11150156.tif 11150157.tif 11150158.tif 11150159.tif 11150160.tif 11150161.tif</t>
  </si>
  <si>
    <t>Lunch provided for Instructor during Virtual Training</t>
  </si>
  <si>
    <t>.Business Meals Lunch provided for Instructor during Virtual Training</t>
  </si>
  <si>
    <t>WEXP-00027168</t>
  </si>
  <si>
    <t>11193551.tif 11193552.tif 11193553.tif</t>
  </si>
  <si>
    <t>Take out Tuesday - Benefits and Payroll Acounting lunch</t>
  </si>
  <si>
    <t>.Business Meals Take out Tuesday - Benefits and Payroll Acounting lunch</t>
  </si>
  <si>
    <t>WEXP-00026617</t>
  </si>
  <si>
    <t>11192514.tif 11192515.tif 11192516.tif 11192517.tif 11192518.tif 11192519.tif 11192520.tif 11192521.tif 11192522.tif 11192523.tif 11192524.tif 11192525.tif 11192526.tif 11192527.tif</t>
  </si>
  <si>
    <t>Benefits and Payroll Accounting -Office Supplies</t>
  </si>
  <si>
    <t>Meal Over Limit, Service Fee</t>
  </si>
  <si>
    <t>Office Supplies Benefits and Payroll Accounting -Office Supplies</t>
  </si>
  <si>
    <t>.Business Meals Benefits and Payrol Accounting -Tuesday Take out</t>
  </si>
  <si>
    <t>WEXP-00026484</t>
  </si>
  <si>
    <t>11173999.tif 11174000.tif 11174001.tif 11174002.tif</t>
  </si>
  <si>
    <t>Take out Tuesday thank you lunch expense</t>
  </si>
  <si>
    <t>.Business Meals Take out Tuesday thank you lunch expense</t>
  </si>
  <si>
    <t>WEXP-00025985</t>
  </si>
  <si>
    <t>11129967.tif 11129968.tif 11129969.tif</t>
  </si>
  <si>
    <t>WebCam for use with office desktop computer</t>
  </si>
  <si>
    <t>IT Equipment WebCam for use with office desktop computer</t>
  </si>
  <si>
    <t>WEXP-00025998</t>
  </si>
  <si>
    <t>11150232.tif 11150233.tif 11150234.tif 11150235.tif</t>
  </si>
  <si>
    <t>2019 Income Tax Preparation Fee</t>
  </si>
  <si>
    <t>Contract Labor 2019 Income Tax Preparation Fee</t>
  </si>
  <si>
    <t>WEXP-00025911</t>
  </si>
  <si>
    <t>11120274.tif 11120275.tif 11120276.tif 11120277.tif 11120278.tif 11120279.tif 11120280.tif 11120281.tif 11120282.tif</t>
  </si>
  <si>
    <t>Cost for fingerprinting for my renewal of my CPA license</t>
  </si>
  <si>
    <t>Professional Dues Cost for fingerprinting for my renewal of my CPA license</t>
  </si>
  <si>
    <t>.Business Meals Expense for lunch at Canes for the company wide 'Take Out Tuesday.'</t>
  </si>
  <si>
    <t>Professional Dues TSBPA Individual License Renewal Receipt</t>
  </si>
  <si>
    <t>Professional Dues AICPA yearly membership fees that were due</t>
  </si>
  <si>
    <t>WEXP-00026813</t>
  </si>
  <si>
    <t>11191794.tif 11191795.tif 11191796.tif</t>
  </si>
  <si>
    <t>Lunch on Take Out Tuesday for myself during stay at home.</t>
  </si>
  <si>
    <t>.Business Meals Lunch on Take Out Tuesday for myself during stay at home.</t>
  </si>
  <si>
    <t>WEXP-00025965</t>
  </si>
  <si>
    <t>11130143.tif 11130144.tif 11130145.tif 11130146.tif</t>
  </si>
  <si>
    <t>ARMA International, Inc., Annual Membership Fee</t>
  </si>
  <si>
    <t>Professional Dues ARMA International, Inc., Annual Membership Fee</t>
  </si>
  <si>
    <t>WEXP-00026369</t>
  </si>
  <si>
    <t>11173080.tif 11173081.tif 11173082.tif</t>
  </si>
  <si>
    <t>Take out Tuesday - July 21st 2020</t>
  </si>
  <si>
    <t>.Business Meals Take out Tuesday - July 21st 2020</t>
  </si>
  <si>
    <t>WEXP-00026900</t>
  </si>
  <si>
    <t>11191806.tif 11191807.tif 11191808.tif</t>
  </si>
  <si>
    <t>Take-out Tuesday lunch offer from Matt</t>
  </si>
  <si>
    <t>.Business Meals Take-out Tuesday lunch offer from Matt</t>
  </si>
  <si>
    <t>WEXP-00026167</t>
  </si>
  <si>
    <t>11150162.tif 11150163.tif 11150164.tif 11150165.tif 11150166.tif</t>
  </si>
  <si>
    <t>Lunch meals during Covid-19 pandemic per Kelli Martin</t>
  </si>
  <si>
    <t>.Business Meals Lunch meals during Covid-19 pandemic per Kelli Martin</t>
  </si>
  <si>
    <t>WEXP-00026162</t>
  </si>
  <si>
    <t>11149765.tif 11149766.tif 11149767.tif</t>
  </si>
  <si>
    <t>Wireless earbuds to use while teaching virtual classes</t>
  </si>
  <si>
    <t>Cell Phone Equipment &amp; Accessories wireless ear buds to use while teaching virtual classes</t>
  </si>
  <si>
    <t>WEXP-00026263</t>
  </si>
  <si>
    <t>11150352.tif 11150353.tif 11150354.tif 11150355.tif 11150356.tif 11150357.tif 11150358.tif 11150359.tif 11150360.tif 11150361.tif 11150362.tif</t>
  </si>
  <si>
    <t>CPE Course 6/24/2020 Capitalized Costs and Depreciation Cost</t>
  </si>
  <si>
    <t>Employee Development Expense CPE Course 6/3/2020 Topics &amp; Trends in Forensic Data Analysis</t>
  </si>
  <si>
    <t>Employee Development Expense CPE Course 6/24/2020 Capitalized Costs and Depreciation Cost</t>
  </si>
  <si>
    <t>Professional Dues IDENTIGO processes Texas CPA's requirements for fingerprints and charge a fee.  This is the fee for that service.</t>
  </si>
  <si>
    <t>WEXP-00026682</t>
  </si>
  <si>
    <t>11173739.tif 11173740.tif 11173741.tif 11173742.tif</t>
  </si>
  <si>
    <t>WEXP-00026504</t>
  </si>
  <si>
    <t>11173347.tif 11173348.tif 11173349.tif 11173350.tif 11173351.tif 11173352.tif</t>
  </si>
  <si>
    <t>Enterprise Take-Out Tuesday in Support of Local Business</t>
  </si>
  <si>
    <t>.Business Meals Enterprise Take-Out Tuesday in Support of Local Business</t>
  </si>
  <si>
    <t>.Business Meals "No Dirty Dishes Day" Hosted by HR Merriment Team</t>
  </si>
  <si>
    <t>WEXP-00026192</t>
  </si>
  <si>
    <t>11150038.tif 11150039.tif 11150040.tif</t>
  </si>
  <si>
    <t>SS.COVID-19: Office Supplies standup desk converter</t>
  </si>
  <si>
    <t>Office Supplies SS.COVID-19: Office Supplies standup desk converter</t>
  </si>
  <si>
    <t>WEXP-00026497</t>
  </si>
  <si>
    <t>11191708.tif 11191709.tif 11191710.tif</t>
  </si>
  <si>
    <t>Take-Out Tuesday Take-Out Tuesday Take-Out Tuesday Take-Out Tuesday Take-Out Tuesday Take-Out Tuesday Take-Out Tuesday Take-Out Tuesday Take-Out Tuesday Take-Out Tuesday Take-Out Tuesday</t>
  </si>
  <si>
    <t>.Social Meal &amp; Events Take-Out Tuesday Take-Out Tuesday Take-Out Tuesday Take-Out Tuesday Take-Out Tuesday Take-Out Tuesday Take-Out Tuesday Take-Out Tuesday Take-Out Tuesday Take-Out Tuesday Take-Out Tuesday</t>
  </si>
  <si>
    <t>WEXP-00026875</t>
  </si>
  <si>
    <t>July 2020 Tuesday meal on Atmos</t>
  </si>
  <si>
    <t>.Business Meals July 2020 Tuesday meal on Atmos</t>
  </si>
  <si>
    <t>No Markview Invoice Available</t>
  </si>
  <si>
    <t>WEXP-00025986</t>
  </si>
  <si>
    <t>11129993.tif 11129994.tif 11129995.tif 11129996.tif 11129997.tif</t>
  </si>
  <si>
    <t>Take out Tuesday meal while working remotely.</t>
  </si>
  <si>
    <t>.Business Meals Take out Tuesday meal while working remotely.</t>
  </si>
  <si>
    <t>IT Equipment Mouse to replace old mouse that quit working.</t>
  </si>
  <si>
    <t>WEXP-00026604</t>
  </si>
  <si>
    <t>11173388.tif 11173389.tif 11173390.tif</t>
  </si>
  <si>
    <t>Company sponsored Take-Out Tuesday lunch event to support local restaurants</t>
  </si>
  <si>
    <t>.Business Meals Company sponsored Take-Out Tuesday lunch event to support local restaurants</t>
  </si>
  <si>
    <t>WEXP-00026762</t>
  </si>
  <si>
    <t>11192621.tif 11192622.tif 11192623.tif</t>
  </si>
  <si>
    <t>Lunch for Take Out Tuesday - July</t>
  </si>
  <si>
    <t>.Business Meals Lunch for Take Out Tuesday - July</t>
  </si>
  <si>
    <t>WEXP-00025568</t>
  </si>
  <si>
    <t>11120032.tif 11120033.tif 11120034.tif</t>
  </si>
  <si>
    <t>Take Out Tuesday to support local businesses</t>
  </si>
  <si>
    <t>.Business Meals Take Out Tuesday to support local businesses</t>
  </si>
  <si>
    <t>WEXP-00026796</t>
  </si>
  <si>
    <t>11192971.tif 11192972.tif 11192973.tif</t>
  </si>
  <si>
    <t>Lunch for take-out Tuesday to support local business.</t>
  </si>
  <si>
    <t>.Business Meals Lunch for take-out Tuesday to support local business.</t>
  </si>
  <si>
    <t>WEXP-00026250</t>
  </si>
  <si>
    <t>CHC20200720-WD EXP</t>
  </si>
  <si>
    <t>11172906.tif 11172907.tif 11172908.tif 11172909.tif 11172910.tif 11172911.tif 11172912.tif 11172913.tif 11172914.tif 11172915.tif 11172916.tif 11172917.tif 11172918.tif 11172919.tif</t>
  </si>
  <si>
    <t>.Business Meals lunch while working from home during COVID 19</t>
  </si>
  <si>
    <t>WEXP-00026283</t>
  </si>
  <si>
    <t>11172893.tif 11172894.tif 11172895.tif</t>
  </si>
  <si>
    <t>WEXP-00026598</t>
  </si>
  <si>
    <t>11173652.tif 11173653.tif 11173654.tif</t>
  </si>
  <si>
    <t>Lunch that Atmos Energy is paying for on Tuesday July 21st</t>
  </si>
  <si>
    <t>.Business Meals 16-Piece Parmesan Bread Bites Options: Triple Marinara</t>
  </si>
  <si>
    <t>.Business Meals Large (14") Hand Tossed Pizza Whole: Premium Chicken, Black Olives, Robust Inspired Tomato Sauce, Cheese</t>
  </si>
  <si>
    <t>WEXP-00026241</t>
  </si>
  <si>
    <t>11150394.tif 11150395.tif 11150396.tif</t>
  </si>
  <si>
    <t>Worked on holiday and lunch was provided by Atmos.</t>
  </si>
  <si>
    <t>Meals &amp; Alcohol - MC Worked on holiday and lunch was provided by Atmos.</t>
  </si>
  <si>
    <t>WEXP-00026652</t>
  </si>
  <si>
    <t>11173477.tif 11173478.tif 11173479.tif 11173480.tif</t>
  </si>
  <si>
    <t>WEXP-00025894</t>
  </si>
  <si>
    <t>11130269.tif 11130270.tif 11130271.tif 11130272.tif 11130273.tif 11130274.tif 11130275.tif 11130276.tif 11130277.tif 11130278.tif 11130279.tif 11130280.tif 11130281.tif 11130282.tif 11130283.tif 11130284.tif 11130285.tif 11130286.tif 11130287.tif 11130288.tif 11130289.tif 11130290.tif 11130291.tif 11130292.tif 11130293.tif 11130294.tif 11130295.tif 11130296.tif 11130297.tif 11130298.tif 11130299.tif 11130300.tif 11130301.tif 11130302.tif 11130303.tif</t>
  </si>
  <si>
    <t>2019 Non-Medicare Retiree SPD mailed to Kimberly</t>
  </si>
  <si>
    <t>Postage Additional stamps for Form 1095C mismatched letters</t>
  </si>
  <si>
    <t>Postage Stamps for Cynthia to send mail for Benefits such as monthly Turning 65 packets and monthly past due letters</t>
  </si>
  <si>
    <t>Cell Phone Equipment &amp; Accessories New employee - Sr. Benefits Specialist - Kat Bowling - case for her cell phone</t>
  </si>
  <si>
    <t>.Business Meals Take Out Tuesday - Making a Difference at Atmos Energy</t>
  </si>
  <si>
    <t>.Business Meals Making a Difference and Supporting Local restaurants from HR</t>
  </si>
  <si>
    <t>Office Supplies Toner for Cynthia Ramos printer so she can print letters to our retirees turning 65 packet, past due letters, SSDI letters, etc. for the Benefits department</t>
  </si>
  <si>
    <t>.Business Meals No Dirty Dishes Day from CSO/SS</t>
  </si>
  <si>
    <t>Postage Mail Active Medical SPD to Kimberly Reitmajer</t>
  </si>
  <si>
    <t>Postage Postage for Form 1095C mismatched letters - communicate to those with mismatched records with IRS and Workday</t>
  </si>
  <si>
    <t>Postage Stamps for Cynthia to do mailings for Benefits such as Turning 65 packets and SSDI letters</t>
  </si>
  <si>
    <t>Postage Mail scale for Cynthia to process mail for the Benefits Team</t>
  </si>
  <si>
    <t>.Business Meals Katherine Bowling first day of employment at Atmos Energy</t>
  </si>
  <si>
    <t>Postage 2019 Non-Medicare Retiree SPD mailed to Kimberly</t>
  </si>
  <si>
    <t>WEXP-00026039</t>
  </si>
  <si>
    <t>11131065.tif 11131066.tif 11131067.tif 11131068.tif 11131069.tif 11131070.tif</t>
  </si>
  <si>
    <t>Working lunch for day 3 of June close.</t>
  </si>
  <si>
    <t>.Business Meals Working lunch for day 3 of June close.</t>
  </si>
  <si>
    <t>WEXP-00026226</t>
  </si>
  <si>
    <t>11150241.tif 11150242.tif 11150243.tif 11150244.tif 11150245.tif 11150246.tif</t>
  </si>
  <si>
    <t>Amcrest 1080P Webcam with Microphone</t>
  </si>
  <si>
    <t>Office Supplies Amcrest 1080P Webcam with Microphone</t>
  </si>
  <si>
    <t>Professional Dues AFP Membership Dues Renewal Statement</t>
  </si>
  <si>
    <t>WEXP-00026902</t>
  </si>
  <si>
    <t>11191969.tif 11191970.tif 11191971.tif</t>
  </si>
  <si>
    <t>Atmos Energy Take Out Tuesday lunch to support local businesses.</t>
  </si>
  <si>
    <t>.Business Meals Atmos Energy Take Out Tuesday to support local business</t>
  </si>
  <si>
    <t>WEXP-00026804</t>
  </si>
  <si>
    <t>11193512.tif 11193513.tif 11193514.tif</t>
  </si>
  <si>
    <t>Atmos Energy - Takeout Tuesday</t>
  </si>
  <si>
    <t>.Business Meals Atmos Energy - Takeout Tuesday</t>
  </si>
  <si>
    <t>WEXP-00027049</t>
  </si>
  <si>
    <t>11193038.tif 11193039.tif 11193040.tif</t>
  </si>
  <si>
    <t>Lunch while out of the office for Installing Mains and Service Lines.</t>
  </si>
  <si>
    <t>.Business Meals Lunch while out of the office for Installing Mains and Service Lines.</t>
  </si>
  <si>
    <t>WEXP-00026029</t>
  </si>
  <si>
    <t>11130446.tif 11130447.tif 11130448.tif</t>
  </si>
  <si>
    <t>Lunch for Damage Prevention working from home.</t>
  </si>
  <si>
    <t>.Business Meals Lunch for Damage Prevention working from home.</t>
  </si>
  <si>
    <t>WEXP-00026308</t>
  </si>
  <si>
    <t>11172930.tif 11172931.tif 11172932.tif</t>
  </si>
  <si>
    <t>Lunch while teaching Construction Essentials from home</t>
  </si>
  <si>
    <t>.Business Meals Lunch while teaching Construction Essentials from home</t>
  </si>
  <si>
    <t>WEXP-00026007</t>
  </si>
  <si>
    <t>11130587.tif 11130588.tif 11130589.tif</t>
  </si>
  <si>
    <t>Lunch while teaching Construction Essentials at home.</t>
  </si>
  <si>
    <t>.Business Meals Lunch while teaching Construction Essentials at home.</t>
  </si>
  <si>
    <t>WEXP-00027003</t>
  </si>
  <si>
    <t>11193066.tif 11193067.tif 11193068.tif</t>
  </si>
  <si>
    <t>WEXP-00027003 Lunch at Chick-fil-a paid for by company on 7/21 for Take Out Tuesday</t>
  </si>
  <si>
    <t>.Business Meals WEXP-00027003 Lunch at Chick-fil-a paid for by company on 7/21 for Take Out Tuesday</t>
  </si>
  <si>
    <t>WEXP-00025993</t>
  </si>
  <si>
    <t>11129953.tif 11129954.tif 11129955.tif 11129956.tif 11129957.tif 11129958.tif 11129959.tif 11129960.tif 11129961.tif 11129962.tif 11129963.tif 11129964.tif</t>
  </si>
  <si>
    <t>Flight to Denver to discuss AP opportunities - No plans to travel within time allowed by Southwest to use the funds.</t>
  </si>
  <si>
    <t>.Business Meals Take out Tuesday to support local resturants.</t>
  </si>
  <si>
    <t>Airfare Flight to Denver to discuss AP opportunities - No plans to travel within time allowed by Southwest to use the funds.</t>
  </si>
  <si>
    <t>Professional Dues AICPA annual membership dues for CPA.</t>
  </si>
  <si>
    <t>WEXP-00026422</t>
  </si>
  <si>
    <t>11173458.tif 11173459.tif 11173460.tif</t>
  </si>
  <si>
    <t>Take-out Tuesday order, in accordance with company event 7-21-20</t>
  </si>
  <si>
    <t>.Business Meals Take-out Tuesday order, in accordance with company event 7-21-20</t>
  </si>
  <si>
    <t>WEXP-00026236</t>
  </si>
  <si>
    <t>11150288.tif 11150289.tif 11150290.tif</t>
  </si>
  <si>
    <t>For Texas PE License Renewal Fee for 2020. The cost was 40 dollars. Paid with credit card on 6/15/20.</t>
  </si>
  <si>
    <t>Professional Dues Texas PE License Renewal. For Texas PE License Renewal Fee for 2020. The cost was 40 dollars. Paid with credit card on 6/15/20.</t>
  </si>
  <si>
    <t>WEXP-00026562</t>
  </si>
  <si>
    <t>11192108.tif 11192109.tif 11192110.tif 11192111.tif 11192112.tif 11192113.tif 11192114.tif</t>
  </si>
  <si>
    <t>Take out Tuesday - Per Matt Robbins</t>
  </si>
  <si>
    <t>.Business Meals Take out Tuesday - Per Matt Robbins</t>
  </si>
  <si>
    <t>.Business Meals Take Out Tuesday - per Matt Robbins</t>
  </si>
  <si>
    <t>.Business Meals Lunch Meeting - Stakeholder Strategy Presentation</t>
  </si>
  <si>
    <t>WEXP-00026614</t>
  </si>
  <si>
    <t>11173536.tif 11173537.tif 11173538.tif</t>
  </si>
  <si>
    <t>Enterprise-wide Takeout Tuesday meal to support local restaurants</t>
  </si>
  <si>
    <t>.Business Meals Enterprise-wide Takeout Tuesday meal to support local restaurants</t>
  </si>
  <si>
    <t>WEXP-00026921</t>
  </si>
  <si>
    <t>11192158.tif 11192159.tif 11192160.tif</t>
  </si>
  <si>
    <t>Take-Out Tuesday: Our Treat. Reimbursement for EmpCom 7/21</t>
  </si>
  <si>
    <t>.Business Meals Take-Out Tuesday: Our Treat. Reimbursement for EmpCom 7/21</t>
  </si>
  <si>
    <t>282147</t>
  </si>
  <si>
    <t>Stefanou, Cheryl (Cheryl)</t>
  </si>
  <si>
    <t>WEXP-00027002</t>
  </si>
  <si>
    <t>11192942.tif 11192943.tif 11192944.tif</t>
  </si>
  <si>
    <t>Atmos provided lunch for Take-Out Tuesday</t>
  </si>
  <si>
    <t>.Business Meals Atmos provided lunch for Take-Out Tuesday</t>
  </si>
  <si>
    <t>WEXP-00026115</t>
  </si>
  <si>
    <t>11149774.tif 11149775.tif 11149776.tif</t>
  </si>
  <si>
    <t>AICPA annual membership dues renewal 2020</t>
  </si>
  <si>
    <t>Professional Dues AICPA annual membership dues renewal 2020</t>
  </si>
  <si>
    <t>WEXP-00026232</t>
  </si>
  <si>
    <t>11173665.tif 11173666.tif 11173667.tif</t>
  </si>
  <si>
    <t>office supplies including printer ink, paper, white out and received stamp</t>
  </si>
  <si>
    <t>Office Supplies received stamp for mail and other documents</t>
  </si>
  <si>
    <t>Office Supplies salex tax for items from office depot office max</t>
  </si>
  <si>
    <t>Office Supplies white out packet for working from home</t>
  </si>
  <si>
    <t>Office Supplies ink for pinter work from home supplies</t>
  </si>
  <si>
    <t>Office Supplies printer paper 2 packs for printer , working from home</t>
  </si>
  <si>
    <t>WEXP-00026253</t>
  </si>
  <si>
    <t>11150423.tif 11150424.tif 11150425.tif</t>
  </si>
  <si>
    <t>CPA Renewal Fee-7/2020 thru 6/2021</t>
  </si>
  <si>
    <t>Professional Dues CPA Renewal Fee-7/2020 thru 6/2021</t>
  </si>
  <si>
    <t>WEXP-00026168</t>
  </si>
  <si>
    <t>11150388.tif 11150389.tif 11150390.tif</t>
  </si>
  <si>
    <t>TX CPA Membeship Fee From July 20 to Jun  21</t>
  </si>
  <si>
    <t>Professional Dues TX CPA Membeship Fee From July 20 to Jun  21</t>
  </si>
  <si>
    <t>WEXP-00026625</t>
  </si>
  <si>
    <t>11191871.tif 11191872.tif 11191873.tif</t>
  </si>
  <si>
    <t>Take Out Tuesday - July 21st support your local restaurant</t>
  </si>
  <si>
    <t>.Business Meals Take Out Tuesday - July 21st support your local restaurant</t>
  </si>
  <si>
    <t>WEXP-00026227</t>
  </si>
  <si>
    <t>11150118.tif 11150119.tif 11150120.tif</t>
  </si>
  <si>
    <t>Web Cam for Workstation setup at home</t>
  </si>
  <si>
    <t>IT Equipment Web Cam for Workstation setup at home</t>
  </si>
  <si>
    <t>WEXP-00026443</t>
  </si>
  <si>
    <t>11193608.tif 11193609.tif 11193610.tif</t>
  </si>
  <si>
    <t>Lunch for Take Out Tuesday July 2020</t>
  </si>
  <si>
    <t>.Social Meal &amp; Events Lunch for Take Out Tuesday July 2020</t>
  </si>
  <si>
    <t>WEXP-00026852</t>
  </si>
  <si>
    <t>11192094.tif 11192095.tif 11192096.tif</t>
  </si>
  <si>
    <t>Atmos Energy Take Out Tuesday supporting locally owed restaurants</t>
  </si>
  <si>
    <t>.Business Meals Atmos Energy Take Out Tuesday supporting locally owed restaurants</t>
  </si>
  <si>
    <t>289252</t>
  </si>
  <si>
    <t>Vemireddy, Asha R (Asha)</t>
  </si>
  <si>
    <t>WEXP-00026320</t>
  </si>
  <si>
    <t>11173181.tif 11173182.tif 11173183.tif</t>
  </si>
  <si>
    <t>291703</t>
  </si>
  <si>
    <t>Vigland, Bonnie Redington (Bonnie)</t>
  </si>
  <si>
    <t>WEXP-00026760</t>
  </si>
  <si>
    <t>11191935.tif 11191936.tif 11191937.tif</t>
  </si>
  <si>
    <t>reiumbursement for company sponsored Takeout Tuesday</t>
  </si>
  <si>
    <t>.Business Meals reiumbursement for company sponsored Takeout Tuesda</t>
  </si>
  <si>
    <t>WEXP-00026610</t>
  </si>
  <si>
    <t>11173773.tif 11173774.tif 11173775.tif</t>
  </si>
  <si>
    <t>Take out Tuesday: Our Treat (Lunch)</t>
  </si>
  <si>
    <t>.Business Meals Take out Tuesday: Our Treat (Lunch)</t>
  </si>
  <si>
    <t>WEXP-00026703</t>
  </si>
  <si>
    <t>11174093.tif 11174094.tif 11174095.tif</t>
  </si>
  <si>
    <t>Take-out Tuesday Company Event 7-21-20</t>
  </si>
  <si>
    <t>.Business Meals Take-out Tuesday Company Event 7-21-20</t>
  </si>
  <si>
    <t>WEXP-00026811</t>
  </si>
  <si>
    <t>11193135.tif 11193136.tif 11193137.tif 11193138.tif</t>
  </si>
  <si>
    <t>Kenner Seafood Take Out Tuesday</t>
  </si>
  <si>
    <t>.Business Meals Kenner Seafood Take Out Tuesday</t>
  </si>
  <si>
    <t>WEXP-00026305</t>
  </si>
  <si>
    <t>11173013.tif 11173014.tif 11173015.tif 11173016.tif</t>
  </si>
  <si>
    <t>American Gas Association Virtual Legal Forum 2020</t>
  </si>
  <si>
    <t>Employee Development Expense American Gas Association Virtual Legal Forum 2020</t>
  </si>
  <si>
    <t>WEXP-00027042</t>
  </si>
  <si>
    <t>11192831.tif 11192832.tif 11192833.tif 11192834.tif 11192835.tif</t>
  </si>
  <si>
    <t>Curbside Pick-Up Lunch for Take-Out Tuesday</t>
  </si>
  <si>
    <t>.Business Meals Curbside Pick-Up Lunch for Take-Out Tuesday</t>
  </si>
  <si>
    <t>WEXP-00026235</t>
  </si>
  <si>
    <t>11150134.tif 11150135.tif 11150136.tif 11150137.tif 11150138.tif</t>
  </si>
  <si>
    <t>SD card needed to backup phone data for conversion to One Drive</t>
  </si>
  <si>
    <t>Cell Phone Equipment &amp; Accessories SD card needed to backup phone data for conversion to One Drive</t>
  </si>
  <si>
    <t>.Social Meal &amp; Events Small business appreciation lunch</t>
  </si>
  <si>
    <t>WEXP-00025992</t>
  </si>
  <si>
    <t>11130365.tif 11130366.tif 11130367.tif 11130368.tif 11130369.tif 11130370.tif 11130371.tif 11130372.tif 11130373.tif 11130374.tif 11130375.tif 11130376.tif 11130377.tif 11130378.tif</t>
  </si>
  <si>
    <t>Replenish pens and post it notes</t>
  </si>
  <si>
    <t>Office Supplies FIle cabinet for project organization</t>
  </si>
  <si>
    <t>Office Supplies Replenish pens and post it notes</t>
  </si>
  <si>
    <t>Office Supplies Printer paper for Dell printer and labels for file folders</t>
  </si>
  <si>
    <t>Office Supplies Hanging files and labels for project organization</t>
  </si>
  <si>
    <t>WEXP-00024619</t>
  </si>
  <si>
    <t>11192800.tif 11192801.tif 11192802.tif 11192803.tif 11192804.tif 11192805.tif 11192806.tif 11192807.tif 11192808.tif 11192809.tif 11192810.tif 11192811.tif 11192812.tif 11192813.tif 11192814.tif 11192815.tif 11192816.tif 11192817.tif</t>
  </si>
  <si>
    <t>Tuesday Lunch on Us per corporate email up to $15</t>
  </si>
  <si>
    <t>.Social Meal &amp; Events Thank you meal  from financial reporting department. Ordered by Kim Quach, approved by Michelle Faulk.</t>
  </si>
  <si>
    <t>.Social Meal &amp; Events Requested by Kim Quach and approved by Michelle Faulk. Meals during funeral week to be sent to employee.</t>
  </si>
  <si>
    <t>.Social Meal &amp; Events "Tuesday Lunch on Us" per corporate email up to $15</t>
  </si>
  <si>
    <t>WEXP-00026513</t>
  </si>
  <si>
    <t>11192276.tif 11192277.tif 11192278.tif</t>
  </si>
  <si>
    <t>273184</t>
  </si>
  <si>
    <t>Young, Tony H (Tony)</t>
  </si>
  <si>
    <t>WEXP-00026856</t>
  </si>
  <si>
    <t>11191653.tif 11191654.tif 11191655.tif 11191656.tif 11191657.tif</t>
  </si>
  <si>
    <t>Take-Out Tuesday: Our Treat 06/09/2020</t>
  </si>
  <si>
    <t>.Social Meal &amp; Events Take-Out Tuesday: Our Treat 07/21/2020</t>
  </si>
  <si>
    <t>.Social Meal &amp; Events Take-Out Tuesday: Our Treat 06/09/2020</t>
  </si>
  <si>
    <t>WEXP-00026142</t>
  </si>
  <si>
    <t>11192233.tif 11192234.tif 11192235.tif 11192236.tif 11192237.tif 11192238.tif 11192239.tif 11192240.tif</t>
  </si>
  <si>
    <t>Membership Renewal; Women's Energy Network</t>
  </si>
  <si>
    <t>.Social Meal &amp; Events Appreciation; Administrative Professionals Day</t>
  </si>
  <si>
    <t>Gifts Appreciation; Administrative Professionals Day</t>
  </si>
  <si>
    <t>Association Dues Membership Renewal; Women's Energy Network</t>
  </si>
  <si>
    <t>.Social Meal &amp; Events Lunch; Take out Tuesday lunch (reimbursement up to $15)</t>
  </si>
  <si>
    <t>WEXP-00026732</t>
  </si>
  <si>
    <t>11173904.tif 11173905.tif 11173906.tif</t>
  </si>
  <si>
    <t>WEXP-00026206</t>
  </si>
  <si>
    <t>11150274.tif 11150275.tif 11150276.tif 11150277.tif</t>
  </si>
  <si>
    <t>Attending The Power Conference to Advance Women in Utilities</t>
  </si>
  <si>
    <t>Technical (Job Skills) Training Attending The Power Conference to Advance Women in Utilities</t>
  </si>
  <si>
    <t>WEXP-00026072</t>
  </si>
  <si>
    <t>Flowers Amanda Morgan Birthday from Management Committee</t>
  </si>
  <si>
    <t>Gifts Flowers Amanda Morgan Birthday from Management Committee</t>
  </si>
  <si>
    <t>Employee Development - MC American Gas Association 2020 Virtual Legal Forum</t>
  </si>
  <si>
    <t>WEXP-00026150</t>
  </si>
  <si>
    <t>Office Supplies for home office during Covid-19</t>
  </si>
  <si>
    <t>Office Supplies Office Supplies for home office during Covid-19</t>
  </si>
  <si>
    <t>WEXP-00026769</t>
  </si>
  <si>
    <t>Lunch for Take-Out Tuesday on Fedruary 21, 2020</t>
  </si>
  <si>
    <t>.Social Meal &amp; Events Lunch for Take-Out Tuesday on Fedruary 21, 2020</t>
  </si>
  <si>
    <t>WEXP-00027328</t>
  </si>
  <si>
    <t>KAW200805-1 WDEXP</t>
  </si>
  <si>
    <t>11209277.tif 11209278.tif 11209279.tif</t>
  </si>
  <si>
    <t>This is for the company wide Take Out Tuesday. The total amount on the receipt is 24.63 but I put 15.00 in total amount I have attached the receipt as a JPEG file</t>
  </si>
  <si>
    <t>.Business Meals This is for the company wide Take Out Tuesday. The total amount on the receipt is 24.63 but I put 15.00 in total amount I have attached the receipt as a JPEG file</t>
  </si>
  <si>
    <t>WEXP-00027889</t>
  </si>
  <si>
    <t>KAW200826_1 WDEXP</t>
  </si>
  <si>
    <t>11267687.tif 11267688.tif 11267689.tif</t>
  </si>
  <si>
    <t>Lunch for Safety and Enterprise Services Service Awards.</t>
  </si>
  <si>
    <t>.Business Meals Lunch for Safety and Enterprise Services Service Awards.</t>
  </si>
  <si>
    <t>WEXP-00027875</t>
  </si>
  <si>
    <t>11267648.tif 11267649.tif 11267650.tif</t>
  </si>
  <si>
    <t>Safety and Enterprise Services Service Awards</t>
  </si>
  <si>
    <t>.Social Meal &amp; Events Safety and Enterprise Services Service Awards</t>
  </si>
  <si>
    <t>WEXP-00027483</t>
  </si>
  <si>
    <t>CHC20200812-WD EXP</t>
  </si>
  <si>
    <t>11223065.tif 11223066.tif 11223067.tif</t>
  </si>
  <si>
    <t>Little Greek Lunch Takeout July 2020 Close</t>
  </si>
  <si>
    <t>.Business Meals Little Greek Lunch Takeout July 2020 Close</t>
  </si>
  <si>
    <t>WEXP-00027332</t>
  </si>
  <si>
    <t>11209252.tif 11209253.tif 11209254.tif</t>
  </si>
  <si>
    <t>Take Out Tuesday 21st July 2020</t>
  </si>
  <si>
    <t>.Business Meals Take Out Tuesday 21st July 2020</t>
  </si>
  <si>
    <t>WEXP-00027482</t>
  </si>
  <si>
    <t>11223080.tif 11223081.tif 11223082.tif</t>
  </si>
  <si>
    <t>Panera Bread Lunch Delivery July 2020 Close</t>
  </si>
  <si>
    <t>.Business Meals Panera Bread Lunch Delivery July 2020 Close</t>
  </si>
  <si>
    <t>WEXP-00027485</t>
  </si>
  <si>
    <t>CHC20200817-WD EXP</t>
  </si>
  <si>
    <t>11249645.tif 11249646.tif 11249647.tif 11249648.tif</t>
  </si>
  <si>
    <t>American Gas Association: Intro to Public Utility Accounting Webinar</t>
  </si>
  <si>
    <t>Training American Gas Association: Intro to Public Utility Accounting Webinar</t>
  </si>
  <si>
    <t>WEXP-00027193</t>
  </si>
  <si>
    <t>CHC20200804-WD EXP</t>
  </si>
  <si>
    <t>11208863.tif 11208864.tif 11208865.tif 11208866.tif 11208867.tif</t>
  </si>
  <si>
    <t>Renewal of AICPA Dues For CPA License</t>
  </si>
  <si>
    <t>Professional Dues Renewal of AICPA Dues For CPA License</t>
  </si>
  <si>
    <t>Professional Dues Renewal of LCPA Dues For CPA License</t>
  </si>
  <si>
    <t>WEXP-00027890</t>
  </si>
  <si>
    <t>CHC20200827-WD EXP</t>
  </si>
  <si>
    <t>11267869.tif 11267870.tif 11267871.tif 11267872.tif 11267873.tif</t>
  </si>
  <si>
    <t>ITIL 4 Strategic leadership DITS training</t>
  </si>
  <si>
    <t>Technical (Job Skills) Training ITIL 4 Strategic leadership DITS training</t>
  </si>
  <si>
    <t>WEXP-00026638</t>
  </si>
  <si>
    <t>CHC20200810-WD EXP</t>
  </si>
  <si>
    <t>11222715.tif 11222716.tif 11222717.tif</t>
  </si>
  <si>
    <t>Take-Out Tuesday to thank each of you for continuing to Be at Your Best while also supporting our local restaurants.</t>
  </si>
  <si>
    <t>.Social Meal &amp; Events Take-Out Tuesday to thank each of you for continuing to Be at Your Best while also supporting our local restaurants.</t>
  </si>
  <si>
    <t>WEXP-00027605</t>
  </si>
  <si>
    <t>CHC20200828-WD EXP</t>
  </si>
  <si>
    <t>11267885.tif 11267886.tif 11267887.tif 11267888.tif 11267889.tif 11267890.tif 11267891.tif 11267892.tif 11267893.tif</t>
  </si>
  <si>
    <t>Office supplies for home office and professional development books</t>
  </si>
  <si>
    <t>IT Equipment Office supplies for home office and professional development books</t>
  </si>
  <si>
    <t>Books &amp; Manuals Office supplies for home office and professional development books</t>
  </si>
  <si>
    <t>WEXP-00027877</t>
  </si>
  <si>
    <t>11267690.tif 11267691.tif 11267692.tif</t>
  </si>
  <si>
    <t>Lunch during the Safety and Enterprise Service Award Meeting</t>
  </si>
  <si>
    <t>.Business Meals Lunch during the Service Awards</t>
  </si>
  <si>
    <t>WEXP-00027148</t>
  </si>
  <si>
    <t>CHC20200803-WD EXP</t>
  </si>
  <si>
    <t>11208642.tif 11208643.tif 11208644.tif 11208645.tif 11208646.tif</t>
  </si>
  <si>
    <t>Association of International Certified Professional Accountants (AICPA) annual membership fee</t>
  </si>
  <si>
    <t>Professional Dues Association of International Certified Professional Accountants (AICPA) annual membership fee</t>
  </si>
  <si>
    <t>WEXP-00027364</t>
  </si>
  <si>
    <t>KAW200806_1 WDEXP</t>
  </si>
  <si>
    <t>11209566.tif 11209567.tif 11209568.tif 11209569.tif 11209570.tif 11209571.tif 11209572.tif 11209573.tif 11209574.tif 11209575.tif 11209576.tif 11209577.tif 11209578.tif</t>
  </si>
  <si>
    <t>Mail Room lunch during our COVID 19 shutdown</t>
  </si>
  <si>
    <t>.Business Meals Mail Room lunch during our COVID 19 shutdown</t>
  </si>
  <si>
    <t>.Business Meals Mail Room Lunch during our COVID 19 shutdown</t>
  </si>
  <si>
    <t>WEXP-00027911</t>
  </si>
  <si>
    <t>11267642.tif 11267643.tif 11267644.tif 11267645.tif 11267646.tif 11267647.tif</t>
  </si>
  <si>
    <t>Safety and Enterprise Services Service Awards lunch</t>
  </si>
  <si>
    <t>.Social Meal &amp; Events Safety and Enterprise Services Service Awards lunch</t>
  </si>
  <si>
    <t>WEXP-00027467</t>
  </si>
  <si>
    <t>CHC20200814-WD EXP</t>
  </si>
  <si>
    <t>11223519.tif 11223520.tif 11223521.tif 11223522.tif</t>
  </si>
  <si>
    <t>Purchased New Printer for Work at Home</t>
  </si>
  <si>
    <t>Office Supplies Purchased New Printer for Work at Home</t>
  </si>
  <si>
    <t>WEXP-00028015</t>
  </si>
  <si>
    <t>CHC20200831-WD EXP</t>
  </si>
  <si>
    <t>11289181.tif 11289182.tif 11289183.tif</t>
  </si>
  <si>
    <t>weekly approved lunch for workforce development by V.P.</t>
  </si>
  <si>
    <t>.Business Meals weekly approved lunch for workforce development by V.P.</t>
  </si>
  <si>
    <t>WEXP-00027579</t>
  </si>
  <si>
    <t>11249737.tif 11249738.tif 11249739.tif</t>
  </si>
  <si>
    <t>WEXP-00027202</t>
  </si>
  <si>
    <t>CHC20200825-WD EXP</t>
  </si>
  <si>
    <t>11267271.tif 11267272.tif 11267273.tif</t>
  </si>
  <si>
    <t>approved weekly lunch for workforce development by V.P.</t>
  </si>
  <si>
    <t>.Business Meals approved weekly lunch for workforce development by V.P.</t>
  </si>
  <si>
    <t>WEXP-00027411</t>
  </si>
  <si>
    <t>11222739.tif 11222740.tif 11222741.tif</t>
  </si>
  <si>
    <t>WEXP-00027589</t>
  </si>
  <si>
    <t>KAW200819_ WDEXP</t>
  </si>
  <si>
    <t>11250244.tif 11250245.tif 11250246.tif 11250247.tif 11250248.tif 11250249.tif 11250250.tif 11250251.tif 11250252.tif 11250253.tif 11250254.tif 11250255.tif 11250256.tif</t>
  </si>
  <si>
    <t>Benefit and Payroll Accounting Working Lunch</t>
  </si>
  <si>
    <t>.Business Meals Take Out Tuesday Help Local Restaurant During Covid</t>
  </si>
  <si>
    <t>.Business Meals Benefit and Payroll Accounting Working Lunch</t>
  </si>
  <si>
    <t>WEXP-00027393</t>
  </si>
  <si>
    <t>11223573.tif 11223574.tif 11223575.tif 11223576.tif</t>
  </si>
  <si>
    <t>2020 Eminent Domain Conference - Childers</t>
  </si>
  <si>
    <t>Employee Development Expense 2020 Eminent Domain Conference - Childers</t>
  </si>
  <si>
    <t>291680</t>
  </si>
  <si>
    <t>Childs, Clayton (Clayton)</t>
  </si>
  <si>
    <t>WEXP-00027568</t>
  </si>
  <si>
    <t>11223442.tif 11223443.tif 11223444.tif</t>
  </si>
  <si>
    <t>Registration for National Energy Utility Assistance Coalition Conference August 4th and 5th</t>
  </si>
  <si>
    <t>Employee Development Expense Registration for National Energy Utility Assistance Coalition Conference August 4th and 5th</t>
  </si>
  <si>
    <t>WEXP-00027897</t>
  </si>
  <si>
    <t>11267595.tif 11267596.tif 11267597.tif 11267598.tif 11267599.tif 11267600.tif 11267601.tif 11267602.tif</t>
  </si>
  <si>
    <t>Texas Society of CPA's Houston Energy Conference</t>
  </si>
  <si>
    <t>Training Texas Society of CPA's Houston Energy Conference</t>
  </si>
  <si>
    <t>.Business Meals Onsite work at office exchanging work from home/office files</t>
  </si>
  <si>
    <t>Training AMERICAN GAS ASSOCIATION RNG Seminar Registration</t>
  </si>
  <si>
    <t>WEXP-00027266</t>
  </si>
  <si>
    <t>11209029.tif 11209030.tif 11209031.tif</t>
  </si>
  <si>
    <t>Meal while teaching advanced service virtually</t>
  </si>
  <si>
    <t>.Business Meals Meal while teaching advanced service virtually</t>
  </si>
  <si>
    <t>WEXP-00027935</t>
  </si>
  <si>
    <t>11289067.tif 11289068.tif 11289069.tif 11289070.tif 11289071.tif</t>
  </si>
  <si>
    <t>Meal while working remotley to teach Advanced Service.</t>
  </si>
  <si>
    <t>.Business Meals Business meal while teaching Advanced Service</t>
  </si>
  <si>
    <t>.Business Meals Meal while working remotley to teach Advanced Service.</t>
  </si>
  <si>
    <t>WEXP-00027867</t>
  </si>
  <si>
    <t>11267977.tif 11267978.tif 11267979.tif 11267980.tif 11267981.tif 11267982.tif 11267983.tif</t>
  </si>
  <si>
    <t>Once a week lunch authorized while working remote.</t>
  </si>
  <si>
    <t>.Business Meals Once a week lunch authorized while working remote.</t>
  </si>
  <si>
    <t>WEXP-00027731</t>
  </si>
  <si>
    <t>CHC20200821-WD EXP</t>
  </si>
  <si>
    <t>11250628.tif 11250629.tif 11250630.tif</t>
  </si>
  <si>
    <t>Takeout Tuesday, line items reported separately, refer to attachment</t>
  </si>
  <si>
    <t>.Business Meals Separately listed line item for online ordering fee, refer to attachment</t>
  </si>
  <si>
    <t>.Business Meals Separately listed line item for total cost of food, refer to attachment</t>
  </si>
  <si>
    <t>WEXP-00027419</t>
  </si>
  <si>
    <t>11222804.tif 11222805.tif 11222806.tif 11222807.tif 11222808.tif</t>
  </si>
  <si>
    <t>Take Out Tuesday Meal to support local restaurants.</t>
  </si>
  <si>
    <t>.Business Meals Take Out Tuesday Meal to support local restaurants.</t>
  </si>
  <si>
    <t>WEXP-00027262</t>
  </si>
  <si>
    <t>11208638.tif 11208639.tif 11208640.tif 11208641.tif</t>
  </si>
  <si>
    <t>WEXP-00028022</t>
  </si>
  <si>
    <t>11289022.tif 11289023.tif 11289024.tif 11289025.tif</t>
  </si>
  <si>
    <t>Employee lunch while working remotely on Virtual Construction Classes.</t>
  </si>
  <si>
    <t>.Business Meals Employee lunch while working remotely on Virtual Construction Classes.</t>
  </si>
  <si>
    <t>WEXP-00027368</t>
  </si>
  <si>
    <t>11209556.tif 11209557.tif 11209558.tif</t>
  </si>
  <si>
    <t>WEXP-00027836</t>
  </si>
  <si>
    <t>11267451.tif 11267452.tif 11267453.tif 11267454.tif</t>
  </si>
  <si>
    <t>Employee lunch while working remotely on Construction Classes.</t>
  </si>
  <si>
    <t>.Business Meals Employee lunch while working remotely on Construction Classes.</t>
  </si>
  <si>
    <t>WEXP-00027537</t>
  </si>
  <si>
    <t>CHC20200813-WD EXP</t>
  </si>
  <si>
    <t>11223385.tif 11223386.tif 11223387.tif</t>
  </si>
  <si>
    <t>WEXP-00027496</t>
  </si>
  <si>
    <t>CHC20200818-WD EXP</t>
  </si>
  <si>
    <t>11250040.tif 11250041.tif 11250042.tif 11250043.tif 11250044.tif 11250045.tif 11250046.tif 11250047.tif 11250048.tif 11250049.tif 11250050.tif 11250051.tif 11250052.tif 11250053.tif 11250054.tif 11250055.tif 11250056.tif</t>
  </si>
  <si>
    <t>Fee to attend AGA Rates School</t>
  </si>
  <si>
    <t>.Business Meals Lunch after meeting with Office of Pipeline Safety</t>
  </si>
  <si>
    <t>Books &amp; Manuals Book - Fundamentals of Energy Regulation</t>
  </si>
  <si>
    <t>Mileage Meet with Commissioner Campbell to discuss Atmos 2019 RSC</t>
  </si>
  <si>
    <t>Mileage Discuss Atmos 2019 RSC overview with Commissioner Skrmetta</t>
  </si>
  <si>
    <t>.Business Meals Discuss potential acquisition of town of Jena with consultant</t>
  </si>
  <si>
    <t>Mileage Meet with Commissioner Skrmetta to discuss Atmos RSC Review</t>
  </si>
  <si>
    <t>Mileage Discuss potential acquisition of Jena gas system with Commissioner Francis</t>
  </si>
  <si>
    <t>.Business Meals Meeting to discuss 2019 RSC overview</t>
  </si>
  <si>
    <t>Training Fee to attend AGA Rates School</t>
  </si>
  <si>
    <t>WEXP-00027061</t>
  </si>
  <si>
    <t>11267418.tif 11267419.tif 11267420.tif 11267421.tif 11267422.tif 11267423.tif 11267424.tif</t>
  </si>
  <si>
    <t>Take Out Tuesday Company Lunch</t>
  </si>
  <si>
    <t>.Business Meals Virtual Training Appreciation Lunch</t>
  </si>
  <si>
    <t>.Business Meals Take Out Tuesday Company Lunch</t>
  </si>
  <si>
    <t>WEXP-00027617</t>
  </si>
  <si>
    <t>11250009.tif 11250010.tif 11250011.tif</t>
  </si>
  <si>
    <t>Lunch on July 21, 2020 Takeout Tuesday</t>
  </si>
  <si>
    <t>.Business Meals Takeout Tuesday July 21, 2020 Dallas, TX</t>
  </si>
  <si>
    <t>WEXP-00027616</t>
  </si>
  <si>
    <t>11250275.tif 11250276.tif 11250277.tif 11250278.tif 11250279.tif 11250280.tif 11250281.tif</t>
  </si>
  <si>
    <t>Annual LEI Renewal for Atmos Energy Corporation</t>
  </si>
  <si>
    <t>Professional Dues Annual 2020 Maryland Bar Dues for Kevin Frank</t>
  </si>
  <si>
    <t>Association Dues Annual LEI Renewal for Atmos Energy Corporation</t>
  </si>
  <si>
    <t>WEXP-00027339</t>
  </si>
  <si>
    <t>11209126.tif 11209127.tif 11209128.tif</t>
  </si>
  <si>
    <t>Webcam and Light for Home Office</t>
  </si>
  <si>
    <t>Office Supplies Webcam and light for home office</t>
  </si>
  <si>
    <t>WEXP-00027085</t>
  </si>
  <si>
    <t>CHC20200811-WD EXP</t>
  </si>
  <si>
    <t>11222987.tif 11222988.tif 11222989.tif</t>
  </si>
  <si>
    <t>WEXP-00027456</t>
  </si>
  <si>
    <t>11222914.tif 11222915.tif 11222916.tif 11222917.tif 11222918.tif 11222919.tif 11222920.tif 11222921.tif 11222922.tif 11222923.tif 11222924.tif 11222925.tif</t>
  </si>
  <si>
    <t>Working in Cadency TEST instance resolving "closed accounts with a balance" issue.</t>
  </si>
  <si>
    <t>.Overtime Meal Work on Sunday because I'll be busy in class four days next week.</t>
  </si>
  <si>
    <t>.Overtime Meal Work late on class days during Workday class</t>
  </si>
  <si>
    <t>IT Equipment Logitech cam/microphone because my laptop is closed when I need a camera.</t>
  </si>
  <si>
    <t>.Overtime Meal Work late Fri and Sat on QE close</t>
  </si>
  <si>
    <t>.Overtime Meal Working in Cadency TEST instance resolving "closed accounts with a balance" issue.</t>
  </si>
  <si>
    <t>WEXP-00027855</t>
  </si>
  <si>
    <t>11267663.tif 11267664.tif 11267665.tif</t>
  </si>
  <si>
    <t>Late birthday lunch for Ashley Grantham</t>
  </si>
  <si>
    <t>.Business Meals Late birthday lunch for Ashley Grantham</t>
  </si>
  <si>
    <t>WEXP-00027430</t>
  </si>
  <si>
    <t>11223107.tif 11223108.tif 11223109.tif 11223110.tif 11223111.tif 11223112.tif 11223113.tif 11223114.tif 11223115.tif 11223116.tif 11223117.tif 11223118.tif 11223119.tif 11223120.tif</t>
  </si>
  <si>
    <t>Cookies for Greg Walls to Celebrate their new baby</t>
  </si>
  <si>
    <t>.Business Meals Month end close lunch for Ashley Grantham</t>
  </si>
  <si>
    <t>.Business Meals Month End close lunch for Ashley Grantham</t>
  </si>
  <si>
    <t>.Business Meals Cookies for Greg Walls to Celebrate their new baby</t>
  </si>
  <si>
    <t>WEXP-00027542</t>
  </si>
  <si>
    <t>11223421.tif 11223422.tif 11223423.tif 11223424.tif 11223425.tif 11223426.tif 11223427.tif</t>
  </si>
  <si>
    <t>Lunch during work from home while virtual training</t>
  </si>
  <si>
    <t>.Business Meals Lunch during work from home for WFD</t>
  </si>
  <si>
    <t>.Business Meals Lunch during work from home while virtual training</t>
  </si>
  <si>
    <t>WEXP-00026231</t>
  </si>
  <si>
    <t>11223288.tif 11223289.tif 11223290.tif 11223291.tif 11223292.tif 11223293.tif</t>
  </si>
  <si>
    <t>Drive By Meter Reading on 8/5/2020</t>
  </si>
  <si>
    <t>Mileage Drive By Meter Reading on 8/5/2020</t>
  </si>
  <si>
    <t>010.36185</t>
  </si>
  <si>
    <t>Mileage Drive By Meter Reading on 7/14/2020</t>
  </si>
  <si>
    <t>Mileage Drive By Meter Reading on 7/8/2020</t>
  </si>
  <si>
    <t>Mileage Drive By Meter Reading 7/31/2020</t>
  </si>
  <si>
    <t>291169</t>
  </si>
  <si>
    <t>Hardesty, William Eric (William)</t>
  </si>
  <si>
    <t>WEXP-00027624</t>
  </si>
  <si>
    <t>11250163.tif 11250164.tif 11250165.tif</t>
  </si>
  <si>
    <t>Mileage difference from Franklin, TN office to Columbia, TN office while using split gas control offices during the pandemic.</t>
  </si>
  <si>
    <t>Mileage Mileage difference from Franklin, TN office to Columbia, TN office while using split gas control offices during the pandemic.</t>
  </si>
  <si>
    <t>WEXP-00027887</t>
  </si>
  <si>
    <t>11267522.tif 11267523.tif 11267524.tif 11267525.tif</t>
  </si>
  <si>
    <t>Lunch for the SES Service Award Lunch</t>
  </si>
  <si>
    <t>.Business Meals Lunch for the SES Service Award Lunch</t>
  </si>
  <si>
    <t>WEXP-00028031</t>
  </si>
  <si>
    <t>11289029.tif 11289030.tif 11289031.tif</t>
  </si>
  <si>
    <t>SGA Natural Gas Scheduling 101 Webinar</t>
  </si>
  <si>
    <t>Training SGA Natural Gas Scheduling 101 Webinar</t>
  </si>
  <si>
    <t>WEXP-00024610</t>
  </si>
  <si>
    <t>11222718.tif 11222719.tif 11222720.tif 11222721.tif 11222722.tif 11222723.tif 11222724.tif 11222725.tif 11222726.tif 11222727.tif</t>
  </si>
  <si>
    <t>Shooting Urban Commons residential subdivision sign for Clean Energy Future story in June Visions Monthly</t>
  </si>
  <si>
    <t>Mileage May Visions Monthly cover and other photos inside the book</t>
  </si>
  <si>
    <t>Mileage Shooting TC Turner near Lewisville City Hall for June Visions Monthly cover</t>
  </si>
  <si>
    <t>Mileage Shooting Urban Commons residential subdivision sign for Clean Energy Future story in June Visions Monthly</t>
  </si>
  <si>
    <t>Mileage Reitrement "party" for Senior Dispatcher Bobby Clemmons at CKV (workmates in vehicles paraded by waving and honking in the parking lot as Bobby waved back)</t>
  </si>
  <si>
    <t>Mileage Baylor Scott and White Medical Center parade employees particpated in</t>
  </si>
  <si>
    <t>Mileage Shooting employees in masks at Dallas Service Center</t>
  </si>
  <si>
    <t>Mileage Cover shooting for July Visions Monthl of Alyssa Bond for Take Out Tuesday</t>
  </si>
  <si>
    <t>Mileage Location scouting at Babe's in Carrollton, to check lighting and best angles and locations to shoot Alyssa Bond for July Visions Monthly cover</t>
  </si>
  <si>
    <t>Mileage Athens, Texas photo shoot of three Athens employees for AGA magazine</t>
  </si>
  <si>
    <t>WEXP-00025323</t>
  </si>
  <si>
    <t>11208779.tif 11208780.tif 11208781.tif 11208782.tif 11208783.tif 11208784.tif 11208785.tif 11208786.tif 11208787.tif 11208788.tif 11208789.tif</t>
  </si>
  <si>
    <t>Take Out Tuesday: We'll get the Tab</t>
  </si>
  <si>
    <t>Employee Development Expense Original registration fee was $1200. Meeting was changed from live to webinar and registration changed to $400. The $1200 charge includes registrations for Catherine Huang, Ellie Da Silva and Bob Rayner.</t>
  </si>
  <si>
    <t>.Social Meal &amp; Events Take Out Tuesday: We'll get the Tab</t>
  </si>
  <si>
    <t>WEXP-00026601</t>
  </si>
  <si>
    <t>11250594.tif 11250595.tif 11250596.tif 11250597.tif</t>
  </si>
  <si>
    <t>Take Out Tuesday: Our Treat - July 21, 2020 (Drink purchased is non-alcoholic)</t>
  </si>
  <si>
    <t>.Business Meals Take Out Tuesday: Our Treat - July 21, 2020 (Drink purchased is non-alcoholic)</t>
  </si>
  <si>
    <t>279070</t>
  </si>
  <si>
    <t>Johansson, John S (John)</t>
  </si>
  <si>
    <t>WEXP-00027598</t>
  </si>
  <si>
    <t>CHC20200824-WD EXP</t>
  </si>
  <si>
    <t>11267211.tif 11267212.tif 11267213.tif</t>
  </si>
  <si>
    <t>Purchased a portable hard drive and a surge protector for my work station.</t>
  </si>
  <si>
    <t>IT Equipment Purchased a portable hard drive and a surge protector for my work station.</t>
  </si>
  <si>
    <t>WEXP-00027379</t>
  </si>
  <si>
    <t>CHC20200807-WD EXP</t>
  </si>
  <si>
    <t>11209672.tif 11209673.tif 11209674.tif 11209675.tif 11209676.tif</t>
  </si>
  <si>
    <t>Take out Tuesday $15 limit...............................................</t>
  </si>
  <si>
    <t>.Business Meals Take out Tuesday $15 limit............................................</t>
  </si>
  <si>
    <t>.Business Meals Take out Tuesday............................................</t>
  </si>
  <si>
    <t>WEXP-00027281</t>
  </si>
  <si>
    <t>11209101.tif 11209102.tif 11209103.tif</t>
  </si>
  <si>
    <t>Support Local Eatery Initiative on 7/21</t>
  </si>
  <si>
    <t>.Business Meals Lunch - Receipt Itemized - Support Local Restaurant - 7/21/2020 - Lunch on Us</t>
  </si>
  <si>
    <t>WEXP-00027337</t>
  </si>
  <si>
    <t>11223059.tif 11223060.tif 11223061.tif 11223062.tif</t>
  </si>
  <si>
    <t>Take-Out Tuesday: Our Treat to support local restaurants</t>
  </si>
  <si>
    <t>.Business Meals Take-Out Tuesday: Our Treat to support local restaurants</t>
  </si>
  <si>
    <t>WEXP-00027735</t>
  </si>
  <si>
    <t>11250784.tif 11250785.tif 11250786.tif</t>
  </si>
  <si>
    <t>RSA token sent to contractor in Jeanu AK</t>
  </si>
  <si>
    <t>Postage RSA token sent to contractor in Jeanu AK</t>
  </si>
  <si>
    <t>WEXP-00027541</t>
  </si>
  <si>
    <t>11250763.tif 11250764.tif 11250765.tif 11250766.tif 11250767.tif 11250768.tif 11250769.tif</t>
  </si>
  <si>
    <t>Overnight tokens to Amarillo for new hires</t>
  </si>
  <si>
    <t>Postage sending tokens to user the Amarillo office</t>
  </si>
  <si>
    <t>Postage Overnight tokens to Amarillo for new hires</t>
  </si>
  <si>
    <t>WEXP-00027275</t>
  </si>
  <si>
    <t>11209529.tif 11209530.tif 11209531.tif</t>
  </si>
  <si>
    <t>Desk for work from home solution</t>
  </si>
  <si>
    <t>Non-Inventory Supply Desk for work from home solution</t>
  </si>
  <si>
    <t>WEXP-00027822</t>
  </si>
  <si>
    <t>11267380.tif 11267381.tif 11267382.tif 11267383.tif 11267384.tif 11267385.tif 11267386.tif 11267387.tif 11267388.tif 11267389.tif 11267390.tif 11267391.tif 11267392.tif 11267393.tif 11267394.tif 11267395.tif 11267396.tif 11267397.tif 11267398.tif 11267399.tif 11267400.tif 11267401.tif 11267402.tif 11267403.tif 11267404.tif 11267405.tif 11267406.tif 11267407.tif 11267408.tif 11267409.tif 11267410.tif 11267411.tif 11267412.tif 11267413.tif 11267414.tif 11267415.tif 11267416.tif 11267417.tif</t>
  </si>
  <si>
    <t>Canva Pro access for Dan Simmons</t>
  </si>
  <si>
    <t>Employee Welfare Expense Awesome Teammate Recognition Reward for Casie Westfall and Valerie Garcia</t>
  </si>
  <si>
    <t>Software Maintenance Canva Pro access for Tierra Williams</t>
  </si>
  <si>
    <t>Software Maintenance Canva Pro access for Tim Anderson</t>
  </si>
  <si>
    <t>Software Maintenance Canva Pro access for Julie Hardy</t>
  </si>
  <si>
    <t>Software Maintenance Canva Pro access for Valerie Garcia</t>
  </si>
  <si>
    <t>Software Maintenance Canva Pro access for Ken Palmer</t>
  </si>
  <si>
    <t>Employee Development Expense Strengths workshop with Rethink Results for Dan Simmons</t>
  </si>
  <si>
    <t>Software Maintenance Canva Pro access for Dan Simmons</t>
  </si>
  <si>
    <t>Software Maintenance PollEv subscription for BPCM presentations and workshops</t>
  </si>
  <si>
    <t>Employee Welfare Expense Awesome Teammate Recognition Reward for Casie Westfall and Valerie Garica</t>
  </si>
  <si>
    <t>Employee Development Expense Registration for Mikala and Bronson to attend the Global Leadership Summit 2021</t>
  </si>
  <si>
    <t>WEXP-00027733</t>
  </si>
  <si>
    <t>11250698.tif 11250699.tif 11250700.tif 11250701.tif 11250702.tif 11250703.tif 11250704.tif 11250705.tif 11250706.tif</t>
  </si>
  <si>
    <t>Take out Tuesday Benefits and Payroll Acounting</t>
  </si>
  <si>
    <t>.Business Meals Working lunch Benefits and Payroll Accounting</t>
  </si>
  <si>
    <t>.Business Meals Take out Tuesday Benefits and Payroll Acounting</t>
  </si>
  <si>
    <t>.Business Meals Take out Tuesday Benefits and Payroll Accounting</t>
  </si>
  <si>
    <t>WEXP-00027251</t>
  </si>
  <si>
    <t>11208774.tif 11208775.tif 11208776.tif 11208777.tif 11208778.tif</t>
  </si>
  <si>
    <t>Lunch form Torchy's Tacos for Take-out Tuesday</t>
  </si>
  <si>
    <t>.Business Meals Lunch at Firehouse Subs for Cole's going away lunch</t>
  </si>
  <si>
    <t>.Business Meals Lunch from Torchy's Tacos for Take-out Tuesday</t>
  </si>
  <si>
    <t>WEXP-00027892</t>
  </si>
  <si>
    <t>11289169.tif 11289170.tif 11289171.tif</t>
  </si>
  <si>
    <t>Lunch for attending Safety &amp; Enterprise Service Awards</t>
  </si>
  <si>
    <t>.Social Meal &amp; Events Lunch for attending Safety &amp; Enterprise Service Awards</t>
  </si>
  <si>
    <t>WEXP-00027187</t>
  </si>
  <si>
    <t>11223339.tif 11223340.tif 11223341.tif 11223342.tif</t>
  </si>
  <si>
    <t>Replace computer mouse for Akers</t>
  </si>
  <si>
    <t>Office Supplies Replace computer mouse for Akers</t>
  </si>
  <si>
    <t>291868</t>
  </si>
  <si>
    <t>Nguyen, My (My)</t>
  </si>
  <si>
    <t>WEXP-00027904</t>
  </si>
  <si>
    <t>11267697.tif 11267698.tif 11267699.tif 11267700.tif 11267701.tif 11267702.tif 11267703.tif</t>
  </si>
  <si>
    <t>Met Mitchell Cobb to change out new company cell phone.</t>
  </si>
  <si>
    <t>Mileage Setup for Computer and Cell Phone as a new employee</t>
  </si>
  <si>
    <t>Mileage Met Mitchell Cobb to change out new company cell phone.</t>
  </si>
  <si>
    <t>Employee Development Expense Southern Gas Association DOT 192 Compliance Workshop</t>
  </si>
  <si>
    <t>WEXP-00027825</t>
  </si>
  <si>
    <t>11267377.tif 11267378.tif 11267379.tif</t>
  </si>
  <si>
    <t>Lunch provided for Workday 4 Close-Plant Accounting</t>
  </si>
  <si>
    <t>.Business Meals Lunch provided for Workday 4 Close-Plant Accounting</t>
  </si>
  <si>
    <t>WEXP-00027824</t>
  </si>
  <si>
    <t>11267329.tif 11267330.tif 11267331.tif</t>
  </si>
  <si>
    <t>WEXP-00027592</t>
  </si>
  <si>
    <t>11249685.tif 11249686.tif 11249687.tif</t>
  </si>
  <si>
    <t>Extra mileage driven between my house and Columbia that was not driven between my house and Franklin</t>
  </si>
  <si>
    <t>Mileage Extra mileage driven between my house and Columbia that was not driven between my house and Franklin</t>
  </si>
  <si>
    <t>WEXP-00027357</t>
  </si>
  <si>
    <t>11209517.tif 11209518.tif 11209519.tif 11209520.tif 11209521.tif 11209522.tif</t>
  </si>
  <si>
    <t>Travel to Chamberlain's for DFW Restaurant Week filming session</t>
  </si>
  <si>
    <t>IT Equipment Computer charger for laptop while working remotely.</t>
  </si>
  <si>
    <t>.Business Meals Take out Tuesday lunch for the enterprise to support local businesses.</t>
  </si>
  <si>
    <t>Mileage Travel to Chamberlain's for DFW Restaurant Week filming session</t>
  </si>
  <si>
    <t>WEXP-00027648</t>
  </si>
  <si>
    <t>11250115.tif 11250116.tif 11250117.tif 11250118.tif 11250119.tif 11250120.tif</t>
  </si>
  <si>
    <t>Employee Development Expense AGA 2020 Best Practices Emergency Response and Preparedness Roundtable</t>
  </si>
  <si>
    <t>WEXP-00027043</t>
  </si>
  <si>
    <t>11209633.tif 11209634.tif 11209635.tif</t>
  </si>
  <si>
    <t>Take out Tuesday: Our Treat.  Participated in Company initiative.</t>
  </si>
  <si>
    <t>.Business Meals Take out Tuesday: Our Treat.  Participated in Company initiative.</t>
  </si>
  <si>
    <t>WEXP-00027893</t>
  </si>
  <si>
    <t>11267577.tif 11267578.tif 11267579.tif</t>
  </si>
  <si>
    <t>Lunch during Virtual Service Awards Banquet</t>
  </si>
  <si>
    <t>.Business Meals Lunch during Virtual Service Awards Banquet</t>
  </si>
  <si>
    <t>289936</t>
  </si>
  <si>
    <t>Rayner, Robert (Bob)</t>
  </si>
  <si>
    <t>WEXP-00027348</t>
  </si>
  <si>
    <t>11209212.tif 11209213.tif 11209214.tif</t>
  </si>
  <si>
    <t>Take-out Tuesday (up to $15.00) Thank you Atmos Energy Corp.</t>
  </si>
  <si>
    <t>.Social Meal &amp; Events Take-out Tuesday (up to $15.00) Thank you Atmos Energy Corp.</t>
  </si>
  <si>
    <t>WEXP-00027350</t>
  </si>
  <si>
    <t>11209283.tif 11209284.tif 11209285.tif</t>
  </si>
  <si>
    <t>Take-out Tuesday (up to $15.00) Thank you.</t>
  </si>
  <si>
    <t>.Social Meal &amp; Events Take-out Tuesday (up to $15.00) Thank you.</t>
  </si>
  <si>
    <t>WEXP-00027758</t>
  </si>
  <si>
    <t>11267609.tif 11267610.tif 11267611.tif 11267612.tif 11267613.tif 11267614.tif 11267615.tif 11267616.tif 11267617.tif</t>
  </si>
  <si>
    <t>Book for Learning for Leaders (Tiny Habits: Small Changes That Change Everything)</t>
  </si>
  <si>
    <t>Books &amp; Manuals Books for Learning for Leaders</t>
  </si>
  <si>
    <t>Books &amp; Manuals Book for Learning for Leaders (Tiny Habits: Small Changes That Change Everything)</t>
  </si>
  <si>
    <t>.Business Meals Virtual Class Coordinators Luncheon with David Park and Matt Robbins</t>
  </si>
  <si>
    <t>Office Supplies Headset for Atmos Energy Essentials</t>
  </si>
  <si>
    <t>289107</t>
  </si>
  <si>
    <t>Rich, Amalia B (Amy)</t>
  </si>
  <si>
    <t>WEXP-00027319</t>
  </si>
  <si>
    <t>11209407.tif 11209408.tif 11209409.tif 11209410.tif</t>
  </si>
  <si>
    <t>State of Virginia - Registration for Atmos Energy Corporation</t>
  </si>
  <si>
    <t>Legal State of Virginia - Registration for Atmos Energy Corporation</t>
  </si>
  <si>
    <t>WEXP-00027299</t>
  </si>
  <si>
    <t>11209215.tif 11209216.tif 11209217.tif</t>
  </si>
  <si>
    <t>Lunch for Installing Mains and Services at home.</t>
  </si>
  <si>
    <t>.Business Meals Lunch for Installing Mains and Services at home.</t>
  </si>
  <si>
    <t>WEXP-00027497</t>
  </si>
  <si>
    <t>11223213.tif 11223214.tif 11223215.tif</t>
  </si>
  <si>
    <t>lunch while working from home for construction essentials.</t>
  </si>
  <si>
    <t>.Business Meals lunch while working from home for construction essentials.</t>
  </si>
  <si>
    <t>WEXP-00027498</t>
  </si>
  <si>
    <t>11223159.tif 11223160.tif 11223161.tif</t>
  </si>
  <si>
    <t>WEXP-00026214</t>
  </si>
  <si>
    <t>11289130.tif 11289131.tif 11289132.tif 11289133.tif 11289134.tif 11289135.tif 11289136.tif 11289137.tif 11289138.tif 11289139.tif 11289140.tif 11289141.tif 11289142.tif 11289143.tif 11289144.tif 11289145.tif 11289146.tif 11289147.tif 11289148.tif 11289149.tif 11289150.tif 11289151.tif 11289152.tif 11289153.tif 11289154.tif 11289155.tif 11289156.tif</t>
  </si>
  <si>
    <t>Sympathy - Penelope Furry's Mother - Roberta Marie Logan</t>
  </si>
  <si>
    <t>Employee Welfare Expense Sympathy - Don Eason's Son - LaDedric Rashard Scott-Eason</t>
  </si>
  <si>
    <t>Employee Welfare Expense Sympathy - Tal Fisher's Father</t>
  </si>
  <si>
    <t>Employee Welfare Expense Sympathy - Penelope Furry's Mother</t>
  </si>
  <si>
    <t>Employee Welfare Expense Sympathy - Paul Watkins' mother-in-law</t>
  </si>
  <si>
    <t>Employee Welfare Expense Sympathy - Melissa Self's father-in-law - Ronald Wayne Self</t>
  </si>
  <si>
    <t>Employee Welfare Expense Sympathy - Malcolm McKenzie's father-in-law - Lynn Togersen</t>
  </si>
  <si>
    <t>WEXP-00027884</t>
  </si>
  <si>
    <t>11267802.tif 11267803.tif 11267804.tif</t>
  </si>
  <si>
    <t>Safety Award Annual Meeting, lunch provided by the company up to 15 dollars.</t>
  </si>
  <si>
    <t>.Business Meals Safety Award Annual Meeting, lunch provided by the company up to 15 dollars.</t>
  </si>
  <si>
    <t>WEXP-00027484</t>
  </si>
  <si>
    <t>11223207.tif 11223208.tif 11223209.tif 11223210.tif 11223211.tif 11223212.tif</t>
  </si>
  <si>
    <t>National Association of Regulatory Utility Commissioners Summer Conference - Virtual Conference due to COVID-19</t>
  </si>
  <si>
    <t>.Business Meals Take out Tuesday - Work From Home due to COVID-19</t>
  </si>
  <si>
    <t>Training National Association of Regulatory Utility Commissioners - Summer Meeting</t>
  </si>
  <si>
    <t>WEXP-00027870</t>
  </si>
  <si>
    <t>11267503.tif 11267504.tif 11267505.tif</t>
  </si>
  <si>
    <t>Postage for mailing off Sharing the Warmth agreement to The Salvation Army in Mississippi.</t>
  </si>
  <si>
    <t>Postage Postage for mailing off Sharing the Warmth agreement to The Salvation Army in Mississippi.</t>
  </si>
  <si>
    <t>WEXP-00027647</t>
  </si>
  <si>
    <t>11250695.tif 11250696.tif 11250697.tif</t>
  </si>
  <si>
    <t>drive to Alvarado for trailer paperwork mileage</t>
  </si>
  <si>
    <t>Mileage drive to Alvarado for trailer paperwork mileage</t>
  </si>
  <si>
    <t>WEXP-00027685</t>
  </si>
  <si>
    <t>CHC20200820-WD EXP</t>
  </si>
  <si>
    <t>11250523.tif 11250524.tif 11250525.tif</t>
  </si>
  <si>
    <t>Take Out Tuesday lunch meal at Tasty Egg Roll</t>
  </si>
  <si>
    <t>.Social Meal &amp; Events Take Out Tuesday lunch meal at Tasty Egg Roll</t>
  </si>
  <si>
    <t>WEXP-00027224</t>
  </si>
  <si>
    <t>11209135.tif 11209136.tif 11209137.tif 11209138.tif 11209139.tif</t>
  </si>
  <si>
    <t>Recording Mic used for creating user tutorial videos in the Aligne application</t>
  </si>
  <si>
    <t>IT Equipment Recording Mic used for creating user tutorial videos in the Aligne application</t>
  </si>
  <si>
    <t>WEXP-00027621</t>
  </si>
  <si>
    <t>11250124.tif 11250125.tif 11250126.tif 11250127.tif 11250128.tif 11250129.tif</t>
  </si>
  <si>
    <t>AGA Principles of Accounting Meeting - CPE</t>
  </si>
  <si>
    <t>Training AGA Principles of Accounting Meeting - CPE</t>
  </si>
  <si>
    <t>Employee Development Expense Summer NARUC registration fee - virtual meeting</t>
  </si>
  <si>
    <t>WEXP-00027756</t>
  </si>
  <si>
    <t>11267007.tif 11267008.tif 11267009.tif</t>
  </si>
  <si>
    <t>stamps and tracking for Unemployment claim</t>
  </si>
  <si>
    <t>Postage stamps and tracking for Unemployment claim</t>
  </si>
  <si>
    <t>WEXP-00027071</t>
  </si>
  <si>
    <t>11209363.tif 11209364.tif 11209365.tif 11209366.tif 11209367.tif 11209368.tif 11209369.tif</t>
  </si>
  <si>
    <t>Pens and wireless mouse..................</t>
  </si>
  <si>
    <t>Office Supplies Oxford Stonepaper Notebook..............</t>
  </si>
  <si>
    <t>Office Supplies Pens and wireless mouse..................</t>
  </si>
  <si>
    <t>IT Equipment HP Color Laser Jet Pro All-In-One Laser Printer</t>
  </si>
  <si>
    <t>WEXP-00027728</t>
  </si>
  <si>
    <t>11250361.tif 11250362.tif 11250363.tif 11250364.tif 11250365.tif 11250366.tif 11250367.tif 11250368.tif 11250369.tif</t>
  </si>
  <si>
    <t>Registration Fees for AGA Accounting Principles Committee Meeting</t>
  </si>
  <si>
    <t>IT Equipment New large format monitor to be able to have multiple files open at the same time</t>
  </si>
  <si>
    <t>Office Supplies Postit notes for Laura for office</t>
  </si>
  <si>
    <t>Training Registration Fees for AGA Accounting Principles Committee Meeting</t>
  </si>
  <si>
    <t>Cell Phone Equipment &amp; Accessories New screen protector for Atmos cell phone</t>
  </si>
  <si>
    <t>291702</t>
  </si>
  <si>
    <t>Troup, Thomas L (Thomas)</t>
  </si>
  <si>
    <t>WEXP-00026432</t>
  </si>
  <si>
    <t>11209296.tif 11209297.tif 11209298.tif</t>
  </si>
  <si>
    <t>Professional membership dues, CFA Institute and CFA Society Dallas/Fort Worth</t>
  </si>
  <si>
    <t>Professional Dues Annual professional membership dues, CFA Society Dallas/Fort Worth</t>
  </si>
  <si>
    <t>Professional Dues Annual professional membership dues, CFA Institute</t>
  </si>
  <si>
    <t>WEXP-00027886</t>
  </si>
  <si>
    <t>11267669.tif 11267670.tif 11267671.tif</t>
  </si>
  <si>
    <t>Safety and Enterprise Services Service Awards Lunch</t>
  </si>
  <si>
    <t>.Business Meals Safety and Enterprise Services Service Awards Lunch</t>
  </si>
  <si>
    <t>WEXP-00027265</t>
  </si>
  <si>
    <t>11208942.tif 11208943.tif 11208944.tif 11208945.tif</t>
  </si>
  <si>
    <t>Lunch ordered for Virtual Coordinator's Appreciation lunch on July 24</t>
  </si>
  <si>
    <t>.Business Meals Lunch ordered for Virtual Coordinator's Appreciation lunch on July 24</t>
  </si>
  <si>
    <t>WEXP-00027986</t>
  </si>
  <si>
    <t>11268094.tif 11268095.tif 11268096.tif 11268097.tif 11268098.tif 11268099.tif 11268100.tif 11268101.tif 11268102.tif 11268103.tif 11268104.tif 11268105.tif 11268106.tif 11268107.tif 11268108.tif 11268109.tif 11268110.tif 11268111.tif 11268112.tif 11268113.tif 11268114.tif 11268115.tif 11268116.tif 11268117.tif 11268118.tif 11268119.tif 11268120.tif 11268121.tif 11268122.tif 11268123.tif 11268124.tif 11268125.tif 11268126.tif 11268127.tif 11268128.tif 11268129.tif 11268130.tif 11268131.tif 11268132.tif</t>
  </si>
  <si>
    <t>Safety and Enterprise Services Virtual Service Award - Recipient Gift for Richard Squires</t>
  </si>
  <si>
    <t>.Business Meals Safety and Enterprise Services Virtual Service Award - Recipient Gift for Akers Moore</t>
  </si>
  <si>
    <t>.Business Meals Safety and Enterprise Services Virtual Service Award - Recipient Gift for Dean Sanderson</t>
  </si>
  <si>
    <t>.Business Meals Safety and Enterprise Services Virtual Service Award - Recipient Gift for Richard Squires</t>
  </si>
  <si>
    <t>.Business Meals Safety and Enterprise Services Virtual Service Award - Recipient Gift for Mark Payne</t>
  </si>
  <si>
    <t>.Business Meals Safety and Enterprise Services Virtual Service Award - Recipient Gift for Kevin Lewis</t>
  </si>
  <si>
    <t>.Business Meals Safety and Enterprise Services Virtual Service Award - Recipient Gift for Keith Scott</t>
  </si>
  <si>
    <t>.Business Meals Safety and Enterprise Services Virtual Service Award - Recipient Gift for Scott Powell</t>
  </si>
  <si>
    <t>.Business Meals Safety and Enterprise Services Virtual Service Award - Recipient Gift for Jeannette Almanza</t>
  </si>
  <si>
    <t>.Business Meals Safety and Enterprise Services Virtual Service Award - Recipient Gift for Jeanna Camacho</t>
  </si>
  <si>
    <t>.Business Meals Safety and Enterprise Services Virtual Service Award - Recipient Gift for Andy Treadway</t>
  </si>
  <si>
    <t>.Business Meals Safety and Enterprise Services Virtual Service Award - Recipient Gift for Fernando Servigna</t>
  </si>
  <si>
    <t>.Business Meals Safety and Enterprise Services Virtual Service Award - Recipient Gift for Edwin Bosa</t>
  </si>
  <si>
    <t>.Business Meals Safety and Enterprise Services Virtual Service Award - Recipient Gift for John Johansson</t>
  </si>
  <si>
    <t>.Business Meals Safety and Enterprise Services Virtual Service Award - Recipient Gift for Derek Boyd</t>
  </si>
  <si>
    <t>WEXP-00027930</t>
  </si>
  <si>
    <t>11267906.tif 11267907.tif 11267908.tif 11267909.tif 11267910.tif 11267911.tif 11267912.tif</t>
  </si>
  <si>
    <t>Monthly charge for water dispense on the 5th floor</t>
  </si>
  <si>
    <t>Non-Inventory Supply Water purifier machine for the 18th floor breakroom</t>
  </si>
  <si>
    <t>Non-Inventory Supply Monthly charge for water dispenser on the 5th Floor</t>
  </si>
  <si>
    <t>Employee Development - MC Monthly subscription of the WSJ (Matt Robbins)</t>
  </si>
  <si>
    <t>WEXP-00027227</t>
  </si>
  <si>
    <t>11209151.tif 11209152.tif 11209153.tif 11209154.tif 11209155.tif 11209156.tif 11209157.tif 11209158.tif 11209159.tif 11209160.tif</t>
  </si>
  <si>
    <t>Water purifier machine on the 5th floor</t>
  </si>
  <si>
    <t>Non-Inventory Supply Water Purifier machine for 18th floor breakroom</t>
  </si>
  <si>
    <t>Non-Inventory Supply Water Purifier machine for 5th floor breakroom</t>
  </si>
  <si>
    <t>Other - MC WSJ monthly charge for Matt Robbins</t>
  </si>
  <si>
    <t>Employee Welfare Expense Flowers for Carlotta Brown's brother funeral</t>
  </si>
  <si>
    <t>WEXP-00027982</t>
  </si>
  <si>
    <t>11289120.tif 11289121.tif 11289122.tif 11289123.tif</t>
  </si>
  <si>
    <t>.Business Meals Safety and Enterprise Services Service Awards lunch</t>
  </si>
  <si>
    <t>WEXP-00026962</t>
  </si>
  <si>
    <t>11222899.tif 11222900.tif 11222901.tif</t>
  </si>
  <si>
    <t>Employee Take-Out Tuesday - for Yvonne Willis</t>
  </si>
  <si>
    <t>.Business Meals Employee Take-Out Tuesday - for Yvonne Willis</t>
  </si>
  <si>
    <t>WEXP-00027576</t>
  </si>
  <si>
    <t>11249656.tif 11249657.tif 11249658.tif 11249659.tif 11249660.tif 11249661.tif 11249662.tif 11249663.tif 11249664.tif 11249665.tif 11249666.tif 11249667.tif 11249668.tif 11249669.tif 11249670.tif 11249671.tif 11249672.tif 11249673.tif 11249674.tif 11249675.tif 11249676.tif 11249677.tif 11249678.tif 11249679.tif</t>
  </si>
  <si>
    <t>Congratulations to Laura Gillham on new position from Accounting department</t>
  </si>
  <si>
    <t>.Social Meal &amp; Events Welcome Bonnie Vigland and Birthdays for Bob/Rudy</t>
  </si>
  <si>
    <t>.Social Meal &amp; Events Congratulations to Laura Gillham on new position from Accounting department</t>
  </si>
  <si>
    <t>.Social Meal &amp; Events Welcome Lunch for Bonnie Vigland new hire for income tax dpt</t>
  </si>
  <si>
    <t>WEXP-00027300</t>
  </si>
  <si>
    <t>11208977.tif 11208978.tif 11208979.tif</t>
  </si>
  <si>
    <t>WEXP-00027760</t>
  </si>
  <si>
    <t>11267100.tif 11267101.tif 11267102.tif 11267103.tif 11267104.tif 11267105.tif 11267106.tif 11267107.tif 11267108.tif 11267109.tif 11267110.tif 11267111.tif 11267112.tif</t>
  </si>
  <si>
    <t>Celebratory : Edible Arrangement for Joey Stevens and family for new baby</t>
  </si>
  <si>
    <t>Employee Welfare Expense Celebratory : Edible Arrangement for Joey Stevens and family for new baby</t>
  </si>
  <si>
    <t>Employee Welfare Expense Courier Service; Courier service to deliver team member's personal items</t>
  </si>
  <si>
    <t>WEXP-00027913</t>
  </si>
  <si>
    <t>Professional Dues - MC TSBPA Individual License Renewal</t>
  </si>
  <si>
    <t>Professional Dues - MC Renewal of AICPA membership and license</t>
  </si>
  <si>
    <t>WEXP-00027426</t>
  </si>
  <si>
    <t>Federal Express Delivery of Board of Directors Documents</t>
  </si>
  <si>
    <t>Other - MC Federal Express Delivery of Board of Directors Documents</t>
  </si>
  <si>
    <t>WEXP-00028125</t>
  </si>
  <si>
    <t>KAW200902_1 WDEXP</t>
  </si>
  <si>
    <t>11289882.tif 11289883.tif 11289884.tif</t>
  </si>
  <si>
    <t>Accounting departmental lunch- discussed month end &amp; year end close</t>
  </si>
  <si>
    <t>.Business Meals Accounting departmental lunch- discussed month end &amp; year end close</t>
  </si>
  <si>
    <t>WEXP-00028784</t>
  </si>
  <si>
    <t>CHC20200922-WD EXP</t>
  </si>
  <si>
    <t>11345798.tif 11345799.tif 11345800.tif 11345801.tif</t>
  </si>
  <si>
    <t>Order lunch for Wed lunch limit of $15.00</t>
  </si>
  <si>
    <t>.Social Meal &amp; Events Order lunch for Wed lunch limit of $15.00</t>
  </si>
  <si>
    <t>Week of Giving</t>
  </si>
  <si>
    <t>WEXP-00029236</t>
  </si>
  <si>
    <t>KAW200923_WDEXP</t>
  </si>
  <si>
    <t>11346160.tif 11346161.tif 11346162.tif</t>
  </si>
  <si>
    <t>WEXP-00028816</t>
  </si>
  <si>
    <t>CHC20200918-WD-EXP</t>
  </si>
  <si>
    <t>11323028.tif 11323029.tif 11323030.tif</t>
  </si>
  <si>
    <t>Lunch expense as part of the Atmos Week of Giving</t>
  </si>
  <si>
    <t>.Business Meals Lunch was expense as part of the Atmos Week of Giving</t>
  </si>
  <si>
    <t>WEXP-00028769</t>
  </si>
  <si>
    <t>11323022.tif 11323023.tif 11323024.tif</t>
  </si>
  <si>
    <t>2020 Week of Giving Takeout Wednesday</t>
  </si>
  <si>
    <t>.Business Meals 2020 Week of Giving Takeout Wednesday</t>
  </si>
  <si>
    <t>WEXP-00028716</t>
  </si>
  <si>
    <t>CHC20200921-WD EXP</t>
  </si>
  <si>
    <t>11345090.tif 11345091.tif 11345092.tif</t>
  </si>
  <si>
    <t>Little Greek Lunch August Close 2020</t>
  </si>
  <si>
    <t>.Business Meals Little Greek Lunch August Close 2020</t>
  </si>
  <si>
    <t>WEXP-00029298</t>
  </si>
  <si>
    <t>CHC20200928-WD EXP</t>
  </si>
  <si>
    <t>11374094.tif 11374095.tif 11374096.tif</t>
  </si>
  <si>
    <t>United Way Lunch Receipt September 2020</t>
  </si>
  <si>
    <t>.Business Meals United Way Lunch Receipt September 2020</t>
  </si>
  <si>
    <t>WEXP-00028715</t>
  </si>
  <si>
    <t>11345195.tif 11345196.tif 11345197.tif</t>
  </si>
  <si>
    <t>Panera Bread Lunch August Close 2020</t>
  </si>
  <si>
    <t>.Business Meals Panera Bread Lunch August Close 2020</t>
  </si>
  <si>
    <t>WEXP-00029229</t>
  </si>
  <si>
    <t>11373720.tif 11373721.tif 11373722.tif 11373723.tif 11373724.tif 11373725.tif 11373726.tif 11373727.tif 11373728.tif 11373729.tif</t>
  </si>
  <si>
    <t>Office Supplies; purchased USB Splitter to connect to computer while working remote due to Covid-19.</t>
  </si>
  <si>
    <t>Office Supplies Office Supplies; purchased ink cartridges while working remote due to Covid-19</t>
  </si>
  <si>
    <t>Office Supplies Office Supplies ; purchased  ink cartridges for printer while working remote due to covid -19.</t>
  </si>
  <si>
    <t>Office Supplies Office Supplies; purchased USB Splitter to connect to computer while working remote due to Covid-19.</t>
  </si>
  <si>
    <t>Office Supplies Office Supplies, purchased ink cartridge  for printer while working remote due to Covid-19.</t>
  </si>
  <si>
    <t>WEXP-00028824</t>
  </si>
  <si>
    <t>11345353.tif 11345354.tif 11345355.tif</t>
  </si>
  <si>
    <t>Pizza Hut - WOG Wednesday lunch reimbursement</t>
  </si>
  <si>
    <t>.Business Meals Pizza Hut - WOG Wed lunch reimbursement</t>
  </si>
  <si>
    <t>Meal Over Limit, Week of Giving</t>
  </si>
  <si>
    <t>233154</t>
  </si>
  <si>
    <t>Bailey, Sheila R (Sheila)</t>
  </si>
  <si>
    <t>WEXP-00029446</t>
  </si>
  <si>
    <t>KAW200930_WDEXP</t>
  </si>
  <si>
    <t>11375836.tif 11375837.tif 11375838.tif 11375839.tif 11375840.tif 11375841.tif 11375842.tif 11375843.tif 11375844.tif 11375845.tif 11375846.tif 11375847.tif 11375848.tif 11375849.tif 11375850.tif 11375851.tif 11375852.tif 11375853.tif 11375854.tif 11375855.tif 11375856.tif 11375857.tif 11375858.tif 11375859.tif 11375860.tif 11375861.tif 11375862.tif 11375863.tif 11375864.tif 11375865.tif 11375866.tif 11375867.tif 11375868.tif 11375869.tif 11375870.tif 11375871.tif 11375872.tif 11375873.tif 11375874.tif 11375875.tif 11375876.tif 11375877.tif 11375878.tif 11375879.tif 11375880.tif 11375881.tif 11375882.tif 11375883.tif 11375884.tif 11375885.tif 11375886.tif 11375887.tif 11375888.tif 11375889.tif 11375890.tif 11375891.tif 11375892.tif 11375893.tif 11375894.tif 11375895.tif 11375896.tif</t>
  </si>
  <si>
    <t>Week of Giving Raffle Winner Calvin Tyler</t>
  </si>
  <si>
    <t>Gifts Week of Giving Raffle Winner James Baum</t>
  </si>
  <si>
    <t>Gifts Week of Giving Raffle Winner Sidney Villemarette</t>
  </si>
  <si>
    <t>Gifts Week of Giving Raffle Winner James Ragan</t>
  </si>
  <si>
    <t>Gifts Week of Giving Raffle Winner Harry Sanchez gift</t>
  </si>
  <si>
    <t>Gifts Week of Giving Raffle Winner John Bowling</t>
  </si>
  <si>
    <t>Gifts Week of Giving Raffle Winner Jeff Watkins</t>
  </si>
  <si>
    <t>Gifts Week of Giving Raffle Winner Glenn Zatarain</t>
  </si>
  <si>
    <t>Gifts Week of Giving Raffle Winner Kennie Glass</t>
  </si>
  <si>
    <t>Gifts Week of Giving Raffle Winner Christian Diket</t>
  </si>
  <si>
    <t>Gifts Week of Giving Raffle Winner Robbie Siadek</t>
  </si>
  <si>
    <t>Gifts Week of Giving Raffle Winner Calvin Tyler</t>
  </si>
  <si>
    <t>Gifts Week of Giving Raffle Winner Troy Deweesee</t>
  </si>
  <si>
    <t>Gifts Week of Giving Raffle Winner Justin Cenac</t>
  </si>
  <si>
    <t>Gifts Week of Giving Raffle Winner S. Allie Brasher</t>
  </si>
  <si>
    <t>WEXP-00029303</t>
  </si>
  <si>
    <t>11373878.tif 11373879.tif 11373880.tif 11373881.tif 11373882.tif</t>
  </si>
  <si>
    <t>Funeral - Floral arrangement for Leila Murphys father, George Harrison</t>
  </si>
  <si>
    <t>.Social Meal &amp; Events Week of giving Wednesday lunch</t>
  </si>
  <si>
    <t>Employee Welfare Expense Funeral - Floral arrangement for Leila Murphys father, George Harrison</t>
  </si>
  <si>
    <t>WEXP-00028273</t>
  </si>
  <si>
    <t>CHC20200903-WD EXP</t>
  </si>
  <si>
    <t>11290140.tif 11290141.tif 11290142.tif 11290143.tif 11290144.tif 11290145.tif 11290146.tif 11290147.tif 11290148.tif 11290149.tif 11290150.tif 11290151.tif 11290152.tif</t>
  </si>
  <si>
    <t>Tiff Treats for my team as congrats for virtual training tara</t>
  </si>
  <si>
    <t>.Social Meal &amp; Events Tiff Treats for my team as congrats for virtual training Matt</t>
  </si>
  <si>
    <t>.Social Meal &amp; Events Tiff Treats for my team as congrats for virtual training</t>
  </si>
  <si>
    <t>.Social Meal &amp; Events Tiff Treats for my team as congrats for virtual training tara</t>
  </si>
  <si>
    <t>WEXP-00028380</t>
  </si>
  <si>
    <t>KAW200904_1 WDEXP</t>
  </si>
  <si>
    <t>11290587.tif 11290588.tif 11290589.tif 11290590.tif 11290591.tif 11290592.tif 11290593.tif 11290594.tif 11290595.tif</t>
  </si>
  <si>
    <t>Macbook computers for Jordan and Jeff</t>
  </si>
  <si>
    <t>IT Equipment Macbook computers for Jordan and Jeff</t>
  </si>
  <si>
    <t>010.38129</t>
  </si>
  <si>
    <t>OK - Macbooks for Curriculum Development job role for employees Jordan North &amp; Jeff Curtis</t>
  </si>
  <si>
    <t>WEXP-00029478</t>
  </si>
  <si>
    <t>CHC20200929-WD EXP</t>
  </si>
  <si>
    <t>11374878.tif 11374879.tif 11374880.tif 11374881.tif 11374882.tif 11374883.tif</t>
  </si>
  <si>
    <t>September Week of gifving lunch - Wednesday</t>
  </si>
  <si>
    <t>Gifts Employee lunch gift cards for September social event.</t>
  </si>
  <si>
    <t>.Business Meals September Week of gifving lunch - Wednesday</t>
  </si>
  <si>
    <t>WEXP-00027862</t>
  </si>
  <si>
    <t>CHC20200914-WD EXP</t>
  </si>
  <si>
    <t>11321733.tif 11321734.tif 11321735.tif 11321736.tif 11321737.tif 11321738.tif 11321739.tif</t>
  </si>
  <si>
    <t>Lunch during socially distanced caravan to each team member's home to show appreciation and deliver goodies</t>
  </si>
  <si>
    <t>Mileage Socially distanced caravan to each team member's home to show appreciation and deliver goodies</t>
  </si>
  <si>
    <t>Software Maintenance SurveyMonkey subscription for BPCM team use</t>
  </si>
  <si>
    <t>.Business Meals Lunch during socially distanced caravan to each team member's home to show appreciation and deliver goodies</t>
  </si>
  <si>
    <t>WEXP-00029593</t>
  </si>
  <si>
    <t>11374971.tif 11374972.tif 11374973.tif 11374974.tif</t>
  </si>
  <si>
    <t>Printer Ink for home printer and VGA to HDMI cable for home office ordered from Amazon.com</t>
  </si>
  <si>
    <t>Office Supplies Printer Ink for home printer and VGA to HDMI cable for monitor</t>
  </si>
  <si>
    <t>WEXP-00029307</t>
  </si>
  <si>
    <t>11346437.tif 11346438.tif 11346439.tif 11346440.tif</t>
  </si>
  <si>
    <t>Week of Giving Take Out Wednesday</t>
  </si>
  <si>
    <t>.Business Meals Week of Giving Take Out Wednesday</t>
  </si>
  <si>
    <t>291682</t>
  </si>
  <si>
    <t>Bowling, Katherine Roberts (Kat)</t>
  </si>
  <si>
    <t>WEXP-00028348</t>
  </si>
  <si>
    <t>11290528.tif 11290529.tif 11290530.tif 11290531.tif 11290532.tif</t>
  </si>
  <si>
    <t>HR "Eat Outside Day" On Us! special event to support local business</t>
  </si>
  <si>
    <t>.Business Meals HR "Eat Outside Day" On Us! special event to support local business</t>
  </si>
  <si>
    <t>246690</t>
  </si>
  <si>
    <t>Bowman, Tammie C (Tammie)</t>
  </si>
  <si>
    <t>WEXP-00029648</t>
  </si>
  <si>
    <t>11374742.tif 11374743.tif 11374744.tif 11374745.tif 11374746.tif 11374747.tif 11374748.tif 11374749.tif 11374708.tif 11374709.tif 11374710.tif 11374711.tif 11374712.tif 11374713.tif 11374714.tif 11374715.tif 11374716.tif 11374717.tif 11374718.tif 11374719.tif 11374720.tif 11374721.tif 11374722.tif 11374723.tif 11374724.tif 11374725.tif 11374726.tif 11374727.tif 11374728.tif</t>
  </si>
  <si>
    <t>Week of Giving - Prize for employee Lucy Watkins</t>
  </si>
  <si>
    <t>Gifts Week of Giving - Prize for employee Robbie Kling</t>
  </si>
  <si>
    <t>Gifts Week of Giving - Prize for employee Brent Hammons</t>
  </si>
  <si>
    <t>Gifts Week of Giving - Prize for employee Jason Gaston</t>
  </si>
  <si>
    <t>Gifts Week of Giving - Prize for employee Justin Perry</t>
  </si>
  <si>
    <t>Gifts Week of Giving - Prize for employee Clayton Hunter</t>
  </si>
  <si>
    <t>Gifts Week of Giving - Prize for employee Ryan Sharp</t>
  </si>
  <si>
    <t>Gifts Week of Giving - Prize for employee Robert Smith</t>
  </si>
  <si>
    <t>Gifts Week of Giving - Prize Carnell Watkins $250.000</t>
  </si>
  <si>
    <t>Gifts Week of Giving - Prize Benny Hicks $250.0</t>
  </si>
  <si>
    <t>Gifts Week of Giving - Prize for employee Melissa Marshall</t>
  </si>
  <si>
    <t>Gifts Prize for Week of Giving for Employee Anthony Hughley</t>
  </si>
  <si>
    <t>Gifts Week of Giving - Prize for employee Renea Price</t>
  </si>
  <si>
    <t>Gifts Week of Giving - Prize for employee Lucy Watkins</t>
  </si>
  <si>
    <t>Gifts Week of Giving - Prize for employee Edie Lopez</t>
  </si>
  <si>
    <t>Gifts Week of Giving - Prize for employee Jason Smith</t>
  </si>
  <si>
    <t>WEXP-00028528</t>
  </si>
  <si>
    <t>11321718.tif 11321719.tif 11321720.tif</t>
  </si>
  <si>
    <t>The Wall Street Journal, September 2020</t>
  </si>
  <si>
    <t>Employee Development Expense The Wall Street Journal, September 2020</t>
  </si>
  <si>
    <t>WEXP-00028510</t>
  </si>
  <si>
    <t>CHC20200910-WD EXP</t>
  </si>
  <si>
    <t>11300891.tif 11300892.tif 11300893.tif 11300894.tif 11300895.tif 11300896.tif 11300897.tif 11300898.tif 11300899.tif 11300900.tif 11300901.tif 11300902.tif 11300903.tif</t>
  </si>
  <si>
    <t>Printer cartridge to print hard copies for review of 2021 Budget &amp; Plan Presentations</t>
  </si>
  <si>
    <t>Employee Development Expense CPE online course: Listen Up or Lose Out</t>
  </si>
  <si>
    <t>Office Supplies Printer cartridge to print hard copies for review of 2021 Budget &amp; Plan Presentations</t>
  </si>
  <si>
    <t>Employee Development Expense CPE Course: Living Trusts Fact and Fiction</t>
  </si>
  <si>
    <t>Employee Development Expense CPE online Course: The Age of Agile</t>
  </si>
  <si>
    <t>Office Supplies Printer cartridges to print hardcoipies for review of 2021 Budget &amp; Plan Presentations</t>
  </si>
  <si>
    <t>WEXP-00029373</t>
  </si>
  <si>
    <t>CHC20200924-WD EXP</t>
  </si>
  <si>
    <t>11346809.tif 11346810.tif 11346811.tif</t>
  </si>
  <si>
    <t>Training cost for employee's professional development, T. Boone Pickens Leadership Institute, 2020-2021</t>
  </si>
  <si>
    <t>Training Training cost for employee's professional development, T. Boone Pickens Leadership Institute, 2020-2021</t>
  </si>
  <si>
    <t>WEXP-00028257</t>
  </si>
  <si>
    <t>11289780.tif 11289781.tif 11289782.tif 11289783.tif 11289784.tif 11289785.tif 11289786.tif</t>
  </si>
  <si>
    <t>Registration Fee for SGA Virtual: DOT 192 Compliance Workshop for Natural Gas Pipeline</t>
  </si>
  <si>
    <t>Regulatory Compliance Training Registration Fee for SGA Virtual: DOT 192 Compliance Workshop for Natural Gas Pipeline</t>
  </si>
  <si>
    <t>Regulatory Compliance Training Registration fee associated with registration for AGA Mutual Aid Webinar Series: Session #2 "Conducting Effective Scenario-Based Mock Drills" on September 16, 2020</t>
  </si>
  <si>
    <t>Regulatory Compliance Training AGA Mutual Aid Webinar Series: Session #1 "Implmenting Incdient Command System" September 2, 2020</t>
  </si>
  <si>
    <t>WEXP-00028346</t>
  </si>
  <si>
    <t>11290555.tif 11290556.tif 11290557.tif 11290558.tif</t>
  </si>
  <si>
    <t>SGA Webinar - Natural Gas Scheduling 101</t>
  </si>
  <si>
    <t>Training SGA Webinar - Natural Gas Scheduling 101</t>
  </si>
  <si>
    <t>WEXP-00029481</t>
  </si>
  <si>
    <t>11374240.tif 11374241.tif 11374242.tif 11374243.tif 11374244.tif 11374245.tif 11374246.tif 11374247.tif 11374248.tif 11374249.tif 11374250.tif 11374251.tif 11374252.tif 11374253.tif 11374254.tif 11374255.tif 11374256.tif 11374257.tif 11374258.tif 11374259.tif 11374260.tif 11374261.tif 11374262.tif 11374263.tif 11374264.tif</t>
  </si>
  <si>
    <t>Dewayne Mosley's Anniversary Cookies</t>
  </si>
  <si>
    <t>.Social Meal &amp; Events Steve Easley Atmos 39th Anniversary Treats</t>
  </si>
  <si>
    <t>.Social Meal &amp; Events Maher Al Refai's Birthday Cookies</t>
  </si>
  <si>
    <t>.Social Meal &amp; Events Chris Jefferies Birthday Cookies</t>
  </si>
  <si>
    <t>.Social Meal &amp; Events Dewayne Mosley 39 Atmos Anniversary</t>
  </si>
  <si>
    <t>.Social Meal &amp; Events Robert Cearley Birthday Cookies</t>
  </si>
  <si>
    <t>.Social Meal &amp; Events Karen Bonner's Birthday Cookies Delivered to her Home</t>
  </si>
  <si>
    <t>WEXP-00029451</t>
  </si>
  <si>
    <t>CHC20200925-WD EXP</t>
  </si>
  <si>
    <t>11346960.tif 11346961.tif 11346962.tif 11346963.tif 11346964.tif 11346965.tif 11346966.tif 11346967.tif 11346968.tif 11346969.tif 11346970.tif 11346971.tif 11346972.tif 11346973.tif 11346974.tif</t>
  </si>
  <si>
    <t>Appreciation lunch for Mail Room Employees</t>
  </si>
  <si>
    <t>.Business Meals Appreciation Lunch for Mail Room Employees</t>
  </si>
  <si>
    <t>.Business Meals Appreciation Lunch for the Mail Room Employees</t>
  </si>
  <si>
    <t>.Business Meals Appreciation lunch for Mail Room Employees</t>
  </si>
  <si>
    <t>WEXP-00029000</t>
  </si>
  <si>
    <t>11354953.tif 11354954.tif 11354946.tif</t>
  </si>
  <si>
    <t>Week of Giving Take Out Wednesday lunch</t>
  </si>
  <si>
    <t>.Social Meal &amp; Events Week of Giving Take Out Wednesday lunch</t>
  </si>
  <si>
    <t>WEXP-00028920</t>
  </si>
  <si>
    <t>11322838.tif 11322839.tif 11322840.tif</t>
  </si>
  <si>
    <t>Appreciation lunch during United Way Week of Giving for Lincoln Centre</t>
  </si>
  <si>
    <t>.Business Meals Appreciation lunch during United Way Week of Giving for Lincoln Centre</t>
  </si>
  <si>
    <t>WEXP-00028884</t>
  </si>
  <si>
    <t>11323037.tif 11323038.tif 11323039.tif</t>
  </si>
  <si>
    <t>Professional development for the Public Relations Society of America Southwest District and host PRSA Dallas two-day virtual conference produced for public relations, communications, and marketing professionals throughout the Southwest Regi</t>
  </si>
  <si>
    <t>Employee Development Expense Professional development for the Public Relations Society of America Southwest District and host PRSA Dallas two-day virtual conference produced for public relations, communications, and marketing professionals</t>
  </si>
  <si>
    <t>WEXP-00028747</t>
  </si>
  <si>
    <t>11323069.tif 11323070.tif 11323071.tif</t>
  </si>
  <si>
    <t>Paper towels for Gas Control office in Columbia office</t>
  </si>
  <si>
    <t>Office Supplies Paper towels for Gas Control office in Columbia office</t>
  </si>
  <si>
    <t>WEXP-00028749</t>
  </si>
  <si>
    <t>11322509.tif 11322510.tif 11322511.tif 11322512.tif 11322513.tif 11322514.tif 11322515.tif 11322516.tif 11322517.tif 11322518.tif 11322519.tif 11322520.tif 11322521.tif</t>
  </si>
  <si>
    <t>Round trip to Columbia operations office in Columbia</t>
  </si>
  <si>
    <t>Office Supplies Cleaning supplies for Columbia Gas Control Room</t>
  </si>
  <si>
    <t>Mileage Round trip to Columbia operations office in Columbia</t>
  </si>
  <si>
    <t>.Business Meals Supplies and snacks for both Gas Control Rooms in Franklin and Columbia TN</t>
  </si>
  <si>
    <t>Employee Welfare Expense Personal Surety assessment as required by the Director Security and Risk</t>
  </si>
  <si>
    <t>Office Supplies Office supplies for both Gas Control rooms</t>
  </si>
  <si>
    <t>Office Supplies Purchase supplies for Columbia Gas Control Room in Columbia</t>
  </si>
  <si>
    <t>WEXP-00021992</t>
  </si>
  <si>
    <t>11345253.tif 11345254.tif 11345255.tif</t>
  </si>
  <si>
    <t>approved lunch for workforce development from vice president</t>
  </si>
  <si>
    <t>.Business Meals approved lunch for workforce development from vice president</t>
  </si>
  <si>
    <t>WEXP-00028421</t>
  </si>
  <si>
    <t>CHC20200908-WD EXP</t>
  </si>
  <si>
    <t>11300372.tif 11300373.tif 11300374.tif</t>
  </si>
  <si>
    <t>WEXP-00024382</t>
  </si>
  <si>
    <t>CHC20200911-WD EXP</t>
  </si>
  <si>
    <t>11301194.tif 11301195.tif 11301196.tif</t>
  </si>
  <si>
    <t>weekly approved lunch for workforce development fron V.P.</t>
  </si>
  <si>
    <t>.Business Meals weekly approved lunch for workforce development fron V.P.</t>
  </si>
  <si>
    <t>WEXP-00029465</t>
  </si>
  <si>
    <t>11373691.tif 11373692.tif 11373693.tif</t>
  </si>
  <si>
    <t>WEXP-00028282</t>
  </si>
  <si>
    <t>11290059.tif 11290060.tif 11290061.tif</t>
  </si>
  <si>
    <t>yearly approved uniform shirts approved by supervisor and manager</t>
  </si>
  <si>
    <t>Uniforms yearly approved uniform shirts approved by supervisor and manager</t>
  </si>
  <si>
    <t>WEXP-00028580</t>
  </si>
  <si>
    <t>CHC20200917-WD EXP</t>
  </si>
  <si>
    <t>11322334.tif 11322335.tif 11322336.tif 11322337.tif 11322338.tif 11322339.tif 11322340.tif 11322341.tif 11322342.tif 11322343.tif</t>
  </si>
  <si>
    <t>Benefits and Payroll Accounting Office Chair</t>
  </si>
  <si>
    <t>Office Supplies Benefits and Payroll Accounting Office Chair</t>
  </si>
  <si>
    <t>.Business Meals Anniversary celebration Benefit Accounting</t>
  </si>
  <si>
    <t>.Business Meals Benefits and Accounting Dept Working Lunch</t>
  </si>
  <si>
    <t>.Business Meals Benefits Payroll Accounting Dept Wroking Lunch</t>
  </si>
  <si>
    <t>WEXP-00029494</t>
  </si>
  <si>
    <t>11374517.tif 11374518.tif 11374519.tif 11374520.tif 11374521.tif 11374522.tif 11374523.tif 11374524.tif 11374525.tif 11374526.tif 11374527.tif 11374528.tif 11374529.tif 11374530.tif</t>
  </si>
  <si>
    <t>Annual Performance Review One-on-One with Barbara</t>
  </si>
  <si>
    <t>.Business Meals Week of Giving - take out Wednesday</t>
  </si>
  <si>
    <t>Employee Development Expense Registration for NARUC Annual Meeting</t>
  </si>
  <si>
    <t>.Business Meals Annual Performance Review One-on-One with Barbara</t>
  </si>
  <si>
    <t>.Business Meals Business Lunch while working in LC Office</t>
  </si>
  <si>
    <t>Employee Welfare Expense Twenty four month subscription to Public Utilities Fortnightly</t>
  </si>
  <si>
    <t>249207</t>
  </si>
  <si>
    <t>Christopher, Robert J (Robert)</t>
  </si>
  <si>
    <t>WEXP-00029727</t>
  </si>
  <si>
    <t>11375585.tif 11375586.tif 11375587.tif 11375588.tif</t>
  </si>
  <si>
    <t>SGA WEBINAR: Natural Gas Scheduling 101</t>
  </si>
  <si>
    <t>Technical (Job Skills) Training SGA WEBINAR: Natural Gas Scheduling 101</t>
  </si>
  <si>
    <t>WEXP-00028387</t>
  </si>
  <si>
    <t>11290329.tif 11290330.tif 11290331.tif</t>
  </si>
  <si>
    <t>Support local restaurants on national eat outside day</t>
  </si>
  <si>
    <t>.Business Meals Support local restaurants on national eat outside day</t>
  </si>
  <si>
    <t>WEXP-00029644</t>
  </si>
  <si>
    <t>11374866.tif 11374867.tif 11374868.tif</t>
  </si>
  <si>
    <t>United Way Week Wednesday Lunch</t>
  </si>
  <si>
    <t>.Business Meals United Way Week Wednesday Lunch</t>
  </si>
  <si>
    <t>WEXP-00028635</t>
  </si>
  <si>
    <t>CHC20200915-WD EXP</t>
  </si>
  <si>
    <t>11322012.tif 11322013.tif 11322014.tif</t>
  </si>
  <si>
    <t>SGA Fall Accounting and Finance Forum Registration for Cara Croissant</t>
  </si>
  <si>
    <t>Training SGA Fall Accounting and Finance Forum Registration for Cara Croissant</t>
  </si>
  <si>
    <t>WEXP-00029482</t>
  </si>
  <si>
    <t>11373668.tif 11373669.tif 11373670.tif 11373671.tif 11373672.tif 11373673.tif 11373674.tif</t>
  </si>
  <si>
    <t>Meal while working remotely monitoring Gas essentials during the week of August 24</t>
  </si>
  <si>
    <t>.Business Meals Business meal while reviewing the mentor class for Gas essentials</t>
  </si>
  <si>
    <t>.Business Meals Meal while working remotely monitoring Gas essentials during the week of August 24</t>
  </si>
  <si>
    <t>.Business Meals Meal while working remotely to teach monitoring distribution and pipeline systems</t>
  </si>
  <si>
    <t>WEXP-00029563</t>
  </si>
  <si>
    <t>11374228.tif 11374229.tif 11374230.tif 11374231.tif 11374232.tif</t>
  </si>
  <si>
    <t>Business meal while working in technical training at a remote location</t>
  </si>
  <si>
    <t>Uniforms End of year technical training uniform ordering</t>
  </si>
  <si>
    <t>.Business Meals Business meal while working in technical training at a remote location</t>
  </si>
  <si>
    <t>WEXP-00029518</t>
  </si>
  <si>
    <t>11347259.tif 11347260.tif 11347261.tif 11347262.tif 11347263.tif 11347264.tif 11347265.tif 11347266.tif 11347267.tif 11347268.tif 11347269.tif 11347270.tif 11347271.tif 11347286.tif 11347287.tif 11347288.tif 11347289.tif 11347290.tif 11347291.tif 11347292.tif 11347293.tif 11347294.tif 11347295.tif</t>
  </si>
  <si>
    <t>Appreciation meal during COVID -19 for appreciation lun</t>
  </si>
  <si>
    <t>.Social Meal &amp; Events Appreciation meal during COVID -19</t>
  </si>
  <si>
    <t>.Social Meal &amp; Events Appreciation meal during COVID -19 for appreciation lun</t>
  </si>
  <si>
    <t>.Social Meal &amp; Events Appreciation meal during COVID -19 for appreciation lunch</t>
  </si>
  <si>
    <t>WEXP-00028827</t>
  </si>
  <si>
    <t>11322841.tif 11322842.tif 11322843.tif</t>
  </si>
  <si>
    <t>Week of Giving Lunch sponsored by Atmos Energy</t>
  </si>
  <si>
    <t>.Social Meal &amp; Events Week of Giving Lunch sponsored by Atmos Energy</t>
  </si>
  <si>
    <t>WEXP-00028761</t>
  </si>
  <si>
    <t>11345751.tif 11345752.tif 11345753.tif</t>
  </si>
  <si>
    <t>Atmos Week of Giving Take out Wednesday</t>
  </si>
  <si>
    <t>.Business Meals Atmos Week of Giving Take out Wednesday</t>
  </si>
  <si>
    <t>289104</t>
  </si>
  <si>
    <t>Davis, Devante (Devante)</t>
  </si>
  <si>
    <t>WEXP-00028341</t>
  </si>
  <si>
    <t>11300304.tif 11300305.tif 11300306.tif</t>
  </si>
  <si>
    <t>Atmos Energy shirts ordered for work- Devante Davis</t>
  </si>
  <si>
    <t>Uniforms Atmos Energy shirts ordered for work- Devante Davis</t>
  </si>
  <si>
    <t>WEXP-00029488</t>
  </si>
  <si>
    <t>11346978.tif 11346979.tif 11346980.tif</t>
  </si>
  <si>
    <t>Weekly lunch allowed for Workforce Development team</t>
  </si>
  <si>
    <t>.Business Meals Weekly lunch allowed for Workforce Development team</t>
  </si>
  <si>
    <t>WEXP-00029469</t>
  </si>
  <si>
    <t>11347404.tif 11347405.tif 11347406.tif</t>
  </si>
  <si>
    <t>Grazing boxes sent to Workforce Development Service Awards Honoree's</t>
  </si>
  <si>
    <t>.Business Meals Grazing boxes sent to Workforce Development Service Awards Honoree's</t>
  </si>
  <si>
    <t>WEXP-00029261</t>
  </si>
  <si>
    <t>11375655.tif 11375656.tif 11375657.tif 11375658.tif 11375659.tif 11375660.tif 11375661.tif 11375662.tif 11375663.tif 11375664.tif 11375665.tif 11375666.tif 11375667.tif 11375668.tif 11375669.tif 11375670.tif 11375671.tif 11375672.tif 11375673.tif 11375674.tif 11375675.tif 11375676.tif 11375677.tif 11375678.tif 11375679.tif 11375680.tif 11375681.tif 11375682.tif 11375683.tif 11375684.tif 11375685.tif 11375686.tif</t>
  </si>
  <si>
    <t>Week of Giving enterprise raffle winner for Mississippi Division</t>
  </si>
  <si>
    <t>Gifts Week of Giving enterprise raffle winner for Mississippi Division</t>
  </si>
  <si>
    <t>WEXP-00029256</t>
  </si>
  <si>
    <t>11346900.tif 11346901.tif 11346902.tif 11346903.tif 11346904.tif 11346905.tif</t>
  </si>
  <si>
    <t>TakeOut Wed during Week of Giving conflicted with work anniversary lunch, and was moved to a diff day per VP</t>
  </si>
  <si>
    <t>.Social Meal &amp; Events TakeOut Wed during Week of Giving conflicted with work anniversary lunch, and was moved to a diff day per VP</t>
  </si>
  <si>
    <t>WEXP-00028651</t>
  </si>
  <si>
    <t>11375732.tif 11375733.tif 11375734.tif 11375735.tif 11375736.tif 11375737.tif 11375738.tif 11375739.tif 11375740.tif 11375741.tif 11375742.tif 11375743.tif 11375744.tif 11375745.tif 11375746.tif 11375747.tif 11375748.tif 11375749.tif 11375750.tif 11375751.tif 11375752.tif 11375753.tif 11375754.tif 11375755.tif 11375756.tif 11375757.tif 11375758.tif 11375759.tif 11375760.tif 11375761.tif 11375762.tif 11375763.tif 11375764.tif 11375765.tif 11375766.tif 11375767.tif 11375768.tif 11375769.tif 11375770.tif 11375771.tif 11375772.tif 11375773.tif 11375774.tif 11375775.tif 11375776.tif</t>
  </si>
  <si>
    <t>Purchased Week of Giving BINGO prize for Vanessa Gonzalez.</t>
  </si>
  <si>
    <t>Gifts Purchased Week of Giving BINGO prize for Cat Khamounane</t>
  </si>
  <si>
    <t>.Business Meals Purchased birthday cookies from the Corporate Communications department for Liz Beauchamp's birthday.</t>
  </si>
  <si>
    <t>Gifts Purchased Week of Giving BINGO prize for Diana Cardenas.</t>
  </si>
  <si>
    <t>Gifts Purchased Week of Giving BINGO prize for Eryn Williams.</t>
  </si>
  <si>
    <t>Gifts Purchased Week of Giving BINGO prize for Vanessa Gonzalez.</t>
  </si>
  <si>
    <t>Office Supplies Purchased virtual bingo cards for Week of Giving.</t>
  </si>
  <si>
    <t>Gifts Purchased Week of Giving BINGO prize for Shatarri Woods.</t>
  </si>
  <si>
    <t>Gifts Purchased Week of Giving BINGO prize for Taresa Dittman.</t>
  </si>
  <si>
    <t>Gifts Purchased Week of Giving BINGO prize for Wincy Thorpe.</t>
  </si>
  <si>
    <t>Gifts Purchased Week of Giving BINGO prize for Kim Brooks.</t>
  </si>
  <si>
    <t>Gifts Purchased Week of Giving BINGO prize for Valerie Garcia.</t>
  </si>
  <si>
    <t>WEXP-00029335</t>
  </si>
  <si>
    <t>11346374.tif 11346375.tif 11346376.tif</t>
  </si>
  <si>
    <t>Week of Giving - Take Out Meal</t>
  </si>
  <si>
    <t>.Business Meals Week of Giving - Take Out Meal</t>
  </si>
  <si>
    <t>WEXP-00028994</t>
  </si>
  <si>
    <t>11345564.tif 11345565.tif 11345566.tif</t>
  </si>
  <si>
    <t>Take out Wednesday - United Way</t>
  </si>
  <si>
    <t>.Social Meal &amp; Events Take out Wednesday - United Way</t>
  </si>
  <si>
    <t>WEXP-00028699</t>
  </si>
  <si>
    <t>11322368.tif 11322369.tif 11322370.tif 11322371.tif</t>
  </si>
  <si>
    <t>Employee lunch while working remotely on Virtual Gas Essentials Classes.</t>
  </si>
  <si>
    <t>.Business Meals Employee lunch while working remotely on Virtual Gas Essentials Classes.</t>
  </si>
  <si>
    <t>WEXP-00029461</t>
  </si>
  <si>
    <t>11374332.tif 11374333.tif 11374334.tif 11374335.tif</t>
  </si>
  <si>
    <t>Employee lunch while working remotely on Virtual Gas Essentials classes.</t>
  </si>
  <si>
    <t>.Business Meals Employee lunch while working remotely on Virtual Gas Essentials classes.</t>
  </si>
  <si>
    <t>WEXP-00028547</t>
  </si>
  <si>
    <t>11300742.tif 11300743.tif 11300744.tif</t>
  </si>
  <si>
    <t>Employee lunch while working remotely on Virtual Damage Prevention classes.</t>
  </si>
  <si>
    <t>.Business Meals Employee lunch while working remotely on Virtual Damage Prevention classes.</t>
  </si>
  <si>
    <t>WEXP-00028360</t>
  </si>
  <si>
    <t>11290470.tif 11290471.tif 11290472.tif</t>
  </si>
  <si>
    <t>WEXP-00028256</t>
  </si>
  <si>
    <t>11290120.tif 11290121.tif 11290122.tif 11290123.tif 11290124.tif</t>
  </si>
  <si>
    <t>Employee purchased winter uniforms from the Atmos Store.</t>
  </si>
  <si>
    <t>Uniforms Employee purchased winter uniforms from the Atmos Store.</t>
  </si>
  <si>
    <t>WEXP-00029320</t>
  </si>
  <si>
    <t>11346002.tif 11346003.tif 11346004.tif</t>
  </si>
  <si>
    <t>Take Out Wednesday (United Way week)</t>
  </si>
  <si>
    <t>.Business Meals Take Out Wednesday (United Way week)</t>
  </si>
  <si>
    <t>WEXP-00028141</t>
  </si>
  <si>
    <t>CHC20200901-WD EXP</t>
  </si>
  <si>
    <t>11289281.tif 11289282.tif 11289283.tif</t>
  </si>
  <si>
    <t>Online class from UT Austin to gain additional management skills.</t>
  </si>
  <si>
    <t>Computer Skills &amp; Systems Training Online class from UT Austin to gain additional management skills.</t>
  </si>
  <si>
    <t>WEXP-00029627</t>
  </si>
  <si>
    <t>11374729.tif 11374730.tif 11374731.tif</t>
  </si>
  <si>
    <t>Virtual Week of Giving Takeout Wednesday</t>
  </si>
  <si>
    <t>.Business Meals Virtual Week of Giving Takeout Wednesday</t>
  </si>
  <si>
    <t>WEXP-00029453</t>
  </si>
  <si>
    <t>11373890.tif 11373891.tif 11373892.tif</t>
  </si>
  <si>
    <t>lunch for week of giving takeout day</t>
  </si>
  <si>
    <t>.Business Meals lunch for week of giving takeout day</t>
  </si>
  <si>
    <t>WEXP-00029447</t>
  </si>
  <si>
    <t>11347278.tif 11347279.tif 11347280.tif</t>
  </si>
  <si>
    <t>Lunch for the Week of Giving take out day.</t>
  </si>
  <si>
    <t>.Business Meals Lunch for the Week of Giving take out day.</t>
  </si>
  <si>
    <t>WEXP-00027374</t>
  </si>
  <si>
    <t>11289683.tif 11289684.tif 11289685.tif 11289686.tif 11289687.tif 11289688.tif 11289689.tif 11289690.tif 11289691.tif 11289692.tif 11289693.tif 11289694.tif 11289695.tif 11289696.tif 11289697.tif 11289698.tif 11289699.tif</t>
  </si>
  <si>
    <t>Gift cards sent to each Tax Department employee for them to get a drink and a snack for our virtual meeting.  These were split into 2 separate orders.</t>
  </si>
  <si>
    <t>Gifts Gift cards sent to each Tax Department employee for them to get a drink and a snack for our virtual meeting.  These were split into 2 separate orders.</t>
  </si>
  <si>
    <t>Gifts Prize for winning game at Tax Department virtual meeting</t>
  </si>
  <si>
    <t>Gifts Prize for game played at Tax Department virtual meeting.</t>
  </si>
  <si>
    <t>.Business Meals Lunch for Company-wide Take Out Tuesday.  I prorated the sales tax (13.86 meal + 1.14 tax = 15.00)</t>
  </si>
  <si>
    <t>WEXP-00029093</t>
  </si>
  <si>
    <t>11375160.tif 11375161.tif 11375162.tif</t>
  </si>
  <si>
    <t>Week of Giving lunch meal September 2020</t>
  </si>
  <si>
    <t>.Business Meals Week of Giving lunch meal September 2020</t>
  </si>
  <si>
    <t>WEXP-00027959</t>
  </si>
  <si>
    <t>11289818.tif 11289819.tif 11289820.tif 11289821.tif 11289822.tif 11289823.tif 11289824.tif 11289825.tif 11289826.tif</t>
  </si>
  <si>
    <t>Chair mat and Cat 6 cable for home office</t>
  </si>
  <si>
    <t>Office Supplies New  Printer  Ink  for  Cannon  Pixima printer</t>
  </si>
  <si>
    <t>IT Equipment New Logitech PC Keyboard for laptop</t>
  </si>
  <si>
    <t>Office Supplies Chair mat and Cat 6 cable for home office</t>
  </si>
  <si>
    <t>WEXP-00029355</t>
  </si>
  <si>
    <t>11346598.tif 11346599.tif 11346600.tif</t>
  </si>
  <si>
    <t>Cost of Lunch for Week of Giving Team Lunch</t>
  </si>
  <si>
    <t>.Business Meals Cost of Lunch for Week of Giving Team Lunch</t>
  </si>
  <si>
    <t>WEXP-00029352</t>
  </si>
  <si>
    <t>11346878.tif 11346879.tif 11346880.tif 11346881.tif 11346882.tif</t>
  </si>
  <si>
    <t>Cost of Global Leadership Conference</t>
  </si>
  <si>
    <t>Employee Development Expense Cost of Global Leadership Conference Fees</t>
  </si>
  <si>
    <t>WEXP-00028916</t>
  </si>
  <si>
    <t>11345846.tif 11345847.tif 11345848.tif</t>
  </si>
  <si>
    <t>Take Out Wednesday at Black Walnut Cafe</t>
  </si>
  <si>
    <t>.Business Meals Take Out Wednesday at Black Walnut Cafe</t>
  </si>
  <si>
    <t>WEXP-00028875</t>
  </si>
  <si>
    <t>11345836.tif 11345837.tif 11345838.tif 11345839.tif</t>
  </si>
  <si>
    <t>Week of Giving Take-out Wednesday lunch</t>
  </si>
  <si>
    <t>.Business Meals Week of Giving Take-out Wednesday lunch</t>
  </si>
  <si>
    <t>WEXP-00028439</t>
  </si>
  <si>
    <t>11300292.tif 11300293.tif 11300294.tif</t>
  </si>
  <si>
    <t>GRC tool pilot planning meeting</t>
  </si>
  <si>
    <t>.Business Meals GRC tool pilot planning meeting</t>
  </si>
  <si>
    <t>WEXP-00028254</t>
  </si>
  <si>
    <t>11289811.tif 11289812.tif 11289813.tif 11289814.tif 11289815.tif 11289816.tif 11289817.tif</t>
  </si>
  <si>
    <t>HR sponsored a $15.00 lunch expenses in honor of Eat Outside Day.  Approved by Matt Robbins</t>
  </si>
  <si>
    <t>.Business Meals HR sponsored a $15.00 lunch expenses in honor of Eat Outside Day.  Approved by Matt Robbins</t>
  </si>
  <si>
    <t>Employee Welfare Expense Receipts for cookies which was the reward for a teambuilding event we had in HR.</t>
  </si>
  <si>
    <t>WEXP-00029341</t>
  </si>
  <si>
    <t>11346094.tif 11346095.tif 11346096.tif</t>
  </si>
  <si>
    <t>Takeout Wednesday Week of Giving lunch - 9-16-20</t>
  </si>
  <si>
    <t>.Business Meals Takeout Wednesday Week of Giving lunch - 9-16-20</t>
  </si>
  <si>
    <t>WEXP-00028757</t>
  </si>
  <si>
    <t>11322699.tif 11322700.tif 11322701.tif</t>
  </si>
  <si>
    <t>WEXP-00028310</t>
  </si>
  <si>
    <t>11300250.tif 11300251.tif 11300252.tif</t>
  </si>
  <si>
    <t>Natural Gas Scheduling 101 Webinar</t>
  </si>
  <si>
    <t>Technical (Job Skills) Training Natural Gas Scheduling 101 Webinar</t>
  </si>
  <si>
    <t>WEXP-00028862</t>
  </si>
  <si>
    <t>11322611.tif 11322612.tif 11322613.tif 11322614.tif 11322615.tif 11322616.tif 11322617.tif 11322618.tif 11322619.tif</t>
  </si>
  <si>
    <t>Work through lunch testing Oracle access removals.</t>
  </si>
  <si>
    <t>IT Equipment Second monitor so I don't have to use laptop as a monitor.</t>
  </si>
  <si>
    <t>Postage Stamps for Oracle AR invoices that not mailed at CKV</t>
  </si>
  <si>
    <t>.Overtime Meal Work through lunch testing Oracle access removals.</t>
  </si>
  <si>
    <t>.Overtime Meal Work through lunch on month-end close</t>
  </si>
  <si>
    <t>WEXP-00029562</t>
  </si>
  <si>
    <t>11374054.tif 11374055.tif 11374056.tif 11374057.tif 11374058.tif 11374059.tif 11374060.tif 11374061.tif 11374062.tif 11374063.tif 11374064.tif 11374065.tif 11374066.tif 11374067.tif 11374068.tif 11374069.tif 11374070.tif 11374071.tif 11374072.tif 11374073.tif 11374074.tif 11374075.tif 11374076.tif 11374077.tif 11374078.tif 11374079.tif 11374080.tif 11374081.tif 11374082.tif 11374083.tif 11374084.tif 11374085.tif 11374086.tif 11374087.tif 11374088.tif 11374089.tif 11374090.tif 11374091.tif 11374092.tif 11374093.tif</t>
  </si>
  <si>
    <t>Employee prize for the 2020 Inaugural Enterprise Week of Giving Raffle.</t>
  </si>
  <si>
    <t>Gifts Employee prize for the 2020 Inaugural Enterprise Week of Giving Raffle.</t>
  </si>
  <si>
    <t>Gifts Employee prize for the 2020 Inaugural Enterprise Week of Giving Raffle. Now, I am just typing words so I will quit receiving an error when trying to complete my expense report.</t>
  </si>
  <si>
    <t>WEXP-00028276</t>
  </si>
  <si>
    <t>11300904.tif 11300905.tif 11300906.tif</t>
  </si>
  <si>
    <t>Tennessee PGA Filing 8-28-2020 Filing with Commission</t>
  </si>
  <si>
    <t>Printing/Slides/Graphics Filing with Tennesse Commission 8-28-2020</t>
  </si>
  <si>
    <t>WEXP-00028275</t>
  </si>
  <si>
    <t>11300923.tif 11300924.tif 11300925.tif</t>
  </si>
  <si>
    <t>Virginia PGA Filing 8-19-2020 with Commission and Attorney</t>
  </si>
  <si>
    <t>Printing/Slides/Graphics Virginia PGA Filing 8-19-2020 with Commission and Attorney</t>
  </si>
  <si>
    <t>289147</t>
  </si>
  <si>
    <t>Grant, David S (David)</t>
  </si>
  <si>
    <t>WEXP-00028826</t>
  </si>
  <si>
    <t>11346236.tif 11346237.tif 11346238.tif 11346239.tif</t>
  </si>
  <si>
    <t>This is for the Atmos Energy week of giving meal on us.</t>
  </si>
  <si>
    <t>.Social Meal &amp; Events This is for the Atmos Energy week of giving meal on us.</t>
  </si>
  <si>
    <t>WEXP-00028943</t>
  </si>
  <si>
    <t>11322935.tif 11322936.tif 11322937.tif</t>
  </si>
  <si>
    <t>Unitied Way Lunch-Giving Back to the Community</t>
  </si>
  <si>
    <t>.Business Meals Unitied Way Lunch-Giving Back to the Community</t>
  </si>
  <si>
    <t>WEXP-00028370</t>
  </si>
  <si>
    <t>KAW200909_1 WDEXP</t>
  </si>
  <si>
    <t>11300607.tif 11300608.tif 11300609.tif 11300610.tif 11300611.tif 11300612.tif 11300613.tif 11300614.tif 11300615.tif 11300616.tif 11300617.tif 11300618.tif</t>
  </si>
  <si>
    <t>Month End Close Lunch for Ashley Grantham</t>
  </si>
  <si>
    <t>Training VIRTUAL WORKSHOP: Introduction to Ratemaking Training</t>
  </si>
  <si>
    <t>.Business Meals Month End Close Lunch for Ashley Grantham</t>
  </si>
  <si>
    <t>WEXP-00029280</t>
  </si>
  <si>
    <t>11346852.tif 11346853.tif 11346854.tif 11346855.tif 11346856.tif 11346857.tif 11346858.tif 11346859.tif 11346860.tif 11346861.tif 11346862.tif 11346863.tif 11346864.tif</t>
  </si>
  <si>
    <t>Web camera and stand for facilitating classes</t>
  </si>
  <si>
    <t>.Business Meals Lunch during digital work from home</t>
  </si>
  <si>
    <t>Office Supplies Blue light blocking glasses to help with headaches and eye fatigue</t>
  </si>
  <si>
    <t>.Business Meals Lunch during digial work from home</t>
  </si>
  <si>
    <t>Office Supplies Web camera and stand for facilitating classes</t>
  </si>
  <si>
    <t>WEXP-00028471</t>
  </si>
  <si>
    <t>11322331.tif 11322332.tif 11322333.tif</t>
  </si>
  <si>
    <t>Carpet chair mat for home office</t>
  </si>
  <si>
    <t>Office Supplies Carpet chair mat for home office</t>
  </si>
  <si>
    <t>Harris, Anne (Annie)</t>
  </si>
  <si>
    <t>WEXP-00029194</t>
  </si>
  <si>
    <t>11345640.tif 11345641.tif 11345642.tif</t>
  </si>
  <si>
    <t>Week of Giving 2020 Raffle Prize Winner- Ruth Abernathy (LUGGAGE)</t>
  </si>
  <si>
    <t>United Way Week of Giving 2020 Raffle Prize Winner- Ruth Abernathy (LUGGAGE)</t>
  </si>
  <si>
    <t>WEXP-00029185</t>
  </si>
  <si>
    <t>11345795.tif 11345796.tif 11345797.tif</t>
  </si>
  <si>
    <t>Week of Giving 2020 Raffle Ticket Winner- Jeanna Camacho (ROOMBA)</t>
  </si>
  <si>
    <t>United Way Week of Giving 2020 Raffle Ticket Winner- Jeanna Camacho (ROOMBA)</t>
  </si>
  <si>
    <t>WEXP-00029547</t>
  </si>
  <si>
    <t>11373935.tif 11373936.tif 11373937.tif 11373938.tif 11373939.tif</t>
  </si>
  <si>
    <t>Virtual Week of Giving LC Raffle 2020 Winner- Thomas Troup</t>
  </si>
  <si>
    <t>Gifts Virtual Week of Giving LC Raffle 2020 Winner- Michelle Nekunazarazad</t>
  </si>
  <si>
    <t>Gifts Virtual Week of Giving LC Raffle 2020 Winner- Thomas Troup</t>
  </si>
  <si>
    <t>WEXP-00029274</t>
  </si>
  <si>
    <t>11346389.tif 11346390.tif 11346391.tif 11346392.tif 11346393.tif 11346394.tif 11346395.tif 11346396.tif 11346397.tif 11346398.tif</t>
  </si>
  <si>
    <t>2020 Week of Giving LC Raffle Winner- Dana Newton</t>
  </si>
  <si>
    <t>United Way Week of Giving LC Raffle Winner- Dan Simmons</t>
  </si>
  <si>
    <t>United Way 2020 Week of Giving LC Raffle Winner- Dana Newton</t>
  </si>
  <si>
    <t>United Way Week of Giving 2020 Raffle Prize Winner- Jennifer Shirghio</t>
  </si>
  <si>
    <t>WEXP-00028789</t>
  </si>
  <si>
    <t>11322590.tif 11322591.tif 11322592.tif</t>
  </si>
  <si>
    <t>.Social Meal &amp; Events Week of Giving Take Out Wednesday</t>
  </si>
  <si>
    <t>WEXP-00029092</t>
  </si>
  <si>
    <t>11345142.tif 11345143.tif 11345144.tif 11345145.tif 11345146.tif 11345147.tif 11345148.tif 11345149.tif 11345150.tif 11345151.tif 11345152.tif 11345153.tif 11345154.tif 11345155.tif 11345156.tif 11345157.tif 11345158.tif 11345159.tif 11345160.tif 11345161.tif 11345162.tif</t>
  </si>
  <si>
    <t>Week of Giving Bingo Winner 2020- Winner Stacy Boehme</t>
  </si>
  <si>
    <t>United Way Week of Giving Bingo Winner 2020- Winner Kim Brooks</t>
  </si>
  <si>
    <t>United Way Week of Giving Bingo Winner 2020</t>
  </si>
  <si>
    <t>United Way Week of Giving Bingo Winner September 2020</t>
  </si>
  <si>
    <t>United Way Week of Giving Bingo Winner 2020- Winner Stacy Boehme</t>
  </si>
  <si>
    <t>United Way Week of Giving Bingo Winner 2020- Winner Kimberley Simmons</t>
  </si>
  <si>
    <t>United Way Week of Giving Bingo Winner 2020- Winner Patricia Scott</t>
  </si>
  <si>
    <t>United Way Week of Giving Bingo Winner 2020- Winner Amy Deweese</t>
  </si>
  <si>
    <t>United Way Week of Giving Bingo Winner 2020- Winner Ashley Day</t>
  </si>
  <si>
    <t>United Way Week of Giving Bingo Winner 2020- Winner Patricia Torres</t>
  </si>
  <si>
    <t>United Way Bingo cards purchased for the Virtual Week of Giving</t>
  </si>
  <si>
    <t>WEXP-00026989</t>
  </si>
  <si>
    <t>11300464.tif 11300465.tif 11300466.tif</t>
  </si>
  <si>
    <t>Take out Tuesday meal to help support local businesses.</t>
  </si>
  <si>
    <t>.Business Meals Take out Tuesday meal to help support local businesses.</t>
  </si>
  <si>
    <t>WEXP-00028643</t>
  </si>
  <si>
    <t>11322076.tif 11322077.tif 11322078.tif</t>
  </si>
  <si>
    <t>Toner for printer while working from home.</t>
  </si>
  <si>
    <t>Office Supplies Toner for printer while working from home.</t>
  </si>
  <si>
    <t>WEXP-00029357</t>
  </si>
  <si>
    <t>11347256.tif 11347257.tif 11347258.tif</t>
  </si>
  <si>
    <t>canes for workers at datacenter</t>
  </si>
  <si>
    <t>.Business Meals canes for workers at datacenter</t>
  </si>
  <si>
    <t>WEXP-00029099</t>
  </si>
  <si>
    <t>11346371.tif 11346372.tif 11346373.tif</t>
  </si>
  <si>
    <t>United Way Week of Caring Take out lunch on Thursday</t>
  </si>
  <si>
    <t>.Business Meals United Way Week of Caring Take out lunch on Thursday</t>
  </si>
  <si>
    <t>285226</t>
  </si>
  <si>
    <t>Hoffman, Whitney (Whitney)</t>
  </si>
  <si>
    <t>WEXP-00029241</t>
  </si>
  <si>
    <t>11346604.tif 11346605.tif 11346606.tif 11346607.tif 11346608.tif 11346609.tif 11346610.tif 11346611.tif 11346612.tif 11346613.tif 11346614.tif 11346615.tif 11346616.tif 11346617.tif 11346618.tif 11346619.tif 11346620.tif 11346621.tif</t>
  </si>
  <si>
    <t>In charge of purchasing raffle prizes for Week of Giving</t>
  </si>
  <si>
    <t>United Way In charge of purchasing raffle prizes for Week of Giving</t>
  </si>
  <si>
    <t>284030</t>
  </si>
  <si>
    <t>Hopson, Troy (Troy)</t>
  </si>
  <si>
    <t>WEXP-00028333</t>
  </si>
  <si>
    <t>11290392.tif 11290393.tif 11290394.tif 11290395.tif</t>
  </si>
  <si>
    <t>Registration fee for Natural Gas Scheduling 101 virtual training.</t>
  </si>
  <si>
    <t>Training Registration fee for Natural Gas Scheduling 101 virtual training.</t>
  </si>
  <si>
    <t>WEXP-00028792</t>
  </si>
  <si>
    <t>11345664.tif 11345665.tif 11345666.tif 11345667.tif</t>
  </si>
  <si>
    <t>WEXP-00029218</t>
  </si>
  <si>
    <t>11346090.tif 11346091.tif 11346092.tif 11346093.tif</t>
  </si>
  <si>
    <t>Payroll Fundamentals course online</t>
  </si>
  <si>
    <t>Employee Development Expense Payroll Fundamentals course online</t>
  </si>
  <si>
    <t>WEXP-00029456</t>
  </si>
  <si>
    <t>11347253.tif 11347254.tif 11347255.tif</t>
  </si>
  <si>
    <t>Webcam for digital work required for meetings</t>
  </si>
  <si>
    <t>IT Equipment Webcam for digital work required for meetings</t>
  </si>
  <si>
    <t>WEXP-00028287</t>
  </si>
  <si>
    <t>11290114.tif 11290115.tif 11290116.tif</t>
  </si>
  <si>
    <t>shirts and backpacks for new instructors</t>
  </si>
  <si>
    <t>Employee Welfare Expense shirts and back packs for new instructors</t>
  </si>
  <si>
    <t>WEXP-00029255</t>
  </si>
  <si>
    <t>11374003.tif 11374004.tif 11374005.tif</t>
  </si>
  <si>
    <t>Business lunch for Company's take out Wednesday.</t>
  </si>
  <si>
    <t>.Business Meals Business lunch for Company's takeout Wednesday.</t>
  </si>
  <si>
    <t>WEXP-00028151</t>
  </si>
  <si>
    <t>11289546.tif 11289547.tif 11289548.tif</t>
  </si>
  <si>
    <t>Lunch for Virtual Service Awards.</t>
  </si>
  <si>
    <t>.Business Meals Lunch for Virtual Service Awards.</t>
  </si>
  <si>
    <t>WEXP-00029192</t>
  </si>
  <si>
    <t>11346669.tif 11346670.tif 11346671.tif 11346672.tif 11346673.tif 11346674.tif</t>
  </si>
  <si>
    <t>Mkeke Compatible with iPhone XR Case,Clear Anti-Scratch Shock Absorption Cover Case for iPhone XR</t>
  </si>
  <si>
    <t>Cell Phone Equipment &amp; Accessories Mkeke Compatible with iPhone XR Case,Clear Anti-Scratch Shock Absorption Cover Case for iPhone XR</t>
  </si>
  <si>
    <t>.Business Meals Take out Wednesday Lunch on 09/17/2020</t>
  </si>
  <si>
    <t>WEXP-00029004</t>
  </si>
  <si>
    <t>11346291.tif 11346292.tif 11346293.tif</t>
  </si>
  <si>
    <t>15.00$ take out Wednesday Business Meal</t>
  </si>
  <si>
    <t>.Business Meals 15.00$ Take out Wednesday Business Meal</t>
  </si>
  <si>
    <t>WEXP-00028989</t>
  </si>
  <si>
    <t>11345816.tif 11345817.tif 11345818.tif</t>
  </si>
  <si>
    <t>Take out Wednesday to support local United Way campaign.</t>
  </si>
  <si>
    <t>.Social Meal &amp; Events Take out Wednesday to support local United Way campaign.</t>
  </si>
  <si>
    <t>WEXP-00029266</t>
  </si>
  <si>
    <t>11346358.tif 11346359.tif 11346360.tif</t>
  </si>
  <si>
    <t>WEXP-00029697</t>
  </si>
  <si>
    <t>11375051.tif 11375052.tif 11375053.tif 11375054.tif 11375055.tif 11375056.tif 11375057.tif 11375058.tif 11375059.tif 11375060.tif 11375061.tif 11375062.tif 11375063.tif 11375064.tif 11375065.tif 11375066.tif 11375067.tif 11375068.tif 11375069.tif 11375070.tif 11375071.tif 11375072.tif 11375073.tif 11375074.tif 11375075.tif 11375076.tif 11375077.tif</t>
  </si>
  <si>
    <t>Executive Briefing for RSA etc.  Boston</t>
  </si>
  <si>
    <t>.Business Meals Executive Briefing for RSA etc.  Boston</t>
  </si>
  <si>
    <t>Parking Executive Briefing for RSA etc.  Boston</t>
  </si>
  <si>
    <t>Airfare Executive Briefing for RSA etc.  Boston</t>
  </si>
  <si>
    <t>WEXP-00019176</t>
  </si>
  <si>
    <t>11321779.tif 11321780.tif 11321781.tif 11321782.tif 11321783.tif 11321784.tif 11321785.tif 11321786.tif 11321787.tif 11321788.tif 11321789.tif 11321790.tif 11321791.tif 11321792.tif 11321793.tif 11321794.tif 11321795.tif 11321796.tif 11321797.tif 11321798.tif 11321799.tif 11321800.tif 11321801.tif 11321802.tif 11321803.tif 11321804.tif 11321805.tif 11321806.tif 11321807.tif 11321808.tif 11321809.tif 11321810.tif 11321811.tif 11321812.tif 11321813.tif 11321814.tif 11321815.tif</t>
  </si>
  <si>
    <t>Presenting at E-ISAC GridSec Con in Atlanta</t>
  </si>
  <si>
    <t>Lodging Presenting at E-ISAC GridSec Con in Atlanta</t>
  </si>
  <si>
    <t>.Business Meals Presenting at E-ISAC GridSec Con in Atlanta</t>
  </si>
  <si>
    <t>Airfare Presenting at E-ISAC GridSec Con in Atlanta</t>
  </si>
  <si>
    <t>Taxi/Train/Uber Presenting at E-ISAC GridSec Con in Atlanta</t>
  </si>
  <si>
    <t>Mileage Presenting at E-ISAC GridSec Con</t>
  </si>
  <si>
    <t>WEXP-00014324</t>
  </si>
  <si>
    <t>11321906.tif 11321907.tif 11321908.tif 11321909.tif 11321910.tif 11321911.tif 11321912.tif 11321913.tif 11321880.tif 11321881.tif 11321882.tif 11321883.tif 11321884.tif 11321885.tif 11321886.tif 11321887.tif 11321888.tif 11321889.tif 11321890.tif 11321891.tif 11321892.tif 11321893.tif 11321894.tif 11321895.tif 11321896.tif 11321897.tif 11321898.tif 11321899.tif 11321900.tif 11321901.tif 11321902.tif 11321903.tif 11321904.tif 11321905.tif</t>
  </si>
  <si>
    <t>Attending DHS meeting in Arlington</t>
  </si>
  <si>
    <t>.Business Meals Attending DHS meeting in Arlington</t>
  </si>
  <si>
    <t>Taxi/Train/Uber Attending DHS meeting in Arlington</t>
  </si>
  <si>
    <t>.Business Meals Attending DHS meeting in Arlington Va</t>
  </si>
  <si>
    <t>.Business Meals Attending DHS meeting in Arlington VA</t>
  </si>
  <si>
    <t>.Business Meals AGA Working Group for TSA Criteria</t>
  </si>
  <si>
    <t>Alcohol AGA Working group for TSA Criteria</t>
  </si>
  <si>
    <t>Alcohol Attending DHS meeting in Arlington</t>
  </si>
  <si>
    <t>Parking Attending DHS meeting in Arlington</t>
  </si>
  <si>
    <t>.Business Meals Attending DHS meeting in Arlington, VA</t>
  </si>
  <si>
    <t>Airfare Attending DHS meeting in Arlington  purchased a seat since it was the only class available</t>
  </si>
  <si>
    <t>Lodging Attending DHS meeting in Arlington</t>
  </si>
  <si>
    <t>WEXP-00028565</t>
  </si>
  <si>
    <t>11321849.tif 11321850.tif 11321851.tif 11321852.tif 11321853.tif 11321854.tif 11321855.tif 11321856.tif 11321857.tif 11321858.tif 11321859.tif 11321860.tif 11321861.tif 11321862.tif 11321863.tif 11321829.tif 11321830.tif 11321831.tif 11321832.tif 11321833.tif 11321834.tif 11321835.tif 11321836.tif 11321837.tif 11321838.tif 11321839.tif 11321840.tif 11321841.tif 11321842.tif 11321843.tif 11321844.tif 11321845.tif 11321846.tif 11321847.tif 11321848.tif</t>
  </si>
  <si>
    <t>Attending ONG-SCC Fall Meeting</t>
  </si>
  <si>
    <t>.Business Meals Corporate Eat Out Tuesday Lunch</t>
  </si>
  <si>
    <t>.Business Meals Attending ONG-SCC Fall Meeting</t>
  </si>
  <si>
    <t>Mileage Attending ONG-SCC Fall Meeting</t>
  </si>
  <si>
    <t>Airfare Attending ONG-SCC Fall Meeting</t>
  </si>
  <si>
    <t>Lodging Attending ONG-SCC Fall meeting</t>
  </si>
  <si>
    <t>Parking Attending ONG-SCC Fall Meeting</t>
  </si>
  <si>
    <t>WEXP-00029664</t>
  </si>
  <si>
    <t>11375412.tif 11375413.tif 11375414.tif 11375415.tif 11375416.tif 11375417.tif 11375418.tif 11375419.tif 11375420.tif 11375421.tif 11375422.tif 11375423.tif 11375424.tif 11375425.tif 11375426.tif 11375427.tif 11375428.tif 11375429.tif 11375430.tif 11375431.tif 11375432.tif 11375433.tif 11375434.tif 11375435.tif 11375436.tif 11375464.tif 11375465.tif 11375466.tif 11375467.tif 11375441.tif 11375442.tif 11375443.tif 11375444.tif 11375445.tif 11375446.tif 11375447.tif 11375448.tif 11375449.tif 11375450.tif 11375451.tif 11375452.tif 11375453.tif 11375454.tif 11375455.tif 11375456.tif</t>
  </si>
  <si>
    <t>Attending ONG-SCC Spring Meeting</t>
  </si>
  <si>
    <t>.Business Meals Attending ONG-SCC Spring Meeting</t>
  </si>
  <si>
    <t>Airfare Attending ONG-SCC Spring Meeting</t>
  </si>
  <si>
    <t>Lodging Attending ONG-SCC Spring Meeting</t>
  </si>
  <si>
    <t>Taxi/Train/Uber Attending ONG-SCC Spring Meeting</t>
  </si>
  <si>
    <t>Alcohol Attending ONG-SCC Spring Meeting</t>
  </si>
  <si>
    <t>.Business Meals One on One with Staff Member discussing projects</t>
  </si>
  <si>
    <t>WEXP-00029765</t>
  </si>
  <si>
    <t>11375176.tif 11375177.tif 11375178.tif 11375179.tif 11375180.tif 11375181.tif 11375182.tif 11375183.tif 11375184.tif 11375185.tif 11375186.tif 11375187.tif 11375188.tif 11375189.tif 11375190.tif 11375191.tif 11375192.tif 11375193.tif 11375194.tif 11375195.tif 11375196.tif 11375197.tif 11375198.tif 11375199.tif 11375200.tif 11375201.tif 11375202.tif 11375203.tif 11375204.tif 11375205.tif 11375206.tif 11375207.tif 11375111.tif 11375112.tif</t>
  </si>
  <si>
    <t>Attending and Presenting at AGA Fall Operation Meeting</t>
  </si>
  <si>
    <t>.Business Meals Attending and Presenting at AGA Fall Operation Meeting</t>
  </si>
  <si>
    <t>Airfare Attending and Presenting at AGA Fall Operation Meeting</t>
  </si>
  <si>
    <t>Lodging Attending and Presenting at AGA Fall Operation Meeting</t>
  </si>
  <si>
    <t>Employee Development Expense Attending and Presenting at AGA Fall Operation Meeting</t>
  </si>
  <si>
    <t>WEXP-00029717</t>
  </si>
  <si>
    <t>11375354.tif 11375355.tif 11375356.tif 11375357.tif</t>
  </si>
  <si>
    <t>2020 Texas Bar Association Dues - Lane</t>
  </si>
  <si>
    <t>Professional Dues 2020 Texas State Bar Dues - Lane</t>
  </si>
  <si>
    <t>WEXP-00029300</t>
  </si>
  <si>
    <t>11346444.tif 11346445.tif 11346446.tif 11346447.tif 11346448.tif 11346449.tif 11346450.tif 11346451.tif</t>
  </si>
  <si>
    <t>Meal to support local businesses while working from home during Covid.</t>
  </si>
  <si>
    <t>.Business Meals Week of Giving meal to support local businesses in our community</t>
  </si>
  <si>
    <t>.Business Meals Meal to support local businesses while working from home during Covid.</t>
  </si>
  <si>
    <t>Employee Welfare Expense Chair to use for work while working from home during Covid19</t>
  </si>
  <si>
    <t>WEXP-00028628</t>
  </si>
  <si>
    <t>11322023.tif 11322024.tif 11322025.tif 11322026.tif</t>
  </si>
  <si>
    <t>2020 Adjuster's License Renewal</t>
  </si>
  <si>
    <t>Professional Dues 2020 Adjuster's License Renewal</t>
  </si>
  <si>
    <t>WEXP-00028589</t>
  </si>
  <si>
    <t>11380784.tif 11380785.tif 11380786.tif 11380787.tif 11380788.tif 11380789.tif 11380790.tif 11380791.tif 11380772.tif 11380773.tif 11380774.tif 11380775.tif 11380776.tif 11300981.tif 11390304.tif 11390305.tif 11390306.tif 11390307.tif 11390308.tif 11390309.tif 11390310.tif 11390311.tif 11390299.tif 11390300.tif 11390301.tif 11390302.tif 11390303.tif</t>
  </si>
  <si>
    <t>Bundlets for the BPCM team to be delivered during the socially distanced leadership caravan</t>
  </si>
  <si>
    <t>.Business Meals Bundlets for the BPCM team to be delivered during the socially distanced leadership caravan</t>
  </si>
  <si>
    <t>Mileage Socially distanced leadership caravan to BPCM employee homes</t>
  </si>
  <si>
    <t>WEXP-00029501</t>
  </si>
  <si>
    <t>11347095.tif 11347096.tif 11347097.tif 11347098.tif</t>
  </si>
  <si>
    <t>Natural Gas Scheduling 101 Conference Fee</t>
  </si>
  <si>
    <t>Technical (Job Skills) Training Natural Gas Scheduling 101 Conference Fee</t>
  </si>
  <si>
    <t>WEXP-00027994</t>
  </si>
  <si>
    <t>11289299.tif 11289300.tif 11289301.tif 11289302.tif 11289303.tif</t>
  </si>
  <si>
    <t>Office Supplies; purchased staples &amp; mesh organizer/divider to organize documents while working remote due to Covid-19.</t>
  </si>
  <si>
    <t>.Social Meal &amp; Events Social Meal &amp; Events Lunch: Lunch Take out Tuesday on 7.21.20</t>
  </si>
  <si>
    <t>Office Supplies Office Supplies; purchased staples &amp; mesh organizer/divider to organize documents while working remote due to Covid-19.</t>
  </si>
  <si>
    <t>WEXP-00029449</t>
  </si>
  <si>
    <t>11347195.tif 11347196.tif 11347197.tif 11347198.tif 11347199.tif 11347200.tif 11347201.tif 11347202.tif 11347203.tif 11347204.tif 11347205.tif</t>
  </si>
  <si>
    <t>Provided lunch for instructor during Virtual Training</t>
  </si>
  <si>
    <t>.Business Meals Provide lunch for instructor during Virtual Training</t>
  </si>
  <si>
    <t>.Business Meals Provided lunch for instructor during Virtual Training</t>
  </si>
  <si>
    <t>WEXP-00029454</t>
  </si>
  <si>
    <t>11347453.tif 11347454.tif 11347455.tif</t>
  </si>
  <si>
    <t>Purchase shirts for instructor</t>
  </si>
  <si>
    <t>Uniforms Purchase shirts for instructor</t>
  </si>
  <si>
    <t>WEXP-00027640</t>
  </si>
  <si>
    <t>11321816.tif 11321817.tif 11321818.tif 11321819.tif 11321820.tif 11321821.tif 11321822.tif 11321823.tif 11321824.tif 11321825.tif 11321826.tif 11321827.tif 11321828.tif</t>
  </si>
  <si>
    <t>SGA Virtual workshop Ratemaking Benefits and Payroll Accounting</t>
  </si>
  <si>
    <t>.Business Meals Take out Tuesdays Benefits and Payroll Accounting</t>
  </si>
  <si>
    <t>Technical (Job Skills) Training SGA Virtual workshop Ratemaking Benefits and Payroll Accounting</t>
  </si>
  <si>
    <t>WEXP-00028681</t>
  </si>
  <si>
    <t>11345994.tif 11345995.tif 11345996.tif 11345997.tif 11345998.tif 11345999.tif 11346000.tif 11346001.tif</t>
  </si>
  <si>
    <t>Reimbursement Request for Take out Tuesday meal</t>
  </si>
  <si>
    <t>.Business Meals Reimbursement request for Take Out Tuesday Meal</t>
  </si>
  <si>
    <t>.Business Meals HR Support Local Restaurants Day</t>
  </si>
  <si>
    <t>WEXP-00029087</t>
  </si>
  <si>
    <t>11345950.tif 11345951.tif 11345952.tif 11345953.tif 11345954.tif 11345955.tif 11345956.tif 11345957.tif 11345958.tif 11345959.tif 11345960.tif</t>
  </si>
  <si>
    <t>Take Out Tuesday-Atmos Provided Lunch</t>
  </si>
  <si>
    <t>.Business Meals Lunch meeting to discuss 2020 Plan</t>
  </si>
  <si>
    <t>.Business Meals Lunch meeting to discuss 2020 Margin Budget</t>
  </si>
  <si>
    <t>Office Supplies Hardcover Notebooks For Meetings</t>
  </si>
  <si>
    <t>.Business Meals Take Out Tuesday-Atmos Provided Lunch</t>
  </si>
  <si>
    <t>Office Supplies 12 pack legal writing pads-office supplies</t>
  </si>
  <si>
    <t>WEXP-00028887</t>
  </si>
  <si>
    <t>11346820.tif 11346821.tif 11346822.tif</t>
  </si>
  <si>
    <t>Take Out Wednesday company lunch</t>
  </si>
  <si>
    <t>.Business Meals Take out Wednesday corporate lunch for employees</t>
  </si>
  <si>
    <t>WEXP-00028871</t>
  </si>
  <si>
    <t>11322844.tif 11322845.tif 11322846.tif 11322847.tif 11322848.tif</t>
  </si>
  <si>
    <t>Yearly Membership Renewal for Association of International Certified Professional Accountants</t>
  </si>
  <si>
    <t>Professional Dues Yearly Membership Renewal for Association of International Certified Professional Accountants</t>
  </si>
  <si>
    <t>WEXP-00029016</t>
  </si>
  <si>
    <t>11345192.tif 11345193.tif 11345194.tif</t>
  </si>
  <si>
    <t>lunch at Chililicious Thai for Week of Giving Lunch</t>
  </si>
  <si>
    <t>.Business Meals lunch at Chililicious Thai for Week of Giving Lunch</t>
  </si>
  <si>
    <t>WEXP-00029216</t>
  </si>
  <si>
    <t>11346023.tif 11346024.tif 11346025.tif</t>
  </si>
  <si>
    <t>Lunch for Take Out Wednesday 9/16</t>
  </si>
  <si>
    <t>.Business Meals Lunch for Take Out Wednesday 9/16</t>
  </si>
  <si>
    <t>WEXP-00029113</t>
  </si>
  <si>
    <t>11345980.tif 11345981.tif 11345982.tif 11345983.tif</t>
  </si>
  <si>
    <t>Lunch for company program during week of giving</t>
  </si>
  <si>
    <t>.Business Meals Lunch for company program during week of giving</t>
  </si>
  <si>
    <t>WEXP-00028694</t>
  </si>
  <si>
    <t>11322397.tif 11322398.tif 11322399.tif 11322400.tif</t>
  </si>
  <si>
    <t>Texas Board of Professional Engineers License Renewal</t>
  </si>
  <si>
    <t>Professional Dues Texas Board of Professional Engineers License Renewal</t>
  </si>
  <si>
    <t>WEXP-00028786</t>
  </si>
  <si>
    <t>11322895.tif 11322896.tif 11322897.tif</t>
  </si>
  <si>
    <t>Week of Giving Wednesday lunch</t>
  </si>
  <si>
    <t>.Business Meals Week of Giving Wednesday lunch</t>
  </si>
  <si>
    <t>WEXP-00029487</t>
  </si>
  <si>
    <t>11347243.tif 11347244.tif 11347245.tif 11347246.tif 11347247.tif 11347248.tif 11347249.tif</t>
  </si>
  <si>
    <t>Lunch meal per Kelli Martin during remote working</t>
  </si>
  <si>
    <t>.Business Meals Lunch meal per Kelli Martin during remote working</t>
  </si>
  <si>
    <t>WEXP-00028404</t>
  </si>
  <si>
    <t>11290285.tif 11290286.tif 11290287.tif</t>
  </si>
  <si>
    <t>Uniform Shirts along with shipping cost</t>
  </si>
  <si>
    <t>Uniforms Uniform Shirts along with shipping cost</t>
  </si>
  <si>
    <t>WEXP-00028701</t>
  </si>
  <si>
    <t>11322552.tif 11322553.tif 11322554.tif 11322555.tif 11322556.tif 11322557.tif 11322558.tif 11322559.tif 11322560.tif 11322561.tif 11322562.tif 11322563.tif 11322564.tif 11322565.tif 11322566.tif 11322567.tif 11322568.tif 11322569.tif 11322570.tif 11322571.tif 11322572.tif 11322573.tif 11322574.tif 11322575.tif 11322576.tif</t>
  </si>
  <si>
    <t>Music license for Week of Giving Video</t>
  </si>
  <si>
    <t>Office Supplies Handling fee for purchasing music for Week of Giving video</t>
  </si>
  <si>
    <t>Office Supplies Music License for music for Covid Decisions Video</t>
  </si>
  <si>
    <t>Office Supplies Handling fee for Covid Decisions video music purchase</t>
  </si>
  <si>
    <t>Office Supplies Monthly subscription to Vyond animation software. Used to develop animation for Covid videos,</t>
  </si>
  <si>
    <t>Office Supplies Buyer Fee for music track for Covid decisions video</t>
  </si>
  <si>
    <t>Office Supplies Music license for Week of Giving Video</t>
  </si>
  <si>
    <t>Office Supplies Buyer fee for purchasing music for Week of Giving video</t>
  </si>
  <si>
    <t>Office Supplies Music for Learning from Leaders intro video</t>
  </si>
  <si>
    <t>Office Supplies Handling fee for music for Learning from Leaders Intro Video</t>
  </si>
  <si>
    <t>Office Supplies Buyer fee for music for Learning from Leaders Intro Video</t>
  </si>
  <si>
    <t>WEXP-00028386</t>
  </si>
  <si>
    <t>11290605.tif 11290606.tif 11290607.tif 11290608.tif</t>
  </si>
  <si>
    <t>Texas State Board of Public Accountancy Individual License Renewal</t>
  </si>
  <si>
    <t>Professional Dues Texas State Board of Public Accountancy Individual License Renewal</t>
  </si>
  <si>
    <t>WEXP-00029081</t>
  </si>
  <si>
    <t>11345912.tif 11345913.tif 11345914.tif</t>
  </si>
  <si>
    <t>Week of Giving Take Out Wednesday- we'll take the tab</t>
  </si>
  <si>
    <t>.Business Meals Week of Giving Take Out Wednesday- we'll take the tab</t>
  </si>
  <si>
    <t>WEXP-00028035</t>
  </si>
  <si>
    <t>11289317.tif 11289318.tif 11289319.tif</t>
  </si>
  <si>
    <t>Webcam to allow better picture for teams meetings while working virtually.</t>
  </si>
  <si>
    <t>Office Supplies Webcam to allow better picture for teams meetings while working virtually.</t>
  </si>
  <si>
    <t>WEXP-00029542</t>
  </si>
  <si>
    <t>11373650.tif 11373651.tif 11373652.tif 11373653.tif 11373654.tif 11373655.tif 11373656.tif 11373657.tif 11373658.tif 11373659.tif 11373660.tif 11373661.tif 11373662.tif 11373663.tif 11373664.tif</t>
  </si>
  <si>
    <t>Weekly meal while teaching Monitoring Pipelines class</t>
  </si>
  <si>
    <t>.Business Meals Weekly meal while teaching Monitoring Pipelines class</t>
  </si>
  <si>
    <t>Uniforms Instructor shirts for upcoming year 2021</t>
  </si>
  <si>
    <t>.Business Meals Week of Giving meal. Split mine from my wifes.</t>
  </si>
  <si>
    <t>WEXP-00028829</t>
  </si>
  <si>
    <t>11354957.tif 11354958.tif 11354959.tif</t>
  </si>
  <si>
    <t>Today was Atmos buy lunch for employees day. This is also the  Week of Giving. This is awesome to have a company paid lunch every few months.</t>
  </si>
  <si>
    <t>.Social Meal &amp; Events Today was Atmos buy lunch for employees day. This is also the  Week of Giving. This is awesome to have a company paid lunch every few months.</t>
  </si>
  <si>
    <t>WEXP-00029600</t>
  </si>
  <si>
    <t>11374605.tif 11374606.tif 11374607.tif</t>
  </si>
  <si>
    <t>Lunch provided for Week of  United Way</t>
  </si>
  <si>
    <t>.Business Meals Lunch provided for Week of  United Way</t>
  </si>
  <si>
    <t>WEXP-00029597</t>
  </si>
  <si>
    <t>11374652.tif 11374653.tif 11374654.tif</t>
  </si>
  <si>
    <t>Lunch Provided for Workday 4 Close-Plant</t>
  </si>
  <si>
    <t>.Business Meals Lunch Provided for Workday 4 Close-Plant</t>
  </si>
  <si>
    <t>WEXP-00029732</t>
  </si>
  <si>
    <t>11375338.tif 11375339.tif 11375340.tif</t>
  </si>
  <si>
    <t>Take Out Wednesday to Support local business</t>
  </si>
  <si>
    <t>.Business Meals Take Out Wednesday to Support local business</t>
  </si>
  <si>
    <t>WEXP-00029738</t>
  </si>
  <si>
    <t>11375270.tif 11375271.tif 11375272.tif</t>
  </si>
  <si>
    <t>HP Ink Cartridge for Home Printer</t>
  </si>
  <si>
    <t>Office Supplies HP Ink Cartridge for Home Printer</t>
  </si>
  <si>
    <t>WEXP-00028735</t>
  </si>
  <si>
    <t>11323031.tif 11323032.tif 11323033.tif</t>
  </si>
  <si>
    <t>Personal Surety assessment as required by the Directory of Securtiy &amp; Risk</t>
  </si>
  <si>
    <t>Employee Welfare Expense Personal Surety assessment as required by the Director of Security &amp; Risk</t>
  </si>
  <si>
    <t>WEXP-00028737</t>
  </si>
  <si>
    <t>11322281.tif 11322282.tif 11322283.tif</t>
  </si>
  <si>
    <t>WEXP-00029091</t>
  </si>
  <si>
    <t>11345822.tif 11345823.tif 11345824.tif</t>
  </si>
  <si>
    <t>Southern Gas Association Natural Gas Scheduling 101 online seminar</t>
  </si>
  <si>
    <t>Training Southern Gas Association Natural Gas Scheduling 101 online semina</t>
  </si>
  <si>
    <t>WEXP-00029637</t>
  </si>
  <si>
    <t>11375116.tif 11375117.tif 11375118.tif 11375119.tif 11375120.tif 11375121.tif 11375122.tif 11375123.tif 11375124.tif 11375125.tif 11375126.tif 11375127.tif 11375128.tif 11375129.tif 11375130.tif 11375131.tif 11375132.tif 11375133.tif 11375134.tif 11375135.tif 11375136.tif 11375137.tif 11375138.tif 11375139.tif 11375140.tif 11375141.tif 11375142.tif 11375143.tif 11375144.tif 11375145.tif 11375146.tif 11375147.tif 11375148.tif 11375149.tif 11375150.tif 11375151.tif 11375152.tif 11375153.tif 11375154.tif</t>
  </si>
  <si>
    <t>Week of Giving Bingo Winner - Ashley Brazell</t>
  </si>
  <si>
    <t>Gifts Week of Giving Bingo Winner - Brittainy Jenkins</t>
  </si>
  <si>
    <t>Gifts Week of Giving Bingo Winner - Betty Daugherty</t>
  </si>
  <si>
    <t>United Way Week of Giving Cookbooks that were available to for purchase through the online donation portal.</t>
  </si>
  <si>
    <t>Gifts Week of Giving Bingo Winner - Katelynn Leonard</t>
  </si>
  <si>
    <t>Gifts Week of Giving Bingo Winner - Brianna Pierce</t>
  </si>
  <si>
    <t>Gifts Week of Giving Bingo Winner - VeLinda Hunter</t>
  </si>
  <si>
    <t>Gifts Week of Giving Bingo Winner - Asha Vemireddy</t>
  </si>
  <si>
    <t>Gifts Week of Giving Bingo Winner - Tony Benedict</t>
  </si>
  <si>
    <t>Office Supplies Keyboard to connect to PC laptop while working remotely</t>
  </si>
  <si>
    <t>Office Supplies Frames for the Dallas employee photoshoot in Dallas, TX for service center</t>
  </si>
  <si>
    <t>Gifts Week of Giving Bingo Winner - Brittany Randall</t>
  </si>
  <si>
    <t>Gifts Week of Giving Bingo Winner - Luis Hernandez</t>
  </si>
  <si>
    <t>Gifts Week of Giving Bingo Winner - Linda Sereseroz</t>
  </si>
  <si>
    <t>Gifts Week of Giving Bingo Winner - Michelle Guajardo</t>
  </si>
  <si>
    <t>Gifts Week of Giving Bingo Winner - Desarae King</t>
  </si>
  <si>
    <t>Gifts Week of Giving Bing Winner - JoAnn Johnson</t>
  </si>
  <si>
    <t>Gifts Week of Giving Bingo Winner - Ashley Brazell</t>
  </si>
  <si>
    <t>Office Supplies An online design tool used to create internal and external graphics.</t>
  </si>
  <si>
    <t>Gifts Week of Giving Bingo Winner - Jeff Curtis</t>
  </si>
  <si>
    <t>WEXP-00029619</t>
  </si>
  <si>
    <t>11374655.tif 11374656.tif 11374657.tif 11374658.tif</t>
  </si>
  <si>
    <t>Tax Dept Quarterly anniversary appreciation virtual lunch</t>
  </si>
  <si>
    <t>.Business Meals Tax Dept Quarterly anniversary appreciation virtual lunch</t>
  </si>
  <si>
    <t>WEXP-00029613</t>
  </si>
  <si>
    <t>11374513.tif 11374514.tif 11374515.tif 11374516.tif</t>
  </si>
  <si>
    <t>week of giving treat yourself to lunch Wednesday</t>
  </si>
  <si>
    <t>.Business Meals treat yourself to lunch Wednesday during Week of Giving and expense it.</t>
  </si>
  <si>
    <t>WEXP-00029395</t>
  </si>
  <si>
    <t>11373789.tif 11373790.tif 11373791.tif</t>
  </si>
  <si>
    <t>Meal for Week of Giving Take Out Wednesday</t>
  </si>
  <si>
    <t>.Business Meals Meal for Week of Giving Take Out Wednesday</t>
  </si>
  <si>
    <t>WEXP-00028775</t>
  </si>
  <si>
    <t>11322605.tif 11322606.tif 11322607.tif</t>
  </si>
  <si>
    <t>Take-out Wednesday Lunch during Week of Giving</t>
  </si>
  <si>
    <t>.Business Meals Take-out Wednesday Lunch during Week of Giving</t>
  </si>
  <si>
    <t>WEXP-00029008</t>
  </si>
  <si>
    <t>11345735.tif 11345736.tif 11345737.tif 11345738.tif 11345739.tif 11345740.tif 11345741.tif 11345742.tif 11345743.tif 11345744.tif</t>
  </si>
  <si>
    <t>lunch while working from home during COVID</t>
  </si>
  <si>
    <t>.Business Meals lunch while working from home during COVID</t>
  </si>
  <si>
    <t>.Business Meals Lunch during COVID work from home</t>
  </si>
  <si>
    <t>WEXP-00028107</t>
  </si>
  <si>
    <t>11289709.tif 11289710.tif 11289711.tif 11289712.tif 11289713.tif 11289714.tif 11289715.tif 11289716.tif 11289717.tif 11289718.tif 11289719.tif 11289720.tif 11289721.tif 11289722.tif 11289723.tif 11289724.tif 11289725.tif 11289726.tif</t>
  </si>
  <si>
    <t>lunch while working from home during COVID 19</t>
  </si>
  <si>
    <t>.Business Meals Class Coordinator Appreciation Virtual lunch</t>
  </si>
  <si>
    <t>Books &amp; Manuals Book for learning for leaders resource page</t>
  </si>
  <si>
    <t>WEXP-00028888</t>
  </si>
  <si>
    <t>11322577.tif 11322578.tif 11322579.tif 11322580.tif 11322581.tif</t>
  </si>
  <si>
    <t>American Gas Association Mutual Aid Webinar Series: Session 1</t>
  </si>
  <si>
    <t>Employee Development Expense American Gas Association Mutual Aid Webinar Series: Session 1</t>
  </si>
  <si>
    <t>Employee Development Expense American Gas Association Mutual Aid Webinar Series: Session 2</t>
  </si>
  <si>
    <t>292006</t>
  </si>
  <si>
    <t>Prado, Ben (Ben)</t>
  </si>
  <si>
    <t>WEXP-00028347</t>
  </si>
  <si>
    <t>11290351.tif 11290352.tif 11290353.tif</t>
  </si>
  <si>
    <t>HR Eat Outside Day on Monday, Receipt Included</t>
  </si>
  <si>
    <t>.Social Meal &amp; Events HR Eat Outside Day Meal Receipt, One Meal for Lunch</t>
  </si>
  <si>
    <t>WEXP-00028840</t>
  </si>
  <si>
    <t>11322690.tif 11322691.tif 11322692.tif</t>
  </si>
  <si>
    <t>Receipt for week of giving meal</t>
  </si>
  <si>
    <t>.Social Meal &amp; Events Week of giving Wednesday meal for Take Out Lunch</t>
  </si>
  <si>
    <t>WEXP-00028552</t>
  </si>
  <si>
    <t>11300880.tif 11300881.tif 11300882.tif</t>
  </si>
  <si>
    <t>Department Quarterly Update Meal</t>
  </si>
  <si>
    <t>.Social Meal &amp; Events Department Quarterly Update Meal</t>
  </si>
  <si>
    <t>WEXP-00028942</t>
  </si>
  <si>
    <t>11322951.tif 11322952.tif 11322953.tif 11322954.tif</t>
  </si>
  <si>
    <t>week of giving Take Out Wednesday</t>
  </si>
  <si>
    <t>.Business Meals week of giving Take Out Wednesday</t>
  </si>
  <si>
    <t>WEXP-00029334</t>
  </si>
  <si>
    <t>11347011.tif 11347012.tif 11347013.tif 11347014.tif</t>
  </si>
  <si>
    <t>SGA Fall Accounting &amp; Financial Forum Virtual</t>
  </si>
  <si>
    <t>Training SGA Fall Accounting &amp; Financial Forum Virtual</t>
  </si>
  <si>
    <t>WEXP-00029471</t>
  </si>
  <si>
    <t>11347240.tif 11347241.tif 11347242.tif</t>
  </si>
  <si>
    <t>This Rack Cabinet is to safely enclose all the Smart Lab equipments. Equipments includes UPS, SmartPDUs, DC Power Supply, Network Switch. Rack has 22Us, enough capacity for future scalability.</t>
  </si>
  <si>
    <t>IT Equipment This Rack Cabinet is to safely enclose all the Smart Lab equipments. Equipments includes UPS, SmartPDUs, DC Power Supply, Network Switch. Rack has 22Us, enough capacity for future scalability.</t>
  </si>
  <si>
    <t>WEXP-00029421</t>
  </si>
  <si>
    <t>11346685.tif 11346686.tif 11346687.tif 11346688.tif</t>
  </si>
  <si>
    <t>Programmable DC Power Supply 18V 5A to support remote device testing. To be part of Smart Lab</t>
  </si>
  <si>
    <t>IT Equipment Programmable DC Power Supply 18V 5A to support remote device testing. To be part of Smart Lab</t>
  </si>
  <si>
    <t>WEXP-00029299</t>
  </si>
  <si>
    <t>11346266.tif 11346267.tif 11346268.tif 11346269.tif 11346270.tif 11346271.tif 11346272.tif 11346273.tif 11346274.tif 11346275.tif 11346276.tif 11346277.tif 11346278.tif 11346279.tif 11346280.tif 11346281.tif 11346282.tif 11346283.tif 11346284.tif</t>
  </si>
  <si>
    <t>2020 WOG Bingo Winner Megan Landry prize plus shipping cost - additional $25 allowance given by another peer bingo winner</t>
  </si>
  <si>
    <t>Employee Welfare Expense 2020 WOG Bingo Winner Robert Lesley prize cost plus shipping</t>
  </si>
  <si>
    <t>Employee Welfare Expense 2020 WOG Bingo Winner Kevin's Bingo Prize cost plus shipping</t>
  </si>
  <si>
    <t>Employee Welfare Expense 2020 WOG Bingo Winner Serena George prize plus shipping cost</t>
  </si>
  <si>
    <t>Employee Welfare Expense 2020 WOG Bingo Winner Clayton Guyton prize plus shipping</t>
  </si>
  <si>
    <t>Employee Welfare Expense 2020 WOG Bingo Winner Megan Landry prize plus shipping cost - additional $25 allowance given by another peer bingo winner</t>
  </si>
  <si>
    <t>Employee Welfare Expense 2020 WOG Bingo Winner Eva Damiano</t>
  </si>
  <si>
    <t>Employee Welfare Expense 2020 WOG Bingo Winner Shirley Morgan prize plus shipping</t>
  </si>
  <si>
    <t>Employee Welfare Expense 2020 WOG Bingo Winner Jennifer Daniel prize plus shipping</t>
  </si>
  <si>
    <t>Employee Welfare Expense 2020 WOG Bingo Winner Carolyn Dugger prize plus shipping cost</t>
  </si>
  <si>
    <t>WEXP-00029072</t>
  </si>
  <si>
    <t>11345225.tif 11345226.tif 11345227.tif</t>
  </si>
  <si>
    <t>Week of Giving - Take Out Wednesday</t>
  </si>
  <si>
    <t>.Business Meals Week of Giving - Take Out Wednesday</t>
  </si>
  <si>
    <t>WEXP-00029499</t>
  </si>
  <si>
    <t>11374353.tif 11374354.tif 11374355.tif</t>
  </si>
  <si>
    <t>American Airlines Flight to the SGA Conference</t>
  </si>
  <si>
    <t>Airfare American Airlines Flight to the SGA Conference</t>
  </si>
  <si>
    <t>WEXP-00028866</t>
  </si>
  <si>
    <t>11345698.tif 11345699.tif 11345700.tif 11345701.tif 11345702.tif 11345703.tif 11345704.tif 11345705.tif 11345706.tif</t>
  </si>
  <si>
    <t>Shipping to ship a new laptop to an end user</t>
  </si>
  <si>
    <t>.Business Meals Lunch out reimbursement by Atmos</t>
  </si>
  <si>
    <t>.Business Meals Reimbursement for lunch out for Week of Giving</t>
  </si>
  <si>
    <t>Postage Shipping to ship laptops to end users</t>
  </si>
  <si>
    <t>Postage Shipping to ship a new laptop to an end user</t>
  </si>
  <si>
    <t>WEXP-00028556</t>
  </si>
  <si>
    <t>11300975.tif 11300976.tif 11300977.tif</t>
  </si>
  <si>
    <t>Lunch for Compensation and HRMS Quarterly Update meeting</t>
  </si>
  <si>
    <t>.Business Meals Lunch for Compensation and HRMS Quarterly Update meeting</t>
  </si>
  <si>
    <t>WEXP-00028756</t>
  </si>
  <si>
    <t>11322654.tif 11322655.tif 11322656.tif</t>
  </si>
  <si>
    <t>Virtual week of giving take out lunch to support local business.</t>
  </si>
  <si>
    <t>.Business Meals Virtual week of giving take out lunch to support local business.</t>
  </si>
  <si>
    <t>WEXP-00028264</t>
  </si>
  <si>
    <t>11289808.tif 11289809.tif 11289810.tif</t>
  </si>
  <si>
    <t>HR lunch for National Eat Outside Day.</t>
  </si>
  <si>
    <t>.Business Meals HR lunch for National Eat Outside Day.</t>
  </si>
  <si>
    <t>WEXP-00029195</t>
  </si>
  <si>
    <t>11345805.tif 11345806.tif 11345807.tif 11345808.tif 11345809.tif</t>
  </si>
  <si>
    <t>United Way - Take Out Wednesday</t>
  </si>
  <si>
    <t>.Business Meals United Way - Take Out Wednesday</t>
  </si>
  <si>
    <t>WEXP-00028649</t>
  </si>
  <si>
    <t>11322003.tif 11322004.tif 11322005.tif</t>
  </si>
  <si>
    <t>Lunch while teaching damage prevention from home.</t>
  </si>
  <si>
    <t>.Business Meals Lunch while teaching damage prevention from home.</t>
  </si>
  <si>
    <t>WEXP-00028266</t>
  </si>
  <si>
    <t>11290056.tif 11290057.tif 11290058.tif</t>
  </si>
  <si>
    <t>Lunch While Teaching class from home.</t>
  </si>
  <si>
    <t>.Business Meals Lunch While Teaching class from home.</t>
  </si>
  <si>
    <t>WEXP-00028648</t>
  </si>
  <si>
    <t>11322050.tif 11322051.tif 11322052.tif</t>
  </si>
  <si>
    <t>WEXP-00028271</t>
  </si>
  <si>
    <t>11290094.tif 11290095.tif 11290096.tif 11290097.tif</t>
  </si>
  <si>
    <t>Order from the Atmos store for a shirt and jacket.</t>
  </si>
  <si>
    <t>Uniforms Order from the Atmos store for a shirt and jacket.</t>
  </si>
  <si>
    <t>WEXP-00028312</t>
  </si>
  <si>
    <t>11289979.tif 11289980.tif 11289981.tif</t>
  </si>
  <si>
    <t>WEXP-00027003 Lunch at Taco Cabana paid for by HR on 8/31 for Eat Outside Day</t>
  </si>
  <si>
    <t>.Business Meals WEXP-00027003 Lunch at Taco Cabana paid for by HR on 8/31 for Eat Outside Day</t>
  </si>
  <si>
    <t>WEXP-00028429</t>
  </si>
  <si>
    <t>11300470.tif 11300471.tif 11300472.tif</t>
  </si>
  <si>
    <t>Fed Ex to Richard Turcotte for the SNDA for the Round Rock Warehouse lease</t>
  </si>
  <si>
    <t>Postage Fed Ex to Richard Turcotte for the SNDA for the Round Rock Warehouse lease</t>
  </si>
  <si>
    <t>WEXP-00029249</t>
  </si>
  <si>
    <t>11346198.tif 11346199.tif 11346200.tif 11346201.tif 11346202.tif 11346203.tif 11346204.tif 11346205.tif 11346206.tif</t>
  </si>
  <si>
    <t>Stamps for mailing letters to retirees</t>
  </si>
  <si>
    <t>.Business Meals Expensed lunch for the virtual Week of Giving</t>
  </si>
  <si>
    <t>Postage Stamps for mailing letters to retirees</t>
  </si>
  <si>
    <t>.Business Meals HR National Eat Outside team lunch</t>
  </si>
  <si>
    <t>WEXP-00029519</t>
  </si>
  <si>
    <t>11347102.tif 11347103.tif 11347104.tif</t>
  </si>
  <si>
    <t>FEE TO ATTEND ASCM CONNECT ANNUAL CONFERENCE (VIRTUAL)</t>
  </si>
  <si>
    <t>Employee Development Expense FEE TO ATTEND ASCM CONNECT ANNUAL CONFERENCE (VIRTUAL)</t>
  </si>
  <si>
    <t>WEXP-00029405</t>
  </si>
  <si>
    <t>11374659.tif 11374660.tif 11374661.tif 11374662.tif 11374663.tif 11374664.tif 11374665.tif 11374666.tif 11374667.tif 11374668.tif 11374669.tif 11374670.tif 11374671.tif 11374672.tif 11374673.tif 11374674.tif 11374675.tif 11374676.tif 11374677.tif 11374678.tif 11374679.tif 11374680.tif 11374681.tif 11374682.tif 11374683.tif 11374684.tif</t>
  </si>
  <si>
    <t>Keurig Rentals - West &amp; East L2/16 Breakrooms</t>
  </si>
  <si>
    <t>Employee Welfare Expense Sympathy - Greg Field's Father - Larry Field</t>
  </si>
  <si>
    <t>Employee Welfare Expense Sympathy - Jos Francis - Father</t>
  </si>
  <si>
    <t>.Business Meals Keurig Rentals - West &amp; East L2/16 Breakrooms</t>
  </si>
  <si>
    <t>Employee Welfare Expense Sympathy - Malcolm McKenzie's mother-in-law - Melissa Togersen</t>
  </si>
  <si>
    <t>Employee Welfare Expense "Thank you / Farewell" - Cookies for Ron Acker</t>
  </si>
  <si>
    <t>WEXP-00029650</t>
  </si>
  <si>
    <t>11375364.tif 11375365.tif 11375366.tif 11375367.tif 11375368.tif 11375369.tif 11375370.tif 11375371.tif 11375372.tif 11375373.tif 11375374.tif 11375375.tif 11375376.tif 11375377.tif 11375378.tif 11375379.tif 11375380.tif 11375381.tif</t>
  </si>
  <si>
    <t>United Way Raffle Gift Card Winners (Christyn Player #30572)</t>
  </si>
  <si>
    <t>United Way United Way Raffle Gift Card Winners (Debbie Freeman #27901)</t>
  </si>
  <si>
    <t>United Way United Way Raffle Gift Card Winners (Christina Valdez #27870)</t>
  </si>
  <si>
    <t>United Way United Way Raffle Gift Card Winners (Christyn Player #30572)</t>
  </si>
  <si>
    <t>WEXP-00028808</t>
  </si>
  <si>
    <t>11322749.tif 11322750.tif 11322751.tif</t>
  </si>
  <si>
    <t>Take-out Wednesday order for Week of Giving campaign</t>
  </si>
  <si>
    <t>.Business Meals Take-out Wednesday order for Week of Giving campaign</t>
  </si>
  <si>
    <t>WEXP-00028831</t>
  </si>
  <si>
    <t>11345210.tif 11345211.tif 11345212.tif</t>
  </si>
  <si>
    <t>This is a meal, expensed for "take out wednesday"</t>
  </si>
  <si>
    <t>.Business Meals This is a meal, expensed for "take out wednesday"</t>
  </si>
  <si>
    <t>289222</t>
  </si>
  <si>
    <t>Smith, Avette N (Avette)</t>
  </si>
  <si>
    <t>WEXP-00029403</t>
  </si>
  <si>
    <t>11346784.tif 11346785.tif 11346786.tif</t>
  </si>
  <si>
    <t>2020 WOG VICTORY LAP WINNER DANIEL SIMMONS PRIZE PLUS SHIPPING COST.</t>
  </si>
  <si>
    <t>United Way 2020 WOG VICTORY LAP WINNER DANIEL SIMMONS PRIZE PLUS SHIPPING COST.</t>
  </si>
  <si>
    <t>WEXP-00029507</t>
  </si>
  <si>
    <t>11347015.tif 11347016.tif 11347017.tif</t>
  </si>
  <si>
    <t>Day to support our local eating establishments</t>
  </si>
  <si>
    <t>.Business Meals Day to support our local eating establishments</t>
  </si>
  <si>
    <t>WEXP-00028323</t>
  </si>
  <si>
    <t>11290134.tif 11290135.tif 11290136.tif</t>
  </si>
  <si>
    <t>HR Eat Outside Day to support local restaurants</t>
  </si>
  <si>
    <t>.Business Meals HR Eat Outside Day to support local restaurants</t>
  </si>
  <si>
    <t>WEXP-00028645</t>
  </si>
  <si>
    <t>11322063.tif 11322064.tif 11322065.tif</t>
  </si>
  <si>
    <t>HRMS/Compensation Quarterly Update</t>
  </si>
  <si>
    <t>.Business Meals HRMS/Compensation Quarterly Update</t>
  </si>
  <si>
    <t>WEXP-00028770</t>
  </si>
  <si>
    <t>11322832.tif 11322833.tif 11322834.tif</t>
  </si>
  <si>
    <t>2020 Week of Giving lunch provided by Atmos</t>
  </si>
  <si>
    <t>.Social Meal &amp; Events 2020 Week of Giving lunch provided by Atmos</t>
  </si>
  <si>
    <t>WEXP-00028442</t>
  </si>
  <si>
    <t>11300855.tif 11300856.tif</t>
  </si>
  <si>
    <t>Drive to Camping World in Alvarado to sign paperwork 09/03/2020</t>
  </si>
  <si>
    <t>Mileage Drive to Camping World in Alvarado to sign paperwork 09/03/2020</t>
  </si>
  <si>
    <t>WEXP-00026506</t>
  </si>
  <si>
    <t>11300619.tif 11300620.tif 11300621.tif 11300622.tif</t>
  </si>
  <si>
    <t>tuesday takeout at saltgrass per employee on mon</t>
  </si>
  <si>
    <t>.Social Meal &amp; Events tuesday takeout at saltgrass per employee on mon</t>
  </si>
  <si>
    <t>WEXP-00029539</t>
  </si>
  <si>
    <t>11374189.tif 11374190.tif 11374191.tif</t>
  </si>
  <si>
    <t>Take Out Wednesday lunch meal at Tasty Egg Roll</t>
  </si>
  <si>
    <t>.Social Meal &amp; Events Take Out Wednesday lunch meal at Tasty Egg Roll</t>
  </si>
  <si>
    <t>WEXP-00028968</t>
  </si>
  <si>
    <t>11345180.tif 11345181.tif 11345182.tif 11345183.tif 11345184.tif 11345185.tif 11345186.tif 11345187.tif 11345188.tif</t>
  </si>
  <si>
    <t>Take out Wednesday for Week of Giving</t>
  </si>
  <si>
    <t>Office Supplies ergonomic desk for work from home</t>
  </si>
  <si>
    <t>.Business Meals Take out Wednesday for Week of Giving</t>
  </si>
  <si>
    <t>Office Supplies standing mat for new ergonomic desk - work from home</t>
  </si>
  <si>
    <t>WEXP-00029332</t>
  </si>
  <si>
    <t>11375589.tif 11375590.tif 11375591.tif 11375592.tif 11375593.tif 11375594.tif 11375595.tif 11375596.tif 11375597.tif 11375598.tif 11375599.tif 11375600.tif 11375601.tif 11375602.tif 11375603.tif</t>
  </si>
  <si>
    <t>Take out Tuesday Plant Accounting Dept</t>
  </si>
  <si>
    <t>.Business Meals Work Day 4 Lunch Plant Accounting</t>
  </si>
  <si>
    <t>.Business Meals Work Day 4 Lunch Plant Accouting</t>
  </si>
  <si>
    <t>.Business Meals Work Day 3 Lunch Plant Accounting</t>
  </si>
  <si>
    <t>.Business Meals Take out Tuesday Plant Accounting Dept</t>
  </si>
  <si>
    <t>WEXP-00027902</t>
  </si>
  <si>
    <t>11300263.tif 11300264.tif 11300265.tif 11300266.tif 11300267.tif</t>
  </si>
  <si>
    <t>Payment for CDPs administrative fee</t>
  </si>
  <si>
    <t>.Business Meals Lunch purchased for takeout Tuesday</t>
  </si>
  <si>
    <t>Environmental &amp; Safety Payment for CDPs administrative fee</t>
  </si>
  <si>
    <t>WEXP-00028584</t>
  </si>
  <si>
    <t>11321931.tif 11321932.tif 11321933.tif 11321934.tif 11321935.tif</t>
  </si>
  <si>
    <t>HR Lunch on Us, Eat Outside Day</t>
  </si>
  <si>
    <t>.Business Meals HR Lunch on Us, Eat Outside Day</t>
  </si>
  <si>
    <t>WEXP-00029161</t>
  </si>
  <si>
    <t>11346698.tif 11346699.tif 11346700.tif 11346701.tif 11346702.tif</t>
  </si>
  <si>
    <t>WEXP-00029153</t>
  </si>
  <si>
    <t>11345825.tif 11345826.tif 11345827.tif</t>
  </si>
  <si>
    <t>Annual dues for AICPA.  These dues are paid annual for a one year membership.</t>
  </si>
  <si>
    <t>Association Dues Annual dues for AICPA.  These dues are paid annual for a one year membership.</t>
  </si>
  <si>
    <t>WEXP-00029513</t>
  </si>
  <si>
    <t>11373704.tif 11373705.tif 11373706.tif 11373707.tif 11373708.tif 11373709.tif</t>
  </si>
  <si>
    <t>Lunch for the Week of Giving Company Wide Event</t>
  </si>
  <si>
    <t>.Business Meals Lunch for the Week of Giving Company Wide Event</t>
  </si>
  <si>
    <t>WEXP-00029510</t>
  </si>
  <si>
    <t>11346981.tif 11346982.tif 11346983.tif 11346984.tif 11346985.tif 11346986.tif</t>
  </si>
  <si>
    <t>Cables to be used with new Dell dock for monitors</t>
  </si>
  <si>
    <t>IT Equipment USB-C to Display Port Adapter  used with new Dell dock for monitors</t>
  </si>
  <si>
    <t>IT Equipment DisplayPort to DisplayPort  used with new Dell dock for monitors</t>
  </si>
  <si>
    <t>IT Equipment DisplayPort to HDMI cable for new dell dock used for external monitors</t>
  </si>
  <si>
    <t>.Business Meals Take out Tuesday - Covid company event</t>
  </si>
  <si>
    <t>NDR - COVID</t>
  </si>
  <si>
    <t>WEXP-00029512</t>
  </si>
  <si>
    <t>11374028.tif 11374029.tif 11374030.tif</t>
  </si>
  <si>
    <t>Logitech C920 HD Pro Webcam used for Teams meetings</t>
  </si>
  <si>
    <t>IT Equipment Logitech C920 HD Pro Webcam used for Teams meetings.  Ebay defaulted payment to gift card automatically, unable to be modified.</t>
  </si>
  <si>
    <t>WEXP-00028935</t>
  </si>
  <si>
    <t>11345325.tif 11345326.tif</t>
  </si>
  <si>
    <t>Lunch for WOG Take out Wednesday</t>
  </si>
  <si>
    <t>.Social Meal &amp; Events Lunch for WOG Take out Wednesday</t>
  </si>
  <si>
    <t>WEXP-00028392</t>
  </si>
  <si>
    <t>11290667.tif 11290668.tif 11290669.tif</t>
  </si>
  <si>
    <t>Teleprompter Upgrade for Locusview conference</t>
  </si>
  <si>
    <t>Cell Phone Equipment &amp; Accessories Teleprompter Upgrade for Locusview conference</t>
  </si>
  <si>
    <t>WEXP-00028502</t>
  </si>
  <si>
    <t>11300748.tif 11300749.tif 11300750.tif 11300751.tif 11300752.tif</t>
  </si>
  <si>
    <t>CH4 Connections Virtual Conference 2020</t>
  </si>
  <si>
    <t>Employee Development Expense CH4 Connections Virtual Conference 2020</t>
  </si>
  <si>
    <t>WEXP-00028931</t>
  </si>
  <si>
    <t>11345198.tif 11345199.tif 11345200.tif</t>
  </si>
  <si>
    <t>Atmos Energy Take Out Wednesday supporting locally owed restaurants</t>
  </si>
  <si>
    <t>.Business Meals Atmos Energy Take Out Wednesday supporting locally owed restaurants</t>
  </si>
  <si>
    <t>WEXP-00028586</t>
  </si>
  <si>
    <t>11321956.tif 11321957.tif 11321958.tif</t>
  </si>
  <si>
    <t>Upgrade webcam for extended virtual work from home meetings</t>
  </si>
  <si>
    <t>IT Equipment Upgrade webcam for extended virtual work from home meetings</t>
  </si>
  <si>
    <t>WEXP-00028458</t>
  </si>
  <si>
    <t>11300504.tif 11300505.tif 11300506.tif</t>
  </si>
  <si>
    <t>Take Out Tuesday: Well Get the Tab</t>
  </si>
  <si>
    <t>.Business Meals Take Out Tuesday: Well Get the Tab</t>
  </si>
  <si>
    <t>WEXP-00028847</t>
  </si>
  <si>
    <t>11322948.tif 11322949.tif 11322950.tif</t>
  </si>
  <si>
    <t>Takeout Wednesday - Week of Giving</t>
  </si>
  <si>
    <t>.Social Meal &amp; Events Takeout Wednesday - Week of Giving</t>
  </si>
  <si>
    <t>WEXP-00028865</t>
  </si>
  <si>
    <t>11322687.tif 11322688.tif 11322689.tif</t>
  </si>
  <si>
    <t>Week of Giving Shared Services Take-out Lunch</t>
  </si>
  <si>
    <t>.Business Meals Week of Giving Shared Services Take-out Lunch</t>
  </si>
  <si>
    <t>WEXP-00029667</t>
  </si>
  <si>
    <t>11375331.tif 11375332.tif 11375333.tif 11375334.tif 11375335.tif 11375336.tif 11375337.tif</t>
  </si>
  <si>
    <t>AICPA CPE annual membership fees for annual CPE courses</t>
  </si>
  <si>
    <t>Professional Dues AICPA Membership Dues this is my annual membership dues</t>
  </si>
  <si>
    <t>Professional Dues MSCPA Membership Renewal this is my annual dues</t>
  </si>
  <si>
    <t>Professional Dues AICPA CPE annual membership fees for annual CPE courses</t>
  </si>
  <si>
    <t>WEXP-00029665</t>
  </si>
  <si>
    <t>11375163.tif 11375164.tif 11375165.tif 11375166.tif 11375167.tif 11375168.tif 11375169.tif 11375170.tif 11375171.tif 11375172.tif 11375173.tif 11375174.tif 11375175.tif</t>
  </si>
  <si>
    <t>Monthly charge for water purifier machine on the 5th floor</t>
  </si>
  <si>
    <t>Non-Inventory Supply Monthly charge for water purifier machine on the 5th floor</t>
  </si>
  <si>
    <t>Postage Mailing of legal documents to Marshall Oderrmann</t>
  </si>
  <si>
    <t>Gifts Team call with all Division Presidents and Welcoming gift for Bart Armstrong's promotion</t>
  </si>
  <si>
    <t>Non-Inventory Supply Monthly charge for water purifier machine on the 18th floor</t>
  </si>
  <si>
    <t>Employee Development - MC Monthly Wall Street Journal for Matt</t>
  </si>
  <si>
    <t>WEXP-00029578</t>
  </si>
  <si>
    <t>11373694.tif 11373695.tif 11373696.tif 11373697.tif 11373698.tif 11373699.tif 11373700.tif 11373701.tif 11373702.tif 11373703.tif</t>
  </si>
  <si>
    <t>Specialty paper for West Texas ALDC SOI Filing</t>
  </si>
  <si>
    <t>Office Supplies Specialty paper for West Texas ALDC SOI Filing</t>
  </si>
  <si>
    <t>.Business Meals July 2020 Take Out Tuesday Lunch</t>
  </si>
  <si>
    <t>Postage Postage for mailing 1st class letter to City of Longview for Mid-Tex rate case expenses</t>
  </si>
  <si>
    <t>.Business Meals Lunch for September 2020 Week of Giving</t>
  </si>
  <si>
    <t>WEXP-00028546</t>
  </si>
  <si>
    <t>11300724.tif 11300725.tif 11300726.tif</t>
  </si>
  <si>
    <t>shirts for instructor approved by fred beversdorf</t>
  </si>
  <si>
    <t>Employee Welfare Expense shirts for instructor approved by fred beversdorf</t>
  </si>
  <si>
    <t>WEXP-00028207</t>
  </si>
  <si>
    <t>11290007.tif 11290008.tif 11290009.tif</t>
  </si>
  <si>
    <t>Texas State Bar Dues required to maintain license in State of Texas</t>
  </si>
  <si>
    <t>Professional Dues Texas State Bar Dues required to maintain license in State of Texas</t>
  </si>
  <si>
    <t>WEXP-00028349</t>
  </si>
  <si>
    <t>11290641.tif 11290642.tif 11290643.tif 11290644.tif 11290645.tif 11290646.tif 11290647.tif 11290648.tif 11290649.tif 11290650.tif 11290651.tif 11290652.tif 11290653.tif 11290654.tif 11290655.tif 11290656.tif 11290657.tif 11290658.tif 11290659.tif 11290660.tif 11290661.tif 11290662.tif 11290663.tif 11290664.tif</t>
  </si>
  <si>
    <t>Financial Reporting Staff Meeting</t>
  </si>
  <si>
    <t>.Business Meals Financial Reporting Staff Meeting</t>
  </si>
  <si>
    <t>Office Supplies Office Supplies for WFH Employee Paula Knight</t>
  </si>
  <si>
    <t>WEXP-00028725</t>
  </si>
  <si>
    <t>11322468.tif 11322469.tif 11322470.tif 11322471.tif 11322472.tif 11322473.tif 11322474.tif 11322475.tif 11322476.tif 11322477.tif 11322478.tif 11322479.tif 11322480.tif 11322481.tif 11322482.tif 11322483.tif 11322484.tif 11322485.tif 11322486.tif 11322487.tif 11322488.tif 11322489.tif 11322490.tif 11322491.tif 11322492.tif 11322493.tif 11322494.tif 11322495.tif 11322496.tif 11322497.tif 11322498.tif 11322499.tif 11322500.tif 11322501.tif 11322502.tif 11322503.tif 11322504.tif 11322505.tif</t>
  </si>
  <si>
    <t>3rd Quarter Service Anniversary Appreciation Lunch</t>
  </si>
  <si>
    <t>.Social Meal &amp; Events 3rd Quarter Service Anniversary Appreciation Lunch</t>
  </si>
  <si>
    <t>.Business Meals Fiscal Year 21 Close Calendar Meeting</t>
  </si>
  <si>
    <t>.Social Meal &amp; Events Birthday Cookies for Michelle Faulk from Financial Department</t>
  </si>
  <si>
    <t>.Social Meal &amp; Events National Payroll Week Appreciation Lunch</t>
  </si>
  <si>
    <t>.Social Meal &amp; Events Take out Wednesday September 2020</t>
  </si>
  <si>
    <t>WEXP-00029350</t>
  </si>
  <si>
    <t>11346695.tif 11346696.tif 11346697.tif</t>
  </si>
  <si>
    <t>take out wednesday - week of giving</t>
  </si>
  <si>
    <t>.Business Meals take out wednesday - week of giving</t>
  </si>
  <si>
    <t>WEXP-00028788</t>
  </si>
  <si>
    <t>11374000.tif 11374001.tif 11374002.tif</t>
  </si>
  <si>
    <t>WEXP-00029413</t>
  </si>
  <si>
    <t>11374185.tif 11374186.tif 11374187.tif 11374188.tif</t>
  </si>
  <si>
    <t>Atmos HR "Eat Outside Day" to celebrate our teammates with birthdays and work anniversaries this quarter</t>
  </si>
  <si>
    <t>.Business Meals Atmos HR "Eat Outside Day" to celebrate our teammates with birthdays and work anniversaries this quarter</t>
  </si>
  <si>
    <t>WEXP-00029415</t>
  </si>
  <si>
    <t>11373997.tif 11373998.tif 11373999.tif</t>
  </si>
  <si>
    <t>Compensation &amp; HRMS Quarterly Update/Celebration on 9/9/20</t>
  </si>
  <si>
    <t>.Social Meal &amp; Events Compensation &amp; HRMS Quarterly Update/Celebration on 9/9/20</t>
  </si>
  <si>
    <t>WEXP-00029038</t>
  </si>
  <si>
    <t>11345792.tif 11345793.tif 11345794.tif</t>
  </si>
  <si>
    <t>Appreciation lunch - Week of Giving</t>
  </si>
  <si>
    <t>.Business Meals Appreciation lunch - Week of Giving</t>
  </si>
  <si>
    <t>WEXP-00029382</t>
  </si>
  <si>
    <t>Annual publication subscriptions for board members and select personnel</t>
  </si>
  <si>
    <t>Other - MC Annual publication subscriptions for board members and select personnel</t>
  </si>
  <si>
    <t>WEXP-00029726</t>
  </si>
  <si>
    <t>Printer Cable for home office during Coronavirus.</t>
  </si>
  <si>
    <t>IT Equipment Printer Cable for home office during Coronavirus.</t>
  </si>
  <si>
    <t>WEXP-00030271</t>
  </si>
  <si>
    <t>CHC20201026-WD EXP</t>
  </si>
  <si>
    <t>Texas General Counsel Forum Membership - Hartsfield</t>
  </si>
  <si>
    <t>Professional Dues - MC Texas General Counsel Forum Membership - Hartsfield</t>
  </si>
  <si>
    <t>WEXP-00030119</t>
  </si>
  <si>
    <t>CHC20201020-WD EXP</t>
  </si>
  <si>
    <t>Association of Corporate Counsel 2020-2021 Dues - Hartsfield</t>
  </si>
  <si>
    <t>Professional Dues - MC Association of Corporate Counsel 2020-2021 Dues - Hartsfield</t>
  </si>
  <si>
    <t>WEXP-00030427</t>
  </si>
  <si>
    <t>KAW20201028- WDEXP</t>
  </si>
  <si>
    <t>Reimbursement for The Depository Trust Company, Special SPR Creation</t>
  </si>
  <si>
    <t>Proxy Solicitation Expenses Reimbursement for The Depository Trust Company, Special SPR Creation</t>
  </si>
  <si>
    <t>WEXP-00029868</t>
  </si>
  <si>
    <t>CHC20201002-WD EXP</t>
  </si>
  <si>
    <t>Printer and ink for home office during Coronavirus</t>
  </si>
  <si>
    <t>Office Supplies Printer and ink for home office during Coronavirus</t>
  </si>
  <si>
    <t>WEXP-00030112</t>
  </si>
  <si>
    <t>CHC20201015-WD EXP</t>
  </si>
  <si>
    <t>The Depository Trust Company Weekly SPR Subscription and First CUSIP</t>
  </si>
  <si>
    <t>Proxy Solicitation Expenses The Depository Trust Company Weekly SPR Subscription and First CUSIP</t>
  </si>
  <si>
    <t>WEXP-00030101</t>
  </si>
  <si>
    <t>Purchase of a Dell Ultra sharp 34 curved Monitor for Matt Robbins</t>
  </si>
  <si>
    <t>IT Equipment Purchase of  a Dell Ultra sharp 34 Curved Monitor for Matt Robbins</t>
  </si>
  <si>
    <t>WEXP-00030125</t>
  </si>
  <si>
    <t>11403648.tif 11403649.tif 11403650.tif</t>
  </si>
  <si>
    <t>Lunch Day 4 September 2020 Close</t>
  </si>
  <si>
    <t>.Business Meals Lunch Day 4 September 2020 Close</t>
  </si>
  <si>
    <t>WEXP-00030124</t>
  </si>
  <si>
    <t>11403635.tif 11403636.tif 11403637.tif 11403638.tif</t>
  </si>
  <si>
    <t>Lunch Day 3 September 2020 Close</t>
  </si>
  <si>
    <t>.Business Meals Lunch Day 3 September 2020 Close</t>
  </si>
  <si>
    <t>285962</t>
  </si>
  <si>
    <t>Bailey, Nanetta (Nanetta)</t>
  </si>
  <si>
    <t>WEXP-00029795</t>
  </si>
  <si>
    <t>KAW201005_1 WDEXP</t>
  </si>
  <si>
    <t>11389376.tif 11389377.tif 11389378.tif</t>
  </si>
  <si>
    <t>Sensitivity training to understand how to make positive changes within the organization regarding diversity and inclusion</t>
  </si>
  <si>
    <t>Training Sensitivity training to understand how to make positive changes within the organization regarding diversity and inclusion</t>
  </si>
  <si>
    <t>WEXP-00017127</t>
  </si>
  <si>
    <t>KAW20201014 WDEXP</t>
  </si>
  <si>
    <t>11403679.tif 11403680.tif 11403681.tif 11403682.tif 11403683.tif 11403684.tif 11403685.tif 11403686.tif 11403687.tif 11403688.tif 11403689.tif 11403690.tif 11403691.tif 11403692.tif 11403693.tif</t>
  </si>
  <si>
    <t>Travel to New Orleans to attend rates meeting with the Louisiana Division.</t>
  </si>
  <si>
    <t>.Business Meals Travel to New Orleans to attend rates meeting with the Louisiana Division.</t>
  </si>
  <si>
    <t>Airfare Travel to New Orleans to attend rates meeting with the Louisiana Division.</t>
  </si>
  <si>
    <t>Mileage Travel to New Orleans to attend rates meeting with the Louisiana Division. Round trip to DFW Airport</t>
  </si>
  <si>
    <t>Lodging Travel to New Orleans to attend rates meeting with the Louisiana Division.</t>
  </si>
  <si>
    <t>Parking Travel to New Orleans to attend rates meeting with the Louisiana Division.</t>
  </si>
  <si>
    <t>WEXP-00030267</t>
  </si>
  <si>
    <t>CHC20201022-WD EXP</t>
  </si>
  <si>
    <t>11427199.tif 11427200.tif 11427201.tif 11427202.tif</t>
  </si>
  <si>
    <t>2020 PMI memebership 1 year renewal</t>
  </si>
  <si>
    <t>Professional Dues 2020 PMI - annual membership renewal for 1 year</t>
  </si>
  <si>
    <t>WEXP-00029818</t>
  </si>
  <si>
    <t>CHC20201001-WD EXP</t>
  </si>
  <si>
    <t>11376705.tif 11376706.tif 11376707.tif 11376708.tif 11376709.tif 11376710.tif 11376711.tif 11376712.tif 11376713.tif 11376714.tif 11376715.tif 11376716.tif 11376717.tif 11376718.tif 11376719.tif 11376720.tif 11376721.tif 11376722.tif 11376723.tif 11376724.tif 11376725.tif 11376726.tif 11376727.tif 11376728.tif 11376729.tif 11376730.tif 11376731.tif 11376732.tif 11376733.tif 11376734.tif 11376735.tif 11376736.tif 11376737.tif 11376738.tif 11376739.tif 11376740.tif 11376741.tif 11376742.tif 11376743.tif 11376744.tif 11376745.tif 11376746.tif 11376747.tif 11376748.tif 11376749.tif 11376750.tif 11376751.tif 11376752.tif 11376753.tif 11376754.tif</t>
  </si>
  <si>
    <t>Atmos Energy Reusable Mask from Company Store</t>
  </si>
  <si>
    <t>.Business Meals Week of Giving Department lunch</t>
  </si>
  <si>
    <t>.Business Meals Week of Giving Department Lunch</t>
  </si>
  <si>
    <t>United Way Video for employees for Week of Giving</t>
  </si>
  <si>
    <t>Employee Welfare Expense Floral Arrangement for former Atmos Energy Employee</t>
  </si>
  <si>
    <t>Office Supplies Atmos Energy Reusable Mask from Company Store</t>
  </si>
  <si>
    <t>Contract Labor Professional Tax Preparation Fee</t>
  </si>
  <si>
    <t>Meal Over Limit, Excessive Tip, Week of Giving</t>
  </si>
  <si>
    <t>Excessive Tip, Week of Giving</t>
  </si>
  <si>
    <t>Books &amp; Manuals Crisis Communications Guidebook</t>
  </si>
  <si>
    <t>WEXP-00029716</t>
  </si>
  <si>
    <t>11376680.tif 11376681.tif 11376682.tif 11376683.tif 11376684.tif 11376685.tif 11376686.tif 11376687.tif 11376688.tif 11376689.tif 11376690.tif 11376691.tif 11376692.tif 11376693.tif 11376694.tif 11376695.tif 11376696.tif 11376697.tif 11376698.tif</t>
  </si>
  <si>
    <t>Take out Tuesday to support local restaurants</t>
  </si>
  <si>
    <t>.Business Meals Benefits leadership team meeting to discuss 5 year planning expectations</t>
  </si>
  <si>
    <t>.Business Meals Take out Tuesday to support local businesses - removed 8.70 for spouses meal</t>
  </si>
  <si>
    <t>Office Supplies office supplies refills for remote work</t>
  </si>
  <si>
    <t>.Business Meals HR - Eat outside day to support local restaurants</t>
  </si>
  <si>
    <t>.Business Meals Discuss options for support and options for technology</t>
  </si>
  <si>
    <t>.Business Meals Lunch to discuss Project closeout and document turnover for Open Enrollment</t>
  </si>
  <si>
    <t>.Business Meals Take out Tuesday to support local restaurants</t>
  </si>
  <si>
    <t>.Business Meals Meeting to discuss new insurance vendor logistics</t>
  </si>
  <si>
    <t>WEXP-00028623</t>
  </si>
  <si>
    <t>CHC20201013-WD EXP</t>
  </si>
  <si>
    <t>11403273.tif 11403274.tif 11403275.tif 11403276.tif 11403277.tif</t>
  </si>
  <si>
    <t>United States Post Office to send Documents</t>
  </si>
  <si>
    <t>Postage United States Post Office to send Documents</t>
  </si>
  <si>
    <t>251393</t>
  </si>
  <si>
    <t>Brooks, Kim C (Kim)</t>
  </si>
  <si>
    <t>WEXP-00029817</t>
  </si>
  <si>
    <t>11375793.tif 11375794.tif 11375795.tif 11375796.tif 11375797.tif 11375798.tif 11375799.tif 11375800.tif 11375801.tif 11375802.tif 11375803.tif 11375804.tif 11375805.tif 11375806.tif 11375807.tif 11375808.tif 11375809.tif 11375810.tif 11375811.tif 11375812.tif 11375813.tif 11375814.tif 11375815.tif 11375816.tif 11375817.tif 11375818.tif 11375819.tif 11375820.tif 11375821.tif 11375822.tif 11375823.tif 11375824.tif 11375825.tif 11375826.tif</t>
  </si>
  <si>
    <t>Business Meals-Take-Out Tuesday</t>
  </si>
  <si>
    <t>.Business Meals Business Meals-Take-Out Tuesday</t>
  </si>
  <si>
    <t>.Business Meals Business Meal-Take Out Tuesday</t>
  </si>
  <si>
    <t>Office Supplies Office Supplies-Printer Ink for home office</t>
  </si>
  <si>
    <t>Office Supplies Office Supplies-printer ink for home office</t>
  </si>
  <si>
    <t>Office Supplies Office Supplies Printer Ink for home office</t>
  </si>
  <si>
    <t>WEXP-00029721</t>
  </si>
  <si>
    <t>11376477.tif 11376478.tif 11376479.tif 11376480.tif 11376481.tif 11376482.tif</t>
  </si>
  <si>
    <t>Take out Wednesday - Week of Giving</t>
  </si>
  <si>
    <t>.Business Meals Take out Wednesday - Week of Giving</t>
  </si>
  <si>
    <t>WEXP-00029960</t>
  </si>
  <si>
    <t>CHC20201006-WD EXP</t>
  </si>
  <si>
    <t>11389709.tif 11389710.tif 11389711.tif 11389712.tif</t>
  </si>
  <si>
    <t>Society for Corporate Governance Annual Membership Fee</t>
  </si>
  <si>
    <t>Association Dues Society for Corporate Governance Annual Membership Fee</t>
  </si>
  <si>
    <t>WEXP-00029845</t>
  </si>
  <si>
    <t>11376847.tif 11376848.tif 11376849.tif 11376850.tif 11376851.tif 11376852.tif 11376853.tif 11376854.tif 11376855.tif 11376856.tif 11376857.tif 11376858.tif 11376859.tif</t>
  </si>
  <si>
    <t>Deliver meals to Columbia DR-Site to support Gas Control Team.</t>
  </si>
  <si>
    <t>Office Supplies Office supplies &amp; backpacks for Gas Controller laptops for DR-Site support.</t>
  </si>
  <si>
    <t>Office Supplies Oil &amp; Gas Journal for Shared Services Gas Control office</t>
  </si>
  <si>
    <t>.Business Meals Business meal for Gas Control staff.</t>
  </si>
  <si>
    <t>.Business Meals Business meal for Gas Control staff</t>
  </si>
  <si>
    <t>Mileage Deliver meals to Columbia DR-Site to support Gas Control Team.</t>
  </si>
  <si>
    <t>Office Supplies Office chair for ShSr Gas Control</t>
  </si>
  <si>
    <t>010.37871</t>
  </si>
  <si>
    <t>WEXP-00030200</t>
  </si>
  <si>
    <t>11426989.tif 11426990.tif 11426991.tif 11426992.tif</t>
  </si>
  <si>
    <t>SGA Workshop - Presenting Virtually for Impact</t>
  </si>
  <si>
    <t>Employee Development Expense SGA Workshop - Presenting Virtually for Impact</t>
  </si>
  <si>
    <t>WEXP-00029933</t>
  </si>
  <si>
    <t>11427045.tif 11427046.tif 11427047.tif 11427048.tif</t>
  </si>
  <si>
    <t>Processing invoices during year end close</t>
  </si>
  <si>
    <t>.Overtime Meal Processing invoices during year end close</t>
  </si>
  <si>
    <t>.Overtime Meal Processing invoices for year end close</t>
  </si>
  <si>
    <t>WEXP-00030257</t>
  </si>
  <si>
    <t>11427223.tif 11427224.tif 11427225.tif 11427226.tif 11427227.tif 11427228.tif 11427229.tif</t>
  </si>
  <si>
    <t>Snacks for both Gas Control rooms in Franklin and Columbia TN</t>
  </si>
  <si>
    <t>IT Equipment Printer for Gas Control room in Columbia TN</t>
  </si>
  <si>
    <t>.Business Meals Snacks for both Gas Control rooms in Franklin and Columbia TN</t>
  </si>
  <si>
    <t>.Business Meals Snacks for both Gas Control rooms in Columbia and Franklin TN</t>
  </si>
  <si>
    <t>WEXP-00029941</t>
  </si>
  <si>
    <t>11389688.tif 11389689.tif 11389690.tif</t>
  </si>
  <si>
    <t>approved weekly lunch for workforce development from v.p.</t>
  </si>
  <si>
    <t>.Business Meals approved weekly lunch for workforce development from v.p.</t>
  </si>
  <si>
    <t>WEXP-00030110</t>
  </si>
  <si>
    <t>11403430.tif 11403431.tif 11403432.tif</t>
  </si>
  <si>
    <t>WEXP-00030048</t>
  </si>
  <si>
    <t>11403365.tif 11403366.tif 11403367.tif</t>
  </si>
  <si>
    <t>WEXP-00030315</t>
  </si>
  <si>
    <t>11444761.tif 11444762.tif 11444763.tif</t>
  </si>
  <si>
    <t>WEXP-00029445</t>
  </si>
  <si>
    <t>11377480.tif 11377481.tif 11377482.tif</t>
  </si>
  <si>
    <t>United Way, Take out Wednesday</t>
  </si>
  <si>
    <t>.Business Meals United Way, Take out Wednesday</t>
  </si>
  <si>
    <t>WEXP-00030431</t>
  </si>
  <si>
    <t>CHC20201029-WD EXP</t>
  </si>
  <si>
    <t>11445229.tif 11445230.tif 11445231.tif 11445232.tif 11445233.tif 11445234.tif 11445235.tif 11445236.tif 11445237.tif 11445238.tif</t>
  </si>
  <si>
    <t>Introduction to Ratemaking Virtual Workshop</t>
  </si>
  <si>
    <t>Training Introduction to Ratemaking Virtual Workshop</t>
  </si>
  <si>
    <t>WEXP-00029998</t>
  </si>
  <si>
    <t>KAW20201007_WDEXP</t>
  </si>
  <si>
    <t>11390087.tif 11390088.tif 11390089.tif</t>
  </si>
  <si>
    <t>Lunch for day 4 of year end close</t>
  </si>
  <si>
    <t>.Business Meals Lunch for day 4 of year end close</t>
  </si>
  <si>
    <t>WEXP-00030044</t>
  </si>
  <si>
    <t>11403301.tif 11403302.tif 11403303.tif 11403304.tif 11403305.tif</t>
  </si>
  <si>
    <t>Business meal while working remotely to teach monitoring of distribution and pipeline systems</t>
  </si>
  <si>
    <t>.Business Meals Business meal while working remotely to teach monitoring of distribution and pipeline systems</t>
  </si>
  <si>
    <t>.Business Meals Business meal while working remotely to teach control room management pilot</t>
  </si>
  <si>
    <t>WEXP-00030371</t>
  </si>
  <si>
    <t>CHC20201027-WD EXP</t>
  </si>
  <si>
    <t>11444624.tif 11444625.tif 11444626.tif 11444627.tif 11444628.tif</t>
  </si>
  <si>
    <t>Business meal while working remotely and reviewing Gas essentials pilot</t>
  </si>
  <si>
    <t>.Business Meals Business meal while working remotely Teaching monitoring distribution pipeline systems</t>
  </si>
  <si>
    <t>.Business Meals Business meal while working remotely and reviewing Gas essentials pilot</t>
  </si>
  <si>
    <t>WEXP-00030007</t>
  </si>
  <si>
    <t>11390139.tif 11390140.tif 11390141.tif 11390142.tif 11390143.tif 11390144.tif</t>
  </si>
  <si>
    <t>HR Connect Call 10/3/2020 Lucy Fulls Prize Winner of Tailgate Trivia Game</t>
  </si>
  <si>
    <t>Gifts HR Connect Call 10/3/2020 Lucy Fulls Prize Winner of Tailgate Trivia Game</t>
  </si>
  <si>
    <t>WEXP-00029289</t>
  </si>
  <si>
    <t>11389426.tif 11389427.tif 11389428.tif</t>
  </si>
  <si>
    <t>Printer ink cartridges - Working Virtually from Home</t>
  </si>
  <si>
    <t>Office Supplies Printer ink cartridges - Working Virtually from Home</t>
  </si>
  <si>
    <t>WEXP-00030099</t>
  </si>
  <si>
    <t>11403599.tif 11403600.tif 11403601.tif</t>
  </si>
  <si>
    <t>This membership is for a Kahoots membership that is used for engagement in presentations and classes.</t>
  </si>
  <si>
    <t>Professional Dues This membership is for a Kahoots membership that is used for engagement in presentations and classes.</t>
  </si>
  <si>
    <t>WEXP-00029773</t>
  </si>
  <si>
    <t>11375988.tif 11375989.tif 11375990.tif 11375991.tif 11375992.tif 11375993.tif 11375994.tif 11375970.tif 11375971.tif 11375972.tif 11375973.tif</t>
  </si>
  <si>
    <t>Purchased as a fundraiser item for the Week of Giving for CKV.</t>
  </si>
  <si>
    <t>United Way Purchased as a fundraiser items for the Week of Giving for CKV.</t>
  </si>
  <si>
    <t>United Way Purchased as a fundraiser item for the Week of Giving for CKV.</t>
  </si>
  <si>
    <t>WEXP-00029225</t>
  </si>
  <si>
    <t>11376894.tif 11376895.tif 11376896.tif 11376897.tif 11376898.tif 11376899.tif 11376900.tif 11376901.tif 11376902.tif 11376903.tif 11376904.tif 11376905.tif 11376906.tif 11376907.tif 11376908.tif 11376909.tif 11376910.tif</t>
  </si>
  <si>
    <t>Second place winner of tax team virtual event</t>
  </si>
  <si>
    <t>Gifts Third place winner of tax team virtual event</t>
  </si>
  <si>
    <t>Gifts First place winner gift card of Tax Team virtual event</t>
  </si>
  <si>
    <t>Gifts Second place winner of tax team virtual event</t>
  </si>
  <si>
    <t>Gifts Reimbursement of Starbucks Gift Cards of Tax Team Virtual team event</t>
  </si>
  <si>
    <t>WEXP-00029920</t>
  </si>
  <si>
    <t>11376406.tif 11376407.tif 11376408.tif 11376409.tif 11376410.tif 11376411.tif 11376412.tif 11376413.tif 11376414.tif 11376415.tif 11376416.tif</t>
  </si>
  <si>
    <t>Physically distanced department lunch at Arbor Hills</t>
  </si>
  <si>
    <t>.Business Meals Physically distanced department lunch at Arbor Hills</t>
  </si>
  <si>
    <t>.Business Meals Take out lunch during Week of Giving</t>
  </si>
  <si>
    <t>.Business Meals Take out Tuesday during work from home (but on Monday)</t>
  </si>
  <si>
    <t>WEXP-00030190</t>
  </si>
  <si>
    <t>CHC20201019-WD EXP</t>
  </si>
  <si>
    <t>11426900.tif 11426901.tif 11426902.tif 11426903.tif 11426904.tif 11426905.tif</t>
  </si>
  <si>
    <t>Fingerprinting Requirement, 2021 CPA License, TX State Board of Public Accountancy</t>
  </si>
  <si>
    <t>Professional Dues Fingerprint Requirement, 2021 CPA License, TX State Board of Public Accountancy</t>
  </si>
  <si>
    <t>Professional Dues 2021 CPA License, Texas State Board of Public Accontancy</t>
  </si>
  <si>
    <t>WEXP-00029893</t>
  </si>
  <si>
    <t>11376968.tif 11376969.tif 11376970.tif 11376971.tif 11376972.tif</t>
  </si>
  <si>
    <t>Food and beverage expense for DPS guarding the capitol during protests</t>
  </si>
  <si>
    <t>.Business Meals Food and beverage expense for DPS troopers working overtime to protect the capitol</t>
  </si>
  <si>
    <t>Postage Postage for pac checks for texas legislators</t>
  </si>
  <si>
    <t>WEXP-00029731</t>
  </si>
  <si>
    <t>11375995.tif 11375996.tif 11375997.tif</t>
  </si>
  <si>
    <t>printer and headphones for computer</t>
  </si>
  <si>
    <t>Office Supplies printer and headphones for computer</t>
  </si>
  <si>
    <t>262413</t>
  </si>
  <si>
    <t>Dunn, Stephanie L (Stephanie)</t>
  </si>
  <si>
    <t>WEXP-00029713</t>
  </si>
  <si>
    <t>11389482.tif 11389483.tif 11389484.tif 11389485.tif 11389486.tif 11389487.tif 11389488.tif 11389489.tif 11389490.tif 11389491.tif 11389492.tif 11389493.tif 11389494.tif 11389495.tif 11389496.tif 11389497.tif 11389498.tif 11389499.tif 11389500.tif 11389501.tif 11389502.tif 11389503.tif 11389504.tif</t>
  </si>
  <si>
    <t>virtual coordinators appreciation lunch..............</t>
  </si>
  <si>
    <t>.Business Meals virtual coordinators appreciation luncheon.....................</t>
  </si>
  <si>
    <t>WEXP-00029976</t>
  </si>
  <si>
    <t>11390038.tif 11390039.tif 11390040.tif</t>
  </si>
  <si>
    <t>allowance while working overtime</t>
  </si>
  <si>
    <t>.Overtime Meal end of year processing invoices.  was allowed to order food while we worked</t>
  </si>
  <si>
    <t>WEXP-00030206</t>
  </si>
  <si>
    <t>11427017.tif 11427018.tif 11427019.tif 11427020.tif</t>
  </si>
  <si>
    <t>Employee lunch while working remotely on Virtual Construction / Fusion Classes.</t>
  </si>
  <si>
    <t>.Business Meals Employee lunch while working remotely on Virtual Construction / Fusion Classes.</t>
  </si>
  <si>
    <t>WEXP-00030070</t>
  </si>
  <si>
    <t>11403246.tif 11403247.tif 11403248.tif 11403249.tif</t>
  </si>
  <si>
    <t>WEXP-00030343</t>
  </si>
  <si>
    <t>11444938.tif 11444939.tif 11444940.tif 11444941.tif</t>
  </si>
  <si>
    <t>Employee lunch while working remotely on Virtual Construction and Virtual Fusion Classes.</t>
  </si>
  <si>
    <t>.Business Meals Employee lunch while working remotely on Virtual Construction and Virtual Fusion Classes.</t>
  </si>
  <si>
    <t>Excessive Tip, COVID</t>
  </si>
  <si>
    <t>WEXP-00029963</t>
  </si>
  <si>
    <t>11389941.tif 11389942.tif 11389943.tif</t>
  </si>
  <si>
    <t>WEXP-00029730</t>
  </si>
  <si>
    <t>11389203.tif 11389204.tif 11389205.tif</t>
  </si>
  <si>
    <t>Professional Membership fee for AIIM International</t>
  </si>
  <si>
    <t>Professional Dues Professional Membership fee for AIIM International</t>
  </si>
  <si>
    <t>WEXP-00030268</t>
  </si>
  <si>
    <t>11427230.tif 11427231.tif 11427232.tif 11427233.tif</t>
  </si>
  <si>
    <t>Department Boss's Day Gift to L. Beauchamp</t>
  </si>
  <si>
    <t>Employee Welfare Expense Department Boss's Day Gift to L. Beauchamp</t>
  </si>
  <si>
    <t>WEXP-00029922</t>
  </si>
  <si>
    <t>11376979.tif 11376980.tif 11376981.tif 11376982.tif 11376983.tif 11376984.tif 11376985.tif 11376986.tif 11376987.tif 11376988.tif 11376989.tif 11376990.tif 11376991.tif 11376992.tif 11376993.tif 11376994.tif 11376995.tif 11376996.tif 11376997.tif 11376998.tif 11376999.tif 11377000.tif</t>
  </si>
  <si>
    <t>Quarterly Wall Street Journal subscription</t>
  </si>
  <si>
    <t>Professional Dues Annual membership dues for Texas Society of CPAs</t>
  </si>
  <si>
    <t>Training Webcam and Tripod required for new virtual Atmos Energy Essentials class</t>
  </si>
  <si>
    <t>Books &amp; Manuals Quarterly Wall Street Journal subscription</t>
  </si>
  <si>
    <t>Training Southern Gas Association Fall Accounting &amp; Finance Forum</t>
  </si>
  <si>
    <t>Training American Gas Association Accounting Principles Committee Meeting</t>
  </si>
  <si>
    <t>Professional Dues Annual Virginia CPA license dues</t>
  </si>
  <si>
    <t>.Business Meals Gas accounting in person staff meeting lunch</t>
  </si>
  <si>
    <t>Professional Dues Annual membership dues for American Institute of Certified Public Accountants</t>
  </si>
  <si>
    <t>WEXP-00029785</t>
  </si>
  <si>
    <t>11389566.tif 11389567.tif 11389568.tif</t>
  </si>
  <si>
    <t>VA PGA Filing Copies for October PGA on 9/21/2020</t>
  </si>
  <si>
    <t>Printing/Slides/Graphics VA PGA Filing Copies for October PGA on 9/21/2020</t>
  </si>
  <si>
    <t>WEXP-00029788</t>
  </si>
  <si>
    <t>11389585.tif 11389586.tif 11389587.tif 11389588.tif</t>
  </si>
  <si>
    <t>United Way - September 16, 2020</t>
  </si>
  <si>
    <t>.Business Meals United Way - September 16, 2020</t>
  </si>
  <si>
    <t>WEXP-00030078</t>
  </si>
  <si>
    <t>11403615.tif 11403616.tif 11403617.tif 11403618.tif 11403619.tif 11403620.tif</t>
  </si>
  <si>
    <t>Year end close for Ashley Grantham</t>
  </si>
  <si>
    <t>.Business Meals Year end close for Ashley Grantham</t>
  </si>
  <si>
    <t>WEXP-00030019</t>
  </si>
  <si>
    <t>11403515.tif 11403516.tif 11403517.tif 11403518.tif 11403519.tif 11403520.tif 11403521.tif 11403522.tif 11403523.tif 11403524.tif 11403525.tif 11403526.tif 11403527.tif</t>
  </si>
  <si>
    <t>Year end close lunch for Ashley Grantham</t>
  </si>
  <si>
    <t>.Business Meals Year end close lunch for Ashley Grantham</t>
  </si>
  <si>
    <t>WEXP-00030263</t>
  </si>
  <si>
    <t>11427237.tif 11427238.tif 11427239.tif 11427240.tif 11427241.tif 11427242.tif 11427243.tif 11427244.tif</t>
  </si>
  <si>
    <t>Lighting to help with facilitating employee development classes</t>
  </si>
  <si>
    <t>Office Supplies Jabra speaker to help with facilitating employee development classes</t>
  </si>
  <si>
    <t>Office Supplies Lighting to help with facilitating employee development classes</t>
  </si>
  <si>
    <t>.Business Meals Lunch during working from home</t>
  </si>
  <si>
    <t>WEXP-00029869</t>
  </si>
  <si>
    <t>11389534.tif 11389535.tif 11389536.tif 11389537.tif 11389538.tif 11389539.tif 11389540.tif 11389541.tif 11389542.tif 11389543.tif 11389544.tif 11389545.tif 11389546.tif 11389547.tif 11389548.tif</t>
  </si>
  <si>
    <t>EAPC Week of Giving Bingo Winners</t>
  </si>
  <si>
    <t>Gifts EAPC Week of Giving Bingo Winners</t>
  </si>
  <si>
    <t>WEXP-00029991</t>
  </si>
  <si>
    <t>11389958.tif 11389959.tif 11389960.tif 11389961.tif 11389962.tif 11389963.tif 11389964.tif 11389965.tif 11389966.tif 11389967.tif</t>
  </si>
  <si>
    <t>Year end close dinner per Becki Sheffield 09-30-20</t>
  </si>
  <si>
    <t>.Overtime Meal Year End Lunch per Becki Sheffield</t>
  </si>
  <si>
    <t>.Overtime Meal Year end dinner per Becki Sheffield 09-30-20</t>
  </si>
  <si>
    <t>WEXP-00029929</t>
  </si>
  <si>
    <t>11389589.tif 11389590.tif 11389591.tif</t>
  </si>
  <si>
    <t>HR National Eat Outside Day Max $15</t>
  </si>
  <si>
    <t>.Business Meals HR National Eat Outside Day Max $15</t>
  </si>
  <si>
    <t>WEXP-00029950</t>
  </si>
  <si>
    <t>11389371.tif 11389372.tif 11389373.tif 11389374.tif 11389375.tif</t>
  </si>
  <si>
    <t>Registration payment for continuing legal education</t>
  </si>
  <si>
    <t>Employee Development Expense Registration payment for continuing legal education</t>
  </si>
  <si>
    <t>WEXP-00029891</t>
  </si>
  <si>
    <t>11390041.tif 11390042.tif 11390043.tif 11390044.tif 11390045.tif 11390046.tif 11390047.tif 11390048.tif 11390049.tif 11390050.tif 11390051.tif 11390052.tif 11390053.tif 11390054.tif 11390055.tif 11390056.tif 11390057.tif 11390058.tif</t>
  </si>
  <si>
    <t>2020 Week of Giving Bingo Winner</t>
  </si>
  <si>
    <t>Gifts 2020 Week of Giving Bingo Winner</t>
  </si>
  <si>
    <t>WEXP-00029972</t>
  </si>
  <si>
    <t>11403574.tif 11403575.tif 11403576.tif 11403577.tif 11403578.tif 11403579.tif 11403580.tif 11403581.tif 11403582.tif 11403583.tif 11403584.tif</t>
  </si>
  <si>
    <t>rsa tokens to Amarillo service center</t>
  </si>
  <si>
    <t>Postage rsa token for employee that lost token plano</t>
  </si>
  <si>
    <t>Postage rsa token shipped to gas control employee</t>
  </si>
  <si>
    <t>Postage rsa token shipped to employee tennessee</t>
  </si>
  <si>
    <t>Postage rsa tokens to Amarillo service center</t>
  </si>
  <si>
    <t>Postage rsa tokens shipped to Waco service center.</t>
  </si>
  <si>
    <t>WEXP-00029949</t>
  </si>
  <si>
    <t>11389999.tif 11390000.tif 11390001.tif 11390002.tif 11390003.tif 11390004.tif 11390005.tif 11390006.tif 11390007.tif 11390008.tif 11390009.tif 11390010.tif 11390011.tif 11390012.tif 11390013.tif</t>
  </si>
  <si>
    <t>Awesome Teammate Recognition for Tim Anderson</t>
  </si>
  <si>
    <t>Employee Welfare Expense Awesome Teammate Recognition for Tim Anderson</t>
  </si>
  <si>
    <t>Employee Welfare Expense Awesome Teammate Recognition award for Ashley Brazell</t>
  </si>
  <si>
    <t>Employee Development Expense PMI Virtual Event Series: Delivering Value, Creating Change &amp; Advancing the World Registration</t>
  </si>
  <si>
    <t>WEXP-00029909</t>
  </si>
  <si>
    <t>11377257.tif 11377258.tif 11377259.tif 11377260.tif 11377261.tif 11377262.tif 11377263.tif 11377264.tif</t>
  </si>
  <si>
    <t>Benefits and Payroll Accounting Take out Tuesdays</t>
  </si>
  <si>
    <t>.Business Meals Benefits and Payroll Accounting Take out Tuesdays</t>
  </si>
  <si>
    <t>.Business Meals Benefits and Payroll Accounting United Way</t>
  </si>
  <si>
    <t>WEXP-00025823</t>
  </si>
  <si>
    <t>11377302.tif 11377303.tif 11377304.tif 11377305.tif 11377306.tif 11377307.tif 11377308.tif</t>
  </si>
  <si>
    <t>Meal Expense; (smartwater)VA Hedging Commission Meeting-Richmond, VA / Hedging &amp; AMP Meeting, Jackson, MS</t>
  </si>
  <si>
    <t>.Business Meals Business Meal; Lunch meeting to discuss new position with Regional Planning Analyst</t>
  </si>
  <si>
    <t>.Business Meals Meal Expense; (smartwater)VA Hedging Commission Meeting-Richmond, VA / Hedging &amp; AMP Meeting, Jackson, MS</t>
  </si>
  <si>
    <t>Parking Airport Parking; VA Hedging Commision Mtg/Hedging &amp; AMP Meeting Jackson, MS</t>
  </si>
  <si>
    <t>WEXP-00030045</t>
  </si>
  <si>
    <t>11403253.tif 11403254.tif 11403255.tif</t>
  </si>
  <si>
    <t>Virtual 2020 Women in Leadership Symposium</t>
  </si>
  <si>
    <t>Employee Development Expense Virtual 2020 Women in Leadership Symposium</t>
  </si>
  <si>
    <t>WEXP-00029647</t>
  </si>
  <si>
    <t>11377383.tif 11377384.tif 11377385.tif 11377386.tif 11377387.tif 11377388.tif 11377389.tif 11377390.tif 11377391.tif 11377392.tif 11377393.tif 11377394.tif 11377395.tif 11377396.tif</t>
  </si>
  <si>
    <t>Database clean up for energy assistance referrals.</t>
  </si>
  <si>
    <t>.Business Meals Company sponsored Take Out Tuesday lunch</t>
  </si>
  <si>
    <t>.Overtime Meal CRM database cleanup for energy Assistance referrals.</t>
  </si>
  <si>
    <t>Mileage Network of Community Ministries check presentation</t>
  </si>
  <si>
    <t>.Business Meals Company sponsored Take Out Tuesday lunch.</t>
  </si>
  <si>
    <t>.Business Meals Meal for COVID-19 Energy Assistance Dunning project</t>
  </si>
  <si>
    <t>WEXP-00029538</t>
  </si>
  <si>
    <t>11376651.tif 11376652.tif 11376653.tif 11376654.tif</t>
  </si>
  <si>
    <t>American Gas Association Accounting Training</t>
  </si>
  <si>
    <t>Training American Gas Association Accounting Training</t>
  </si>
  <si>
    <t>WEXP-00029344</t>
  </si>
  <si>
    <t>11389443.tif 11389444.tif 11389445.tif</t>
  </si>
  <si>
    <t>Take Out Wednesday Lunch Lunch</t>
  </si>
  <si>
    <t>.Business Meals Take Out Wednesday Lunch Lunch</t>
  </si>
  <si>
    <t>WEXP-00029952</t>
  </si>
  <si>
    <t>11403262.tif 11403263.tif 11403264.tif 11403265.tif 11403266.tif 11403267.tif 11403268.tif 11403269.tif</t>
  </si>
  <si>
    <t>2 boxes of cookies, 12 individual packages each</t>
  </si>
  <si>
    <t>Employee Welfare Expense Mike Lehmann's retirement party yard sign</t>
  </si>
  <si>
    <t>Employee Welfare Expense 2 boxes of cookies, 12 individual packages each</t>
  </si>
  <si>
    <t>279643</t>
  </si>
  <si>
    <t>Millier, Drake (Drake)</t>
  </si>
  <si>
    <t>WEXP-00029741</t>
  </si>
  <si>
    <t>11389233.tif 11389234.tif 11389235.tif 11389236.tif 11389237.tif 11389238.tif 11389239.tif 11389240.tif 11389241.tif 11389242.tif 11389243.tif 11389244.tif 11389245.tif 11389246.tif 11389247.tif 11389248.tif 11389249.tif 11389250.tif 11389251.tif 11389252.tif 11389253.tif 11389254.tif 11389255.tif 11389256.tif 11389257.tif 11389258.tif 11389259.tif 11389260.tif 11389261.tif 11389262.tif 11389263.tif 11389264.tif 11389265.tif 11389266.tif 11389267.tif 11389268.tif 11389269.tif 11389270.tif 11389271.tif 11389272.tif 11389273.tif 11389274.tif 11389275.tif 11389276.tif 11389277.tif 11389278.tif 11389279.tif 11389280.tif 11389281.tif 11389282.tif 11389283.tif 11389284.tif 11389285.tif 11389286.tif 11389287.tif 11389288.tif 11389289.tif 11389290.tif 11389291.tif 11389292.tif</t>
  </si>
  <si>
    <t>Meal while travelling for PSC meeting in College Station</t>
  </si>
  <si>
    <t>United Way Kahoot Subscription cost to allow for over 100 simultaneous players - approved by EAPC board</t>
  </si>
  <si>
    <t>WEXP-00029771</t>
  </si>
  <si>
    <t>11376487.tif 11376488.tif 11376489.tif 11376490.tif 11376491.tif 11376492.tif 11376493.tif</t>
  </si>
  <si>
    <t>Meeting to discuss remote working and status of work projects.</t>
  </si>
  <si>
    <t>.Business Meals Meeting to discuss remote working and status of work projects.</t>
  </si>
  <si>
    <t>.Business Meals Lunch meal during the Week of Giving to support local restaurants.</t>
  </si>
  <si>
    <t>WEXP-00029687</t>
  </si>
  <si>
    <t>11376483.tif 11376484.tif 11376485.tif 11376486.tif</t>
  </si>
  <si>
    <t>Take out Wednesday During Week of Giving</t>
  </si>
  <si>
    <t>.Business Meals Lunch during Giving Week - Take out Wednesday</t>
  </si>
  <si>
    <t>Mileage Met Rick Siedelmann to work on Laptop/Audio Issues, performed updates as well as swapping out computer equipment.</t>
  </si>
  <si>
    <t>288525</t>
  </si>
  <si>
    <t>Nixon, Denise (Denise)</t>
  </si>
  <si>
    <t>WEXP-00030012</t>
  </si>
  <si>
    <t>11390102.tif 11390103.tif 11390104.tif</t>
  </si>
  <si>
    <t>overtime meal/for 9/30/20 and 10/02/20</t>
  </si>
  <si>
    <t>.Overtime Meal lunch provided for overtime year end</t>
  </si>
  <si>
    <t>WEXP-00030049</t>
  </si>
  <si>
    <t>11403250.tif 11403251.tif 11403252.tif</t>
  </si>
  <si>
    <t>CANON TS6320 INKJET PRINTER FOR JOB RESPONSIBILITIES</t>
  </si>
  <si>
    <t>Printing/Slides/Graphics CANON TS6320 INKJET PRINTER FOR JOB RESPONSIBILITIES</t>
  </si>
  <si>
    <t>WEXP-00029642</t>
  </si>
  <si>
    <t>11375921.tif 11375922.tif 11375923.tif 11375924.tif 11375925.tif 11375926.tif 11375927.tif 11375928.tif 11375929.tif 11375930.tif 11375931.tif 11375932.tif 11375933.tif 11375934.tif 11375935.tif 11375936.tif 11375937.tif 11375938.tif</t>
  </si>
  <si>
    <t>Purchased Bingo game for Enterprise Week of Giving event</t>
  </si>
  <si>
    <t>Gifts Kayla Sayer won Bingo for enterprise week of giving, purchased gift from Atmos Store</t>
  </si>
  <si>
    <t>United Way Purchased Bingo game for Enterprise Week of Giving event</t>
  </si>
  <si>
    <t>Gifts Ken Smith won Bingo for enterprise week of giving, purchased gift from Atmos Store</t>
  </si>
  <si>
    <t>Gifts Daniel Arrington won Bingo for enterprise week of giving, purchased gift from Atmos Store</t>
  </si>
  <si>
    <t>Gifts Brianna Ortiz Bingo winner on tuesday and purchase for Atmos Energy store gift</t>
  </si>
  <si>
    <t>Gifts Bingo prize for winner Chelsea purchased from atmos energy store</t>
  </si>
  <si>
    <t>WEXP-00030353</t>
  </si>
  <si>
    <t>11444614.tif 11444615.tif 11444616.tif 11444617.tif 11444618.tif 11444619.tif 11444620.tif</t>
  </si>
  <si>
    <t>Meal while teaching Monitoring Distribution pipelines from home</t>
  </si>
  <si>
    <t>.Business Meals Meal while teaching Monitoring Distribution pipelines class from home</t>
  </si>
  <si>
    <t>.Business Meals Meal while teaching Monitoring Distribution pipelines from home</t>
  </si>
  <si>
    <t>.Business Meals Meal while teaching Monitoring Distribution pipelines class at home</t>
  </si>
  <si>
    <t>WEXP-00030181</t>
  </si>
  <si>
    <t>11445257.tif 11445258.tif 11445259.tif 11445260.tif 11445261.tif</t>
  </si>
  <si>
    <t>NARUC Accounting and Finance Fall Virtual Meeting</t>
  </si>
  <si>
    <t>Association Dues CPA license dues paid to Texas State Board of Public Accountancy</t>
  </si>
  <si>
    <t>Training NARUC Accounting and Finance Fall Virtual Meeting</t>
  </si>
  <si>
    <t>WEXP-00029806</t>
  </si>
  <si>
    <t>11389595.tif 11389596.tif 11389597.tif 11389598.tif 11389599.tif 11389600.tif</t>
  </si>
  <si>
    <t>WEXP-00030164</t>
  </si>
  <si>
    <t>11426917.tif 11426918.tif 11426919.tif</t>
  </si>
  <si>
    <t>Purchase ASME B31.8-2018 Standard</t>
  </si>
  <si>
    <t>Books &amp; Manuals Purchase ASME B31.8-2018 Standard</t>
  </si>
  <si>
    <t>WEXP-00029724</t>
  </si>
  <si>
    <t>11389592.tif 11389593.tif 11389594.tif</t>
  </si>
  <si>
    <t>Bingo Card Purchase used for Week of Giving Games -Game 1: Virtual Bingo Hosted by David Gates and John McDill -Game 2: Virtual Bingo Hosted by Jeff Knights, Kelli Martin, and Conrad Gruber</t>
  </si>
  <si>
    <t>United Way Bingo Card purchase for Week of Giving virtual bingo games.</t>
  </si>
  <si>
    <t>WEXP-00029781</t>
  </si>
  <si>
    <t>11377532.tif 11377533.tif 11377534.tif 11377535.tif 11377536.tif 11377537.tif 11377538.tif 11377539.tif 11377540.tif 11377541.tif 11377542.tif</t>
  </si>
  <si>
    <t>Takeout Tuesday our Treat for Atmos Energy</t>
  </si>
  <si>
    <t>Office Supplies Printer for Cynthia Ramos - prior one quit working</t>
  </si>
  <si>
    <t>Office Supplies Toner for Cynthia Ramos printer</t>
  </si>
  <si>
    <t>.Business Meals Takeout Tuesday our Treat for Atmos Energy</t>
  </si>
  <si>
    <t>.Business Meals National HR Eat Outside day on a warm day</t>
  </si>
  <si>
    <t>WEXP-00028962</t>
  </si>
  <si>
    <t>11377298.tif 11377299.tif 11377300.tif 11377301.tif</t>
  </si>
  <si>
    <t>Lunch on Wednesday during the Atmos Virtual Week of Giving</t>
  </si>
  <si>
    <t>.Business Meals Lunch on Wednesday during the Atmos Virtual Week of Giving</t>
  </si>
  <si>
    <t>WEXP-00030026</t>
  </si>
  <si>
    <t>11403433.tif 11403434.tif 11403435.tif</t>
  </si>
  <si>
    <t>Lunch while teaching construction essentials from home.</t>
  </si>
  <si>
    <t>.Business Meals Lunch while teaching construction essentials from home.</t>
  </si>
  <si>
    <t>WEXP-00030176</t>
  </si>
  <si>
    <t>11426911.tif 11426912.tif 11426913.tif</t>
  </si>
  <si>
    <t>Lunch while teaching Installing mains and service lines</t>
  </si>
  <si>
    <t>.Business Meals Lunch while teaching Installing mains and service lines</t>
  </si>
  <si>
    <t>WEXP-00030355</t>
  </si>
  <si>
    <t>11444771.tif 11444772.tif 11444773.tif</t>
  </si>
  <si>
    <t>Lunch while teaching Installing Mains and Services</t>
  </si>
  <si>
    <t>.Business Meals Lunch while teaching Installing Mains and Services</t>
  </si>
  <si>
    <t>WEXP-00030246</t>
  </si>
  <si>
    <t>KAW20201021_1 WDEXP</t>
  </si>
  <si>
    <t>11427168.tif 11427169.tif 11427170.tif</t>
  </si>
  <si>
    <t>Lunch while Teaching Installing mains and service lines</t>
  </si>
  <si>
    <t>.Business Meals Lunch while Teaching Installing mains and service lines</t>
  </si>
  <si>
    <t>WEXP-00030249</t>
  </si>
  <si>
    <t>11444577.tif 11444578.tif 11444579.tif</t>
  </si>
  <si>
    <t>Tools for virtual Electro fusion class</t>
  </si>
  <si>
    <t>Non-Inventory Supply Tools for virtual Electro fusion class</t>
  </si>
  <si>
    <t>WEXP-00030250</t>
  </si>
  <si>
    <t>11427234.tif 11427235.tif 11427236.tif</t>
  </si>
  <si>
    <t>Supplies for computer for virtual training.</t>
  </si>
  <si>
    <t>Non-Inventory Supply Supplies for computer for virtual training.</t>
  </si>
  <si>
    <t>WEXP-00030247</t>
  </si>
  <si>
    <t>11427196.tif 11427197.tif 11427198.tif</t>
  </si>
  <si>
    <t>WEXP-00029916</t>
  </si>
  <si>
    <t>11389315.tif 11389316.tif 11389317.tif 11389318.tif 11389319.tif 11389320.tif 11389321.tif 11389322.tif 11389323.tif 11389324.tif 11389325.tif 11389326.tif 11389327.tif 11389328.tif 11389329.tif 11389330.tif 11389331.tif 11389332.tif 11389333.tif 11389334.tif 11389335.tif 11389336.tif 11389337.tif 11389338.tif 11389339.tif 11389340.tif 11389341.tif 11389342.tif 11389343.tif</t>
  </si>
  <si>
    <t>Southern gas assn refresher course</t>
  </si>
  <si>
    <t>Employee Development Expense Southern gas assn refresher course</t>
  </si>
  <si>
    <t>Lodging annual christmas gathering in new orleans la</t>
  </si>
  <si>
    <t>Mileage in person meeting in new orleans la</t>
  </si>
  <si>
    <t>Airfare colorado/kansas 5 year plan meeting</t>
  </si>
  <si>
    <t>Mileage annual christmas gathering in new orleans</t>
  </si>
  <si>
    <t>Mileage winter scenario planning new orleans</t>
  </si>
  <si>
    <t>Lodging Dave Doggette funeral in Houston</t>
  </si>
  <si>
    <t>Parking annual christmas gathering in new orleans laannual christmas party in new orleans la</t>
  </si>
  <si>
    <t>Parking in person meeting in new orleans, la</t>
  </si>
  <si>
    <t>Lodging winter scenario planning in New Orleans</t>
  </si>
  <si>
    <t>.Business Meals winter scenario planning in new orleans la</t>
  </si>
  <si>
    <t>Airfare Dave Doggette funeral in Houston</t>
  </si>
  <si>
    <t>Alcohol winter scenario planning in new orleans, la</t>
  </si>
  <si>
    <t>.Business Meals in person meeting in new orleans, la</t>
  </si>
  <si>
    <t>Lodging in person meeting in new orleans, la</t>
  </si>
  <si>
    <t>.Business Meals Dave Doggette funeral in Houston</t>
  </si>
  <si>
    <t>242927</t>
  </si>
  <si>
    <t>Rugg, Jan F (Jan)</t>
  </si>
  <si>
    <t>WEXP-00029747</t>
  </si>
  <si>
    <t>11375947.tif 11375948.tif 11375949.tif 11375950.tif 11375951.tif 11375952.tif 11375953.tif 11375954.tif 11375955.tif 11375956.tif 11375957.tif 11375958.tif 11375959.tif 11375960.tif 11375961.tif 11375962.tif 11375963.tif 11375964.tif 11375965.tif 11375966.tif 11375967.tif 11375968.tif 11375969.tif 11375939.tif 11375940.tif 11375941.tif 11375942.tif 11375943.tif 11375944.tif 11375945.tif 11375946.tif</t>
  </si>
  <si>
    <t>UW Raffle Gift item for days of giving North region</t>
  </si>
  <si>
    <t>Gifts UW Raffle Gift item for days of giving North region</t>
  </si>
  <si>
    <t>WEXP-00029754</t>
  </si>
  <si>
    <t>11376125.tif 11376126.tif 11376127.tif 11376128.tif 11376129.tif</t>
  </si>
  <si>
    <t>week of giving lunch appreciation</t>
  </si>
  <si>
    <t>.Business Meals week of giving lunch appreciation</t>
  </si>
  <si>
    <t>.Business Meals take out Tuesday lunch appreciation</t>
  </si>
  <si>
    <t>WEXP-00030001</t>
  </si>
  <si>
    <t>11403312.tif 11403313.tif 11403314.tif 11403315.tif 11403316.tif</t>
  </si>
  <si>
    <t>10/3 Saturday purchased lunch while working for year end close due</t>
  </si>
  <si>
    <t>.Business Meals 10/3 saturday-purchased lunch while working for year end close</t>
  </si>
  <si>
    <t>.Overtime Meal PURCHASED LUNCH WHILE WORKING LATE WEDNESDAY NIGHT 9/30 DURING YEAR END CLOSE</t>
  </si>
  <si>
    <t>WEXP-00030235</t>
  </si>
  <si>
    <t>11427190.tif 11427191.tif 11427192.tif</t>
  </si>
  <si>
    <t>New Battery for unit 20525 company vehicle.</t>
  </si>
  <si>
    <t>Vehicle Expense New Battery for unit 20525 company vehicle.</t>
  </si>
  <si>
    <t>WEXP-00029748</t>
  </si>
  <si>
    <t>11375833.tif 11375834.tif 11375835.tif</t>
  </si>
  <si>
    <t>Week of Giving-Takeout Wednesday</t>
  </si>
  <si>
    <t>.Business Meals Week of Giving-Takeout Wednesday</t>
  </si>
  <si>
    <t>WEXP-00029752</t>
  </si>
  <si>
    <t>11376417.tif 11376418.tif 11376419.tif 11376420.tif 11376421.tif</t>
  </si>
  <si>
    <t>LA Division/Gas Supply appreciation lunch (Reimbursement up to $15)</t>
  </si>
  <si>
    <t>.Social Meal &amp; Events LA Division/Gas Supply appreciation lunch (Reimbursement up to $15) Week of Giving</t>
  </si>
  <si>
    <t>WEXP-00030120</t>
  </si>
  <si>
    <t>11427011.tif 11427012.tif 11427013.tif</t>
  </si>
  <si>
    <t>ink cartridges for work printer</t>
  </si>
  <si>
    <t>Office Supplies ink cartridges for work printer</t>
  </si>
  <si>
    <t>WEXP-00030389</t>
  </si>
  <si>
    <t>11444611.tif 11444612.tif 11444613.tif</t>
  </si>
  <si>
    <t>Home printer supplies while work from home</t>
  </si>
  <si>
    <t>Printing/Slides/Graphics Home printer supplies while work from home</t>
  </si>
  <si>
    <t>WEXP-00029985</t>
  </si>
  <si>
    <t>11403239.tif 11403240.tif 11403241.tif</t>
  </si>
  <si>
    <t>Take Out Wednesday: Week of Giving</t>
  </si>
  <si>
    <t>.Business Meals Take out Wednesday - week of giving</t>
  </si>
  <si>
    <t>WEXP-00029675</t>
  </si>
  <si>
    <t>11375897.tif 11375898.tif 11375899.tif 11375900.tif 11375901.tif 11375902.tif 11375903.tif 11375904.tif 11375905.tif 11375906.tif 11375907.tif 11375908.tif 11375909.tif 11375910.tif 11375911.tif</t>
  </si>
  <si>
    <t>Postage for CO DSM brochure mailing to dealers</t>
  </si>
  <si>
    <t>Software Maintenance Annual subscription for online quiz platform</t>
  </si>
  <si>
    <t>Community Relations &amp; Trade Shows Stock photography for use in marketing and communications materials</t>
  </si>
  <si>
    <t>Customer Relations &amp; Assistance stock photos for enterprise com-marketing use</t>
  </si>
  <si>
    <t>WEXP-00029810</t>
  </si>
  <si>
    <t>11376838.tif 11376839.tif 11376840.tif 11376841.tif 11376842.tif 11376843.tif</t>
  </si>
  <si>
    <t>A birthday lunch for Greg Walls</t>
  </si>
  <si>
    <t>.Business Meals A birthday lunch for Greg Walls</t>
  </si>
  <si>
    <t>WEXP-00030367</t>
  </si>
  <si>
    <t>11444600.tif 11444601.tif 11444602.tif 11444603.tif 11444604.tif 11444605.tif 11444606.tif 11444607.tif</t>
  </si>
  <si>
    <t>Benefits &amp; Payroll Accounting Lunch during Close</t>
  </si>
  <si>
    <t>Employee Development Expense Intro to Ratemaking Virtual Workshop</t>
  </si>
  <si>
    <t>.Business Meals Benefits Accounting Team Lunch</t>
  </si>
  <si>
    <t>.Business Meals Benefits &amp; Payroll Accounting Lunch during Close</t>
  </si>
  <si>
    <t>WEXP-00029739</t>
  </si>
  <si>
    <t>11376205.tif 11376206.tif 11376207.tif</t>
  </si>
  <si>
    <t>Lunch from the company for the day.</t>
  </si>
  <si>
    <t>.Business Meals Lunch from the company for the day.</t>
  </si>
  <si>
    <t>WEXP-00029742</t>
  </si>
  <si>
    <t>11376502.tif 11376503.tif 11376504.tif</t>
  </si>
  <si>
    <t>Mileage Charged to Cost Center 1164</t>
  </si>
  <si>
    <t>Mileage Mileage Charged to Cost Center 1164</t>
  </si>
  <si>
    <t>WEXP-00030010</t>
  </si>
  <si>
    <t>11403413.tif 11403414.tif 11403415.tif 11403416.tif 11403417.tif 11403418.tif 11403419.tif</t>
  </si>
  <si>
    <t>Edible Arrangement for Bosses' Day</t>
  </si>
  <si>
    <t>.Social Meal &amp; Events Edible Arrangement for Bosse's Day</t>
  </si>
  <si>
    <t>.Social Meal &amp; Events Edible Arrangement for Bosses' Day</t>
  </si>
  <si>
    <t>Cell Phone Equipment &amp; Accessories OtterBox SYMMETRY CLEAR SERIES Case for iPhone Xr</t>
  </si>
  <si>
    <t>WEXP-00030089</t>
  </si>
  <si>
    <t>11403482.tif 11403483.tif 11403484.tif 11403485.tif 11403486.tif 11403487.tif 11403488.tif 11403489.tif 11403490.tif 11403491.tif 11403492.tif 11403493.tif 11403494.tif 11403495.tif 11403496.tif 11403497.tif 11403498.tif 11403499.tif 11403500.tif 11403501.tif 11403502.tif 11403503.tif 11403504.tif 11403505.tif 11403506.tif 11403507.tif</t>
  </si>
  <si>
    <t>Bosses' Day food basket from pipeline accounting, rate administration and margin accounting</t>
  </si>
  <si>
    <t>.Social Meal &amp; Events Service Anniversary Cookie Basket</t>
  </si>
  <si>
    <t>.Social Meal &amp; Events Food baskets for a social/thank you for the income tax group</t>
  </si>
  <si>
    <t>.Social Meal &amp; Events Bosses' Day food basket from Financial Reporting department</t>
  </si>
  <si>
    <t>Civic &amp; Club Dues Tiff's Treats Membership - Expires 10/06/2021</t>
  </si>
  <si>
    <t>.Social Meal &amp; Events Bosses' Day food basket from pipeline accounting, rate administration and margin accounting</t>
  </si>
  <si>
    <t>Civic &amp; Club Dues Harry &amp; David's  Membership - Expires 10/09/2021</t>
  </si>
  <si>
    <t>WEXP-00029406</t>
  </si>
  <si>
    <t>11376437.tif 11376438.tif 11376439.tif 11376440.tif 11376441.tif 11376442.tif 11376443.tif 11376444.tif 11376445.tif 11376446.tif 11376447.tif 11376448.tif 11376449.tif 11376450.tif 11376451.tif 11376452.tif 11376453.tif 11376454.tif 11376455.tif 11376456.tif 11376457.tif 11376458.tif 11376459.tif 11376460.tif 11376461.tif 11376462.tif 11376463.tif</t>
  </si>
  <si>
    <t>Financial group lunch to discuss getting ready for year end</t>
  </si>
  <si>
    <t>.Business Meals Financial group lunch to discuss getting ready for year end</t>
  </si>
  <si>
    <t>.Social Meal &amp; Events National Payroll Week Appreciation Lunch for Christine Jackson</t>
  </si>
  <si>
    <t>Mileage Delivered care packages to be used during the virtual happy hour farewell for Laura Gillham on Friday 9/25 to the following Managers/Directors/VP's</t>
  </si>
  <si>
    <t>Alcohol Going Away Virtual Happy Hour for Laura Gillham</t>
  </si>
  <si>
    <t>256375</t>
  </si>
  <si>
    <t>Winfield, Darwin L (Darwin)</t>
  </si>
  <si>
    <t>WEXP-00029698</t>
  </si>
  <si>
    <t>11376589.tif 11376590.tif 11376591.tif 11376592.tif 11376593.tif 11376594.tif 11376595.tif 11376596.tif 11376597.tif 11376598.tif 11376599.tif 11376600.tif 11376601.tif 11376602.tif 11376603.tif 11376604.tif 11376605.tif 11376606.tif 11376607.tif 11376608.tif 11376609.tif 11376610.tif 11376611.tif 11376612.tif 11376613.tif 11376614.tif 11376615.tif 11376616.tif 11376617.tif 11376618.tif 11376619.tif</t>
  </si>
  <si>
    <t>Raffle Prize for Week on Giving 2020</t>
  </si>
  <si>
    <t>Gifts WEEK OF GIVING RAFFLE PRIZE 2020</t>
  </si>
  <si>
    <t>Gifts Raffle Prize for Week on Giving 2020</t>
  </si>
  <si>
    <t>Gifts Raffle Prize for Week on Giving 2020 $250 EACH</t>
  </si>
  <si>
    <t>Gifts WEEK OF GIVING RAFFLE PRIZE FOR 2020 WINNER</t>
  </si>
  <si>
    <t>Gifts Raffle Prize for Week on Giving 2020 DONATED BACK TO A NON-PROFIT</t>
  </si>
  <si>
    <t>WEXP-00029994</t>
  </si>
  <si>
    <t>11390014.tif 11390015.tif 11390016.tif 11390017.tif 11390018.tif 11390019.tif</t>
  </si>
  <si>
    <t>Lunch for year end overtime per Becki</t>
  </si>
  <si>
    <t>.Overtime Meal Dinner for year end overtime per Becki</t>
  </si>
  <si>
    <t>.Overtime Meal Lunch for year end overtime per Becki</t>
  </si>
  <si>
    <t>WEXP-00031030</t>
  </si>
  <si>
    <t>CHC20201109-WD EXP</t>
  </si>
  <si>
    <t>Yearly subscription charge for the Wall Street Journal</t>
  </si>
  <si>
    <t>Other - MC Yearly subscription charge for the Wall Street Journal</t>
  </si>
  <si>
    <t>WEXP-00030870</t>
  </si>
  <si>
    <t>CHC20201103-WD EXP</t>
  </si>
  <si>
    <t>Office Supplies for working from home during Covid-19</t>
  </si>
  <si>
    <t>Office Supplies Office Supplies for working from home during Covid-19</t>
  </si>
  <si>
    <t>WEXP-00030868</t>
  </si>
  <si>
    <t>WEXP-00030072</t>
  </si>
  <si>
    <t>KAW20201106_1 WDEXP</t>
  </si>
  <si>
    <t>Atmos Board's annual subscription to The Corporate Board</t>
  </si>
  <si>
    <t>Other - MC Atmos Board's annual subscription to The Corporate Board</t>
  </si>
  <si>
    <t>WEXP-00031769</t>
  </si>
  <si>
    <t>KAW20201123_WDEXP</t>
  </si>
  <si>
    <t>Filing Crate for copies of invoices</t>
  </si>
  <si>
    <t>Office Supplies Filing Crate for copies of invoices</t>
  </si>
  <si>
    <t>WEXP-00031631</t>
  </si>
  <si>
    <t>KAW20201120_ WDEXP</t>
  </si>
  <si>
    <t>11499816.tif 11499817.tif 11499818.tif</t>
  </si>
  <si>
    <t>Microsoft Wireless keyboard and mouse</t>
  </si>
  <si>
    <t>Office Supplies Microsoft Wireless keyboard and mouse</t>
  </si>
  <si>
    <t>WEXP-00031124</t>
  </si>
  <si>
    <t>CHC20201111-WD EXP</t>
  </si>
  <si>
    <t>11477739.tif 11477740.tif 11477741.tif</t>
  </si>
  <si>
    <t>The expense was to pay for lunch as part of Shared Service Operational meeting</t>
  </si>
  <si>
    <t>.Business Meals The expense was to pay for lunch as part of operation meeting.</t>
  </si>
  <si>
    <t>WEXP-00031282</t>
  </si>
  <si>
    <t>CHC20201116-WD EXP</t>
  </si>
  <si>
    <t>11498263.tif 11498264.tif 11498265.tif</t>
  </si>
  <si>
    <t>BPCM FY20 Reflection Team Lunch</t>
  </si>
  <si>
    <t>.Business Meals BPCM FY20 Reflection Team Lunch</t>
  </si>
  <si>
    <t>WEXP-00031719</t>
  </si>
  <si>
    <t>11513838.tif 11513839.tif 11513840.tif</t>
  </si>
  <si>
    <t>Lunch Day 4 October 2020 Close</t>
  </si>
  <si>
    <t>.Business Meals Lunch Day 4 October 2020 Close</t>
  </si>
  <si>
    <t>WEXP-00031718</t>
  </si>
  <si>
    <t>11513834.tif 11513835.tif 11513836.tif 11513837.tif</t>
  </si>
  <si>
    <t>Lunch Day 3 October 2020 Close</t>
  </si>
  <si>
    <t>.Business Meals Lunch Day 3 October 2020 Close</t>
  </si>
  <si>
    <t>WEXP-00030988</t>
  </si>
  <si>
    <t>KAW20201105_WDEXP</t>
  </si>
  <si>
    <t>11462058.tif 11462059.tif 11462060.tif</t>
  </si>
  <si>
    <t>Certified Public Accountant (CPA) License Renewal Fee</t>
  </si>
  <si>
    <t>Professional Dues Certified Public Accountant (CPA) License Renewal Fee</t>
  </si>
  <si>
    <t>WEXP-00031679</t>
  </si>
  <si>
    <t>11513517.tif 11513518.tif 11513519.tif</t>
  </si>
  <si>
    <t>2020 AGA/EEI Property Accounting and Depreciation Training Seminar</t>
  </si>
  <si>
    <t>Training 2020 AGA/EEI Property Accounting and Depreciation Training Seminar</t>
  </si>
  <si>
    <t>WEXP-00031532</t>
  </si>
  <si>
    <t>KAW20201118_1WDEXP</t>
  </si>
  <si>
    <t>11499257.tif 11499258.tif 11499259.tif</t>
  </si>
  <si>
    <t>Lunch for Bonus Celebration - NOLA</t>
  </si>
  <si>
    <t>.Business Meals Lunch for Bonus Celebration - NOLA</t>
  </si>
  <si>
    <t>WEXP-00030286</t>
  </si>
  <si>
    <t>CHC20201110-WD EXP</t>
  </si>
  <si>
    <t>11477621.tif 11477622.tif 11477623.tif 11477624.tif 11477625.tif</t>
  </si>
  <si>
    <t>New wireless headset for remote work.</t>
  </si>
  <si>
    <t>Gifts Employee prizes for social event.</t>
  </si>
  <si>
    <t>IT Equipment New wireless headset for remote work.</t>
  </si>
  <si>
    <t>WEXP-00029728</t>
  </si>
  <si>
    <t>11498303.tif 11498304.tif 11498305.tif 11498306.tif 11498307.tif 11498308.tif</t>
  </si>
  <si>
    <t>lunch during VPP announcement meeting</t>
  </si>
  <si>
    <t>Technical (Job Skills) Training Business Architecture Guild Innovation Summit registration</t>
  </si>
  <si>
    <t>.Business Meals lunch during VPP announcement meeting</t>
  </si>
  <si>
    <t>WEXP-00031617</t>
  </si>
  <si>
    <t>11499327.tif 11499328.tif 11499329.tif 11499330.tif 11499331.tif</t>
  </si>
  <si>
    <t>Time to Celebrate Event was for celebrating our FY20 accomplishments, 4th quarter birthdays and anniversaries, and other exciting news</t>
  </si>
  <si>
    <t>.Business Meals Time to Celebrate Event was for celebrating our FY20 accomplishments, 4th quarter birthdays and anniversaries, and other exciting news</t>
  </si>
  <si>
    <t>WEXP-00031638</t>
  </si>
  <si>
    <t>KAW20201119_1 WD EXP</t>
  </si>
  <si>
    <t>11499672.tif 11499673.tif 11499674.tif</t>
  </si>
  <si>
    <t>BPCM end of fiscal year lunch celebration</t>
  </si>
  <si>
    <t>.Social Meal &amp; Events BPCM end of fiscal year lunch celebration</t>
  </si>
  <si>
    <t>WEXP-00031033</t>
  </si>
  <si>
    <t>11477649.tif 11477650.tif 11477651.tif</t>
  </si>
  <si>
    <t>Paper shredded needed while working remotely during COVID</t>
  </si>
  <si>
    <t>Office Supplies Paper shredded needed while working remotely during COVID</t>
  </si>
  <si>
    <t>WEXP-00030912</t>
  </si>
  <si>
    <t>KAW20201104_WDEXP</t>
  </si>
  <si>
    <t>11461919.tif 11461920.tif 11461921.tif 11461922.tif 11461923.tif 11461924.tif</t>
  </si>
  <si>
    <t>Office supplies needed while working remotely during COVID-19</t>
  </si>
  <si>
    <t>Office Supplies Office supplies needed for working remotely during COVID-19</t>
  </si>
  <si>
    <t>WEXP-00031367</t>
  </si>
  <si>
    <t>11498612.tif 11498613.tif 11498614.tif 11498615.tif 11498616.tif 11498617.tif 11498618.tif 11498619.tif</t>
  </si>
  <si>
    <t>Appreciation lunch for end of fiscal year celebration for corporate communications team. Note, one item on receipt of $8.99 needs to be deducted because it was purchased for a nonemployee.</t>
  </si>
  <si>
    <t>Training Attended live webcast by Public Relations Society of America (PRSA) Dallas with Delta Air LInes Flobal Head of Employee Communications to learn about Corporate Communications best practices.</t>
  </si>
  <si>
    <t>.Business Meals Appreciation lunch for end of fiscal year celebration for corporate communications team. Note, one item on receipt of $8.99 needs to be deducted because it was purchased for a nonemployee.</t>
  </si>
  <si>
    <t>WEXP-00031834</t>
  </si>
  <si>
    <t>11513726.tif 11513727.tif 11513728.tif</t>
  </si>
  <si>
    <t>Purchased of Atmos apparel from individual to avoid sale on Facebook</t>
  </si>
  <si>
    <t>Employee Welfare Expense Purchased of Atmos apparel from individual to avoid sale on Facebook</t>
  </si>
  <si>
    <t>WEXP-00030767</t>
  </si>
  <si>
    <t>11461666.tif 11461667.tif 11461668.tif</t>
  </si>
  <si>
    <t>WEXP-00031015</t>
  </si>
  <si>
    <t>11462497.tif 11462498.tif 11462499.tif</t>
  </si>
  <si>
    <t>WEXP-00031180</t>
  </si>
  <si>
    <t>CHC20201113-WD EXP</t>
  </si>
  <si>
    <t>11478111.tif 11478112.tif 11478113.tif</t>
  </si>
  <si>
    <t>WEXP-00031738</t>
  </si>
  <si>
    <t>11499796.tif 11499797.tif 11499798.tif</t>
  </si>
  <si>
    <t>WEXP-00031829</t>
  </si>
  <si>
    <t>11513826.tif 11513827.tif 11513828.tif 11513829.tif 11513830.tif 11513831.tif 11513832.tif 11513833.tif</t>
  </si>
  <si>
    <t>2020 AGA Government Affairs Conference</t>
  </si>
  <si>
    <t>IT Equipment Power Input Charger for Latitude</t>
  </si>
  <si>
    <t>Employee Development Expense 2020 AGA Government Affairs Conference</t>
  </si>
  <si>
    <t>IT Equipment Part for Laptop-No Amt printed with shipment</t>
  </si>
  <si>
    <t>WEXP-00031159</t>
  </si>
  <si>
    <t>CHC20201112-WD EXP</t>
  </si>
  <si>
    <t>11477801.tif 11477802.tif 11477803.tif</t>
  </si>
  <si>
    <t>Registration Fee Cara Croissant for 2020 AGA/EEI Virtual Fall Accounting Conference</t>
  </si>
  <si>
    <t>Training Registration Fee Cara Croissant for 2020 AGA/EEI Virtual Fall Accounting Conference</t>
  </si>
  <si>
    <t>WEXP-00031100</t>
  </si>
  <si>
    <t>11477410.tif 11477411.tif 11477412.tif 11477413.tif 11477414.tif 11477415.tif 11477416.tif 11477417.tif 11477418.tif 11477419.tif 11477420.tif</t>
  </si>
  <si>
    <t>Weekend meal during month end close</t>
  </si>
  <si>
    <t>Employee Welfare Expense Cupcakes delivered for Boss' Day</t>
  </si>
  <si>
    <t>.Business Meals Weekend meal during month end close</t>
  </si>
  <si>
    <t>WEXP-00031176</t>
  </si>
  <si>
    <t>11477970.tif 11477971.tif 11477972.tif 11477973.tif</t>
  </si>
  <si>
    <t>Employee lunch while working remotely on Virtual Fusion Classes.</t>
  </si>
  <si>
    <t>.Business Meals Employee lunch while working remotely on Virtual Fusion Classes.</t>
  </si>
  <si>
    <t>WEXP-00030675</t>
  </si>
  <si>
    <t>11461640.tif 11461641.tif 11461642.tif</t>
  </si>
  <si>
    <t>WEXP-00031080</t>
  </si>
  <si>
    <t>11477484.tif 11477485.tif 11477486.tif</t>
  </si>
  <si>
    <t>WEXP-00031216</t>
  </si>
  <si>
    <t>11478184.tif 11478185.tif 11478186.tif 11478187.tif</t>
  </si>
  <si>
    <t>Team lunch to celebrate FY2020 results</t>
  </si>
  <si>
    <t>.Business Meals Team lunch to celebrate FY2020 results</t>
  </si>
  <si>
    <t>WEXP-00026312</t>
  </si>
  <si>
    <t>11499197.tif 11499198.tif 11499199.tif 11499200.tif 11499201.tif 11499202.tif 11499203.tif 11499204.tif 11499205.tif 11499206.tif 11499207.tif 11499208.tif 11499209.tif 11499210.tif 11499211.tif 11499212.tif 11499213.tif 11499214.tif 11499215.tif 11499216.tif</t>
  </si>
  <si>
    <t>Pick up checks from CKV for Line X</t>
  </si>
  <si>
    <t>Mileage Travel to FW was to perform a notarization for the Bob Davison at the Morningside location</t>
  </si>
  <si>
    <t>Mileage Travel to The Colony was to pickup and notarize some documents signed by Rad Cook on the Line X project</t>
  </si>
  <si>
    <t>Mileage Travel to CKV was to pickup checks written on the Line X project</t>
  </si>
  <si>
    <t>Mileage Pick up checks from CKV for Line X</t>
  </si>
  <si>
    <t>Toll Traveling from Rowlett, TX to Plano, The Colony and Fort Worth, TX</t>
  </si>
  <si>
    <t>Mileage Travel to CKV was to pickup checks written on the Line X project to Home</t>
  </si>
  <si>
    <t>Toll Travel to and from CKV in Plano, TX</t>
  </si>
  <si>
    <t>WEXP-00031745</t>
  </si>
  <si>
    <t>11499842.tif 11499843.tif 11499844.tif 11499845.tif 11499846.tif 11499847.tif 11499848.tif</t>
  </si>
  <si>
    <t>Lunch; Gas Supply appreciation lunch (Reimbursement up to $30)</t>
  </si>
  <si>
    <t>.Business Meals Lunch; Gas Supply appreciation lunch (Reimbursement up to $30)</t>
  </si>
  <si>
    <t>WEXP-00031094</t>
  </si>
  <si>
    <t>11477950.tif 11477951.tif 11477952.tif 11477953.tif 11477954.tif 11477955.tif 11477956.tif</t>
  </si>
  <si>
    <t>Saturday workday for YE close.  Approving JE's and other activities.  (Note: Deleted wife's entree)</t>
  </si>
  <si>
    <t>.Overtime Meal Saturday workday for YE close.  Approving JE's and other activities.  (Note: Deleted wife's entree)</t>
  </si>
  <si>
    <t>Postage Stamps used for Oracle AR invoices</t>
  </si>
  <si>
    <t>.Overtime Meal Working on Year-Begin for FY21.  Reviewing composite percentage calculation.</t>
  </si>
  <si>
    <t>WEXP-00031088</t>
  </si>
  <si>
    <t>11515021.tif 11515022.tif 11515023.tif 11515024.tif 11515025.tif 11515026.tif 11515027.tif 11515028.tif 11517286.tif 11517287.tif 11517173.tif 11517174.tif</t>
  </si>
  <si>
    <t>Month End Close lunch for Ashley</t>
  </si>
  <si>
    <t>.Business Meals Month End Close lunch for Ashley</t>
  </si>
  <si>
    <t>WEXP-00030401</t>
  </si>
  <si>
    <t>11478141.tif 11478142.tif 11478143.tif 11478144.tif 11478145.tif 11478146.tif 11478147.tif 11478148.tif 11478149.tif 11478150.tif 11478151.tif 11478152.tif 11478153.tif 11478154.tif 11478155.tif 11478156.tif 11478157.tif</t>
  </si>
  <si>
    <t>Year End Close treat for the department and birthday celebration for Ruth</t>
  </si>
  <si>
    <t>.Business Meals Year End Close treat for the department and birthday celebration for Ruth</t>
  </si>
  <si>
    <t>.Business Meals Year End Close treat for the department for Melissa Cheng</t>
  </si>
  <si>
    <t>.Business Meals Year End Close treat for the department for Greg Walls</t>
  </si>
  <si>
    <t>.Business Meals Year End Close treat for the department for Ashley Grantham</t>
  </si>
  <si>
    <t>WEXP-00030850</t>
  </si>
  <si>
    <t>11477190.tif 11477191.tif 11477192.tif</t>
  </si>
  <si>
    <t>Camera to be used for video conferencing</t>
  </si>
  <si>
    <t>Office Supplies Camera to be used for video conferencing</t>
  </si>
  <si>
    <t>WEXP-00030814</t>
  </si>
  <si>
    <t>11462475.tif 11462476.tif 11462477.tif</t>
  </si>
  <si>
    <t>RT Milage to work at remote contol room in Columbia, TN.</t>
  </si>
  <si>
    <t>Mileage RT Milage to work at remote contol room in Columbia, TN.</t>
  </si>
  <si>
    <t>WEXP-00031393</t>
  </si>
  <si>
    <t>11498648.tif 11498649.tif 11498650.tif</t>
  </si>
  <si>
    <t>Jimmy John's lunch for Take out Thursday</t>
  </si>
  <si>
    <t>.Business Meals Jimmy John's lunch for Take out Thursday</t>
  </si>
  <si>
    <t>WEXP-00031585</t>
  </si>
  <si>
    <t>11499386.tif 11499387.tif 11499388.tif</t>
  </si>
  <si>
    <t>Atmos Energy End of Fiscal Year Take Out Lunch</t>
  </si>
  <si>
    <t>.Social Meal &amp; Events Atmos Energy End of Fiscal Year Take Out Lunch</t>
  </si>
  <si>
    <t>WEXP-00031672</t>
  </si>
  <si>
    <t>11513919.tif 11513920.tif 11513921.tif 11513922.tif 11513923.tif 11513924.tif 11513925.tif</t>
  </si>
  <si>
    <t>Mileage to Atmos LC-II, LC-III, CKV &amp; USPS</t>
  </si>
  <si>
    <t>Mileage Mileage to Atmos LC-II, LC-III, CKV &amp; USPS</t>
  </si>
  <si>
    <t>.Business Meals Employee Appreciation &amp; FY 2020 Year End Town Hall</t>
  </si>
  <si>
    <t>WEXP-00030984</t>
  </si>
  <si>
    <t>11462108.tif 11462109.tif 11462110.tif 11462111.tif 11462112.tif 11462113.tif 11462114.tif 11462115.tif 11462116.tif 11462117.tif 11462118.tif</t>
  </si>
  <si>
    <t>Oct. 14, Monthly Visions photoshoot Greg Anderson, Heather Brown, The Station subdivision in Sachse. 22 miles</t>
  </si>
  <si>
    <t>Mileage Wylie Oct. 13, Monthly Visions photoshoot volunteer Brenda Gomez, Groves Elementary 18 miles, meals to parents in vehicles</t>
  </si>
  <si>
    <t>Mileage Aug. 25, Monthly Visions photoshoot Midway Park Elementary, Kelly Biegler, Darwin Winfield</t>
  </si>
  <si>
    <t>Mileage Sept. 14 Monthly Visions photoshoot AT&amp;T Plaza downtown, United Way of Metropolitan Dallas kickoff, 25</t>
  </si>
  <si>
    <t>Mileage Oct. 2 Monthly Visions photoshoot Mesquite ISD ReadPlayTalk, Jonathan Fredi donation for school bus retrofit 28</t>
  </si>
  <si>
    <t>Mileage Sept. 29 Monthly Visions photoshoot McKinney Mike Lehmann 28 miles, IT drive by retirement party at his house</t>
  </si>
  <si>
    <t>Mileage Sept. 17 Monthly Visions photoshoot Vogel Alcove Childcare Center, $10,000 Al Hernandez, 23 miles</t>
  </si>
  <si>
    <t>Mileage Oct. 14, Monthly Visions photoshoot Greg Anderson, Heather Brown, The Station subdivision in Sachse. 22 miles</t>
  </si>
  <si>
    <t>Mileage Sept. 11 Monthly Visions photoshoot Rowlett Chamber luncheon: Eva Hummel, Tim Gilbert, Jonathan Fredi 23 miles</t>
  </si>
  <si>
    <t>Mileage Sept. 10 Monthly Visions photoshoot North Akin Elementary Wylie $5,000 check from Eva to Wylie ISD Education Fund 22 miles</t>
  </si>
  <si>
    <t>Mileage Oct. 16 Monthly Visions photoshoot Hartman Elementary Wylie Sylvia Fernandez, lunches to parents in vehicles 24 miles</t>
  </si>
  <si>
    <t>WEXP-00031377</t>
  </si>
  <si>
    <t>CHC20201117-WD EXP</t>
  </si>
  <si>
    <t>11498916.tif 11498917.tif 11498918.tif 11498919.tif</t>
  </si>
  <si>
    <t>Approved lunch for VPP celebration</t>
  </si>
  <si>
    <t>.Business Meals Approved lunch for VPP celebration</t>
  </si>
  <si>
    <t>WEXP-00031106</t>
  </si>
  <si>
    <t>11477377.tif 11477378.tif 11477379.tif</t>
  </si>
  <si>
    <t>Lunch prior to asset integrity and reporting team meeting.</t>
  </si>
  <si>
    <t>.Business Meals Lunch prior to asset integrity and reporting team meeting.</t>
  </si>
  <si>
    <t>WEXP-00031734</t>
  </si>
  <si>
    <t>11499799.tif 11499800.tif 11499801.tif</t>
  </si>
  <si>
    <t>Team Lunch for TBS celebrating accomplishments of the year</t>
  </si>
  <si>
    <t>.Business Meals Team Lunch for TBS celebrating accomplishments of the year</t>
  </si>
  <si>
    <t>WEXP-00031511</t>
  </si>
  <si>
    <t>11498786.tif 11498787.tif 11498788.tif 11498789.tif</t>
  </si>
  <si>
    <t>.Social Meal &amp; Events Lunch; Gas Supply appreciation lunch (Reimbursement up to $30)</t>
  </si>
  <si>
    <t>WEXP-00031305</t>
  </si>
  <si>
    <t>11498254.tif 11498255.tif 11498256.tif 11498257.tif 11498258.tif 11498259.tif 11498260.tif 11498261.tif 11498262.tif</t>
  </si>
  <si>
    <t>Lunch to celebrate VPP announcement</t>
  </si>
  <si>
    <t>.Business Meals Lunch to celebrate VPP announcement</t>
  </si>
  <si>
    <t>Professional Dues Annual PMI membership dues for the Dallas chapter and the national chapter</t>
  </si>
  <si>
    <t>WEXP-00031627</t>
  </si>
  <si>
    <t>11499088.tif 11499089.tif 11499090.tif</t>
  </si>
  <si>
    <t>Shipped computer equipment from 7th floor cubicle  to Becky Cockrell</t>
  </si>
  <si>
    <t>Postage Shipped computer equipment from 7th floor to Becky</t>
  </si>
  <si>
    <t>Office Supplies Shipped computer equipment from 7th floor to Becky</t>
  </si>
  <si>
    <t>WEXP-00030252</t>
  </si>
  <si>
    <t>11498842.tif 11498843.tif 11498844.tif 11498845.tif 11498846.tif 11498847.tif 11498848.tif</t>
  </si>
  <si>
    <t>Blitz with Sharing the Warmth partner, The Senior Source</t>
  </si>
  <si>
    <t>Mileage Travelled to The Senior Source to present check/donation from Atmos Energy</t>
  </si>
  <si>
    <t>Mileage Check presentation to community partner Alrington Urban Ministries</t>
  </si>
  <si>
    <t>Mileage Blitz with Sharing the Warmth partner, The Senior Source</t>
  </si>
  <si>
    <t>Mileage Fueling Safe and Thriving Communities check donation to Rockwall Helping Hands</t>
  </si>
  <si>
    <t>Mileage Check presentation to our community partner Waxahachie Care</t>
  </si>
  <si>
    <t>Mileage Fueling Safe &amp; Thriving Communities check presentation to The Salvation Army - Garland, TX</t>
  </si>
  <si>
    <t>WEXP-00031149</t>
  </si>
  <si>
    <t>11477804.tif 11477805.tif 11477806.tif</t>
  </si>
  <si>
    <t>Lunch for end of the year celebration</t>
  </si>
  <si>
    <t>.Business Meals Lunch for end of the year celebration</t>
  </si>
  <si>
    <t>WEXP-00031363</t>
  </si>
  <si>
    <t>11498929.tif 11498930.tif 11498931.tif 11498932.tif 11498933.tif 11498934.tif 11498935.tif 11498936.tif 11498937.tif 11498938.tif 11498939.tif 11498940.tif 11498941.tif</t>
  </si>
  <si>
    <t>Lunch meal while working remotely per Kelli Martin</t>
  </si>
  <si>
    <t>.Business Meals Lunch meal while working remotely per Kelli Martin</t>
  </si>
  <si>
    <t>WEXP-00030983</t>
  </si>
  <si>
    <t>11462081.tif 11462082.tif 11462083.tif 11462084.tif 11462085.tif 11462086.tif 11462087.tif 11462088.tif 11462089.tif</t>
  </si>
  <si>
    <t>CPE Course for Common Frauds for CPA License Requirement</t>
  </si>
  <si>
    <t>Training CPE course from Dallas CPA Society for Common Frauds</t>
  </si>
  <si>
    <t>Training CPE Course from the National Association of Regulatory Utility Commissioners</t>
  </si>
  <si>
    <t>WEXP-00031855</t>
  </si>
  <si>
    <t>11513558.tif 11513559.tif 11513560.tif</t>
  </si>
  <si>
    <t>Purchase of Gift Card for retiring Rates employee, Jim Paul.</t>
  </si>
  <si>
    <t>Gifts Purchase of Gift Card for retiring Rates employee, Jim Paul.</t>
  </si>
  <si>
    <t>WEXP-00031680</t>
  </si>
  <si>
    <t>11499661.tif 11499662.tif</t>
  </si>
  <si>
    <t>Met Rick Siedelmann to to exchange Computer Equipment</t>
  </si>
  <si>
    <t>Mileage Met Rick Siedelmann to to exchange Computer Equipment</t>
  </si>
  <si>
    <t>285332</t>
  </si>
  <si>
    <t>Ortiz, Brianna (Brianna)</t>
  </si>
  <si>
    <t>WEXP-00031441</t>
  </si>
  <si>
    <t>11498774.tif 11498775.tif 11498776.tif</t>
  </si>
  <si>
    <t>Take-out Lunch Nov 12, 2020 VPP Lunch</t>
  </si>
  <si>
    <t>.Business Meals Take-Out Lunch        VPP Nov 12, 2020</t>
  </si>
  <si>
    <t>WEXP-00031809</t>
  </si>
  <si>
    <t>11513841.tif 11513842.tif 11513843.tif</t>
  </si>
  <si>
    <t>Lunch provided for Plant Accounting Oct-20 Close Workday 4</t>
  </si>
  <si>
    <t>.Business Meals Lunch provided for Plant Accounting Oct-20 Close Workday 4</t>
  </si>
  <si>
    <t>WEXP-00031813</t>
  </si>
  <si>
    <t>11513787.tif 11513788.tif 11513789.tif</t>
  </si>
  <si>
    <t>Lunch provided for Plant Accounting Nov-20 Close Workday 3</t>
  </si>
  <si>
    <t>.Business Meals Lunch provided for Plant Accounting Nov-20 Close Workday 3</t>
  </si>
  <si>
    <t>WEXP-00031814</t>
  </si>
  <si>
    <t>11513511.tif 11513512.tif 11513513.tif</t>
  </si>
  <si>
    <t>Lunch provided for Plant Accounting Nov-20 Close Workday 4</t>
  </si>
  <si>
    <t>.Business Meals Lunch provided for Plant Accounting Nov-20 Close Workday 4</t>
  </si>
  <si>
    <t>WEXP-00031808</t>
  </si>
  <si>
    <t>11513502.tif 11513503.tif 11513504.tif</t>
  </si>
  <si>
    <t>Lunch provided for Plant Accounting Oct-20 Close Workday 3</t>
  </si>
  <si>
    <t>.Business Meals Lunch provided for Plant Accounting Oct-20 Close Workday 3</t>
  </si>
  <si>
    <t>WEXP-00031060</t>
  </si>
  <si>
    <t>11477500.tif 11477501.tif 11477502.tif</t>
  </si>
  <si>
    <t>WEXP-00031534</t>
  </si>
  <si>
    <t>11498790.tif 11498791.tif 11498792.tif 11498793.tif 11498794.tif</t>
  </si>
  <si>
    <t>SHRM annual professional membership</t>
  </si>
  <si>
    <t>Association Dues SHRM annual professional membership</t>
  </si>
  <si>
    <t>.Business Meals Company sponsored meal to support local restaurants</t>
  </si>
  <si>
    <t>WEXP-00030471</t>
  </si>
  <si>
    <t>CHC20201102-WD EXP</t>
  </si>
  <si>
    <t>11461267.tif 11461268.tif 11461269.tif 11461270.tif 11461271.tif 11461272.tif 11461273.tif 11461274.tif 11461275.tif 11461276.tif 11461277.tif 11461278.tif 11461279.tif 11461280.tif</t>
  </si>
  <si>
    <t>WEXP-00031633</t>
  </si>
  <si>
    <t>11499126.tif 11499127.tif 11499128.tif 11499129.tif 11499130.tif 11499131.tif 11499132.tif 11499133.tif 11499134.tif</t>
  </si>
  <si>
    <t>Purchase ASTM D2517-18 Standard</t>
  </si>
  <si>
    <t>Books &amp; Manuals Purchase ASTM D2517-18 Standard</t>
  </si>
  <si>
    <t>Books &amp; Manuals Purchase ASTM D2855-20 Standard</t>
  </si>
  <si>
    <t>Books &amp; Manuals Purchase ASTM F3328-18 Standard</t>
  </si>
  <si>
    <t>Books &amp; Manuals Purchase ASTM D2564-12 2018 Standard</t>
  </si>
  <si>
    <t>WEXP-00031091</t>
  </si>
  <si>
    <t>11477490.tif 11477491.tif 11477492.tif 11477493.tif 11477494.tif 11477495.tif 11477496.tif</t>
  </si>
  <si>
    <t>Company paid lunch per Andy Treadway</t>
  </si>
  <si>
    <t>.Business Meals Company paid lunch per Andy Treadway</t>
  </si>
  <si>
    <t>WEXP-00031389</t>
  </si>
  <si>
    <t>11498620.tif 11498621.tif</t>
  </si>
  <si>
    <t>Compensation &amp; HRMS Quarterly celebration lunch to support local business</t>
  </si>
  <si>
    <t>.Business Meals Compensation &amp; HRMS Quarterly celebration lunch to support local business</t>
  </si>
  <si>
    <t>WEXP-00030932</t>
  </si>
  <si>
    <t>11461975.tif 11461976.tif 11461977.tif</t>
  </si>
  <si>
    <t>Lunch while teaching Installing Mains and Services virtual</t>
  </si>
  <si>
    <t>.Business Meals Lunch while teaching Installing Mains and Services virtual</t>
  </si>
  <si>
    <t>WEXP-00031188</t>
  </si>
  <si>
    <t>11477994.tif 11477995.tif 11477996.tif</t>
  </si>
  <si>
    <t>Lunch while training Fusion Virtual.</t>
  </si>
  <si>
    <t>.Business Meals Lunch while training Fusion Virtual.</t>
  </si>
  <si>
    <t>WEXP-00031716</t>
  </si>
  <si>
    <t>11499854.tif 11499855.tif 11499856.tif</t>
  </si>
  <si>
    <t>Lunch at Whataburger paid for by HR on 11/12.</t>
  </si>
  <si>
    <t>.Business Meals Lunch at Whataburger paid for by HR on 11/12.</t>
  </si>
  <si>
    <t>WEXP-00030365</t>
  </si>
  <si>
    <t>11513956.tif 11513957.tif 11513958.tif</t>
  </si>
  <si>
    <t>Attended AGA Residential Methane Detector Webinar for Shared Services group.</t>
  </si>
  <si>
    <t>Employee Development Expense Attended AGA Residential Methane Detector Webinar for Shared Services group.</t>
  </si>
  <si>
    <t>WEXP-00031077</t>
  </si>
  <si>
    <t>11477503.tif 11477504.tif 11477505.tif</t>
  </si>
  <si>
    <t>Myers Briggs survey for personal and team development</t>
  </si>
  <si>
    <t>Employee Development Expense Myers Briggs survey for personal and team development</t>
  </si>
  <si>
    <t>WEXP-00030763</t>
  </si>
  <si>
    <t>11461198.tif 11461199.tif 11461200.tif</t>
  </si>
  <si>
    <t>DATIA Drug and Alcohol Testing Industry Assoc Yearly Membership</t>
  </si>
  <si>
    <t>Professional Dues DATIA Drug and Alcohol Testing Industry Assoc Yearly Membership</t>
  </si>
  <si>
    <t>WEXP-00031391</t>
  </si>
  <si>
    <t>11498533.tif 11498534.tif 11498535.tif 11498536.tif</t>
  </si>
  <si>
    <t>Quarterly departmental lunch and VPP day announcement</t>
  </si>
  <si>
    <t>.Social Meal &amp; Events Quarterly departmental lunch and VPP day announcement</t>
  </si>
  <si>
    <t>WEXP-00030809</t>
  </si>
  <si>
    <t>11461650.tif 11461651.tif 11461652.tif 11461653.tif</t>
  </si>
  <si>
    <t>Hands free ear buds for company phone</t>
  </si>
  <si>
    <t>Office Supplies Hands free ear buds for company phone</t>
  </si>
  <si>
    <t>WEXP-00030910</t>
  </si>
  <si>
    <t>11461722.tif 11461723.tif 11461724.tif 11461725.tif 11461726.tif 11461727.tif 11461728.tif 11461729.tif 11461730.tif 11461731.tif 11461732.tif 11461733.tif 11461734.tif 11461735.tif 11461736.tif 11461737.tif</t>
  </si>
  <si>
    <t>Employee appreciation lunch for year end</t>
  </si>
  <si>
    <t>Books &amp; Manuals WSJ Online subscription May 2020 - October 2020</t>
  </si>
  <si>
    <t>.Business Meals Employee appreciation lunch for year end</t>
  </si>
  <si>
    <t>Training Registration for EEI/AGA Tax Conference Fall</t>
  </si>
  <si>
    <t>Training Registration for Legislative Affairs Meeting</t>
  </si>
  <si>
    <t>WEXP-00030645</t>
  </si>
  <si>
    <t>11461252.tif 11461253.tif 11461254.tif</t>
  </si>
  <si>
    <t>Stamps and tracking for 2021 Open Enrollment</t>
  </si>
  <si>
    <t>Postage Stamps and tracking for 2021 Open Enrollment</t>
  </si>
  <si>
    <t>WEXP-00031522</t>
  </si>
  <si>
    <t>11498756.tif 11498757.tif 11498758.tif</t>
  </si>
  <si>
    <t>VPP takout lunch at Black Walnut Cafe</t>
  </si>
  <si>
    <t>.Business Meals VPP lunch at Black Walnut Cafe</t>
  </si>
  <si>
    <t>WEXP-00031871</t>
  </si>
  <si>
    <t>11513674.tif 11513675.tif 11513676.tif</t>
  </si>
  <si>
    <t>Continuting Professional Education for CPA licese renewal for year 2021</t>
  </si>
  <si>
    <t>Training Continuting Professional Education for CPA licese renewal for year 2021</t>
  </si>
  <si>
    <t>WEXP-00031182</t>
  </si>
  <si>
    <t>11478161.tif 11478162.tif 11478163.tif 11478164.tif</t>
  </si>
  <si>
    <t>Registration for AGA Virtual Fall Accounting Conference</t>
  </si>
  <si>
    <t>Training Registration for AGA Virtual Fall Accounting Conference</t>
  </si>
  <si>
    <t>WEXP-00031660</t>
  </si>
  <si>
    <t>11513677.tif 11513678.tif 11513679.tif 11513680.tif 11513681.tif</t>
  </si>
  <si>
    <t>Card Your Yard for Penelope Furry Retirement</t>
  </si>
  <si>
    <t>Gifts Card Your Yard for Penelope Furry Retirement</t>
  </si>
  <si>
    <t>WEXP-00031288</t>
  </si>
  <si>
    <t>11498651.tif 11498652.tif 11498653.tif</t>
  </si>
  <si>
    <t>BPCM virtual business lunch to discuss VPP</t>
  </si>
  <si>
    <t>.Business Meals BPCM virtual business lunch to discuss VPP</t>
  </si>
  <si>
    <t>WEXP-00031744</t>
  </si>
  <si>
    <t>11499863.tif 11499864.tif 11499865.tif 11499866.tif 11499867.tif 11499868.tif 11499869.tif 11499870.tif</t>
  </si>
  <si>
    <t>Atmos 10 year anniversary celebration for Jeanna Camacho</t>
  </si>
  <si>
    <t>.Business Meals Atmos 10 year anniversary celebration for Jeanna Camacho</t>
  </si>
  <si>
    <t>.Business Meals BPCM team lunch to celebrate FY2020 successes (VPP)</t>
  </si>
  <si>
    <t>WEXP-00031003</t>
  </si>
  <si>
    <t>11477658.tif 11477659.tif 11477660.tif 11477661.tif 11477662.tif 11477663.tif 11477664.tif 11477665.tif 11477666.tif 11477667.tif 11477668.tif 11477669.tif 11477670.tif 11477671.tif</t>
  </si>
  <si>
    <t>Monthly rental expense for water filtration on the 5th floor</t>
  </si>
  <si>
    <t>Non-Inventory Supply Rental for water filteration machine on 5th floor</t>
  </si>
  <si>
    <t>Non-Inventory Supply Rental for water filtration machine on 5th floor</t>
  </si>
  <si>
    <t>Non-Inventory Supply Rental for Water purifier on the 18th floor</t>
  </si>
  <si>
    <t>Other - MC Dallas Morning News six month subscription for Matt Robbins</t>
  </si>
  <si>
    <t>Office Supplies Business Cards ordered for HR new hire, Ben Prado</t>
  </si>
  <si>
    <t>WEXP-00031136</t>
  </si>
  <si>
    <t>11477690.tif 11477691.tif 11477692.tif 11477693.tif</t>
  </si>
  <si>
    <t>Luch provided for the Asset Integrity &amp; Reporting group</t>
  </si>
  <si>
    <t>.Business Meals Luch provided for the Asset Integrity &amp; Reporting group</t>
  </si>
  <si>
    <t>WEXP-00030883</t>
  </si>
  <si>
    <t>11461822.tif 11461823.tif 11461824.tif</t>
  </si>
  <si>
    <t>Ink toner cartridges ordered for new color printer used to print documents.</t>
  </si>
  <si>
    <t>Office Supplies Ink toner cartridges ordered for new color printer used to print documents.</t>
  </si>
  <si>
    <t>WEXP-00030287</t>
  </si>
  <si>
    <t>11461567.tif 11461568.tif 11461569.tif 11461570.tif 11461571.tif 11461572.tif 11461573.tif 11461574.tif 11461575.tif 11461576.tif 11461577.tif 11461578.tif 11461579.tif 11461580.tif 11461581.tif 11461582.tif 11461583.tif 11461584.tif 11461585.tif 11461586.tif 11461587.tif 11461588.tif</t>
  </si>
  <si>
    <t>Service Anniversary Thank You Cookies</t>
  </si>
  <si>
    <t>.Social Meal &amp; Events Financial Reporting Department Monthly Lunch</t>
  </si>
  <si>
    <t>.Social Meal &amp; Events Service Anniversary Thank You Cookies</t>
  </si>
  <si>
    <t>WEXP-00031269</t>
  </si>
  <si>
    <t>11498574.tif 11498575.tif 11498576.tif</t>
  </si>
  <si>
    <t>year end review luncheon celebration</t>
  </si>
  <si>
    <t>.Business Meals year end review luncheon celebration</t>
  </si>
  <si>
    <t>WEXP-00031762</t>
  </si>
  <si>
    <t>11499913.tif 11499914.tif 11499915.tif</t>
  </si>
  <si>
    <t>Compensation &amp; HRMS Quarterly Update/Celebration</t>
  </si>
  <si>
    <t>.Business Meals Compensation &amp; HRMS Quarterly Update/Celebration</t>
  </si>
  <si>
    <t>WEXP-00032463</t>
  </si>
  <si>
    <t>CHC20201218-WD EXP</t>
  </si>
  <si>
    <t>LifeTime Legacy Design Strategies</t>
  </si>
  <si>
    <t>Other - MC LifeTime Legacy Program 2021 Annual Fee</t>
  </si>
  <si>
    <t>WEXP-00032395</t>
  </si>
  <si>
    <t>KAW20201216_1 WDEXP</t>
  </si>
  <si>
    <t>The Depository Trust Company, Record Date for SPR 049560105</t>
  </si>
  <si>
    <t>Proxy Solicitation Expenses The Depository Trust Company, Record Date for SPR 049560105</t>
  </si>
  <si>
    <t>WEXP-00032485</t>
  </si>
  <si>
    <t>The Depository Trust Company, Record Date for SPR</t>
  </si>
  <si>
    <t>Proxy Solicitation Expenses The Depository Trust Company, Record Date for SPR</t>
  </si>
  <si>
    <t>WEXP-00031712</t>
  </si>
  <si>
    <t>CHC20201201-WD EXP</t>
  </si>
  <si>
    <t>Registration fee for the webinar "Addressing the Operational Concerns with Hydrogen Blending in Distribution Pipelines"</t>
  </si>
  <si>
    <t>Employee Development - MC Registration fee for the webinar "Addressing the Operational Concerns with Hydrogen Blending in Distribution Pipelines"</t>
  </si>
  <si>
    <t>WEXP-00031956</t>
  </si>
  <si>
    <t>CHC20201209-WD EXP</t>
  </si>
  <si>
    <t>11563888.tif 11563889.tif 11563890.tif 11563891.tif</t>
  </si>
  <si>
    <t>Project Management training to remain current in the field of project management. Also, to accumulate professional development units (PDUs) to maintain the project management professional (PMP) certification</t>
  </si>
  <si>
    <t>Training Project Management training to remain current in the field of project management. Also, to accumulate professional development units (PDUs) to maintain the project management professional (PMP) certification</t>
  </si>
  <si>
    <t>WEXP-00030076</t>
  </si>
  <si>
    <t>CHC20201215-WD EXP</t>
  </si>
  <si>
    <t>11587195.tif 11587196.tif 11587197.tif 11587198.tif 11587199.tif 11587200.tif 11587201.tif 11587202.tif 11587203.tif 11587204.tif</t>
  </si>
  <si>
    <t>Payment for Mississippi 2020-2021 Bar Dues.</t>
  </si>
  <si>
    <t>Postage Copies for direct testimony-Docket U-35535</t>
  </si>
  <si>
    <t>Professional Dues Payment for Mississippi 2020-2021 Bar Dues.</t>
  </si>
  <si>
    <t>WEXP-00032495</t>
  </si>
  <si>
    <t>11588003.tif 11588004.tif 11588005.tif</t>
  </si>
  <si>
    <t>Food provided by Procurement team</t>
  </si>
  <si>
    <t>.Business Meals Procurement provided lunch before the holidays</t>
  </si>
  <si>
    <t>WEXP-00031931</t>
  </si>
  <si>
    <t>KAW20201202_WD EXP</t>
  </si>
  <si>
    <t>11546834.tif 11546835.tif 11546836.tif</t>
  </si>
  <si>
    <t>Contractual Law Training for Procurement, including a one hour seminar along with a large packet of information to reference.</t>
  </si>
  <si>
    <t>Training Contractual Law Training for Procurement, including a one hour seminar along with a large packet of information to reference.</t>
  </si>
  <si>
    <t>WEXP-00032301</t>
  </si>
  <si>
    <t>CHC20201211-WD EXP</t>
  </si>
  <si>
    <t>11564084.tif 11564085.tif 11564086.tif</t>
  </si>
  <si>
    <t>PollEverywhere license to conduct polls and surveys during meetings and presentations</t>
  </si>
  <si>
    <t>Software Maintenance PollEverywhere license to conduct polls and surveys during meetings and presentations</t>
  </si>
  <si>
    <t>WEXP-00031989</t>
  </si>
  <si>
    <t>CHC20201203-WD EXP</t>
  </si>
  <si>
    <t>11547156.tif 11547157.tif 11547158.tif 11547159.tif 11547160.tif</t>
  </si>
  <si>
    <t>TSBPA Individual License Renewal for annaul CPA license</t>
  </si>
  <si>
    <t>Professional Dues TSBPA Individual License Renewal for annaul CPA license</t>
  </si>
  <si>
    <t>Technical (Job Skills) Training Self Study CPE - Annual Update for Accountants and Auditors</t>
  </si>
  <si>
    <t>WEXP-00031671</t>
  </si>
  <si>
    <t>11547076.tif 11547077.tif 11547078.tif</t>
  </si>
  <si>
    <t>Check delivery/presentation of Fueling Safe &amp; Thriving Communities utility assistance donations</t>
  </si>
  <si>
    <t>Mileage Check delivery/presentation of Fueling Safe &amp; Thriving Communities utility assistance donations</t>
  </si>
  <si>
    <t>WEXP-00030296</t>
  </si>
  <si>
    <t>11546976.tif 11546977.tif 11546978.tif 11546979.tif 11546980.tif</t>
  </si>
  <si>
    <t>Texas State Board of Public Accountancy - License</t>
  </si>
  <si>
    <t>Office Supplies Black Ink Cartridge for home office HP Printer</t>
  </si>
  <si>
    <t>Covid</t>
  </si>
  <si>
    <t>Civic &amp; Club Dues Texas State Board of Public Accountancy - License</t>
  </si>
  <si>
    <t>WEXP-00031961</t>
  </si>
  <si>
    <t>11547119.tif 11547120.tif 11547121.tif</t>
  </si>
  <si>
    <t>BPCM Group Lunch over virtual meeting for end of fiscal year</t>
  </si>
  <si>
    <t>.Business Meals BPCM Group Lunch over virtual meeting for end of fiscal year</t>
  </si>
  <si>
    <t>WEXP-00032057</t>
  </si>
  <si>
    <t>KAW20201204_WDEXP</t>
  </si>
  <si>
    <t>11547574.tif 11547575.tif 11547576.tif 11547577.tif 11547578.tif 11547579.tif 11547580.tif 11547581.tif 11547582.tif 11547583.tif 11547584.tif 11547585.tif 11547586.tif 11547587.tif 11547588.tif 11547589.tif 11547590.tif 11547591.tif 11547592.tif 11547593.tif 11547594.tif</t>
  </si>
  <si>
    <t>Virtual Game Event for the Treasury and Accounts Payable Department</t>
  </si>
  <si>
    <t>.Business Meals Lunch for the mailroom to say thank you for all that they are doing</t>
  </si>
  <si>
    <t>.Business Meals Lunch for the mail guys to tell them thank you for all that they are doing!</t>
  </si>
  <si>
    <t>Entertainment &amp; Sports Events Virtual Game Event for the Treasury and Accounts Payable Department</t>
  </si>
  <si>
    <t>.Business Meals Lunch for the mailroom guys to say thank you for all that they are doing</t>
  </si>
  <si>
    <t>.Business Meals Lunch for the mailroom to let them know how much we appreciate them</t>
  </si>
  <si>
    <t>.Business Meals Lunch for the mailroom guys to let them know how much we appreciate them</t>
  </si>
  <si>
    <t>WEXP-00032713</t>
  </si>
  <si>
    <t>KAW20201228_1 WD EXP</t>
  </si>
  <si>
    <t>11614807.tif 11614808.tif 11614809.tif 11614810.tif</t>
  </si>
  <si>
    <t>Dallas Bar Association Annual Membership Dues</t>
  </si>
  <si>
    <t>Professional Dues Dallas Bar Association Annual Membership Dues</t>
  </si>
  <si>
    <t>WEXP-00032361</t>
  </si>
  <si>
    <t>CHC20201221-WD EXP</t>
  </si>
  <si>
    <t>11601494.tif 11601495.tif 11601496.tif</t>
  </si>
  <si>
    <t>Departmental appreciation lunch on December 9, 2020</t>
  </si>
  <si>
    <t>.Business Meals Departmental appreciation lunch on December 9, 2020</t>
  </si>
  <si>
    <t>WEXP-00032530</t>
  </si>
  <si>
    <t>11601518.tif 11601519.tif 11601520.tif</t>
  </si>
  <si>
    <t>WEXP-00032128</t>
  </si>
  <si>
    <t>CHC20201207-WD EXP</t>
  </si>
  <si>
    <t>11563290.tif 11563291.tif 11563292.tif</t>
  </si>
  <si>
    <t>WEXP-00032272</t>
  </si>
  <si>
    <t>11564185.tif 11564186.tif 11564187.tif</t>
  </si>
  <si>
    <t>WEXP-00032190</t>
  </si>
  <si>
    <t>11563930.tif 11563931.tif 11563932.tif 11563933.tif</t>
  </si>
  <si>
    <t>Ergonomic Home office chair for continued WFH</t>
  </si>
  <si>
    <t>Office Supplies Ergonomic Home office chair for continued WFH</t>
  </si>
  <si>
    <t>WEXP-00032515</t>
  </si>
  <si>
    <t>11587997.tif 11587998.tif 11587999.tif</t>
  </si>
  <si>
    <t>Business meal while teaching remotely monitoring distribution and pipeline systems.</t>
  </si>
  <si>
    <t>.Business Meals Business meal while teaching remotely monitoring distribution and pipeline systems.</t>
  </si>
  <si>
    <t>WEXP-00032151</t>
  </si>
  <si>
    <t>CHC20201208-WD EXP</t>
  </si>
  <si>
    <t>11563707.tif 11563708.tif 11563709.tif 11563710.tif 11563711.tif</t>
  </si>
  <si>
    <t>Business meal while working remotely and updating and improving the basic corrosion class testing employees and virtual meter reading</t>
  </si>
  <si>
    <t>.Business Meals Business meal while working remotely to teach Basic corrosion class</t>
  </si>
  <si>
    <t>.Business Meals Business meal while working remotely and updating and improving the basic corrosion class testing employees and virtual meter reading</t>
  </si>
  <si>
    <t>WEXP-00031860</t>
  </si>
  <si>
    <t>11547208.tif 11547209.tif 11547210.tif 11547211.tif 11547212.tif 11547213.tif 11547214.tif 11547215.tif 11547216.tif</t>
  </si>
  <si>
    <t>Business meal while observing Gas essentials while working remotely</t>
  </si>
  <si>
    <t>.Business Meals Business meal while observing Gas essentials while working remotely</t>
  </si>
  <si>
    <t>Excessive TipMissing Receipts/Other</t>
  </si>
  <si>
    <t>.Business Meals Business meal while working remotely to teach a monitoring class that began 8-31-2020</t>
  </si>
  <si>
    <t>.Business Meals Business meal while teaching the first week of basic corrosion</t>
  </si>
  <si>
    <t>.Business Meals Business meal while working remotely to teach basic corrosion</t>
  </si>
  <si>
    <t>WEXP-00032631</t>
  </si>
  <si>
    <t>KAW20201223_1 WDEXP</t>
  </si>
  <si>
    <t>11601822.tif 11601823.tif 11601824.tif 11601825.tif</t>
  </si>
  <si>
    <t>This was for a software maintenance upgrade to access the Atmos Energy network.</t>
  </si>
  <si>
    <t>Software Maintenance This was for a software maintenance upgrade to access the Atmos Energy network.</t>
  </si>
  <si>
    <t>WEXP-00031859</t>
  </si>
  <si>
    <t>11563238.tif 11563239.tif 11563240.tif</t>
  </si>
  <si>
    <t>Equipment for facilitation virtual Atmos Energy Essentials</t>
  </si>
  <si>
    <t>IT Equipment Equipment for facilitation virtual Atmos Energy Essentials</t>
  </si>
  <si>
    <t>WEXP-00030226</t>
  </si>
  <si>
    <t>11546541.tif 11546542.tif 11546543.tif 11546544.tif 11546545.tif 11546546.tif 11546547.tif 11546548.tif 11546549.tif 11546550.tif 11546551.tif 11546552.tif 11546553.tif 11546554.tif 11546555.tif</t>
  </si>
  <si>
    <t>Birthday gift for Claire Paris from Corporate Communications team.</t>
  </si>
  <si>
    <t>Technical (Job Skills) Training Registration for PRSA webinar on employee communications in crisis.</t>
  </si>
  <si>
    <t>Cell Phone Equipment &amp; Accessories Purchased monthly iCloud storage for company videos and pictures.</t>
  </si>
  <si>
    <t>Cell Phone Equipment &amp; Accessories Purchased monthly iCloud storage for company videos and photos.</t>
  </si>
  <si>
    <t>.Social Meal &amp; Events Birthday gift for Claire Paris from Corporate Communications team.</t>
  </si>
  <si>
    <t>WEXP-00032206</t>
  </si>
  <si>
    <t>CHC20201210-WD EXP REPROCESS</t>
  </si>
  <si>
    <t>11564033.tif 11564034.tif 11564035.tif 11564036.tif</t>
  </si>
  <si>
    <t>WEXP-00032487</t>
  </si>
  <si>
    <t>11587827.tif 11587828.tif 11587829.tif 11587830.tif</t>
  </si>
  <si>
    <t>Employee lunch while working remotley on Virtual Fusion Classes.</t>
  </si>
  <si>
    <t>.Business Meals Employee lunch while working remotley on Virtual Fusion Classes.</t>
  </si>
  <si>
    <t>WEXP-00032267</t>
  </si>
  <si>
    <t>11564147.tif 11564148.tif 11564149.tif</t>
  </si>
  <si>
    <t>WEXP-00031852</t>
  </si>
  <si>
    <t>11547175.tif 11547176.tif 11547177.tif</t>
  </si>
  <si>
    <t>WEXP-00032222</t>
  </si>
  <si>
    <t>11563817.tif 11563818.tif 11563819.tif</t>
  </si>
  <si>
    <t>Institute of Certified Records Managers Annual Dues</t>
  </si>
  <si>
    <t>Association Dues Institute of Certified Records Managers Annual Dues</t>
  </si>
  <si>
    <t>WEXP-00031743</t>
  </si>
  <si>
    <t>11546843.tif 11546844.tif 11546845.tif</t>
  </si>
  <si>
    <t>FR lunch for new hire Connor in internal audit</t>
  </si>
  <si>
    <t>.Business Meals FR Lunch for new hire Connor in Michelle Faulks group</t>
  </si>
  <si>
    <t>WEXP-00032405</t>
  </si>
  <si>
    <t>CHC20201217-WD EXP</t>
  </si>
  <si>
    <t>11587750.tif 11587751.tif 11587752.tif</t>
  </si>
  <si>
    <t>FR lunch for baby shower for Alona's soon to be new kiddo</t>
  </si>
  <si>
    <t>.Business Meals FR lunch for baby shower for Alona's soon to be new kiddo</t>
  </si>
  <si>
    <t>WEXP-00032352</t>
  </si>
  <si>
    <t>11587114.tif 11587115.tif 11587116.tif</t>
  </si>
  <si>
    <t>Cell phone case and screen protector for new work phone.</t>
  </si>
  <si>
    <t>Cell Phone Equipment &amp; Accessories Cell phone case and screen protector for new work phone.</t>
  </si>
  <si>
    <t>WEXP-00032685</t>
  </si>
  <si>
    <t>11614792.tif 11614793.tif 11614794.tif 11614795.tif</t>
  </si>
  <si>
    <t>Treasury Holiday Gathering take out luncheon 12-9-20</t>
  </si>
  <si>
    <t>.Business Meals Treasury Holiday Gathering take out luncheon 12-9-20</t>
  </si>
  <si>
    <t>WEXP-00032194</t>
  </si>
  <si>
    <t>11587090.tif 11587091.tif 11587092.tif 11587093.tif 11587094.tif 11587095.tif 11587096.tif 11587097.tif 11587098.tif</t>
  </si>
  <si>
    <t>Month End Close lunch for Ashley Grantham</t>
  </si>
  <si>
    <t>.Business Meals Month End Close lunch for Ashley Grantham</t>
  </si>
  <si>
    <t>WEXP-00031990</t>
  </si>
  <si>
    <t>11563158.tif 11563159.tif 11563160.tif 11563161.tif 11563162.tif 11563163.tif 11563164.tif 11563165.tif 11563166.tif 11563167.tif 11563168.tif 11563169.tif 11563170.tif 11563171.tif 11563172.tif 11563173.tif 11563174.tif</t>
  </si>
  <si>
    <t>Thanksgiving snack gift for Greg</t>
  </si>
  <si>
    <t>.Business Meals Thanksgiving snack gift for Ruth</t>
  </si>
  <si>
    <t>.Business Meals Thanksgiving snack gift for Ashley</t>
  </si>
  <si>
    <t>.Business Meals Thanksgiving snack gift for Greg</t>
  </si>
  <si>
    <t>.Business Meals Thanksgiving snack gift for Melissa</t>
  </si>
  <si>
    <t>WEXP-00032325</t>
  </si>
  <si>
    <t>11587210.tif 11587211.tif 11587212.tif 11587213.tif 11587214.tif</t>
  </si>
  <si>
    <t>BEAT THE HACKER HOLIDAY LUNCH FOR ACCOUNTS PAYABLE AND TREASURY</t>
  </si>
  <si>
    <t>.Social Meal &amp; Events BEAT THE HACKER HOLIDAY LUNCH FOR ACCOUNTS PAYABLE AND TREASURY</t>
  </si>
  <si>
    <t>WEXP-00032176</t>
  </si>
  <si>
    <t>11563621.tif 11563622.tif 11563623.tif</t>
  </si>
  <si>
    <t>Registration fee for SGA webinar 'Ethical Decision Making'.</t>
  </si>
  <si>
    <t>Training Registration fee for SGA webinar 'Ethical Decision Making'.</t>
  </si>
  <si>
    <t>WEXP-00031921</t>
  </si>
  <si>
    <t>11587256.tif 11587257.tif 11587258.tif 11587259.tif 11587260.tif 11587261.tif 11587262.tif</t>
  </si>
  <si>
    <t>Fingerprinting for state board license</t>
  </si>
  <si>
    <t>Employee Development Expense EEI/AGA Taxation Committee Virtual Meeting Nov 16-18</t>
  </si>
  <si>
    <t>Employee Development Expense Fingerprinting for state board license</t>
  </si>
  <si>
    <t>WEXP-00032207</t>
  </si>
  <si>
    <t>11587041.tif 11587042.tif 11587043.tif</t>
  </si>
  <si>
    <t>Lunch Expense - End-of-Year Celebration - 11/13/2020</t>
  </si>
  <si>
    <t>.Business Meals Lunch Expense - End-of-Year Celebration - 11/13/2020</t>
  </si>
  <si>
    <t>WEXP-00032464</t>
  </si>
  <si>
    <t>11587955.tif 11587956.tif 11587957.tif</t>
  </si>
  <si>
    <t>Lunch - Meet and Greet - Gas Supply New Employee - 12/14/2020</t>
  </si>
  <si>
    <t>.Business Meals Lunch - Meet and Greet - Gas Supply New Employee - 12/14/2020</t>
  </si>
  <si>
    <t>WEXP-00032191</t>
  </si>
  <si>
    <t>11563757.tif 11563758.tif 11563759.tif</t>
  </si>
  <si>
    <t>Logitech G935 Wireless DTS:X 7.1 Surround Sound LIGHTSYNC RGB PC Gaming Headset - Black, blue</t>
  </si>
  <si>
    <t>Office Supplies Logitech G935 Wireless DTS:X 7.1 Surround Sound LIGHTSYNC RGB PC Gaming Headset - Black, blue</t>
  </si>
  <si>
    <t>WEXP-00032102</t>
  </si>
  <si>
    <t>11563799.tif 11563800.tif 11563801.tif 11563802.tif 11563803.tif 11563804.tif 11563805.tif 11563806.tif 11563807.tif 11563808.tif 11563809.tif 11563810.tif 11563811.tif 11563812.tif 11563813.tif</t>
  </si>
  <si>
    <t>Prizes for second and third place in game played during Tax Department virtual meeting.</t>
  </si>
  <si>
    <t>Gifts Gift cards sent to each Tax Department employee for them to purchase food for our virtual meeting. These were split into two separate orders.</t>
  </si>
  <si>
    <t>Gifts Prize for winning game during Tax Department virtual meeting.</t>
  </si>
  <si>
    <t>Gifts Prizes for second and third place in game played during Tax Department virtual meeting.</t>
  </si>
  <si>
    <t>WEXP-00032523</t>
  </si>
  <si>
    <t>11601590.tif 11601591.tif 11601592.tif 11601593.tif 11601594.tif 11601595.tif 11601596.tif 11601597.tif 11601598.tif 11601599.tif 11601600.tif</t>
  </si>
  <si>
    <t>Q1 awesome teammate recognition prize for recipient</t>
  </si>
  <si>
    <t>Employee Welfare Expense Q1 awesome teammate recognition prize for submission</t>
  </si>
  <si>
    <t>Employee Welfare Expense Q1 awesome teammate recognition prize for recipient</t>
  </si>
  <si>
    <t>WEXP-00032040</t>
  </si>
  <si>
    <t>11547397.tif 11547398.tif 11547399.tif</t>
  </si>
  <si>
    <t>Lunch, Gas Supply appreciation lunch ( Reimbursement up to $30)</t>
  </si>
  <si>
    <t>.Social Meal &amp; Events Lunch, Gas Supply appreciation lunch ( Reimbursement up to $30)</t>
  </si>
  <si>
    <t>WEXP-00032366</t>
  </si>
  <si>
    <t>11587493.tif 11587494.tif 11587495.tif 11587496.tif 11587497.tif 11587498.tif 11587499.tif 11587500.tif 11587501.tif 11587502.tif 11587503.tif 11587504.tif</t>
  </si>
  <si>
    <t>WEXP-00032367</t>
  </si>
  <si>
    <t>11588057.tif 11588058.tif 11588059.tif 11588060.tif 11588061.tif 11588062.tif 11588063.tif 11588064.tif 11588065.tif 11588066.tif 11588067.tif 11588068.tif 11588069.tif 11588070.tif 11588071.tif 11588072.tif 11588073.tif 11588074.tif 11588075.tif 11588076.tif 11588077.tif 11588078.tif 11588079.tif 11588080.tif 11588081.tif 11588082.tif 11588083.tif 11588084.tif 11588085.tif 11588086.tif 11588087.tif 11588088.tif 11588089.tif 11588090.tif 11588091.tif 11588092.tif 11588093.tif 11588094.tif 11588095.tif 11588096.tif 11588097.tif 11588098.tif 11588099.tif 11588100.tif 11588101.tif 11588102.tif 11588103.tif 11588104.tif 11588105.tif 11588106.tif 11588107.tif 11588108.tif 11588109.tif 11588110.tif 11588111.tif 11588112.tif 11588113.tif 11588114.tif</t>
  </si>
  <si>
    <t>Benefits and Payroll accounting working lunch</t>
  </si>
  <si>
    <t>.Business Meals Take out Tuesday - Benefits &amp; Payroll Accounting</t>
  </si>
  <si>
    <t>WEXP-00032011</t>
  </si>
  <si>
    <t>11547646.tif 11547647.tif 11547648.tif</t>
  </si>
  <si>
    <t>To read business articles sent to me, and to be able to send articles of relevance to others.</t>
  </si>
  <si>
    <t>Employee Welfare Expense To read business articles sent to me, and to be able to send articles of relevance to others.</t>
  </si>
  <si>
    <t>288967</t>
  </si>
  <si>
    <t>Michael, Jennifer L (Jennifer)</t>
  </si>
  <si>
    <t>WEXP-00032390</t>
  </si>
  <si>
    <t>11587505.tif 11587506.tif 11587507.tif 11587508.tif 11587509.tif</t>
  </si>
  <si>
    <t>Tiff's Treats for Alona's virtual baby shower with the financial reporting team</t>
  </si>
  <si>
    <t>.Business Meals Tiff's Treats for Alona's virtual baby shower with the financial reporting team</t>
  </si>
  <si>
    <t>WEXP-00032551</t>
  </si>
  <si>
    <t>11601724.tif 11601725.tif 11601726.tif</t>
  </si>
  <si>
    <t>Allowance for department holiday lunch</t>
  </si>
  <si>
    <t>.Business Meals Allowance for department holiday lunch</t>
  </si>
  <si>
    <t>WEXP-00032403</t>
  </si>
  <si>
    <t>11587341.tif 11587342.tif 11587343.tif</t>
  </si>
  <si>
    <t>WEXP-00031801</t>
  </si>
  <si>
    <t>11547104.tif 11547105.tif 11547106.tif</t>
  </si>
  <si>
    <t>WEXP-00032152</t>
  </si>
  <si>
    <t>11563608.tif 11563609.tif 11563610.tif</t>
  </si>
  <si>
    <t>WEXP-00032342</t>
  </si>
  <si>
    <t>11587490.tif 11587491.tif 11587492.tif</t>
  </si>
  <si>
    <t>WEXP-00031588</t>
  </si>
  <si>
    <t>11546522.tif 11546523.tif 11546524.tif 11546525.tif 11546526.tif 11546527.tif 11546528.tif</t>
  </si>
  <si>
    <t>Upgrade of VMware Fusion 11 to Fusion 12 for running Windows in Mac environment</t>
  </si>
  <si>
    <t>Office Supplies Monthly subscription to Vyond animation software. Used to develop animation for Covid videos</t>
  </si>
  <si>
    <t>Office Supplies Upgrade of VMware Fusion 11 to Fusion 12 for running Windows in Mac environment</t>
  </si>
  <si>
    <t>WEXP-00031853</t>
  </si>
  <si>
    <t>11546459.tif 11546460.tif 11546461.tif 11546462.tif 11546463.tif 11546464.tif 11546465.tif 11546466.tif 11546467.tif 11546468.tif 11546469.tif</t>
  </si>
  <si>
    <t>Admin staff-Sandra's Birthday Expenses</t>
  </si>
  <si>
    <t>.Social Meal &amp; Events Admin staff-Sandra's Birthday Expenses</t>
  </si>
  <si>
    <t>WEXP-00032432</t>
  </si>
  <si>
    <t>11587550.tif 11587551.tif 11587552.tif 11587553.tif 11587554.tif 11587555.tif 11587556.tif 11587557.tif 11587558.tif</t>
  </si>
  <si>
    <t>Lunch for take out Thursday during end of year celebration</t>
  </si>
  <si>
    <t>Employee Welfare Expense Bridal shower decoration for Christina DeVincenzo.</t>
  </si>
  <si>
    <t>.Business Meals Lunch for take out Thursday during end of year celebration</t>
  </si>
  <si>
    <t>Employee Welfare Expense decorations for employee bridal shower celebration.</t>
  </si>
  <si>
    <t>Employee Welfare Expense decorations while celebrating a bridal shower for christina devincenzo.</t>
  </si>
  <si>
    <t>WEXP-00032422</t>
  </si>
  <si>
    <t>11587708.tif 11587709.tif 11587710.tif 11587711.tif 11587712.tif</t>
  </si>
  <si>
    <t>Purchase ASTM F2817-10 Standard</t>
  </si>
  <si>
    <t>Books &amp; Manuals Purchase CSA Z245 20 Series-18 1 Standard</t>
  </si>
  <si>
    <t>Books &amp; Manuals Purchase ASTM F2817-10 Standard</t>
  </si>
  <si>
    <t>WEXP-00032034</t>
  </si>
  <si>
    <t>11547543.tif 11547544.tif 11547545.tif 11547546.tif</t>
  </si>
  <si>
    <t>Quarterly Lunch Meal on Nov 12th</t>
  </si>
  <si>
    <t>.Business Meals Quarterly Lunch on Nov 12th for HRMS Team</t>
  </si>
  <si>
    <t>WEXP-00032648</t>
  </si>
  <si>
    <t>KAW20201229_WDEXP</t>
  </si>
  <si>
    <t>11615031.tif 11615032.tif 11615033.tif</t>
  </si>
  <si>
    <t>Annual continuing professional education course membership.</t>
  </si>
  <si>
    <t>Employee Development Expense Annual CPE course membership to obtain CPE hours in order to maintain CPA license.</t>
  </si>
  <si>
    <t>WEXP-00031721</t>
  </si>
  <si>
    <t>11546657.tif 11546658.tif 11546659.tif</t>
  </si>
  <si>
    <t>Lunch expense for BPCM VPP celebration lunch</t>
  </si>
  <si>
    <t>.Social Meal &amp; Events VPP Lunch celebration - Expense</t>
  </si>
  <si>
    <t>WEXP-00031883</t>
  </si>
  <si>
    <t>11563439.tif 11563440.tif 11563441.tif</t>
  </si>
  <si>
    <t>Jabra 510 Wireless Speaker for AtmoSpirit</t>
  </si>
  <si>
    <t>Office Supplies Jabra 510 Wireless Speaker for AtmoSpirit</t>
  </si>
  <si>
    <t>WEXP-00032484</t>
  </si>
  <si>
    <t>11588000.tif 11588001.tif 11588002.tif</t>
  </si>
  <si>
    <t>Take out lunch for the Corporate HR Holiday Virtual Party</t>
  </si>
  <si>
    <t>.Business Meals Take out lunch for the Corporate HR Holiday Virtual Party</t>
  </si>
  <si>
    <t>WEXP-00032248</t>
  </si>
  <si>
    <t>11564097.tif 11564098.tif 11564099.tif</t>
  </si>
  <si>
    <t>Lunch while teaching virtual Fusion Training</t>
  </si>
  <si>
    <t>.Business Meals Lunch while teaching virtual Fusion Training</t>
  </si>
  <si>
    <t>WEXP-00032357</t>
  </si>
  <si>
    <t>11587287.tif 11587288.tif 11587289.tif</t>
  </si>
  <si>
    <t>WEXP-00031789</t>
  </si>
  <si>
    <t>11546637.tif 11546638.tif 11546639.tif</t>
  </si>
  <si>
    <t>Lunch while teaching Fusion Class virtually</t>
  </si>
  <si>
    <t>.Business Meals Lunch while teaching Fusion Class virtually</t>
  </si>
  <si>
    <t>291704</t>
  </si>
  <si>
    <t>Rollins, Carrie (Carrie)</t>
  </si>
  <si>
    <t>WEXP-00031756</t>
  </si>
  <si>
    <t>11547172.tif 11547173.tif 11547174.tif</t>
  </si>
  <si>
    <t>Notary and UPS Fort Worth SC Lease SNDA</t>
  </si>
  <si>
    <t>Postage Notary and UPS Fort Worth SC Lease SNDA</t>
  </si>
  <si>
    <t>WEXP-00032516</t>
  </si>
  <si>
    <t>11587781.tif 11587782.tif 11587783.tif 11587784.tif</t>
  </si>
  <si>
    <t>Lunch from Chickfila paid for by HR for Holiday Celebration on 12/15</t>
  </si>
  <si>
    <t>.Business Meals Lunch from Chickfila paid for by HR for Holiday Celebration on 12/15</t>
  </si>
  <si>
    <t>WEXP-00032073</t>
  </si>
  <si>
    <t>11563186.tif 11563187.tif 11563188.tif 11563189.tif 11563190.tif 11563191.tif</t>
  </si>
  <si>
    <t>Austin Club Holiday Gratuity-Corporate Membership</t>
  </si>
  <si>
    <t>Employee Development Expense Registration for AGA Legislative Conference</t>
  </si>
  <si>
    <t>.Business Meals Austin Club Holiday Gratuity- Corporate Membership</t>
  </si>
  <si>
    <t>WEXP-00032119</t>
  </si>
  <si>
    <t>11563485.tif 11563486.tif 11563487.tif 11563488.tif 11563489.tif 11563490.tif 11563491.tif 11563492.tif 11563493.tif 11563494.tif 11563495.tif</t>
  </si>
  <si>
    <t>Gifts for Chairman Circle PAC members</t>
  </si>
  <si>
    <t>Gifts - PAC Gifts for Chairman Circle PAC members</t>
  </si>
  <si>
    <t>WEXP-00031955</t>
  </si>
  <si>
    <t>11547090.tif 11547091.tif 11547092.tif 11547093.tif 11547094.tif 11547095.tif 11547096.tif</t>
  </si>
  <si>
    <t>Postage for mailing letters to retirees from home</t>
  </si>
  <si>
    <t>Postage Postage for mailing letters to retirees from home</t>
  </si>
  <si>
    <t>.Business Meals Benefits Team Lunch to celebrate successful fiscal year results</t>
  </si>
  <si>
    <t>Postage Mail letter to attorney in Belgium for benefits payable to beneficiary of Chantal Banze</t>
  </si>
  <si>
    <t>WEXP-00031851</t>
  </si>
  <si>
    <t>11564090.tif 11564091.tif 11564092.tif 11564093.tif</t>
  </si>
  <si>
    <t>Project Management Professional Exam Fee Reimbursement</t>
  </si>
  <si>
    <t>Training Project Management Professional Exam Fee Reimbursement</t>
  </si>
  <si>
    <t>WEXP-00031155</t>
  </si>
  <si>
    <t>11563442.tif 11563443.tif 11563444.tif 11563445.tif 11563446.tif 11563447.tif 11563448.tif 11563449.tif 11563450.tif 11563451.tif 11563452.tif 11563453.tif 11563454.tif 11563455.tif 11563456.tif 11563457.tif</t>
  </si>
  <si>
    <t>Label Printer for James LaBounty</t>
  </si>
  <si>
    <t>.Business Meals Keurig Rentals - L2/16 East &amp; West Breakrooms</t>
  </si>
  <si>
    <t>Office Supplies Label Printer for James LaBounty</t>
  </si>
  <si>
    <t>Employee Welfare Expense Sympathy - Liz Richey's Father - Larry Scott Jr.</t>
  </si>
  <si>
    <t>WEXP-00032123</t>
  </si>
  <si>
    <t>11564040.tif 11564041.tif 11564042.tif 11564043.tif</t>
  </si>
  <si>
    <t>Rich Gius - 2021 Society for Information Dues</t>
  </si>
  <si>
    <t>Professional Dues Rich Gius - 2021 Society for Information Dues</t>
  </si>
  <si>
    <t>WEXP-00032282</t>
  </si>
  <si>
    <t>11587293.tif 11587294.tif 11587295.tif</t>
  </si>
  <si>
    <t>ordered business lunch during ap/treasury holiday gathering</t>
  </si>
  <si>
    <t>.Business Meals ordered business lunch during ap/treasury luncheon</t>
  </si>
  <si>
    <t>290318</t>
  </si>
  <si>
    <t>Simmons, Darrien L (Darrien)</t>
  </si>
  <si>
    <t>WEXP-00031904</t>
  </si>
  <si>
    <t>11563271.tif 11563272.tif 11563273.tif 11563274.tif 11563275.tif</t>
  </si>
  <si>
    <t>Shipping of RSA token for remote working.</t>
  </si>
  <si>
    <t>Postage Shipping of RSA token for remote working.</t>
  </si>
  <si>
    <t>Postage Shipping of RSA token for remote work login.</t>
  </si>
  <si>
    <t>WEXP-00032303</t>
  </si>
  <si>
    <t>11587610.tif 11587611.tif 11587612.tif</t>
  </si>
  <si>
    <t>Contractor Gift / Holiday Season</t>
  </si>
  <si>
    <t>Gifts Contractor Gift / Holiday Season</t>
  </si>
  <si>
    <t>WEXP-00032642</t>
  </si>
  <si>
    <t>11602097.tif 11602098.tif 11602099.tif 11602100.tif 11602101.tif</t>
  </si>
  <si>
    <t>Take Our Friday Appreciation Lunch</t>
  </si>
  <si>
    <t>Meals &amp; Alcohol - Entertainment &amp; Sports Departmental Holiday Appreciation Lunch</t>
  </si>
  <si>
    <t>.Social Meal &amp; Events Take Our Friday Appreciation Lunch</t>
  </si>
  <si>
    <t>WEXP-00032455</t>
  </si>
  <si>
    <t>11601583.tif 11601584.tif 11601585.tif 11601586.tif 11601587.tif 11601588.tif 11601589.tif</t>
  </si>
  <si>
    <t>Business Lunch with Chris Felan and Doug Walther to discuss status of rate filings</t>
  </si>
  <si>
    <t>Training National Association of Regulatory Utility Commissioners Annual Meeting Registration Fee</t>
  </si>
  <si>
    <t>Alcohol Business Lunch with Chris Felan and Doug Walther to discuss status of rate filings</t>
  </si>
  <si>
    <t>.Business Meals Business Lunch with Sharon Whiting and Joe Christian to Discuss Status of Rate Filings</t>
  </si>
  <si>
    <t>.Business Meals Business Lunch with Chris Felan and Doug Walther to discuss status of rate filings</t>
  </si>
  <si>
    <t>WEXP-00031531</t>
  </si>
  <si>
    <t>11563458.tif 11563459.tif 11563460.tif 11563461.tif 11563462.tif 11563463.tif 11563464.tif 11563465.tif 11563466.tif 11563467.tif 11563468.tif 11563469.tif 11563470.tif 11563471.tif 11563472.tif</t>
  </si>
  <si>
    <t>Service Awards Celebration Lunch</t>
  </si>
  <si>
    <t>.Business Meals Project Review with Legal Department</t>
  </si>
  <si>
    <t>.Business Meals Shared Services Director's Lunch Meeting</t>
  </si>
  <si>
    <t>Professional Dues PE license Renewal for State of Texas</t>
  </si>
  <si>
    <t>Professional Dues PE License Renewal for Kentucky</t>
  </si>
  <si>
    <t>.Business Meals Service Awards Celebration Lunch</t>
  </si>
  <si>
    <t>.Business Meals UCAD Reporting - Lunch Working Meeting</t>
  </si>
  <si>
    <t>WEXP-00032401</t>
  </si>
  <si>
    <t>11601629.tif 11601630.tif 11601631.tif 11601632.tif 11601633.tif 11601634.tif 11601635.tif 11601636.tif 11601637.tif 11601638.tif 11601639.tif 11601640.tif 11601641.tif 11601642.tif 11601643.tif 11601644.tif 11601645.tif</t>
  </si>
  <si>
    <t>Popcorn for Vendor, Blue Star Diagnostics</t>
  </si>
  <si>
    <t>Office Supplies Black Printer Ink and Filebox for Work Files</t>
  </si>
  <si>
    <t>Postage Postage Stamps for Mailing verification of employments, etc</t>
  </si>
  <si>
    <t>Community Relations &amp; Trade Shows Popcorn for vendor, Blue Star Diagnostics Plano Office</t>
  </si>
  <si>
    <t>Mileage Dropping off Package for Blue Star Diagnostic in Plano</t>
  </si>
  <si>
    <t>Mileage Meeting employee, James Rust at Occumed in Garland on Forest Lane to drop off COC form for testing.  eCOC system was down.</t>
  </si>
  <si>
    <t>Community Relations &amp; Trade Shows Peanut Brittle for Vendor, Blue Star Diagnostics Plano Office</t>
  </si>
  <si>
    <t>.Business Meals Lunch supporting local businesses during our HR Teams Call</t>
  </si>
  <si>
    <t>Office Supplies Color Printer Ink and Copier Paper</t>
  </si>
  <si>
    <t>WEXP-00032674</t>
  </si>
  <si>
    <t>11614804.tif 11614805.tif 11614806.tif</t>
  </si>
  <si>
    <t>Christmas Lunch for Fitz's on Mon 12/21 no physical receipt because i ordered it on a delivery app.</t>
  </si>
  <si>
    <t>.Social Meal &amp; Events Christmas Lunch for Fitz's on Mon 12/21 no physical receipt because i ordered it on a delivery app.</t>
  </si>
  <si>
    <t>WEXP-00032278</t>
  </si>
  <si>
    <t>11564159.tif 11564160.tif 11564161.tif</t>
  </si>
  <si>
    <t>Lunch during the Comp/HRMS Leaders meeting</t>
  </si>
  <si>
    <t>.Business Meals Lunch during the Comp/HRMS Leaders meeting</t>
  </si>
  <si>
    <t>WEXP-00032664</t>
  </si>
  <si>
    <t>11602090.tif 11602091.tif 11602092.tif 11602093.tif 11602094.tif 11602095.tif 11602096.tif</t>
  </si>
  <si>
    <t>HR Corporate Holiday luncheon and games</t>
  </si>
  <si>
    <t>.Social Meal &amp; Events HR Corporate Holiday luncheon and games</t>
  </si>
  <si>
    <t>WEXP-00032042</t>
  </si>
  <si>
    <t>11563433.tif 11563434.tif 11563435.tif</t>
  </si>
  <si>
    <t>Black printer cartridge for printing work documents</t>
  </si>
  <si>
    <t>Office Supplies Black printer cartridge for printing work documents</t>
  </si>
  <si>
    <t>WEXP-00032269</t>
  </si>
  <si>
    <t>11564201.tif 11564202.tif 11564203.tif</t>
  </si>
  <si>
    <t>Gathering to recognize 5 yr anniversary, new employee and end of yr end processes.</t>
  </si>
  <si>
    <t>.Business Meals Gathering to recognize 5 yr anniversary, new employee and end of yr end processes.</t>
  </si>
  <si>
    <t>WEXP-00032212</t>
  </si>
  <si>
    <t>11564136.tif 11564137.tif 11564138.tif 11564139.tif 11564140.tif 11564141.tif 11564142.tif 11564143.tif</t>
  </si>
  <si>
    <t>Treasury Holiday Lunch on Dec 9, 2020</t>
  </si>
  <si>
    <t>.Social Meal &amp; Events Treasury Holiday Lunch 12.9.10</t>
  </si>
  <si>
    <t>Training 2020 NIRI Virtual Conference - December 2020</t>
  </si>
  <si>
    <t>WEXP-00032348</t>
  </si>
  <si>
    <t>11587126.tif 11587127.tif 11587128.tif 11587129.tif 11587130.tif 11587131.tif</t>
  </si>
  <si>
    <t>Ethics and Professional Conduct for Texas CPAs - required for renewal</t>
  </si>
  <si>
    <t>Professional Dues Texas State Board of Public Accountancy Annual renewal</t>
  </si>
  <si>
    <t>Training Ethics and Professional Conduct for Texas CPAs - required for renewal</t>
  </si>
  <si>
    <t>WEXP-00031820</t>
  </si>
  <si>
    <t>11546729.tif 11546730.tif 11546731.tif</t>
  </si>
  <si>
    <t>CPA License Renewal Fee Year 2021 Texas CPA</t>
  </si>
  <si>
    <t>Professional Dues CPA License Renewal Fee Year 2021 Texas CPA</t>
  </si>
  <si>
    <t>WEXP-00032252</t>
  </si>
  <si>
    <t>11588039.tif 11588040.tif 11588041.tif</t>
  </si>
  <si>
    <t>Wireless Headphones for Office use</t>
  </si>
  <si>
    <t>Office Supplies Wireless Headphones for Office Use</t>
  </si>
  <si>
    <t>WEXP-00032295</t>
  </si>
  <si>
    <t>11564195.tif 11564196.tif 11564197.tif</t>
  </si>
  <si>
    <t>Texas:  Ethics and Professional Conduct for Texas CPAs</t>
  </si>
  <si>
    <t>Employee Development Expense Texas:  Ethics and Professional Conduct for Texas CPAs</t>
  </si>
  <si>
    <t>WEXP-00032293</t>
  </si>
  <si>
    <t>11564198.tif 11564199.tif 11564200.tif</t>
  </si>
  <si>
    <t>CPA License Renewal -Jan 2021-Dec 2021</t>
  </si>
  <si>
    <t>Professional Dues CPA License Renewal- Jan 21-Dec 21</t>
  </si>
  <si>
    <t>WEXP-00031994</t>
  </si>
  <si>
    <t>11547623.tif 11547624.tif 11547625.tif</t>
  </si>
  <si>
    <t>Tableau Visual Analytics to enhance company's dashboard visualizations</t>
  </si>
  <si>
    <t>Training Tableau Visual Analytics to enhance company's dashboard visualizations</t>
  </si>
  <si>
    <t>WEXP-00032087</t>
  </si>
  <si>
    <t>11563870.tif 11563871.tif 11563872.tif 11563873.tif 11563874.tif 11563875.tif 11563876.tif 11563877.tif 11563878.tif 11563879.tif 11563880.tif 11563881.tif 11563882.tif 11563883.tif</t>
  </si>
  <si>
    <t>Monthly charge (Nov) for the water purifier on the 5th floor</t>
  </si>
  <si>
    <t>Non-Inventory Supply Monthly charge (Oct) for the water purifier on the 5th floor</t>
  </si>
  <si>
    <t>Non-Inventory Supply Monthly charge (Oct) for the water purifier on the 18th floor</t>
  </si>
  <si>
    <t>Non-Inventory Supply Monthly charge  18th (Nov.) for the water purifier on the 5th floor</t>
  </si>
  <si>
    <t>Non-Inventory Supply Monthly charge (Nov) for the water purifier on the 5th floor</t>
  </si>
  <si>
    <t>Other - MC November charge for the Wall Street Journal for Matt Robbins</t>
  </si>
  <si>
    <t>No Detailed Reciept</t>
  </si>
  <si>
    <t>WEXP-00032482</t>
  </si>
  <si>
    <t>11588012.tif 11588013.tif 11588014.tif 11588015.tif 11588016.tif 11588017.tif 11588018.tif</t>
  </si>
  <si>
    <t>Printer Cartridges for Printer</t>
  </si>
  <si>
    <t>Office Supplies Printer Cartridges for Printer</t>
  </si>
  <si>
    <t>Office Supplies 2021 Calendar Pages for Day Planner</t>
  </si>
  <si>
    <t>WEXP-00031899</t>
  </si>
  <si>
    <t>11547036.tif 11547037.tif 11547038.tif 11547039.tif 11547040.tif 11547041.tif 11547042.tif 11547043.tif 11547044.tif 11547045.tif 11547046.tif 11547047.tif 11547048.tif 11547049.tif 11547050.tif 11547051.tif 11547052.tif 11547053.tif 11547054.tif 11547055.tif 11547056.tif 11547057.tif 11547058.tif 11547059.tif 11547060.tif 11547061.tif 11547062.tif 11547063.tif 11547064.tif 11547065.tif 11547066.tif</t>
  </si>
  <si>
    <t>Financial Reporting Lunch to Welcome Conner Wilkins to the Team</t>
  </si>
  <si>
    <t>Employee Welfare Expense Birthday wishes from payroll department to Julie Formanek</t>
  </si>
  <si>
    <t>.Social Meal &amp; Events Financial Reporting Lunch to Welcome Conner Wilkins to the Team</t>
  </si>
  <si>
    <t>Postage Accounting Dpt - Shipping for End of Year Backpacks</t>
  </si>
  <si>
    <t>.Social Meal &amp; Events 4th Quarter Service Anniversary Appreciation Lunch</t>
  </si>
  <si>
    <t>.Overtime Meal Worked late receiving and placing orders for welcome lunch for Connor Wilkins for Financial Department</t>
  </si>
  <si>
    <t>WEXP-00032525</t>
  </si>
  <si>
    <t>11601408.tif 11601409.tif 11601410.tif 11601411.tif 11601412.tif 11601413.tif 11601414.tif 11601415.tif 11601416.tif 11601417.tif 11601418.tif 11601419.tif 11601420.tif 11601421.tif 11601422.tif 11601423.tif 11601424.tif 11601425.tif 11601426.tif</t>
  </si>
  <si>
    <t>Sympathy Meal for Jack VanBuren</t>
  </si>
  <si>
    <t>.Social Meal &amp; Events Financial reporting staff meeting lunch</t>
  </si>
  <si>
    <t>.Spouse Meal &amp; Alcohol Sympathy meal to Jack Van Buren</t>
  </si>
  <si>
    <t>.Spouse Meal &amp; Alcohol Sympathy Meal for Jack VanBuren</t>
  </si>
  <si>
    <t>WEXP-00032406</t>
  </si>
  <si>
    <t>11587272.tif 11587273.tif 11587274.tif</t>
  </si>
  <si>
    <t>work meeting-holiday game for treasury dept</t>
  </si>
  <si>
    <t>.Business Meals work meeting-holiday game for treasury dept</t>
  </si>
  <si>
    <t>WEXP-00032462</t>
  </si>
  <si>
    <t>11587837.tif 11587838.tif 11587839.tif 11587840.tif</t>
  </si>
  <si>
    <t>Gathering for Corporate HR Holiday Party</t>
  </si>
  <si>
    <t>.Business Meals Gathering for Corporate HR Holiday Party</t>
  </si>
  <si>
    <t>WEXP-00032460</t>
  </si>
  <si>
    <t>11588022.tif 11588023.tif 11588024.tif</t>
  </si>
  <si>
    <t>Gathering to recognize 5-yr anniversary and new employee and completion of year-end processes.</t>
  </si>
  <si>
    <t>.Business Meals Gathering to recognize 5-yr anniversary and new employee and completion of year-end processes.</t>
  </si>
  <si>
    <t>April 2020 - March 2021</t>
  </si>
  <si>
    <t>WEXP-00032677</t>
  </si>
  <si>
    <t>CHC20210105-WD EXP</t>
  </si>
  <si>
    <t>11635385.tif 11635386.tif 11635387.tif 11635388.tif 11635389.tif</t>
  </si>
  <si>
    <t>Risk and Insurance Management Society Membership Dues for 2021</t>
  </si>
  <si>
    <t>Professional Dues Risk and Insurance Management Society Membership Dues for 2021</t>
  </si>
  <si>
    <t>WEXP-00033204</t>
  </si>
  <si>
    <t>CHC20210122-WD EXP</t>
  </si>
  <si>
    <t>11675472.tif 11675473.tif 11675474.tif</t>
  </si>
  <si>
    <t>Lunch Day 4 November 2020 Close</t>
  </si>
  <si>
    <t>.Business Meals Lunch Day 4 November 2020 Close</t>
  </si>
  <si>
    <t>WEXP-00033207</t>
  </si>
  <si>
    <t>KAW20210127_WDEXP</t>
  </si>
  <si>
    <t>11689836.tif 11689837.tif 11689838.tif 11689839.tif 11689840.tif</t>
  </si>
  <si>
    <t>Lunch Day 3 December 2020 Close</t>
  </si>
  <si>
    <t>.Business Meals Lunch Day 3 December 2020 Close</t>
  </si>
  <si>
    <t>WEXP-00033206</t>
  </si>
  <si>
    <t>11675439.tif 11675440.tif 11675441.tif</t>
  </si>
  <si>
    <t>Lunch Day 3 November 2020 Close</t>
  </si>
  <si>
    <t>.Business Meals Lunch Day 3 November 2020 Close</t>
  </si>
  <si>
    <t>WEXP-00033209</t>
  </si>
  <si>
    <t>11689962.tif 11689963.tif 11689964.tif 11689965.tif 11689966.tif</t>
  </si>
  <si>
    <t>Lunch Day 4 December 2020 Close</t>
  </si>
  <si>
    <t>.Business Meals Lunch Day 4 December 2020 Close</t>
  </si>
  <si>
    <t>WEXP-00033363</t>
  </si>
  <si>
    <t>11689630.tif 11689631.tif 11689632.tif</t>
  </si>
  <si>
    <t>In support of "Take-out Tuesday" - lunch for self from Jimmy Johns on 1-26-21.</t>
  </si>
  <si>
    <t>.Business Meals Order for self from Jimmy Johns in support of "Take-out Tuesday"</t>
  </si>
  <si>
    <t>WEXP-00032904</t>
  </si>
  <si>
    <t>CHC20210111-WD EXP</t>
  </si>
  <si>
    <t>11652243.tif 11652244.tif 11652245.tif</t>
  </si>
  <si>
    <t>Purchase of filing cabinet for home office setup.</t>
  </si>
  <si>
    <t>Office Supplies Purchase of filing cabinet for home office setup.</t>
  </si>
  <si>
    <t>WEXP-00032382</t>
  </si>
  <si>
    <t>11635849.tif 11635850.tif 11635851.tif 11635852.tif 11635853.tif</t>
  </si>
  <si>
    <t>Copies for Staff Direct Testimony.  Docket No. U-35535.</t>
  </si>
  <si>
    <t>Office Supplies Copy for Staff Direct Testimony for Docket U-35535.</t>
  </si>
  <si>
    <t>IT Equipment Purchase equipment for home computer system.</t>
  </si>
  <si>
    <t>WEXP-00032923</t>
  </si>
  <si>
    <t>11652246.tif 11652247.tif 11652248.tif 11652249.tif 11652250.tif 11652251.tif 11652252.tif 11652253.tif 11652254.tif 11652255.tif 11652256.tif 11652257.tif 11652258.tif 11652259.tif 11652260.tif 11652261.tif</t>
  </si>
  <si>
    <t>Virtual Annual Chamber Meeting  Sponsorship</t>
  </si>
  <si>
    <t>Education Donation to UTA for Atmos Energy Board Member Diana Walters' Father</t>
  </si>
  <si>
    <t>Donation</t>
  </si>
  <si>
    <t>Employee Welfare Expense Bundtini Cakes for Bridal Shower Baskets</t>
  </si>
  <si>
    <t>Office Supplies Office Supplies for use while working from home</t>
  </si>
  <si>
    <t>Employee Broadcast &amp; Publication Company Employee Year-End Video Production Costs</t>
  </si>
  <si>
    <t>WEXP-00033094</t>
  </si>
  <si>
    <t>11675403.tif 11675404.tif 11675405.tif 11675406.tif 11675407.tif 11675408.tif</t>
  </si>
  <si>
    <t>office and technology supplies mouse and keyboard</t>
  </si>
  <si>
    <t>IT Equipment office and technology supplies mouse and keyboard</t>
  </si>
  <si>
    <t>IT Equipment printer monitor and docking station</t>
  </si>
  <si>
    <t>WEXP-00033232</t>
  </si>
  <si>
    <t>CHC20210125-WD EXP</t>
  </si>
  <si>
    <t>11689423.tif 11689424.tif 11689425.tif</t>
  </si>
  <si>
    <t>New MacBook computer 13-inch MacBook Pro - Space Gray</t>
  </si>
  <si>
    <t>IT Equipment New MacBook computer 13-inch MacBook Pro - Space Gray</t>
  </si>
  <si>
    <t>010.38913</t>
  </si>
  <si>
    <t>WEXP-00032736</t>
  </si>
  <si>
    <t>KAW20210120_WDEXP</t>
  </si>
  <si>
    <t>11675247.tif 11675248.tif 11675249.tif</t>
  </si>
  <si>
    <t>Employee Holiday Meal Gift Cards</t>
  </si>
  <si>
    <t>Gifts Employee holiday meal gift cards</t>
  </si>
  <si>
    <t>WEXP-00033070</t>
  </si>
  <si>
    <t>KAW20210118_1 WDEXP</t>
  </si>
  <si>
    <t>11674963.tif 11674964.tif 11674965.tif</t>
  </si>
  <si>
    <t>Protective case for company phone.</t>
  </si>
  <si>
    <t>Cell Phone Equipment &amp; Accessories Protective case for company phone.</t>
  </si>
  <si>
    <t>WEXP-00033005</t>
  </si>
  <si>
    <t>11674947.tif 11674948.tif 11674949.tif 11674950.tif 11674951.tif 11674952.tif 11674953.tif 11674954.tif 11674955.tif 11674956.tif 11674957.tif 11674958.tif 11674959.tif 11674960.tif 11674961.tif 11674962.tif</t>
  </si>
  <si>
    <t>Office supplies &amp; snacks for Gas Control offices in Franklin and Columbia</t>
  </si>
  <si>
    <t>Non-Inventory Supply Purchase of communications module for RTU SCADA test purposes</t>
  </si>
  <si>
    <t>Office Supplies Office supplies &amp; snacks for Gas Control offices in Franklin and Columbia</t>
  </si>
  <si>
    <t>Office Supplies Supplies for Gas Control offices in Franklin &amp; Columbia</t>
  </si>
  <si>
    <t>.Business Meals Office supplies &amp; snacks for Gas Control offices in Franklin and Columbia</t>
  </si>
  <si>
    <t>.Business Meals Meeting to discuss Gas Operations in Columbia</t>
  </si>
  <si>
    <t>.Social Meal &amp; Events Thanksgiving dinner for both Gas Control offices (Columbia &amp; Franklin)</t>
  </si>
  <si>
    <t>Mileage Mileage Report 11/25/2020-12/26/2020</t>
  </si>
  <si>
    <t>.Social Meal &amp; Events Christmas dinner for both Gas Control offices (Columbia &amp; Franklin)</t>
  </si>
  <si>
    <t>248838</t>
  </si>
  <si>
    <t>Carranza, Abelardo G (Abel)</t>
  </si>
  <si>
    <t>WEXP-00033020</t>
  </si>
  <si>
    <t>CHC20210114-WD EXP</t>
  </si>
  <si>
    <t>11652489.tif 11652490.tif 11652491.tif</t>
  </si>
  <si>
    <t>Portable Power battery for PC in case of a power outage</t>
  </si>
  <si>
    <t>IT Equipment Portable Power battery for PC in case of a power outage</t>
  </si>
  <si>
    <t>WEXP-00033219</t>
  </si>
  <si>
    <t>CHC20210126-WD EXP</t>
  </si>
  <si>
    <t>11689531.tif 11689532.tif 11689533.tif</t>
  </si>
  <si>
    <t>WEXP-00032887</t>
  </si>
  <si>
    <t>KAW20210107_WDEXP</t>
  </si>
  <si>
    <t>11636597.tif 11636598.tif 11636599.tif</t>
  </si>
  <si>
    <t>WEXP-00033055</t>
  </si>
  <si>
    <t>11674887.tif 11674888.tif 11674889.tif</t>
  </si>
  <si>
    <t>WEXP-00032612</t>
  </si>
  <si>
    <t>11675116.tif 11675117.tif 11675118.tif 11675119.tif 11675120.tif 11675121.tif 11675122.tif 11675123.tif 11675124.tif 11675125.tif 11675126.tif 11675127.tif 11675128.tif 11675129.tif 11675130.tif 11675131.tif 11675132.tif 11675133.tif 11675134.tif 11675135.tif</t>
  </si>
  <si>
    <t>Benefit Accounting Department Christmas Lunch</t>
  </si>
  <si>
    <t>Employee Development Expense Continuing Education Requirement</t>
  </si>
  <si>
    <t>Professional Dues Texas Board of Accountancy CPA License Renewal</t>
  </si>
  <si>
    <t>Professional Dues New Mexcico CPA License Renewal</t>
  </si>
  <si>
    <t>Professional Dues The Institute Internal Auditors License Renewal</t>
  </si>
  <si>
    <t>.Business Meals Benefit Accounting Department Christmas Lunch</t>
  </si>
  <si>
    <t>WEXP-00032579</t>
  </si>
  <si>
    <t>11635880.tif 11635881.tif 11635882.tif 11635883.tif 11635884.tif</t>
  </si>
  <si>
    <t>Annual State Licensing Fee for State of Texas</t>
  </si>
  <si>
    <t>Professional Dues Annual State Licensing Fee for State of Texas</t>
  </si>
  <si>
    <t>.Business Meals Retirement Luncheon for department employee</t>
  </si>
  <si>
    <t>WEXP-00033129</t>
  </si>
  <si>
    <t>11689363.tif 11689364.tif 11689365.tif 11689366.tif 11689367.tif 11689368.tif 11689369.tif 11689370.tif</t>
  </si>
  <si>
    <t>Reconnect lunch with Giselle, Joanne, and Joe</t>
  </si>
  <si>
    <t>Employee Development Expense 2021 NARUC Winter Policy Summit</t>
  </si>
  <si>
    <t>.Business Meals Reconnect lunch with Giselle, Joanne, and Joe</t>
  </si>
  <si>
    <t>Professional Dues Annual Membership to the Society of Utility and Regulatory  Financial Analyst</t>
  </si>
  <si>
    <t>WEXP-00032704</t>
  </si>
  <si>
    <t>CHC20210108-WD EXP</t>
  </si>
  <si>
    <t>11636838.tif 11636839.tif 11636840.tif 11636841.tif 11636842.tif</t>
  </si>
  <si>
    <t>Office supplies for home office</t>
  </si>
  <si>
    <t>Office Supplies Office supplies for home office</t>
  </si>
  <si>
    <t>WEXP-00032880</t>
  </si>
  <si>
    <t>11636616.tif 11636617.tif 11636618.tif 11636619.tif 11636620.tif 11636621.tif</t>
  </si>
  <si>
    <t>Lunch during HR Corporate holiday celebration.</t>
  </si>
  <si>
    <t>.Social Meal &amp; Events Lunch to acknowledge work on year end projects and welcome new hire.</t>
  </si>
  <si>
    <t>.Social Meal &amp; Events Lunch during HR Corporate holiday celebration.</t>
  </si>
  <si>
    <t>WEXP-00033263</t>
  </si>
  <si>
    <t>11689759.tif 11689760.tif 11689761.tif 11689762.tif 11689763.tif 11689764.tif 11689765.tif</t>
  </si>
  <si>
    <t>Business meal while teaching corrosion basics class virtually</t>
  </si>
  <si>
    <t>.Business Meals Business meal while teaching corrosion basics class virtually</t>
  </si>
  <si>
    <t>IT Equipment USB splitter to replace the Dell computer Hub that stoppedworking</t>
  </si>
  <si>
    <t>.Business Meals Meal while teaching corrosion basics class virtually.</t>
  </si>
  <si>
    <t>WEXP-00033262</t>
  </si>
  <si>
    <t>11689726.tif 11689727.tif 11689728.tif 11689729.tif 11689730.tif</t>
  </si>
  <si>
    <t>Business meal while teaching technical training classes virtually.</t>
  </si>
  <si>
    <t>Office Supplies Printer purchased for printing training related documents for virtual classes.</t>
  </si>
  <si>
    <t>.Business Meals Business meal while teaching technical training classes virtually.</t>
  </si>
  <si>
    <t>WEXP-00032694</t>
  </si>
  <si>
    <t>11635797.tif 11635798.tif 11635799.tif 11635800.tif 11635801.tif 11635802.tif</t>
  </si>
  <si>
    <t>Attending virtual EEI and AGA taxation conference</t>
  </si>
  <si>
    <t>Gifts Gift Card from income tax team to Brian Conner</t>
  </si>
  <si>
    <t>Training Attendance of virtual EEI/AGA taxation committe meeting</t>
  </si>
  <si>
    <t>WEXP-00033271</t>
  </si>
  <si>
    <t>11689585.tif 11689586.tif 11689587.tif 11689588.tif</t>
  </si>
  <si>
    <t>Membership renewal fees for Australian Certified Public Accounting fees.  Invoice is in Austrian dollars.  USD translated amount is $506.52 per credit card statemen</t>
  </si>
  <si>
    <t>Professional Dues Membership renewal fees for Australian Certified Public Accounting fees.  Invoice is in Austrian dollars.  USD translated amount is $506.52 per credit card statemen</t>
  </si>
  <si>
    <t>WEXP-00032986</t>
  </si>
  <si>
    <t>CHC20210112-WD EXP</t>
  </si>
  <si>
    <t>11652344.tif 11652345.tif 11652346.tif 11652347.tif 11652348.tif 11652349.tif</t>
  </si>
  <si>
    <t>Annual due Project Management Institute</t>
  </si>
  <si>
    <t>Association Dues Project Management Institute annual dues</t>
  </si>
  <si>
    <t>Employee Development Expense Clifton Strength Finders for leadership essentials training</t>
  </si>
  <si>
    <t>WEXP-00032953</t>
  </si>
  <si>
    <t>11652053.tif 11652054.tif 11652055.tif</t>
  </si>
  <si>
    <t>Motion Array Subscription renewal for stock video, templates and royalty-free music for enterprise video projects.</t>
  </si>
  <si>
    <t>Software Maintenance Motion Array Subscription renewal for stock video, templates and royalty-free music for enterprise video projects.</t>
  </si>
  <si>
    <t>WEXP-00033045</t>
  </si>
  <si>
    <t>11674972.tif 11674973.tif 11674974.tif</t>
  </si>
  <si>
    <t>Employee lunch while working remotely ov Virtual Fusion Classes, and WFD Safety Meeting.</t>
  </si>
  <si>
    <t>.Business Meals Employee lunch while working remotely ov Virtual Fusion Classes, and WFD Safety Meeting.</t>
  </si>
  <si>
    <t>WEXP-00032962</t>
  </si>
  <si>
    <t>11652202.tif 11652203.tif 11652204.tif</t>
  </si>
  <si>
    <t>WEXP-00033669</t>
  </si>
  <si>
    <t>KAW20210129_JAN-WDEXP</t>
  </si>
  <si>
    <t>11690560.tif 11690561.tif 11690562.tif 11690563.tif</t>
  </si>
  <si>
    <t>Employee lunch while working remotely on Virtual Fusion Classes, and WFD Safety Meeting.</t>
  </si>
  <si>
    <t>.Business Meals Employee lunch while working remotely on Virtual Fusion Classes, and WFD Safety Meeting.</t>
  </si>
  <si>
    <t>WEXP-00033216</t>
  </si>
  <si>
    <t>11689579.tif 11689580.tif 11689581.tif</t>
  </si>
  <si>
    <t>Employee lunch while working remotely on Virtual Fusion Classes and attending WFD All Hands Meeting.</t>
  </si>
  <si>
    <t>.Business Meals Employee lunch while working remotely on Virtual Fusion Classes and attending WFD All Hands Meeting.</t>
  </si>
  <si>
    <t>WEXP-00033266</t>
  </si>
  <si>
    <t>11689513.tif 11689514.tif 11689515.tif 11689516.tif 11689517.tif 11689518.tif</t>
  </si>
  <si>
    <t>Annual Donation to ARMA International, Inc.</t>
  </si>
  <si>
    <t>Association Dues Annual Dues to ARMA International, Inc.</t>
  </si>
  <si>
    <t>Donations Annual Donation to ARMA International, Inc.</t>
  </si>
  <si>
    <t>WEXP-00033054</t>
  </si>
  <si>
    <t>11674969.tif 11674970.tif 11674971.tif</t>
  </si>
  <si>
    <t>2021 Energy Bar Association Dues - Frank</t>
  </si>
  <si>
    <t>Professional Dues 2021 Energy Bar Association Dues - Frank</t>
  </si>
  <si>
    <t>WEXP-00033126</t>
  </si>
  <si>
    <t>11675136.tif 11675137.tif 11675138.tif 11675139.tif 11675140.tif 11675141.tif 11675142.tif 11675143.tif 11675144.tif 11675145.tif 11675146.tif 11675147.tif 11675148.tif 11675149.tif 11675150.tif 11675151.tif 11675152.tif 11675153.tif 11675154.tif 11675155.tif 11675156.tif 11675157.tif 11675158.tif 11675159.tif 11675160.tif 11675161.tif 11675162.tif 11675163.tif 11675164.tif 11675165.tif 11675166.tif 11675167.tif 11675168.tif 11675169.tif 11675170.tif 11675171.tif 11675172.tif 11675173.tif 11675174.tif 11675175.tif 11675176.tif 11675177.tif 11675178.tif 11675179.tif 11675180.tif 11675181.tif 11675182.tif 11675183.tif 11675184.tif 11675185.tif 11675186.tif 11675187.tif 11675188.tif 11675189.tif 11675190.tif 11675191.tif 11675192.tif 11675193.tif 11675194.tif 11675195.tif 11675196.tif 11675197.tif 11675198.tif 11675199.tif 11675200.tif 11675201.tif</t>
  </si>
  <si>
    <t>Holiday gifts to coworkers in the Tax Department.</t>
  </si>
  <si>
    <t>Gifts Gift card to coworker in the Tax Department as part of the holiday party.</t>
  </si>
  <si>
    <t>Entertainment &amp; Sports Events Holiday gifts to coworkers in the Tax Department.</t>
  </si>
  <si>
    <t>Entertainment &amp; Sports Events Holiday gifts to coworkers in the Tax Department.  Expense amount excludes 2 gingerbread houses that were later returned.</t>
  </si>
  <si>
    <t>Gifts Gift card as part of the Tax Department holiday party.</t>
  </si>
  <si>
    <t>Mileage Toured Groesbeck facility with Property Tax Appraiser.</t>
  </si>
  <si>
    <t>WEXP-00032791</t>
  </si>
  <si>
    <t>KAW20210106-WDEXP</t>
  </si>
  <si>
    <t>11636229.tif 11636230.tif 11636231.tif 11636232.tif 11636233.tif 11636234.tif 11636235.tif 11636236.tif 11636237.tif 11636238.tif 11636239.tif 11636240.tif 11636241.tif 11636242.tif 11636243.tif 11636244.tif 11636245.tif 11636246.tif 11636247.tif 11636248.tif 11636249.tif 11636250.tif 11636251.tif 11636252.tif 11636253.tif 11636254.tif 11636255.tif 11636256.tif 11636257.tif 11636258.tif 11636259.tif 11636260.tif 11636261.tif 11636262.tif 11636263.tif 11636264.tif 11636265.tif 11636266.tif 11636267.tif 11636268.tif 11636269.tif 11636270.tif 11636271.tif 11636272.tif 11636273.tif 11636188.tif 11636189.tif 11636190.tif 11636191.tif 11636192.tif 11636193.tif 11636194.tif 11636195.tif 11636196.tif 11636197.tif 11636198.tif 11636199.tif 11636200.tif 11636201.tif 11636202.tif 11636203.tif 11636204.tif 11636205.tif 11636206.tif 11636207.tif 11636208.tif 11636209.tif 11636210.tif 11636211.tif 11636212.tif 11636213.tif</t>
  </si>
  <si>
    <t>Travel to and from Rad Cook for signatures and CKV for checks for Line X Project</t>
  </si>
  <si>
    <t>Mileage Travel to and from Rad Cook for signatures and CKV for checks for Line X Project</t>
  </si>
  <si>
    <t>Toll Travel to and from Rad Cook for signatures and CKV for checks for Line X Project</t>
  </si>
  <si>
    <t>WEXP-00032847</t>
  </si>
  <si>
    <t>11636600.tif 11636601.tif 11636602.tif</t>
  </si>
  <si>
    <t>Purchase JBL headset for work from home</t>
  </si>
  <si>
    <t>IT Equipment Purchase JBL headset for work from home</t>
  </si>
  <si>
    <t>WEXP-00032925</t>
  </si>
  <si>
    <t>11637068.tif 11637069.tif 11637070.tif</t>
  </si>
  <si>
    <t>Registration fee for virtual seminar sponsored by Mid-Cities Human Resources Association, titled, "2021 MCHRA Virtual Employment Law Conference."</t>
  </si>
  <si>
    <t>Training Registration fee for virtual seminar sponsored by Mid-Cities Human Resources Association, titled, "2021 MCHRA Virtual Employment Law Conference."</t>
  </si>
  <si>
    <t>WEXP-00032500</t>
  </si>
  <si>
    <t>11636693.tif 11636694.tif 11636695.tif 11636696.tif 11636697.tif 11636698.tif 11636699.tif 11636700.tif 11636701.tif 11636702.tif 11636703.tif 11636704.tif 11636705.tif 11636706.tif 11636707.tif 11636708.tif 11636709.tif 11636710.tif 11636711.tif 11636712.tif 11636713.tif</t>
  </si>
  <si>
    <t>Annual CPA license dues required by State of Texas</t>
  </si>
  <si>
    <t>Postage Postage for Oracle AR invoices.</t>
  </si>
  <si>
    <t>Professional Dues Annual CPA license dues required by State of Texas</t>
  </si>
  <si>
    <t>291092</t>
  </si>
  <si>
    <t>Goodson, John (John)</t>
  </si>
  <si>
    <t>WEXP-00033098</t>
  </si>
  <si>
    <t>CHC20210121-WD EXP</t>
  </si>
  <si>
    <t>11675323.tif 11675324.tif 11675325.tif</t>
  </si>
  <si>
    <t>satellite phones for security/risk vital communications</t>
  </si>
  <si>
    <t>IT Equipment satellite phones (2) + Minutes plan</t>
  </si>
  <si>
    <t>010.38887</t>
  </si>
  <si>
    <t>WEXP-00032975</t>
  </si>
  <si>
    <t>11675085.tif 11675086.tif 11675087.tif 11675088.tif 11675089.tif 11675090.tif</t>
  </si>
  <si>
    <t>Quarter End Close lunch for Ashley Grantham</t>
  </si>
  <si>
    <t>.Business Meals Quarter End Close lunch for Ashley Grantham</t>
  </si>
  <si>
    <t>WEXP-00032947</t>
  </si>
  <si>
    <t>11675205.tif 11675206.tif 11675207.tif 11675208.tif 11675209.tif</t>
  </si>
  <si>
    <t>WEXP-00032747</t>
  </si>
  <si>
    <t>11636613.tif 11636614.tif 11636615.tif</t>
  </si>
  <si>
    <t>Christmas lunch for Ashley Grantham</t>
  </si>
  <si>
    <t>.Business Meals Christmas lunch for Ashley Grantham</t>
  </si>
  <si>
    <t>WEXP-00031075</t>
  </si>
  <si>
    <t>11689596.tif 11689597.tif 11689598.tif 11689599.tif 11689600.tif 11689601.tif 11689602.tif 11689603.tif 11689604.tif 11689605.tif 11689606.tif 11689607.tif 11689608.tif 11689609.tif 11689610.tif 11689611.tif 11689612.tif 11689613.tif 11689614.tif 11689615.tif</t>
  </si>
  <si>
    <t>Lunch Meeting to discuss Performance / Opportunity</t>
  </si>
  <si>
    <t>Office Supplies HP All in One Printer including Ink</t>
  </si>
  <si>
    <t>.Business Meals Lunch meeting to discuss consulting agreement</t>
  </si>
  <si>
    <t>.Business Meals Lunch meeting to discuss Performance Review</t>
  </si>
  <si>
    <t>.Business Meals Lunch Meeting to discuss Performance / Opportunity</t>
  </si>
  <si>
    <t>Non-Inventory Supply Purchased Chair for Home Office</t>
  </si>
  <si>
    <t>010.38930</t>
  </si>
  <si>
    <t>Employee Development Expense Registration Fee: 2020 Virtual AGA Executive Conference</t>
  </si>
  <si>
    <t>.Business Meals Lunch - Site Visit / Inspection GVA on 10/21/20</t>
  </si>
  <si>
    <t>WEXP-00032836</t>
  </si>
  <si>
    <t>11652507.tif 11652508.tif 11652509.tif</t>
  </si>
  <si>
    <t>Mileage for Secondary Gas Control Office</t>
  </si>
  <si>
    <t>Mileage Mileage for Secondary Gas Control Office</t>
  </si>
  <si>
    <t>WEXP-00033058</t>
  </si>
  <si>
    <t>11675015.tif 11675016.tif 11675017.tif</t>
  </si>
  <si>
    <t>IT equipment; required all purpose backup battery for emergency purposes included but not limited to laptops, phones, etc.</t>
  </si>
  <si>
    <t>IT Equipment IT equipment; required all purpose backup battery for emergency purposes included but not limited to laptops, phones, etc.</t>
  </si>
  <si>
    <t>WEXP-00032901</t>
  </si>
  <si>
    <t>11636717.tif 11636718.tif 11636719.tif</t>
  </si>
  <si>
    <t>Registration fee for virtual AGA Gas Utility Operations Best Practices 2021 Kickoff Meeting</t>
  </si>
  <si>
    <t>Employee Development Expense Registration fee for virtual AGA Gas Utility Operations Best Practices 2021 Kickoff Meeting</t>
  </si>
  <si>
    <t>WEXP-00033150</t>
  </si>
  <si>
    <t>11675497.tif 11675498.tif 11675499.tif 11675500.tif 11675501.tif 11675502.tif 11675503.tif 11675504.tif 11675505.tif 11675506.tif 11675507.tif 11675508.tif 11675509.tif 11675510.tif</t>
  </si>
  <si>
    <t>Virtual Holiday Lunch Mtg for Rates &amp; Business Planning Dept.</t>
  </si>
  <si>
    <t>.Social Meal &amp; Events Virtual Holiday Lunch Mtg for Rates &amp; Business Planning Dept.</t>
  </si>
  <si>
    <t>Civic &amp; Club Dues Amazon Prime Membership Fee - Annual Renewal + Tax</t>
  </si>
  <si>
    <t>WEXP-00032749</t>
  </si>
  <si>
    <t>11635400.tif 11635401.tif 11635402.tif 11635403.tif 11635404.tif</t>
  </si>
  <si>
    <t>Take out Wednesday $15 limit......department meeting</t>
  </si>
  <si>
    <t>.Business Meals Take out Wed....department meeting......</t>
  </si>
  <si>
    <t>.Business Meals Take out Tuesday...$15 limit.................</t>
  </si>
  <si>
    <t>WEXP-00032855</t>
  </si>
  <si>
    <t>11636493.tif 11636494.tif 11636495.tif</t>
  </si>
  <si>
    <t>Monthly subscription reading business articles</t>
  </si>
  <si>
    <t>Employee Welfare Expense Monthly subscription reading business articles</t>
  </si>
  <si>
    <t>WEXP-00033395</t>
  </si>
  <si>
    <t>KAW20210128_1 WDEXP</t>
  </si>
  <si>
    <t>11690078.tif 11690079.tif 11690080.tif</t>
  </si>
  <si>
    <t>Take out Tuesday Lunch (15.00)</t>
  </si>
  <si>
    <t>.Business Meals Take out Tuesday Lunch (15.00)</t>
  </si>
  <si>
    <t>WEXP-00033138</t>
  </si>
  <si>
    <t>11675078.tif 11675079.tif 11675080.tif 11675081.tif</t>
  </si>
  <si>
    <t>ASCM (APICS) Annual Membership Dues 2021</t>
  </si>
  <si>
    <t>Professional Dues ASCM (APICS) Annual Membership Dues 2021</t>
  </si>
  <si>
    <t>WEXP-00033122</t>
  </si>
  <si>
    <t>CHC20210119-WD EXP</t>
  </si>
  <si>
    <t>11674978.tif 11674979.tif 11674980.tif</t>
  </si>
  <si>
    <t>WEXP-00033306</t>
  </si>
  <si>
    <t>11690505.tif 11690506.tif 11690507.tif</t>
  </si>
  <si>
    <t>WEXP-00033046</t>
  </si>
  <si>
    <t>11674921.tif 11674922.tif 11674923.tif 11674924.tif</t>
  </si>
  <si>
    <t>292743</t>
  </si>
  <si>
    <t>Nie, Ruoxi (Ruoxi)</t>
  </si>
  <si>
    <t>WEXP-00033036</t>
  </si>
  <si>
    <t>11689879.tif 11689880.tif 11689881.tif</t>
  </si>
  <si>
    <t>IT Equipment; Required all-purpose backup battery for emergency purposes including but not limited to: Laptops, phones, etc.</t>
  </si>
  <si>
    <t>IT Equipment IT Equipment; Required all-purpose backup battery for emergency purposes including but not limited to: Laptops, phones, etc.</t>
  </si>
  <si>
    <t>WEXP-00032838</t>
  </si>
  <si>
    <t>11636155.tif 11636156.tif 11636157.tif</t>
  </si>
  <si>
    <t>WEXP-00033410</t>
  </si>
  <si>
    <t>11690401.tif 11690402.tif 11690403.tif</t>
  </si>
  <si>
    <t>Backup battery for emergency preparedness</t>
  </si>
  <si>
    <t>IT Equipment Backup battery for emergency preparedness</t>
  </si>
  <si>
    <t>WEXP-00032787</t>
  </si>
  <si>
    <t>11636005.tif 11636006.tif 11636007.tif</t>
  </si>
  <si>
    <t>Meal for virtual corporate HR holiday party</t>
  </si>
  <si>
    <t>.Business Meals Meal for virtual corporate HR holiday party</t>
  </si>
  <si>
    <t>WEXP-00033226</t>
  </si>
  <si>
    <t>11689496.tif 11689497.tif 11689498.tif</t>
  </si>
  <si>
    <t>Introduction to Natural Gas Industry</t>
  </si>
  <si>
    <t>Employee Development Expense Introduction to Natural Gas Industry</t>
  </si>
  <si>
    <t>WEXP-00033280</t>
  </si>
  <si>
    <t>11689473.tif 11689474.tif 11689475.tif 11689476.tif 11689477.tif 11689478.tif 11689479.tif</t>
  </si>
  <si>
    <t>Annual InfraGard Dues for the North Texas Chapter</t>
  </si>
  <si>
    <t>Entertainment &amp; Sports Events Virtual Escape Room - Team Building</t>
  </si>
  <si>
    <t>Civic &amp; Club Dues Annual InfraGard Dues for the North Texas Chapter</t>
  </si>
  <si>
    <t>WEXP-00032844</t>
  </si>
  <si>
    <t>11636501.tif 11636502.tif 11636503.tif 11636504.tif 11636505.tif 11636506.tif 11636507.tif 11636508.tif 11636509.tif 11636510.tif 11636511.tif 11636512.tif 11636513.tif 11636514.tif 11636515.tif 11636516.tif 11636517.tif 11636518.tif 11636519.tif 11636520.tif 11636521.tif 11636522.tif 11636523.tif 11636524.tif 11636525.tif</t>
  </si>
  <si>
    <t>Printer for Cynthia Ramos to print death letters, turning 65 packets, etc. for the Benefits Team</t>
  </si>
  <si>
    <t>Postage Stamps for Cynthia Ramos, contract coordinator to mail letters to our retirees from the Benefits Department</t>
  </si>
  <si>
    <t>.Business Meals Lunch for 4th Quarter Birthdays and Anniversaries</t>
  </si>
  <si>
    <t>Office Supplies Kasie Gonzalez, printer for printing documents from the Benefits Team</t>
  </si>
  <si>
    <t>Office Supplies Kasie Gonzalez, black cartridge for printing documents from the Benefits Team to our retirees</t>
  </si>
  <si>
    <t>Office Supplies Color ink cartridge for Cynthia Ramos, Contract coordinator for printing documents for our retirees from the Benefits Team</t>
  </si>
  <si>
    <t>Office Supplies Black ink cartridge for Cynthia Ramos, for printing documents from the Benefits Team</t>
  </si>
  <si>
    <t>.Business Meals 2020 Corporate HR Holiday Party</t>
  </si>
  <si>
    <t>Office Supplies Kasie, contract coordinator color cartridge to print documents from the Benefits Team</t>
  </si>
  <si>
    <t>Office Supplies Printer for Cynthia Ramos to print death letters, turning 65 packets, etc. for the Benefits Team</t>
  </si>
  <si>
    <t>Postage Postage stamps for Cynthia Ramos to mail Turning 65 packets, death letters, etc.</t>
  </si>
  <si>
    <t>WEXP-00033009</t>
  </si>
  <si>
    <t>11689343.tif 11689344.tif 11689345.tif 11689346.tif 11689347.tif 11689348.tif 11689349.tif 11689350.tif</t>
  </si>
  <si>
    <t>Lunch for birthday and Christmas celebration</t>
  </si>
  <si>
    <t>.Business Meals Lunch for birthday and Christmas celebration</t>
  </si>
  <si>
    <t>.Business Meals Cupcakes for birthday and Christmas celebration</t>
  </si>
  <si>
    <t>.Social Meal &amp; Events Tickets to Arboretum for General Accounting Birthday and Christmas celebration.</t>
  </si>
  <si>
    <t>WEXP-00033238</t>
  </si>
  <si>
    <t>11689470.tif 11689471.tif 11689472.tif</t>
  </si>
  <si>
    <t>Lunch while teaching Poly Fusion class</t>
  </si>
  <si>
    <t>.Business Meals Lunch while teaching Poly Fusion class</t>
  </si>
  <si>
    <t>WEXP-00032939</t>
  </si>
  <si>
    <t>KAW20210113_WDEXP</t>
  </si>
  <si>
    <t>11652445.tif 11652446.tif 11652447.tif 11652448.tif 11652449.tif 11652450.tif 11652451.tif 11652452.tif 11652453.tif 11652454.tif 11652455.tif 11652456.tif 11652457.tif 11652458.tif 11652459.tif 11652460.tif</t>
  </si>
  <si>
    <t>Donation - Entertainment for 2020 IT Virtual Holiday Event</t>
  </si>
  <si>
    <t>Employee Welfare Expense Sympathy - Kala Kalpat's Father</t>
  </si>
  <si>
    <t>30706</t>
  </si>
  <si>
    <t>Museums/Art Donation - Entertainment for 2020 IT Virtual Holiday Event</t>
  </si>
  <si>
    <t>.Business Meals Dec 2020 Keurig Rental - LC2/16 - East &amp; West break rooms</t>
  </si>
  <si>
    <t>WEXP-00033026</t>
  </si>
  <si>
    <t>CHC20210115-WD EXP</t>
  </si>
  <si>
    <t>11652591.tif 11652592.tif 11652593.tif</t>
  </si>
  <si>
    <t>Receipt from Amazon for the battery we were asked to purchase for emergency situations.</t>
  </si>
  <si>
    <t>IT Equipment Receipt from Amazon for the battery we were asked to purchase for emergency situations.</t>
  </si>
  <si>
    <t>WEXP-00033146</t>
  </si>
  <si>
    <t>11675267.tif 11675268.tif 11675269.tif</t>
  </si>
  <si>
    <t>North Texas Comp Assn renewal dues</t>
  </si>
  <si>
    <t>Professional Dues North Texas Comp Assn renewal dues</t>
  </si>
  <si>
    <t>WEXP-00033143</t>
  </si>
  <si>
    <t>11675232.tif 11675233.tif 11675234.tif</t>
  </si>
  <si>
    <t>World@Work Association renewal dues</t>
  </si>
  <si>
    <t>Professional Dues World@Work Association renewal dues</t>
  </si>
  <si>
    <t>WEXP-00032647</t>
  </si>
  <si>
    <t>11636736.tif 11636737.tif 11636738.tif</t>
  </si>
  <si>
    <t>Christmas takeout lunch for staff call per Michael Reynolds</t>
  </si>
  <si>
    <t>.Business Meals Christmas takeout lunch for staff call per Michael Reynolds</t>
  </si>
  <si>
    <t>WEXP-00032760</t>
  </si>
  <si>
    <t>11635753.tif 11635754.tif 11635755.tif 11635756.tif 11635757.tif 11635758.tif 11635759.tif</t>
  </si>
  <si>
    <t>ink for computer printer office supplies</t>
  </si>
  <si>
    <t>Office Supplies ink for office printer office supplies</t>
  </si>
  <si>
    <t>Office Supplies ink for computer printer office supplies</t>
  </si>
  <si>
    <t>WEXP-00033018</t>
  </si>
  <si>
    <t>11652495.tif 11652496.tif 11652497.tif</t>
  </si>
  <si>
    <t>Enginstar Portable Power Station, 300Watt Portable Power Bank with AC Outlet</t>
  </si>
  <si>
    <t>IT Equipment Enginstar Portable Power Station, 300Watt Portable Power Bank with AC Outlet</t>
  </si>
  <si>
    <t>WEXP-00032714</t>
  </si>
  <si>
    <t>11675062.tif 11675063.tif 11675064.tif</t>
  </si>
  <si>
    <t>Microsoft Excel Financial Modeling installation</t>
  </si>
  <si>
    <t>Software Maintenance Microsoft Excel Financial Modeling installation</t>
  </si>
  <si>
    <t>274122</t>
  </si>
  <si>
    <t>Wade, Spencer T (Spencer)</t>
  </si>
  <si>
    <t>WEXP-00033061</t>
  </si>
  <si>
    <t>11674860.tif 11674861.tif 11674862.tif</t>
  </si>
  <si>
    <t>Battery backup purchased for gas supply representatives to use for business continuity and communication in the event of a prolonged power outage due to inclement weather or any other unforseen circumstance.</t>
  </si>
  <si>
    <t>IT Equipment Battery backup purchased for gas supply representatives to use for business continuity and communication in the event of a prolonged power outage due to inclement weather or any other unforseen circumstance.</t>
  </si>
  <si>
    <t>WEXP-00032641</t>
  </si>
  <si>
    <t>11635444.tif 11635445.tif 11635446.tif 11635447.tif 11635448.tif 11635449.tif 11635450.tif 11635451.tif 11635452.tif 11635453.tif 11635454.tif 11635455.tif 11635456.tif 11635457.tif 11635458.tif 11635459.tif 11635460.tif 11635461.tif 11635462.tif 11635463.tif 11635464.tif 11635465.tif 11635466.tif 11635467.tif 11635468.tif</t>
  </si>
  <si>
    <t>Mac computer and accessories for Patrice Gardner - new employee</t>
  </si>
  <si>
    <t>.Business Meals Employee lunch for communications meeting</t>
  </si>
  <si>
    <t>04044</t>
  </si>
  <si>
    <t>Advertising Credits for stock photos used in advertising communications projects</t>
  </si>
  <si>
    <t>IT Equipment Mac computer and accessories for Patrice Gardner - new employee</t>
  </si>
  <si>
    <t>010.38789</t>
  </si>
  <si>
    <t>04141</t>
  </si>
  <si>
    <t>Website Conversion of CRS report for ESG website</t>
  </si>
  <si>
    <t>WEXP-00032963</t>
  </si>
  <si>
    <t>11652498.tif 11652499.tif 11652500.tif 11652501.tif 11652502.tif 11652503.tif 11652504.tif 11652505.tif 11652506.tif</t>
  </si>
  <si>
    <t>Canteen Services charge for water dispense on the 5th floor</t>
  </si>
  <si>
    <t>Non-Inventory Supply Canteen Services charge for the 5th floor water dispenser</t>
  </si>
  <si>
    <t>Non-Inventory Supply Canteen Services charge for water dispense on the 18th floor</t>
  </si>
  <si>
    <t>Other - MC Wall Street Journal subscription and payment for December</t>
  </si>
  <si>
    <t>257031</t>
  </si>
  <si>
    <t>Wilson, Clifton C (Cliff)</t>
  </si>
  <si>
    <t>WEXP-00033195</t>
  </si>
  <si>
    <t>11690311.tif 11690312.tif 11690313.tif</t>
  </si>
  <si>
    <t>Office Supplies - Backup battery for emergency preparedness</t>
  </si>
  <si>
    <t>IT Equipment Office Supplies - Backup battery for emergency preparedness</t>
  </si>
  <si>
    <t>WEXP-00033156</t>
  </si>
  <si>
    <t>11689534.tif 11689535.tif 11689536.tif 11689537.tif 11689538.tif 11689539.tif 11689540.tif 11689541.tif 11689542.tif 11689543.tif 11689544.tif 11689545.tif 11689546.tif 11689547.tif 11689548.tif 11689549.tif 11689550.tif 11689551.tif 11689552.tif 11689553.tif 11689554.tif 11689555.tif 11689556.tif 11689557.tif 11689558.tif 11689559.tif 11689560.tif 11689561.tif 11689562.tif 11689563.tif 11689564.tif 11689565.tif 11689566.tif 11689567.tif</t>
  </si>
  <si>
    <t>Meals for Trinh Nguyen and spouse due to COVID quarantine</t>
  </si>
  <si>
    <t>.Spouse Meal &amp; Alcohol Meal for Trinh Nguyen and Spouse due to COVID quarantine</t>
  </si>
  <si>
    <t>.Social Meal &amp; Events Meal delivery for Trinh Nguyen and spouse due to COVID quarantine</t>
  </si>
  <si>
    <t>Civic &amp; Club Dues Amazon Prime Membership for Accounting  Department</t>
  </si>
  <si>
    <t>Civic &amp; Club Dues Amazon Prime Membership for Tax Department</t>
  </si>
  <si>
    <t>.Social Meal &amp; Events Financial Reporting January Birthday/Anniversary Luncheon</t>
  </si>
  <si>
    <t>.Spouse Meal &amp; Alcohol Meal delivery for Trinh Nguyen and spouse due to COVID quarantine</t>
  </si>
  <si>
    <t>.Social Meal &amp; Events Meal for Trinh Nguyen due to COVID quarentine</t>
  </si>
  <si>
    <t>.Social Meal &amp; Events Popcorn Tins for Gas Accounting Department</t>
  </si>
  <si>
    <t>.Spouse Meal &amp; Alcohol Meal for Trinh Nguyen spouse due to COVID quarentine</t>
  </si>
  <si>
    <t>.Social Meal &amp; Events Happy Service Anniversary Cookie Box</t>
  </si>
  <si>
    <t>WEXP-00032876</t>
  </si>
  <si>
    <t>Individual CPE Subscription Unlimited</t>
  </si>
  <si>
    <t>Employee Development - MC CPE Course Individual Income Tax (Update for 2020 Tax Returns)</t>
  </si>
  <si>
    <t>Employee Development - MC CPE Course Fundamentals of Medicare</t>
  </si>
  <si>
    <t>Employee Development - MC Individual CPE Subscription Unlimited</t>
  </si>
  <si>
    <t>WEXP-00032851</t>
  </si>
  <si>
    <t>Office Supplies during Work At Home</t>
  </si>
  <si>
    <t>Office Supplies Office Supplies during Work At Home</t>
  </si>
  <si>
    <t>WEXP-00033031</t>
  </si>
  <si>
    <t>Bereavement Flowers on Behalf of the Board to Diana Walters</t>
  </si>
  <si>
    <t>Other - MC Bereavement Flowers on Behalf of the Board to Diana Walters</t>
  </si>
  <si>
    <t>WEXP-00033234</t>
  </si>
  <si>
    <t>Toner for Printer from Office Depot During Work From Home</t>
  </si>
  <si>
    <t>Office Supplies Toner for Printer from Office Depot During Work From Home</t>
  </si>
  <si>
    <t>WEXP-00033133</t>
  </si>
  <si>
    <t>CHC20210211-WD EXP</t>
  </si>
  <si>
    <t>11731892.tif 11731893.tif 11731894.tif 11731895.tif 11731896.tif</t>
  </si>
  <si>
    <t>Employee Birthday celebration meal &amp; dessert</t>
  </si>
  <si>
    <t>.Social Meal &amp; Events Employee Birthday celebration meal &amp; dessert</t>
  </si>
  <si>
    <t>WEXP-00034324</t>
  </si>
  <si>
    <t>KAW20210219_WDEXP</t>
  </si>
  <si>
    <t>11742612.tif 11742613.tif 11742614.tif 11742615.tif</t>
  </si>
  <si>
    <t>Lunch Day 3 January 2021 Close</t>
  </si>
  <si>
    <t>.Business Meals Lunch Day 3 January 2021 Close</t>
  </si>
  <si>
    <t>WEXP-00034325</t>
  </si>
  <si>
    <t>11742599.tif 11742600.tif 11742601.tif 11742602.tif</t>
  </si>
  <si>
    <t>Lunch Day 4 January 2021 Close</t>
  </si>
  <si>
    <t>.Business Meals Lunch Day 4 January 2021 Close</t>
  </si>
  <si>
    <t>WEXP-00034394</t>
  </si>
  <si>
    <t>CHC20210222-WD EXP</t>
  </si>
  <si>
    <t>11769551.tif 11769552.tif 11769553.tif</t>
  </si>
  <si>
    <t>Annual subscription for Grammarly</t>
  </si>
  <si>
    <t>Software Maintenance Annual subscription for Grammarly</t>
  </si>
  <si>
    <t>WEXP-00034417</t>
  </si>
  <si>
    <t>11769570.tif 11769571.tif 11769572.tif 11769573.tif 11769574.tif 11769575.tif 11769576.tif 11769577.tif 11769578.tif 11769579.tif 11769580.tif 11769581.tif 11769582.tif 11769583.tif 11769584.tif 11769585.tif 11769586.tif 11769587.tif 11769588.tif 11769589.tif 11769590.tif</t>
  </si>
  <si>
    <t>February tax department employee cake purchases.</t>
  </si>
  <si>
    <t>Employee Welfare Expense February tax department employee welfare boxes.</t>
  </si>
  <si>
    <t>.Social Meal &amp; Events February tax department employee cake purchases.</t>
  </si>
  <si>
    <t>Postage Postage to send February employee welfare boxes.</t>
  </si>
  <si>
    <t>WEXP-00032486</t>
  </si>
  <si>
    <t>CHC20210225-WD EXP</t>
  </si>
  <si>
    <t>11770225.tif 11770226.tif 11770227.tif 11770228.tif 11770229.tif 11770230.tif 11770231.tif</t>
  </si>
  <si>
    <t>Business Architecture Guild Conference and Training</t>
  </si>
  <si>
    <t>Technical (Job Skills) Training Project Management Institute PMP Certificate</t>
  </si>
  <si>
    <t>Technical (Job Skills) Training Business Architecture Guild Conference and Training</t>
  </si>
  <si>
    <t>WEXP-00033990</t>
  </si>
  <si>
    <t>CHC20210208-WD EXP</t>
  </si>
  <si>
    <t>11731232.tif 11731233.tif 11731234.tif 11731235.tif 11731236.tif 11731237.tif 11731192.tif 11731193.tif 11731194.tif 11731195.tif 11731196.tif 11731197.tif 11731198.tif 11731199.tif 11731200.tif 11731201.tif 11731202.tif 11731203.tif 11731204.tif 11731205.tif 11731206.tif 11731207.tif 11731208.tif 11731209.tif 11731210.tif 11731211.tif</t>
  </si>
  <si>
    <t>Business meal for ShSr Gas Control during pandemic.</t>
  </si>
  <si>
    <t>.Business Meals Business meal for ShSr Gas Control during pandemic.</t>
  </si>
  <si>
    <t>.Business Meals Business meal for ShSr Gas Control during emergency operations.</t>
  </si>
  <si>
    <t>Professional Dues Annual membership section dues for MS and IL section.</t>
  </si>
  <si>
    <t>Employee Welfare Expense Snacks for ShSr Gas Control to support ShSr Gas Controllers during pandemic operations.</t>
  </si>
  <si>
    <t>Postage Stamps for mailing packages for ShSr Gas Control.</t>
  </si>
  <si>
    <t>Postage Stamps for ShSr Gas Control Operations during pandemic.</t>
  </si>
  <si>
    <t>.Business Meals Business meal for ShSr Gas Control during pandemic to support Gas Control staff.</t>
  </si>
  <si>
    <t>.Business Meals Business meal for ShSr Gas Control meeting during pandemic operations.</t>
  </si>
  <si>
    <t>WEXP-00034096</t>
  </si>
  <si>
    <t>11731222.tif 11731223.tif 11731224.tif 11731225.tif 11731226.tif 11731227.tif 11731228.tif</t>
  </si>
  <si>
    <t>Ink Cartridge for Printer for Remote Working during COVID-19</t>
  </si>
  <si>
    <t>Office Supplies Purchase of Ink Cartridge for Printer While Working Remotely during COVID-19</t>
  </si>
  <si>
    <t>WEXP-00034304</t>
  </si>
  <si>
    <t>CHC20210216-WD EXP</t>
  </si>
  <si>
    <t>11742249.tif 11742250.tif 11742251.tif</t>
  </si>
  <si>
    <t>WEXP-00034109</t>
  </si>
  <si>
    <t>CHC202102099-WD EXP</t>
  </si>
  <si>
    <t>11731356.tif 11731357.tif 11731358.tif</t>
  </si>
  <si>
    <t>WEXP-00033752</t>
  </si>
  <si>
    <t>CHC20210201-WD EXP</t>
  </si>
  <si>
    <t>11711501.tif 11711502.tif 11711503.tif</t>
  </si>
  <si>
    <t>WEXP-00033770</t>
  </si>
  <si>
    <t>KAW20210224_1 WDEXP</t>
  </si>
  <si>
    <t>11770099.tif 11770100.tif 11770101.tif 11770102.tif 11770103.tif 11770104.tif 11770105.tif 11770106.tif 11770107.tif</t>
  </si>
  <si>
    <t>Benefit and Payroll Accounting Birthday Celebration</t>
  </si>
  <si>
    <t>.Business Meals Benefit and Payroll Accounting Birthday Celebration</t>
  </si>
  <si>
    <t>WEXP-00034533</t>
  </si>
  <si>
    <t>11769864.tif 11769865.tif 11769866.tif 11769867.tif 11769868.tif 11769869.tif 11769870.tif 11769871.tif</t>
  </si>
  <si>
    <t>Strategic Planning Staff Meeting</t>
  </si>
  <si>
    <t>Employee Development Expense TSCPA Annual Energy Conference Registration Fee</t>
  </si>
  <si>
    <t>.Business Meals Strategic Planning Staff Meeting</t>
  </si>
  <si>
    <t>Employee Development Expense NRRI Webinar regarding Decarbonization</t>
  </si>
  <si>
    <t>WEXP-00034322</t>
  </si>
  <si>
    <t>11742267.tif 11742268.tif 11742269.tif</t>
  </si>
  <si>
    <t>Business meal while teaching virtually monitoring distribution and pipeline systems</t>
  </si>
  <si>
    <t>.Business Meals Business meal while teaching virtually monitoring distribution and pipeline systems</t>
  </si>
  <si>
    <t>WEXP-00034148</t>
  </si>
  <si>
    <t>11731518.tif 11731519.tif 11731520.tif 11731521.tif 11731522.tif</t>
  </si>
  <si>
    <t>Meal while teaching Monitoring Distribution and Pipeline Systems class.</t>
  </si>
  <si>
    <t>.Business Meals Meal while teaching Basic Corrosion Class.</t>
  </si>
  <si>
    <t>.Business Meals Meal while teaching Monitoring Distribution and Pipeline Systems class.</t>
  </si>
  <si>
    <t>WEXP-00034296</t>
  </si>
  <si>
    <t>11742189.tif 11742190.tif 11742191.tif 11742192.tif</t>
  </si>
  <si>
    <t>Prosci Change Management Practitioner eToolkit Renewal</t>
  </si>
  <si>
    <t>Professional Dues Prosci Change Management Practitioner eToolkit Renewal</t>
  </si>
  <si>
    <t>WEXP-00033585</t>
  </si>
  <si>
    <t>KAW20210204_1 WDEXP</t>
  </si>
  <si>
    <t>11712768.tif 11712769.tif 11712770.tif 11712771.tif</t>
  </si>
  <si>
    <t>Take out Tuesday lunch from Rich</t>
  </si>
  <si>
    <t>.Business Meals Take out Tuesday lunch from Rich</t>
  </si>
  <si>
    <t>WEXP-00033934</t>
  </si>
  <si>
    <t>KAW20210203_WDEXP</t>
  </si>
  <si>
    <t>11712453.tif 11712454.tif 11712455.tif</t>
  </si>
  <si>
    <t>Take Out Tuesday Lunch per message from Rich</t>
  </si>
  <si>
    <t>.Business Meals Take Out Tuesday Lunch per message from Rich</t>
  </si>
  <si>
    <t>WEXP-00033757</t>
  </si>
  <si>
    <t>11711687.tif 11711688.tif</t>
  </si>
  <si>
    <t>help stuff the 1099s in envolops to meet mail deadline</t>
  </si>
  <si>
    <t>.Business Meals help stuff the 1099s in envolops to meet mail deadline</t>
  </si>
  <si>
    <t>WEXP-00032292</t>
  </si>
  <si>
    <t>CHC20210202-WD EXP</t>
  </si>
  <si>
    <t>11712293.tif 11712294.tif 11712295.tif</t>
  </si>
  <si>
    <t>meal offered for holiday lunch remote gathering</t>
  </si>
  <si>
    <t>.Social Meal &amp; Events meal offered for holiday lunch remote gathering</t>
  </si>
  <si>
    <t>WEXP-00034281</t>
  </si>
  <si>
    <t>CHC20210212-WD EXP</t>
  </si>
  <si>
    <t>11731986.tif 11731987.tif 11731988.tif 11731989.tif 11731990.tif</t>
  </si>
  <si>
    <t>WEXP-00034142</t>
  </si>
  <si>
    <t>11731560.tif 11731561.tif 11731562.tif</t>
  </si>
  <si>
    <t>WEXP-00033945</t>
  </si>
  <si>
    <t>11712485.tif 11712486.tif 11712487.tif 11712488.tif 11712489.tif 11712490.tif 11712491.tif 11712492.tif 11712493.tif</t>
  </si>
  <si>
    <t>The AIIM Conference, April 27-29, 2021 - Virtual</t>
  </si>
  <si>
    <t>Employee Development Expense The AIIM Conference, April 27-29, 2021 - Virtual</t>
  </si>
  <si>
    <t>WEXP-00033551</t>
  </si>
  <si>
    <t>11712747.tif 11712748.tif 11712749.tif</t>
  </si>
  <si>
    <t>Tuesday lunch to support local restaurant</t>
  </si>
  <si>
    <t>.Business Meals Tuesday lunch to support local restaurant</t>
  </si>
  <si>
    <t>WEXP-00033986</t>
  </si>
  <si>
    <t>11712530.tif 11712531.tif 11712532.tif</t>
  </si>
  <si>
    <t>As directed on 1/12/21, I purchased a Backup Battery from Amazon. Based on communications with supervisors this was to be an expensed purchase.</t>
  </si>
  <si>
    <t>Non-Inventory Supply As directed on 1/12/21, I purchased a Backup Battery from Amazon. Based on communications with supervisors this was to be an expensed purchase.</t>
  </si>
  <si>
    <t>WEXP-00033717</t>
  </si>
  <si>
    <t>11712383.tif 11712384.tif 11712385.tif</t>
  </si>
  <si>
    <t>292649</t>
  </si>
  <si>
    <t>John, Jesteen (Justin)</t>
  </si>
  <si>
    <t>WEXP-00034111</t>
  </si>
  <si>
    <t>11731021.tif 11731022.tif 11731023.tif</t>
  </si>
  <si>
    <t>Purchased pluralsight training developer edition.</t>
  </si>
  <si>
    <t>Technical (Job Skills) Training Purchased pluralsight training developer edition.</t>
  </si>
  <si>
    <t>WEXP-00033687</t>
  </si>
  <si>
    <t>11712738.tif 11712739.tif 11712740.tif</t>
  </si>
  <si>
    <t>Take out Tuesday Jan 26th 2021</t>
  </si>
  <si>
    <t>.Business Meals Take out Tuesday Jan 26th 2021</t>
  </si>
  <si>
    <t>WEXP-00033753</t>
  </si>
  <si>
    <t>11711360.tif 11711361.tif 11711362.tif 11711363.tif 11711364.tif 11711365.tif 11711366.tif</t>
  </si>
  <si>
    <t>Renewable Energy CLE - Rusty Lane</t>
  </si>
  <si>
    <t>Employee Development Expense Renewable Energy CLE - Rusty Lane</t>
  </si>
  <si>
    <t>Employee Development Expense AGA Webinar Operational Concerns with Hydrogen Blending</t>
  </si>
  <si>
    <t>WEXP-00034412</t>
  </si>
  <si>
    <t>11742616.tif 11742617.tif 11742618.tif 11742619.tif 11742620.tif 11742621.tif</t>
  </si>
  <si>
    <t>Annual Canva Pro membership for 12 BPCM team members</t>
  </si>
  <si>
    <t>Software Maintenance Annual Canva Pro membership for 12 BPCM team members</t>
  </si>
  <si>
    <t>WEXP-00033218</t>
  </si>
  <si>
    <t>CHC20210205-WD EXP</t>
  </si>
  <si>
    <t>11713046.tif 11713047.tif 11713048.tif 11713049.tif 11713050.tif</t>
  </si>
  <si>
    <t>Employee welfare expense; virtual business holiday team building  event</t>
  </si>
  <si>
    <t>.Social Meal &amp; Events Lunch; New Employee virtual Luncheon</t>
  </si>
  <si>
    <t>Employee Welfare Expense Employee welfare expense; virtual business holiday team building  event</t>
  </si>
  <si>
    <t>WEXP-00034381</t>
  </si>
  <si>
    <t>CHC20210223-WD EXP</t>
  </si>
  <si>
    <t>11769718.tif 11769719.tif 11769720.tif 11769721.tif 11769722.tif 11769723.tif</t>
  </si>
  <si>
    <t>Take out Tuesdays - Benefits and Payroll Acct</t>
  </si>
  <si>
    <t>.Business Meals Take out Tuesdays - Benefits and Payroll Acct</t>
  </si>
  <si>
    <t>WEXP-00034378</t>
  </si>
  <si>
    <t>11769754.tif 11769755.tif 11769756.tif</t>
  </si>
  <si>
    <t>Benefits and Payroll Accounting Christmas Lunch</t>
  </si>
  <si>
    <t>.Business Meals Benefits and Payroll Accounting Christmas Lunch</t>
  </si>
  <si>
    <t>WEXP-00034524</t>
  </si>
  <si>
    <t>11769878.tif 11769879.tif 11769880.tif</t>
  </si>
  <si>
    <t>WEXP-00034564</t>
  </si>
  <si>
    <t>11770232.tif 11770233.tif 11770234.tif 11770235.tif</t>
  </si>
  <si>
    <t>Developmental opportunity for members of Workforce Development to learn about topics in Learning &amp; Development, particularly during the pandemic.</t>
  </si>
  <si>
    <t>Employee Development Expense Developmental opportunity for members of Workforce Development to learn about topics in Learning &amp; Development, particularly during the pandemic.</t>
  </si>
  <si>
    <t>WEXP-00033956</t>
  </si>
  <si>
    <t>11712925.tif 11712926.tif 11712927.tif 11712928.tif 11712929.tif 11712930.tif 11712931.tif 11712932.tif 11712933.tif</t>
  </si>
  <si>
    <t>Employee compensation and benefits and tax cuts; job act of 2017 online course</t>
  </si>
  <si>
    <t>Employee Development Expense Employee compensation and benefits and tax cuts; job act of 2017 online course</t>
  </si>
  <si>
    <t>Professional Dues Online License CPA License Renewal</t>
  </si>
  <si>
    <t>Employee Development Expense 2020 tax update and accountants ethics in Texas online course</t>
  </si>
  <si>
    <t>WEXP-00033849</t>
  </si>
  <si>
    <t>11712621.tif 11712622.tif 11712623.tif 11712624.tif 11712625.tif</t>
  </si>
  <si>
    <t>Lunch for Quarterly Department Luncheon</t>
  </si>
  <si>
    <t>.Social Meal &amp; Events Lunch for Quarterly Department Luncheon</t>
  </si>
  <si>
    <t>WEXP-00033880</t>
  </si>
  <si>
    <t>11731212.tif 11731213.tif 11731214.tif</t>
  </si>
  <si>
    <t>Lunch on take out Tuesday in support of local business</t>
  </si>
  <si>
    <t>.Business Meals Lunch on take out Tuesday in support of local business</t>
  </si>
  <si>
    <t>WEXP-00034224</t>
  </si>
  <si>
    <t>11731900.tif 11731901.tif 11731902.tif</t>
  </si>
  <si>
    <t>Shipping cost for sending USB drive to Critigen, our SI partner working on the ESRI UN Project.</t>
  </si>
  <si>
    <t>Postage Shipping cost for sending USB drive to Critigen, our SI partner working on the ESRI UN Project.</t>
  </si>
  <si>
    <t>WEXP-00034319</t>
  </si>
  <si>
    <t>11769474.tif 11769475.tif 11769476.tif 11769477.tif 11769478.tif 11769479.tif 11769480.tif</t>
  </si>
  <si>
    <t>Becker CPA Exam Prep Course for Jennifer Michael as agreed upon for 2021 goals</t>
  </si>
  <si>
    <t>Training Becker CPA Exam Prep Course for Jennifer Michael as agreed upon for 2021 goals</t>
  </si>
  <si>
    <t>WEXP-00033728</t>
  </si>
  <si>
    <t>11711440.tif 11711441.tif 11711442.tif</t>
  </si>
  <si>
    <t>Mileage on personal vehicle from picking up CGI attachments for student kits for leak investigation class</t>
  </si>
  <si>
    <t>Mileage Mileage on personal vehicle from picking up CGI attachments for student kits for leak investigation class</t>
  </si>
  <si>
    <t>WEXP-00034294</t>
  </si>
  <si>
    <t>11742246.tif 11742247.tif 11742248.tif</t>
  </si>
  <si>
    <t>WEXP-00034117</t>
  </si>
  <si>
    <t>11731453.tif 11731454.tif 11731455.tif 11731456.tif</t>
  </si>
  <si>
    <t>WEXP-00034313</t>
  </si>
  <si>
    <t>11742256.tif 11742257.tif 11742258.tif 11742259.tif 11742260.tif 11742261.tif 11742262.tif 11742263.tif</t>
  </si>
  <si>
    <t>Rates and Budgeting Social Gathering to stay connected during the work from home era.</t>
  </si>
  <si>
    <t>.Social Meal &amp; Events Rates and Budgeting Social Gathering to stay connected during the work from home era.</t>
  </si>
  <si>
    <t>Training Dalllas CPA Continuing Education Convergence Conference to be held May 28, 2021 in Frisco TX.</t>
  </si>
  <si>
    <t>267010</t>
  </si>
  <si>
    <t>Navarrette, Manuel H III (Manny)</t>
  </si>
  <si>
    <t>WEXP-00033012</t>
  </si>
  <si>
    <t>11712411.tif 11712412.tif 11712413.tif</t>
  </si>
  <si>
    <t>(ISC) Certification Annual Maintenance Fee - 2021</t>
  </si>
  <si>
    <t>Professional Dues (ISC) Certification Annual Maintenance Fee - 2021</t>
  </si>
  <si>
    <t>WEXP-00034490</t>
  </si>
  <si>
    <t>11769989.tif 11769990.tif 11769991.tif 11769992.tif 11769993.tif 11769994.tif 11769995.tif</t>
  </si>
  <si>
    <t>Texas CPA ethic course payment</t>
  </si>
  <si>
    <t>Employee Development Expense 2021 Sequoia CPE course payment</t>
  </si>
  <si>
    <t>Employee Development Expense Texas CPA ethic course payment</t>
  </si>
  <si>
    <t>Professional Dues 2021 Texas State Board CPA license renewal fee</t>
  </si>
  <si>
    <t>WEXP-00033662</t>
  </si>
  <si>
    <t>11711539.tif 11711540.tif 11711541.tif</t>
  </si>
  <si>
    <t>Parallels program for Mac to access Windows for intranet access.</t>
  </si>
  <si>
    <t>Software Maintenance Parallels program for Mac to access Windows for intranet access.</t>
  </si>
  <si>
    <t>WEXP-00034332</t>
  </si>
  <si>
    <t>CHC20210218-WD EXP</t>
  </si>
  <si>
    <t>11742453.tif 11742454.tif 11742455.tif 11742456.tif 11742457.tif 11742458.tif 11742459.tif 11742460.tif 11742461.tif</t>
  </si>
  <si>
    <t>Lunch while teaching Leak Investigation class</t>
  </si>
  <si>
    <t>.Business Meals Lunch while teaching Leak Investigation class</t>
  </si>
  <si>
    <t>WEXP-00034174</t>
  </si>
  <si>
    <t>11742588.tif 11742589.tif 11742590.tif 11742591.tif 11742592.tif 11742593.tif 11742594.tif 11742595.tif 11742596.tif 11742597.tif 11742598.tif</t>
  </si>
  <si>
    <t>Lunch Reimbursement for WD 4 Feb-21 Close 02/4/2021</t>
  </si>
  <si>
    <t>.Business Meals Lunch Reimbursement for WD 4 Dec-20 Close 12/4/2020</t>
  </si>
  <si>
    <t>.Business Meals Lunch Reimbursement for WD 3 Dec-20 Close 12/3/2020</t>
  </si>
  <si>
    <t>.Business Meals Lunch Reimbursement for WD 3 Jan-21 Close 01/06/21</t>
  </si>
  <si>
    <t>.Business Meals Lunch Reimbursement for WD 4 Jan-21 Close 01/07/2021</t>
  </si>
  <si>
    <t>.Business Meals Lunch Reimbursement for WD 4 Feb-21 Close 02/4/2021</t>
  </si>
  <si>
    <t>WEXP-00034312</t>
  </si>
  <si>
    <t>CHC20210215-WD EXP</t>
  </si>
  <si>
    <t>11742090.tif 11742091.tif 11742092.tif 11742093.tif</t>
  </si>
  <si>
    <t>Virtual Going Away Lunch for Team Member</t>
  </si>
  <si>
    <t>.Business Meals Virtual Going Away Lunch for Team Member</t>
  </si>
  <si>
    <t>WEXP-00033935</t>
  </si>
  <si>
    <t>11712414.tif 11712415.tif 11712416.tif</t>
  </si>
  <si>
    <t>Rates and Regulatory Business Lunch</t>
  </si>
  <si>
    <t>.Business Meals Rates and Regulatory Business Lunch</t>
  </si>
  <si>
    <t>WEXP-00034356</t>
  </si>
  <si>
    <t>CHC20210217-WD EXP</t>
  </si>
  <si>
    <t>11742299.tif 11742300.tif 11742301.tif</t>
  </si>
  <si>
    <t>Purchase GPTC Guidelines and Addendum</t>
  </si>
  <si>
    <t>Books &amp; Manuals Purchase GPTC Guidelines and Addendum</t>
  </si>
  <si>
    <t>WEXP-00034314</t>
  </si>
  <si>
    <t>11742098.tif 11742099.tif 11742100.tif</t>
  </si>
  <si>
    <t>WEXP-00034630</t>
  </si>
  <si>
    <t>CHC20210226-WD EXP</t>
  </si>
  <si>
    <t>11770555.tif 11770556.tif 11770557.tif</t>
  </si>
  <si>
    <t>Compensation &amp; HRMS Quarterly Lunch</t>
  </si>
  <si>
    <t>.Business Meals Compensation &amp; HRMS Quarterly Lunch</t>
  </si>
  <si>
    <t>WEXP-00033747</t>
  </si>
  <si>
    <t>11742328.tif 11742329.tif 11742330.tif</t>
  </si>
  <si>
    <t>Certified Public Account License Fee</t>
  </si>
  <si>
    <t>Professional Dues Certified Public Accountant License Fee</t>
  </si>
  <si>
    <t>WEXP-00034618</t>
  </si>
  <si>
    <t>11770487.tif 11770488.tif 11770489.tif</t>
  </si>
  <si>
    <t>Compensation &amp; HRMS Quarterly Update/Celebration lunch</t>
  </si>
  <si>
    <t>.Business Meals Compensation &amp; HRMS Quarterly Update/Celebration lunch</t>
  </si>
  <si>
    <t>WEXP-00034026</t>
  </si>
  <si>
    <t>11712845.tif 11712846.tif 11712847.tif</t>
  </si>
  <si>
    <t>Lunch while teaching Poly Fusion from home</t>
  </si>
  <si>
    <t>.Business Meals Lunch while teaching Poly Fusion from home</t>
  </si>
  <si>
    <t>WEXP-00034234</t>
  </si>
  <si>
    <t>11731809.tif 11731810.tif 11731811.tif</t>
  </si>
  <si>
    <t>Lunch while teaching poly fusion from home</t>
  </si>
  <si>
    <t>.Business Meals Lunch while teaching poly fusion from home</t>
  </si>
  <si>
    <t>WEXP-00034037</t>
  </si>
  <si>
    <t>11712993.tif 11712994.tif 11712995.tif 11712996.tif</t>
  </si>
  <si>
    <t>30737</t>
  </si>
  <si>
    <t>2021 Texas Lobby Registration - 2021 legislative session</t>
  </si>
  <si>
    <t>Other - PAC 2021 Texas Lobby Registration - 2021 legislative session</t>
  </si>
  <si>
    <t>WEXP-00034544</t>
  </si>
  <si>
    <t>11770414.tif 11770415.tif 11770416.tif 11770417.tif</t>
  </si>
  <si>
    <t>For December 2020 HR Holiday Luncheon</t>
  </si>
  <si>
    <t>.Business Meals For December 2020 HR Holiday Luncheon</t>
  </si>
  <si>
    <t>WEXP-00034457</t>
  </si>
  <si>
    <t>11770328.tif 11770329.tif 11770330.tif 11770331.tif 11770332.tif</t>
  </si>
  <si>
    <t>Postage stamps for retiree mailings</t>
  </si>
  <si>
    <t>.Business Meals Team farewell lunch for Paul Marchbanks</t>
  </si>
  <si>
    <t>Postage Postage stamps for retiree mailings</t>
  </si>
  <si>
    <t>WEXP-00033257</t>
  </si>
  <si>
    <t>11742217.tif 11742218.tif 11742219.tif 11742220.tif</t>
  </si>
  <si>
    <t>Dale Carnegie Training Class to complete a Development Goal for FY21</t>
  </si>
  <si>
    <t>Training Dale Carnegie Training Class to complete a Development Goal for FY21</t>
  </si>
  <si>
    <t>WEXP-00034344</t>
  </si>
  <si>
    <t>11742214.tif 11742215.tif 11742216.tif</t>
  </si>
  <si>
    <t>ASCE membership due for year 2021</t>
  </si>
  <si>
    <t>Professional Dues ASCE membership due for year 2021</t>
  </si>
  <si>
    <t>WEXP-00033804</t>
  </si>
  <si>
    <t>11712127.tif 11712128.tif 11712129.tif</t>
  </si>
  <si>
    <t>Take-Out Tuesday for under $15 meal on 1/26/2021</t>
  </si>
  <si>
    <t>.Business Meals Take-Out Tuesday for under $15 meal on 1/26/2021</t>
  </si>
  <si>
    <t>WEXP-00034173</t>
  </si>
  <si>
    <t>11770064.tif 11770065.tif 11770066.tif 11770067.tif 11770068.tif 11770069.tif 11770070.tif 11770071.tif 11770072.tif 11770073.tif 11770074.tif 11770075.tif 11770076.tif 11770077.tif 11770078.tif</t>
  </si>
  <si>
    <t>Workday 4 Lunch Reimbursement 2/4/21</t>
  </si>
  <si>
    <t>.Business Meals Workday 4 Lunch Reimbursement 2/4/21</t>
  </si>
  <si>
    <t>.Business Meals Workday 4 Lunch Reimbursement 1/7/21</t>
  </si>
  <si>
    <t>.Business Meals WD4 Lunch Reimbursement 11/5/2020</t>
  </si>
  <si>
    <t>.Business Meals Work Day 3 Lunch Reimbursement 1/6/21</t>
  </si>
  <si>
    <t>.Business Meals WD 4 Lunch Reimbursement 10/5/2020</t>
  </si>
  <si>
    <t>.Business Meals Work Day 3 lunch reimbursement 10/3/2020</t>
  </si>
  <si>
    <t>.Business Meals Workday 3 Lunch Reimbursement 2/3/21</t>
  </si>
  <si>
    <t>WEXP-00033647</t>
  </si>
  <si>
    <t>11712166.tif 11712167.tif 11712168.tif 11712169.tif 11712170.tif</t>
  </si>
  <si>
    <t>CSO Take Out Tuesday per EmpCom</t>
  </si>
  <si>
    <t>.Social Meal &amp; Events CSO Take Out Tuesday per EmpCom</t>
  </si>
  <si>
    <t>WEXP-00033675</t>
  </si>
  <si>
    <t>11712667.tif 11712668.tif 11712669.tif</t>
  </si>
  <si>
    <t>Take Out Tuesday - 26 - Jan - 2021</t>
  </si>
  <si>
    <t>.Social Meal &amp; Events Take Out Tuesday - 26 - Jan - 2021</t>
  </si>
  <si>
    <t>WEXP-00033925</t>
  </si>
  <si>
    <t>11742154.tif 11742155.tif 11742156.tif 11742157.tif 11742158.tif 11742159.tif 11742160.tif 11742161.tif 11742162.tif 11742163.tif 11742164.tif 11742165.tif 11742166.tif 11742167.tif 11742168.tif 11742169.tif 11742170.tif 11742171.tif 11742172.tif 11742173.tif 11742174.tif 11742175.tif 11742176.tif 11742177.tif 11742178.tif 11742179.tif 11742180.tif 11742181.tif 11742182.tif 11742183.tif 11742184.tif 11742185.tif 11742186.tif 11742187.tif 11742188.tif</t>
  </si>
  <si>
    <t>Sent cookie bouquet to Lara Koen for 15-year service anniversray</t>
  </si>
  <si>
    <t>Gifts Retirement gift for Jolene Darling from Tax Department</t>
  </si>
  <si>
    <t>.Business Meals Sent treats to employees for department virtual gathering</t>
  </si>
  <si>
    <t>Gifts Gift card sent to scavenger hunt winner during department gathering</t>
  </si>
  <si>
    <t>Gifts Gift card sent to scavenger hunt winner during virtual department gathering</t>
  </si>
  <si>
    <t>.Business Meals Holiday celebration meal for Jolene Darling</t>
  </si>
  <si>
    <t>.Business Meals Holiday celebration meal for Tony Kiang</t>
  </si>
  <si>
    <t>.Business Meals Holiday celebration meal for Lara Koen and Ashlea Thorn</t>
  </si>
  <si>
    <t>Gifts Retirement gift for Jolene Darling from the Tax Department</t>
  </si>
  <si>
    <t>Employee Welfare Expense Sent flowers to employee Jolene Darling for 15-year service anniversary</t>
  </si>
  <si>
    <t>Employee Welfare Expense Sent cookie bouquet to Lara Koen for 15-year service anniversray</t>
  </si>
  <si>
    <t>.Business Meals Holiday celebration meal for Shasta Dismuke</t>
  </si>
  <si>
    <t>WEXP-00034188</t>
  </si>
  <si>
    <t>CHC20210210-WD EXP</t>
  </si>
  <si>
    <t>11731756.tif 11731757.tif 11731758.tif</t>
  </si>
  <si>
    <t>Take-Out Lunch; Tues., Jan. 26</t>
  </si>
  <si>
    <t>.Business Meals Take-Out Lunch; Tues., Jan. 26</t>
  </si>
  <si>
    <t>WEXP-00033241</t>
  </si>
  <si>
    <t>11712569.tif 11712570.tif 11712571.tif 11712572.tif 11712573.tif 11712574.tif 11712575.tif</t>
  </si>
  <si>
    <t>Dell Laptop Charger Adapter - Walther</t>
  </si>
  <si>
    <t>Office Supplies Miscellaneous Office Supplies - Walther</t>
  </si>
  <si>
    <t>Office Supplies Dell Laptop Charger Adapter - Walther</t>
  </si>
  <si>
    <t>WEXP-00033240</t>
  </si>
  <si>
    <t>11712494.tif 11712495.tif 11712496.tif 11712497.tif 11712498.tif</t>
  </si>
  <si>
    <t>Missouri Bar Dues 2021 - Walther</t>
  </si>
  <si>
    <t>Professional Dues Missouri Bar Dues 2021 - Walther</t>
  </si>
  <si>
    <t>WEXP-00034201</t>
  </si>
  <si>
    <t>11731563.tif 11731564.tif 11731565.tif 11731566.tif</t>
  </si>
  <si>
    <t>Prize for BPCM Pick Em League Champion - Nguyen Vo (Team Building Activity)</t>
  </si>
  <si>
    <t>Employee Welfare Expense Prize for BPCM Pick Em League Champion - Nguyen Vo (Team Building Activity)</t>
  </si>
  <si>
    <t>WEXP-00034615</t>
  </si>
  <si>
    <t>11770550.tif 11770551.tif 11770552.tif 11770553.tif 11770554.tif</t>
  </si>
  <si>
    <t>Meal ordered for Gonzalez family due to Cassie Gonzalez contracting Covid-19 and difficulties with taking care of family.</t>
  </si>
  <si>
    <t>Employee Welfare Expense Meal ordered for Gonzalez family due to Cassie Gonzalez contracting Covid-19 and difficulties with taking care of family.</t>
  </si>
  <si>
    <t>WEXP-00034302</t>
  </si>
  <si>
    <t>11742648.tif 11742649.tif 11742650.tif 11742651.tif 11742652.tif 11742653.tif 11742654.tif 11742655.tif 11742656.tif 11742657.tif 11742658.tif 11742659.tif 11742660.tif 11742661.tif 11742662.tif 11742663.tif 11742664.tif 11742665.tif 11742666.tif 11742667.tif 11742668.tif</t>
  </si>
  <si>
    <t>Financial Reporting Lunar New Year Lunch Celebration</t>
  </si>
  <si>
    <t>.Social Meal &amp; Events Financial Reporting Lunar New Year Lunch Celebration</t>
  </si>
  <si>
    <t>.Social Meal &amp; Events Financial Reporting Lunar New Year Celebration Luncheon</t>
  </si>
  <si>
    <t>WEXP-00034043</t>
  </si>
  <si>
    <t>11742669.tif 11742670.tif 11742671.tif 11742688.tif 11742689.tif 11742690.tif 11742691.tif 11742692.tif 11742693.tif 11742694.tif 11742695.tif 11742696.tif 11742697.tif 11742698.tif 11742699.tif 11742700.tif 11742701.tif 11742702.tif 11742703.tif 11742704.tif 11742705.tif 11742706.tif 11742707.tif 11742708.tif 11742709.tif 11742710.tif 11742711.tif 11742712.tif 11742713.tif 11742714.tif 11742715.tif 11742716.tif 11742717.tif 11742718.tif 11742719.tif 11742720.tif 11742721.tif 11742722.tif 11742723.tif 11742724.tif 11742725.tif 11742726.tif 11742727.tif 11742728.tif 11742729.tif 11742730.tif 11742731.tif 11742732.tif 11742733.tif 11742734.tif 11742735.tif 11742736.tif 11742737.tif 11742738.tif 11742739.tif 11742740.tif 11742741.tif 11742742.tif 11742743.tif 11742744.tif 11742745.tif 11742746.tif 11742747.tif 11742748.tif 11742749.tif 11742750.tif 11742751.tif 11742752.tif 11742753.tif 11742754.tif 11742755.tif 11742756.tif 11742757.tif 11742758.tif 11742759.tif 11742760.tif 11742761.tif 11742762.tif 11742763.tif 11742764.tif 11742765.tif 11742766.tif 11742767.tif 11742768.tif 11742769.tif 11742770.tif 11742771.tif 11742772.tif 11742773.tif 11742774.tif 11742775.tif 11742776.tif 11742777.tif 11742778.tif 11742779.tif 11742780.tif 11742781.tif 11742782.tif 11742783.tif 11742784.tif 11742785.tif 11742786.tif 11742787.tif 11742788.tif 11742789.tif 11742790.tif 11742791.tif 11742792.tif 11742793.tif 11742794.tif 11742795.tif 11742796.tif 11742797.tif 11742798.tif 11742799.tif 11742800.tif 11742801.tif 11742802.tif 11742803.tif 11742804.tif 11742805.tif 11742806.tif 11742807.tif 11742808.tif 11742809.tif 11742810.tif 11742811.tif 11742812.tif 11742813.tif 11742814.tif 11742815.tif 11742816.tif 11742817.tif 11742818.tif 11742819.tif 11742820.tif 11742821.tif 11742822.tif 11742823.tif 11742824.tif 11742825.tif 11742826.tif 11742827.tif 11742828.tif 11742829.tif 11742830.tif 11742831.tif 11742832.tif 11742833.tif 11742834.tif 11742835.tif 11742836.tif 11742837.tif 11742838.tif 11742839.tif 11742840.tif 11742841.tif 11742842.tif 11742843.tif 11742844.tif 11742845.tif 11742846.tif 11742847.tif 11742848.tif 11742849.tif 11742850.tif 11742851.tif 11742852.tif 11742853.tif 11742854.tif 11742855.tif 11742856.tif 11742857.tif 11742858.tif 11742859.tif 11742860.tif 11742861.tif 11742862.tif 11742863.tif 11742864.tif 11742865.tif 11742866.tif 11742867.tif 11742868.tif 11742869.tif 11742870.tif 11742871.tif 11742872.tif 11742873.tif 11742874.tif 11742875.tif 11742876.tif 11742877.tif</t>
  </si>
  <si>
    <t>Cookies to Accounting Department from Leadership Team acknowledging a great start to FY2021.</t>
  </si>
  <si>
    <t>.Social Meal &amp; Events Cookies to Accounting Department from Leadership Team acknowledging a great start to FY2021.</t>
  </si>
  <si>
    <t>.Social Meal &amp; Events Service anniversary cookies from tax department</t>
  </si>
  <si>
    <t>WEXP-00033900</t>
  </si>
  <si>
    <t>11712133.tif 11712134.tif 11712135.tif</t>
  </si>
  <si>
    <t>lunch   for   1099   work   week</t>
  </si>
  <si>
    <t>.Business Meals lunch   for   1099   work   week</t>
  </si>
  <si>
    <t>WEXP-00033950</t>
  </si>
  <si>
    <t>11713006.tif 11713007.tif 11713008.tif 11713009.tif 11713010.tif 11713011.tif 11713012.tif</t>
  </si>
  <si>
    <t>Four port USB 3.0 hub ordered from Best Buy</t>
  </si>
  <si>
    <t>IT Equipment Four port USB 3.0 hub ordered from Best Buy</t>
  </si>
  <si>
    <t>Office Supplies Wireless mouse ordered from Best Buy</t>
  </si>
  <si>
    <t>WEXP-00033493</t>
  </si>
  <si>
    <t>11711437.tif 11711438.tif 11711439.tif</t>
  </si>
  <si>
    <t>Participating Take-Out Tuesday lunch to support local restaurants</t>
  </si>
  <si>
    <t>.Business Meals Participating Take-Out Tuesday lunch to support local restaurants</t>
  </si>
  <si>
    <t>WEXP-00033936</t>
  </si>
  <si>
    <t>11712324.tif 11712325.tif 11712326.tif</t>
  </si>
  <si>
    <t>Rates &amp; Business Planning Happy Hour</t>
  </si>
  <si>
    <t>.Business Meals Rates &amp; Business Planning Happy Hour</t>
  </si>
  <si>
    <t>WEXP-00034110</t>
  </si>
  <si>
    <t>Registration for ESG: Navigating The Board's Role, March 1, 2021 - Virtual</t>
  </si>
  <si>
    <t>Employee Development - MC Registration for ESG: Navigating The Board's Role, March 1, 2021 - Virtual</t>
  </si>
  <si>
    <t>WEXP-00034416</t>
  </si>
  <si>
    <t>Ink/Toner for Printer while working from home.</t>
  </si>
  <si>
    <t>Office Supplies Ink/Toner for Printer while working from home.</t>
  </si>
  <si>
    <t>WEXP-00034668</t>
  </si>
  <si>
    <t>CHC20210318-WD EXP</t>
  </si>
  <si>
    <t>11821303.tif 11821304.tif 11821305.tif 11821306.tif 11821307.tif 11821308.tif 11821309.tif</t>
  </si>
  <si>
    <t>Training Webinar Training; American Gas Association: Addressing the  Operational Concerns with Hydrogen Blending in Distribution</t>
  </si>
  <si>
    <t>IT Equipment IT Equipment; Required all-purpose battery for emergency purposes including but not limited to: laptops, phones, etc.</t>
  </si>
  <si>
    <t>WEXP-00034809</t>
  </si>
  <si>
    <t>CHC20210305-WD EXP</t>
  </si>
  <si>
    <t>11784999.tif 11785000.tif 11785001.tif 11785002.tif 11785003.tif 11785004.tif 11785005.tif</t>
  </si>
  <si>
    <t>Memorial Donation for Board Member R. Garza's Father</t>
  </si>
  <si>
    <t>.Social Meal &amp; Events Charcuterie boxes for department Holiday Team Meeting and C. DeVincenzo Bridal Shower</t>
  </si>
  <si>
    <t>Donations Memorial Donation for Board Member R. Garza's Father</t>
  </si>
  <si>
    <t>WEXP-00034496</t>
  </si>
  <si>
    <t>CHC20210301-WD EXP</t>
  </si>
  <si>
    <t>11783796.tif 11783797.tif 11783798.tif 11783799.tif 11783800.tif 11783801.tif 11783802.tif 11783803.tif 11783804.tif 11783805.tif 11783806.tif 11783807.tif 11783808.tif 11783809.tif 11783810.tif 11783811.tif 11783812.tif 11783813.tif 11783814.tif 11783815.tif 11783816.tif 11783817.tif 11783818.tif</t>
  </si>
  <si>
    <t>Lunch for Mail room to say how much we appreciate them for all that they are doing</t>
  </si>
  <si>
    <t>.Business Meals Lunch for Mail room to say how much we appreciate them for all that they are doing</t>
  </si>
  <si>
    <t>.Business Meals Meal for Cynthia and her mom, who is currently sick</t>
  </si>
  <si>
    <t>WEXP-00034515</t>
  </si>
  <si>
    <t>CHC20210302-WD EXP</t>
  </si>
  <si>
    <t>11783914.tif 11783915.tif 11783916.tif 11783917.tif 11783918.tif 11783919.tif 11783920.tif</t>
  </si>
  <si>
    <t>Office Supplies Paper Towels and toilet paper for Shared Services Gas Control</t>
  </si>
  <si>
    <t>Mileage Round trip from Franklin Gas Control to deliver supplies to Columbia Gas Control</t>
  </si>
  <si>
    <t>WEXP-00035304</t>
  </si>
  <si>
    <t>CHC20210330-WD EXP</t>
  </si>
  <si>
    <t>11861256.tif 11861257.tif 11861258.tif 11861259.tif 11861260.tif 11861261.tif 11861262.tif 11861263.tif 11861264.tif</t>
  </si>
  <si>
    <t>Benefit and Payroll Accounting Dept Working Lunch</t>
  </si>
  <si>
    <t>.Business Meals Benefit and Payroll Accounting Dept Working Lunch</t>
  </si>
  <si>
    <t>WEXP-00035397</t>
  </si>
  <si>
    <t>CHC20210322-WD EXP</t>
  </si>
  <si>
    <t>11842434.tif 11842435.tif 11842436.tif</t>
  </si>
  <si>
    <t>Celebrating one year working in a unique environment</t>
  </si>
  <si>
    <t>.Business Meals Celebrating one year working in a unique environment</t>
  </si>
  <si>
    <t>WEXP-00035343</t>
  </si>
  <si>
    <t>KAW20210324_WDEXP</t>
  </si>
  <si>
    <t>11842964.tif 11842965.tif 11842966.tif 11842967.tif 11842968.tif 11842969.tif 11842970.tif 11842971.tif 11842972.tif 11842973.tif 11842974.tif 11842975.tif 11842976.tif 11842977.tif 11842978.tif 11842979.tif 11842980.tif 11842981.tif 11842982.tif 11842983.tif 11842984.tif 11842985.tif 11842986.tif 11842987.tif 11842988.tif 11842989.tif 11842990.tif</t>
  </si>
  <si>
    <t>Purchased lunch for "Take Out Tuesday" on March 19, 2021.</t>
  </si>
  <si>
    <t>IT Equipment Purchased mouse after company-issued mouse stopped working.</t>
  </si>
  <si>
    <t>.Business Meals Purchased lunch for "Take Out Tuesday" on March 19, 2021.</t>
  </si>
  <si>
    <t>WEXP-00035158</t>
  </si>
  <si>
    <t>11821299.tif 11821300.tif 11821301.tif 11821302.tif</t>
  </si>
  <si>
    <t>Take Out Tuesday Lunch - Remote Work Anniversary</t>
  </si>
  <si>
    <t>.Business Meals Take Out Tuesday Lunch - Remote Work Anniversary</t>
  </si>
  <si>
    <t>WEXP-00035453</t>
  </si>
  <si>
    <t>11842260.tif 11842261.tif 11842262.tif</t>
  </si>
  <si>
    <t>Hard Drive used to ship data to ESRI for the project</t>
  </si>
  <si>
    <t>IT Equipment Hard Drive used to ship data to ESRI for the project</t>
  </si>
  <si>
    <t>010.35982</t>
  </si>
  <si>
    <t>WEXP-00034042</t>
  </si>
  <si>
    <t>CHC20210315-WD EXP</t>
  </si>
  <si>
    <t>11820666.tif 11820667.tif 11820658.tif 11820659.tif 11820660.tif 11820661.tif 11820662.tif 11820663.tif 11820664.tif 11820665.tif</t>
  </si>
  <si>
    <t>Documents mailed to outside counsel</t>
  </si>
  <si>
    <t>Postage Documents mailed to outside counsel</t>
  </si>
  <si>
    <t>.Social Meal &amp; Events Provided meal to sick employee at home</t>
  </si>
  <si>
    <t>Office Supplies Office Supplies for working from home</t>
  </si>
  <si>
    <t>WEXP-00035559</t>
  </si>
  <si>
    <t>CHC20210325-WD EXP</t>
  </si>
  <si>
    <t>11843153.tif 11843154.tif 11843155.tif 11843156.tif</t>
  </si>
  <si>
    <t>Registration Cost for Coaching for Improved Performance Seminar</t>
  </si>
  <si>
    <t>Employee Development Expense Registration Cost for Coaching for Improved Performance Seminar</t>
  </si>
  <si>
    <t>WEXP-00035298</t>
  </si>
  <si>
    <t>KAW20210319_WDEXP</t>
  </si>
  <si>
    <t>11821624.tif 11821625.tif 11821626.tif 11821627.tif</t>
  </si>
  <si>
    <t>Recently upgraded my IPhone for work and needed to purchase the case and screen cover to protect the phone.</t>
  </si>
  <si>
    <t>Cell Phone Equipment &amp; Accessories Recently upgraded my IPhone for work and needed to purchase the case and screen cover to protect the phone.</t>
  </si>
  <si>
    <t>WEXP-00035396</t>
  </si>
  <si>
    <t>11842452.tif 11842453.tif 11842454.tif</t>
  </si>
  <si>
    <t>Postage for Oracle AR misc invoices</t>
  </si>
  <si>
    <t>Postage Postage for Oracle AR misc invoices</t>
  </si>
  <si>
    <t>WEXP-00034273</t>
  </si>
  <si>
    <t>11821276.tif 11821277.tif 11821278.tif 11821279.tif 11821280.tif</t>
  </si>
  <si>
    <t>Lunch during General Accounting staff meeting</t>
  </si>
  <si>
    <t>.Business Meals Lunch during General Accounting staff meeting</t>
  </si>
  <si>
    <t>Postage 4 rolls of stamps for mailing Oracle AR invoices</t>
  </si>
  <si>
    <t>WEXP-00034832</t>
  </si>
  <si>
    <t>11820644.tif 11820645.tif 11820646.tif 11820647.tif 11820648.tif</t>
  </si>
  <si>
    <t>Month end close lunch for Ashley Grantham</t>
  </si>
  <si>
    <t>.Business Meals Month end lunch for Ashley Grantham</t>
  </si>
  <si>
    <t>WEXP-00034100</t>
  </si>
  <si>
    <t>11820717.tif 11820718.tif 11820719.tif 11820720.tif 11820721.tif</t>
  </si>
  <si>
    <t>WEXP-00035398</t>
  </si>
  <si>
    <t>11842366.tif 11842367.tif 11842368.tif</t>
  </si>
  <si>
    <t>Approved lunch by Workforce Development</t>
  </si>
  <si>
    <t>.Business Meals Approved lunch by Workforce Development</t>
  </si>
  <si>
    <t>WEXP-00035108</t>
  </si>
  <si>
    <t>11821159.tif 11821160.tif 11821161.tif</t>
  </si>
  <si>
    <t>Office Supplies while working from home / phone case</t>
  </si>
  <si>
    <t>Cell Phone Equipment &amp; Accessories Office Supplies while working from home / phone case</t>
  </si>
  <si>
    <t>WEXP-00035544</t>
  </si>
  <si>
    <t>11842906.tif 11842907.tif 11842908.tif</t>
  </si>
  <si>
    <t>Lunch for take out Tuesday on 3-16-2021</t>
  </si>
  <si>
    <t>.Business Meals Lunch for take out Tuesday on 3-16-2021</t>
  </si>
  <si>
    <t>WEXP-00035604</t>
  </si>
  <si>
    <t>CHC20210326-WD EXP</t>
  </si>
  <si>
    <t>11843274.tif 11843275.tif 11843276.tif</t>
  </si>
  <si>
    <t>PE fusion inspection kits for the instructors</t>
  </si>
  <si>
    <t>Non-Inventory Supply PE fusion inspection kits for the instructors</t>
  </si>
  <si>
    <t>WEXP-00034978</t>
  </si>
  <si>
    <t>KAW20210317_WDEXP</t>
  </si>
  <si>
    <t>11820863.tif 11820864.tif 11820865.tif</t>
  </si>
  <si>
    <t>GAL- VWI students tool kits for students in the VWI class</t>
  </si>
  <si>
    <t>Non-Inventory Supply GAL- VWI students tool kits for students in the VWI class</t>
  </si>
  <si>
    <t>WEXP-00035692</t>
  </si>
  <si>
    <t>11861307.tif 11861308.tif 11861309.tif 11861310.tif 11861311.tif</t>
  </si>
  <si>
    <t>Buisness Planning Lunch Meeting</t>
  </si>
  <si>
    <t>.Business Meals Buisness Planning Lunch Meeting</t>
  </si>
  <si>
    <t>WEXP-00034707</t>
  </si>
  <si>
    <t>11821405.tif 11821406.tif 11821407.tif 11821408.tif</t>
  </si>
  <si>
    <t>10 week training course for professional development</t>
  </si>
  <si>
    <t>Training 10 week professional development training</t>
  </si>
  <si>
    <t>WEXP-00034935</t>
  </si>
  <si>
    <t>CHC20210311-WD EXP</t>
  </si>
  <si>
    <t>11802660.tif 11802661.tif 11802662.tif 11802663.tif 11802664.tif 11802665.tif 11802666.tif</t>
  </si>
  <si>
    <t>Calendar for the new year to record PTO and meetings</t>
  </si>
  <si>
    <t>.Business Meals Business Lunch via Zoom Meeting with the Rates &amp; Regulatory Department</t>
  </si>
  <si>
    <t>Cell Phone Equipment &amp; Accessories Calendar for the new year to record PTO and meetings</t>
  </si>
  <si>
    <t>Office Supplies Cell phone case and carrier for new iphone 8</t>
  </si>
  <si>
    <t>WEXP-00035012</t>
  </si>
  <si>
    <t>11820857.tif 11820858.tif 11820859.tif 11820860.tif 11820861.tif 11820862.tif</t>
  </si>
  <si>
    <t>Cambridge Meeting notesbooks to use during meetings.</t>
  </si>
  <si>
    <t>Office Supplies Purchased ink for printer to print work documents.</t>
  </si>
  <si>
    <t>Office Supplies Cambridge Meeting notesbooks to use during meetings.</t>
  </si>
  <si>
    <t>WEXP-00034648</t>
  </si>
  <si>
    <t>11783988.tif 11783989.tif 11783990.tif 11783991.tif 11783992.tif 11783993.tif 11783994.tif 11783995.tif 11783996.tif 11783997.tif</t>
  </si>
  <si>
    <t>Take out Tuesdays - Benefits and Payroll Accounting</t>
  </si>
  <si>
    <t>.Business Meals Take out Tuesday - Benefits and Payroll Accounting</t>
  </si>
  <si>
    <t>.Business Meals Take out Tuesdays - Benefits and Payroll Accounting</t>
  </si>
  <si>
    <t>WEXP-00035469</t>
  </si>
  <si>
    <t>11843114.tif 11843115.tif 11843116.tif 11843117.tif</t>
  </si>
  <si>
    <t>HDMI cable and USB hub for new company computer while working remote.</t>
  </si>
  <si>
    <t>IT Equipment HDMI cable and USB hub for new company computer while working remote.</t>
  </si>
  <si>
    <t>WEXP-00035620</t>
  </si>
  <si>
    <t>11843238.tif 11843239.tif 11843240.tif</t>
  </si>
  <si>
    <t>Industry organization annual membership to keep up with trends and topics in HR.</t>
  </si>
  <si>
    <t>Professional Dues Industry organization annual membership to keep up with trends and topics in HR.</t>
  </si>
  <si>
    <t>WEXP-00035070</t>
  </si>
  <si>
    <t>11820916.tif 11820917.tif 11820918.tif 11820919.tif</t>
  </si>
  <si>
    <t>Lunch purchased for staff meeting on 3/12/21</t>
  </si>
  <si>
    <t>.Business Meals Lunch purchased for staff meeting on 3/12/21</t>
  </si>
  <si>
    <t>WEXP-00034528</t>
  </si>
  <si>
    <t>KAW20210303_WDEXP</t>
  </si>
  <si>
    <t>11784435.tif 11784436.tif 11784437.tif</t>
  </si>
  <si>
    <t>Purchased a new replacement keyboard as my current keyboard is beginning to malfunction.</t>
  </si>
  <si>
    <t>IT Equipment Purchased a new replacement keyboard as my current keyboard is beginning to malfunction.</t>
  </si>
  <si>
    <t>WEXP-00035422</t>
  </si>
  <si>
    <t>CHC20210323-WD EXP</t>
  </si>
  <si>
    <t>11842625.tif 11842626.tif 11842627.tif</t>
  </si>
  <si>
    <t>WEXP-00035503</t>
  </si>
  <si>
    <t>11842775.tif 11842776.tif 11842777.tif</t>
  </si>
  <si>
    <t>WEXP-00035514</t>
  </si>
  <si>
    <t>11842807.tif 11842808.tif 11842809.tif</t>
  </si>
  <si>
    <t>WEXP-00034562</t>
  </si>
  <si>
    <t>11843091.tif 11843092.tif 11843093.tif 11843094.tif 11843095.tif 11843096.tif 11843097.tif 11843098.tif 11843099.tif 11843100.tif 11843101.tif 11843102.tif</t>
  </si>
  <si>
    <t>Employee plaque for winning the Ambassador Program During National Safe Digging Month</t>
  </si>
  <si>
    <t>.Business Meals Take Out Tuesday meal for corporate communications working group.</t>
  </si>
  <si>
    <t>Employee Welfare Expense Employee plaque for winning the Ambassador Program During National Safe Digging Month</t>
  </si>
  <si>
    <t>Mileage Travel to and from Bartlett, Texas to oversee professional photoshoot for images used on .com, CRS report, and other publications.</t>
  </si>
  <si>
    <t>Office Supplies Professional tool used to check spelling, grammar, etc. for Corp. Comm.</t>
  </si>
  <si>
    <t>.Business Meals Take out Tuesday submission for January 2021</t>
  </si>
  <si>
    <t>255077</t>
  </si>
  <si>
    <t>Pert, Justin J (Justin)</t>
  </si>
  <si>
    <t>WEXP-00034744</t>
  </si>
  <si>
    <t>11784337.tif 11784338.tif 11784339.tif</t>
  </si>
  <si>
    <t>TSA PreCheck Renewal Required for Homeland Security designated areas.</t>
  </si>
  <si>
    <t>Employee Welfare Expense TSA PreCheck Renewal Required for Homeland Security designated areas.</t>
  </si>
  <si>
    <t>WEXP-00034748</t>
  </si>
  <si>
    <t>11784345.tif 11784346.tif 11784347.tif</t>
  </si>
  <si>
    <t>Onsite meal provided to Atmos staff for data center water &amp; power incident recovery.</t>
  </si>
  <si>
    <t>.Business Meals Onsite meal provided to Atmos staff for data center water &amp; power incident recovery.</t>
  </si>
  <si>
    <t>WEXP-00035431</t>
  </si>
  <si>
    <t>11842426.tif 11842427.tif 11842428.tif 11842429.tif 11842430.tif</t>
  </si>
  <si>
    <t>Purchase ASTM D1599-18 Standard</t>
  </si>
  <si>
    <t>Books &amp; Manuals Purchase ASTM D1599-18 Standard</t>
  </si>
  <si>
    <t>Books &amp; Manuals Purchase ASME B31Q 2018 Standard</t>
  </si>
  <si>
    <t>WEXP-00035555</t>
  </si>
  <si>
    <t>11842810.tif 11842811.tif 11842812.tif</t>
  </si>
  <si>
    <t>HR lunch for 1st quarter birthday and work anniversary celebration</t>
  </si>
  <si>
    <t>.Business Meals HR lunch for 1st quarter birthday and work anniversary celebration</t>
  </si>
  <si>
    <t>WEXP-00034739</t>
  </si>
  <si>
    <t>KAW20210310_WDEXP</t>
  </si>
  <si>
    <t>11802520.tif 11802521.tif 11802522.tif 11802523.tif</t>
  </si>
  <si>
    <t>Strategic Planning Quarterly Lunch</t>
  </si>
  <si>
    <t>.Business Meals Strategic Planning Quarterly Lunch</t>
  </si>
  <si>
    <t>WEXP-00035490</t>
  </si>
  <si>
    <t>CHC20210329-WD EXP</t>
  </si>
  <si>
    <t>11861007.tif 11861008.tif 11861009.tif 11861010.tif 11861011.tif 11861012.tif</t>
  </si>
  <si>
    <t>Fiscal 2022 Budget Planning Meeting</t>
  </si>
  <si>
    <t>.Business Meals Fiscal 2022 Budget Planning Meeting</t>
  </si>
  <si>
    <t>WEXP-00035541</t>
  </si>
  <si>
    <t>11842873.tif 11842874.tif 11842875.tif</t>
  </si>
  <si>
    <t>Lunch from Chipotle paid for by company for National Goof Off Day</t>
  </si>
  <si>
    <t>.Business Meals Lunch from Chipotle paid for by company for National Goof Off Day</t>
  </si>
  <si>
    <t>WEXP-00034747</t>
  </si>
  <si>
    <t>11784332.tif 11784333.tif 11784334.tif 11784335.tif 11784336.tif</t>
  </si>
  <si>
    <t>Lunch from Chickfila paid for by HR for Team Meeting on 2/24</t>
  </si>
  <si>
    <t>.Business Meals Lunch from Chickfila paid for by HR for Team Meeting on 2/24</t>
  </si>
  <si>
    <t>WEXP-00034950</t>
  </si>
  <si>
    <t>11802732.tif 11802733.tif 11802734.tif 11802735.tif</t>
  </si>
  <si>
    <t>Dinner for Sen. Lucio and staff during legislative session.</t>
  </si>
  <si>
    <t>.Business Meals Dinner for Sen. Lucio and staff during legislative session.</t>
  </si>
  <si>
    <t>WEXP-00034711</t>
  </si>
  <si>
    <t>11802487.tif 11802488.tif 11802489.tif</t>
  </si>
  <si>
    <t>order toner for home printer so i can print documents</t>
  </si>
  <si>
    <t>Office Supplies order toner for home printer so i can print documents</t>
  </si>
  <si>
    <t>WEXP-00035587</t>
  </si>
  <si>
    <t>11843281.tif 11843282.tif 11843283.tif 11843284.tif</t>
  </si>
  <si>
    <t>Ordered lunch on 3/19 for 3/22 HR event - "National Goof Off Day"</t>
  </si>
  <si>
    <t>.Business Meals Ordered lunch on 3/19 for 3/22 HR event - "National Goof Off Day"</t>
  </si>
  <si>
    <t>WEXP-00034694</t>
  </si>
  <si>
    <t>11784135.tif 11784136.tif 11784137.tif 11784138.tif</t>
  </si>
  <si>
    <t>HRMS/Compensation Quarterly meeting to recognize anniversaries and birthdays</t>
  </si>
  <si>
    <t>.Business Meals HRMS/Compensation Quarterly meeting to recognize anniversaries and birthdays</t>
  </si>
  <si>
    <t>WEXP-00035354</t>
  </si>
  <si>
    <t>11842347.tif 11842348.tif 11842349.tif 11842350.tif 11842351.tif</t>
  </si>
  <si>
    <t>iPhone 11 glass screen protector</t>
  </si>
  <si>
    <t>Cell Phone Equipment &amp; Accessories iPhone 11 glass screen protector</t>
  </si>
  <si>
    <t>Cell Phone Equipment &amp; Accessories iPhone 11 Case to protect phone from breakage</t>
  </si>
  <si>
    <t>WEXP-00034783</t>
  </si>
  <si>
    <t>CHC20210316-WD EXP</t>
  </si>
  <si>
    <t>11820751.tif 11820752.tif 11820753.tif 11820754.tif 11820755.tif 11820756.tif 11820757.tif 11820758.tif 11820759.tif 11820760.tif</t>
  </si>
  <si>
    <t>Hotel room #1125; reserved for employees during winter storm 2021</t>
  </si>
  <si>
    <t>Employee Welfare Expense CRS Scavenger hunt prizes for employees</t>
  </si>
  <si>
    <t>Lodging Hotel room #1125; reserved for employees during winter storm 2021</t>
  </si>
  <si>
    <t>Lodging Hotel room #1204; reserved for employees during winter storm 2021</t>
  </si>
  <si>
    <t>Office Supplies Replacement for broken office mouse</t>
  </si>
  <si>
    <t>WEXP-00034814</t>
  </si>
  <si>
    <t>11802503.tif 11802504.tif 11802505.tif</t>
  </si>
  <si>
    <t>Atmos Rates &amp; Business Planning Group Team Lunch</t>
  </si>
  <si>
    <t>.Business Meals Atmos Rates &amp; Business Planning Group Team Lunch</t>
  </si>
  <si>
    <t>WEXP-00034672</t>
  </si>
  <si>
    <t>11843070.tif 11843071.tif 11843072.tif 11843073.tif 11843074.tif 11843075.tif</t>
  </si>
  <si>
    <t>Logitech Wireless Headset for Work from Home</t>
  </si>
  <si>
    <t>Office Supplies Logitech Wireless Headset for Work from Home</t>
  </si>
  <si>
    <t>Office Supplies Logitech Webcam for Work from Home</t>
  </si>
  <si>
    <t>WEXP-00034531</t>
  </si>
  <si>
    <t>11820671.tif 11820672.tif 11820673.tif 11820674.tif 11820675.tif 11820676.tif 11820677.tif 11820678.tif 11820679.tif</t>
  </si>
  <si>
    <t>Team lunch during month end close</t>
  </si>
  <si>
    <t>.Business Meals Team lunch during month end close</t>
  </si>
  <si>
    <t>WEXP-00034813</t>
  </si>
  <si>
    <t>CHC20210309-WD EXP</t>
  </si>
  <si>
    <t>11802372.tif 11802373.tif 11802374.tif 11802375.tif 11802376.tif</t>
  </si>
  <si>
    <t>Amcrest Webcam with Microphone to be used with computer in Home Office</t>
  </si>
  <si>
    <t>Office Supplies Amcrest Webcam with Microphone to be used with computer in Home Office</t>
  </si>
  <si>
    <t>Office Supplies Soundance Laptop Stand, aluminum Computer Riser for computer to use in Home Office</t>
  </si>
  <si>
    <t>WEXP-00035515</t>
  </si>
  <si>
    <t>11842822.tif 11842823.tif 11842824.tif 11842825.tif 11842826.tif 11842827.tif 11842828.tif 11842829.tif 11842830.tif 11842831.tif 11842832.tif 11842833.tif 11842834.tif 11842835.tif</t>
  </si>
  <si>
    <t>Baby shower to celebrate Chelsey LaMunion</t>
  </si>
  <si>
    <t>.Business Meals Baby shower to celebrate Chelsey LaMunion</t>
  </si>
  <si>
    <t>Employee Welfare Expense Employee resignation celebration for Priya Raube</t>
  </si>
  <si>
    <t>.Business Meals Five Year Atmos Anniversary Celebration - Julie Hardy</t>
  </si>
  <si>
    <t>.Business Meals Baby Shower to celebrate Chelsey LaMunion</t>
  </si>
  <si>
    <t>WEXP-00034928</t>
  </si>
  <si>
    <t>11802620.tif 11802621.tif 11802622.tif 11802623.tif 11802624.tif 11802625.tif 11802626.tif 11802627.tif 11802628.tif 11802629.tif 11802630.tif 11802631.tif 11802632.tif 11802633.tif 11802634.tif 11802635.tif 11802636.tif 11802637.tif 11802638.tif 11802639.tif</t>
  </si>
  <si>
    <t>Flash drives for rate case filings</t>
  </si>
  <si>
    <t>Office Supplies Flash drives for rate case filings</t>
  </si>
  <si>
    <t>Postage Envelope and postage to mail DARR Filing to City of Dallas</t>
  </si>
  <si>
    <t>.Social Meal &amp; Events Meal for Rates Department luncheon</t>
  </si>
  <si>
    <t>Office Supplies Full sheet address labels for Rate filing envelopes</t>
  </si>
  <si>
    <t>Office Supplies Office supplies for Rates - folding hand cart, USB hub, pens, packing tape and dispensers</t>
  </si>
  <si>
    <t>Office Supplies Flash drive Hub to burn mulitple flash drives at one time</t>
  </si>
  <si>
    <t>WEXP-00034828</t>
  </si>
  <si>
    <t>11785019.tif 11785020.tif 11785021.tif 11785022.tif</t>
  </si>
  <si>
    <t>NFPA 54 books for technical training for first half of 2021</t>
  </si>
  <si>
    <t>Books &amp; Manuals NFPA 54 books for technical training for first half of 2021</t>
  </si>
  <si>
    <t>WEXP-00035510</t>
  </si>
  <si>
    <t>11861196.tif 11861197.tif 11861198.tif</t>
  </si>
  <si>
    <t>Texas Eminent Domain CLE Course registration as needed to satisfy Texas Bar MCLE requirements.</t>
  </si>
  <si>
    <t>Employee Development Expense Texas Eminent Domain CLE Course registration as needed to satisfy Texas Bar MCLE requirements.</t>
  </si>
  <si>
    <t>WEXP-00035301</t>
  </si>
  <si>
    <t>11821476.tif 11821477.tif 11821478.tif 11821479.tif 11821480.tif 11821481.tif 11821482.tif 11821483.tif 11821484.tif 11821485.tif 11821486.tif 11821487.tif 11821488.tif 11821489.tif 11821490.tif 11821491.tif 11821492.tif 11821493.tif 11821494.tif 11821495.tif 11821496.tif 11821497.tif 11821498.tif 11821499.tif 11821500.tif</t>
  </si>
  <si>
    <t>Joined Grubhub+ to get unlimited free delivery.  $9.99 per month plus tax ($10.81)</t>
  </si>
  <si>
    <t>.Social Meal &amp; Events Employee Appreciation Day Pop Corn Tins for Tax Department Employees</t>
  </si>
  <si>
    <t>.Business Meals Tax Payment Request Best Practices Training</t>
  </si>
  <si>
    <t>.Social Meal &amp; Events Welcome lunch to introduce Daren Stevens to the financial reporting Team</t>
  </si>
  <si>
    <t>.Business Meals CPA Continuing Professional Education Meeting and Training</t>
  </si>
  <si>
    <t>Civic &amp; Club Dues Joined Grubhub+ to get unlimited free delivery.  $9.99 per month plus tax ($10.81)</t>
  </si>
  <si>
    <t>WEXP-00034807</t>
  </si>
  <si>
    <t>KAW20210304_1 WDEXP</t>
  </si>
  <si>
    <t>11784597.tif 11784598.tif 11784599.tif</t>
  </si>
  <si>
    <t>Compensation and HRMS Quarterly Update &amp; Birthday Celebration</t>
  </si>
  <si>
    <t>.Business Meals Compensation and HRMS Quarterly Update &amp; Birthday Celebration</t>
  </si>
  <si>
    <t>WEXP-00034803</t>
  </si>
  <si>
    <t>11784680.tif 11784681.tif 11784682.tif</t>
  </si>
  <si>
    <t>WorldatWork Annual Membership Renewal Fee</t>
  </si>
  <si>
    <t>Professional Dues WorldatWork Annual Membership Renewal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</si>
</sst>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quot;$&quot;#,##0.00"/>
    <numFmt numFmtId="165" formatCode="mm/dd/yyyy\ hh:mm:ss"/>
  </numFmts>
  <fonts count="17" x14ac:knownFonts="1">
    <font>
      <sz val="10"/>
      <name val="Arial"/>
    </font>
    <font>
      <sz val="10"/>
      <name val="Arial"/>
      <family val="2"/>
    </font>
    <font>
      <b/>
      <sz val="11"/>
      <name val="Arial"/>
      <family val="2"/>
    </font>
    <font>
      <b/>
      <sz val="11"/>
      <color indexed="8"/>
      <name val="Arial"/>
      <family val="2"/>
    </font>
    <font>
      <b/>
      <sz val="10"/>
      <name val="Arial"/>
      <family val="2"/>
    </font>
    <font>
      <sz val="10"/>
      <color indexed="8"/>
      <name val="Arial"/>
      <family val="2"/>
    </font>
    <font>
      <b/>
      <sz val="10"/>
      <color indexed="8"/>
      <name val="Arial"/>
      <family val="2"/>
    </font>
    <font>
      <b/>
      <sz val="18"/>
      <name val="Arial"/>
      <family val="2"/>
    </font>
    <font>
      <b/>
      <sz val="10"/>
      <color indexed="9"/>
      <name val="Arial"/>
      <family val="2"/>
    </font>
    <font>
      <sz val="10"/>
      <color indexed="9"/>
      <name val="Arial"/>
      <family val="2"/>
    </font>
    <font>
      <b/>
      <sz val="16"/>
      <name val="Arial"/>
      <family val="2"/>
    </font>
    <font>
      <b/>
      <i/>
      <sz val="10"/>
      <name val="Arial"/>
      <family val="2"/>
    </font>
    <font>
      <b/>
      <sz val="14"/>
      <name val="Arial"/>
      <family val="2"/>
    </font>
    <font>
      <sz val="9"/>
      <name val="Arial"/>
      <family val="2"/>
    </font>
    <font>
      <b/>
      <sz val="16"/>
      <color indexed="8"/>
      <name val="Arial"/>
      <family val="2"/>
    </font>
    <font>
      <i/>
      <sz val="10"/>
      <color rgb="FFFF0000"/>
      <name val="Arial"/>
      <family val="2"/>
    </font>
    <font>
      <sz val="10"/>
      <color theme="1" tint="4.9989318521683403E-2"/>
      <name val="Arial"/>
      <family val="2"/>
    </font>
  </fonts>
  <fills count="14">
    <fill>
      <patternFill patternType="none"/>
    </fill>
    <fill>
      <patternFill patternType="gray125"/>
    </fill>
    <fill>
      <patternFill patternType="solid">
        <fgColor indexed="22"/>
        <bgColor indexed="9"/>
      </patternFill>
    </fill>
    <fill>
      <patternFill patternType="solid">
        <fgColor indexed="8"/>
        <bgColor indexed="64"/>
      </patternFill>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rgb="FFFFCC99"/>
        <bgColor indexed="64"/>
      </patternFill>
    </fill>
    <fill>
      <patternFill patternType="solid">
        <fgColor indexed="47"/>
        <bgColor indexed="64"/>
      </patternFill>
    </fill>
    <fill>
      <patternFill patternType="solid">
        <fgColor theme="1"/>
        <bgColor indexed="64"/>
      </patternFill>
    </fill>
    <fill>
      <patternFill patternType="solid">
        <fgColor rgb="FFFDE9D9"/>
        <bgColor indexed="64"/>
      </patternFill>
    </fill>
    <fill>
      <patternFill patternType="solid">
        <fgColor rgb="FF99CCFF"/>
        <bgColor indexed="64"/>
      </patternFill>
    </fill>
    <fill>
      <patternFill patternType="solid">
        <fgColor theme="9" tint="0.79998168889431442"/>
        <bgColor indexed="64"/>
      </patternFill>
    </fill>
  </fills>
  <borders count="14">
    <border>
      <left/>
      <right/>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s>
  <cellStyleXfs count="5">
    <xf numFmtId="0" fontId="0" fillId="0" borderId="0"/>
    <xf numFmtId="43" fontId="1" fillId="0" borderId="0" applyFont="0" applyFill="0" applyBorder="0" applyAlignment="0" applyProtection="0"/>
    <xf numFmtId="44" fontId="5" fillId="0" borderId="0"/>
    <xf numFmtId="0" fontId="5" fillId="0" borderId="0"/>
    <xf numFmtId="0" fontId="5" fillId="0" borderId="0"/>
  </cellStyleXfs>
  <cellXfs count="73">
    <xf numFmtId="0" fontId="0" fillId="0" borderId="0" xfId="0"/>
    <xf numFmtId="0" fontId="5" fillId="0" borderId="0" xfId="3" applyProtection="1">
      <protection locked="0"/>
    </xf>
    <xf numFmtId="0" fontId="5" fillId="0" borderId="0" xfId="3" applyAlignment="1" applyProtection="1">
      <alignment horizontal="center"/>
      <protection locked="0"/>
    </xf>
    <xf numFmtId="0" fontId="5" fillId="3" borderId="0" xfId="3" applyFill="1" applyProtection="1">
      <protection locked="0"/>
    </xf>
    <xf numFmtId="0" fontId="6" fillId="4" borderId="2" xfId="3" applyFont="1" applyFill="1" applyBorder="1" applyAlignment="1" applyProtection="1">
      <alignment horizontal="center" wrapText="1"/>
      <protection locked="0"/>
    </xf>
    <xf numFmtId="44" fontId="6" fillId="4" borderId="2" xfId="2" applyFont="1" applyFill="1" applyBorder="1" applyAlignment="1" applyProtection="1">
      <alignment horizontal="center" wrapText="1"/>
      <protection locked="0"/>
    </xf>
    <xf numFmtId="164" fontId="6" fillId="4" borderId="2" xfId="3" applyNumberFormat="1" applyFont="1" applyFill="1" applyBorder="1" applyAlignment="1" applyProtection="1">
      <alignment horizontal="center" wrapText="1"/>
      <protection locked="0"/>
    </xf>
    <xf numFmtId="40" fontId="5" fillId="0" borderId="0" xfId="3" applyNumberFormat="1" applyProtection="1">
      <protection locked="0"/>
    </xf>
    <xf numFmtId="0" fontId="6" fillId="0" borderId="0" xfId="3" applyFont="1" applyProtection="1">
      <protection locked="0"/>
    </xf>
    <xf numFmtId="0" fontId="11" fillId="0" borderId="0" xfId="3" applyFont="1" applyAlignment="1" applyProtection="1">
      <alignment horizontal="right"/>
      <protection locked="0"/>
    </xf>
    <xf numFmtId="2" fontId="5" fillId="0" borderId="0" xfId="3" applyNumberFormat="1" applyProtection="1">
      <protection locked="0"/>
    </xf>
    <xf numFmtId="2" fontId="1" fillId="0" borderId="0" xfId="3" applyNumberFormat="1" applyFont="1" applyProtection="1">
      <protection locked="0"/>
    </xf>
    <xf numFmtId="0" fontId="1" fillId="7" borderId="0" xfId="3" applyFont="1" applyFill="1" applyProtection="1">
      <protection locked="0"/>
    </xf>
    <xf numFmtId="49" fontId="0" fillId="7" borderId="0" xfId="0" applyNumberFormat="1" applyFill="1"/>
    <xf numFmtId="40" fontId="5" fillId="7" borderId="0" xfId="3" applyNumberFormat="1" applyFill="1" applyProtection="1">
      <protection locked="0"/>
    </xf>
    <xf numFmtId="2" fontId="0" fillId="7" borderId="0" xfId="0" applyNumberFormat="1" applyFill="1"/>
    <xf numFmtId="14" fontId="0" fillId="7" borderId="0" xfId="0" applyNumberFormat="1" applyFill="1"/>
    <xf numFmtId="0" fontId="5" fillId="7" borderId="0" xfId="3" applyFill="1" applyProtection="1">
      <protection locked="0"/>
    </xf>
    <xf numFmtId="0" fontId="5" fillId="7" borderId="0" xfId="3" applyFill="1" applyAlignment="1" applyProtection="1">
      <alignment horizontal="center"/>
      <protection locked="0"/>
    </xf>
    <xf numFmtId="2" fontId="5" fillId="7" borderId="0" xfId="3" applyNumberFormat="1" applyFill="1" applyProtection="1">
      <protection locked="0"/>
    </xf>
    <xf numFmtId="0" fontId="6" fillId="7" borderId="0" xfId="3" applyFont="1" applyFill="1" applyProtection="1">
      <protection locked="0"/>
    </xf>
    <xf numFmtId="40" fontId="5" fillId="8" borderId="0" xfId="3" applyNumberFormat="1" applyFill="1" applyProtection="1">
      <protection locked="0"/>
    </xf>
    <xf numFmtId="0" fontId="0" fillId="7" borderId="0" xfId="0" applyFill="1"/>
    <xf numFmtId="2" fontId="1" fillId="7" borderId="0" xfId="3" applyNumberFormat="1" applyFont="1" applyFill="1" applyProtection="1">
      <protection locked="0"/>
    </xf>
    <xf numFmtId="0" fontId="4" fillId="7" borderId="0" xfId="0" applyFont="1" applyFill="1"/>
    <xf numFmtId="43" fontId="6" fillId="7" borderId="13" xfId="1" applyFont="1" applyFill="1" applyBorder="1"/>
    <xf numFmtId="0" fontId="0" fillId="7" borderId="0" xfId="0" applyFill="1" applyAlignment="1">
      <alignment horizontal="center"/>
    </xf>
    <xf numFmtId="40" fontId="6" fillId="8" borderId="13" xfId="3" applyNumberFormat="1" applyFont="1" applyFill="1" applyBorder="1" applyProtection="1">
      <protection locked="0"/>
    </xf>
    <xf numFmtId="0" fontId="5" fillId="2" borderId="4" xfId="3" applyFill="1" applyBorder="1" applyAlignment="1" applyProtection="1">
      <alignment horizontal="center" wrapText="1"/>
      <protection locked="0"/>
    </xf>
    <xf numFmtId="0" fontId="1" fillId="2" borderId="4" xfId="3" applyFont="1" applyFill="1" applyBorder="1" applyAlignment="1" applyProtection="1">
      <alignment horizontal="center" wrapText="1"/>
      <protection locked="0"/>
    </xf>
    <xf numFmtId="2" fontId="5" fillId="2" borderId="4" xfId="3" applyNumberFormat="1" applyFill="1" applyBorder="1" applyAlignment="1" applyProtection="1">
      <alignment horizontal="center" wrapText="1"/>
      <protection locked="0"/>
    </xf>
    <xf numFmtId="0" fontId="5" fillId="0" borderId="0" xfId="4" applyProtection="1">
      <protection locked="0"/>
    </xf>
    <xf numFmtId="40" fontId="6" fillId="0" borderId="13" xfId="3" applyNumberFormat="1" applyFont="1" applyBorder="1" applyProtection="1">
      <protection locked="0"/>
    </xf>
    <xf numFmtId="0" fontId="10" fillId="0" borderId="0" xfId="3" applyFont="1" applyAlignment="1" applyProtection="1">
      <alignment horizontal="left"/>
      <protection locked="0"/>
    </xf>
    <xf numFmtId="0" fontId="5" fillId="9" borderId="0" xfId="3" applyFill="1" applyProtection="1">
      <protection locked="0"/>
    </xf>
    <xf numFmtId="0" fontId="8" fillId="0" borderId="0" xfId="3" applyFont="1"/>
    <xf numFmtId="0" fontId="9" fillId="0" borderId="0" xfId="3" applyFont="1"/>
    <xf numFmtId="0" fontId="1" fillId="0" borderId="0" xfId="3" applyFont="1" applyProtection="1">
      <protection locked="0"/>
    </xf>
    <xf numFmtId="49" fontId="0" fillId="0" borderId="0" xfId="0" applyNumberFormat="1"/>
    <xf numFmtId="165" fontId="5" fillId="0" borderId="0" xfId="3" applyNumberFormat="1" applyProtection="1">
      <protection locked="0"/>
    </xf>
    <xf numFmtId="43" fontId="1" fillId="0" borderId="0" xfId="1" applyFont="1" applyProtection="1">
      <protection locked="0"/>
    </xf>
    <xf numFmtId="43" fontId="1" fillId="0" borderId="13" xfId="1" applyFont="1" applyBorder="1" applyProtection="1">
      <protection locked="0"/>
    </xf>
    <xf numFmtId="49" fontId="0" fillId="7" borderId="0" xfId="0" applyNumberFormat="1" applyFill="1" applyAlignment="1">
      <alignment horizontal="center"/>
    </xf>
    <xf numFmtId="0" fontId="16" fillId="7" borderId="0" xfId="0" applyFont="1" applyFill="1"/>
    <xf numFmtId="14" fontId="0" fillId="0" borderId="0" xfId="0" applyNumberFormat="1"/>
    <xf numFmtId="0" fontId="0" fillId="0" borderId="0" xfId="0" applyAlignment="1">
      <alignment horizontal="center"/>
    </xf>
    <xf numFmtId="0" fontId="1" fillId="7" borderId="0" xfId="3" applyFont="1" applyFill="1" applyAlignment="1" applyProtection="1">
      <alignment horizontal="center"/>
      <protection locked="0"/>
    </xf>
    <xf numFmtId="17" fontId="10" fillId="0" borderId="0" xfId="3" quotePrefix="1" applyNumberFormat="1" applyFont="1" applyAlignment="1" applyProtection="1">
      <alignment horizontal="center"/>
      <protection locked="0"/>
    </xf>
    <xf numFmtId="0" fontId="4" fillId="0" borderId="0" xfId="3" applyFont="1" applyAlignment="1" applyProtection="1">
      <alignment horizontal="center"/>
      <protection locked="0"/>
    </xf>
    <xf numFmtId="0" fontId="12" fillId="0" borderId="0" xfId="3" applyFont="1" applyAlignment="1" applyProtection="1">
      <alignment horizontal="center"/>
      <protection locked="0"/>
    </xf>
    <xf numFmtId="0" fontId="7" fillId="0" borderId="0" xfId="3" applyFont="1" applyAlignment="1" applyProtection="1">
      <alignment horizontal="center"/>
      <protection locked="0"/>
    </xf>
    <xf numFmtId="0" fontId="14" fillId="0" borderId="0" xfId="3" applyFont="1" applyAlignment="1" applyProtection="1">
      <alignment horizontal="left"/>
      <protection locked="0"/>
    </xf>
    <xf numFmtId="0" fontId="5" fillId="10" borderId="0" xfId="3" applyFill="1" applyProtection="1">
      <protection locked="0"/>
    </xf>
    <xf numFmtId="40" fontId="5" fillId="11" borderId="0" xfId="3" applyNumberFormat="1" applyFill="1" applyProtection="1">
      <protection locked="0"/>
    </xf>
    <xf numFmtId="0" fontId="0" fillId="11" borderId="0" xfId="0" applyFill="1"/>
    <xf numFmtId="0" fontId="4" fillId="12" borderId="1" xfId="3" applyFont="1" applyFill="1" applyBorder="1" applyAlignment="1" applyProtection="1">
      <alignment horizontal="center" wrapText="1"/>
      <protection locked="0"/>
    </xf>
    <xf numFmtId="0" fontId="13" fillId="12" borderId="2" xfId="3" applyFont="1" applyFill="1" applyBorder="1" applyAlignment="1" applyProtection="1">
      <alignment horizontal="center" wrapText="1"/>
      <protection locked="0"/>
    </xf>
    <xf numFmtId="40" fontId="5" fillId="13" borderId="0" xfId="3" applyNumberFormat="1" applyFill="1" applyProtection="1">
      <protection locked="0"/>
    </xf>
    <xf numFmtId="44" fontId="2" fillId="5" borderId="9" xfId="2" applyFont="1" applyFill="1" applyBorder="1" applyAlignment="1" applyProtection="1">
      <alignment horizontal="center"/>
      <protection locked="0"/>
    </xf>
    <xf numFmtId="44" fontId="2" fillId="5" borderId="5" xfId="2" applyFont="1" applyFill="1" applyBorder="1" applyAlignment="1" applyProtection="1">
      <alignment horizontal="center"/>
      <protection locked="0"/>
    </xf>
    <xf numFmtId="44" fontId="2" fillId="5" borderId="10" xfId="2" applyFont="1" applyFill="1" applyBorder="1" applyAlignment="1" applyProtection="1">
      <alignment horizontal="center"/>
      <protection locked="0"/>
    </xf>
    <xf numFmtId="44" fontId="2" fillId="5" borderId="11" xfId="2" applyFont="1" applyFill="1" applyBorder="1" applyAlignment="1" applyProtection="1">
      <alignment horizontal="center"/>
      <protection locked="0"/>
    </xf>
    <xf numFmtId="44" fontId="2" fillId="5" borderId="7" xfId="2" applyFont="1" applyFill="1" applyBorder="1" applyAlignment="1" applyProtection="1">
      <alignment horizontal="center"/>
      <protection locked="0"/>
    </xf>
    <xf numFmtId="44" fontId="2" fillId="5" borderId="8" xfId="2" applyFont="1" applyFill="1" applyBorder="1" applyAlignment="1" applyProtection="1">
      <alignment horizontal="center"/>
      <protection locked="0"/>
    </xf>
    <xf numFmtId="0" fontId="15" fillId="0" borderId="7" xfId="3" applyFont="1" applyBorder="1" applyAlignment="1" applyProtection="1">
      <alignment horizontal="center"/>
      <protection locked="0"/>
    </xf>
    <xf numFmtId="0" fontId="15" fillId="7" borderId="7" xfId="3" applyFont="1" applyFill="1" applyBorder="1" applyAlignment="1" applyProtection="1">
      <alignment horizontal="center"/>
      <protection locked="0"/>
    </xf>
    <xf numFmtId="0" fontId="2" fillId="6" borderId="2" xfId="3" applyFont="1" applyFill="1" applyBorder="1" applyAlignment="1" applyProtection="1">
      <alignment horizontal="center" wrapText="1"/>
      <protection locked="0"/>
    </xf>
    <xf numFmtId="0" fontId="3" fillId="6" borderId="5" xfId="3" applyFont="1" applyFill="1" applyBorder="1" applyAlignment="1" applyProtection="1">
      <alignment horizontal="center"/>
      <protection locked="0"/>
    </xf>
    <xf numFmtId="0" fontId="3" fillId="6" borderId="6" xfId="3" applyFont="1" applyFill="1" applyBorder="1" applyAlignment="1" applyProtection="1">
      <alignment horizontal="center"/>
      <protection locked="0"/>
    </xf>
    <xf numFmtId="0" fontId="3" fillId="6" borderId="7" xfId="3" applyFont="1" applyFill="1" applyBorder="1" applyAlignment="1" applyProtection="1">
      <alignment horizontal="center"/>
      <protection locked="0"/>
    </xf>
    <xf numFmtId="0" fontId="3" fillId="6" borderId="8" xfId="3" applyFont="1" applyFill="1" applyBorder="1" applyAlignment="1" applyProtection="1">
      <alignment horizontal="center"/>
      <protection locked="0"/>
    </xf>
    <xf numFmtId="0" fontId="2" fillId="5" borderId="12" xfId="3" applyFont="1" applyFill="1" applyBorder="1" applyAlignment="1" applyProtection="1">
      <alignment horizontal="center" vertical="top"/>
      <protection locked="0"/>
    </xf>
    <xf numFmtId="0" fontId="2" fillId="5" borderId="3" xfId="3" applyFont="1" applyFill="1" applyBorder="1" applyAlignment="1" applyProtection="1">
      <alignment horizontal="center" vertical="top"/>
      <protection locked="0"/>
    </xf>
  </cellXfs>
  <cellStyles count="5">
    <cellStyle name="Comma" xfId="1" builtinId="3"/>
    <cellStyle name="Currency_Aug-08_CO-080-Exp_Review_Tracker-5-11-09" xfId="2" xr:uid="{00000000-0005-0000-0000-000001000000}"/>
    <cellStyle name="Normal" xfId="0" builtinId="0"/>
    <cellStyle name="Normal_Aug-08_CO-080-Exp_Review_Tracker-5-11-09" xfId="3" xr:uid="{00000000-0005-0000-0000-000003000000}"/>
    <cellStyle name="Normal_Sheet1" xfId="4" xr:uid="{00000000-0005-0000-0000-000004000000}"/>
  </cellStyles>
  <dxfs count="4">
    <dxf>
      <font>
        <b val="0"/>
        <i val="0"/>
        <strike val="0"/>
        <condense val="0"/>
        <extend val="0"/>
        <outline val="0"/>
        <shadow val="0"/>
        <u val="none"/>
        <vertAlign val="baseline"/>
        <sz val="10"/>
        <color indexed="9"/>
        <name val="Arial"/>
        <scheme val="none"/>
      </font>
      <protection locked="1" hidden="0"/>
    </dxf>
    <dxf>
      <border outline="0">
        <bottom style="thin">
          <color indexed="64"/>
        </bottom>
      </border>
    </dxf>
    <dxf>
      <font>
        <b val="0"/>
        <i val="0"/>
        <strike val="0"/>
        <condense val="0"/>
        <extend val="0"/>
        <outline val="0"/>
        <shadow val="0"/>
        <u val="none"/>
        <vertAlign val="baseline"/>
        <sz val="10"/>
        <color indexed="9"/>
        <name val="Arial"/>
        <scheme val="none"/>
      </font>
      <protection locked="1" hidden="0"/>
    </dxf>
    <dxf>
      <font>
        <b/>
        <i val="0"/>
        <strike val="0"/>
        <condense val="0"/>
        <extend val="0"/>
        <outline val="0"/>
        <shadow val="0"/>
        <u val="none"/>
        <vertAlign val="baseline"/>
        <sz val="10"/>
        <color indexed="9"/>
        <name val="Arial"/>
        <scheme val="none"/>
      </font>
      <protection locked="1" hidden="0"/>
    </dxf>
  </dxfs>
  <tableStyles count="0" defaultTableStyle="TableStyleMedium2" defaultPivotStyle="PivotStyleLight16"/>
  <colors>
    <mruColors>
      <color rgb="FF99CCFF"/>
      <color rgb="FFFDE9D9"/>
      <color rgb="FFFFCC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6788127-9316-4C4F-B576-0F7C1F1EB7D4}" name="List17" displayName="List17" ref="AQ1:AQ7" totalsRowShown="0" headerRowDxfId="3" dataDxfId="2" tableBorderDxfId="1" headerRowCellStyle="Normal_Aug-08_CO-080-Exp_Review_Tracker-5-11-09" dataCellStyle="Normal_Aug-08_CO-080-Exp_Review_Tracker-5-11-09">
  <tableColumns count="1">
    <tableColumn id="1" xr3:uid="{621DAFF6-A1E5-421A-879F-669C7096DD7F}" name="Status" dataDxfId="0" dataCellStyle="Normal_Aug-08_CO-080-Exp_Review_Tracker-5-11-0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6B7-60A8-4592-8A2C-0AF7D4C291DB}">
  <dimension ref="A1:BI61610"/>
  <sheetViews>
    <sheetView tabSelected="1" zoomScale="80" zoomScaleNormal="80" workbookViewId="0"/>
  </sheetViews>
  <sheetFormatPr defaultRowHeight="12.75" x14ac:dyDescent="0.2"/>
  <cols>
    <col min="1" max="1" width="7.85546875" style="2" customWidth="1"/>
    <col min="2" max="2" width="2.28515625" style="1" customWidth="1"/>
    <col min="3" max="3" width="2.42578125" style="1" customWidth="1"/>
    <col min="4" max="4" width="23.42578125" style="2" customWidth="1"/>
    <col min="5" max="5" width="16.140625" style="1" customWidth="1"/>
    <col min="6" max="6" width="2.5703125" style="1" customWidth="1"/>
    <col min="7" max="7" width="2.28515625" style="1" customWidth="1"/>
    <col min="8" max="8" width="14.85546875" style="1" customWidth="1"/>
    <col min="9" max="9" width="10.85546875" style="1" bestFit="1" customWidth="1"/>
    <col min="10" max="10" width="11.42578125" style="10" customWidth="1"/>
    <col min="11" max="11" width="13.85546875" style="11" bestFit="1" customWidth="1"/>
    <col min="12" max="12" width="15.42578125" style="1" customWidth="1"/>
    <col min="13" max="13" width="15.42578125" style="2" customWidth="1"/>
    <col min="14" max="14" width="8.85546875" style="8" bestFit="1" customWidth="1"/>
    <col min="15" max="15" width="6.5703125" style="1" bestFit="1" customWidth="1"/>
    <col min="16" max="16" width="8.5703125" style="1" customWidth="1"/>
    <col min="17" max="17" width="8" style="1" bestFit="1" customWidth="1"/>
    <col min="18" max="18" width="7.42578125" style="1" bestFit="1" customWidth="1"/>
    <col min="19" max="19" width="9.85546875" style="1" customWidth="1"/>
    <col min="20" max="20" width="12" style="1" bestFit="1" customWidth="1"/>
    <col min="21" max="22" width="10.7109375" style="1" customWidth="1"/>
    <col min="23" max="23" width="11.28515625" style="1" customWidth="1"/>
    <col min="24" max="24" width="2.140625" style="17" customWidth="1"/>
    <col min="25" max="25" width="15.7109375" style="53" customWidth="1"/>
    <col min="26" max="26" width="15.7109375" style="14" customWidth="1"/>
    <col min="27" max="27" width="15.7109375" style="53" customWidth="1"/>
    <col min="28" max="28" width="15.7109375" style="14" customWidth="1"/>
    <col min="29" max="29" width="15.7109375" style="53" customWidth="1"/>
    <col min="30" max="30" width="15.7109375" style="14" customWidth="1"/>
    <col min="31" max="31" width="15.7109375" style="53" customWidth="1"/>
    <col min="32" max="32" width="15.7109375" style="14" customWidth="1"/>
    <col min="33" max="33" width="15.7109375" style="53" customWidth="1"/>
    <col min="34" max="34" width="15.7109375" style="14" customWidth="1"/>
    <col min="35" max="35" width="15.7109375" style="53" customWidth="1"/>
    <col min="36" max="36" width="15.7109375" style="14" customWidth="1"/>
    <col min="37" max="37" width="15.7109375" style="53" customWidth="1"/>
    <col min="38" max="38" width="15.7109375" style="14" customWidth="1"/>
    <col min="39" max="39" width="2.140625" style="7" customWidth="1"/>
    <col min="40" max="40" width="21" style="7" customWidth="1"/>
    <col min="41" max="41" width="16.5703125" style="7" bestFit="1" customWidth="1"/>
    <col min="42" max="42" width="16.28515625" style="1" customWidth="1"/>
    <col min="43" max="43" width="27" style="1" customWidth="1"/>
    <col min="44" max="16384" width="9.140625" style="1"/>
  </cols>
  <sheetData>
    <row r="1" spans="1:61" ht="20.25" x14ac:dyDescent="0.3">
      <c r="A1" s="33" t="s">
        <v>806</v>
      </c>
      <c r="H1" s="8"/>
      <c r="Y1" s="17"/>
      <c r="Z1" s="17"/>
      <c r="AA1" s="17"/>
      <c r="AB1" s="17"/>
      <c r="AC1" s="17"/>
      <c r="AD1" s="17"/>
      <c r="AE1" s="17"/>
      <c r="AF1" s="17"/>
      <c r="AG1" s="17"/>
      <c r="AH1" s="17"/>
      <c r="AI1" s="17"/>
      <c r="AJ1" s="17"/>
      <c r="AK1" s="17"/>
      <c r="AL1" s="17"/>
      <c r="AM1" s="1"/>
      <c r="AN1" s="1"/>
      <c r="AO1" s="34"/>
      <c r="AQ1" s="35" t="s">
        <v>11</v>
      </c>
    </row>
    <row r="2" spans="1:61" ht="20.25" x14ac:dyDescent="0.3">
      <c r="A2" s="51" t="s">
        <v>6747</v>
      </c>
      <c r="H2" s="8"/>
      <c r="Y2" s="17"/>
      <c r="Z2" s="17"/>
      <c r="AA2" s="17"/>
      <c r="AB2" s="17"/>
      <c r="AC2" s="17"/>
      <c r="AD2" s="17"/>
      <c r="AE2" s="17"/>
      <c r="AF2" s="17"/>
      <c r="AG2" s="17"/>
      <c r="AH2" s="17"/>
      <c r="AI2" s="17"/>
      <c r="AJ2" s="17"/>
      <c r="AK2" s="17"/>
      <c r="AL2" s="17"/>
      <c r="AM2" s="1"/>
      <c r="AN2" s="1"/>
      <c r="AO2" s="34"/>
      <c r="AQ2" s="36" t="s">
        <v>6</v>
      </c>
    </row>
    <row r="3" spans="1:61" ht="20.25" x14ac:dyDescent="0.3">
      <c r="A3" s="47"/>
      <c r="H3" s="8"/>
      <c r="Y3" s="17"/>
      <c r="Z3" s="17"/>
      <c r="AA3" s="17"/>
      <c r="AB3" s="17"/>
      <c r="AC3" s="17"/>
      <c r="AD3" s="17"/>
      <c r="AE3" s="17"/>
      <c r="AF3" s="17"/>
      <c r="AG3" s="17"/>
      <c r="AH3" s="17"/>
      <c r="AI3" s="17"/>
      <c r="AJ3" s="17"/>
      <c r="AK3" s="17"/>
      <c r="AL3" s="17"/>
      <c r="AM3" s="1"/>
      <c r="AN3" s="1"/>
      <c r="AO3" s="34"/>
      <c r="AQ3" s="36" t="s">
        <v>1</v>
      </c>
    </row>
    <row r="4" spans="1:61" ht="20.25" x14ac:dyDescent="0.3">
      <c r="A4" s="47"/>
      <c r="Y4" s="17"/>
      <c r="Z4" s="17"/>
      <c r="AA4" s="17"/>
      <c r="AB4" s="17"/>
      <c r="AC4" s="17"/>
      <c r="AD4" s="17"/>
      <c r="AE4" s="17"/>
      <c r="AF4" s="17"/>
      <c r="AG4" s="17"/>
      <c r="AH4" s="17"/>
      <c r="AI4" s="17"/>
      <c r="AJ4" s="17"/>
      <c r="AK4" s="17"/>
      <c r="AL4" s="17"/>
      <c r="AM4" s="1"/>
      <c r="AN4" s="9"/>
      <c r="AO4" s="34"/>
      <c r="AQ4" s="36" t="s">
        <v>2</v>
      </c>
    </row>
    <row r="5" spans="1:61" ht="15" customHeight="1" x14ac:dyDescent="0.2">
      <c r="A5" s="48"/>
      <c r="Y5" s="17"/>
      <c r="Z5" s="17"/>
      <c r="AA5" s="17"/>
      <c r="AB5" s="17"/>
      <c r="AC5" s="17"/>
      <c r="AD5" s="17"/>
      <c r="AE5" s="17"/>
      <c r="AF5" s="17"/>
      <c r="AG5" s="17"/>
      <c r="AH5" s="17"/>
      <c r="AI5" s="17"/>
      <c r="AJ5" s="17"/>
      <c r="AK5" s="17"/>
      <c r="AL5" s="17"/>
      <c r="AM5" s="1"/>
      <c r="AN5" s="9"/>
      <c r="AO5" s="34"/>
      <c r="AQ5" s="36" t="s">
        <v>3</v>
      </c>
    </row>
    <row r="6" spans="1:61" ht="18.75" customHeight="1" x14ac:dyDescent="0.25">
      <c r="A6" s="49"/>
      <c r="Y6" s="17"/>
      <c r="Z6" s="17"/>
      <c r="AA6" s="17"/>
      <c r="AB6" s="17"/>
      <c r="AC6" s="17"/>
      <c r="AD6" s="17"/>
      <c r="AE6" s="17"/>
      <c r="AF6" s="17"/>
      <c r="AG6" s="17"/>
      <c r="AH6" s="17"/>
      <c r="AI6" s="17"/>
      <c r="AJ6" s="17"/>
      <c r="AK6" s="17"/>
      <c r="AL6" s="17"/>
      <c r="AM6" s="1"/>
      <c r="AN6" s="1"/>
      <c r="AO6" s="34"/>
      <c r="AQ6" s="36" t="s">
        <v>4</v>
      </c>
    </row>
    <row r="7" spans="1:61" ht="15" customHeight="1" x14ac:dyDescent="0.35">
      <c r="A7" s="50"/>
      <c r="B7" s="64"/>
      <c r="C7" s="64"/>
      <c r="D7" s="64"/>
      <c r="E7" s="64"/>
      <c r="F7" s="64"/>
      <c r="G7" s="64"/>
      <c r="H7" s="64"/>
      <c r="I7" s="64"/>
      <c r="J7" s="64"/>
      <c r="K7" s="64"/>
      <c r="L7" s="64"/>
      <c r="M7" s="64"/>
      <c r="N7" s="64"/>
      <c r="O7" s="64"/>
      <c r="P7" s="64"/>
      <c r="Q7" s="64"/>
      <c r="R7" s="64"/>
      <c r="S7" s="64"/>
      <c r="T7" s="64"/>
      <c r="U7" s="64"/>
      <c r="V7" s="64"/>
      <c r="W7" s="64"/>
      <c r="Y7" s="65"/>
      <c r="Z7" s="65"/>
      <c r="AA7" s="65"/>
      <c r="AB7" s="65"/>
      <c r="AC7" s="65"/>
      <c r="AD7" s="65"/>
      <c r="AE7" s="65"/>
      <c r="AF7" s="65"/>
      <c r="AG7" s="65"/>
      <c r="AH7" s="65"/>
      <c r="AI7" s="65"/>
      <c r="AJ7" s="65"/>
      <c r="AK7" s="65"/>
      <c r="AL7" s="65"/>
      <c r="AM7" s="1"/>
      <c r="AN7" s="1"/>
      <c r="AO7" s="34"/>
      <c r="AQ7" s="36" t="s">
        <v>5</v>
      </c>
    </row>
    <row r="8" spans="1:61" ht="12.75" customHeight="1" x14ac:dyDescent="0.2">
      <c r="A8" s="66"/>
      <c r="B8" s="67" t="s">
        <v>23</v>
      </c>
      <c r="C8" s="67"/>
      <c r="D8" s="67"/>
      <c r="E8" s="67"/>
      <c r="F8" s="67"/>
      <c r="G8" s="67"/>
      <c r="H8" s="67"/>
      <c r="I8" s="67"/>
      <c r="J8" s="67"/>
      <c r="K8" s="67"/>
      <c r="L8" s="67"/>
      <c r="M8" s="67"/>
      <c r="N8" s="67"/>
      <c r="O8" s="67"/>
      <c r="P8" s="67"/>
      <c r="Q8" s="67"/>
      <c r="R8" s="67"/>
      <c r="S8" s="67"/>
      <c r="T8" s="67"/>
      <c r="U8" s="67"/>
      <c r="V8" s="67"/>
      <c r="W8" s="68"/>
      <c r="X8" s="52"/>
      <c r="Y8" s="71" t="s">
        <v>7</v>
      </c>
      <c r="Z8" s="72"/>
      <c r="AA8" s="72"/>
      <c r="AB8" s="72"/>
      <c r="AC8" s="72"/>
      <c r="AD8" s="72"/>
      <c r="AE8" s="72"/>
      <c r="AF8" s="72"/>
      <c r="AG8" s="72"/>
      <c r="AH8" s="72"/>
      <c r="AI8" s="72"/>
      <c r="AJ8" s="72"/>
      <c r="AK8" s="72"/>
      <c r="AL8" s="72"/>
      <c r="AM8" s="3"/>
      <c r="AN8" s="58" t="s">
        <v>18</v>
      </c>
      <c r="AO8" s="59"/>
      <c r="AP8" s="59"/>
      <c r="AQ8" s="60"/>
    </row>
    <row r="9" spans="1:61" ht="44.25" customHeight="1" x14ac:dyDescent="0.2">
      <c r="A9" s="66"/>
      <c r="B9" s="69"/>
      <c r="C9" s="69"/>
      <c r="D9" s="69"/>
      <c r="E9" s="69"/>
      <c r="F9" s="69"/>
      <c r="G9" s="69"/>
      <c r="H9" s="69"/>
      <c r="I9" s="69"/>
      <c r="J9" s="69"/>
      <c r="K9" s="69"/>
      <c r="L9" s="69"/>
      <c r="M9" s="69"/>
      <c r="N9" s="69"/>
      <c r="O9" s="69"/>
      <c r="P9" s="69"/>
      <c r="Q9" s="69"/>
      <c r="R9" s="69"/>
      <c r="S9" s="69"/>
      <c r="T9" s="69"/>
      <c r="U9" s="69"/>
      <c r="V9" s="69"/>
      <c r="W9" s="70"/>
      <c r="X9" s="52"/>
      <c r="Y9" s="55" t="s">
        <v>8</v>
      </c>
      <c r="Z9" s="55" t="s">
        <v>39</v>
      </c>
      <c r="AA9" s="55" t="s">
        <v>223</v>
      </c>
      <c r="AB9" s="55" t="s">
        <v>12</v>
      </c>
      <c r="AC9" s="55" t="s">
        <v>224</v>
      </c>
      <c r="AD9" s="55" t="s">
        <v>13</v>
      </c>
      <c r="AE9" s="55" t="s">
        <v>14</v>
      </c>
      <c r="AF9" s="55" t="s">
        <v>0</v>
      </c>
      <c r="AG9" s="55" t="s">
        <v>225</v>
      </c>
      <c r="AH9" s="55" t="s">
        <v>16</v>
      </c>
      <c r="AI9" s="55" t="s">
        <v>226</v>
      </c>
      <c r="AJ9" s="55" t="s">
        <v>227</v>
      </c>
      <c r="AK9" s="55" t="s">
        <v>228</v>
      </c>
      <c r="AL9" s="55" t="s">
        <v>229</v>
      </c>
      <c r="AM9" s="3"/>
      <c r="AN9" s="61"/>
      <c r="AO9" s="62"/>
      <c r="AP9" s="62"/>
      <c r="AQ9" s="63"/>
    </row>
    <row r="10" spans="1:61" ht="97.5" customHeight="1" x14ac:dyDescent="0.2">
      <c r="A10" s="28" t="s">
        <v>20</v>
      </c>
      <c r="B10" s="28" t="s">
        <v>26</v>
      </c>
      <c r="C10" s="29" t="s">
        <v>28</v>
      </c>
      <c r="D10" s="29" t="s">
        <v>27</v>
      </c>
      <c r="E10" s="28" t="s">
        <v>29</v>
      </c>
      <c r="F10" s="28" t="s">
        <v>30</v>
      </c>
      <c r="G10" s="28" t="s">
        <v>21</v>
      </c>
      <c r="H10" s="28" t="s">
        <v>31</v>
      </c>
      <c r="I10" s="28" t="s">
        <v>32</v>
      </c>
      <c r="J10" s="30" t="s">
        <v>33</v>
      </c>
      <c r="K10" s="30" t="s">
        <v>127</v>
      </c>
      <c r="L10" s="29" t="s">
        <v>22</v>
      </c>
      <c r="M10" s="29" t="s">
        <v>95</v>
      </c>
      <c r="N10" s="28" t="s">
        <v>24</v>
      </c>
      <c r="O10" s="28" t="s">
        <v>25</v>
      </c>
      <c r="P10" s="28" t="s">
        <v>35</v>
      </c>
      <c r="Q10" s="28" t="s">
        <v>128</v>
      </c>
      <c r="R10" s="28" t="s">
        <v>36</v>
      </c>
      <c r="S10" s="28" t="s">
        <v>129</v>
      </c>
      <c r="T10" s="28" t="s">
        <v>130</v>
      </c>
      <c r="U10" s="28" t="s">
        <v>34</v>
      </c>
      <c r="V10" s="28" t="s">
        <v>37</v>
      </c>
      <c r="W10" s="28" t="s">
        <v>38</v>
      </c>
      <c r="X10" s="52"/>
      <c r="Y10" s="56" t="s">
        <v>131</v>
      </c>
      <c r="Z10" s="56" t="s">
        <v>132</v>
      </c>
      <c r="AA10" s="56" t="s">
        <v>133</v>
      </c>
      <c r="AB10" s="56" t="s">
        <v>134</v>
      </c>
      <c r="AC10" s="56" t="s">
        <v>135</v>
      </c>
      <c r="AD10" s="56" t="s">
        <v>136</v>
      </c>
      <c r="AE10" s="56" t="s">
        <v>137</v>
      </c>
      <c r="AF10" s="56" t="s">
        <v>138</v>
      </c>
      <c r="AG10" s="56" t="s">
        <v>139</v>
      </c>
      <c r="AH10" s="56" t="s">
        <v>140</v>
      </c>
      <c r="AI10" s="56" t="s">
        <v>141</v>
      </c>
      <c r="AJ10" s="56" t="s">
        <v>142</v>
      </c>
      <c r="AK10" s="56" t="s">
        <v>143</v>
      </c>
      <c r="AL10" s="56" t="s">
        <v>144</v>
      </c>
      <c r="AM10" s="3"/>
      <c r="AN10" s="4" t="s">
        <v>17</v>
      </c>
      <c r="AO10" s="5" t="s">
        <v>9</v>
      </c>
      <c r="AP10" s="5" t="s">
        <v>10</v>
      </c>
      <c r="AQ10" s="6" t="s">
        <v>19</v>
      </c>
    </row>
    <row r="11" spans="1:61" x14ac:dyDescent="0.2">
      <c r="A11" s="46">
        <v>1</v>
      </c>
      <c r="B11" s="13" t="s">
        <v>266</v>
      </c>
      <c r="C11" s="13" t="s">
        <v>248</v>
      </c>
      <c r="D11" s="13" t="s">
        <v>247</v>
      </c>
      <c r="E11" s="13" t="s">
        <v>851</v>
      </c>
      <c r="F11" s="13" t="s">
        <v>165</v>
      </c>
      <c r="G11" s="13" t="s">
        <v>111</v>
      </c>
      <c r="H11" s="16">
        <v>43878</v>
      </c>
      <c r="I11" s="16">
        <v>43924</v>
      </c>
      <c r="J11" s="22">
        <v>7296.56</v>
      </c>
      <c r="K11" s="22">
        <v>1068.81</v>
      </c>
      <c r="L11" s="22"/>
      <c r="M11" s="26" t="s">
        <v>97</v>
      </c>
      <c r="N11" s="13" t="s">
        <v>230</v>
      </c>
      <c r="O11" s="13" t="s">
        <v>375</v>
      </c>
      <c r="P11" s="13" t="s">
        <v>42</v>
      </c>
      <c r="Q11" s="13" t="s">
        <v>54</v>
      </c>
      <c r="R11" s="13" t="s">
        <v>270</v>
      </c>
      <c r="S11" s="13" t="s">
        <v>852</v>
      </c>
      <c r="T11" s="13" t="s">
        <v>853</v>
      </c>
      <c r="U11" s="13"/>
      <c r="V11" s="13"/>
      <c r="W11" s="13"/>
      <c r="X11" s="13"/>
      <c r="AA11" s="54">
        <v>1068.81</v>
      </c>
      <c r="AN11" s="7" t="s">
        <v>15</v>
      </c>
      <c r="AO11" s="21">
        <f t="shared" ref="AO11:AO39" si="0">SUM(Y11:AL11)</f>
        <v>1068.81</v>
      </c>
      <c r="AP11" s="7">
        <f t="shared" ref="AP11:AP39" si="1">K11-AO11</f>
        <v>0</v>
      </c>
      <c r="AQ11" s="31" t="str">
        <f t="shared" ref="AQ11:AQ68" si="2">IF(AO11&lt;&gt;0,"Complete - With Adjustment","Complete - No Adjustment")</f>
        <v>Complete - With Adjustment</v>
      </c>
      <c r="AS11" s="37"/>
      <c r="AT11" s="37"/>
      <c r="AU11" s="37"/>
      <c r="AV11" s="37"/>
      <c r="AW11" s="37"/>
      <c r="AX11" s="37"/>
      <c r="AY11" s="37"/>
      <c r="AZ11" s="37"/>
      <c r="BA11" s="37"/>
      <c r="BB11" s="37"/>
      <c r="BC11" s="37"/>
      <c r="BD11" s="37"/>
      <c r="BE11" s="37"/>
      <c r="BF11" s="37"/>
      <c r="BG11" s="37"/>
      <c r="BH11" s="37"/>
      <c r="BI11" s="37"/>
    </row>
    <row r="12" spans="1:61" x14ac:dyDescent="0.2">
      <c r="A12" s="46">
        <v>2</v>
      </c>
      <c r="B12" s="13" t="s">
        <v>266</v>
      </c>
      <c r="C12" s="13" t="s">
        <v>248</v>
      </c>
      <c r="D12" s="13" t="s">
        <v>247</v>
      </c>
      <c r="E12" s="13" t="s">
        <v>851</v>
      </c>
      <c r="F12" s="13" t="s">
        <v>165</v>
      </c>
      <c r="G12" s="13" t="s">
        <v>111</v>
      </c>
      <c r="H12" s="16">
        <v>43878</v>
      </c>
      <c r="I12" s="16">
        <v>43924</v>
      </c>
      <c r="J12" s="22">
        <v>7296.56</v>
      </c>
      <c r="K12" s="22">
        <v>119.06</v>
      </c>
      <c r="L12" s="22"/>
      <c r="M12" s="26" t="s">
        <v>97</v>
      </c>
      <c r="N12" s="13" t="s">
        <v>230</v>
      </c>
      <c r="O12" s="13" t="s">
        <v>375</v>
      </c>
      <c r="P12" s="13" t="s">
        <v>42</v>
      </c>
      <c r="Q12" s="13" t="s">
        <v>41</v>
      </c>
      <c r="R12" s="13" t="s">
        <v>270</v>
      </c>
      <c r="S12" s="13" t="s">
        <v>852</v>
      </c>
      <c r="T12" s="13" t="s">
        <v>854</v>
      </c>
      <c r="U12" s="13"/>
      <c r="V12" s="13"/>
      <c r="W12" s="13"/>
      <c r="X12" s="13"/>
      <c r="AL12" s="14">
        <v>119.06</v>
      </c>
      <c r="AN12" s="7" t="s">
        <v>146</v>
      </c>
      <c r="AO12" s="21">
        <f t="shared" si="0"/>
        <v>119.06</v>
      </c>
      <c r="AP12" s="7">
        <f t="shared" si="1"/>
        <v>0</v>
      </c>
      <c r="AQ12" s="31" t="str">
        <f t="shared" si="2"/>
        <v>Complete - With Adjustment</v>
      </c>
      <c r="AS12" s="37"/>
      <c r="AT12" s="37"/>
      <c r="AU12" s="37"/>
      <c r="AV12" s="37"/>
      <c r="AW12" s="37"/>
      <c r="AX12" s="37"/>
      <c r="AY12" s="37"/>
      <c r="AZ12" s="37"/>
      <c r="BA12" s="37"/>
      <c r="BB12" s="37"/>
      <c r="BC12" s="37"/>
      <c r="BD12" s="37"/>
      <c r="BE12" s="37"/>
      <c r="BF12" s="37"/>
      <c r="BG12" s="37"/>
      <c r="BH12" s="37"/>
      <c r="BI12" s="37"/>
    </row>
    <row r="13" spans="1:61" x14ac:dyDescent="0.2">
      <c r="A13" s="46">
        <v>3</v>
      </c>
      <c r="B13" s="13" t="s">
        <v>266</v>
      </c>
      <c r="C13" s="13" t="s">
        <v>248</v>
      </c>
      <c r="D13" s="13" t="s">
        <v>247</v>
      </c>
      <c r="E13" s="13" t="s">
        <v>851</v>
      </c>
      <c r="F13" s="13" t="s">
        <v>165</v>
      </c>
      <c r="G13" s="13" t="s">
        <v>111</v>
      </c>
      <c r="H13" s="16">
        <v>43878</v>
      </c>
      <c r="I13" s="16">
        <v>43924</v>
      </c>
      <c r="J13" s="22">
        <v>7296.56</v>
      </c>
      <c r="K13" s="22">
        <v>200</v>
      </c>
      <c r="L13" s="22"/>
      <c r="M13" s="26" t="s">
        <v>97</v>
      </c>
      <c r="N13" s="13" t="s">
        <v>230</v>
      </c>
      <c r="O13" s="13" t="s">
        <v>375</v>
      </c>
      <c r="P13" s="13" t="s">
        <v>42</v>
      </c>
      <c r="Q13" s="13" t="s">
        <v>44</v>
      </c>
      <c r="R13" s="13" t="s">
        <v>270</v>
      </c>
      <c r="S13" s="13" t="s">
        <v>852</v>
      </c>
      <c r="T13" s="13" t="s">
        <v>855</v>
      </c>
      <c r="U13" s="13"/>
      <c r="V13" s="13"/>
      <c r="W13" s="13"/>
      <c r="X13" s="13"/>
      <c r="AL13" s="14">
        <v>200</v>
      </c>
      <c r="AN13" s="7" t="s">
        <v>70</v>
      </c>
      <c r="AO13" s="21">
        <f t="shared" si="0"/>
        <v>200</v>
      </c>
      <c r="AP13" s="7">
        <f t="shared" si="1"/>
        <v>0</v>
      </c>
      <c r="AQ13" s="31" t="str">
        <f t="shared" si="2"/>
        <v>Complete - With Adjustment</v>
      </c>
      <c r="AS13" s="37"/>
      <c r="AT13" s="37"/>
      <c r="AU13" s="37"/>
      <c r="AV13" s="37"/>
      <c r="AW13" s="37"/>
      <c r="AX13" s="37"/>
      <c r="AY13" s="37"/>
      <c r="AZ13" s="37"/>
      <c r="BA13" s="37"/>
      <c r="BB13" s="37"/>
      <c r="BC13" s="37"/>
      <c r="BD13" s="37"/>
      <c r="BE13" s="37"/>
      <c r="BF13" s="37"/>
      <c r="BG13" s="37"/>
      <c r="BH13" s="37"/>
      <c r="BI13" s="37"/>
    </row>
    <row r="14" spans="1:61" x14ac:dyDescent="0.2">
      <c r="A14" s="46">
        <v>4</v>
      </c>
      <c r="B14" s="13" t="s">
        <v>266</v>
      </c>
      <c r="C14" s="13" t="s">
        <v>248</v>
      </c>
      <c r="D14" s="13" t="s">
        <v>247</v>
      </c>
      <c r="E14" s="13" t="s">
        <v>851</v>
      </c>
      <c r="F14" s="13" t="s">
        <v>165</v>
      </c>
      <c r="G14" s="13" t="s">
        <v>111</v>
      </c>
      <c r="H14" s="16">
        <v>43878</v>
      </c>
      <c r="I14" s="16">
        <v>43924</v>
      </c>
      <c r="J14" s="22">
        <v>7296.56</v>
      </c>
      <c r="K14" s="22">
        <v>450.97</v>
      </c>
      <c r="L14" s="22"/>
      <c r="M14" s="26" t="s">
        <v>97</v>
      </c>
      <c r="N14" s="13" t="s">
        <v>230</v>
      </c>
      <c r="O14" s="13" t="s">
        <v>375</v>
      </c>
      <c r="P14" s="13" t="s">
        <v>42</v>
      </c>
      <c r="Q14" s="13" t="s">
        <v>45</v>
      </c>
      <c r="R14" s="13" t="s">
        <v>270</v>
      </c>
      <c r="S14" s="13" t="s">
        <v>852</v>
      </c>
      <c r="T14" s="13" t="s">
        <v>856</v>
      </c>
      <c r="U14" s="13"/>
      <c r="V14" s="13"/>
      <c r="W14" s="13"/>
      <c r="X14" s="13"/>
      <c r="Z14" s="14">
        <v>450.97</v>
      </c>
      <c r="AN14" s="7" t="s">
        <v>39</v>
      </c>
      <c r="AO14" s="21">
        <f t="shared" si="0"/>
        <v>450.97</v>
      </c>
      <c r="AP14" s="7">
        <f t="shared" si="1"/>
        <v>0</v>
      </c>
      <c r="AQ14" s="31" t="str">
        <f t="shared" si="2"/>
        <v>Complete - With Adjustment</v>
      </c>
      <c r="AS14" s="37"/>
      <c r="AT14" s="37"/>
      <c r="AU14" s="37"/>
      <c r="AV14" s="37"/>
      <c r="AW14" s="37"/>
      <c r="AX14" s="37"/>
      <c r="AY14" s="37"/>
      <c r="AZ14" s="37"/>
      <c r="BA14" s="37"/>
      <c r="BB14" s="37"/>
      <c r="BC14" s="37"/>
      <c r="BD14" s="37"/>
      <c r="BE14" s="37"/>
      <c r="BF14" s="37"/>
      <c r="BG14" s="37"/>
      <c r="BH14" s="37"/>
      <c r="BI14" s="37"/>
    </row>
    <row r="15" spans="1:61" x14ac:dyDescent="0.2">
      <c r="A15" s="46">
        <v>5</v>
      </c>
      <c r="B15" s="13" t="s">
        <v>266</v>
      </c>
      <c r="C15" s="13" t="s">
        <v>248</v>
      </c>
      <c r="D15" s="13" t="s">
        <v>247</v>
      </c>
      <c r="E15" s="13" t="s">
        <v>851</v>
      </c>
      <c r="F15" s="13" t="s">
        <v>165</v>
      </c>
      <c r="G15" s="13" t="s">
        <v>111</v>
      </c>
      <c r="H15" s="16">
        <v>43878</v>
      </c>
      <c r="I15" s="16">
        <v>43924</v>
      </c>
      <c r="J15" s="22">
        <v>7296.56</v>
      </c>
      <c r="K15" s="22">
        <v>1068.81</v>
      </c>
      <c r="L15" s="22"/>
      <c r="M15" s="26" t="s">
        <v>97</v>
      </c>
      <c r="N15" s="13" t="s">
        <v>230</v>
      </c>
      <c r="O15" s="13" t="s">
        <v>375</v>
      </c>
      <c r="P15" s="13" t="s">
        <v>42</v>
      </c>
      <c r="Q15" s="13" t="s">
        <v>44</v>
      </c>
      <c r="R15" s="13" t="s">
        <v>270</v>
      </c>
      <c r="S15" s="13" t="s">
        <v>852</v>
      </c>
      <c r="T15" s="13" t="s">
        <v>857</v>
      </c>
      <c r="U15" s="13"/>
      <c r="V15" s="13"/>
      <c r="W15" s="13"/>
      <c r="X15" s="13"/>
      <c r="Z15" s="14">
        <v>1068.81</v>
      </c>
      <c r="AN15" s="7" t="s">
        <v>39</v>
      </c>
      <c r="AO15" s="21">
        <f t="shared" si="0"/>
        <v>1068.81</v>
      </c>
      <c r="AP15" s="7">
        <f t="shared" si="1"/>
        <v>0</v>
      </c>
      <c r="AQ15" s="31" t="str">
        <f t="shared" si="2"/>
        <v>Complete - With Adjustment</v>
      </c>
      <c r="AS15" s="37"/>
      <c r="AT15" s="37"/>
      <c r="AU15" s="37"/>
      <c r="AV15" s="37"/>
      <c r="AW15" s="37"/>
      <c r="AX15" s="37"/>
      <c r="AY15" s="37"/>
      <c r="AZ15" s="37"/>
      <c r="BA15" s="37"/>
      <c r="BB15" s="37"/>
      <c r="BC15" s="37"/>
      <c r="BD15" s="37"/>
      <c r="BE15" s="37"/>
      <c r="BF15" s="37"/>
      <c r="BG15" s="37"/>
      <c r="BH15" s="37"/>
      <c r="BI15" s="37"/>
    </row>
    <row r="16" spans="1:61" x14ac:dyDescent="0.2">
      <c r="A16" s="46">
        <v>6</v>
      </c>
      <c r="B16" s="13" t="s">
        <v>266</v>
      </c>
      <c r="C16" s="13" t="s">
        <v>248</v>
      </c>
      <c r="D16" s="13" t="s">
        <v>247</v>
      </c>
      <c r="E16" s="13" t="s">
        <v>851</v>
      </c>
      <c r="F16" s="13" t="s">
        <v>165</v>
      </c>
      <c r="G16" s="13" t="s">
        <v>111</v>
      </c>
      <c r="H16" s="16">
        <v>43878</v>
      </c>
      <c r="I16" s="16">
        <v>43924</v>
      </c>
      <c r="J16" s="22">
        <v>7296.56</v>
      </c>
      <c r="K16" s="22">
        <v>985</v>
      </c>
      <c r="L16" s="22"/>
      <c r="M16" s="26" t="s">
        <v>97</v>
      </c>
      <c r="N16" s="13" t="s">
        <v>230</v>
      </c>
      <c r="O16" s="13" t="s">
        <v>375</v>
      </c>
      <c r="P16" s="13" t="s">
        <v>42</v>
      </c>
      <c r="Q16" s="13" t="s">
        <v>56</v>
      </c>
      <c r="R16" s="13" t="s">
        <v>270</v>
      </c>
      <c r="S16" s="13" t="s">
        <v>852</v>
      </c>
      <c r="T16" s="13" t="s">
        <v>858</v>
      </c>
      <c r="U16" s="13"/>
      <c r="V16" s="13"/>
      <c r="W16" s="13"/>
      <c r="X16" s="13"/>
      <c r="AL16" s="14">
        <v>985</v>
      </c>
      <c r="AN16" s="7" t="s">
        <v>70</v>
      </c>
      <c r="AO16" s="21">
        <f t="shared" si="0"/>
        <v>985</v>
      </c>
      <c r="AP16" s="7">
        <f t="shared" si="1"/>
        <v>0</v>
      </c>
      <c r="AQ16" s="31" t="str">
        <f t="shared" si="2"/>
        <v>Complete - With Adjustment</v>
      </c>
      <c r="AS16" s="37"/>
      <c r="AT16" s="37"/>
      <c r="AU16" s="37"/>
      <c r="AV16" s="37"/>
      <c r="AW16" s="37"/>
      <c r="AX16" s="37"/>
      <c r="AY16" s="37"/>
      <c r="AZ16" s="37"/>
      <c r="BA16" s="37"/>
      <c r="BB16" s="37"/>
      <c r="BC16" s="37"/>
      <c r="BD16" s="37"/>
      <c r="BE16" s="37"/>
      <c r="BF16" s="37"/>
      <c r="BG16" s="37"/>
      <c r="BH16" s="37"/>
      <c r="BI16" s="37"/>
    </row>
    <row r="17" spans="1:61" x14ac:dyDescent="0.2">
      <c r="A17" s="46">
        <v>7</v>
      </c>
      <c r="B17" s="13" t="s">
        <v>266</v>
      </c>
      <c r="C17" s="13" t="s">
        <v>248</v>
      </c>
      <c r="D17" s="13" t="s">
        <v>247</v>
      </c>
      <c r="E17" s="13" t="s">
        <v>851</v>
      </c>
      <c r="F17" s="13" t="s">
        <v>165</v>
      </c>
      <c r="G17" s="13" t="s">
        <v>111</v>
      </c>
      <c r="H17" s="16">
        <v>43878</v>
      </c>
      <c r="I17" s="16">
        <v>43924</v>
      </c>
      <c r="J17" s="22">
        <v>7296.56</v>
      </c>
      <c r="K17" s="22">
        <v>217</v>
      </c>
      <c r="L17" s="22"/>
      <c r="M17" s="26" t="s">
        <v>97</v>
      </c>
      <c r="N17" s="13" t="s">
        <v>230</v>
      </c>
      <c r="O17" s="13" t="s">
        <v>375</v>
      </c>
      <c r="P17" s="13" t="s">
        <v>42</v>
      </c>
      <c r="Q17" s="13" t="s">
        <v>41</v>
      </c>
      <c r="R17" s="13" t="s">
        <v>270</v>
      </c>
      <c r="S17" s="13" t="s">
        <v>852</v>
      </c>
      <c r="T17" s="13" t="s">
        <v>859</v>
      </c>
      <c r="U17" s="13"/>
      <c r="V17" s="13"/>
      <c r="W17" s="13"/>
      <c r="X17" s="13"/>
      <c r="AL17" s="14">
        <v>217</v>
      </c>
      <c r="AN17" s="7" t="s">
        <v>146</v>
      </c>
      <c r="AO17" s="21">
        <f t="shared" si="0"/>
        <v>217</v>
      </c>
      <c r="AP17" s="7">
        <f t="shared" si="1"/>
        <v>0</v>
      </c>
      <c r="AQ17" s="31" t="str">
        <f t="shared" si="2"/>
        <v>Complete - With Adjustment</v>
      </c>
      <c r="AS17" s="37"/>
      <c r="AT17" s="37"/>
      <c r="AU17" s="37"/>
      <c r="AV17" s="37"/>
      <c r="AW17" s="37"/>
      <c r="AX17" s="37"/>
      <c r="AY17" s="37"/>
      <c r="AZ17" s="37"/>
      <c r="BA17" s="37"/>
      <c r="BB17" s="37"/>
      <c r="BC17" s="37"/>
      <c r="BD17" s="37"/>
      <c r="BE17" s="37"/>
      <c r="BF17" s="37"/>
      <c r="BG17" s="37"/>
      <c r="BH17" s="37"/>
      <c r="BI17" s="37"/>
    </row>
    <row r="18" spans="1:61" x14ac:dyDescent="0.2">
      <c r="A18" s="46">
        <v>8</v>
      </c>
      <c r="B18" s="13" t="s">
        <v>266</v>
      </c>
      <c r="C18" s="13" t="s">
        <v>248</v>
      </c>
      <c r="D18" s="13" t="s">
        <v>247</v>
      </c>
      <c r="E18" s="13" t="s">
        <v>851</v>
      </c>
      <c r="F18" s="13" t="s">
        <v>165</v>
      </c>
      <c r="G18" s="13" t="s">
        <v>111</v>
      </c>
      <c r="H18" s="16">
        <v>43878</v>
      </c>
      <c r="I18" s="16">
        <v>43924</v>
      </c>
      <c r="J18" s="22">
        <v>7296.56</v>
      </c>
      <c r="K18" s="22">
        <v>94</v>
      </c>
      <c r="L18" s="22"/>
      <c r="M18" s="26" t="s">
        <v>97</v>
      </c>
      <c r="N18" s="13" t="s">
        <v>230</v>
      </c>
      <c r="O18" s="13" t="s">
        <v>375</v>
      </c>
      <c r="P18" s="13" t="s">
        <v>42</v>
      </c>
      <c r="Q18" s="13" t="s">
        <v>41</v>
      </c>
      <c r="R18" s="13" t="s">
        <v>270</v>
      </c>
      <c r="S18" s="13" t="s">
        <v>852</v>
      </c>
      <c r="T18" s="13" t="s">
        <v>860</v>
      </c>
      <c r="U18" s="13"/>
      <c r="V18" s="13"/>
      <c r="W18" s="13"/>
      <c r="AC18" s="53">
        <f>94-77.94*1.2</f>
        <v>0.47200000000000841</v>
      </c>
      <c r="AL18" s="14">
        <v>93.53</v>
      </c>
      <c r="AN18" s="7" t="s">
        <v>67</v>
      </c>
      <c r="AO18" s="21">
        <f t="shared" si="0"/>
        <v>94.00200000000001</v>
      </c>
      <c r="AP18" s="7">
        <f t="shared" si="1"/>
        <v>-2.0000000000095497E-3</v>
      </c>
      <c r="AQ18" s="31" t="str">
        <f t="shared" si="2"/>
        <v>Complete - With Adjustment</v>
      </c>
      <c r="AS18" s="37"/>
      <c r="AT18" s="37"/>
      <c r="AU18" s="37"/>
      <c r="AV18" s="37"/>
      <c r="AW18" s="37"/>
      <c r="AX18" s="37"/>
      <c r="AY18" s="37"/>
      <c r="AZ18" s="37"/>
      <c r="BA18" s="37"/>
      <c r="BB18" s="37"/>
      <c r="BC18" s="37"/>
      <c r="BD18" s="37"/>
      <c r="BE18" s="37"/>
      <c r="BF18" s="37"/>
      <c r="BG18" s="37"/>
      <c r="BH18" s="37"/>
      <c r="BI18" s="37"/>
    </row>
    <row r="19" spans="1:61" x14ac:dyDescent="0.2">
      <c r="A19" s="46">
        <v>9</v>
      </c>
      <c r="B19" s="13" t="s">
        <v>266</v>
      </c>
      <c r="C19" s="13" t="s">
        <v>248</v>
      </c>
      <c r="D19" s="13" t="s">
        <v>247</v>
      </c>
      <c r="E19" s="13" t="s">
        <v>851</v>
      </c>
      <c r="F19" s="13" t="s">
        <v>165</v>
      </c>
      <c r="G19" s="13" t="s">
        <v>111</v>
      </c>
      <c r="H19" s="16">
        <v>43878</v>
      </c>
      <c r="I19" s="16">
        <v>43924</v>
      </c>
      <c r="J19" s="22">
        <v>7296.56</v>
      </c>
      <c r="K19" s="22">
        <v>684.46</v>
      </c>
      <c r="L19" s="22"/>
      <c r="M19" s="26" t="s">
        <v>97</v>
      </c>
      <c r="N19" s="13" t="s">
        <v>230</v>
      </c>
      <c r="O19" s="13" t="s">
        <v>375</v>
      </c>
      <c r="P19" s="13" t="s">
        <v>42</v>
      </c>
      <c r="Q19" s="13" t="s">
        <v>44</v>
      </c>
      <c r="R19" s="13" t="s">
        <v>270</v>
      </c>
      <c r="S19" s="13" t="s">
        <v>852</v>
      </c>
      <c r="T19" s="13" t="s">
        <v>861</v>
      </c>
      <c r="U19" s="13"/>
      <c r="V19" s="13"/>
      <c r="W19" s="13"/>
      <c r="AL19" s="14">
        <v>684.46</v>
      </c>
      <c r="AN19" s="7" t="s">
        <v>70</v>
      </c>
      <c r="AO19" s="21">
        <f t="shared" si="0"/>
        <v>684.46</v>
      </c>
      <c r="AP19" s="7">
        <f t="shared" si="1"/>
        <v>0</v>
      </c>
      <c r="AQ19" s="31" t="str">
        <f t="shared" si="2"/>
        <v>Complete - With Adjustment</v>
      </c>
      <c r="AS19" s="37"/>
      <c r="AT19" s="37"/>
      <c r="AU19" s="37"/>
      <c r="AV19" s="37"/>
      <c r="AW19" s="37"/>
      <c r="AX19" s="37"/>
      <c r="AY19" s="37"/>
      <c r="AZ19" s="37"/>
      <c r="BA19" s="37"/>
      <c r="BB19" s="37"/>
      <c r="BC19" s="37"/>
      <c r="BD19" s="37"/>
      <c r="BE19" s="37"/>
      <c r="BF19" s="37"/>
      <c r="BG19" s="37"/>
      <c r="BH19" s="37"/>
      <c r="BI19" s="37"/>
    </row>
    <row r="20" spans="1:61" x14ac:dyDescent="0.2">
      <c r="A20" s="46">
        <v>10</v>
      </c>
      <c r="B20" s="13" t="s">
        <v>266</v>
      </c>
      <c r="C20" s="13" t="s">
        <v>248</v>
      </c>
      <c r="D20" s="13" t="s">
        <v>247</v>
      </c>
      <c r="E20" s="13" t="s">
        <v>851</v>
      </c>
      <c r="F20" s="13" t="s">
        <v>165</v>
      </c>
      <c r="G20" s="13" t="s">
        <v>111</v>
      </c>
      <c r="H20" s="16">
        <v>43878</v>
      </c>
      <c r="I20" s="16">
        <v>43924</v>
      </c>
      <c r="J20" s="22">
        <v>7296.56</v>
      </c>
      <c r="K20" s="22">
        <v>1560.61</v>
      </c>
      <c r="L20" s="22"/>
      <c r="M20" s="26" t="s">
        <v>97</v>
      </c>
      <c r="N20" s="13" t="s">
        <v>230</v>
      </c>
      <c r="O20" s="13" t="s">
        <v>375</v>
      </c>
      <c r="P20" s="13" t="s">
        <v>42</v>
      </c>
      <c r="Q20" s="13" t="s">
        <v>44</v>
      </c>
      <c r="R20" s="13" t="s">
        <v>270</v>
      </c>
      <c r="S20" s="13" t="s">
        <v>852</v>
      </c>
      <c r="T20" s="13" t="s">
        <v>862</v>
      </c>
      <c r="U20" s="13"/>
      <c r="V20" s="13"/>
      <c r="W20" s="13"/>
      <c r="AD20" s="14">
        <f>120*3</f>
        <v>360</v>
      </c>
      <c r="AL20" s="14">
        <v>1200.6099999999999</v>
      </c>
      <c r="AN20" s="7" t="s">
        <v>147</v>
      </c>
      <c r="AO20" s="21">
        <f t="shared" si="0"/>
        <v>1560.61</v>
      </c>
      <c r="AP20" s="7">
        <f t="shared" si="1"/>
        <v>0</v>
      </c>
      <c r="AQ20" s="31" t="str">
        <f t="shared" si="2"/>
        <v>Complete - With Adjustment</v>
      </c>
      <c r="AS20" s="37"/>
      <c r="AT20" s="37"/>
      <c r="AU20" s="37"/>
      <c r="AV20" s="37"/>
      <c r="AW20" s="37"/>
      <c r="AX20" s="37"/>
      <c r="AY20" s="37"/>
      <c r="AZ20" s="37"/>
      <c r="BA20" s="37"/>
      <c r="BB20" s="37"/>
      <c r="BC20" s="37"/>
      <c r="BD20" s="37"/>
      <c r="BE20" s="37"/>
      <c r="BF20" s="37"/>
      <c r="BG20" s="37"/>
      <c r="BH20" s="37"/>
      <c r="BI20" s="37"/>
    </row>
    <row r="21" spans="1:61" x14ac:dyDescent="0.2">
      <c r="A21" s="46">
        <v>11</v>
      </c>
      <c r="B21" s="13" t="s">
        <v>266</v>
      </c>
      <c r="C21" s="13" t="s">
        <v>248</v>
      </c>
      <c r="D21" s="13" t="s">
        <v>247</v>
      </c>
      <c r="E21" s="13" t="s">
        <v>851</v>
      </c>
      <c r="F21" s="13" t="s">
        <v>165</v>
      </c>
      <c r="G21" s="13" t="s">
        <v>111</v>
      </c>
      <c r="H21" s="16">
        <v>43878</v>
      </c>
      <c r="I21" s="16">
        <v>43924</v>
      </c>
      <c r="J21" s="22">
        <v>7296.56</v>
      </c>
      <c r="K21" s="22">
        <v>768.81</v>
      </c>
      <c r="L21" s="22"/>
      <c r="M21" s="26" t="s">
        <v>97</v>
      </c>
      <c r="N21" s="13" t="s">
        <v>230</v>
      </c>
      <c r="O21" s="13" t="s">
        <v>375</v>
      </c>
      <c r="P21" s="13" t="s">
        <v>42</v>
      </c>
      <c r="Q21" s="13" t="s">
        <v>44</v>
      </c>
      <c r="R21" s="13" t="s">
        <v>270</v>
      </c>
      <c r="S21" s="13" t="s">
        <v>852</v>
      </c>
      <c r="T21" s="13" t="s">
        <v>863</v>
      </c>
      <c r="U21" s="13"/>
      <c r="V21" s="13"/>
      <c r="W21" s="13"/>
      <c r="AL21" s="14">
        <v>768.81</v>
      </c>
      <c r="AN21" s="7" t="s">
        <v>70</v>
      </c>
      <c r="AO21" s="21">
        <f t="shared" si="0"/>
        <v>768.81</v>
      </c>
      <c r="AP21" s="7">
        <f t="shared" si="1"/>
        <v>0</v>
      </c>
      <c r="AQ21" s="31" t="str">
        <f t="shared" si="2"/>
        <v>Complete - With Adjustment</v>
      </c>
      <c r="AS21" s="37"/>
      <c r="AT21" s="37"/>
      <c r="AU21" s="37"/>
      <c r="AV21" s="37"/>
      <c r="AW21" s="37"/>
      <c r="AX21" s="37"/>
      <c r="AY21" s="37"/>
      <c r="AZ21" s="37"/>
      <c r="BA21" s="37"/>
      <c r="BB21" s="37"/>
      <c r="BC21" s="37"/>
      <c r="BD21" s="37"/>
      <c r="BE21" s="37"/>
      <c r="BF21" s="37"/>
      <c r="BG21" s="37"/>
      <c r="BH21" s="37"/>
      <c r="BI21" s="37"/>
    </row>
    <row r="22" spans="1:61" x14ac:dyDescent="0.2">
      <c r="A22" s="46">
        <v>12</v>
      </c>
      <c r="B22" s="13" t="s">
        <v>266</v>
      </c>
      <c r="C22" s="13" t="s">
        <v>248</v>
      </c>
      <c r="D22" s="13" t="s">
        <v>247</v>
      </c>
      <c r="E22" s="13" t="s">
        <v>851</v>
      </c>
      <c r="F22" s="13" t="s">
        <v>165</v>
      </c>
      <c r="G22" s="13" t="s">
        <v>111</v>
      </c>
      <c r="H22" s="16">
        <v>43878</v>
      </c>
      <c r="I22" s="16">
        <v>43924</v>
      </c>
      <c r="J22" s="22">
        <v>7296.56</v>
      </c>
      <c r="K22" s="22">
        <v>79.03</v>
      </c>
      <c r="L22" s="22"/>
      <c r="M22" s="26" t="s">
        <v>97</v>
      </c>
      <c r="N22" s="13" t="s">
        <v>230</v>
      </c>
      <c r="O22" s="13" t="s">
        <v>375</v>
      </c>
      <c r="P22" s="13" t="s">
        <v>42</v>
      </c>
      <c r="Q22" s="13" t="s">
        <v>41</v>
      </c>
      <c r="R22" s="13" t="s">
        <v>270</v>
      </c>
      <c r="S22" s="13" t="s">
        <v>852</v>
      </c>
      <c r="T22" s="13" t="s">
        <v>864</v>
      </c>
      <c r="U22" s="13"/>
      <c r="V22" s="13"/>
      <c r="W22" s="13"/>
      <c r="AL22" s="14">
        <v>79.03</v>
      </c>
      <c r="AN22" s="7" t="s">
        <v>70</v>
      </c>
      <c r="AO22" s="21">
        <f t="shared" si="0"/>
        <v>79.03</v>
      </c>
      <c r="AP22" s="7">
        <f t="shared" si="1"/>
        <v>0</v>
      </c>
      <c r="AQ22" s="31" t="str">
        <f t="shared" si="2"/>
        <v>Complete - With Adjustment</v>
      </c>
      <c r="AS22" s="37"/>
      <c r="AT22" s="37"/>
      <c r="AU22" s="37"/>
      <c r="AV22" s="37"/>
      <c r="AW22" s="37"/>
      <c r="AX22" s="37"/>
      <c r="AY22" s="37"/>
      <c r="AZ22" s="37"/>
      <c r="BA22" s="37"/>
      <c r="BB22" s="37"/>
      <c r="BC22" s="37"/>
      <c r="BD22" s="37"/>
      <c r="BE22" s="37"/>
      <c r="BF22" s="37"/>
      <c r="BG22" s="37"/>
      <c r="BH22" s="37"/>
      <c r="BI22" s="37"/>
    </row>
    <row r="23" spans="1:61" x14ac:dyDescent="0.2">
      <c r="A23" s="46">
        <v>13</v>
      </c>
      <c r="B23" s="13" t="s">
        <v>266</v>
      </c>
      <c r="C23" s="13" t="s">
        <v>883</v>
      </c>
      <c r="D23" s="13" t="s">
        <v>884</v>
      </c>
      <c r="E23" s="13" t="s">
        <v>885</v>
      </c>
      <c r="F23" s="13" t="s">
        <v>180</v>
      </c>
      <c r="G23" s="13" t="s">
        <v>111</v>
      </c>
      <c r="H23" s="16">
        <v>43923</v>
      </c>
      <c r="I23" s="16">
        <v>43927</v>
      </c>
      <c r="J23" s="22">
        <v>12.95</v>
      </c>
      <c r="K23" s="22">
        <v>12.95</v>
      </c>
      <c r="L23" s="22" t="s">
        <v>886</v>
      </c>
      <c r="M23" s="26" t="s">
        <v>98</v>
      </c>
      <c r="N23" s="13" t="s">
        <v>230</v>
      </c>
      <c r="O23" s="13" t="s">
        <v>451</v>
      </c>
      <c r="P23" s="13" t="s">
        <v>60</v>
      </c>
      <c r="Q23" s="13" t="s">
        <v>41</v>
      </c>
      <c r="R23" s="13" t="s">
        <v>270</v>
      </c>
      <c r="S23" s="13" t="s">
        <v>887</v>
      </c>
      <c r="T23" s="13" t="s">
        <v>888</v>
      </c>
      <c r="U23" s="13"/>
      <c r="V23" s="13"/>
      <c r="W23" s="13"/>
      <c r="AL23" s="14">
        <v>12.95</v>
      </c>
      <c r="AN23" s="7" t="s">
        <v>146</v>
      </c>
      <c r="AO23" s="21">
        <f t="shared" si="0"/>
        <v>12.95</v>
      </c>
      <c r="AP23" s="7">
        <f t="shared" si="1"/>
        <v>0</v>
      </c>
      <c r="AQ23" s="31" t="str">
        <f t="shared" si="2"/>
        <v>Complete - With Adjustment</v>
      </c>
    </row>
    <row r="24" spans="1:61" x14ac:dyDescent="0.2">
      <c r="A24" s="46">
        <v>14</v>
      </c>
      <c r="B24" s="13" t="s">
        <v>266</v>
      </c>
      <c r="C24" s="13" t="s">
        <v>793</v>
      </c>
      <c r="D24" s="13" t="s">
        <v>792</v>
      </c>
      <c r="E24" s="13" t="s">
        <v>889</v>
      </c>
      <c r="F24" s="13" t="s">
        <v>168</v>
      </c>
      <c r="G24" s="13" t="s">
        <v>111</v>
      </c>
      <c r="H24" s="16">
        <v>43935</v>
      </c>
      <c r="I24" s="16">
        <v>43938</v>
      </c>
      <c r="J24" s="22">
        <v>4277.32</v>
      </c>
      <c r="K24" s="22">
        <v>7.5</v>
      </c>
      <c r="L24" s="22" t="s">
        <v>890</v>
      </c>
      <c r="M24" s="26" t="s">
        <v>98</v>
      </c>
      <c r="N24" s="13" t="s">
        <v>230</v>
      </c>
      <c r="O24" s="13" t="s">
        <v>791</v>
      </c>
      <c r="P24" s="13" t="s">
        <v>60</v>
      </c>
      <c r="Q24" s="13" t="s">
        <v>44</v>
      </c>
      <c r="R24" s="13" t="s">
        <v>270</v>
      </c>
      <c r="S24" s="13" t="s">
        <v>891</v>
      </c>
      <c r="T24" s="13" t="s">
        <v>892</v>
      </c>
      <c r="U24" s="13"/>
      <c r="V24" s="13"/>
      <c r="W24" s="13"/>
      <c r="AN24" s="7" t="s">
        <v>70</v>
      </c>
      <c r="AO24" s="21">
        <f t="shared" si="0"/>
        <v>0</v>
      </c>
      <c r="AP24" s="7">
        <f t="shared" si="1"/>
        <v>7.5</v>
      </c>
      <c r="AQ24" s="31" t="str">
        <f t="shared" si="2"/>
        <v>Complete - No Adjustment</v>
      </c>
    </row>
    <row r="25" spans="1:61" x14ac:dyDescent="0.2">
      <c r="A25" s="46">
        <v>15</v>
      </c>
      <c r="B25" s="13" t="s">
        <v>266</v>
      </c>
      <c r="C25" s="13" t="s">
        <v>793</v>
      </c>
      <c r="D25" s="13" t="s">
        <v>792</v>
      </c>
      <c r="E25" s="13" t="s">
        <v>889</v>
      </c>
      <c r="F25" s="13" t="s">
        <v>168</v>
      </c>
      <c r="G25" s="13" t="s">
        <v>111</v>
      </c>
      <c r="H25" s="16">
        <v>43935</v>
      </c>
      <c r="I25" s="16">
        <v>43938</v>
      </c>
      <c r="J25" s="22">
        <v>4277.32</v>
      </c>
      <c r="K25" s="22">
        <v>64.5</v>
      </c>
      <c r="L25" s="22" t="s">
        <v>890</v>
      </c>
      <c r="M25" s="26" t="s">
        <v>98</v>
      </c>
      <c r="N25" s="13" t="s">
        <v>230</v>
      </c>
      <c r="O25" s="13" t="s">
        <v>791</v>
      </c>
      <c r="P25" s="13" t="s">
        <v>60</v>
      </c>
      <c r="Q25" s="13" t="s">
        <v>41</v>
      </c>
      <c r="R25" s="13" t="s">
        <v>270</v>
      </c>
      <c r="S25" s="13" t="s">
        <v>891</v>
      </c>
      <c r="T25" s="13" t="s">
        <v>893</v>
      </c>
      <c r="U25" s="13"/>
      <c r="V25" s="13"/>
      <c r="W25" s="13"/>
      <c r="AN25" s="7" t="s">
        <v>70</v>
      </c>
      <c r="AO25" s="21">
        <f t="shared" si="0"/>
        <v>0</v>
      </c>
      <c r="AP25" s="7">
        <f t="shared" si="1"/>
        <v>64.5</v>
      </c>
      <c r="AQ25" s="31" t="str">
        <f t="shared" si="2"/>
        <v>Complete - No Adjustment</v>
      </c>
    </row>
    <row r="26" spans="1:61" x14ac:dyDescent="0.2">
      <c r="A26" s="46">
        <v>16</v>
      </c>
      <c r="B26" s="13" t="s">
        <v>266</v>
      </c>
      <c r="C26" s="13" t="s">
        <v>793</v>
      </c>
      <c r="D26" s="13" t="s">
        <v>792</v>
      </c>
      <c r="E26" s="13" t="s">
        <v>889</v>
      </c>
      <c r="F26" s="13" t="s">
        <v>168</v>
      </c>
      <c r="G26" s="13" t="s">
        <v>111</v>
      </c>
      <c r="H26" s="16">
        <v>43935</v>
      </c>
      <c r="I26" s="16">
        <v>43938</v>
      </c>
      <c r="J26" s="22">
        <v>4277.32</v>
      </c>
      <c r="K26" s="22">
        <v>1.28</v>
      </c>
      <c r="L26" s="22" t="s">
        <v>890</v>
      </c>
      <c r="M26" s="26" t="s">
        <v>98</v>
      </c>
      <c r="N26" s="13" t="s">
        <v>230</v>
      </c>
      <c r="O26" s="13" t="s">
        <v>791</v>
      </c>
      <c r="P26" s="13" t="s">
        <v>60</v>
      </c>
      <c r="Q26" s="13" t="s">
        <v>41</v>
      </c>
      <c r="R26" s="13" t="s">
        <v>270</v>
      </c>
      <c r="S26" s="13" t="s">
        <v>891</v>
      </c>
      <c r="T26" s="13" t="s">
        <v>894</v>
      </c>
      <c r="U26" s="13"/>
      <c r="V26" s="13"/>
      <c r="W26" s="13"/>
      <c r="AN26" s="7" t="s">
        <v>70</v>
      </c>
      <c r="AO26" s="21">
        <f t="shared" si="0"/>
        <v>0</v>
      </c>
      <c r="AP26" s="7">
        <f t="shared" si="1"/>
        <v>1.28</v>
      </c>
      <c r="AQ26" s="31" t="str">
        <f t="shared" si="2"/>
        <v>Complete - No Adjustment</v>
      </c>
    </row>
    <row r="27" spans="1:61" x14ac:dyDescent="0.2">
      <c r="A27" s="46">
        <v>17</v>
      </c>
      <c r="B27" s="13" t="s">
        <v>266</v>
      </c>
      <c r="C27" s="13" t="s">
        <v>793</v>
      </c>
      <c r="D27" s="13" t="s">
        <v>792</v>
      </c>
      <c r="E27" s="13" t="s">
        <v>889</v>
      </c>
      <c r="F27" s="13" t="s">
        <v>168</v>
      </c>
      <c r="G27" s="13" t="s">
        <v>111</v>
      </c>
      <c r="H27" s="16">
        <v>43935</v>
      </c>
      <c r="I27" s="16">
        <v>43938</v>
      </c>
      <c r="J27" s="22">
        <v>4277.32</v>
      </c>
      <c r="K27" s="22">
        <v>22</v>
      </c>
      <c r="L27" s="22" t="s">
        <v>890</v>
      </c>
      <c r="M27" s="26" t="s">
        <v>98</v>
      </c>
      <c r="N27" s="13" t="s">
        <v>230</v>
      </c>
      <c r="O27" s="13" t="s">
        <v>791</v>
      </c>
      <c r="P27" s="13" t="s">
        <v>60</v>
      </c>
      <c r="Q27" s="13" t="s">
        <v>44</v>
      </c>
      <c r="R27" s="13" t="s">
        <v>270</v>
      </c>
      <c r="S27" s="13" t="s">
        <v>891</v>
      </c>
      <c r="T27" s="13" t="s">
        <v>895</v>
      </c>
      <c r="U27" s="13"/>
      <c r="V27" s="13"/>
      <c r="W27" s="13"/>
      <c r="AN27" s="7" t="s">
        <v>70</v>
      </c>
      <c r="AO27" s="21">
        <f t="shared" si="0"/>
        <v>0</v>
      </c>
      <c r="AP27" s="7">
        <f t="shared" si="1"/>
        <v>22</v>
      </c>
      <c r="AQ27" s="31" t="str">
        <f t="shared" si="2"/>
        <v>Complete - No Adjustment</v>
      </c>
    </row>
    <row r="28" spans="1:61" x14ac:dyDescent="0.2">
      <c r="A28" s="46">
        <v>18</v>
      </c>
      <c r="B28" s="13" t="s">
        <v>266</v>
      </c>
      <c r="C28" s="13" t="s">
        <v>793</v>
      </c>
      <c r="D28" s="13" t="s">
        <v>792</v>
      </c>
      <c r="E28" s="13" t="s">
        <v>889</v>
      </c>
      <c r="F28" s="13" t="s">
        <v>168</v>
      </c>
      <c r="G28" s="13" t="s">
        <v>111</v>
      </c>
      <c r="H28" s="16">
        <v>43935</v>
      </c>
      <c r="I28" s="16">
        <v>43938</v>
      </c>
      <c r="J28" s="22">
        <v>4277.32</v>
      </c>
      <c r="K28" s="22">
        <v>11.57</v>
      </c>
      <c r="L28" s="22" t="s">
        <v>890</v>
      </c>
      <c r="M28" s="26" t="s">
        <v>98</v>
      </c>
      <c r="N28" s="13" t="s">
        <v>230</v>
      </c>
      <c r="O28" s="13" t="s">
        <v>791</v>
      </c>
      <c r="P28" s="13" t="s">
        <v>60</v>
      </c>
      <c r="Q28" s="13" t="s">
        <v>44</v>
      </c>
      <c r="R28" s="13" t="s">
        <v>270</v>
      </c>
      <c r="S28" s="13" t="s">
        <v>891</v>
      </c>
      <c r="T28" s="13" t="s">
        <v>896</v>
      </c>
      <c r="U28" s="13"/>
      <c r="V28" s="13"/>
      <c r="W28" s="13"/>
      <c r="AI28" s="53">
        <v>11.57</v>
      </c>
      <c r="AN28" s="7" t="s">
        <v>145</v>
      </c>
      <c r="AO28" s="21">
        <f t="shared" si="0"/>
        <v>11.57</v>
      </c>
      <c r="AP28" s="7">
        <f t="shared" si="1"/>
        <v>0</v>
      </c>
      <c r="AQ28" s="31" t="str">
        <f t="shared" si="2"/>
        <v>Complete - With Adjustment</v>
      </c>
    </row>
    <row r="29" spans="1:61" x14ac:dyDescent="0.2">
      <c r="A29" s="46">
        <v>19</v>
      </c>
      <c r="B29" s="13" t="s">
        <v>266</v>
      </c>
      <c r="C29" s="13" t="s">
        <v>793</v>
      </c>
      <c r="D29" s="13" t="s">
        <v>792</v>
      </c>
      <c r="E29" s="13" t="s">
        <v>889</v>
      </c>
      <c r="F29" s="13" t="s">
        <v>168</v>
      </c>
      <c r="G29" s="13" t="s">
        <v>111</v>
      </c>
      <c r="H29" s="16">
        <v>43935</v>
      </c>
      <c r="I29" s="16">
        <v>43938</v>
      </c>
      <c r="J29" s="22">
        <v>4277.32</v>
      </c>
      <c r="K29" s="22">
        <v>21.83</v>
      </c>
      <c r="L29" s="22" t="s">
        <v>890</v>
      </c>
      <c r="M29" s="26" t="s">
        <v>98</v>
      </c>
      <c r="N29" s="13" t="s">
        <v>230</v>
      </c>
      <c r="O29" s="13" t="s">
        <v>791</v>
      </c>
      <c r="P29" s="13" t="s">
        <v>60</v>
      </c>
      <c r="Q29" s="13" t="s">
        <v>62</v>
      </c>
      <c r="R29" s="13" t="s">
        <v>270</v>
      </c>
      <c r="S29" s="13" t="s">
        <v>891</v>
      </c>
      <c r="T29" s="13" t="s">
        <v>897</v>
      </c>
      <c r="U29" s="13"/>
      <c r="V29" s="13"/>
      <c r="W29" s="13"/>
      <c r="AN29" s="7" t="s">
        <v>155</v>
      </c>
      <c r="AO29" s="21">
        <f t="shared" si="0"/>
        <v>0</v>
      </c>
      <c r="AP29" s="7">
        <f t="shared" si="1"/>
        <v>21.83</v>
      </c>
      <c r="AQ29" s="31" t="str">
        <f t="shared" si="2"/>
        <v>Complete - No Adjustment</v>
      </c>
    </row>
    <row r="30" spans="1:61" x14ac:dyDescent="0.2">
      <c r="A30" s="46">
        <v>20</v>
      </c>
      <c r="B30" s="13" t="s">
        <v>266</v>
      </c>
      <c r="C30" s="13" t="s">
        <v>793</v>
      </c>
      <c r="D30" s="13" t="s">
        <v>792</v>
      </c>
      <c r="E30" s="13" t="s">
        <v>889</v>
      </c>
      <c r="F30" s="13" t="s">
        <v>168</v>
      </c>
      <c r="G30" s="13" t="s">
        <v>111</v>
      </c>
      <c r="H30" s="16">
        <v>43935</v>
      </c>
      <c r="I30" s="16">
        <v>43938</v>
      </c>
      <c r="J30" s="22">
        <v>4277.32</v>
      </c>
      <c r="K30" s="22">
        <v>66.38</v>
      </c>
      <c r="L30" s="22" t="s">
        <v>890</v>
      </c>
      <c r="M30" s="26" t="s">
        <v>98</v>
      </c>
      <c r="N30" s="13" t="s">
        <v>230</v>
      </c>
      <c r="O30" s="13" t="s">
        <v>791</v>
      </c>
      <c r="P30" s="13" t="s">
        <v>60</v>
      </c>
      <c r="Q30" s="13" t="s">
        <v>41</v>
      </c>
      <c r="R30" s="13" t="s">
        <v>270</v>
      </c>
      <c r="S30" s="13" t="s">
        <v>891</v>
      </c>
      <c r="T30" s="13" t="s">
        <v>898</v>
      </c>
      <c r="U30" s="13"/>
      <c r="V30" s="13"/>
      <c r="W30" s="13"/>
      <c r="AN30" s="7" t="s">
        <v>70</v>
      </c>
      <c r="AO30" s="21">
        <f t="shared" si="0"/>
        <v>0</v>
      </c>
      <c r="AP30" s="7">
        <f t="shared" si="1"/>
        <v>66.38</v>
      </c>
      <c r="AQ30" s="31" t="str">
        <f t="shared" si="2"/>
        <v>Complete - No Adjustment</v>
      </c>
    </row>
    <row r="31" spans="1:61" x14ac:dyDescent="0.2">
      <c r="A31" s="46">
        <v>21</v>
      </c>
      <c r="B31" s="13" t="s">
        <v>266</v>
      </c>
      <c r="C31" s="13" t="s">
        <v>793</v>
      </c>
      <c r="D31" s="13" t="s">
        <v>792</v>
      </c>
      <c r="E31" s="13" t="s">
        <v>889</v>
      </c>
      <c r="F31" s="13" t="s">
        <v>168</v>
      </c>
      <c r="G31" s="13" t="s">
        <v>111</v>
      </c>
      <c r="H31" s="16">
        <v>43935</v>
      </c>
      <c r="I31" s="16">
        <v>43938</v>
      </c>
      <c r="J31" s="22">
        <v>4277.32</v>
      </c>
      <c r="K31" s="22">
        <v>64.989999999999995</v>
      </c>
      <c r="L31" s="22" t="s">
        <v>890</v>
      </c>
      <c r="M31" s="26" t="s">
        <v>98</v>
      </c>
      <c r="N31" s="13" t="s">
        <v>230</v>
      </c>
      <c r="O31" s="13" t="s">
        <v>791</v>
      </c>
      <c r="P31" s="13" t="s">
        <v>60</v>
      </c>
      <c r="Q31" s="13" t="s">
        <v>44</v>
      </c>
      <c r="R31" s="13" t="s">
        <v>270</v>
      </c>
      <c r="S31" s="13" t="s">
        <v>891</v>
      </c>
      <c r="T31" s="13" t="s">
        <v>899</v>
      </c>
      <c r="U31" s="13"/>
      <c r="V31" s="13"/>
      <c r="W31" s="13"/>
      <c r="AN31" s="7" t="s">
        <v>70</v>
      </c>
      <c r="AO31" s="21">
        <f t="shared" si="0"/>
        <v>0</v>
      </c>
      <c r="AP31" s="7">
        <f t="shared" si="1"/>
        <v>64.989999999999995</v>
      </c>
      <c r="AQ31" s="31" t="str">
        <f t="shared" si="2"/>
        <v>Complete - No Adjustment</v>
      </c>
    </row>
    <row r="32" spans="1:61" x14ac:dyDescent="0.2">
      <c r="A32" s="46">
        <v>22</v>
      </c>
      <c r="B32" s="13" t="s">
        <v>266</v>
      </c>
      <c r="C32" s="13" t="s">
        <v>793</v>
      </c>
      <c r="D32" s="13" t="s">
        <v>792</v>
      </c>
      <c r="E32" s="13" t="s">
        <v>889</v>
      </c>
      <c r="F32" s="13" t="s">
        <v>168</v>
      </c>
      <c r="G32" s="13" t="s">
        <v>111</v>
      </c>
      <c r="H32" s="16">
        <v>43935</v>
      </c>
      <c r="I32" s="16">
        <v>43938</v>
      </c>
      <c r="J32" s="22">
        <v>4277.32</v>
      </c>
      <c r="K32" s="22">
        <v>10</v>
      </c>
      <c r="L32" s="22" t="s">
        <v>890</v>
      </c>
      <c r="M32" s="26" t="s">
        <v>98</v>
      </c>
      <c r="N32" s="13" t="s">
        <v>230</v>
      </c>
      <c r="O32" s="13" t="s">
        <v>791</v>
      </c>
      <c r="P32" s="13" t="s">
        <v>60</v>
      </c>
      <c r="Q32" s="13" t="s">
        <v>44</v>
      </c>
      <c r="R32" s="13" t="s">
        <v>270</v>
      </c>
      <c r="S32" s="13" t="s">
        <v>891</v>
      </c>
      <c r="T32" s="13" t="s">
        <v>900</v>
      </c>
      <c r="U32" s="13"/>
      <c r="V32" s="13"/>
      <c r="W32" s="13"/>
      <c r="AN32" s="7" t="s">
        <v>70</v>
      </c>
      <c r="AO32" s="21">
        <f t="shared" si="0"/>
        <v>0</v>
      </c>
      <c r="AP32" s="7">
        <f t="shared" si="1"/>
        <v>10</v>
      </c>
      <c r="AQ32" s="31" t="str">
        <f t="shared" si="2"/>
        <v>Complete - No Adjustment</v>
      </c>
    </row>
    <row r="33" spans="1:43" x14ac:dyDescent="0.2">
      <c r="A33" s="46">
        <v>23</v>
      </c>
      <c r="B33" s="13" t="s">
        <v>266</v>
      </c>
      <c r="C33" s="13" t="s">
        <v>793</v>
      </c>
      <c r="D33" s="13" t="s">
        <v>792</v>
      </c>
      <c r="E33" s="13" t="s">
        <v>889</v>
      </c>
      <c r="F33" s="13" t="s">
        <v>168</v>
      </c>
      <c r="G33" s="13" t="s">
        <v>111</v>
      </c>
      <c r="H33" s="16">
        <v>43935</v>
      </c>
      <c r="I33" s="16">
        <v>43938</v>
      </c>
      <c r="J33" s="22">
        <v>4277.32</v>
      </c>
      <c r="K33" s="22">
        <v>282.98</v>
      </c>
      <c r="L33" s="22" t="s">
        <v>890</v>
      </c>
      <c r="M33" s="26" t="s">
        <v>98</v>
      </c>
      <c r="N33" s="13" t="s">
        <v>230</v>
      </c>
      <c r="O33" s="13" t="s">
        <v>791</v>
      </c>
      <c r="P33" s="13" t="s">
        <v>60</v>
      </c>
      <c r="Q33" s="13" t="s">
        <v>44</v>
      </c>
      <c r="R33" s="13" t="s">
        <v>270</v>
      </c>
      <c r="S33" s="13" t="s">
        <v>891</v>
      </c>
      <c r="T33" s="13" t="s">
        <v>901</v>
      </c>
      <c r="U33" s="13"/>
      <c r="V33" s="13"/>
      <c r="W33" s="13"/>
      <c r="AN33" s="7" t="s">
        <v>70</v>
      </c>
      <c r="AO33" s="21">
        <f t="shared" si="0"/>
        <v>0</v>
      </c>
      <c r="AP33" s="7">
        <f t="shared" si="1"/>
        <v>282.98</v>
      </c>
      <c r="AQ33" s="31" t="str">
        <f t="shared" si="2"/>
        <v>Complete - No Adjustment</v>
      </c>
    </row>
    <row r="34" spans="1:43" x14ac:dyDescent="0.2">
      <c r="A34" s="46">
        <v>24</v>
      </c>
      <c r="B34" s="13" t="s">
        <v>266</v>
      </c>
      <c r="C34" s="13" t="s">
        <v>793</v>
      </c>
      <c r="D34" s="13" t="s">
        <v>792</v>
      </c>
      <c r="E34" s="13" t="s">
        <v>889</v>
      </c>
      <c r="F34" s="13" t="s">
        <v>168</v>
      </c>
      <c r="G34" s="13" t="s">
        <v>111</v>
      </c>
      <c r="H34" s="16">
        <v>43935</v>
      </c>
      <c r="I34" s="16">
        <v>43938</v>
      </c>
      <c r="J34" s="22">
        <v>4277.32</v>
      </c>
      <c r="K34" s="22">
        <v>1.62</v>
      </c>
      <c r="L34" s="22" t="s">
        <v>890</v>
      </c>
      <c r="M34" s="26" t="s">
        <v>98</v>
      </c>
      <c r="N34" s="13" t="s">
        <v>230</v>
      </c>
      <c r="O34" s="13" t="s">
        <v>791</v>
      </c>
      <c r="P34" s="13" t="s">
        <v>60</v>
      </c>
      <c r="Q34" s="13" t="s">
        <v>41</v>
      </c>
      <c r="R34" s="13" t="s">
        <v>270</v>
      </c>
      <c r="S34" s="13" t="s">
        <v>891</v>
      </c>
      <c r="T34" s="13" t="s">
        <v>902</v>
      </c>
      <c r="U34" s="13"/>
      <c r="V34" s="13"/>
      <c r="W34" s="13"/>
      <c r="AL34" s="14">
        <v>1.62</v>
      </c>
      <c r="AN34" s="7" t="s">
        <v>146</v>
      </c>
      <c r="AO34" s="21">
        <f t="shared" si="0"/>
        <v>1.62</v>
      </c>
      <c r="AP34" s="7">
        <f t="shared" si="1"/>
        <v>0</v>
      </c>
      <c r="AQ34" s="31" t="str">
        <f t="shared" si="2"/>
        <v>Complete - With Adjustment</v>
      </c>
    </row>
    <row r="35" spans="1:43" x14ac:dyDescent="0.2">
      <c r="A35" s="46">
        <v>25</v>
      </c>
      <c r="B35" s="13" t="s">
        <v>266</v>
      </c>
      <c r="C35" s="13" t="s">
        <v>793</v>
      </c>
      <c r="D35" s="13" t="s">
        <v>792</v>
      </c>
      <c r="E35" s="13" t="s">
        <v>889</v>
      </c>
      <c r="F35" s="13" t="s">
        <v>168</v>
      </c>
      <c r="G35" s="13" t="s">
        <v>111</v>
      </c>
      <c r="H35" s="16">
        <v>43935</v>
      </c>
      <c r="I35" s="16">
        <v>43938</v>
      </c>
      <c r="J35" s="22">
        <v>4277.32</v>
      </c>
      <c r="K35" s="22">
        <v>6.31</v>
      </c>
      <c r="L35" s="22" t="s">
        <v>890</v>
      </c>
      <c r="M35" s="26" t="s">
        <v>98</v>
      </c>
      <c r="N35" s="13" t="s">
        <v>230</v>
      </c>
      <c r="O35" s="13" t="s">
        <v>791</v>
      </c>
      <c r="P35" s="13" t="s">
        <v>60</v>
      </c>
      <c r="Q35" s="13" t="s">
        <v>62</v>
      </c>
      <c r="R35" s="13" t="s">
        <v>270</v>
      </c>
      <c r="S35" s="13" t="s">
        <v>891</v>
      </c>
      <c r="T35" s="13" t="s">
        <v>903</v>
      </c>
      <c r="U35" s="13"/>
      <c r="V35" s="13"/>
      <c r="W35" s="13"/>
      <c r="AN35" s="7" t="s">
        <v>70</v>
      </c>
      <c r="AO35" s="21">
        <f t="shared" si="0"/>
        <v>0</v>
      </c>
      <c r="AP35" s="7">
        <f t="shared" si="1"/>
        <v>6.31</v>
      </c>
      <c r="AQ35" s="31" t="str">
        <f t="shared" si="2"/>
        <v>Complete - No Adjustment</v>
      </c>
    </row>
    <row r="36" spans="1:43" x14ac:dyDescent="0.2">
      <c r="A36" s="46">
        <v>26</v>
      </c>
      <c r="B36" s="13" t="s">
        <v>266</v>
      </c>
      <c r="C36" s="13" t="s">
        <v>793</v>
      </c>
      <c r="D36" s="13" t="s">
        <v>792</v>
      </c>
      <c r="E36" s="13" t="s">
        <v>889</v>
      </c>
      <c r="F36" s="13" t="s">
        <v>168</v>
      </c>
      <c r="G36" s="13" t="s">
        <v>111</v>
      </c>
      <c r="H36" s="16">
        <v>43935</v>
      </c>
      <c r="I36" s="16">
        <v>43938</v>
      </c>
      <c r="J36" s="22">
        <v>4277.32</v>
      </c>
      <c r="K36" s="22">
        <v>91.2</v>
      </c>
      <c r="L36" s="22" t="s">
        <v>890</v>
      </c>
      <c r="M36" s="26" t="s">
        <v>98</v>
      </c>
      <c r="N36" s="13" t="s">
        <v>230</v>
      </c>
      <c r="O36" s="13" t="s">
        <v>791</v>
      </c>
      <c r="P36" s="13" t="s">
        <v>60</v>
      </c>
      <c r="Q36" s="13" t="s">
        <v>44</v>
      </c>
      <c r="R36" s="13" t="s">
        <v>270</v>
      </c>
      <c r="S36" s="13" t="s">
        <v>891</v>
      </c>
      <c r="T36" s="13" t="s">
        <v>904</v>
      </c>
      <c r="U36" s="13"/>
      <c r="V36" s="13"/>
      <c r="W36" s="13"/>
      <c r="AN36" s="7" t="s">
        <v>70</v>
      </c>
      <c r="AO36" s="21">
        <f t="shared" si="0"/>
        <v>0</v>
      </c>
      <c r="AP36" s="7">
        <f t="shared" si="1"/>
        <v>91.2</v>
      </c>
      <c r="AQ36" s="31" t="str">
        <f t="shared" si="2"/>
        <v>Complete - No Adjustment</v>
      </c>
    </row>
    <row r="37" spans="1:43" x14ac:dyDescent="0.2">
      <c r="A37" s="46">
        <v>27</v>
      </c>
      <c r="B37" s="13" t="s">
        <v>266</v>
      </c>
      <c r="C37" s="13" t="s">
        <v>793</v>
      </c>
      <c r="D37" s="13" t="s">
        <v>792</v>
      </c>
      <c r="E37" s="13" t="s">
        <v>889</v>
      </c>
      <c r="F37" s="13" t="s">
        <v>168</v>
      </c>
      <c r="G37" s="13" t="s">
        <v>111</v>
      </c>
      <c r="H37" s="16">
        <v>43935</v>
      </c>
      <c r="I37" s="16">
        <v>43938</v>
      </c>
      <c r="J37" s="22">
        <v>4277.32</v>
      </c>
      <c r="K37" s="22">
        <v>2.84</v>
      </c>
      <c r="L37" s="22" t="s">
        <v>890</v>
      </c>
      <c r="M37" s="26" t="s">
        <v>98</v>
      </c>
      <c r="N37" s="13" t="s">
        <v>230</v>
      </c>
      <c r="O37" s="13" t="s">
        <v>791</v>
      </c>
      <c r="P37" s="13" t="s">
        <v>60</v>
      </c>
      <c r="Q37" s="13" t="s">
        <v>41</v>
      </c>
      <c r="R37" s="13" t="s">
        <v>270</v>
      </c>
      <c r="S37" s="13" t="s">
        <v>891</v>
      </c>
      <c r="T37" s="13" t="s">
        <v>902</v>
      </c>
      <c r="U37" s="13"/>
      <c r="V37" s="13"/>
      <c r="W37" s="13"/>
      <c r="AL37" s="14">
        <v>2.84</v>
      </c>
      <c r="AN37" s="7" t="s">
        <v>146</v>
      </c>
      <c r="AO37" s="21">
        <f t="shared" si="0"/>
        <v>2.84</v>
      </c>
      <c r="AP37" s="7">
        <f t="shared" si="1"/>
        <v>0</v>
      </c>
      <c r="AQ37" s="31" t="str">
        <f t="shared" si="2"/>
        <v>Complete - With Adjustment</v>
      </c>
    </row>
    <row r="38" spans="1:43" x14ac:dyDescent="0.2">
      <c r="A38" s="46">
        <v>28</v>
      </c>
      <c r="B38" s="13" t="s">
        <v>266</v>
      </c>
      <c r="C38" s="13" t="s">
        <v>793</v>
      </c>
      <c r="D38" s="13" t="s">
        <v>792</v>
      </c>
      <c r="E38" s="13" t="s">
        <v>889</v>
      </c>
      <c r="F38" s="13" t="s">
        <v>168</v>
      </c>
      <c r="G38" s="13" t="s">
        <v>111</v>
      </c>
      <c r="H38" s="16">
        <v>43935</v>
      </c>
      <c r="I38" s="16">
        <v>43938</v>
      </c>
      <c r="J38" s="22">
        <v>4277.32</v>
      </c>
      <c r="K38" s="22">
        <v>5.79</v>
      </c>
      <c r="L38" s="22" t="s">
        <v>890</v>
      </c>
      <c r="M38" s="26" t="s">
        <v>98</v>
      </c>
      <c r="N38" s="13" t="s">
        <v>230</v>
      </c>
      <c r="O38" s="13" t="s">
        <v>791</v>
      </c>
      <c r="P38" s="13" t="s">
        <v>60</v>
      </c>
      <c r="Q38" s="13" t="s">
        <v>41</v>
      </c>
      <c r="R38" s="13" t="s">
        <v>270</v>
      </c>
      <c r="S38" s="13" t="s">
        <v>891</v>
      </c>
      <c r="T38" s="13" t="s">
        <v>902</v>
      </c>
      <c r="U38" s="13"/>
      <c r="V38" s="13"/>
      <c r="W38" s="13"/>
      <c r="AN38" s="7" t="s">
        <v>70</v>
      </c>
      <c r="AO38" s="21">
        <f t="shared" si="0"/>
        <v>0</v>
      </c>
      <c r="AP38" s="7">
        <f t="shared" si="1"/>
        <v>5.79</v>
      </c>
      <c r="AQ38" s="31" t="str">
        <f t="shared" si="2"/>
        <v>Complete - No Adjustment</v>
      </c>
    </row>
    <row r="39" spans="1:43" x14ac:dyDescent="0.2">
      <c r="A39" s="46">
        <v>29</v>
      </c>
      <c r="B39" s="13" t="s">
        <v>266</v>
      </c>
      <c r="C39" s="13" t="s">
        <v>793</v>
      </c>
      <c r="D39" s="13" t="s">
        <v>792</v>
      </c>
      <c r="E39" s="13" t="s">
        <v>889</v>
      </c>
      <c r="F39" s="13" t="s">
        <v>168</v>
      </c>
      <c r="G39" s="13" t="s">
        <v>111</v>
      </c>
      <c r="H39" s="16">
        <v>43935</v>
      </c>
      <c r="I39" s="16">
        <v>43938</v>
      </c>
      <c r="J39" s="22">
        <v>4277.32</v>
      </c>
      <c r="K39" s="22">
        <v>80.989999999999995</v>
      </c>
      <c r="L39" s="22" t="s">
        <v>890</v>
      </c>
      <c r="M39" s="26" t="s">
        <v>98</v>
      </c>
      <c r="N39" s="13" t="s">
        <v>230</v>
      </c>
      <c r="O39" s="13" t="s">
        <v>791</v>
      </c>
      <c r="P39" s="13" t="s">
        <v>60</v>
      </c>
      <c r="Q39" s="13" t="s">
        <v>44</v>
      </c>
      <c r="R39" s="13" t="s">
        <v>270</v>
      </c>
      <c r="S39" s="13" t="s">
        <v>891</v>
      </c>
      <c r="T39" s="13" t="s">
        <v>905</v>
      </c>
      <c r="U39" s="13"/>
      <c r="V39" s="13"/>
      <c r="W39" s="13"/>
      <c r="AN39" s="7" t="s">
        <v>70</v>
      </c>
      <c r="AO39" s="21">
        <f t="shared" si="0"/>
        <v>0</v>
      </c>
      <c r="AP39" s="7">
        <f t="shared" si="1"/>
        <v>80.989999999999995</v>
      </c>
      <c r="AQ39" s="31" t="str">
        <f t="shared" si="2"/>
        <v>Complete - No Adjustment</v>
      </c>
    </row>
    <row r="40" spans="1:43" x14ac:dyDescent="0.2">
      <c r="A40" s="46">
        <v>30</v>
      </c>
      <c r="B40" s="13" t="s">
        <v>266</v>
      </c>
      <c r="C40" s="13" t="s">
        <v>793</v>
      </c>
      <c r="D40" s="13" t="s">
        <v>792</v>
      </c>
      <c r="E40" s="13" t="s">
        <v>889</v>
      </c>
      <c r="F40" s="13" t="s">
        <v>168</v>
      </c>
      <c r="G40" s="13" t="s">
        <v>111</v>
      </c>
      <c r="H40" s="16">
        <v>43935</v>
      </c>
      <c r="I40" s="16">
        <v>43938</v>
      </c>
      <c r="J40" s="22">
        <v>4277.32</v>
      </c>
      <c r="K40" s="22">
        <v>174.75</v>
      </c>
      <c r="L40" s="22" t="s">
        <v>890</v>
      </c>
      <c r="M40" s="26" t="s">
        <v>98</v>
      </c>
      <c r="N40" s="13" t="s">
        <v>230</v>
      </c>
      <c r="O40" s="13" t="s">
        <v>791</v>
      </c>
      <c r="P40" s="13" t="s">
        <v>60</v>
      </c>
      <c r="Q40" s="13" t="s">
        <v>45</v>
      </c>
      <c r="R40" s="13" t="s">
        <v>270</v>
      </c>
      <c r="S40" s="13" t="s">
        <v>891</v>
      </c>
      <c r="T40" s="13" t="s">
        <v>906</v>
      </c>
      <c r="U40" s="13"/>
      <c r="V40" s="13"/>
      <c r="W40" s="13"/>
      <c r="AE40" s="53">
        <f>(174.75/349.49)*(308.46-150)</f>
        <v>79.232267017654294</v>
      </c>
      <c r="AN40" s="7" t="s">
        <v>68</v>
      </c>
      <c r="AO40" s="21">
        <f t="shared" ref="AO40:AO103" si="3">SUM(Y40:AL40)</f>
        <v>79.232267017654294</v>
      </c>
      <c r="AP40" s="7">
        <f t="shared" ref="AP40:AP103" si="4">K40-AO40</f>
        <v>95.517732982345706</v>
      </c>
      <c r="AQ40" s="31" t="str">
        <f t="shared" si="2"/>
        <v>Complete - With Adjustment</v>
      </c>
    </row>
    <row r="41" spans="1:43" x14ac:dyDescent="0.2">
      <c r="A41" s="46">
        <v>31</v>
      </c>
      <c r="B41" s="13" t="s">
        <v>266</v>
      </c>
      <c r="C41" s="13" t="s">
        <v>793</v>
      </c>
      <c r="D41" s="13" t="s">
        <v>792</v>
      </c>
      <c r="E41" s="13" t="s">
        <v>889</v>
      </c>
      <c r="F41" s="13" t="s">
        <v>168</v>
      </c>
      <c r="G41" s="13" t="s">
        <v>111</v>
      </c>
      <c r="H41" s="16">
        <v>43935</v>
      </c>
      <c r="I41" s="16">
        <v>43938</v>
      </c>
      <c r="J41" s="22">
        <v>4277.32</v>
      </c>
      <c r="K41" s="22">
        <v>227.48</v>
      </c>
      <c r="L41" s="22" t="s">
        <v>890</v>
      </c>
      <c r="M41" s="26" t="s">
        <v>98</v>
      </c>
      <c r="N41" s="13" t="s">
        <v>230</v>
      </c>
      <c r="O41" s="13" t="s">
        <v>791</v>
      </c>
      <c r="P41" s="13" t="s">
        <v>60</v>
      </c>
      <c r="Q41" s="13" t="s">
        <v>44</v>
      </c>
      <c r="R41" s="13" t="s">
        <v>270</v>
      </c>
      <c r="S41" s="13" t="s">
        <v>891</v>
      </c>
      <c r="T41" s="13" t="s">
        <v>907</v>
      </c>
      <c r="U41" s="13"/>
      <c r="V41" s="13"/>
      <c r="W41" s="13"/>
      <c r="AN41" s="7" t="s">
        <v>70</v>
      </c>
      <c r="AO41" s="21">
        <f t="shared" si="3"/>
        <v>0</v>
      </c>
      <c r="AP41" s="7">
        <f t="shared" si="4"/>
        <v>227.48</v>
      </c>
      <c r="AQ41" s="31" t="str">
        <f t="shared" si="2"/>
        <v>Complete - No Adjustment</v>
      </c>
    </row>
    <row r="42" spans="1:43" x14ac:dyDescent="0.2">
      <c r="A42" s="46">
        <v>32</v>
      </c>
      <c r="B42" s="13" t="s">
        <v>266</v>
      </c>
      <c r="C42" s="13" t="s">
        <v>793</v>
      </c>
      <c r="D42" s="13" t="s">
        <v>792</v>
      </c>
      <c r="E42" s="13" t="s">
        <v>889</v>
      </c>
      <c r="F42" s="13" t="s">
        <v>168</v>
      </c>
      <c r="G42" s="13" t="s">
        <v>111</v>
      </c>
      <c r="H42" s="16">
        <v>43935</v>
      </c>
      <c r="I42" s="16">
        <v>43938</v>
      </c>
      <c r="J42" s="22">
        <v>4277.32</v>
      </c>
      <c r="K42" s="22">
        <v>105.85</v>
      </c>
      <c r="L42" s="22" t="s">
        <v>890</v>
      </c>
      <c r="M42" s="26" t="s">
        <v>98</v>
      </c>
      <c r="N42" s="13" t="s">
        <v>230</v>
      </c>
      <c r="O42" s="13" t="s">
        <v>791</v>
      </c>
      <c r="P42" s="13" t="s">
        <v>60</v>
      </c>
      <c r="Q42" s="13" t="s">
        <v>44</v>
      </c>
      <c r="R42" s="13" t="s">
        <v>270</v>
      </c>
      <c r="S42" s="13" t="s">
        <v>891</v>
      </c>
      <c r="T42" s="13" t="s">
        <v>908</v>
      </c>
      <c r="U42" s="13"/>
      <c r="V42" s="13"/>
      <c r="W42" s="13"/>
      <c r="AN42" s="7" t="s">
        <v>70</v>
      </c>
      <c r="AO42" s="21">
        <f t="shared" si="3"/>
        <v>0</v>
      </c>
      <c r="AP42" s="7">
        <f t="shared" si="4"/>
        <v>105.85</v>
      </c>
      <c r="AQ42" s="31" t="str">
        <f t="shared" si="2"/>
        <v>Complete - No Adjustment</v>
      </c>
    </row>
    <row r="43" spans="1:43" x14ac:dyDescent="0.2">
      <c r="A43" s="46">
        <v>33</v>
      </c>
      <c r="B43" s="13" t="s">
        <v>266</v>
      </c>
      <c r="C43" s="13" t="s">
        <v>793</v>
      </c>
      <c r="D43" s="13" t="s">
        <v>792</v>
      </c>
      <c r="E43" s="13" t="s">
        <v>889</v>
      </c>
      <c r="F43" s="13" t="s">
        <v>168</v>
      </c>
      <c r="G43" s="13" t="s">
        <v>111</v>
      </c>
      <c r="H43" s="16">
        <v>43935</v>
      </c>
      <c r="I43" s="16">
        <v>43938</v>
      </c>
      <c r="J43" s="22">
        <v>4277.32</v>
      </c>
      <c r="K43" s="22">
        <v>11.07</v>
      </c>
      <c r="L43" s="22" t="s">
        <v>890</v>
      </c>
      <c r="M43" s="26" t="s">
        <v>98</v>
      </c>
      <c r="N43" s="13" t="s">
        <v>230</v>
      </c>
      <c r="O43" s="13" t="s">
        <v>791</v>
      </c>
      <c r="P43" s="13" t="s">
        <v>60</v>
      </c>
      <c r="Q43" s="13" t="s">
        <v>44</v>
      </c>
      <c r="R43" s="13" t="s">
        <v>270</v>
      </c>
      <c r="S43" s="13" t="s">
        <v>891</v>
      </c>
      <c r="T43" s="13" t="s">
        <v>909</v>
      </c>
      <c r="U43" s="13"/>
      <c r="V43" s="13"/>
      <c r="W43" s="13"/>
      <c r="AN43" s="7" t="s">
        <v>70</v>
      </c>
      <c r="AO43" s="21">
        <f t="shared" si="3"/>
        <v>0</v>
      </c>
      <c r="AP43" s="7">
        <f t="shared" si="4"/>
        <v>11.07</v>
      </c>
      <c r="AQ43" s="31" t="str">
        <f t="shared" si="2"/>
        <v>Complete - No Adjustment</v>
      </c>
    </row>
    <row r="44" spans="1:43" x14ac:dyDescent="0.2">
      <c r="A44" s="46">
        <v>34</v>
      </c>
      <c r="B44" s="13" t="s">
        <v>266</v>
      </c>
      <c r="C44" s="13" t="s">
        <v>793</v>
      </c>
      <c r="D44" s="13" t="s">
        <v>792</v>
      </c>
      <c r="E44" s="13" t="s">
        <v>889</v>
      </c>
      <c r="F44" s="13" t="s">
        <v>168</v>
      </c>
      <c r="G44" s="13" t="s">
        <v>111</v>
      </c>
      <c r="H44" s="16">
        <v>43935</v>
      </c>
      <c r="I44" s="16">
        <v>43938</v>
      </c>
      <c r="J44" s="22">
        <v>4277.32</v>
      </c>
      <c r="K44" s="22">
        <v>11.69</v>
      </c>
      <c r="L44" s="22" t="s">
        <v>890</v>
      </c>
      <c r="M44" s="26" t="s">
        <v>98</v>
      </c>
      <c r="N44" s="13" t="s">
        <v>230</v>
      </c>
      <c r="O44" s="13" t="s">
        <v>791</v>
      </c>
      <c r="P44" s="13" t="s">
        <v>60</v>
      </c>
      <c r="Q44" s="13" t="s">
        <v>41</v>
      </c>
      <c r="R44" s="13" t="s">
        <v>270</v>
      </c>
      <c r="S44" s="13" t="s">
        <v>891</v>
      </c>
      <c r="T44" s="13" t="s">
        <v>910</v>
      </c>
      <c r="U44" s="13"/>
      <c r="V44" s="13"/>
      <c r="W44" s="13"/>
      <c r="AL44" s="14">
        <v>11.69</v>
      </c>
      <c r="AN44" s="7" t="s">
        <v>146</v>
      </c>
      <c r="AO44" s="21">
        <f t="shared" si="3"/>
        <v>11.69</v>
      </c>
      <c r="AP44" s="7">
        <f t="shared" si="4"/>
        <v>0</v>
      </c>
      <c r="AQ44" s="31" t="str">
        <f t="shared" si="2"/>
        <v>Complete - With Adjustment</v>
      </c>
    </row>
    <row r="45" spans="1:43" x14ac:dyDescent="0.2">
      <c r="A45" s="46">
        <v>35</v>
      </c>
      <c r="B45" s="13" t="s">
        <v>266</v>
      </c>
      <c r="C45" s="13" t="s">
        <v>793</v>
      </c>
      <c r="D45" s="13" t="s">
        <v>792</v>
      </c>
      <c r="E45" s="13" t="s">
        <v>889</v>
      </c>
      <c r="F45" s="13" t="s">
        <v>168</v>
      </c>
      <c r="G45" s="13" t="s">
        <v>111</v>
      </c>
      <c r="H45" s="16">
        <v>43935</v>
      </c>
      <c r="I45" s="16">
        <v>43938</v>
      </c>
      <c r="J45" s="22">
        <v>4277.32</v>
      </c>
      <c r="K45" s="22">
        <v>20</v>
      </c>
      <c r="L45" s="22" t="s">
        <v>890</v>
      </c>
      <c r="M45" s="26" t="s">
        <v>98</v>
      </c>
      <c r="N45" s="13" t="s">
        <v>230</v>
      </c>
      <c r="O45" s="13" t="s">
        <v>791</v>
      </c>
      <c r="P45" s="13" t="s">
        <v>60</v>
      </c>
      <c r="Q45" s="13" t="s">
        <v>44</v>
      </c>
      <c r="R45" s="13" t="s">
        <v>270</v>
      </c>
      <c r="S45" s="13" t="s">
        <v>891</v>
      </c>
      <c r="T45" s="13" t="s">
        <v>911</v>
      </c>
      <c r="U45" s="13"/>
      <c r="V45" s="13"/>
      <c r="W45" s="13"/>
      <c r="AN45" s="7" t="s">
        <v>70</v>
      </c>
      <c r="AO45" s="21">
        <f t="shared" si="3"/>
        <v>0</v>
      </c>
      <c r="AP45" s="7">
        <f t="shared" si="4"/>
        <v>20</v>
      </c>
      <c r="AQ45" s="31" t="str">
        <f t="shared" si="2"/>
        <v>Complete - No Adjustment</v>
      </c>
    </row>
    <row r="46" spans="1:43" x14ac:dyDescent="0.2">
      <c r="A46" s="46">
        <v>36</v>
      </c>
      <c r="B46" s="13" t="s">
        <v>266</v>
      </c>
      <c r="C46" s="13" t="s">
        <v>793</v>
      </c>
      <c r="D46" s="13" t="s">
        <v>792</v>
      </c>
      <c r="E46" s="13" t="s">
        <v>889</v>
      </c>
      <c r="F46" s="13" t="s">
        <v>168</v>
      </c>
      <c r="G46" s="13" t="s">
        <v>111</v>
      </c>
      <c r="H46" s="16">
        <v>43935</v>
      </c>
      <c r="I46" s="16">
        <v>43938</v>
      </c>
      <c r="J46" s="22">
        <v>4277.32</v>
      </c>
      <c r="K46" s="22">
        <v>9.7100000000000009</v>
      </c>
      <c r="L46" s="22" t="s">
        <v>890</v>
      </c>
      <c r="M46" s="26" t="s">
        <v>98</v>
      </c>
      <c r="N46" s="13" t="s">
        <v>230</v>
      </c>
      <c r="O46" s="13" t="s">
        <v>791</v>
      </c>
      <c r="P46" s="13" t="s">
        <v>60</v>
      </c>
      <c r="Q46" s="13" t="s">
        <v>44</v>
      </c>
      <c r="R46" s="13" t="s">
        <v>270</v>
      </c>
      <c r="S46" s="13" t="s">
        <v>891</v>
      </c>
      <c r="T46" s="13" t="s">
        <v>912</v>
      </c>
      <c r="U46" s="13"/>
      <c r="V46" s="13"/>
      <c r="W46" s="13"/>
      <c r="AN46" s="7" t="s">
        <v>70</v>
      </c>
      <c r="AO46" s="21">
        <f t="shared" si="3"/>
        <v>0</v>
      </c>
      <c r="AP46" s="7">
        <f t="shared" si="4"/>
        <v>9.7100000000000009</v>
      </c>
      <c r="AQ46" s="31" t="str">
        <f t="shared" si="2"/>
        <v>Complete - No Adjustment</v>
      </c>
    </row>
    <row r="47" spans="1:43" x14ac:dyDescent="0.2">
      <c r="A47" s="46">
        <v>37</v>
      </c>
      <c r="B47" s="13" t="s">
        <v>266</v>
      </c>
      <c r="C47" s="13" t="s">
        <v>793</v>
      </c>
      <c r="D47" s="13" t="s">
        <v>792</v>
      </c>
      <c r="E47" s="13" t="s">
        <v>889</v>
      </c>
      <c r="F47" s="13" t="s">
        <v>168</v>
      </c>
      <c r="G47" s="13" t="s">
        <v>111</v>
      </c>
      <c r="H47" s="16">
        <v>43935</v>
      </c>
      <c r="I47" s="16">
        <v>43938</v>
      </c>
      <c r="J47" s="22">
        <v>4277.32</v>
      </c>
      <c r="K47" s="22">
        <v>123.38</v>
      </c>
      <c r="L47" s="22" t="s">
        <v>890</v>
      </c>
      <c r="M47" s="26" t="s">
        <v>98</v>
      </c>
      <c r="N47" s="13" t="s">
        <v>230</v>
      </c>
      <c r="O47" s="13" t="s">
        <v>791</v>
      </c>
      <c r="P47" s="13" t="s">
        <v>60</v>
      </c>
      <c r="Q47" s="13" t="s">
        <v>45</v>
      </c>
      <c r="R47" s="13" t="s">
        <v>270</v>
      </c>
      <c r="S47" s="13" t="s">
        <v>891</v>
      </c>
      <c r="T47" s="13" t="s">
        <v>913</v>
      </c>
      <c r="U47" s="13"/>
      <c r="V47" s="13"/>
      <c r="W47" s="13"/>
      <c r="AE47" s="53">
        <f>(123.38/246.75)*(189-150)</f>
        <v>19.500790273556234</v>
      </c>
      <c r="AN47" s="7" t="s">
        <v>68</v>
      </c>
      <c r="AO47" s="21">
        <f t="shared" si="3"/>
        <v>19.500790273556234</v>
      </c>
      <c r="AP47" s="7">
        <f t="shared" si="4"/>
        <v>103.87920972644376</v>
      </c>
      <c r="AQ47" s="31" t="str">
        <f t="shared" si="2"/>
        <v>Complete - With Adjustment</v>
      </c>
    </row>
    <row r="48" spans="1:43" x14ac:dyDescent="0.2">
      <c r="A48" s="46">
        <v>38</v>
      </c>
      <c r="B48" s="13" t="s">
        <v>266</v>
      </c>
      <c r="C48" s="13" t="s">
        <v>793</v>
      </c>
      <c r="D48" s="13" t="s">
        <v>792</v>
      </c>
      <c r="E48" s="13" t="s">
        <v>889</v>
      </c>
      <c r="F48" s="13" t="s">
        <v>168</v>
      </c>
      <c r="G48" s="13" t="s">
        <v>111</v>
      </c>
      <c r="H48" s="16">
        <v>43935</v>
      </c>
      <c r="I48" s="16">
        <v>43938</v>
      </c>
      <c r="J48" s="22">
        <v>4277.32</v>
      </c>
      <c r="K48" s="22">
        <v>68.489999999999995</v>
      </c>
      <c r="L48" s="22" t="s">
        <v>890</v>
      </c>
      <c r="M48" s="26" t="s">
        <v>98</v>
      </c>
      <c r="N48" s="13" t="s">
        <v>230</v>
      </c>
      <c r="O48" s="13" t="s">
        <v>791</v>
      </c>
      <c r="P48" s="13" t="s">
        <v>60</v>
      </c>
      <c r="Q48" s="13" t="s">
        <v>44</v>
      </c>
      <c r="R48" s="13" t="s">
        <v>270</v>
      </c>
      <c r="S48" s="13" t="s">
        <v>891</v>
      </c>
      <c r="T48" s="13" t="s">
        <v>914</v>
      </c>
      <c r="U48" s="13"/>
      <c r="V48" s="13"/>
      <c r="W48" s="13"/>
      <c r="AN48" s="7" t="s">
        <v>70</v>
      </c>
      <c r="AO48" s="21">
        <f t="shared" si="3"/>
        <v>0</v>
      </c>
      <c r="AP48" s="7">
        <f t="shared" si="4"/>
        <v>68.489999999999995</v>
      </c>
      <c r="AQ48" s="31" t="str">
        <f t="shared" si="2"/>
        <v>Complete - No Adjustment</v>
      </c>
    </row>
    <row r="49" spans="1:43" x14ac:dyDescent="0.2">
      <c r="A49" s="46">
        <v>39</v>
      </c>
      <c r="B49" s="13" t="s">
        <v>266</v>
      </c>
      <c r="C49" s="13" t="s">
        <v>793</v>
      </c>
      <c r="D49" s="13" t="s">
        <v>792</v>
      </c>
      <c r="E49" s="13" t="s">
        <v>889</v>
      </c>
      <c r="F49" s="13" t="s">
        <v>168</v>
      </c>
      <c r="G49" s="13" t="s">
        <v>111</v>
      </c>
      <c r="H49" s="16">
        <v>43935</v>
      </c>
      <c r="I49" s="16">
        <v>43938</v>
      </c>
      <c r="J49" s="22">
        <v>4277.32</v>
      </c>
      <c r="K49" s="22">
        <v>81.349999999999994</v>
      </c>
      <c r="L49" s="22" t="s">
        <v>890</v>
      </c>
      <c r="M49" s="26" t="s">
        <v>98</v>
      </c>
      <c r="N49" s="13" t="s">
        <v>230</v>
      </c>
      <c r="O49" s="13" t="s">
        <v>791</v>
      </c>
      <c r="P49" s="13" t="s">
        <v>60</v>
      </c>
      <c r="Q49" s="13" t="s">
        <v>41</v>
      </c>
      <c r="R49" s="13" t="s">
        <v>270</v>
      </c>
      <c r="S49" s="13" t="s">
        <v>891</v>
      </c>
      <c r="T49" s="13" t="s">
        <v>915</v>
      </c>
      <c r="U49" s="13"/>
      <c r="V49" s="13"/>
      <c r="W49" s="13"/>
      <c r="AL49" s="14">
        <v>81.349999999999994</v>
      </c>
      <c r="AN49" s="7" t="s">
        <v>146</v>
      </c>
      <c r="AO49" s="21">
        <f t="shared" si="3"/>
        <v>81.349999999999994</v>
      </c>
      <c r="AP49" s="7">
        <f t="shared" si="4"/>
        <v>0</v>
      </c>
      <c r="AQ49" s="31" t="str">
        <f t="shared" si="2"/>
        <v>Complete - With Adjustment</v>
      </c>
    </row>
    <row r="50" spans="1:43" x14ac:dyDescent="0.2">
      <c r="A50" s="46">
        <v>40</v>
      </c>
      <c r="B50" s="13" t="s">
        <v>266</v>
      </c>
      <c r="C50" s="13" t="s">
        <v>793</v>
      </c>
      <c r="D50" s="13" t="s">
        <v>792</v>
      </c>
      <c r="E50" s="13" t="s">
        <v>889</v>
      </c>
      <c r="F50" s="13" t="s">
        <v>168</v>
      </c>
      <c r="G50" s="13" t="s">
        <v>111</v>
      </c>
      <c r="H50" s="16">
        <v>43935</v>
      </c>
      <c r="I50" s="16">
        <v>43938</v>
      </c>
      <c r="J50" s="22">
        <v>4277.32</v>
      </c>
      <c r="K50" s="22">
        <v>11</v>
      </c>
      <c r="L50" s="22" t="s">
        <v>890</v>
      </c>
      <c r="M50" s="26" t="s">
        <v>98</v>
      </c>
      <c r="N50" s="13" t="s">
        <v>230</v>
      </c>
      <c r="O50" s="13" t="s">
        <v>791</v>
      </c>
      <c r="P50" s="13" t="s">
        <v>60</v>
      </c>
      <c r="Q50" s="13" t="s">
        <v>44</v>
      </c>
      <c r="R50" s="13" t="s">
        <v>270</v>
      </c>
      <c r="S50" s="13" t="s">
        <v>891</v>
      </c>
      <c r="T50" s="13" t="s">
        <v>916</v>
      </c>
      <c r="U50" s="13"/>
      <c r="V50" s="13"/>
      <c r="W50" s="13"/>
      <c r="AN50" s="7" t="s">
        <v>70</v>
      </c>
      <c r="AO50" s="21">
        <f t="shared" si="3"/>
        <v>0</v>
      </c>
      <c r="AP50" s="7">
        <f t="shared" si="4"/>
        <v>11</v>
      </c>
      <c r="AQ50" s="31" t="str">
        <f t="shared" si="2"/>
        <v>Complete - No Adjustment</v>
      </c>
    </row>
    <row r="51" spans="1:43" x14ac:dyDescent="0.2">
      <c r="A51" s="46">
        <v>41</v>
      </c>
      <c r="B51" s="13" t="s">
        <v>266</v>
      </c>
      <c r="C51" s="13" t="s">
        <v>793</v>
      </c>
      <c r="D51" s="13" t="s">
        <v>792</v>
      </c>
      <c r="E51" s="13" t="s">
        <v>889</v>
      </c>
      <c r="F51" s="13" t="s">
        <v>168</v>
      </c>
      <c r="G51" s="13" t="s">
        <v>111</v>
      </c>
      <c r="H51" s="16">
        <v>43935</v>
      </c>
      <c r="I51" s="16">
        <v>43938</v>
      </c>
      <c r="J51" s="22">
        <v>4277.32</v>
      </c>
      <c r="K51" s="22">
        <v>2.41</v>
      </c>
      <c r="L51" s="22" t="s">
        <v>890</v>
      </c>
      <c r="M51" s="26" t="s">
        <v>98</v>
      </c>
      <c r="N51" s="13" t="s">
        <v>230</v>
      </c>
      <c r="O51" s="13" t="s">
        <v>791</v>
      </c>
      <c r="P51" s="13" t="s">
        <v>60</v>
      </c>
      <c r="Q51" s="13" t="s">
        <v>41</v>
      </c>
      <c r="R51" s="13" t="s">
        <v>270</v>
      </c>
      <c r="S51" s="13" t="s">
        <v>891</v>
      </c>
      <c r="T51" s="13" t="s">
        <v>910</v>
      </c>
      <c r="U51" s="13"/>
      <c r="V51" s="13"/>
      <c r="W51" s="13"/>
      <c r="AN51" s="7" t="s">
        <v>70</v>
      </c>
      <c r="AO51" s="21">
        <f t="shared" si="3"/>
        <v>0</v>
      </c>
      <c r="AP51" s="7">
        <f t="shared" si="4"/>
        <v>2.41</v>
      </c>
      <c r="AQ51" s="31" t="str">
        <f t="shared" si="2"/>
        <v>Complete - No Adjustment</v>
      </c>
    </row>
    <row r="52" spans="1:43" x14ac:dyDescent="0.2">
      <c r="A52" s="46">
        <v>42</v>
      </c>
      <c r="B52" s="13" t="s">
        <v>266</v>
      </c>
      <c r="C52" s="13" t="s">
        <v>793</v>
      </c>
      <c r="D52" s="13" t="s">
        <v>792</v>
      </c>
      <c r="E52" s="13" t="s">
        <v>889</v>
      </c>
      <c r="F52" s="13" t="s">
        <v>168</v>
      </c>
      <c r="G52" s="13" t="s">
        <v>111</v>
      </c>
      <c r="H52" s="16">
        <v>43935</v>
      </c>
      <c r="I52" s="16">
        <v>43938</v>
      </c>
      <c r="J52" s="22">
        <v>4277.32</v>
      </c>
      <c r="K52" s="22">
        <v>66.989999999999995</v>
      </c>
      <c r="L52" s="22" t="s">
        <v>890</v>
      </c>
      <c r="M52" s="26" t="s">
        <v>98</v>
      </c>
      <c r="N52" s="13" t="s">
        <v>230</v>
      </c>
      <c r="O52" s="13" t="s">
        <v>791</v>
      </c>
      <c r="P52" s="13" t="s">
        <v>60</v>
      </c>
      <c r="Q52" s="13" t="s">
        <v>44</v>
      </c>
      <c r="R52" s="13" t="s">
        <v>270</v>
      </c>
      <c r="S52" s="13" t="s">
        <v>891</v>
      </c>
      <c r="T52" s="13" t="s">
        <v>917</v>
      </c>
      <c r="U52" s="13"/>
      <c r="V52" s="13"/>
      <c r="W52" s="13"/>
      <c r="AN52" s="7" t="s">
        <v>70</v>
      </c>
      <c r="AO52" s="21">
        <f t="shared" si="3"/>
        <v>0</v>
      </c>
      <c r="AP52" s="7">
        <f t="shared" si="4"/>
        <v>66.989999999999995</v>
      </c>
      <c r="AQ52" s="31" t="str">
        <f t="shared" si="2"/>
        <v>Complete - No Adjustment</v>
      </c>
    </row>
    <row r="53" spans="1:43" x14ac:dyDescent="0.2">
      <c r="A53" s="46">
        <v>43</v>
      </c>
      <c r="B53" s="13" t="s">
        <v>266</v>
      </c>
      <c r="C53" s="13" t="s">
        <v>793</v>
      </c>
      <c r="D53" s="13" t="s">
        <v>792</v>
      </c>
      <c r="E53" s="13" t="s">
        <v>889</v>
      </c>
      <c r="F53" s="13" t="s">
        <v>168</v>
      </c>
      <c r="G53" s="13" t="s">
        <v>111</v>
      </c>
      <c r="H53" s="16">
        <v>43935</v>
      </c>
      <c r="I53" s="16">
        <v>43938</v>
      </c>
      <c r="J53" s="22">
        <v>4277.32</v>
      </c>
      <c r="K53" s="22">
        <v>3.39</v>
      </c>
      <c r="L53" s="22" t="s">
        <v>890</v>
      </c>
      <c r="M53" s="26" t="s">
        <v>98</v>
      </c>
      <c r="N53" s="13" t="s">
        <v>230</v>
      </c>
      <c r="O53" s="13" t="s">
        <v>791</v>
      </c>
      <c r="P53" s="13" t="s">
        <v>60</v>
      </c>
      <c r="Q53" s="13" t="s">
        <v>41</v>
      </c>
      <c r="R53" s="13" t="s">
        <v>270</v>
      </c>
      <c r="S53" s="13" t="s">
        <v>891</v>
      </c>
      <c r="T53" s="13" t="s">
        <v>902</v>
      </c>
      <c r="U53" s="13"/>
      <c r="V53" s="13"/>
      <c r="W53" s="13"/>
      <c r="AL53" s="14">
        <v>3.39</v>
      </c>
      <c r="AN53" s="7" t="s">
        <v>146</v>
      </c>
      <c r="AO53" s="21">
        <f t="shared" si="3"/>
        <v>3.39</v>
      </c>
      <c r="AP53" s="7">
        <f t="shared" si="4"/>
        <v>0</v>
      </c>
      <c r="AQ53" s="31" t="str">
        <f t="shared" si="2"/>
        <v>Complete - With Adjustment</v>
      </c>
    </row>
    <row r="54" spans="1:43" x14ac:dyDescent="0.2">
      <c r="A54" s="46">
        <v>44</v>
      </c>
      <c r="B54" s="13" t="s">
        <v>266</v>
      </c>
      <c r="C54" s="13" t="s">
        <v>793</v>
      </c>
      <c r="D54" s="13" t="s">
        <v>792</v>
      </c>
      <c r="E54" s="13" t="s">
        <v>889</v>
      </c>
      <c r="F54" s="13" t="s">
        <v>168</v>
      </c>
      <c r="G54" s="13" t="s">
        <v>111</v>
      </c>
      <c r="H54" s="16">
        <v>43935</v>
      </c>
      <c r="I54" s="16">
        <v>43938</v>
      </c>
      <c r="J54" s="22">
        <v>4277.32</v>
      </c>
      <c r="K54" s="22">
        <v>8.39</v>
      </c>
      <c r="L54" s="22" t="s">
        <v>890</v>
      </c>
      <c r="M54" s="26" t="s">
        <v>98</v>
      </c>
      <c r="N54" s="13" t="s">
        <v>230</v>
      </c>
      <c r="O54" s="13" t="s">
        <v>791</v>
      </c>
      <c r="P54" s="13" t="s">
        <v>60</v>
      </c>
      <c r="Q54" s="13" t="s">
        <v>44</v>
      </c>
      <c r="R54" s="13" t="s">
        <v>270</v>
      </c>
      <c r="S54" s="13" t="s">
        <v>891</v>
      </c>
      <c r="T54" s="13" t="s">
        <v>918</v>
      </c>
      <c r="U54" s="13"/>
      <c r="V54" s="13"/>
      <c r="W54" s="13"/>
      <c r="AD54" s="14">
        <f>(8.39/16.77)*(16.77-13.77*1.2)</f>
        <v>0.1230733452593929</v>
      </c>
      <c r="AN54" s="7" t="s">
        <v>147</v>
      </c>
      <c r="AO54" s="21">
        <f t="shared" si="3"/>
        <v>0.1230733452593929</v>
      </c>
      <c r="AP54" s="7">
        <f t="shared" si="4"/>
        <v>8.2669266547406082</v>
      </c>
      <c r="AQ54" s="31" t="str">
        <f t="shared" si="2"/>
        <v>Complete - With Adjustment</v>
      </c>
    </row>
    <row r="55" spans="1:43" x14ac:dyDescent="0.2">
      <c r="A55" s="46">
        <v>45</v>
      </c>
      <c r="B55" s="13" t="s">
        <v>266</v>
      </c>
      <c r="C55" s="13" t="s">
        <v>793</v>
      </c>
      <c r="D55" s="13" t="s">
        <v>792</v>
      </c>
      <c r="E55" s="13" t="s">
        <v>889</v>
      </c>
      <c r="F55" s="13" t="s">
        <v>168</v>
      </c>
      <c r="G55" s="13" t="s">
        <v>111</v>
      </c>
      <c r="H55" s="16">
        <v>43935</v>
      </c>
      <c r="I55" s="16">
        <v>43938</v>
      </c>
      <c r="J55" s="22">
        <v>4277.32</v>
      </c>
      <c r="K55" s="22">
        <v>1.28</v>
      </c>
      <c r="L55" s="22" t="s">
        <v>890</v>
      </c>
      <c r="M55" s="26" t="s">
        <v>98</v>
      </c>
      <c r="N55" s="13" t="s">
        <v>230</v>
      </c>
      <c r="O55" s="13" t="s">
        <v>791</v>
      </c>
      <c r="P55" s="13" t="s">
        <v>60</v>
      </c>
      <c r="Q55" s="13" t="s">
        <v>41</v>
      </c>
      <c r="R55" s="13" t="s">
        <v>270</v>
      </c>
      <c r="S55" s="13" t="s">
        <v>891</v>
      </c>
      <c r="T55" s="13" t="s">
        <v>919</v>
      </c>
      <c r="U55" s="13"/>
      <c r="V55" s="13"/>
      <c r="W55" s="13"/>
      <c r="AN55" s="7" t="s">
        <v>70</v>
      </c>
      <c r="AO55" s="21">
        <f t="shared" si="3"/>
        <v>0</v>
      </c>
      <c r="AP55" s="7">
        <f t="shared" si="4"/>
        <v>1.28</v>
      </c>
      <c r="AQ55" s="31" t="str">
        <f t="shared" si="2"/>
        <v>Complete - No Adjustment</v>
      </c>
    </row>
    <row r="56" spans="1:43" x14ac:dyDescent="0.2">
      <c r="A56" s="46">
        <v>46</v>
      </c>
      <c r="B56" s="13" t="s">
        <v>266</v>
      </c>
      <c r="C56" s="13" t="s">
        <v>793</v>
      </c>
      <c r="D56" s="13" t="s">
        <v>792</v>
      </c>
      <c r="E56" s="13" t="s">
        <v>889</v>
      </c>
      <c r="F56" s="13" t="s">
        <v>168</v>
      </c>
      <c r="G56" s="13" t="s">
        <v>111</v>
      </c>
      <c r="H56" s="16">
        <v>43935</v>
      </c>
      <c r="I56" s="16">
        <v>43938</v>
      </c>
      <c r="J56" s="22">
        <v>4277.32</v>
      </c>
      <c r="K56" s="22">
        <v>119.46</v>
      </c>
      <c r="L56" s="22" t="s">
        <v>890</v>
      </c>
      <c r="M56" s="26" t="s">
        <v>98</v>
      </c>
      <c r="N56" s="13" t="s">
        <v>230</v>
      </c>
      <c r="O56" s="13" t="s">
        <v>791</v>
      </c>
      <c r="P56" s="13" t="s">
        <v>60</v>
      </c>
      <c r="Q56" s="13" t="s">
        <v>45</v>
      </c>
      <c r="R56" s="13" t="s">
        <v>270</v>
      </c>
      <c r="S56" s="13" t="s">
        <v>891</v>
      </c>
      <c r="T56" s="13" t="s">
        <v>920</v>
      </c>
      <c r="U56" s="13"/>
      <c r="V56" s="13"/>
      <c r="W56" s="13"/>
      <c r="AE56" s="53">
        <f>(119.46/238.92)*(198-150)</f>
        <v>24</v>
      </c>
      <c r="AN56" s="7" t="s">
        <v>68</v>
      </c>
      <c r="AO56" s="21">
        <f t="shared" si="3"/>
        <v>24</v>
      </c>
      <c r="AP56" s="7">
        <f t="shared" si="4"/>
        <v>95.46</v>
      </c>
      <c r="AQ56" s="31" t="str">
        <f t="shared" si="2"/>
        <v>Complete - With Adjustment</v>
      </c>
    </row>
    <row r="57" spans="1:43" x14ac:dyDescent="0.2">
      <c r="A57" s="46">
        <v>47</v>
      </c>
      <c r="B57" s="13" t="s">
        <v>266</v>
      </c>
      <c r="C57" s="13" t="s">
        <v>793</v>
      </c>
      <c r="D57" s="13" t="s">
        <v>792</v>
      </c>
      <c r="E57" s="13" t="s">
        <v>889</v>
      </c>
      <c r="F57" s="13" t="s">
        <v>168</v>
      </c>
      <c r="G57" s="13" t="s">
        <v>111</v>
      </c>
      <c r="H57" s="16">
        <v>43935</v>
      </c>
      <c r="I57" s="16">
        <v>43938</v>
      </c>
      <c r="J57" s="22">
        <v>4277.32</v>
      </c>
      <c r="K57" s="22">
        <v>27.18</v>
      </c>
      <c r="L57" s="22" t="s">
        <v>890</v>
      </c>
      <c r="M57" s="26" t="s">
        <v>97</v>
      </c>
      <c r="N57" s="13" t="s">
        <v>230</v>
      </c>
      <c r="O57" s="13" t="s">
        <v>791</v>
      </c>
      <c r="P57" s="13" t="s">
        <v>42</v>
      </c>
      <c r="Q57" s="13" t="s">
        <v>41</v>
      </c>
      <c r="R57" s="13" t="s">
        <v>270</v>
      </c>
      <c r="S57" s="13" t="s">
        <v>891</v>
      </c>
      <c r="T57" s="13" t="s">
        <v>921</v>
      </c>
      <c r="U57" s="13"/>
      <c r="V57" s="13"/>
      <c r="W57" s="13"/>
      <c r="Y57" s="53">
        <v>27.18</v>
      </c>
      <c r="AN57" s="7" t="s">
        <v>8</v>
      </c>
      <c r="AO57" s="21">
        <f t="shared" si="3"/>
        <v>27.18</v>
      </c>
      <c r="AP57" s="7">
        <f t="shared" si="4"/>
        <v>0</v>
      </c>
      <c r="AQ57" s="31" t="str">
        <f t="shared" si="2"/>
        <v>Complete - With Adjustment</v>
      </c>
    </row>
    <row r="58" spans="1:43" x14ac:dyDescent="0.2">
      <c r="A58" s="46">
        <v>48</v>
      </c>
      <c r="B58" s="13" t="s">
        <v>266</v>
      </c>
      <c r="C58" s="13" t="s">
        <v>793</v>
      </c>
      <c r="D58" s="13" t="s">
        <v>792</v>
      </c>
      <c r="E58" s="13" t="s">
        <v>889</v>
      </c>
      <c r="F58" s="13" t="s">
        <v>168</v>
      </c>
      <c r="G58" s="13" t="s">
        <v>111</v>
      </c>
      <c r="H58" s="16">
        <v>43935</v>
      </c>
      <c r="I58" s="16">
        <v>43938</v>
      </c>
      <c r="J58" s="22">
        <v>4277.32</v>
      </c>
      <c r="K58" s="22">
        <v>30.48</v>
      </c>
      <c r="L58" s="22" t="s">
        <v>890</v>
      </c>
      <c r="M58" s="26" t="s">
        <v>97</v>
      </c>
      <c r="N58" s="13" t="s">
        <v>230</v>
      </c>
      <c r="O58" s="13" t="s">
        <v>791</v>
      </c>
      <c r="P58" s="13" t="s">
        <v>42</v>
      </c>
      <c r="Q58" s="13" t="s">
        <v>41</v>
      </c>
      <c r="R58" s="13" t="s">
        <v>270</v>
      </c>
      <c r="S58" s="13" t="s">
        <v>891</v>
      </c>
      <c r="T58" s="13" t="s">
        <v>922</v>
      </c>
      <c r="U58" s="13"/>
      <c r="V58" s="13"/>
      <c r="W58" s="13"/>
      <c r="Y58" s="53">
        <v>30.48</v>
      </c>
      <c r="AN58" s="7" t="s">
        <v>8</v>
      </c>
      <c r="AO58" s="21">
        <f t="shared" si="3"/>
        <v>30.48</v>
      </c>
      <c r="AP58" s="7">
        <f t="shared" si="4"/>
        <v>0</v>
      </c>
      <c r="AQ58" s="31" t="str">
        <f t="shared" si="2"/>
        <v>Complete - With Adjustment</v>
      </c>
    </row>
    <row r="59" spans="1:43" x14ac:dyDescent="0.2">
      <c r="A59" s="46">
        <v>49</v>
      </c>
      <c r="B59" s="13" t="s">
        <v>266</v>
      </c>
      <c r="C59" s="13" t="s">
        <v>793</v>
      </c>
      <c r="D59" s="13" t="s">
        <v>792</v>
      </c>
      <c r="E59" s="13" t="s">
        <v>889</v>
      </c>
      <c r="F59" s="13" t="s">
        <v>168</v>
      </c>
      <c r="G59" s="13" t="s">
        <v>111</v>
      </c>
      <c r="H59" s="16">
        <v>43935</v>
      </c>
      <c r="I59" s="16">
        <v>43938</v>
      </c>
      <c r="J59" s="22">
        <v>4277.32</v>
      </c>
      <c r="K59" s="22">
        <v>85.87</v>
      </c>
      <c r="L59" s="22" t="s">
        <v>890</v>
      </c>
      <c r="M59" s="26" t="s">
        <v>98</v>
      </c>
      <c r="N59" s="13" t="s">
        <v>230</v>
      </c>
      <c r="O59" s="13" t="s">
        <v>791</v>
      </c>
      <c r="P59" s="13" t="s">
        <v>60</v>
      </c>
      <c r="Q59" s="13" t="s">
        <v>45</v>
      </c>
      <c r="R59" s="13" t="s">
        <v>270</v>
      </c>
      <c r="S59" s="13" t="s">
        <v>891</v>
      </c>
      <c r="T59" s="13" t="s">
        <v>923</v>
      </c>
      <c r="U59" s="13"/>
      <c r="V59" s="13"/>
      <c r="W59" s="13"/>
      <c r="AN59" s="7" t="s">
        <v>70</v>
      </c>
      <c r="AO59" s="21">
        <f t="shared" si="3"/>
        <v>0</v>
      </c>
      <c r="AP59" s="7">
        <f t="shared" si="4"/>
        <v>85.87</v>
      </c>
      <c r="AQ59" s="31" t="str">
        <f t="shared" si="2"/>
        <v>Complete - No Adjustment</v>
      </c>
    </row>
    <row r="60" spans="1:43" x14ac:dyDescent="0.2">
      <c r="A60" s="46">
        <v>50</v>
      </c>
      <c r="B60" s="13" t="s">
        <v>266</v>
      </c>
      <c r="C60" s="13" t="s">
        <v>793</v>
      </c>
      <c r="D60" s="13" t="s">
        <v>792</v>
      </c>
      <c r="E60" s="13" t="s">
        <v>889</v>
      </c>
      <c r="F60" s="13" t="s">
        <v>168</v>
      </c>
      <c r="G60" s="13" t="s">
        <v>111</v>
      </c>
      <c r="H60" s="16">
        <v>43935</v>
      </c>
      <c r="I60" s="16">
        <v>43938</v>
      </c>
      <c r="J60" s="22">
        <v>4277.32</v>
      </c>
      <c r="K60" s="22">
        <v>57.99</v>
      </c>
      <c r="L60" s="22" t="s">
        <v>890</v>
      </c>
      <c r="M60" s="26" t="s">
        <v>98</v>
      </c>
      <c r="N60" s="13" t="s">
        <v>230</v>
      </c>
      <c r="O60" s="13" t="s">
        <v>791</v>
      </c>
      <c r="P60" s="13" t="s">
        <v>60</v>
      </c>
      <c r="Q60" s="13" t="s">
        <v>44</v>
      </c>
      <c r="R60" s="13" t="s">
        <v>270</v>
      </c>
      <c r="S60" s="13" t="s">
        <v>891</v>
      </c>
      <c r="T60" s="13" t="s">
        <v>924</v>
      </c>
      <c r="U60" s="13"/>
      <c r="V60" s="13"/>
      <c r="W60" s="13"/>
      <c r="AN60" s="7" t="s">
        <v>70</v>
      </c>
      <c r="AO60" s="21">
        <f t="shared" si="3"/>
        <v>0</v>
      </c>
      <c r="AP60" s="7">
        <f t="shared" si="4"/>
        <v>57.99</v>
      </c>
      <c r="AQ60" s="31" t="str">
        <f t="shared" si="2"/>
        <v>Complete - No Adjustment</v>
      </c>
    </row>
    <row r="61" spans="1:43" x14ac:dyDescent="0.2">
      <c r="A61" s="46">
        <v>51</v>
      </c>
      <c r="B61" s="13" t="s">
        <v>266</v>
      </c>
      <c r="C61" s="13" t="s">
        <v>793</v>
      </c>
      <c r="D61" s="13" t="s">
        <v>792</v>
      </c>
      <c r="E61" s="13" t="s">
        <v>889</v>
      </c>
      <c r="F61" s="13" t="s">
        <v>168</v>
      </c>
      <c r="G61" s="13" t="s">
        <v>111</v>
      </c>
      <c r="H61" s="16">
        <v>43935</v>
      </c>
      <c r="I61" s="16">
        <v>43938</v>
      </c>
      <c r="J61" s="22">
        <v>4277.32</v>
      </c>
      <c r="K61" s="22">
        <v>22</v>
      </c>
      <c r="L61" s="22" t="s">
        <v>890</v>
      </c>
      <c r="M61" s="26" t="s">
        <v>98</v>
      </c>
      <c r="N61" s="13" t="s">
        <v>230</v>
      </c>
      <c r="O61" s="13" t="s">
        <v>791</v>
      </c>
      <c r="P61" s="13" t="s">
        <v>60</v>
      </c>
      <c r="Q61" s="13" t="s">
        <v>44</v>
      </c>
      <c r="R61" s="13" t="s">
        <v>270</v>
      </c>
      <c r="S61" s="13" t="s">
        <v>891</v>
      </c>
      <c r="T61" s="13" t="s">
        <v>925</v>
      </c>
      <c r="U61" s="13"/>
      <c r="V61" s="13"/>
      <c r="W61" s="13"/>
      <c r="AN61" s="7" t="s">
        <v>70</v>
      </c>
      <c r="AO61" s="21">
        <f t="shared" si="3"/>
        <v>0</v>
      </c>
      <c r="AP61" s="7">
        <f t="shared" si="4"/>
        <v>22</v>
      </c>
      <c r="AQ61" s="31" t="str">
        <f t="shared" si="2"/>
        <v>Complete - No Adjustment</v>
      </c>
    </row>
    <row r="62" spans="1:43" x14ac:dyDescent="0.2">
      <c r="A62" s="46">
        <v>52</v>
      </c>
      <c r="B62" s="13" t="s">
        <v>266</v>
      </c>
      <c r="C62" s="13" t="s">
        <v>793</v>
      </c>
      <c r="D62" s="13" t="s">
        <v>792</v>
      </c>
      <c r="E62" s="13" t="s">
        <v>889</v>
      </c>
      <c r="F62" s="13" t="s">
        <v>168</v>
      </c>
      <c r="G62" s="13" t="s">
        <v>111</v>
      </c>
      <c r="H62" s="16">
        <v>43935</v>
      </c>
      <c r="I62" s="16">
        <v>43938</v>
      </c>
      <c r="J62" s="22">
        <v>4277.32</v>
      </c>
      <c r="K62" s="22">
        <v>22</v>
      </c>
      <c r="L62" s="22" t="s">
        <v>890</v>
      </c>
      <c r="M62" s="26" t="s">
        <v>97</v>
      </c>
      <c r="N62" s="13" t="s">
        <v>230</v>
      </c>
      <c r="O62" s="13" t="s">
        <v>791</v>
      </c>
      <c r="P62" s="13" t="s">
        <v>42</v>
      </c>
      <c r="Q62" s="13" t="s">
        <v>41</v>
      </c>
      <c r="R62" s="13" t="s">
        <v>270</v>
      </c>
      <c r="S62" s="13" t="s">
        <v>891</v>
      </c>
      <c r="T62" s="13" t="s">
        <v>922</v>
      </c>
      <c r="U62" s="13"/>
      <c r="V62" s="13"/>
      <c r="W62" s="13"/>
      <c r="Y62" s="53">
        <v>22</v>
      </c>
      <c r="AN62" s="7" t="s">
        <v>8</v>
      </c>
      <c r="AO62" s="21">
        <f t="shared" si="3"/>
        <v>22</v>
      </c>
      <c r="AP62" s="7">
        <f t="shared" si="4"/>
        <v>0</v>
      </c>
      <c r="AQ62" s="31" t="str">
        <f t="shared" si="2"/>
        <v>Complete - With Adjustment</v>
      </c>
    </row>
    <row r="63" spans="1:43" x14ac:dyDescent="0.2">
      <c r="A63" s="46">
        <v>53</v>
      </c>
      <c r="B63" s="13" t="s">
        <v>266</v>
      </c>
      <c r="C63" s="13" t="s">
        <v>793</v>
      </c>
      <c r="D63" s="13" t="s">
        <v>792</v>
      </c>
      <c r="E63" s="13" t="s">
        <v>889</v>
      </c>
      <c r="F63" s="13" t="s">
        <v>168</v>
      </c>
      <c r="G63" s="13" t="s">
        <v>111</v>
      </c>
      <c r="H63" s="16">
        <v>43935</v>
      </c>
      <c r="I63" s="16">
        <v>43938</v>
      </c>
      <c r="J63" s="22">
        <v>4277.32</v>
      </c>
      <c r="K63" s="22">
        <v>69.5</v>
      </c>
      <c r="L63" s="22" t="s">
        <v>890</v>
      </c>
      <c r="M63" s="26" t="s">
        <v>98</v>
      </c>
      <c r="N63" s="13" t="s">
        <v>230</v>
      </c>
      <c r="O63" s="13" t="s">
        <v>791</v>
      </c>
      <c r="P63" s="13" t="s">
        <v>60</v>
      </c>
      <c r="Q63" s="13" t="s">
        <v>45</v>
      </c>
      <c r="R63" s="13" t="s">
        <v>270</v>
      </c>
      <c r="S63" s="13" t="s">
        <v>891</v>
      </c>
      <c r="T63" s="13" t="s">
        <v>926</v>
      </c>
      <c r="U63" s="13"/>
      <c r="V63" s="13"/>
      <c r="W63" s="13"/>
      <c r="AN63" s="7" t="s">
        <v>155</v>
      </c>
      <c r="AO63" s="21">
        <f t="shared" si="3"/>
        <v>0</v>
      </c>
      <c r="AP63" s="7">
        <f t="shared" si="4"/>
        <v>69.5</v>
      </c>
      <c r="AQ63" s="31" t="str">
        <f t="shared" si="2"/>
        <v>Complete - No Adjustment</v>
      </c>
    </row>
    <row r="64" spans="1:43" x14ac:dyDescent="0.2">
      <c r="A64" s="46">
        <v>54</v>
      </c>
      <c r="B64" s="13" t="s">
        <v>266</v>
      </c>
      <c r="C64" s="13" t="s">
        <v>793</v>
      </c>
      <c r="D64" s="13" t="s">
        <v>792</v>
      </c>
      <c r="E64" s="13" t="s">
        <v>889</v>
      </c>
      <c r="F64" s="13" t="s">
        <v>168</v>
      </c>
      <c r="G64" s="13" t="s">
        <v>111</v>
      </c>
      <c r="H64" s="16">
        <v>43935</v>
      </c>
      <c r="I64" s="16">
        <v>43938</v>
      </c>
      <c r="J64" s="22">
        <v>4277.32</v>
      </c>
      <c r="K64" s="22">
        <v>33.94</v>
      </c>
      <c r="L64" s="22" t="s">
        <v>890</v>
      </c>
      <c r="M64" s="26" t="s">
        <v>98</v>
      </c>
      <c r="N64" s="13" t="s">
        <v>230</v>
      </c>
      <c r="O64" s="13" t="s">
        <v>791</v>
      </c>
      <c r="P64" s="13" t="s">
        <v>60</v>
      </c>
      <c r="Q64" s="13" t="s">
        <v>41</v>
      </c>
      <c r="R64" s="13" t="s">
        <v>270</v>
      </c>
      <c r="S64" s="13" t="s">
        <v>891</v>
      </c>
      <c r="T64" s="13" t="s">
        <v>927</v>
      </c>
      <c r="U64" s="13"/>
      <c r="V64" s="13"/>
      <c r="W64" s="13"/>
      <c r="AB64" s="14">
        <f>(33.94/67.88)*(67.88-25*1.0825*1.2)</f>
        <v>17.702499999999997</v>
      </c>
      <c r="AN64" s="7" t="s">
        <v>66</v>
      </c>
      <c r="AO64" s="21">
        <f t="shared" si="3"/>
        <v>17.702499999999997</v>
      </c>
      <c r="AP64" s="7">
        <f t="shared" si="4"/>
        <v>16.237500000000001</v>
      </c>
      <c r="AQ64" s="31" t="str">
        <f t="shared" si="2"/>
        <v>Complete - With Adjustment</v>
      </c>
    </row>
    <row r="65" spans="1:43" x14ac:dyDescent="0.2">
      <c r="A65" s="46">
        <v>55</v>
      </c>
      <c r="B65" s="13" t="s">
        <v>266</v>
      </c>
      <c r="C65" s="13" t="s">
        <v>793</v>
      </c>
      <c r="D65" s="13" t="s">
        <v>792</v>
      </c>
      <c r="E65" s="13" t="s">
        <v>889</v>
      </c>
      <c r="F65" s="13" t="s">
        <v>168</v>
      </c>
      <c r="G65" s="13" t="s">
        <v>111</v>
      </c>
      <c r="H65" s="16">
        <v>43935</v>
      </c>
      <c r="I65" s="16">
        <v>43938</v>
      </c>
      <c r="J65" s="22">
        <v>4277.32</v>
      </c>
      <c r="K65" s="22">
        <v>1.28</v>
      </c>
      <c r="L65" s="22" t="s">
        <v>890</v>
      </c>
      <c r="M65" s="26" t="s">
        <v>98</v>
      </c>
      <c r="N65" s="13" t="s">
        <v>230</v>
      </c>
      <c r="O65" s="13" t="s">
        <v>791</v>
      </c>
      <c r="P65" s="13" t="s">
        <v>60</v>
      </c>
      <c r="Q65" s="13" t="s">
        <v>41</v>
      </c>
      <c r="R65" s="13" t="s">
        <v>270</v>
      </c>
      <c r="S65" s="13" t="s">
        <v>891</v>
      </c>
      <c r="T65" s="13" t="s">
        <v>927</v>
      </c>
      <c r="U65" s="13"/>
      <c r="V65" s="13"/>
      <c r="W65" s="13"/>
      <c r="AN65" s="7" t="s">
        <v>70</v>
      </c>
      <c r="AO65" s="21">
        <f t="shared" si="3"/>
        <v>0</v>
      </c>
      <c r="AP65" s="7">
        <f t="shared" si="4"/>
        <v>1.28</v>
      </c>
      <c r="AQ65" s="31" t="str">
        <f t="shared" si="2"/>
        <v>Complete - No Adjustment</v>
      </c>
    </row>
    <row r="66" spans="1:43" x14ac:dyDescent="0.2">
      <c r="A66" s="46">
        <v>56</v>
      </c>
      <c r="B66" s="13" t="s">
        <v>266</v>
      </c>
      <c r="C66" s="13" t="s">
        <v>796</v>
      </c>
      <c r="D66" s="13" t="s">
        <v>819</v>
      </c>
      <c r="E66" s="13" t="s">
        <v>928</v>
      </c>
      <c r="F66" s="13" t="s">
        <v>169</v>
      </c>
      <c r="G66" s="13" t="s">
        <v>111</v>
      </c>
      <c r="H66" s="16">
        <v>43927</v>
      </c>
      <c r="I66" s="16">
        <v>43934</v>
      </c>
      <c r="J66" s="22">
        <v>15</v>
      </c>
      <c r="K66" s="22">
        <v>7.5</v>
      </c>
      <c r="L66" s="22" t="s">
        <v>929</v>
      </c>
      <c r="M66" s="26" t="s">
        <v>98</v>
      </c>
      <c r="N66" s="13" t="s">
        <v>230</v>
      </c>
      <c r="O66" s="13" t="s">
        <v>791</v>
      </c>
      <c r="P66" s="13" t="s">
        <v>60</v>
      </c>
      <c r="Q66" s="13" t="s">
        <v>41</v>
      </c>
      <c r="R66" s="13" t="s">
        <v>270</v>
      </c>
      <c r="S66" s="13" t="s">
        <v>930</v>
      </c>
      <c r="T66" s="13" t="s">
        <v>931</v>
      </c>
      <c r="U66" s="13"/>
      <c r="V66" s="13"/>
      <c r="W66" s="13"/>
      <c r="AL66" s="14">
        <v>7.5</v>
      </c>
      <c r="AN66" s="7" t="s">
        <v>167</v>
      </c>
      <c r="AO66" s="21">
        <f t="shared" si="3"/>
        <v>7.5</v>
      </c>
      <c r="AP66" s="7">
        <f t="shared" si="4"/>
        <v>0</v>
      </c>
      <c r="AQ66" s="31" t="str">
        <f t="shared" si="2"/>
        <v>Complete - With Adjustment</v>
      </c>
    </row>
    <row r="67" spans="1:43" x14ac:dyDescent="0.2">
      <c r="A67" s="46">
        <v>57</v>
      </c>
      <c r="B67" s="13" t="s">
        <v>266</v>
      </c>
      <c r="C67" s="13" t="s">
        <v>283</v>
      </c>
      <c r="D67" s="13" t="s">
        <v>282</v>
      </c>
      <c r="E67" s="13" t="s">
        <v>932</v>
      </c>
      <c r="F67" s="13" t="s">
        <v>183</v>
      </c>
      <c r="G67" s="13" t="s">
        <v>111</v>
      </c>
      <c r="H67" s="16">
        <v>43929</v>
      </c>
      <c r="I67" s="16">
        <v>43936</v>
      </c>
      <c r="J67" s="22">
        <v>6128.65</v>
      </c>
      <c r="K67" s="22">
        <v>1.29</v>
      </c>
      <c r="L67" s="22" t="s">
        <v>933</v>
      </c>
      <c r="M67" s="26" t="s">
        <v>97</v>
      </c>
      <c r="N67" s="13" t="s">
        <v>230</v>
      </c>
      <c r="O67" s="13" t="s">
        <v>284</v>
      </c>
      <c r="P67" s="13" t="s">
        <v>64</v>
      </c>
      <c r="Q67" s="13" t="s">
        <v>44</v>
      </c>
      <c r="R67" s="13" t="s">
        <v>270</v>
      </c>
      <c r="S67" s="13" t="s">
        <v>934</v>
      </c>
      <c r="T67" s="13" t="s">
        <v>935</v>
      </c>
      <c r="U67" s="13"/>
      <c r="V67" s="13"/>
      <c r="W67" s="13"/>
      <c r="AG67" s="54">
        <v>1.29</v>
      </c>
      <c r="AN67" s="7" t="s">
        <v>69</v>
      </c>
      <c r="AO67" s="21">
        <f t="shared" si="3"/>
        <v>1.29</v>
      </c>
      <c r="AP67" s="7">
        <f t="shared" si="4"/>
        <v>0</v>
      </c>
      <c r="AQ67" s="31" t="str">
        <f t="shared" si="2"/>
        <v>Complete - With Adjustment</v>
      </c>
    </row>
    <row r="68" spans="1:43" x14ac:dyDescent="0.2">
      <c r="A68" s="46">
        <v>58</v>
      </c>
      <c r="B68" s="13" t="s">
        <v>266</v>
      </c>
      <c r="C68" s="13" t="s">
        <v>283</v>
      </c>
      <c r="D68" s="13" t="s">
        <v>282</v>
      </c>
      <c r="E68" s="13" t="s">
        <v>932</v>
      </c>
      <c r="F68" s="13" t="s">
        <v>183</v>
      </c>
      <c r="G68" s="13" t="s">
        <v>111</v>
      </c>
      <c r="H68" s="16">
        <v>43929</v>
      </c>
      <c r="I68" s="16">
        <v>43936</v>
      </c>
      <c r="J68" s="22">
        <v>6128.65</v>
      </c>
      <c r="K68" s="22">
        <v>24.54</v>
      </c>
      <c r="L68" s="22" t="s">
        <v>933</v>
      </c>
      <c r="M68" s="26" t="s">
        <v>98</v>
      </c>
      <c r="N68" s="13" t="s">
        <v>230</v>
      </c>
      <c r="O68" s="13" t="s">
        <v>284</v>
      </c>
      <c r="P68" s="13" t="s">
        <v>60</v>
      </c>
      <c r="Q68" s="13" t="s">
        <v>44</v>
      </c>
      <c r="R68" s="13" t="s">
        <v>270</v>
      </c>
      <c r="S68" s="13" t="s">
        <v>934</v>
      </c>
      <c r="T68" s="13" t="s">
        <v>935</v>
      </c>
      <c r="U68" s="13"/>
      <c r="V68" s="13"/>
      <c r="W68" s="13"/>
      <c r="AN68" s="7" t="s">
        <v>70</v>
      </c>
      <c r="AO68" s="21">
        <f t="shared" si="3"/>
        <v>0</v>
      </c>
      <c r="AP68" s="7">
        <f t="shared" si="4"/>
        <v>24.54</v>
      </c>
      <c r="AQ68" s="31" t="str">
        <f t="shared" si="2"/>
        <v>Complete - No Adjustment</v>
      </c>
    </row>
    <row r="69" spans="1:43" x14ac:dyDescent="0.2">
      <c r="A69" s="46">
        <v>59</v>
      </c>
      <c r="B69" s="13" t="s">
        <v>266</v>
      </c>
      <c r="C69" s="13" t="s">
        <v>283</v>
      </c>
      <c r="D69" s="13" t="s">
        <v>282</v>
      </c>
      <c r="E69" s="13" t="s">
        <v>932</v>
      </c>
      <c r="F69" s="13" t="s">
        <v>183</v>
      </c>
      <c r="G69" s="13" t="s">
        <v>111</v>
      </c>
      <c r="H69" s="16">
        <v>43929</v>
      </c>
      <c r="I69" s="16">
        <v>43936</v>
      </c>
      <c r="J69" s="22">
        <v>6128.65</v>
      </c>
      <c r="K69" s="22">
        <v>1.55</v>
      </c>
      <c r="L69" s="22" t="s">
        <v>933</v>
      </c>
      <c r="M69" s="26" t="s">
        <v>97</v>
      </c>
      <c r="N69" s="13" t="s">
        <v>230</v>
      </c>
      <c r="O69" s="13" t="s">
        <v>284</v>
      </c>
      <c r="P69" s="13" t="s">
        <v>64</v>
      </c>
      <c r="Q69" s="13" t="s">
        <v>44</v>
      </c>
      <c r="R69" s="13" t="s">
        <v>270</v>
      </c>
      <c r="S69" s="13" t="s">
        <v>934</v>
      </c>
      <c r="T69" s="13" t="s">
        <v>936</v>
      </c>
      <c r="U69" s="13"/>
      <c r="V69" s="13"/>
      <c r="W69" s="13"/>
      <c r="AG69" s="54">
        <v>1.55</v>
      </c>
      <c r="AN69" s="7" t="s">
        <v>69</v>
      </c>
      <c r="AO69" s="21">
        <f t="shared" si="3"/>
        <v>1.55</v>
      </c>
      <c r="AP69" s="7">
        <f t="shared" si="4"/>
        <v>0</v>
      </c>
      <c r="AQ69" s="31" t="str">
        <f t="shared" ref="AQ69:AQ132" si="5">IF(AO69&lt;&gt;0,"Complete - With Adjustment","Complete - No Adjustment")</f>
        <v>Complete - With Adjustment</v>
      </c>
    </row>
    <row r="70" spans="1:43" x14ac:dyDescent="0.2">
      <c r="A70" s="46">
        <v>60</v>
      </c>
      <c r="B70" s="13" t="s">
        <v>266</v>
      </c>
      <c r="C70" s="13" t="s">
        <v>283</v>
      </c>
      <c r="D70" s="13" t="s">
        <v>282</v>
      </c>
      <c r="E70" s="13" t="s">
        <v>932</v>
      </c>
      <c r="F70" s="13" t="s">
        <v>183</v>
      </c>
      <c r="G70" s="13" t="s">
        <v>111</v>
      </c>
      <c r="H70" s="16">
        <v>43929</v>
      </c>
      <c r="I70" s="16">
        <v>43936</v>
      </c>
      <c r="J70" s="22">
        <v>6128.65</v>
      </c>
      <c r="K70" s="22">
        <v>29.45</v>
      </c>
      <c r="L70" s="22" t="s">
        <v>933</v>
      </c>
      <c r="M70" s="26" t="s">
        <v>98</v>
      </c>
      <c r="N70" s="13" t="s">
        <v>230</v>
      </c>
      <c r="O70" s="13" t="s">
        <v>284</v>
      </c>
      <c r="P70" s="13" t="s">
        <v>60</v>
      </c>
      <c r="Q70" s="13" t="s">
        <v>44</v>
      </c>
      <c r="R70" s="13" t="s">
        <v>270</v>
      </c>
      <c r="S70" s="13" t="s">
        <v>934</v>
      </c>
      <c r="T70" s="13" t="s">
        <v>936</v>
      </c>
      <c r="U70" s="13"/>
      <c r="V70" s="13"/>
      <c r="W70" s="13"/>
      <c r="AN70" s="7" t="s">
        <v>70</v>
      </c>
      <c r="AO70" s="21">
        <f t="shared" si="3"/>
        <v>0</v>
      </c>
      <c r="AP70" s="7">
        <f t="shared" si="4"/>
        <v>29.45</v>
      </c>
      <c r="AQ70" s="31" t="str">
        <f t="shared" si="5"/>
        <v>Complete - No Adjustment</v>
      </c>
    </row>
    <row r="71" spans="1:43" x14ac:dyDescent="0.2">
      <c r="A71" s="46">
        <v>61</v>
      </c>
      <c r="B71" s="13" t="s">
        <v>266</v>
      </c>
      <c r="C71" s="13" t="s">
        <v>283</v>
      </c>
      <c r="D71" s="13" t="s">
        <v>282</v>
      </c>
      <c r="E71" s="13" t="s">
        <v>932</v>
      </c>
      <c r="F71" s="13" t="s">
        <v>183</v>
      </c>
      <c r="G71" s="13" t="s">
        <v>111</v>
      </c>
      <c r="H71" s="16">
        <v>43929</v>
      </c>
      <c r="I71" s="16">
        <v>43936</v>
      </c>
      <c r="J71" s="22">
        <v>6128.65</v>
      </c>
      <c r="K71" s="22">
        <v>47.02</v>
      </c>
      <c r="L71" s="22" t="s">
        <v>933</v>
      </c>
      <c r="M71" s="26" t="s">
        <v>98</v>
      </c>
      <c r="N71" s="13" t="s">
        <v>230</v>
      </c>
      <c r="O71" s="13" t="s">
        <v>284</v>
      </c>
      <c r="P71" s="13" t="s">
        <v>60</v>
      </c>
      <c r="Q71" s="13" t="s">
        <v>41</v>
      </c>
      <c r="R71" s="13" t="s">
        <v>270</v>
      </c>
      <c r="S71" s="13" t="s">
        <v>934</v>
      </c>
      <c r="T71" s="13" t="s">
        <v>937</v>
      </c>
      <c r="U71" s="13"/>
      <c r="V71" s="13"/>
      <c r="W71" s="13"/>
      <c r="AL71" s="14">
        <v>47.02</v>
      </c>
      <c r="AN71" s="7" t="s">
        <v>146</v>
      </c>
      <c r="AO71" s="21">
        <f t="shared" si="3"/>
        <v>47.02</v>
      </c>
      <c r="AP71" s="7">
        <f t="shared" si="4"/>
        <v>0</v>
      </c>
      <c r="AQ71" s="31" t="str">
        <f t="shared" si="5"/>
        <v>Complete - With Adjustment</v>
      </c>
    </row>
    <row r="72" spans="1:43" x14ac:dyDescent="0.2">
      <c r="A72" s="46">
        <v>62</v>
      </c>
      <c r="B72" s="13" t="s">
        <v>266</v>
      </c>
      <c r="C72" s="13" t="s">
        <v>283</v>
      </c>
      <c r="D72" s="13" t="s">
        <v>282</v>
      </c>
      <c r="E72" s="13" t="s">
        <v>932</v>
      </c>
      <c r="F72" s="13" t="s">
        <v>183</v>
      </c>
      <c r="G72" s="13" t="s">
        <v>111</v>
      </c>
      <c r="H72" s="16">
        <v>43929</v>
      </c>
      <c r="I72" s="16">
        <v>43936</v>
      </c>
      <c r="J72" s="22">
        <v>6128.65</v>
      </c>
      <c r="K72" s="22">
        <v>2.4700000000000002</v>
      </c>
      <c r="L72" s="22" t="s">
        <v>933</v>
      </c>
      <c r="M72" s="26" t="s">
        <v>97</v>
      </c>
      <c r="N72" s="13" t="s">
        <v>230</v>
      </c>
      <c r="O72" s="13" t="s">
        <v>284</v>
      </c>
      <c r="P72" s="13" t="s">
        <v>64</v>
      </c>
      <c r="Q72" s="13" t="s">
        <v>41</v>
      </c>
      <c r="R72" s="13" t="s">
        <v>270</v>
      </c>
      <c r="S72" s="13" t="s">
        <v>934</v>
      </c>
      <c r="T72" s="13" t="s">
        <v>937</v>
      </c>
      <c r="U72" s="13"/>
      <c r="V72" s="13"/>
      <c r="W72" s="13"/>
      <c r="AG72" s="54">
        <v>2.4700000000000002</v>
      </c>
      <c r="AN72" s="7" t="s">
        <v>69</v>
      </c>
      <c r="AO72" s="21">
        <f t="shared" si="3"/>
        <v>2.4700000000000002</v>
      </c>
      <c r="AP72" s="7">
        <f t="shared" si="4"/>
        <v>0</v>
      </c>
      <c r="AQ72" s="31" t="str">
        <f t="shared" si="5"/>
        <v>Complete - With Adjustment</v>
      </c>
    </row>
    <row r="73" spans="1:43" x14ac:dyDescent="0.2">
      <c r="A73" s="46">
        <v>63</v>
      </c>
      <c r="B73" s="13" t="s">
        <v>266</v>
      </c>
      <c r="C73" s="13" t="s">
        <v>283</v>
      </c>
      <c r="D73" s="13" t="s">
        <v>282</v>
      </c>
      <c r="E73" s="13" t="s">
        <v>932</v>
      </c>
      <c r="F73" s="13" t="s">
        <v>183</v>
      </c>
      <c r="G73" s="13" t="s">
        <v>111</v>
      </c>
      <c r="H73" s="16">
        <v>43929</v>
      </c>
      <c r="I73" s="16">
        <v>43936</v>
      </c>
      <c r="J73" s="22">
        <v>6128.65</v>
      </c>
      <c r="K73" s="22">
        <v>33.24</v>
      </c>
      <c r="L73" s="22" t="s">
        <v>933</v>
      </c>
      <c r="M73" s="26" t="s">
        <v>97</v>
      </c>
      <c r="N73" s="13" t="s">
        <v>230</v>
      </c>
      <c r="O73" s="13" t="s">
        <v>284</v>
      </c>
      <c r="P73" s="13" t="s">
        <v>64</v>
      </c>
      <c r="Q73" s="13" t="s">
        <v>44</v>
      </c>
      <c r="R73" s="13" t="s">
        <v>270</v>
      </c>
      <c r="S73" s="13" t="s">
        <v>934</v>
      </c>
      <c r="T73" s="13" t="s">
        <v>938</v>
      </c>
      <c r="U73" s="13"/>
      <c r="V73" s="13"/>
      <c r="W73" s="13"/>
      <c r="AG73" s="54">
        <v>33.24</v>
      </c>
      <c r="AN73" s="7" t="s">
        <v>69</v>
      </c>
      <c r="AO73" s="21">
        <f t="shared" si="3"/>
        <v>33.24</v>
      </c>
      <c r="AP73" s="7">
        <f t="shared" si="4"/>
        <v>0</v>
      </c>
      <c r="AQ73" s="31" t="str">
        <f t="shared" si="5"/>
        <v>Complete - With Adjustment</v>
      </c>
    </row>
    <row r="74" spans="1:43" x14ac:dyDescent="0.2">
      <c r="A74" s="46">
        <v>64</v>
      </c>
      <c r="B74" s="13" t="s">
        <v>266</v>
      </c>
      <c r="C74" s="13" t="s">
        <v>283</v>
      </c>
      <c r="D74" s="13" t="s">
        <v>282</v>
      </c>
      <c r="E74" s="13" t="s">
        <v>932</v>
      </c>
      <c r="F74" s="13" t="s">
        <v>183</v>
      </c>
      <c r="G74" s="13" t="s">
        <v>111</v>
      </c>
      <c r="H74" s="16">
        <v>43929</v>
      </c>
      <c r="I74" s="16">
        <v>43936</v>
      </c>
      <c r="J74" s="22">
        <v>6128.65</v>
      </c>
      <c r="K74" s="22">
        <v>23.76</v>
      </c>
      <c r="L74" s="22" t="s">
        <v>933</v>
      </c>
      <c r="M74" s="26" t="s">
        <v>97</v>
      </c>
      <c r="N74" s="13" t="s">
        <v>230</v>
      </c>
      <c r="O74" s="13" t="s">
        <v>284</v>
      </c>
      <c r="P74" s="13" t="s">
        <v>64</v>
      </c>
      <c r="Q74" s="13" t="s">
        <v>44</v>
      </c>
      <c r="R74" s="13" t="s">
        <v>270</v>
      </c>
      <c r="S74" s="13" t="s">
        <v>934</v>
      </c>
      <c r="T74" s="13" t="s">
        <v>939</v>
      </c>
      <c r="U74" s="13"/>
      <c r="V74" s="13"/>
      <c r="W74" s="13"/>
      <c r="AG74" s="54">
        <v>23.76</v>
      </c>
      <c r="AN74" s="7" t="s">
        <v>69</v>
      </c>
      <c r="AO74" s="21">
        <f t="shared" si="3"/>
        <v>23.76</v>
      </c>
      <c r="AP74" s="7">
        <f t="shared" si="4"/>
        <v>0</v>
      </c>
      <c r="AQ74" s="31" t="str">
        <f t="shared" si="5"/>
        <v>Complete - With Adjustment</v>
      </c>
    </row>
    <row r="75" spans="1:43" x14ac:dyDescent="0.2">
      <c r="A75" s="46">
        <v>65</v>
      </c>
      <c r="B75" s="13" t="s">
        <v>266</v>
      </c>
      <c r="C75" s="13" t="s">
        <v>283</v>
      </c>
      <c r="D75" s="13" t="s">
        <v>282</v>
      </c>
      <c r="E75" s="13" t="s">
        <v>932</v>
      </c>
      <c r="F75" s="13" t="s">
        <v>183</v>
      </c>
      <c r="G75" s="13" t="s">
        <v>111</v>
      </c>
      <c r="H75" s="16">
        <v>43929</v>
      </c>
      <c r="I75" s="16">
        <v>43936</v>
      </c>
      <c r="J75" s="22">
        <v>6128.65</v>
      </c>
      <c r="K75" s="22">
        <v>146.04</v>
      </c>
      <c r="L75" s="22" t="s">
        <v>933</v>
      </c>
      <c r="M75" s="26" t="s">
        <v>97</v>
      </c>
      <c r="N75" s="13" t="s">
        <v>230</v>
      </c>
      <c r="O75" s="13" t="s">
        <v>284</v>
      </c>
      <c r="P75" s="13" t="s">
        <v>64</v>
      </c>
      <c r="Q75" s="13" t="s">
        <v>41</v>
      </c>
      <c r="R75" s="13" t="s">
        <v>270</v>
      </c>
      <c r="S75" s="13" t="s">
        <v>934</v>
      </c>
      <c r="T75" s="13" t="s">
        <v>940</v>
      </c>
      <c r="U75" s="13"/>
      <c r="V75" s="13"/>
      <c r="W75" s="13"/>
      <c r="AG75" s="54">
        <v>146.04</v>
      </c>
      <c r="AN75" s="7" t="s">
        <v>69</v>
      </c>
      <c r="AO75" s="21">
        <f t="shared" si="3"/>
        <v>146.04</v>
      </c>
      <c r="AP75" s="7">
        <f t="shared" si="4"/>
        <v>0</v>
      </c>
      <c r="AQ75" s="31" t="str">
        <f t="shared" si="5"/>
        <v>Complete - With Adjustment</v>
      </c>
    </row>
    <row r="76" spans="1:43" x14ac:dyDescent="0.2">
      <c r="A76" s="46">
        <v>66</v>
      </c>
      <c r="B76" s="13" t="s">
        <v>266</v>
      </c>
      <c r="C76" s="13" t="s">
        <v>283</v>
      </c>
      <c r="D76" s="13" t="s">
        <v>282</v>
      </c>
      <c r="E76" s="13" t="s">
        <v>932</v>
      </c>
      <c r="F76" s="13" t="s">
        <v>183</v>
      </c>
      <c r="G76" s="13" t="s">
        <v>111</v>
      </c>
      <c r="H76" s="16">
        <v>43929</v>
      </c>
      <c r="I76" s="16">
        <v>43936</v>
      </c>
      <c r="J76" s="22">
        <v>6128.65</v>
      </c>
      <c r="K76" s="22">
        <v>23.27</v>
      </c>
      <c r="L76" s="22" t="s">
        <v>933</v>
      </c>
      <c r="M76" s="26" t="s">
        <v>97</v>
      </c>
      <c r="N76" s="13" t="s">
        <v>230</v>
      </c>
      <c r="O76" s="13" t="s">
        <v>284</v>
      </c>
      <c r="P76" s="13" t="s">
        <v>64</v>
      </c>
      <c r="Q76" s="13" t="s">
        <v>44</v>
      </c>
      <c r="R76" s="13" t="s">
        <v>270</v>
      </c>
      <c r="S76" s="13" t="s">
        <v>934</v>
      </c>
      <c r="T76" s="13" t="s">
        <v>941</v>
      </c>
      <c r="U76" s="13"/>
      <c r="V76" s="13"/>
      <c r="W76" s="13"/>
      <c r="AG76" s="54">
        <v>23.27</v>
      </c>
      <c r="AN76" s="7" t="s">
        <v>69</v>
      </c>
      <c r="AO76" s="21">
        <f t="shared" si="3"/>
        <v>23.27</v>
      </c>
      <c r="AP76" s="7">
        <f t="shared" si="4"/>
        <v>0</v>
      </c>
      <c r="AQ76" s="31" t="str">
        <f t="shared" si="5"/>
        <v>Complete - With Adjustment</v>
      </c>
    </row>
    <row r="77" spans="1:43" x14ac:dyDescent="0.2">
      <c r="A77" s="46">
        <v>67</v>
      </c>
      <c r="B77" s="13" t="s">
        <v>266</v>
      </c>
      <c r="C77" s="13" t="s">
        <v>283</v>
      </c>
      <c r="D77" s="13" t="s">
        <v>282</v>
      </c>
      <c r="E77" s="13" t="s">
        <v>932</v>
      </c>
      <c r="F77" s="13" t="s">
        <v>183</v>
      </c>
      <c r="G77" s="13" t="s">
        <v>111</v>
      </c>
      <c r="H77" s="16">
        <v>43929</v>
      </c>
      <c r="I77" s="16">
        <v>43936</v>
      </c>
      <c r="J77" s="22">
        <v>6128.65</v>
      </c>
      <c r="K77" s="22">
        <v>1.4</v>
      </c>
      <c r="L77" s="22" t="s">
        <v>933</v>
      </c>
      <c r="M77" s="26" t="s">
        <v>97</v>
      </c>
      <c r="N77" s="13" t="s">
        <v>230</v>
      </c>
      <c r="O77" s="13" t="s">
        <v>284</v>
      </c>
      <c r="P77" s="13" t="s">
        <v>64</v>
      </c>
      <c r="Q77" s="13" t="s">
        <v>44</v>
      </c>
      <c r="R77" s="13" t="s">
        <v>270</v>
      </c>
      <c r="S77" s="13" t="s">
        <v>934</v>
      </c>
      <c r="T77" s="13" t="s">
        <v>942</v>
      </c>
      <c r="U77" s="13"/>
      <c r="V77" s="13"/>
      <c r="W77" s="13"/>
      <c r="AG77" s="54">
        <v>1.4</v>
      </c>
      <c r="AN77" s="7" t="s">
        <v>69</v>
      </c>
      <c r="AO77" s="21">
        <f t="shared" si="3"/>
        <v>1.4</v>
      </c>
      <c r="AP77" s="7">
        <f t="shared" si="4"/>
        <v>0</v>
      </c>
      <c r="AQ77" s="31" t="str">
        <f t="shared" si="5"/>
        <v>Complete - With Adjustment</v>
      </c>
    </row>
    <row r="78" spans="1:43" x14ac:dyDescent="0.2">
      <c r="A78" s="46">
        <v>68</v>
      </c>
      <c r="B78" s="13" t="s">
        <v>266</v>
      </c>
      <c r="C78" s="13" t="s">
        <v>283</v>
      </c>
      <c r="D78" s="13" t="s">
        <v>282</v>
      </c>
      <c r="E78" s="13" t="s">
        <v>932</v>
      </c>
      <c r="F78" s="13" t="s">
        <v>183</v>
      </c>
      <c r="G78" s="13" t="s">
        <v>111</v>
      </c>
      <c r="H78" s="16">
        <v>43929</v>
      </c>
      <c r="I78" s="16">
        <v>43936</v>
      </c>
      <c r="J78" s="22">
        <v>6128.65</v>
      </c>
      <c r="K78" s="22">
        <v>26.7</v>
      </c>
      <c r="L78" s="22" t="s">
        <v>933</v>
      </c>
      <c r="M78" s="26" t="s">
        <v>98</v>
      </c>
      <c r="N78" s="13" t="s">
        <v>230</v>
      </c>
      <c r="O78" s="13" t="s">
        <v>284</v>
      </c>
      <c r="P78" s="13" t="s">
        <v>60</v>
      </c>
      <c r="Q78" s="13" t="s">
        <v>44</v>
      </c>
      <c r="R78" s="13" t="s">
        <v>270</v>
      </c>
      <c r="S78" s="13" t="s">
        <v>934</v>
      </c>
      <c r="T78" s="13" t="s">
        <v>942</v>
      </c>
      <c r="U78" s="13"/>
      <c r="V78" s="13"/>
      <c r="W78" s="13"/>
      <c r="AN78" s="7" t="s">
        <v>70</v>
      </c>
      <c r="AO78" s="21">
        <f t="shared" si="3"/>
        <v>0</v>
      </c>
      <c r="AP78" s="7">
        <f t="shared" si="4"/>
        <v>26.7</v>
      </c>
      <c r="AQ78" s="31" t="str">
        <f t="shared" si="5"/>
        <v>Complete - No Adjustment</v>
      </c>
    </row>
    <row r="79" spans="1:43" x14ac:dyDescent="0.2">
      <c r="A79" s="46">
        <v>69</v>
      </c>
      <c r="B79" s="13" t="s">
        <v>266</v>
      </c>
      <c r="C79" s="13" t="s">
        <v>283</v>
      </c>
      <c r="D79" s="13" t="s">
        <v>282</v>
      </c>
      <c r="E79" s="13" t="s">
        <v>932</v>
      </c>
      <c r="F79" s="13" t="s">
        <v>183</v>
      </c>
      <c r="G79" s="13" t="s">
        <v>111</v>
      </c>
      <c r="H79" s="16">
        <v>43929</v>
      </c>
      <c r="I79" s="16">
        <v>43936</v>
      </c>
      <c r="J79" s="22">
        <v>6128.65</v>
      </c>
      <c r="K79" s="22">
        <v>273.49</v>
      </c>
      <c r="L79" s="22" t="s">
        <v>933</v>
      </c>
      <c r="M79" s="26" t="s">
        <v>98</v>
      </c>
      <c r="N79" s="13" t="s">
        <v>230</v>
      </c>
      <c r="O79" s="13" t="s">
        <v>284</v>
      </c>
      <c r="P79" s="13" t="s">
        <v>60</v>
      </c>
      <c r="Q79" s="13" t="s">
        <v>45</v>
      </c>
      <c r="R79" s="13" t="s">
        <v>270</v>
      </c>
      <c r="S79" s="13" t="s">
        <v>934</v>
      </c>
      <c r="T79" s="13" t="s">
        <v>943</v>
      </c>
      <c r="U79" s="13"/>
      <c r="V79" s="13"/>
      <c r="W79" s="13"/>
      <c r="AE79" s="53">
        <f>(273.49/287.88)*(246.05-150)</f>
        <v>91.248834583854389</v>
      </c>
      <c r="AN79" s="7" t="s">
        <v>68</v>
      </c>
      <c r="AO79" s="21">
        <f t="shared" si="3"/>
        <v>91.248834583854389</v>
      </c>
      <c r="AP79" s="7">
        <f t="shared" si="4"/>
        <v>182.24116541614563</v>
      </c>
      <c r="AQ79" s="31" t="str">
        <f t="shared" si="5"/>
        <v>Complete - With Adjustment</v>
      </c>
    </row>
    <row r="80" spans="1:43" x14ac:dyDescent="0.2">
      <c r="A80" s="46">
        <v>70</v>
      </c>
      <c r="B80" s="13" t="s">
        <v>266</v>
      </c>
      <c r="C80" s="13" t="s">
        <v>283</v>
      </c>
      <c r="D80" s="13" t="s">
        <v>282</v>
      </c>
      <c r="E80" s="13" t="s">
        <v>932</v>
      </c>
      <c r="F80" s="13" t="s">
        <v>183</v>
      </c>
      <c r="G80" s="13" t="s">
        <v>111</v>
      </c>
      <c r="H80" s="16">
        <v>43929</v>
      </c>
      <c r="I80" s="16">
        <v>43936</v>
      </c>
      <c r="J80" s="22">
        <v>6128.65</v>
      </c>
      <c r="K80" s="22">
        <v>14.39</v>
      </c>
      <c r="L80" s="22" t="s">
        <v>933</v>
      </c>
      <c r="M80" s="26" t="s">
        <v>97</v>
      </c>
      <c r="N80" s="13" t="s">
        <v>230</v>
      </c>
      <c r="O80" s="13" t="s">
        <v>284</v>
      </c>
      <c r="P80" s="13" t="s">
        <v>64</v>
      </c>
      <c r="Q80" s="13" t="s">
        <v>45</v>
      </c>
      <c r="R80" s="13" t="s">
        <v>270</v>
      </c>
      <c r="S80" s="13" t="s">
        <v>934</v>
      </c>
      <c r="T80" s="13" t="s">
        <v>943</v>
      </c>
      <c r="U80" s="13"/>
      <c r="V80" s="13"/>
      <c r="W80" s="13"/>
      <c r="AG80" s="54">
        <v>14.39</v>
      </c>
      <c r="AN80" s="7" t="s">
        <v>69</v>
      </c>
      <c r="AO80" s="21">
        <f t="shared" si="3"/>
        <v>14.39</v>
      </c>
      <c r="AP80" s="7">
        <f t="shared" si="4"/>
        <v>0</v>
      </c>
      <c r="AQ80" s="31" t="str">
        <f t="shared" si="5"/>
        <v>Complete - With Adjustment</v>
      </c>
    </row>
    <row r="81" spans="1:43" x14ac:dyDescent="0.2">
      <c r="A81" s="46">
        <v>71</v>
      </c>
      <c r="B81" s="13" t="s">
        <v>266</v>
      </c>
      <c r="C81" s="13" t="s">
        <v>283</v>
      </c>
      <c r="D81" s="13" t="s">
        <v>282</v>
      </c>
      <c r="E81" s="13" t="s">
        <v>932</v>
      </c>
      <c r="F81" s="13" t="s">
        <v>183</v>
      </c>
      <c r="G81" s="13" t="s">
        <v>111</v>
      </c>
      <c r="H81" s="16">
        <v>43929</v>
      </c>
      <c r="I81" s="16">
        <v>43936</v>
      </c>
      <c r="J81" s="22">
        <v>6128.65</v>
      </c>
      <c r="K81" s="22">
        <v>1065.96</v>
      </c>
      <c r="L81" s="22" t="s">
        <v>933</v>
      </c>
      <c r="M81" s="26" t="s">
        <v>97</v>
      </c>
      <c r="N81" s="13" t="s">
        <v>230</v>
      </c>
      <c r="O81" s="13" t="s">
        <v>284</v>
      </c>
      <c r="P81" s="13" t="s">
        <v>64</v>
      </c>
      <c r="Q81" s="13" t="s">
        <v>44</v>
      </c>
      <c r="R81" s="13" t="s">
        <v>270</v>
      </c>
      <c r="S81" s="13" t="s">
        <v>934</v>
      </c>
      <c r="T81" s="13" t="s">
        <v>944</v>
      </c>
      <c r="U81" s="13"/>
      <c r="V81" s="13"/>
      <c r="W81" s="13"/>
      <c r="AG81" s="54">
        <v>1065.96</v>
      </c>
      <c r="AN81" s="7" t="s">
        <v>69</v>
      </c>
      <c r="AO81" s="21">
        <f t="shared" si="3"/>
        <v>1065.96</v>
      </c>
      <c r="AP81" s="7">
        <f t="shared" si="4"/>
        <v>0</v>
      </c>
      <c r="AQ81" s="31" t="str">
        <f t="shared" si="5"/>
        <v>Complete - With Adjustment</v>
      </c>
    </row>
    <row r="82" spans="1:43" x14ac:dyDescent="0.2">
      <c r="A82" s="46">
        <v>72</v>
      </c>
      <c r="B82" s="13" t="s">
        <v>266</v>
      </c>
      <c r="C82" s="13" t="s">
        <v>283</v>
      </c>
      <c r="D82" s="13" t="s">
        <v>282</v>
      </c>
      <c r="E82" s="13" t="s">
        <v>932</v>
      </c>
      <c r="F82" s="13" t="s">
        <v>183</v>
      </c>
      <c r="G82" s="13" t="s">
        <v>111</v>
      </c>
      <c r="H82" s="16">
        <v>43929</v>
      </c>
      <c r="I82" s="16">
        <v>43936</v>
      </c>
      <c r="J82" s="22">
        <v>6128.65</v>
      </c>
      <c r="K82" s="22">
        <v>25.5</v>
      </c>
      <c r="L82" s="22" t="s">
        <v>933</v>
      </c>
      <c r="M82" s="26" t="s">
        <v>97</v>
      </c>
      <c r="N82" s="13" t="s">
        <v>230</v>
      </c>
      <c r="O82" s="13" t="s">
        <v>284</v>
      </c>
      <c r="P82" s="13" t="s">
        <v>64</v>
      </c>
      <c r="Q82" s="13" t="s">
        <v>44</v>
      </c>
      <c r="R82" s="13" t="s">
        <v>270</v>
      </c>
      <c r="S82" s="13" t="s">
        <v>934</v>
      </c>
      <c r="T82" s="13" t="s">
        <v>945</v>
      </c>
      <c r="U82" s="13"/>
      <c r="V82" s="13"/>
      <c r="W82" s="13"/>
      <c r="AG82" s="54">
        <v>25.5</v>
      </c>
      <c r="AN82" s="7" t="s">
        <v>69</v>
      </c>
      <c r="AO82" s="21">
        <f t="shared" si="3"/>
        <v>25.5</v>
      </c>
      <c r="AP82" s="7">
        <f t="shared" si="4"/>
        <v>0</v>
      </c>
      <c r="AQ82" s="31" t="str">
        <f t="shared" si="5"/>
        <v>Complete - With Adjustment</v>
      </c>
    </row>
    <row r="83" spans="1:43" x14ac:dyDescent="0.2">
      <c r="A83" s="46">
        <v>73</v>
      </c>
      <c r="B83" s="13" t="s">
        <v>266</v>
      </c>
      <c r="C83" s="13" t="s">
        <v>283</v>
      </c>
      <c r="D83" s="13" t="s">
        <v>282</v>
      </c>
      <c r="E83" s="13" t="s">
        <v>932</v>
      </c>
      <c r="F83" s="13" t="s">
        <v>183</v>
      </c>
      <c r="G83" s="13" t="s">
        <v>111</v>
      </c>
      <c r="H83" s="16">
        <v>43929</v>
      </c>
      <c r="I83" s="16">
        <v>43936</v>
      </c>
      <c r="J83" s="22">
        <v>6128.65</v>
      </c>
      <c r="K83" s="22">
        <v>484.48</v>
      </c>
      <c r="L83" s="22" t="s">
        <v>933</v>
      </c>
      <c r="M83" s="26" t="s">
        <v>98</v>
      </c>
      <c r="N83" s="13" t="s">
        <v>230</v>
      </c>
      <c r="O83" s="13" t="s">
        <v>284</v>
      </c>
      <c r="P83" s="13" t="s">
        <v>60</v>
      </c>
      <c r="Q83" s="13" t="s">
        <v>44</v>
      </c>
      <c r="R83" s="13" t="s">
        <v>270</v>
      </c>
      <c r="S83" s="13" t="s">
        <v>934</v>
      </c>
      <c r="T83" s="13" t="s">
        <v>945</v>
      </c>
      <c r="U83" s="13"/>
      <c r="V83" s="13"/>
      <c r="W83" s="13"/>
      <c r="AN83" s="7" t="s">
        <v>70</v>
      </c>
      <c r="AO83" s="21">
        <f t="shared" si="3"/>
        <v>0</v>
      </c>
      <c r="AP83" s="7">
        <f t="shared" si="4"/>
        <v>484.48</v>
      </c>
      <c r="AQ83" s="31" t="str">
        <f t="shared" si="5"/>
        <v>Complete - No Adjustment</v>
      </c>
    </row>
    <row r="84" spans="1:43" x14ac:dyDescent="0.2">
      <c r="A84" s="46">
        <v>74</v>
      </c>
      <c r="B84" s="13" t="s">
        <v>266</v>
      </c>
      <c r="C84" s="13" t="s">
        <v>283</v>
      </c>
      <c r="D84" s="13" t="s">
        <v>282</v>
      </c>
      <c r="E84" s="13" t="s">
        <v>932</v>
      </c>
      <c r="F84" s="13" t="s">
        <v>183</v>
      </c>
      <c r="G84" s="13" t="s">
        <v>111</v>
      </c>
      <c r="H84" s="16">
        <v>43929</v>
      </c>
      <c r="I84" s="16">
        <v>43936</v>
      </c>
      <c r="J84" s="22">
        <v>6128.65</v>
      </c>
      <c r="K84" s="22">
        <v>6.36</v>
      </c>
      <c r="L84" s="22" t="s">
        <v>933</v>
      </c>
      <c r="M84" s="26" t="s">
        <v>97</v>
      </c>
      <c r="N84" s="13" t="s">
        <v>230</v>
      </c>
      <c r="O84" s="13" t="s">
        <v>284</v>
      </c>
      <c r="P84" s="13" t="s">
        <v>64</v>
      </c>
      <c r="Q84" s="13" t="s">
        <v>41</v>
      </c>
      <c r="R84" s="13" t="s">
        <v>270</v>
      </c>
      <c r="S84" s="13" t="s">
        <v>934</v>
      </c>
      <c r="T84" s="13" t="s">
        <v>755</v>
      </c>
      <c r="U84" s="13"/>
      <c r="V84" s="13"/>
      <c r="W84" s="13"/>
      <c r="AG84" s="54">
        <v>6.36</v>
      </c>
      <c r="AN84" s="7" t="s">
        <v>69</v>
      </c>
      <c r="AO84" s="21">
        <f t="shared" si="3"/>
        <v>6.36</v>
      </c>
      <c r="AP84" s="7">
        <f t="shared" si="4"/>
        <v>0</v>
      </c>
      <c r="AQ84" s="31" t="str">
        <f t="shared" si="5"/>
        <v>Complete - With Adjustment</v>
      </c>
    </row>
    <row r="85" spans="1:43" x14ac:dyDescent="0.2">
      <c r="A85" s="46">
        <v>75</v>
      </c>
      <c r="B85" s="13" t="s">
        <v>266</v>
      </c>
      <c r="C85" s="13" t="s">
        <v>283</v>
      </c>
      <c r="D85" s="13" t="s">
        <v>282</v>
      </c>
      <c r="E85" s="13" t="s">
        <v>932</v>
      </c>
      <c r="F85" s="13" t="s">
        <v>183</v>
      </c>
      <c r="G85" s="13" t="s">
        <v>111</v>
      </c>
      <c r="H85" s="16">
        <v>43929</v>
      </c>
      <c r="I85" s="16">
        <v>43936</v>
      </c>
      <c r="J85" s="22">
        <v>6128.65</v>
      </c>
      <c r="K85" s="22">
        <v>641.41999999999996</v>
      </c>
      <c r="L85" s="22" t="s">
        <v>933</v>
      </c>
      <c r="M85" s="26" t="s">
        <v>97</v>
      </c>
      <c r="N85" s="13" t="s">
        <v>230</v>
      </c>
      <c r="O85" s="13" t="s">
        <v>284</v>
      </c>
      <c r="P85" s="13" t="s">
        <v>64</v>
      </c>
      <c r="Q85" s="13" t="s">
        <v>45</v>
      </c>
      <c r="R85" s="13" t="s">
        <v>270</v>
      </c>
      <c r="S85" s="13" t="s">
        <v>934</v>
      </c>
      <c r="T85" s="13" t="s">
        <v>946</v>
      </c>
      <c r="U85" s="13"/>
      <c r="V85" s="13"/>
      <c r="W85" s="13"/>
      <c r="AG85" s="54">
        <v>641.41999999999996</v>
      </c>
      <c r="AN85" s="7" t="s">
        <v>69</v>
      </c>
      <c r="AO85" s="21">
        <f t="shared" si="3"/>
        <v>641.41999999999996</v>
      </c>
      <c r="AP85" s="7">
        <f t="shared" si="4"/>
        <v>0</v>
      </c>
      <c r="AQ85" s="31" t="str">
        <f t="shared" si="5"/>
        <v>Complete - With Adjustment</v>
      </c>
    </row>
    <row r="86" spans="1:43" x14ac:dyDescent="0.2">
      <c r="A86" s="46">
        <v>76</v>
      </c>
      <c r="B86" s="13" t="s">
        <v>266</v>
      </c>
      <c r="C86" s="13" t="s">
        <v>283</v>
      </c>
      <c r="D86" s="13" t="s">
        <v>282</v>
      </c>
      <c r="E86" s="13" t="s">
        <v>932</v>
      </c>
      <c r="F86" s="13" t="s">
        <v>183</v>
      </c>
      <c r="G86" s="13" t="s">
        <v>111</v>
      </c>
      <c r="H86" s="16">
        <v>43929</v>
      </c>
      <c r="I86" s="16">
        <v>43936</v>
      </c>
      <c r="J86" s="22">
        <v>6128.65</v>
      </c>
      <c r="K86" s="22">
        <v>59.89</v>
      </c>
      <c r="L86" s="22" t="s">
        <v>933</v>
      </c>
      <c r="M86" s="26" t="s">
        <v>98</v>
      </c>
      <c r="N86" s="13" t="s">
        <v>230</v>
      </c>
      <c r="O86" s="13" t="s">
        <v>284</v>
      </c>
      <c r="P86" s="13" t="s">
        <v>60</v>
      </c>
      <c r="Q86" s="13" t="s">
        <v>41</v>
      </c>
      <c r="R86" s="13" t="s">
        <v>270</v>
      </c>
      <c r="S86" s="13" t="s">
        <v>934</v>
      </c>
      <c r="T86" s="13" t="s">
        <v>947</v>
      </c>
      <c r="U86" s="13"/>
      <c r="V86" s="13"/>
      <c r="W86" s="13"/>
      <c r="AN86" s="7" t="s">
        <v>70</v>
      </c>
      <c r="AO86" s="21">
        <f t="shared" si="3"/>
        <v>0</v>
      </c>
      <c r="AP86" s="7">
        <f t="shared" si="4"/>
        <v>59.89</v>
      </c>
      <c r="AQ86" s="31" t="str">
        <f t="shared" si="5"/>
        <v>Complete - No Adjustment</v>
      </c>
    </row>
    <row r="87" spans="1:43" x14ac:dyDescent="0.2">
      <c r="A87" s="46">
        <v>77</v>
      </c>
      <c r="B87" s="13" t="s">
        <v>266</v>
      </c>
      <c r="C87" s="13" t="s">
        <v>283</v>
      </c>
      <c r="D87" s="13" t="s">
        <v>282</v>
      </c>
      <c r="E87" s="13" t="s">
        <v>932</v>
      </c>
      <c r="F87" s="13" t="s">
        <v>183</v>
      </c>
      <c r="G87" s="13" t="s">
        <v>111</v>
      </c>
      <c r="H87" s="16">
        <v>43929</v>
      </c>
      <c r="I87" s="16">
        <v>43936</v>
      </c>
      <c r="J87" s="22">
        <v>6128.65</v>
      </c>
      <c r="K87" s="22">
        <v>3.15</v>
      </c>
      <c r="L87" s="22" t="s">
        <v>933</v>
      </c>
      <c r="M87" s="26" t="s">
        <v>97</v>
      </c>
      <c r="N87" s="13" t="s">
        <v>230</v>
      </c>
      <c r="O87" s="13" t="s">
        <v>284</v>
      </c>
      <c r="P87" s="13" t="s">
        <v>64</v>
      </c>
      <c r="Q87" s="13" t="s">
        <v>41</v>
      </c>
      <c r="R87" s="13" t="s">
        <v>270</v>
      </c>
      <c r="S87" s="13" t="s">
        <v>934</v>
      </c>
      <c r="T87" s="13" t="s">
        <v>947</v>
      </c>
      <c r="U87" s="13"/>
      <c r="V87" s="13"/>
      <c r="W87" s="13"/>
      <c r="AG87" s="54">
        <v>3.15</v>
      </c>
      <c r="AN87" s="7" t="s">
        <v>69</v>
      </c>
      <c r="AO87" s="21">
        <f t="shared" si="3"/>
        <v>3.15</v>
      </c>
      <c r="AP87" s="7">
        <f t="shared" si="4"/>
        <v>0</v>
      </c>
      <c r="AQ87" s="31" t="str">
        <f t="shared" si="5"/>
        <v>Complete - With Adjustment</v>
      </c>
    </row>
    <row r="88" spans="1:43" x14ac:dyDescent="0.2">
      <c r="A88" s="46">
        <v>78</v>
      </c>
      <c r="B88" s="13" t="s">
        <v>266</v>
      </c>
      <c r="C88" s="13" t="s">
        <v>283</v>
      </c>
      <c r="D88" s="13" t="s">
        <v>282</v>
      </c>
      <c r="E88" s="13" t="s">
        <v>932</v>
      </c>
      <c r="F88" s="13" t="s">
        <v>183</v>
      </c>
      <c r="G88" s="13" t="s">
        <v>111</v>
      </c>
      <c r="H88" s="16">
        <v>43929</v>
      </c>
      <c r="I88" s="16">
        <v>43936</v>
      </c>
      <c r="J88" s="22">
        <v>6128.65</v>
      </c>
      <c r="K88" s="22">
        <v>17.489999999999998</v>
      </c>
      <c r="L88" s="22" t="s">
        <v>933</v>
      </c>
      <c r="M88" s="26" t="s">
        <v>97</v>
      </c>
      <c r="N88" s="13" t="s">
        <v>230</v>
      </c>
      <c r="O88" s="13" t="s">
        <v>284</v>
      </c>
      <c r="P88" s="13" t="s">
        <v>64</v>
      </c>
      <c r="Q88" s="13" t="s">
        <v>41</v>
      </c>
      <c r="R88" s="13" t="s">
        <v>270</v>
      </c>
      <c r="S88" s="13" t="s">
        <v>934</v>
      </c>
      <c r="T88" s="13" t="s">
        <v>948</v>
      </c>
      <c r="U88" s="13"/>
      <c r="V88" s="13"/>
      <c r="W88" s="13"/>
      <c r="AG88" s="54">
        <v>17.489999999999998</v>
      </c>
      <c r="AN88" s="7" t="s">
        <v>69</v>
      </c>
      <c r="AO88" s="21">
        <f t="shared" si="3"/>
        <v>17.489999999999998</v>
      </c>
      <c r="AP88" s="7">
        <f t="shared" si="4"/>
        <v>0</v>
      </c>
      <c r="AQ88" s="31" t="str">
        <f t="shared" si="5"/>
        <v>Complete - With Adjustment</v>
      </c>
    </row>
    <row r="89" spans="1:43" x14ac:dyDescent="0.2">
      <c r="A89" s="46">
        <v>79</v>
      </c>
      <c r="B89" s="13" t="s">
        <v>266</v>
      </c>
      <c r="C89" s="13" t="s">
        <v>283</v>
      </c>
      <c r="D89" s="13" t="s">
        <v>282</v>
      </c>
      <c r="E89" s="13" t="s">
        <v>932</v>
      </c>
      <c r="F89" s="13" t="s">
        <v>183</v>
      </c>
      <c r="G89" s="13" t="s">
        <v>111</v>
      </c>
      <c r="H89" s="16">
        <v>43929</v>
      </c>
      <c r="I89" s="16">
        <v>43936</v>
      </c>
      <c r="J89" s="22">
        <v>6128.65</v>
      </c>
      <c r="K89" s="22">
        <v>47.97</v>
      </c>
      <c r="L89" s="22" t="s">
        <v>933</v>
      </c>
      <c r="M89" s="26" t="s">
        <v>98</v>
      </c>
      <c r="N89" s="13" t="s">
        <v>230</v>
      </c>
      <c r="O89" s="13" t="s">
        <v>284</v>
      </c>
      <c r="P89" s="13" t="s">
        <v>60</v>
      </c>
      <c r="Q89" s="13" t="s">
        <v>41</v>
      </c>
      <c r="R89" s="13" t="s">
        <v>270</v>
      </c>
      <c r="S89" s="13" t="s">
        <v>934</v>
      </c>
      <c r="T89" s="13" t="s">
        <v>949</v>
      </c>
      <c r="U89" s="13"/>
      <c r="V89" s="13"/>
      <c r="W89" s="13"/>
      <c r="AN89" s="7" t="s">
        <v>70</v>
      </c>
      <c r="AO89" s="21">
        <f t="shared" si="3"/>
        <v>0</v>
      </c>
      <c r="AP89" s="7">
        <f t="shared" si="4"/>
        <v>47.97</v>
      </c>
      <c r="AQ89" s="31" t="str">
        <f t="shared" si="5"/>
        <v>Complete - No Adjustment</v>
      </c>
    </row>
    <row r="90" spans="1:43" x14ac:dyDescent="0.2">
      <c r="A90" s="46">
        <v>80</v>
      </c>
      <c r="B90" s="13" t="s">
        <v>266</v>
      </c>
      <c r="C90" s="13" t="s">
        <v>283</v>
      </c>
      <c r="D90" s="13" t="s">
        <v>282</v>
      </c>
      <c r="E90" s="13" t="s">
        <v>932</v>
      </c>
      <c r="F90" s="13" t="s">
        <v>183</v>
      </c>
      <c r="G90" s="13" t="s">
        <v>111</v>
      </c>
      <c r="H90" s="16">
        <v>43929</v>
      </c>
      <c r="I90" s="16">
        <v>43936</v>
      </c>
      <c r="J90" s="22">
        <v>6128.65</v>
      </c>
      <c r="K90" s="22">
        <v>2.52</v>
      </c>
      <c r="L90" s="22" t="s">
        <v>933</v>
      </c>
      <c r="M90" s="26" t="s">
        <v>97</v>
      </c>
      <c r="N90" s="13" t="s">
        <v>230</v>
      </c>
      <c r="O90" s="13" t="s">
        <v>284</v>
      </c>
      <c r="P90" s="13" t="s">
        <v>64</v>
      </c>
      <c r="Q90" s="13" t="s">
        <v>41</v>
      </c>
      <c r="R90" s="13" t="s">
        <v>270</v>
      </c>
      <c r="S90" s="13" t="s">
        <v>934</v>
      </c>
      <c r="T90" s="13" t="s">
        <v>949</v>
      </c>
      <c r="U90" s="13"/>
      <c r="V90" s="13"/>
      <c r="W90" s="13"/>
      <c r="AG90" s="54">
        <v>2.52</v>
      </c>
      <c r="AN90" s="7" t="s">
        <v>69</v>
      </c>
      <c r="AO90" s="21">
        <f t="shared" si="3"/>
        <v>2.52</v>
      </c>
      <c r="AP90" s="7">
        <f t="shared" si="4"/>
        <v>0</v>
      </c>
      <c r="AQ90" s="31" t="str">
        <f t="shared" si="5"/>
        <v>Complete - With Adjustment</v>
      </c>
    </row>
    <row r="91" spans="1:43" x14ac:dyDescent="0.2">
      <c r="A91" s="46">
        <v>81</v>
      </c>
      <c r="B91" s="13" t="s">
        <v>266</v>
      </c>
      <c r="C91" s="13" t="s">
        <v>283</v>
      </c>
      <c r="D91" s="13" t="s">
        <v>282</v>
      </c>
      <c r="E91" s="13" t="s">
        <v>932</v>
      </c>
      <c r="F91" s="13" t="s">
        <v>183</v>
      </c>
      <c r="G91" s="13" t="s">
        <v>111</v>
      </c>
      <c r="H91" s="16">
        <v>43929</v>
      </c>
      <c r="I91" s="16">
        <v>43936</v>
      </c>
      <c r="J91" s="22">
        <v>6128.65</v>
      </c>
      <c r="K91" s="22">
        <v>28.82</v>
      </c>
      <c r="L91" s="22" t="s">
        <v>933</v>
      </c>
      <c r="M91" s="26" t="s">
        <v>97</v>
      </c>
      <c r="N91" s="13" t="s">
        <v>230</v>
      </c>
      <c r="O91" s="13" t="s">
        <v>284</v>
      </c>
      <c r="P91" s="13" t="s">
        <v>64</v>
      </c>
      <c r="Q91" s="13" t="s">
        <v>44</v>
      </c>
      <c r="R91" s="13" t="s">
        <v>270</v>
      </c>
      <c r="S91" s="13" t="s">
        <v>934</v>
      </c>
      <c r="T91" s="13" t="s">
        <v>950</v>
      </c>
      <c r="U91" s="13"/>
      <c r="V91" s="13"/>
      <c r="W91" s="13"/>
      <c r="AG91" s="54">
        <v>28.82</v>
      </c>
      <c r="AN91" s="7" t="s">
        <v>69</v>
      </c>
      <c r="AO91" s="21">
        <f t="shared" si="3"/>
        <v>28.82</v>
      </c>
      <c r="AP91" s="7">
        <f t="shared" si="4"/>
        <v>0</v>
      </c>
      <c r="AQ91" s="31" t="str">
        <f t="shared" si="5"/>
        <v>Complete - With Adjustment</v>
      </c>
    </row>
    <row r="92" spans="1:43" x14ac:dyDescent="0.2">
      <c r="A92" s="46">
        <v>82</v>
      </c>
      <c r="B92" s="13" t="s">
        <v>266</v>
      </c>
      <c r="C92" s="13" t="s">
        <v>283</v>
      </c>
      <c r="D92" s="13" t="s">
        <v>282</v>
      </c>
      <c r="E92" s="13" t="s">
        <v>932</v>
      </c>
      <c r="F92" s="13" t="s">
        <v>183</v>
      </c>
      <c r="G92" s="13" t="s">
        <v>111</v>
      </c>
      <c r="H92" s="16">
        <v>43929</v>
      </c>
      <c r="I92" s="16">
        <v>43936</v>
      </c>
      <c r="J92" s="22">
        <v>6128.65</v>
      </c>
      <c r="K92" s="22">
        <v>16.71</v>
      </c>
      <c r="L92" s="22" t="s">
        <v>933</v>
      </c>
      <c r="M92" s="26" t="s">
        <v>97</v>
      </c>
      <c r="N92" s="13" t="s">
        <v>230</v>
      </c>
      <c r="O92" s="13" t="s">
        <v>284</v>
      </c>
      <c r="P92" s="13" t="s">
        <v>64</v>
      </c>
      <c r="Q92" s="13" t="s">
        <v>44</v>
      </c>
      <c r="R92" s="13" t="s">
        <v>270</v>
      </c>
      <c r="S92" s="13" t="s">
        <v>934</v>
      </c>
      <c r="T92" s="13" t="s">
        <v>951</v>
      </c>
      <c r="U92" s="13"/>
      <c r="V92" s="13"/>
      <c r="W92" s="13"/>
      <c r="AG92" s="54">
        <v>16.71</v>
      </c>
      <c r="AN92" s="7" t="s">
        <v>69</v>
      </c>
      <c r="AO92" s="21">
        <f t="shared" si="3"/>
        <v>16.71</v>
      </c>
      <c r="AP92" s="7">
        <f t="shared" si="4"/>
        <v>0</v>
      </c>
      <c r="AQ92" s="31" t="str">
        <f t="shared" si="5"/>
        <v>Complete - With Adjustment</v>
      </c>
    </row>
    <row r="93" spans="1:43" x14ac:dyDescent="0.2">
      <c r="A93" s="46">
        <v>83</v>
      </c>
      <c r="B93" s="13" t="s">
        <v>266</v>
      </c>
      <c r="C93" s="13" t="s">
        <v>283</v>
      </c>
      <c r="D93" s="13" t="s">
        <v>282</v>
      </c>
      <c r="E93" s="13" t="s">
        <v>932</v>
      </c>
      <c r="F93" s="13" t="s">
        <v>183</v>
      </c>
      <c r="G93" s="13" t="s">
        <v>111</v>
      </c>
      <c r="H93" s="16">
        <v>43929</v>
      </c>
      <c r="I93" s="16">
        <v>43936</v>
      </c>
      <c r="J93" s="22">
        <v>6128.65</v>
      </c>
      <c r="K93" s="22">
        <v>0.9</v>
      </c>
      <c r="L93" s="22" t="s">
        <v>933</v>
      </c>
      <c r="M93" s="26" t="s">
        <v>97</v>
      </c>
      <c r="N93" s="13" t="s">
        <v>230</v>
      </c>
      <c r="O93" s="13" t="s">
        <v>284</v>
      </c>
      <c r="P93" s="13" t="s">
        <v>64</v>
      </c>
      <c r="Q93" s="13" t="s">
        <v>44</v>
      </c>
      <c r="R93" s="13" t="s">
        <v>270</v>
      </c>
      <c r="S93" s="13" t="s">
        <v>934</v>
      </c>
      <c r="T93" s="13" t="s">
        <v>952</v>
      </c>
      <c r="U93" s="13"/>
      <c r="V93" s="13"/>
      <c r="W93" s="13"/>
      <c r="AG93" s="54">
        <v>0.9</v>
      </c>
      <c r="AN93" s="7" t="s">
        <v>69</v>
      </c>
      <c r="AO93" s="21">
        <f t="shared" si="3"/>
        <v>0.9</v>
      </c>
      <c r="AP93" s="7">
        <f t="shared" si="4"/>
        <v>0</v>
      </c>
      <c r="AQ93" s="31" t="str">
        <f t="shared" si="5"/>
        <v>Complete - With Adjustment</v>
      </c>
    </row>
    <row r="94" spans="1:43" x14ac:dyDescent="0.2">
      <c r="A94" s="46">
        <v>84</v>
      </c>
      <c r="B94" s="13" t="s">
        <v>266</v>
      </c>
      <c r="C94" s="13" t="s">
        <v>283</v>
      </c>
      <c r="D94" s="13" t="s">
        <v>282</v>
      </c>
      <c r="E94" s="13" t="s">
        <v>932</v>
      </c>
      <c r="F94" s="13" t="s">
        <v>183</v>
      </c>
      <c r="G94" s="13" t="s">
        <v>111</v>
      </c>
      <c r="H94" s="16">
        <v>43929</v>
      </c>
      <c r="I94" s="16">
        <v>43936</v>
      </c>
      <c r="J94" s="22">
        <v>6128.65</v>
      </c>
      <c r="K94" s="22">
        <v>17.170000000000002</v>
      </c>
      <c r="L94" s="22" t="s">
        <v>933</v>
      </c>
      <c r="M94" s="26" t="s">
        <v>98</v>
      </c>
      <c r="N94" s="13" t="s">
        <v>230</v>
      </c>
      <c r="O94" s="13" t="s">
        <v>284</v>
      </c>
      <c r="P94" s="13" t="s">
        <v>60</v>
      </c>
      <c r="Q94" s="13" t="s">
        <v>44</v>
      </c>
      <c r="R94" s="13" t="s">
        <v>270</v>
      </c>
      <c r="S94" s="13" t="s">
        <v>934</v>
      </c>
      <c r="T94" s="13" t="s">
        <v>952</v>
      </c>
      <c r="U94" s="13"/>
      <c r="V94" s="13"/>
      <c r="W94" s="13"/>
      <c r="AN94" s="7" t="s">
        <v>70</v>
      </c>
      <c r="AO94" s="21">
        <f t="shared" si="3"/>
        <v>0</v>
      </c>
      <c r="AP94" s="7">
        <f t="shared" si="4"/>
        <v>17.170000000000002</v>
      </c>
      <c r="AQ94" s="31" t="str">
        <f t="shared" si="5"/>
        <v>Complete - No Adjustment</v>
      </c>
    </row>
    <row r="95" spans="1:43" x14ac:dyDescent="0.2">
      <c r="A95" s="46">
        <v>85</v>
      </c>
      <c r="B95" s="13" t="s">
        <v>266</v>
      </c>
      <c r="C95" s="13" t="s">
        <v>283</v>
      </c>
      <c r="D95" s="13" t="s">
        <v>282</v>
      </c>
      <c r="E95" s="13" t="s">
        <v>932</v>
      </c>
      <c r="F95" s="13" t="s">
        <v>183</v>
      </c>
      <c r="G95" s="13" t="s">
        <v>111</v>
      </c>
      <c r="H95" s="16">
        <v>43929</v>
      </c>
      <c r="I95" s="16">
        <v>43936</v>
      </c>
      <c r="J95" s="22">
        <v>6128.65</v>
      </c>
      <c r="K95" s="22">
        <v>1.69</v>
      </c>
      <c r="L95" s="22" t="s">
        <v>933</v>
      </c>
      <c r="M95" s="26" t="s">
        <v>97</v>
      </c>
      <c r="N95" s="13" t="s">
        <v>230</v>
      </c>
      <c r="O95" s="13" t="s">
        <v>284</v>
      </c>
      <c r="P95" s="13" t="s">
        <v>64</v>
      </c>
      <c r="Q95" s="13" t="s">
        <v>44</v>
      </c>
      <c r="R95" s="13" t="s">
        <v>270</v>
      </c>
      <c r="S95" s="13" t="s">
        <v>934</v>
      </c>
      <c r="T95" s="13" t="s">
        <v>953</v>
      </c>
      <c r="U95" s="13"/>
      <c r="V95" s="13"/>
      <c r="W95" s="13"/>
      <c r="AG95" s="54">
        <v>1.69</v>
      </c>
      <c r="AN95" s="7" t="s">
        <v>69</v>
      </c>
      <c r="AO95" s="21">
        <f t="shared" si="3"/>
        <v>1.69</v>
      </c>
      <c r="AP95" s="7">
        <f t="shared" si="4"/>
        <v>0</v>
      </c>
      <c r="AQ95" s="31" t="str">
        <f t="shared" si="5"/>
        <v>Complete - With Adjustment</v>
      </c>
    </row>
    <row r="96" spans="1:43" x14ac:dyDescent="0.2">
      <c r="A96" s="46">
        <v>86</v>
      </c>
      <c r="B96" s="13" t="s">
        <v>266</v>
      </c>
      <c r="C96" s="13" t="s">
        <v>283</v>
      </c>
      <c r="D96" s="13" t="s">
        <v>282</v>
      </c>
      <c r="E96" s="13" t="s">
        <v>932</v>
      </c>
      <c r="F96" s="13" t="s">
        <v>183</v>
      </c>
      <c r="G96" s="13" t="s">
        <v>111</v>
      </c>
      <c r="H96" s="16">
        <v>43929</v>
      </c>
      <c r="I96" s="16">
        <v>43936</v>
      </c>
      <c r="J96" s="22">
        <v>6128.65</v>
      </c>
      <c r="K96" s="22">
        <v>32.03</v>
      </c>
      <c r="L96" s="22" t="s">
        <v>933</v>
      </c>
      <c r="M96" s="26" t="s">
        <v>98</v>
      </c>
      <c r="N96" s="13" t="s">
        <v>230</v>
      </c>
      <c r="O96" s="13" t="s">
        <v>284</v>
      </c>
      <c r="P96" s="13" t="s">
        <v>60</v>
      </c>
      <c r="Q96" s="13" t="s">
        <v>44</v>
      </c>
      <c r="R96" s="13" t="s">
        <v>270</v>
      </c>
      <c r="S96" s="13" t="s">
        <v>934</v>
      </c>
      <c r="T96" s="13" t="s">
        <v>953</v>
      </c>
      <c r="U96" s="13"/>
      <c r="V96" s="13"/>
      <c r="W96" s="13"/>
      <c r="AN96" s="7" t="s">
        <v>70</v>
      </c>
      <c r="AO96" s="21">
        <f t="shared" si="3"/>
        <v>0</v>
      </c>
      <c r="AP96" s="7">
        <f t="shared" si="4"/>
        <v>32.03</v>
      </c>
      <c r="AQ96" s="31" t="str">
        <f t="shared" si="5"/>
        <v>Complete - No Adjustment</v>
      </c>
    </row>
    <row r="97" spans="1:43" x14ac:dyDescent="0.2">
      <c r="A97" s="46">
        <v>87</v>
      </c>
      <c r="B97" s="13" t="s">
        <v>266</v>
      </c>
      <c r="C97" s="13" t="s">
        <v>283</v>
      </c>
      <c r="D97" s="13" t="s">
        <v>282</v>
      </c>
      <c r="E97" s="13" t="s">
        <v>932</v>
      </c>
      <c r="F97" s="13" t="s">
        <v>183</v>
      </c>
      <c r="G97" s="13" t="s">
        <v>111</v>
      </c>
      <c r="H97" s="16">
        <v>43929</v>
      </c>
      <c r="I97" s="16">
        <v>43936</v>
      </c>
      <c r="J97" s="22">
        <v>6128.65</v>
      </c>
      <c r="K97" s="22">
        <v>496.85</v>
      </c>
      <c r="L97" s="22" t="s">
        <v>933</v>
      </c>
      <c r="M97" s="26" t="s">
        <v>97</v>
      </c>
      <c r="N97" s="13" t="s">
        <v>230</v>
      </c>
      <c r="O97" s="13" t="s">
        <v>284</v>
      </c>
      <c r="P97" s="13" t="s">
        <v>64</v>
      </c>
      <c r="Q97" s="13" t="s">
        <v>45</v>
      </c>
      <c r="R97" s="13" t="s">
        <v>270</v>
      </c>
      <c r="S97" s="13" t="s">
        <v>934</v>
      </c>
      <c r="T97" s="13" t="s">
        <v>954</v>
      </c>
      <c r="U97" s="13"/>
      <c r="V97" s="13"/>
      <c r="W97" s="13"/>
      <c r="AG97" s="54">
        <v>496.85</v>
      </c>
      <c r="AN97" s="7" t="s">
        <v>69</v>
      </c>
      <c r="AO97" s="21">
        <f t="shared" si="3"/>
        <v>496.85</v>
      </c>
      <c r="AP97" s="7">
        <f t="shared" si="4"/>
        <v>0</v>
      </c>
      <c r="AQ97" s="31" t="str">
        <f t="shared" si="5"/>
        <v>Complete - With Adjustment</v>
      </c>
    </row>
    <row r="98" spans="1:43" x14ac:dyDescent="0.2">
      <c r="A98" s="46">
        <v>88</v>
      </c>
      <c r="B98" s="13" t="s">
        <v>266</v>
      </c>
      <c r="C98" s="13" t="s">
        <v>283</v>
      </c>
      <c r="D98" s="13" t="s">
        <v>282</v>
      </c>
      <c r="E98" s="13" t="s">
        <v>932</v>
      </c>
      <c r="F98" s="13" t="s">
        <v>183</v>
      </c>
      <c r="G98" s="13" t="s">
        <v>111</v>
      </c>
      <c r="H98" s="16">
        <v>43929</v>
      </c>
      <c r="I98" s="16">
        <v>43936</v>
      </c>
      <c r="J98" s="22">
        <v>6128.65</v>
      </c>
      <c r="K98" s="22">
        <v>795.96</v>
      </c>
      <c r="L98" s="22" t="s">
        <v>933</v>
      </c>
      <c r="M98" s="26" t="s">
        <v>97</v>
      </c>
      <c r="N98" s="13" t="s">
        <v>230</v>
      </c>
      <c r="O98" s="13" t="s">
        <v>284</v>
      </c>
      <c r="P98" s="13" t="s">
        <v>64</v>
      </c>
      <c r="Q98" s="13" t="s">
        <v>44</v>
      </c>
      <c r="R98" s="13" t="s">
        <v>270</v>
      </c>
      <c r="S98" s="13" t="s">
        <v>934</v>
      </c>
      <c r="T98" s="13" t="s">
        <v>955</v>
      </c>
      <c r="U98" s="13"/>
      <c r="V98" s="13"/>
      <c r="W98" s="13"/>
      <c r="AG98" s="54">
        <v>795.96</v>
      </c>
      <c r="AN98" s="7" t="s">
        <v>69</v>
      </c>
      <c r="AO98" s="21">
        <f t="shared" si="3"/>
        <v>795.96</v>
      </c>
      <c r="AP98" s="7">
        <f t="shared" si="4"/>
        <v>0</v>
      </c>
      <c r="AQ98" s="31" t="str">
        <f t="shared" si="5"/>
        <v>Complete - With Adjustment</v>
      </c>
    </row>
    <row r="99" spans="1:43" x14ac:dyDescent="0.2">
      <c r="A99" s="46">
        <v>89</v>
      </c>
      <c r="B99" s="13" t="s">
        <v>266</v>
      </c>
      <c r="C99" s="13" t="s">
        <v>283</v>
      </c>
      <c r="D99" s="13" t="s">
        <v>282</v>
      </c>
      <c r="E99" s="13" t="s">
        <v>932</v>
      </c>
      <c r="F99" s="13" t="s">
        <v>183</v>
      </c>
      <c r="G99" s="13" t="s">
        <v>111</v>
      </c>
      <c r="H99" s="16">
        <v>43929</v>
      </c>
      <c r="I99" s="16">
        <v>43936</v>
      </c>
      <c r="J99" s="22">
        <v>6128.65</v>
      </c>
      <c r="K99" s="22">
        <v>59</v>
      </c>
      <c r="L99" s="22" t="s">
        <v>933</v>
      </c>
      <c r="M99" s="26" t="s">
        <v>97</v>
      </c>
      <c r="N99" s="13" t="s">
        <v>230</v>
      </c>
      <c r="O99" s="13" t="s">
        <v>284</v>
      </c>
      <c r="P99" s="13" t="s">
        <v>64</v>
      </c>
      <c r="Q99" s="13" t="s">
        <v>44</v>
      </c>
      <c r="R99" s="13" t="s">
        <v>270</v>
      </c>
      <c r="S99" s="13" t="s">
        <v>934</v>
      </c>
      <c r="T99" s="13" t="s">
        <v>956</v>
      </c>
      <c r="U99" s="13"/>
      <c r="V99" s="13"/>
      <c r="W99" s="13"/>
      <c r="AG99" s="54">
        <v>59</v>
      </c>
      <c r="AN99" s="7" t="s">
        <v>69</v>
      </c>
      <c r="AO99" s="21">
        <f t="shared" si="3"/>
        <v>59</v>
      </c>
      <c r="AP99" s="7">
        <f t="shared" si="4"/>
        <v>0</v>
      </c>
      <c r="AQ99" s="31" t="str">
        <f t="shared" si="5"/>
        <v>Complete - With Adjustment</v>
      </c>
    </row>
    <row r="100" spans="1:43" x14ac:dyDescent="0.2">
      <c r="A100" s="46">
        <v>90</v>
      </c>
      <c r="B100" s="13" t="s">
        <v>266</v>
      </c>
      <c r="C100" s="13" t="s">
        <v>283</v>
      </c>
      <c r="D100" s="13" t="s">
        <v>282</v>
      </c>
      <c r="E100" s="13" t="s">
        <v>932</v>
      </c>
      <c r="F100" s="13" t="s">
        <v>183</v>
      </c>
      <c r="G100" s="13" t="s">
        <v>111</v>
      </c>
      <c r="H100" s="16">
        <v>43929</v>
      </c>
      <c r="I100" s="16">
        <v>43936</v>
      </c>
      <c r="J100" s="22">
        <v>6128.65</v>
      </c>
      <c r="K100" s="22">
        <v>176.17</v>
      </c>
      <c r="L100" s="22" t="s">
        <v>933</v>
      </c>
      <c r="M100" s="26" t="s">
        <v>97</v>
      </c>
      <c r="N100" s="13" t="s">
        <v>230</v>
      </c>
      <c r="O100" s="13" t="s">
        <v>284</v>
      </c>
      <c r="P100" s="13" t="s">
        <v>64</v>
      </c>
      <c r="Q100" s="13" t="s">
        <v>44</v>
      </c>
      <c r="R100" s="13" t="s">
        <v>270</v>
      </c>
      <c r="S100" s="13" t="s">
        <v>934</v>
      </c>
      <c r="T100" s="13" t="s">
        <v>957</v>
      </c>
      <c r="U100" s="13"/>
      <c r="V100" s="13"/>
      <c r="W100" s="13"/>
      <c r="AG100" s="54">
        <v>176.17</v>
      </c>
      <c r="AN100" s="7" t="s">
        <v>69</v>
      </c>
      <c r="AO100" s="21">
        <f t="shared" si="3"/>
        <v>176.17</v>
      </c>
      <c r="AP100" s="7">
        <f t="shared" si="4"/>
        <v>0</v>
      </c>
      <c r="AQ100" s="31" t="str">
        <f t="shared" si="5"/>
        <v>Complete - With Adjustment</v>
      </c>
    </row>
    <row r="101" spans="1:43" x14ac:dyDescent="0.2">
      <c r="A101" s="46">
        <v>91</v>
      </c>
      <c r="B101" s="13" t="s">
        <v>266</v>
      </c>
      <c r="C101" s="13" t="s">
        <v>283</v>
      </c>
      <c r="D101" s="13" t="s">
        <v>282</v>
      </c>
      <c r="E101" s="13" t="s">
        <v>932</v>
      </c>
      <c r="F101" s="13" t="s">
        <v>183</v>
      </c>
      <c r="G101" s="13" t="s">
        <v>111</v>
      </c>
      <c r="H101" s="16">
        <v>43929</v>
      </c>
      <c r="I101" s="16">
        <v>43936</v>
      </c>
      <c r="J101" s="22">
        <v>6128.65</v>
      </c>
      <c r="K101" s="22">
        <v>1425</v>
      </c>
      <c r="L101" s="22" t="s">
        <v>933</v>
      </c>
      <c r="M101" s="26" t="s">
        <v>98</v>
      </c>
      <c r="N101" s="13" t="s">
        <v>230</v>
      </c>
      <c r="O101" s="13" t="s">
        <v>284</v>
      </c>
      <c r="P101" s="13" t="s">
        <v>60</v>
      </c>
      <c r="Q101" s="13" t="s">
        <v>41</v>
      </c>
      <c r="R101" s="13" t="s">
        <v>270</v>
      </c>
      <c r="S101" s="13" t="s">
        <v>934</v>
      </c>
      <c r="T101" s="13" t="s">
        <v>958</v>
      </c>
      <c r="U101" s="13"/>
      <c r="V101" s="13"/>
      <c r="W101" s="13"/>
      <c r="AL101" s="14">
        <v>1425</v>
      </c>
      <c r="AN101" s="7" t="s">
        <v>146</v>
      </c>
      <c r="AO101" s="21">
        <f t="shared" si="3"/>
        <v>1425</v>
      </c>
      <c r="AP101" s="7">
        <f t="shared" si="4"/>
        <v>0</v>
      </c>
      <c r="AQ101" s="31" t="str">
        <f t="shared" si="5"/>
        <v>Complete - With Adjustment</v>
      </c>
    </row>
    <row r="102" spans="1:43" x14ac:dyDescent="0.2">
      <c r="A102" s="46">
        <v>92</v>
      </c>
      <c r="B102" s="13" t="s">
        <v>266</v>
      </c>
      <c r="C102" s="13" t="s">
        <v>283</v>
      </c>
      <c r="D102" s="13" t="s">
        <v>282</v>
      </c>
      <c r="E102" s="13" t="s">
        <v>932</v>
      </c>
      <c r="F102" s="13" t="s">
        <v>183</v>
      </c>
      <c r="G102" s="13" t="s">
        <v>111</v>
      </c>
      <c r="H102" s="16">
        <v>43929</v>
      </c>
      <c r="I102" s="16">
        <v>43936</v>
      </c>
      <c r="J102" s="22">
        <v>6128.65</v>
      </c>
      <c r="K102" s="22">
        <v>75</v>
      </c>
      <c r="L102" s="22" t="s">
        <v>933</v>
      </c>
      <c r="M102" s="26" t="s">
        <v>97</v>
      </c>
      <c r="N102" s="13" t="s">
        <v>230</v>
      </c>
      <c r="O102" s="13" t="s">
        <v>284</v>
      </c>
      <c r="P102" s="13" t="s">
        <v>64</v>
      </c>
      <c r="Q102" s="13" t="s">
        <v>41</v>
      </c>
      <c r="R102" s="13" t="s">
        <v>270</v>
      </c>
      <c r="S102" s="13" t="s">
        <v>934</v>
      </c>
      <c r="T102" s="13" t="s">
        <v>958</v>
      </c>
      <c r="U102" s="13"/>
      <c r="V102" s="13"/>
      <c r="W102" s="13"/>
      <c r="AG102" s="54">
        <v>75</v>
      </c>
      <c r="AN102" s="7" t="s">
        <v>69</v>
      </c>
      <c r="AO102" s="21">
        <f t="shared" si="3"/>
        <v>75</v>
      </c>
      <c r="AP102" s="7">
        <f t="shared" si="4"/>
        <v>0</v>
      </c>
      <c r="AQ102" s="31" t="str">
        <f t="shared" si="5"/>
        <v>Complete - With Adjustment</v>
      </c>
    </row>
    <row r="103" spans="1:43" x14ac:dyDescent="0.2">
      <c r="A103" s="46">
        <v>93</v>
      </c>
      <c r="B103" s="13" t="s">
        <v>266</v>
      </c>
      <c r="C103" s="13" t="s">
        <v>283</v>
      </c>
      <c r="D103" s="13" t="s">
        <v>282</v>
      </c>
      <c r="E103" s="13" t="s">
        <v>959</v>
      </c>
      <c r="F103" s="13" t="s">
        <v>163</v>
      </c>
      <c r="G103" s="13" t="s">
        <v>111</v>
      </c>
      <c r="H103" s="16">
        <v>43930</v>
      </c>
      <c r="I103" s="16">
        <v>43950</v>
      </c>
      <c r="J103" s="22">
        <v>11843.09</v>
      </c>
      <c r="K103" s="22">
        <v>1129.26</v>
      </c>
      <c r="L103" s="22" t="s">
        <v>960</v>
      </c>
      <c r="M103" s="26" t="s">
        <v>97</v>
      </c>
      <c r="N103" s="13" t="s">
        <v>230</v>
      </c>
      <c r="O103" s="13" t="s">
        <v>284</v>
      </c>
      <c r="P103" s="13" t="s">
        <v>64</v>
      </c>
      <c r="Q103" s="13" t="s">
        <v>44</v>
      </c>
      <c r="R103" s="13" t="s">
        <v>270</v>
      </c>
      <c r="S103" s="13" t="s">
        <v>961</v>
      </c>
      <c r="T103" s="13" t="s">
        <v>962</v>
      </c>
      <c r="U103" s="13"/>
      <c r="V103" s="13"/>
      <c r="W103" s="13"/>
      <c r="AG103" s="54">
        <v>1129.26</v>
      </c>
      <c r="AN103" s="7" t="s">
        <v>69</v>
      </c>
      <c r="AO103" s="21">
        <f t="shared" si="3"/>
        <v>1129.26</v>
      </c>
      <c r="AP103" s="7">
        <f t="shared" si="4"/>
        <v>0</v>
      </c>
      <c r="AQ103" s="31" t="str">
        <f t="shared" si="5"/>
        <v>Complete - With Adjustment</v>
      </c>
    </row>
    <row r="104" spans="1:43" x14ac:dyDescent="0.2">
      <c r="A104" s="46">
        <v>94</v>
      </c>
      <c r="B104" s="13" t="s">
        <v>266</v>
      </c>
      <c r="C104" s="13" t="s">
        <v>283</v>
      </c>
      <c r="D104" s="13" t="s">
        <v>282</v>
      </c>
      <c r="E104" s="13" t="s">
        <v>959</v>
      </c>
      <c r="F104" s="13" t="s">
        <v>163</v>
      </c>
      <c r="G104" s="13" t="s">
        <v>111</v>
      </c>
      <c r="H104" s="16">
        <v>43930</v>
      </c>
      <c r="I104" s="16">
        <v>43950</v>
      </c>
      <c r="J104" s="22">
        <v>11843.09</v>
      </c>
      <c r="K104" s="22">
        <v>13.73</v>
      </c>
      <c r="L104" s="22" t="s">
        <v>960</v>
      </c>
      <c r="M104" s="26" t="s">
        <v>97</v>
      </c>
      <c r="N104" s="13" t="s">
        <v>230</v>
      </c>
      <c r="O104" s="13" t="s">
        <v>284</v>
      </c>
      <c r="P104" s="13" t="s">
        <v>64</v>
      </c>
      <c r="Q104" s="13" t="s">
        <v>41</v>
      </c>
      <c r="R104" s="13" t="s">
        <v>270</v>
      </c>
      <c r="S104" s="13" t="s">
        <v>961</v>
      </c>
      <c r="T104" s="13" t="s">
        <v>963</v>
      </c>
      <c r="U104" s="13"/>
      <c r="V104" s="13"/>
      <c r="W104" s="13"/>
      <c r="AG104" s="54">
        <v>13.73</v>
      </c>
      <c r="AN104" s="7" t="s">
        <v>69</v>
      </c>
      <c r="AO104" s="21">
        <f t="shared" ref="AO104:AO167" si="6">SUM(Y104:AL104)</f>
        <v>13.73</v>
      </c>
      <c r="AP104" s="7">
        <f t="shared" ref="AP104:AP167" si="7">K104-AO104</f>
        <v>0</v>
      </c>
      <c r="AQ104" s="31" t="str">
        <f t="shared" si="5"/>
        <v>Complete - With Adjustment</v>
      </c>
    </row>
    <row r="105" spans="1:43" x14ac:dyDescent="0.2">
      <c r="A105" s="46">
        <v>95</v>
      </c>
      <c r="B105" s="13" t="s">
        <v>266</v>
      </c>
      <c r="C105" s="13" t="s">
        <v>283</v>
      </c>
      <c r="D105" s="13" t="s">
        <v>282</v>
      </c>
      <c r="E105" s="13" t="s">
        <v>959</v>
      </c>
      <c r="F105" s="13" t="s">
        <v>163</v>
      </c>
      <c r="G105" s="13" t="s">
        <v>111</v>
      </c>
      <c r="H105" s="16">
        <v>43930</v>
      </c>
      <c r="I105" s="16">
        <v>43950</v>
      </c>
      <c r="J105" s="22">
        <v>11843.09</v>
      </c>
      <c r="K105" s="22">
        <v>59</v>
      </c>
      <c r="L105" s="22" t="s">
        <v>960</v>
      </c>
      <c r="M105" s="26" t="s">
        <v>97</v>
      </c>
      <c r="N105" s="13" t="s">
        <v>230</v>
      </c>
      <c r="O105" s="13" t="s">
        <v>284</v>
      </c>
      <c r="P105" s="13" t="s">
        <v>42</v>
      </c>
      <c r="Q105" s="13" t="s">
        <v>41</v>
      </c>
      <c r="R105" s="13" t="s">
        <v>270</v>
      </c>
      <c r="S105" s="13" t="s">
        <v>961</v>
      </c>
      <c r="T105" s="13" t="s">
        <v>964</v>
      </c>
      <c r="U105" s="13"/>
      <c r="V105" s="13"/>
      <c r="W105" s="13"/>
      <c r="Y105" s="53">
        <v>59</v>
      </c>
      <c r="AG105" s="54"/>
      <c r="AN105" s="7" t="s">
        <v>8</v>
      </c>
      <c r="AO105" s="21">
        <f t="shared" si="6"/>
        <v>59</v>
      </c>
      <c r="AP105" s="7">
        <f t="shared" si="7"/>
        <v>0</v>
      </c>
      <c r="AQ105" s="31" t="str">
        <f t="shared" si="5"/>
        <v>Complete - With Adjustment</v>
      </c>
    </row>
    <row r="106" spans="1:43" x14ac:dyDescent="0.2">
      <c r="A106" s="46">
        <v>96</v>
      </c>
      <c r="B106" s="13" t="s">
        <v>266</v>
      </c>
      <c r="C106" s="13" t="s">
        <v>283</v>
      </c>
      <c r="D106" s="13" t="s">
        <v>282</v>
      </c>
      <c r="E106" s="13" t="s">
        <v>959</v>
      </c>
      <c r="F106" s="13" t="s">
        <v>163</v>
      </c>
      <c r="G106" s="13" t="s">
        <v>111</v>
      </c>
      <c r="H106" s="16">
        <v>43930</v>
      </c>
      <c r="I106" s="16">
        <v>43950</v>
      </c>
      <c r="J106" s="22">
        <v>11843.09</v>
      </c>
      <c r="K106" s="22">
        <v>4.74</v>
      </c>
      <c r="L106" s="22" t="s">
        <v>960</v>
      </c>
      <c r="M106" s="26" t="s">
        <v>98</v>
      </c>
      <c r="N106" s="13" t="s">
        <v>230</v>
      </c>
      <c r="O106" s="13" t="s">
        <v>284</v>
      </c>
      <c r="P106" s="13" t="s">
        <v>60</v>
      </c>
      <c r="Q106" s="13" t="s">
        <v>41</v>
      </c>
      <c r="R106" s="13" t="s">
        <v>270</v>
      </c>
      <c r="S106" s="13" t="s">
        <v>961</v>
      </c>
      <c r="T106" s="13" t="s">
        <v>965</v>
      </c>
      <c r="U106" s="13"/>
      <c r="V106" s="13"/>
      <c r="W106" s="13"/>
      <c r="AL106" s="14">
        <v>4.74</v>
      </c>
      <c r="AN106" s="7" t="s">
        <v>146</v>
      </c>
      <c r="AO106" s="21">
        <f t="shared" si="6"/>
        <v>4.74</v>
      </c>
      <c r="AP106" s="7">
        <f t="shared" si="7"/>
        <v>0</v>
      </c>
      <c r="AQ106" s="31" t="str">
        <f t="shared" si="5"/>
        <v>Complete - With Adjustment</v>
      </c>
    </row>
    <row r="107" spans="1:43" x14ac:dyDescent="0.2">
      <c r="A107" s="46">
        <v>97</v>
      </c>
      <c r="B107" s="13" t="s">
        <v>266</v>
      </c>
      <c r="C107" s="13" t="s">
        <v>283</v>
      </c>
      <c r="D107" s="13" t="s">
        <v>282</v>
      </c>
      <c r="E107" s="13" t="s">
        <v>959</v>
      </c>
      <c r="F107" s="13" t="s">
        <v>163</v>
      </c>
      <c r="G107" s="13" t="s">
        <v>111</v>
      </c>
      <c r="H107" s="16">
        <v>43930</v>
      </c>
      <c r="I107" s="16">
        <v>43950</v>
      </c>
      <c r="J107" s="22">
        <v>11843.09</v>
      </c>
      <c r="K107" s="22">
        <v>0.25</v>
      </c>
      <c r="L107" s="22" t="s">
        <v>960</v>
      </c>
      <c r="M107" s="26" t="s">
        <v>97</v>
      </c>
      <c r="N107" s="13" t="s">
        <v>230</v>
      </c>
      <c r="O107" s="13" t="s">
        <v>284</v>
      </c>
      <c r="P107" s="13" t="s">
        <v>64</v>
      </c>
      <c r="Q107" s="13" t="s">
        <v>41</v>
      </c>
      <c r="R107" s="13" t="s">
        <v>270</v>
      </c>
      <c r="S107" s="13" t="s">
        <v>961</v>
      </c>
      <c r="T107" s="13" t="s">
        <v>965</v>
      </c>
      <c r="U107" s="13"/>
      <c r="V107" s="13"/>
      <c r="W107" s="13"/>
      <c r="AG107" s="54">
        <v>0.25</v>
      </c>
      <c r="AN107" s="7" t="s">
        <v>69</v>
      </c>
      <c r="AO107" s="21">
        <f t="shared" si="6"/>
        <v>0.25</v>
      </c>
      <c r="AP107" s="7">
        <f t="shared" si="7"/>
        <v>0</v>
      </c>
      <c r="AQ107" s="31" t="str">
        <f t="shared" si="5"/>
        <v>Complete - With Adjustment</v>
      </c>
    </row>
    <row r="108" spans="1:43" x14ac:dyDescent="0.2">
      <c r="A108" s="46">
        <v>98</v>
      </c>
      <c r="B108" s="13" t="s">
        <v>266</v>
      </c>
      <c r="C108" s="13" t="s">
        <v>283</v>
      </c>
      <c r="D108" s="13" t="s">
        <v>282</v>
      </c>
      <c r="E108" s="13" t="s">
        <v>959</v>
      </c>
      <c r="F108" s="13" t="s">
        <v>163</v>
      </c>
      <c r="G108" s="13" t="s">
        <v>111</v>
      </c>
      <c r="H108" s="16">
        <v>43930</v>
      </c>
      <c r="I108" s="16">
        <v>43950</v>
      </c>
      <c r="J108" s="22">
        <v>11843.09</v>
      </c>
      <c r="K108" s="22">
        <v>1.1000000000000001</v>
      </c>
      <c r="L108" s="22" t="s">
        <v>960</v>
      </c>
      <c r="M108" s="26" t="s">
        <v>97</v>
      </c>
      <c r="N108" s="13" t="s">
        <v>230</v>
      </c>
      <c r="O108" s="13" t="s">
        <v>284</v>
      </c>
      <c r="P108" s="13" t="s">
        <v>64</v>
      </c>
      <c r="Q108" s="13" t="s">
        <v>44</v>
      </c>
      <c r="R108" s="13" t="s">
        <v>270</v>
      </c>
      <c r="S108" s="13" t="s">
        <v>961</v>
      </c>
      <c r="T108" s="13" t="s">
        <v>966</v>
      </c>
      <c r="U108" s="13"/>
      <c r="V108" s="13"/>
      <c r="W108" s="13"/>
      <c r="AG108" s="54">
        <v>1.1000000000000001</v>
      </c>
      <c r="AN108" s="7" t="s">
        <v>69</v>
      </c>
      <c r="AO108" s="21">
        <f t="shared" si="6"/>
        <v>1.1000000000000001</v>
      </c>
      <c r="AP108" s="7">
        <f t="shared" si="7"/>
        <v>0</v>
      </c>
      <c r="AQ108" s="31" t="str">
        <f t="shared" si="5"/>
        <v>Complete - With Adjustment</v>
      </c>
    </row>
    <row r="109" spans="1:43" x14ac:dyDescent="0.2">
      <c r="A109" s="46">
        <v>99</v>
      </c>
      <c r="B109" s="13" t="s">
        <v>266</v>
      </c>
      <c r="C109" s="13" t="s">
        <v>283</v>
      </c>
      <c r="D109" s="13" t="s">
        <v>282</v>
      </c>
      <c r="E109" s="13" t="s">
        <v>959</v>
      </c>
      <c r="F109" s="13" t="s">
        <v>163</v>
      </c>
      <c r="G109" s="13" t="s">
        <v>111</v>
      </c>
      <c r="H109" s="16">
        <v>43930</v>
      </c>
      <c r="I109" s="16">
        <v>43950</v>
      </c>
      <c r="J109" s="22">
        <v>11843.09</v>
      </c>
      <c r="K109" s="22">
        <v>20.81</v>
      </c>
      <c r="L109" s="22" t="s">
        <v>960</v>
      </c>
      <c r="M109" s="26" t="s">
        <v>98</v>
      </c>
      <c r="N109" s="13" t="s">
        <v>230</v>
      </c>
      <c r="O109" s="13" t="s">
        <v>284</v>
      </c>
      <c r="P109" s="13" t="s">
        <v>60</v>
      </c>
      <c r="Q109" s="13" t="s">
        <v>44</v>
      </c>
      <c r="R109" s="13" t="s">
        <v>270</v>
      </c>
      <c r="S109" s="13" t="s">
        <v>961</v>
      </c>
      <c r="T109" s="13" t="s">
        <v>966</v>
      </c>
      <c r="U109" s="13"/>
      <c r="V109" s="13"/>
      <c r="W109" s="13"/>
      <c r="AL109" s="14">
        <v>20.81</v>
      </c>
      <c r="AN109" s="7" t="s">
        <v>146</v>
      </c>
      <c r="AO109" s="21">
        <f t="shared" si="6"/>
        <v>20.81</v>
      </c>
      <c r="AP109" s="7">
        <f t="shared" si="7"/>
        <v>0</v>
      </c>
      <c r="AQ109" s="31" t="str">
        <f t="shared" si="5"/>
        <v>Complete - With Adjustment</v>
      </c>
    </row>
    <row r="110" spans="1:43" x14ac:dyDescent="0.2">
      <c r="A110" s="46">
        <v>100</v>
      </c>
      <c r="B110" s="13" t="s">
        <v>266</v>
      </c>
      <c r="C110" s="13" t="s">
        <v>283</v>
      </c>
      <c r="D110" s="13" t="s">
        <v>282</v>
      </c>
      <c r="E110" s="13" t="s">
        <v>959</v>
      </c>
      <c r="F110" s="13" t="s">
        <v>163</v>
      </c>
      <c r="G110" s="13" t="s">
        <v>111</v>
      </c>
      <c r="H110" s="16">
        <v>43930</v>
      </c>
      <c r="I110" s="16">
        <v>43950</v>
      </c>
      <c r="J110" s="22">
        <v>11843.09</v>
      </c>
      <c r="K110" s="22">
        <v>3.19</v>
      </c>
      <c r="L110" s="22" t="s">
        <v>960</v>
      </c>
      <c r="M110" s="26" t="s">
        <v>97</v>
      </c>
      <c r="N110" s="13" t="s">
        <v>230</v>
      </c>
      <c r="O110" s="13" t="s">
        <v>284</v>
      </c>
      <c r="P110" s="13" t="s">
        <v>64</v>
      </c>
      <c r="Q110" s="13" t="s">
        <v>41</v>
      </c>
      <c r="R110" s="13" t="s">
        <v>270</v>
      </c>
      <c r="S110" s="13" t="s">
        <v>961</v>
      </c>
      <c r="T110" s="13" t="s">
        <v>967</v>
      </c>
      <c r="U110" s="13"/>
      <c r="V110" s="13"/>
      <c r="W110" s="13"/>
      <c r="AG110" s="54">
        <v>3.19</v>
      </c>
      <c r="AN110" s="7" t="s">
        <v>69</v>
      </c>
      <c r="AO110" s="21">
        <f t="shared" si="6"/>
        <v>3.19</v>
      </c>
      <c r="AP110" s="7">
        <f t="shared" si="7"/>
        <v>0</v>
      </c>
      <c r="AQ110" s="31" t="str">
        <f t="shared" si="5"/>
        <v>Complete - With Adjustment</v>
      </c>
    </row>
    <row r="111" spans="1:43" x14ac:dyDescent="0.2">
      <c r="A111" s="46">
        <v>101</v>
      </c>
      <c r="B111" s="13" t="s">
        <v>266</v>
      </c>
      <c r="C111" s="13" t="s">
        <v>283</v>
      </c>
      <c r="D111" s="13" t="s">
        <v>282</v>
      </c>
      <c r="E111" s="13" t="s">
        <v>959</v>
      </c>
      <c r="F111" s="13" t="s">
        <v>163</v>
      </c>
      <c r="G111" s="13" t="s">
        <v>111</v>
      </c>
      <c r="H111" s="16">
        <v>43930</v>
      </c>
      <c r="I111" s="16">
        <v>43950</v>
      </c>
      <c r="J111" s="22">
        <v>11843.09</v>
      </c>
      <c r="K111" s="22">
        <v>15.4</v>
      </c>
      <c r="L111" s="22" t="s">
        <v>960</v>
      </c>
      <c r="M111" s="26" t="s">
        <v>97</v>
      </c>
      <c r="N111" s="13" t="s">
        <v>230</v>
      </c>
      <c r="O111" s="13" t="s">
        <v>284</v>
      </c>
      <c r="P111" s="13" t="s">
        <v>64</v>
      </c>
      <c r="Q111" s="13" t="s">
        <v>41</v>
      </c>
      <c r="R111" s="13" t="s">
        <v>270</v>
      </c>
      <c r="S111" s="13" t="s">
        <v>961</v>
      </c>
      <c r="T111" s="13" t="s">
        <v>968</v>
      </c>
      <c r="U111" s="13"/>
      <c r="V111" s="13"/>
      <c r="W111" s="13"/>
      <c r="AG111" s="54">
        <v>15.4</v>
      </c>
      <c r="AN111" s="7" t="s">
        <v>69</v>
      </c>
      <c r="AO111" s="21">
        <f t="shared" si="6"/>
        <v>15.4</v>
      </c>
      <c r="AP111" s="7">
        <f t="shared" si="7"/>
        <v>0</v>
      </c>
      <c r="AQ111" s="31" t="str">
        <f t="shared" si="5"/>
        <v>Complete - With Adjustment</v>
      </c>
    </row>
    <row r="112" spans="1:43" x14ac:dyDescent="0.2">
      <c r="A112" s="46">
        <v>102</v>
      </c>
      <c r="B112" s="13" t="s">
        <v>266</v>
      </c>
      <c r="C112" s="13" t="s">
        <v>283</v>
      </c>
      <c r="D112" s="13" t="s">
        <v>282</v>
      </c>
      <c r="E112" s="13" t="s">
        <v>959</v>
      </c>
      <c r="F112" s="13" t="s">
        <v>163</v>
      </c>
      <c r="G112" s="13" t="s">
        <v>111</v>
      </c>
      <c r="H112" s="16">
        <v>43930</v>
      </c>
      <c r="I112" s="16">
        <v>43950</v>
      </c>
      <c r="J112" s="22">
        <v>11843.09</v>
      </c>
      <c r="K112" s="22">
        <v>1015.36</v>
      </c>
      <c r="L112" s="22" t="s">
        <v>960</v>
      </c>
      <c r="M112" s="26" t="s">
        <v>98</v>
      </c>
      <c r="N112" s="13" t="s">
        <v>230</v>
      </c>
      <c r="O112" s="13" t="s">
        <v>284</v>
      </c>
      <c r="P112" s="13" t="s">
        <v>60</v>
      </c>
      <c r="Q112" s="13" t="s">
        <v>44</v>
      </c>
      <c r="R112" s="13" t="s">
        <v>270</v>
      </c>
      <c r="S112" s="13" t="s">
        <v>961</v>
      </c>
      <c r="T112" s="13" t="s">
        <v>969</v>
      </c>
      <c r="U112" s="13"/>
      <c r="V112" s="13"/>
      <c r="W112" s="13"/>
      <c r="AN112" s="7" t="s">
        <v>70</v>
      </c>
      <c r="AO112" s="21">
        <f t="shared" si="6"/>
        <v>0</v>
      </c>
      <c r="AP112" s="7">
        <f t="shared" si="7"/>
        <v>1015.36</v>
      </c>
      <c r="AQ112" s="31" t="str">
        <f t="shared" si="5"/>
        <v>Complete - No Adjustment</v>
      </c>
    </row>
    <row r="113" spans="1:43" x14ac:dyDescent="0.2">
      <c r="A113" s="46">
        <v>103</v>
      </c>
      <c r="B113" s="13" t="s">
        <v>266</v>
      </c>
      <c r="C113" s="13" t="s">
        <v>283</v>
      </c>
      <c r="D113" s="13" t="s">
        <v>282</v>
      </c>
      <c r="E113" s="13" t="s">
        <v>959</v>
      </c>
      <c r="F113" s="13" t="s">
        <v>163</v>
      </c>
      <c r="G113" s="13" t="s">
        <v>111</v>
      </c>
      <c r="H113" s="16">
        <v>43930</v>
      </c>
      <c r="I113" s="16">
        <v>43950</v>
      </c>
      <c r="J113" s="22">
        <v>11843.09</v>
      </c>
      <c r="K113" s="22">
        <v>12.34</v>
      </c>
      <c r="L113" s="22" t="s">
        <v>960</v>
      </c>
      <c r="M113" s="26" t="s">
        <v>97</v>
      </c>
      <c r="N113" s="13" t="s">
        <v>230</v>
      </c>
      <c r="O113" s="13" t="s">
        <v>284</v>
      </c>
      <c r="P113" s="13" t="s">
        <v>64</v>
      </c>
      <c r="Q113" s="13" t="s">
        <v>44</v>
      </c>
      <c r="R113" s="13" t="s">
        <v>270</v>
      </c>
      <c r="S113" s="13" t="s">
        <v>961</v>
      </c>
      <c r="T113" s="13" t="s">
        <v>970</v>
      </c>
      <c r="U113" s="13"/>
      <c r="V113" s="13"/>
      <c r="W113" s="13"/>
      <c r="AG113" s="54">
        <v>12.34</v>
      </c>
      <c r="AN113" s="7" t="s">
        <v>69</v>
      </c>
      <c r="AO113" s="21">
        <f t="shared" si="6"/>
        <v>12.34</v>
      </c>
      <c r="AP113" s="7">
        <f t="shared" si="7"/>
        <v>0</v>
      </c>
      <c r="AQ113" s="31" t="str">
        <f t="shared" si="5"/>
        <v>Complete - With Adjustment</v>
      </c>
    </row>
    <row r="114" spans="1:43" x14ac:dyDescent="0.2">
      <c r="A114" s="46">
        <v>104</v>
      </c>
      <c r="B114" s="13" t="s">
        <v>266</v>
      </c>
      <c r="C114" s="13" t="s">
        <v>283</v>
      </c>
      <c r="D114" s="13" t="s">
        <v>282</v>
      </c>
      <c r="E114" s="13" t="s">
        <v>959</v>
      </c>
      <c r="F114" s="13" t="s">
        <v>163</v>
      </c>
      <c r="G114" s="13" t="s">
        <v>111</v>
      </c>
      <c r="H114" s="16">
        <v>43930</v>
      </c>
      <c r="I114" s="16">
        <v>43950</v>
      </c>
      <c r="J114" s="22">
        <v>11843.09</v>
      </c>
      <c r="K114" s="22">
        <v>608.04</v>
      </c>
      <c r="L114" s="22" t="s">
        <v>960</v>
      </c>
      <c r="M114" s="26" t="s">
        <v>98</v>
      </c>
      <c r="N114" s="13" t="s">
        <v>230</v>
      </c>
      <c r="O114" s="13" t="s">
        <v>284</v>
      </c>
      <c r="P114" s="13" t="s">
        <v>60</v>
      </c>
      <c r="Q114" s="13" t="s">
        <v>41</v>
      </c>
      <c r="R114" s="13" t="s">
        <v>270</v>
      </c>
      <c r="S114" s="13" t="s">
        <v>961</v>
      </c>
      <c r="T114" s="13" t="s">
        <v>971</v>
      </c>
      <c r="U114" s="13"/>
      <c r="V114" s="13"/>
      <c r="W114" s="13"/>
      <c r="AN114" s="7" t="s">
        <v>70</v>
      </c>
      <c r="AO114" s="21">
        <f t="shared" si="6"/>
        <v>0</v>
      </c>
      <c r="AP114" s="7">
        <f t="shared" si="7"/>
        <v>608.04</v>
      </c>
      <c r="AQ114" s="31" t="str">
        <f t="shared" si="5"/>
        <v>Complete - No Adjustment</v>
      </c>
    </row>
    <row r="115" spans="1:43" x14ac:dyDescent="0.2">
      <c r="A115" s="46">
        <v>105</v>
      </c>
      <c r="B115" s="13" t="s">
        <v>266</v>
      </c>
      <c r="C115" s="13" t="s">
        <v>283</v>
      </c>
      <c r="D115" s="13" t="s">
        <v>282</v>
      </c>
      <c r="E115" s="13" t="s">
        <v>959</v>
      </c>
      <c r="F115" s="13" t="s">
        <v>163</v>
      </c>
      <c r="G115" s="13" t="s">
        <v>111</v>
      </c>
      <c r="H115" s="16">
        <v>43930</v>
      </c>
      <c r="I115" s="16">
        <v>43950</v>
      </c>
      <c r="J115" s="22">
        <v>11843.09</v>
      </c>
      <c r="K115" s="22">
        <v>32</v>
      </c>
      <c r="L115" s="22" t="s">
        <v>960</v>
      </c>
      <c r="M115" s="26" t="s">
        <v>97</v>
      </c>
      <c r="N115" s="13" t="s">
        <v>230</v>
      </c>
      <c r="O115" s="13" t="s">
        <v>284</v>
      </c>
      <c r="P115" s="13" t="s">
        <v>64</v>
      </c>
      <c r="Q115" s="13" t="s">
        <v>41</v>
      </c>
      <c r="R115" s="13" t="s">
        <v>270</v>
      </c>
      <c r="S115" s="13" t="s">
        <v>961</v>
      </c>
      <c r="T115" s="13" t="s">
        <v>971</v>
      </c>
      <c r="U115" s="13"/>
      <c r="V115" s="13"/>
      <c r="W115" s="13"/>
      <c r="AG115" s="54">
        <v>32</v>
      </c>
      <c r="AN115" s="7" t="s">
        <v>69</v>
      </c>
      <c r="AO115" s="21">
        <f t="shared" si="6"/>
        <v>32</v>
      </c>
      <c r="AP115" s="7">
        <f t="shared" si="7"/>
        <v>0</v>
      </c>
      <c r="AQ115" s="31" t="str">
        <f t="shared" si="5"/>
        <v>Complete - With Adjustment</v>
      </c>
    </row>
    <row r="116" spans="1:43" x14ac:dyDescent="0.2">
      <c r="A116" s="46">
        <v>106</v>
      </c>
      <c r="B116" s="13" t="s">
        <v>266</v>
      </c>
      <c r="C116" s="13" t="s">
        <v>283</v>
      </c>
      <c r="D116" s="13" t="s">
        <v>282</v>
      </c>
      <c r="E116" s="13" t="s">
        <v>959</v>
      </c>
      <c r="F116" s="13" t="s">
        <v>163</v>
      </c>
      <c r="G116" s="13" t="s">
        <v>111</v>
      </c>
      <c r="H116" s="16">
        <v>43930</v>
      </c>
      <c r="I116" s="16">
        <v>43950</v>
      </c>
      <c r="J116" s="22">
        <v>11843.09</v>
      </c>
      <c r="K116" s="22">
        <v>33.76</v>
      </c>
      <c r="L116" s="22" t="s">
        <v>960</v>
      </c>
      <c r="M116" s="26" t="s">
        <v>98</v>
      </c>
      <c r="N116" s="13" t="s">
        <v>230</v>
      </c>
      <c r="O116" s="13" t="s">
        <v>284</v>
      </c>
      <c r="P116" s="13" t="s">
        <v>60</v>
      </c>
      <c r="Q116" s="13" t="s">
        <v>41</v>
      </c>
      <c r="R116" s="13" t="s">
        <v>270</v>
      </c>
      <c r="S116" s="13" t="s">
        <v>961</v>
      </c>
      <c r="T116" s="13" t="s">
        <v>965</v>
      </c>
      <c r="U116" s="13"/>
      <c r="V116" s="13"/>
      <c r="W116" s="13"/>
      <c r="AN116" s="7" t="s">
        <v>70</v>
      </c>
      <c r="AO116" s="21">
        <f t="shared" si="6"/>
        <v>0</v>
      </c>
      <c r="AP116" s="7">
        <f t="shared" si="7"/>
        <v>33.76</v>
      </c>
      <c r="AQ116" s="31" t="str">
        <f t="shared" si="5"/>
        <v>Complete - No Adjustment</v>
      </c>
    </row>
    <row r="117" spans="1:43" x14ac:dyDescent="0.2">
      <c r="A117" s="46">
        <v>107</v>
      </c>
      <c r="B117" s="13" t="s">
        <v>266</v>
      </c>
      <c r="C117" s="13" t="s">
        <v>283</v>
      </c>
      <c r="D117" s="13" t="s">
        <v>282</v>
      </c>
      <c r="E117" s="13" t="s">
        <v>959</v>
      </c>
      <c r="F117" s="13" t="s">
        <v>163</v>
      </c>
      <c r="G117" s="13" t="s">
        <v>111</v>
      </c>
      <c r="H117" s="16">
        <v>43930</v>
      </c>
      <c r="I117" s="16">
        <v>43950</v>
      </c>
      <c r="J117" s="22">
        <v>11843.09</v>
      </c>
      <c r="K117" s="22">
        <v>1.78</v>
      </c>
      <c r="L117" s="22" t="s">
        <v>960</v>
      </c>
      <c r="M117" s="26" t="s">
        <v>97</v>
      </c>
      <c r="N117" s="13" t="s">
        <v>230</v>
      </c>
      <c r="O117" s="13" t="s">
        <v>284</v>
      </c>
      <c r="P117" s="13" t="s">
        <v>64</v>
      </c>
      <c r="Q117" s="13" t="s">
        <v>41</v>
      </c>
      <c r="R117" s="13" t="s">
        <v>270</v>
      </c>
      <c r="S117" s="13" t="s">
        <v>961</v>
      </c>
      <c r="T117" s="13" t="s">
        <v>965</v>
      </c>
      <c r="U117" s="13"/>
      <c r="V117" s="13"/>
      <c r="W117" s="13"/>
      <c r="AG117" s="54">
        <v>1.78</v>
      </c>
      <c r="AN117" s="7" t="s">
        <v>69</v>
      </c>
      <c r="AO117" s="21">
        <f t="shared" si="6"/>
        <v>1.78</v>
      </c>
      <c r="AP117" s="7">
        <f t="shared" si="7"/>
        <v>0</v>
      </c>
      <c r="AQ117" s="31" t="str">
        <f t="shared" si="5"/>
        <v>Complete - With Adjustment</v>
      </c>
    </row>
    <row r="118" spans="1:43" x14ac:dyDescent="0.2">
      <c r="A118" s="46">
        <v>108</v>
      </c>
      <c r="B118" s="13" t="s">
        <v>266</v>
      </c>
      <c r="C118" s="13" t="s">
        <v>283</v>
      </c>
      <c r="D118" s="13" t="s">
        <v>282</v>
      </c>
      <c r="E118" s="13" t="s">
        <v>959</v>
      </c>
      <c r="F118" s="13" t="s">
        <v>163</v>
      </c>
      <c r="G118" s="13" t="s">
        <v>111</v>
      </c>
      <c r="H118" s="16">
        <v>43930</v>
      </c>
      <c r="I118" s="16">
        <v>43950</v>
      </c>
      <c r="J118" s="22">
        <v>11843.09</v>
      </c>
      <c r="K118" s="22">
        <v>32.14</v>
      </c>
      <c r="L118" s="22" t="s">
        <v>960</v>
      </c>
      <c r="M118" s="26" t="s">
        <v>97</v>
      </c>
      <c r="N118" s="13" t="s">
        <v>230</v>
      </c>
      <c r="O118" s="13" t="s">
        <v>284</v>
      </c>
      <c r="P118" s="13" t="s">
        <v>64</v>
      </c>
      <c r="Q118" s="13" t="s">
        <v>44</v>
      </c>
      <c r="R118" s="13" t="s">
        <v>270</v>
      </c>
      <c r="S118" s="13" t="s">
        <v>961</v>
      </c>
      <c r="T118" s="13" t="s">
        <v>970</v>
      </c>
      <c r="U118" s="13"/>
      <c r="V118" s="13"/>
      <c r="W118" s="13"/>
      <c r="AG118" s="54">
        <v>32.14</v>
      </c>
      <c r="AN118" s="7" t="s">
        <v>69</v>
      </c>
      <c r="AO118" s="21">
        <f t="shared" si="6"/>
        <v>32.14</v>
      </c>
      <c r="AP118" s="7">
        <f t="shared" si="7"/>
        <v>0</v>
      </c>
      <c r="AQ118" s="31" t="str">
        <f t="shared" si="5"/>
        <v>Complete - With Adjustment</v>
      </c>
    </row>
    <row r="119" spans="1:43" x14ac:dyDescent="0.2">
      <c r="A119" s="46">
        <v>109</v>
      </c>
      <c r="B119" s="13" t="s">
        <v>266</v>
      </c>
      <c r="C119" s="13" t="s">
        <v>283</v>
      </c>
      <c r="D119" s="13" t="s">
        <v>282</v>
      </c>
      <c r="E119" s="13" t="s">
        <v>959</v>
      </c>
      <c r="F119" s="13" t="s">
        <v>163</v>
      </c>
      <c r="G119" s="13" t="s">
        <v>111</v>
      </c>
      <c r="H119" s="16">
        <v>43930</v>
      </c>
      <c r="I119" s="16">
        <v>43950</v>
      </c>
      <c r="J119" s="22">
        <v>11843.09</v>
      </c>
      <c r="K119" s="22">
        <v>39.200000000000003</v>
      </c>
      <c r="L119" s="22" t="s">
        <v>960</v>
      </c>
      <c r="M119" s="26" t="s">
        <v>97</v>
      </c>
      <c r="N119" s="13" t="s">
        <v>230</v>
      </c>
      <c r="O119" s="13" t="s">
        <v>284</v>
      </c>
      <c r="P119" s="13" t="s">
        <v>64</v>
      </c>
      <c r="Q119" s="13" t="s">
        <v>41</v>
      </c>
      <c r="R119" s="13" t="s">
        <v>270</v>
      </c>
      <c r="S119" s="13" t="s">
        <v>961</v>
      </c>
      <c r="T119" s="13" t="s">
        <v>968</v>
      </c>
      <c r="U119" s="13"/>
      <c r="V119" s="13"/>
      <c r="W119" s="13"/>
      <c r="AG119" s="54">
        <v>39.200000000000003</v>
      </c>
      <c r="AN119" s="7" t="s">
        <v>69</v>
      </c>
      <c r="AO119" s="21">
        <f t="shared" si="6"/>
        <v>39.200000000000003</v>
      </c>
      <c r="AP119" s="7">
        <f t="shared" si="7"/>
        <v>0</v>
      </c>
      <c r="AQ119" s="31" t="str">
        <f t="shared" si="5"/>
        <v>Complete - With Adjustment</v>
      </c>
    </row>
    <row r="120" spans="1:43" x14ac:dyDescent="0.2">
      <c r="A120" s="46">
        <v>110</v>
      </c>
      <c r="B120" s="13" t="s">
        <v>266</v>
      </c>
      <c r="C120" s="13" t="s">
        <v>283</v>
      </c>
      <c r="D120" s="13" t="s">
        <v>282</v>
      </c>
      <c r="E120" s="13" t="s">
        <v>959</v>
      </c>
      <c r="F120" s="13" t="s">
        <v>163</v>
      </c>
      <c r="G120" s="13" t="s">
        <v>111</v>
      </c>
      <c r="H120" s="16">
        <v>43930</v>
      </c>
      <c r="I120" s="16">
        <v>43950</v>
      </c>
      <c r="J120" s="22">
        <v>11843.09</v>
      </c>
      <c r="K120" s="22">
        <v>42.38</v>
      </c>
      <c r="L120" s="22" t="s">
        <v>960</v>
      </c>
      <c r="M120" s="26" t="s">
        <v>97</v>
      </c>
      <c r="N120" s="13" t="s">
        <v>230</v>
      </c>
      <c r="O120" s="13" t="s">
        <v>284</v>
      </c>
      <c r="P120" s="13" t="s">
        <v>64</v>
      </c>
      <c r="Q120" s="13" t="s">
        <v>41</v>
      </c>
      <c r="R120" s="13" t="s">
        <v>270</v>
      </c>
      <c r="S120" s="13" t="s">
        <v>961</v>
      </c>
      <c r="T120" s="13" t="s">
        <v>968</v>
      </c>
      <c r="U120" s="13"/>
      <c r="V120" s="13"/>
      <c r="W120" s="13"/>
      <c r="AG120" s="54">
        <v>42.38</v>
      </c>
      <c r="AN120" s="7" t="s">
        <v>69</v>
      </c>
      <c r="AO120" s="21">
        <f t="shared" si="6"/>
        <v>42.38</v>
      </c>
      <c r="AP120" s="7">
        <f t="shared" si="7"/>
        <v>0</v>
      </c>
      <c r="AQ120" s="31" t="str">
        <f t="shared" si="5"/>
        <v>Complete - With Adjustment</v>
      </c>
    </row>
    <row r="121" spans="1:43" x14ac:dyDescent="0.2">
      <c r="A121" s="46">
        <v>111</v>
      </c>
      <c r="B121" s="13" t="s">
        <v>266</v>
      </c>
      <c r="C121" s="13" t="s">
        <v>283</v>
      </c>
      <c r="D121" s="13" t="s">
        <v>282</v>
      </c>
      <c r="E121" s="13" t="s">
        <v>959</v>
      </c>
      <c r="F121" s="13" t="s">
        <v>163</v>
      </c>
      <c r="G121" s="13" t="s">
        <v>111</v>
      </c>
      <c r="H121" s="16">
        <v>43930</v>
      </c>
      <c r="I121" s="16">
        <v>43950</v>
      </c>
      <c r="J121" s="22">
        <v>11843.09</v>
      </c>
      <c r="K121" s="22">
        <v>19.73</v>
      </c>
      <c r="L121" s="22" t="s">
        <v>960</v>
      </c>
      <c r="M121" s="26" t="s">
        <v>97</v>
      </c>
      <c r="N121" s="13" t="s">
        <v>230</v>
      </c>
      <c r="O121" s="13" t="s">
        <v>284</v>
      </c>
      <c r="P121" s="13" t="s">
        <v>64</v>
      </c>
      <c r="Q121" s="13" t="s">
        <v>41</v>
      </c>
      <c r="R121" s="13" t="s">
        <v>270</v>
      </c>
      <c r="S121" s="13" t="s">
        <v>961</v>
      </c>
      <c r="T121" s="13" t="s">
        <v>968</v>
      </c>
      <c r="U121" s="13"/>
      <c r="V121" s="13"/>
      <c r="W121" s="13"/>
      <c r="AG121" s="54">
        <v>19.73</v>
      </c>
      <c r="AN121" s="7" t="s">
        <v>69</v>
      </c>
      <c r="AO121" s="21">
        <f t="shared" si="6"/>
        <v>19.73</v>
      </c>
      <c r="AP121" s="7">
        <f t="shared" si="7"/>
        <v>0</v>
      </c>
      <c r="AQ121" s="31" t="str">
        <f t="shared" si="5"/>
        <v>Complete - With Adjustment</v>
      </c>
    </row>
    <row r="122" spans="1:43" x14ac:dyDescent="0.2">
      <c r="A122" s="46">
        <v>112</v>
      </c>
      <c r="B122" s="13" t="s">
        <v>266</v>
      </c>
      <c r="C122" s="13" t="s">
        <v>283</v>
      </c>
      <c r="D122" s="13" t="s">
        <v>282</v>
      </c>
      <c r="E122" s="13" t="s">
        <v>959</v>
      </c>
      <c r="F122" s="13" t="s">
        <v>163</v>
      </c>
      <c r="G122" s="13" t="s">
        <v>111</v>
      </c>
      <c r="H122" s="16">
        <v>43930</v>
      </c>
      <c r="I122" s="16">
        <v>43950</v>
      </c>
      <c r="J122" s="22">
        <v>11843.09</v>
      </c>
      <c r="K122" s="22">
        <v>18.670000000000002</v>
      </c>
      <c r="L122" s="22" t="s">
        <v>960</v>
      </c>
      <c r="M122" s="26" t="s">
        <v>97</v>
      </c>
      <c r="N122" s="13" t="s">
        <v>230</v>
      </c>
      <c r="O122" s="13" t="s">
        <v>284</v>
      </c>
      <c r="P122" s="13" t="s">
        <v>64</v>
      </c>
      <c r="Q122" s="13" t="s">
        <v>41</v>
      </c>
      <c r="R122" s="13" t="s">
        <v>270</v>
      </c>
      <c r="S122" s="13" t="s">
        <v>961</v>
      </c>
      <c r="T122" s="13" t="s">
        <v>755</v>
      </c>
      <c r="U122" s="13"/>
      <c r="V122" s="13"/>
      <c r="W122" s="13"/>
      <c r="AG122" s="54">
        <v>18.670000000000002</v>
      </c>
      <c r="AN122" s="7" t="s">
        <v>69</v>
      </c>
      <c r="AO122" s="21">
        <f t="shared" si="6"/>
        <v>18.670000000000002</v>
      </c>
      <c r="AP122" s="7">
        <f t="shared" si="7"/>
        <v>0</v>
      </c>
      <c r="AQ122" s="31" t="str">
        <f t="shared" si="5"/>
        <v>Complete - With Adjustment</v>
      </c>
    </row>
    <row r="123" spans="1:43" x14ac:dyDescent="0.2">
      <c r="A123" s="46">
        <v>113</v>
      </c>
      <c r="B123" s="13" t="s">
        <v>266</v>
      </c>
      <c r="C123" s="13" t="s">
        <v>283</v>
      </c>
      <c r="D123" s="13" t="s">
        <v>282</v>
      </c>
      <c r="E123" s="13" t="s">
        <v>959</v>
      </c>
      <c r="F123" s="13" t="s">
        <v>163</v>
      </c>
      <c r="G123" s="13" t="s">
        <v>111</v>
      </c>
      <c r="H123" s="16">
        <v>43930</v>
      </c>
      <c r="I123" s="16">
        <v>43950</v>
      </c>
      <c r="J123" s="22">
        <v>11843.09</v>
      </c>
      <c r="K123" s="22">
        <v>246.75</v>
      </c>
      <c r="L123" s="22" t="s">
        <v>960</v>
      </c>
      <c r="M123" s="26" t="s">
        <v>97</v>
      </c>
      <c r="N123" s="13" t="s">
        <v>230</v>
      </c>
      <c r="O123" s="13" t="s">
        <v>284</v>
      </c>
      <c r="P123" s="13" t="s">
        <v>64</v>
      </c>
      <c r="Q123" s="13" t="s">
        <v>45</v>
      </c>
      <c r="R123" s="13" t="s">
        <v>270</v>
      </c>
      <c r="S123" s="13" t="s">
        <v>961</v>
      </c>
      <c r="T123" s="13" t="s">
        <v>954</v>
      </c>
      <c r="U123" s="13"/>
      <c r="V123" s="13"/>
      <c r="W123" s="13"/>
      <c r="AG123" s="54">
        <v>246.75</v>
      </c>
      <c r="AN123" s="7" t="s">
        <v>69</v>
      </c>
      <c r="AO123" s="21">
        <f t="shared" si="6"/>
        <v>246.75</v>
      </c>
      <c r="AP123" s="7">
        <f t="shared" si="7"/>
        <v>0</v>
      </c>
      <c r="AQ123" s="31" t="str">
        <f t="shared" si="5"/>
        <v>Complete - With Adjustment</v>
      </c>
    </row>
    <row r="124" spans="1:43" x14ac:dyDescent="0.2">
      <c r="A124" s="46">
        <v>114</v>
      </c>
      <c r="B124" s="13" t="s">
        <v>266</v>
      </c>
      <c r="C124" s="13" t="s">
        <v>283</v>
      </c>
      <c r="D124" s="13" t="s">
        <v>282</v>
      </c>
      <c r="E124" s="13" t="s">
        <v>959</v>
      </c>
      <c r="F124" s="13" t="s">
        <v>163</v>
      </c>
      <c r="G124" s="13" t="s">
        <v>111</v>
      </c>
      <c r="H124" s="16">
        <v>43930</v>
      </c>
      <c r="I124" s="16">
        <v>43950</v>
      </c>
      <c r="J124" s="22">
        <v>11843.09</v>
      </c>
      <c r="K124" s="22">
        <v>457.22</v>
      </c>
      <c r="L124" s="22" t="s">
        <v>960</v>
      </c>
      <c r="M124" s="26" t="s">
        <v>98</v>
      </c>
      <c r="N124" s="13" t="s">
        <v>230</v>
      </c>
      <c r="O124" s="13" t="s">
        <v>284</v>
      </c>
      <c r="P124" s="13" t="s">
        <v>60</v>
      </c>
      <c r="Q124" s="13" t="s">
        <v>41</v>
      </c>
      <c r="R124" s="13" t="s">
        <v>270</v>
      </c>
      <c r="S124" s="13" t="s">
        <v>961</v>
      </c>
      <c r="T124" s="13" t="s">
        <v>971</v>
      </c>
      <c r="U124" s="13"/>
      <c r="V124" s="13"/>
      <c r="W124" s="13"/>
      <c r="AN124" s="7" t="s">
        <v>70</v>
      </c>
      <c r="AO124" s="21">
        <f t="shared" si="6"/>
        <v>0</v>
      </c>
      <c r="AP124" s="7">
        <f t="shared" si="7"/>
        <v>457.22</v>
      </c>
      <c r="AQ124" s="31" t="str">
        <f t="shared" si="5"/>
        <v>Complete - No Adjustment</v>
      </c>
    </row>
    <row r="125" spans="1:43" x14ac:dyDescent="0.2">
      <c r="A125" s="46">
        <v>115</v>
      </c>
      <c r="B125" s="13" t="s">
        <v>266</v>
      </c>
      <c r="C125" s="13" t="s">
        <v>283</v>
      </c>
      <c r="D125" s="13" t="s">
        <v>282</v>
      </c>
      <c r="E125" s="13" t="s">
        <v>959</v>
      </c>
      <c r="F125" s="13" t="s">
        <v>163</v>
      </c>
      <c r="G125" s="13" t="s">
        <v>111</v>
      </c>
      <c r="H125" s="16">
        <v>43930</v>
      </c>
      <c r="I125" s="16">
        <v>43950</v>
      </c>
      <c r="J125" s="22">
        <v>11843.09</v>
      </c>
      <c r="K125" s="22">
        <v>24.06</v>
      </c>
      <c r="L125" s="22" t="s">
        <v>960</v>
      </c>
      <c r="M125" s="26" t="s">
        <v>97</v>
      </c>
      <c r="N125" s="13" t="s">
        <v>230</v>
      </c>
      <c r="O125" s="13" t="s">
        <v>284</v>
      </c>
      <c r="P125" s="13" t="s">
        <v>64</v>
      </c>
      <c r="Q125" s="13" t="s">
        <v>41</v>
      </c>
      <c r="R125" s="13" t="s">
        <v>270</v>
      </c>
      <c r="S125" s="13" t="s">
        <v>961</v>
      </c>
      <c r="T125" s="13" t="s">
        <v>971</v>
      </c>
      <c r="U125" s="13"/>
      <c r="V125" s="13"/>
      <c r="W125" s="13"/>
      <c r="AG125" s="54">
        <v>24.06</v>
      </c>
      <c r="AN125" s="7" t="s">
        <v>69</v>
      </c>
      <c r="AO125" s="21">
        <f t="shared" si="6"/>
        <v>24.06</v>
      </c>
      <c r="AP125" s="7">
        <f t="shared" si="7"/>
        <v>0</v>
      </c>
      <c r="AQ125" s="31" t="str">
        <f t="shared" si="5"/>
        <v>Complete - With Adjustment</v>
      </c>
    </row>
    <row r="126" spans="1:43" x14ac:dyDescent="0.2">
      <c r="A126" s="46">
        <v>116</v>
      </c>
      <c r="B126" s="13" t="s">
        <v>266</v>
      </c>
      <c r="C126" s="13" t="s">
        <v>283</v>
      </c>
      <c r="D126" s="13" t="s">
        <v>282</v>
      </c>
      <c r="E126" s="13" t="s">
        <v>959</v>
      </c>
      <c r="F126" s="13" t="s">
        <v>163</v>
      </c>
      <c r="G126" s="13" t="s">
        <v>111</v>
      </c>
      <c r="H126" s="16">
        <v>43930</v>
      </c>
      <c r="I126" s="16">
        <v>43950</v>
      </c>
      <c r="J126" s="22">
        <v>11843.09</v>
      </c>
      <c r="K126" s="22">
        <v>13.6</v>
      </c>
      <c r="L126" s="22" t="s">
        <v>960</v>
      </c>
      <c r="M126" s="26" t="s">
        <v>97</v>
      </c>
      <c r="N126" s="13" t="s">
        <v>230</v>
      </c>
      <c r="O126" s="13" t="s">
        <v>284</v>
      </c>
      <c r="P126" s="13" t="s">
        <v>64</v>
      </c>
      <c r="Q126" s="13" t="s">
        <v>44</v>
      </c>
      <c r="R126" s="13" t="s">
        <v>270</v>
      </c>
      <c r="S126" s="13" t="s">
        <v>961</v>
      </c>
      <c r="T126" s="13" t="s">
        <v>970</v>
      </c>
      <c r="U126" s="13"/>
      <c r="V126" s="13"/>
      <c r="W126" s="13"/>
      <c r="AG126" s="54">
        <v>13.6</v>
      </c>
      <c r="AN126" s="7" t="s">
        <v>69</v>
      </c>
      <c r="AO126" s="21">
        <f t="shared" si="6"/>
        <v>13.6</v>
      </c>
      <c r="AP126" s="7">
        <f t="shared" si="7"/>
        <v>0</v>
      </c>
      <c r="AQ126" s="31" t="str">
        <f t="shared" si="5"/>
        <v>Complete - With Adjustment</v>
      </c>
    </row>
    <row r="127" spans="1:43" x14ac:dyDescent="0.2">
      <c r="A127" s="46">
        <v>117</v>
      </c>
      <c r="B127" s="13" t="s">
        <v>266</v>
      </c>
      <c r="C127" s="13" t="s">
        <v>283</v>
      </c>
      <c r="D127" s="13" t="s">
        <v>282</v>
      </c>
      <c r="E127" s="13" t="s">
        <v>959</v>
      </c>
      <c r="F127" s="13" t="s">
        <v>163</v>
      </c>
      <c r="G127" s="13" t="s">
        <v>111</v>
      </c>
      <c r="H127" s="16">
        <v>43930</v>
      </c>
      <c r="I127" s="16">
        <v>43950</v>
      </c>
      <c r="J127" s="22">
        <v>11843.09</v>
      </c>
      <c r="K127" s="22">
        <v>36.93</v>
      </c>
      <c r="L127" s="22" t="s">
        <v>960</v>
      </c>
      <c r="M127" s="26" t="s">
        <v>97</v>
      </c>
      <c r="N127" s="13" t="s">
        <v>230</v>
      </c>
      <c r="O127" s="13" t="s">
        <v>284</v>
      </c>
      <c r="P127" s="13" t="s">
        <v>64</v>
      </c>
      <c r="Q127" s="13" t="s">
        <v>44</v>
      </c>
      <c r="R127" s="13" t="s">
        <v>270</v>
      </c>
      <c r="S127" s="13" t="s">
        <v>961</v>
      </c>
      <c r="T127" s="13" t="s">
        <v>972</v>
      </c>
      <c r="U127" s="13"/>
      <c r="V127" s="13"/>
      <c r="W127" s="13"/>
      <c r="AG127" s="54">
        <v>36.93</v>
      </c>
      <c r="AN127" s="7" t="s">
        <v>69</v>
      </c>
      <c r="AO127" s="21">
        <f t="shared" si="6"/>
        <v>36.93</v>
      </c>
      <c r="AP127" s="7">
        <f t="shared" si="7"/>
        <v>0</v>
      </c>
      <c r="AQ127" s="31" t="str">
        <f t="shared" si="5"/>
        <v>Complete - With Adjustment</v>
      </c>
    </row>
    <row r="128" spans="1:43" x14ac:dyDescent="0.2">
      <c r="A128" s="46">
        <v>118</v>
      </c>
      <c r="B128" s="13" t="s">
        <v>266</v>
      </c>
      <c r="C128" s="13" t="s">
        <v>283</v>
      </c>
      <c r="D128" s="13" t="s">
        <v>282</v>
      </c>
      <c r="E128" s="13" t="s">
        <v>959</v>
      </c>
      <c r="F128" s="13" t="s">
        <v>163</v>
      </c>
      <c r="G128" s="13" t="s">
        <v>111</v>
      </c>
      <c r="H128" s="16">
        <v>43930</v>
      </c>
      <c r="I128" s="16">
        <v>43950</v>
      </c>
      <c r="J128" s="22">
        <v>11843.09</v>
      </c>
      <c r="K128" s="22">
        <v>822.88</v>
      </c>
      <c r="L128" s="22" t="s">
        <v>960</v>
      </c>
      <c r="M128" s="26" t="s">
        <v>97</v>
      </c>
      <c r="N128" s="13" t="s">
        <v>230</v>
      </c>
      <c r="O128" s="13" t="s">
        <v>284</v>
      </c>
      <c r="P128" s="13" t="s">
        <v>64</v>
      </c>
      <c r="Q128" s="13" t="s">
        <v>45</v>
      </c>
      <c r="R128" s="13" t="s">
        <v>270</v>
      </c>
      <c r="S128" s="13" t="s">
        <v>961</v>
      </c>
      <c r="T128" s="13" t="s">
        <v>973</v>
      </c>
      <c r="U128" s="13"/>
      <c r="V128" s="13"/>
      <c r="W128" s="13"/>
      <c r="AG128" s="54">
        <v>822.88</v>
      </c>
      <c r="AN128" s="7" t="s">
        <v>69</v>
      </c>
      <c r="AO128" s="21">
        <f t="shared" si="6"/>
        <v>822.88</v>
      </c>
      <c r="AP128" s="7">
        <f t="shared" si="7"/>
        <v>0</v>
      </c>
      <c r="AQ128" s="31" t="str">
        <f t="shared" si="5"/>
        <v>Complete - With Adjustment</v>
      </c>
    </row>
    <row r="129" spans="1:43" x14ac:dyDescent="0.2">
      <c r="A129" s="46">
        <v>119</v>
      </c>
      <c r="B129" s="13" t="s">
        <v>266</v>
      </c>
      <c r="C129" s="13" t="s">
        <v>283</v>
      </c>
      <c r="D129" s="13" t="s">
        <v>282</v>
      </c>
      <c r="E129" s="13" t="s">
        <v>959</v>
      </c>
      <c r="F129" s="13" t="s">
        <v>163</v>
      </c>
      <c r="G129" s="13" t="s">
        <v>111</v>
      </c>
      <c r="H129" s="16">
        <v>43930</v>
      </c>
      <c r="I129" s="16">
        <v>43950</v>
      </c>
      <c r="J129" s="22">
        <v>11843.09</v>
      </c>
      <c r="K129" s="22">
        <v>4.76</v>
      </c>
      <c r="L129" s="22" t="s">
        <v>960</v>
      </c>
      <c r="M129" s="26" t="s">
        <v>97</v>
      </c>
      <c r="N129" s="13" t="s">
        <v>230</v>
      </c>
      <c r="O129" s="13" t="s">
        <v>284</v>
      </c>
      <c r="P129" s="13" t="s">
        <v>64</v>
      </c>
      <c r="Q129" s="13" t="s">
        <v>41</v>
      </c>
      <c r="R129" s="13" t="s">
        <v>270</v>
      </c>
      <c r="S129" s="13" t="s">
        <v>961</v>
      </c>
      <c r="T129" s="13" t="s">
        <v>967</v>
      </c>
      <c r="U129" s="13"/>
      <c r="V129" s="13"/>
      <c r="W129" s="13"/>
      <c r="AG129" s="54">
        <v>4.76</v>
      </c>
      <c r="AN129" s="7" t="s">
        <v>69</v>
      </c>
      <c r="AO129" s="21">
        <f t="shared" si="6"/>
        <v>4.76</v>
      </c>
      <c r="AP129" s="7">
        <f t="shared" si="7"/>
        <v>0</v>
      </c>
      <c r="AQ129" s="31" t="str">
        <f t="shared" si="5"/>
        <v>Complete - With Adjustment</v>
      </c>
    </row>
    <row r="130" spans="1:43" x14ac:dyDescent="0.2">
      <c r="A130" s="46">
        <v>120</v>
      </c>
      <c r="B130" s="13" t="s">
        <v>266</v>
      </c>
      <c r="C130" s="13" t="s">
        <v>283</v>
      </c>
      <c r="D130" s="13" t="s">
        <v>282</v>
      </c>
      <c r="E130" s="13" t="s">
        <v>959</v>
      </c>
      <c r="F130" s="13" t="s">
        <v>163</v>
      </c>
      <c r="G130" s="13" t="s">
        <v>111</v>
      </c>
      <c r="H130" s="16">
        <v>43930</v>
      </c>
      <c r="I130" s="16">
        <v>43950</v>
      </c>
      <c r="J130" s="22">
        <v>11843.09</v>
      </c>
      <c r="K130" s="22">
        <v>53.44</v>
      </c>
      <c r="L130" s="22" t="s">
        <v>960</v>
      </c>
      <c r="M130" s="26" t="s">
        <v>97</v>
      </c>
      <c r="N130" s="13" t="s">
        <v>230</v>
      </c>
      <c r="O130" s="13" t="s">
        <v>284</v>
      </c>
      <c r="P130" s="13" t="s">
        <v>64</v>
      </c>
      <c r="Q130" s="13" t="s">
        <v>44</v>
      </c>
      <c r="R130" s="13" t="s">
        <v>270</v>
      </c>
      <c r="S130" s="13" t="s">
        <v>961</v>
      </c>
      <c r="T130" s="13" t="s">
        <v>969</v>
      </c>
      <c r="U130" s="13"/>
      <c r="V130" s="13"/>
      <c r="W130" s="13"/>
      <c r="AG130" s="54">
        <v>53.44</v>
      </c>
      <c r="AN130" s="7" t="s">
        <v>69</v>
      </c>
      <c r="AO130" s="21">
        <f t="shared" si="6"/>
        <v>53.44</v>
      </c>
      <c r="AP130" s="7">
        <f t="shared" si="7"/>
        <v>0</v>
      </c>
      <c r="AQ130" s="31" t="str">
        <f t="shared" si="5"/>
        <v>Complete - With Adjustment</v>
      </c>
    </row>
    <row r="131" spans="1:43" x14ac:dyDescent="0.2">
      <c r="A131" s="46">
        <v>121</v>
      </c>
      <c r="B131" s="13" t="s">
        <v>266</v>
      </c>
      <c r="C131" s="13" t="s">
        <v>283</v>
      </c>
      <c r="D131" s="13" t="s">
        <v>282</v>
      </c>
      <c r="E131" s="13" t="s">
        <v>959</v>
      </c>
      <c r="F131" s="13" t="s">
        <v>163</v>
      </c>
      <c r="G131" s="13" t="s">
        <v>111</v>
      </c>
      <c r="H131" s="16">
        <v>43930</v>
      </c>
      <c r="I131" s="16">
        <v>43950</v>
      </c>
      <c r="J131" s="22">
        <v>11843.09</v>
      </c>
      <c r="K131" s="22">
        <v>5.9</v>
      </c>
      <c r="L131" s="22" t="s">
        <v>960</v>
      </c>
      <c r="M131" s="26" t="s">
        <v>98</v>
      </c>
      <c r="N131" s="13" t="s">
        <v>230</v>
      </c>
      <c r="O131" s="13" t="s">
        <v>284</v>
      </c>
      <c r="P131" s="13" t="s">
        <v>60</v>
      </c>
      <c r="Q131" s="13" t="s">
        <v>41</v>
      </c>
      <c r="R131" s="13" t="s">
        <v>270</v>
      </c>
      <c r="S131" s="13" t="s">
        <v>961</v>
      </c>
      <c r="T131" s="13" t="s">
        <v>974</v>
      </c>
      <c r="U131" s="13"/>
      <c r="V131" s="13"/>
      <c r="W131" s="13"/>
      <c r="AL131" s="14">
        <v>5.9</v>
      </c>
      <c r="AN131" s="7" t="s">
        <v>146</v>
      </c>
      <c r="AO131" s="21">
        <f t="shared" si="6"/>
        <v>5.9</v>
      </c>
      <c r="AP131" s="7">
        <f t="shared" si="7"/>
        <v>0</v>
      </c>
      <c r="AQ131" s="31" t="str">
        <f t="shared" si="5"/>
        <v>Complete - With Adjustment</v>
      </c>
    </row>
    <row r="132" spans="1:43" x14ac:dyDescent="0.2">
      <c r="A132" s="46">
        <v>122</v>
      </c>
      <c r="B132" s="13" t="s">
        <v>266</v>
      </c>
      <c r="C132" s="13" t="s">
        <v>283</v>
      </c>
      <c r="D132" s="13" t="s">
        <v>282</v>
      </c>
      <c r="E132" s="13" t="s">
        <v>959</v>
      </c>
      <c r="F132" s="13" t="s">
        <v>163</v>
      </c>
      <c r="G132" s="13" t="s">
        <v>111</v>
      </c>
      <c r="H132" s="16">
        <v>43930</v>
      </c>
      <c r="I132" s="16">
        <v>43950</v>
      </c>
      <c r="J132" s="22">
        <v>11843.09</v>
      </c>
      <c r="K132" s="22">
        <v>0.31</v>
      </c>
      <c r="L132" s="22" t="s">
        <v>960</v>
      </c>
      <c r="M132" s="26" t="s">
        <v>97</v>
      </c>
      <c r="N132" s="13" t="s">
        <v>230</v>
      </c>
      <c r="O132" s="13" t="s">
        <v>284</v>
      </c>
      <c r="P132" s="13" t="s">
        <v>64</v>
      </c>
      <c r="Q132" s="13" t="s">
        <v>41</v>
      </c>
      <c r="R132" s="13" t="s">
        <v>270</v>
      </c>
      <c r="S132" s="13" t="s">
        <v>961</v>
      </c>
      <c r="T132" s="13" t="s">
        <v>974</v>
      </c>
      <c r="U132" s="13"/>
      <c r="V132" s="13"/>
      <c r="W132" s="13"/>
      <c r="AG132" s="54">
        <v>0.31</v>
      </c>
      <c r="AN132" s="7" t="s">
        <v>69</v>
      </c>
      <c r="AO132" s="21">
        <f t="shared" si="6"/>
        <v>0.31</v>
      </c>
      <c r="AP132" s="7">
        <f t="shared" si="7"/>
        <v>0</v>
      </c>
      <c r="AQ132" s="31" t="str">
        <f t="shared" si="5"/>
        <v>Complete - With Adjustment</v>
      </c>
    </row>
    <row r="133" spans="1:43" x14ac:dyDescent="0.2">
      <c r="A133" s="46">
        <v>123</v>
      </c>
      <c r="B133" s="13" t="s">
        <v>266</v>
      </c>
      <c r="C133" s="13" t="s">
        <v>283</v>
      </c>
      <c r="D133" s="13" t="s">
        <v>282</v>
      </c>
      <c r="E133" s="13" t="s">
        <v>959</v>
      </c>
      <c r="F133" s="13" t="s">
        <v>163</v>
      </c>
      <c r="G133" s="13" t="s">
        <v>111</v>
      </c>
      <c r="H133" s="16">
        <v>43930</v>
      </c>
      <c r="I133" s="16">
        <v>43950</v>
      </c>
      <c r="J133" s="22">
        <v>11843.09</v>
      </c>
      <c r="K133" s="22">
        <v>397.98</v>
      </c>
      <c r="L133" s="22" t="s">
        <v>960</v>
      </c>
      <c r="M133" s="26" t="s">
        <v>97</v>
      </c>
      <c r="N133" s="13" t="s">
        <v>230</v>
      </c>
      <c r="O133" s="13" t="s">
        <v>284</v>
      </c>
      <c r="P133" s="13" t="s">
        <v>64</v>
      </c>
      <c r="Q133" s="13" t="s">
        <v>44</v>
      </c>
      <c r="R133" s="13" t="s">
        <v>270</v>
      </c>
      <c r="S133" s="13" t="s">
        <v>961</v>
      </c>
      <c r="T133" s="13" t="s">
        <v>975</v>
      </c>
      <c r="U133" s="13"/>
      <c r="V133" s="13"/>
      <c r="W133" s="13"/>
      <c r="AG133" s="54">
        <v>397.98</v>
      </c>
      <c r="AN133" s="7" t="s">
        <v>69</v>
      </c>
      <c r="AO133" s="21">
        <f t="shared" si="6"/>
        <v>397.98</v>
      </c>
      <c r="AP133" s="7">
        <f t="shared" si="7"/>
        <v>0</v>
      </c>
      <c r="AQ133" s="31" t="str">
        <f t="shared" ref="AQ133:AQ196" si="8">IF(AO133&lt;&gt;0,"Complete - With Adjustment","Complete - No Adjustment")</f>
        <v>Complete - With Adjustment</v>
      </c>
    </row>
    <row r="134" spans="1:43" x14ac:dyDescent="0.2">
      <c r="A134" s="46">
        <v>124</v>
      </c>
      <c r="B134" s="13" t="s">
        <v>266</v>
      </c>
      <c r="C134" s="13" t="s">
        <v>283</v>
      </c>
      <c r="D134" s="13" t="s">
        <v>282</v>
      </c>
      <c r="E134" s="13" t="s">
        <v>959</v>
      </c>
      <c r="F134" s="13" t="s">
        <v>163</v>
      </c>
      <c r="G134" s="13" t="s">
        <v>111</v>
      </c>
      <c r="H134" s="16">
        <v>43930</v>
      </c>
      <c r="I134" s="16">
        <v>43950</v>
      </c>
      <c r="J134" s="22">
        <v>11843.09</v>
      </c>
      <c r="K134" s="22">
        <v>260.89</v>
      </c>
      <c r="L134" s="22" t="s">
        <v>960</v>
      </c>
      <c r="M134" s="26" t="s">
        <v>98</v>
      </c>
      <c r="N134" s="13" t="s">
        <v>230</v>
      </c>
      <c r="O134" s="13" t="s">
        <v>284</v>
      </c>
      <c r="P134" s="13" t="s">
        <v>60</v>
      </c>
      <c r="Q134" s="13" t="s">
        <v>41</v>
      </c>
      <c r="R134" s="13" t="s">
        <v>270</v>
      </c>
      <c r="S134" s="13" t="s">
        <v>961</v>
      </c>
      <c r="T134" s="13" t="s">
        <v>963</v>
      </c>
      <c r="U134" s="13"/>
      <c r="V134" s="13"/>
      <c r="W134" s="13"/>
      <c r="Y134" s="53">
        <v>4.62</v>
      </c>
      <c r="AB134" s="14">
        <f>274.62-(25*7*1.0825*1.2)</f>
        <v>47.295000000000016</v>
      </c>
      <c r="AN134" s="7" t="s">
        <v>154</v>
      </c>
      <c r="AO134" s="21">
        <f t="shared" si="6"/>
        <v>51.915000000000013</v>
      </c>
      <c r="AP134" s="7">
        <f t="shared" si="7"/>
        <v>208.97499999999997</v>
      </c>
      <c r="AQ134" s="31" t="str">
        <f t="shared" si="8"/>
        <v>Complete - With Adjustment</v>
      </c>
    </row>
    <row r="135" spans="1:43" x14ac:dyDescent="0.2">
      <c r="A135" s="46">
        <v>125</v>
      </c>
      <c r="B135" s="13" t="s">
        <v>266</v>
      </c>
      <c r="C135" s="13" t="s">
        <v>283</v>
      </c>
      <c r="D135" s="13" t="s">
        <v>282</v>
      </c>
      <c r="E135" s="13" t="s">
        <v>959</v>
      </c>
      <c r="F135" s="13" t="s">
        <v>163</v>
      </c>
      <c r="G135" s="13" t="s">
        <v>111</v>
      </c>
      <c r="H135" s="16">
        <v>43930</v>
      </c>
      <c r="I135" s="16">
        <v>43950</v>
      </c>
      <c r="J135" s="22">
        <v>11843.09</v>
      </c>
      <c r="K135" s="22">
        <v>5.83</v>
      </c>
      <c r="L135" s="22" t="s">
        <v>960</v>
      </c>
      <c r="M135" s="26" t="s">
        <v>97</v>
      </c>
      <c r="N135" s="13" t="s">
        <v>230</v>
      </c>
      <c r="O135" s="13" t="s">
        <v>284</v>
      </c>
      <c r="P135" s="13" t="s">
        <v>64</v>
      </c>
      <c r="Q135" s="13" t="s">
        <v>41</v>
      </c>
      <c r="R135" s="13" t="s">
        <v>270</v>
      </c>
      <c r="S135" s="13" t="s">
        <v>961</v>
      </c>
      <c r="T135" s="13" t="s">
        <v>755</v>
      </c>
      <c r="U135" s="13"/>
      <c r="V135" s="13"/>
      <c r="W135" s="13"/>
      <c r="AG135" s="54">
        <v>5.83</v>
      </c>
      <c r="AN135" s="7" t="s">
        <v>69</v>
      </c>
      <c r="AO135" s="21">
        <f t="shared" si="6"/>
        <v>5.83</v>
      </c>
      <c r="AP135" s="7">
        <f t="shared" si="7"/>
        <v>0</v>
      </c>
      <c r="AQ135" s="31" t="str">
        <f t="shared" si="8"/>
        <v>Complete - With Adjustment</v>
      </c>
    </row>
    <row r="136" spans="1:43" x14ac:dyDescent="0.2">
      <c r="A136" s="46">
        <v>126</v>
      </c>
      <c r="B136" s="13" t="s">
        <v>266</v>
      </c>
      <c r="C136" s="13" t="s">
        <v>283</v>
      </c>
      <c r="D136" s="13" t="s">
        <v>282</v>
      </c>
      <c r="E136" s="13" t="s">
        <v>959</v>
      </c>
      <c r="F136" s="13" t="s">
        <v>163</v>
      </c>
      <c r="G136" s="13" t="s">
        <v>111</v>
      </c>
      <c r="H136" s="16">
        <v>43930</v>
      </c>
      <c r="I136" s="16">
        <v>43950</v>
      </c>
      <c r="J136" s="22">
        <v>11843.09</v>
      </c>
      <c r="K136" s="22">
        <v>11</v>
      </c>
      <c r="L136" s="22" t="s">
        <v>960</v>
      </c>
      <c r="M136" s="26" t="s">
        <v>97</v>
      </c>
      <c r="N136" s="13" t="s">
        <v>230</v>
      </c>
      <c r="O136" s="13" t="s">
        <v>284</v>
      </c>
      <c r="P136" s="13" t="s">
        <v>64</v>
      </c>
      <c r="Q136" s="13" t="s">
        <v>44</v>
      </c>
      <c r="R136" s="13" t="s">
        <v>270</v>
      </c>
      <c r="S136" s="13" t="s">
        <v>961</v>
      </c>
      <c r="T136" s="13" t="s">
        <v>976</v>
      </c>
      <c r="U136" s="13"/>
      <c r="V136" s="13"/>
      <c r="W136" s="13"/>
      <c r="AG136" s="54">
        <v>11</v>
      </c>
      <c r="AN136" s="7" t="s">
        <v>69</v>
      </c>
      <c r="AO136" s="21">
        <f t="shared" si="6"/>
        <v>11</v>
      </c>
      <c r="AP136" s="7">
        <f t="shared" si="7"/>
        <v>0</v>
      </c>
      <c r="AQ136" s="31" t="str">
        <f t="shared" si="8"/>
        <v>Complete - With Adjustment</v>
      </c>
    </row>
    <row r="137" spans="1:43" x14ac:dyDescent="0.2">
      <c r="A137" s="46">
        <v>127</v>
      </c>
      <c r="B137" s="13" t="s">
        <v>266</v>
      </c>
      <c r="C137" s="13" t="s">
        <v>286</v>
      </c>
      <c r="D137" s="13" t="s">
        <v>285</v>
      </c>
      <c r="E137" s="13" t="s">
        <v>977</v>
      </c>
      <c r="F137" s="13" t="s">
        <v>165</v>
      </c>
      <c r="G137" s="13" t="s">
        <v>111</v>
      </c>
      <c r="H137" s="16">
        <v>43922</v>
      </c>
      <c r="I137" s="16">
        <v>43924</v>
      </c>
      <c r="J137" s="22">
        <v>23.25</v>
      </c>
      <c r="K137" s="22">
        <v>23.25</v>
      </c>
      <c r="L137" s="22" t="s">
        <v>978</v>
      </c>
      <c r="M137" s="26" t="s">
        <v>98</v>
      </c>
      <c r="N137" s="13" t="s">
        <v>230</v>
      </c>
      <c r="O137" s="13" t="s">
        <v>287</v>
      </c>
      <c r="P137" s="13" t="s">
        <v>60</v>
      </c>
      <c r="Q137" s="13" t="s">
        <v>41</v>
      </c>
      <c r="R137" s="13" t="s">
        <v>270</v>
      </c>
      <c r="S137" s="13" t="s">
        <v>979</v>
      </c>
      <c r="T137" s="13" t="s">
        <v>980</v>
      </c>
      <c r="U137" s="13"/>
      <c r="V137" s="13"/>
      <c r="W137" s="13"/>
      <c r="AC137" s="53">
        <f>(23.25-18.4*1.2)</f>
        <v>1.1700000000000017</v>
      </c>
      <c r="AN137" s="7" t="s">
        <v>67</v>
      </c>
      <c r="AO137" s="21">
        <f t="shared" si="6"/>
        <v>1.1700000000000017</v>
      </c>
      <c r="AP137" s="7">
        <f t="shared" si="7"/>
        <v>22.08</v>
      </c>
      <c r="AQ137" s="31" t="str">
        <f t="shared" si="8"/>
        <v>Complete - With Adjustment</v>
      </c>
    </row>
    <row r="138" spans="1:43" x14ac:dyDescent="0.2">
      <c r="A138" s="46">
        <v>128</v>
      </c>
      <c r="B138" s="13" t="s">
        <v>266</v>
      </c>
      <c r="C138" s="13" t="s">
        <v>240</v>
      </c>
      <c r="D138" s="13" t="s">
        <v>239</v>
      </c>
      <c r="E138" s="13" t="s">
        <v>981</v>
      </c>
      <c r="F138" s="13" t="s">
        <v>156</v>
      </c>
      <c r="G138" s="13" t="s">
        <v>111</v>
      </c>
      <c r="H138" s="16">
        <v>43909</v>
      </c>
      <c r="I138" s="16">
        <v>43922</v>
      </c>
      <c r="J138" s="22">
        <v>764.7</v>
      </c>
      <c r="K138" s="22">
        <v>764.7</v>
      </c>
      <c r="L138" s="22" t="s">
        <v>982</v>
      </c>
      <c r="M138" s="26" t="s">
        <v>98</v>
      </c>
      <c r="N138" s="13" t="s">
        <v>230</v>
      </c>
      <c r="O138" s="13" t="s">
        <v>983</v>
      </c>
      <c r="P138" s="13" t="s">
        <v>406</v>
      </c>
      <c r="Q138" s="13" t="s">
        <v>76</v>
      </c>
      <c r="R138" s="13" t="s">
        <v>270</v>
      </c>
      <c r="S138" s="13" t="s">
        <v>984</v>
      </c>
      <c r="T138" s="13" t="s">
        <v>985</v>
      </c>
      <c r="U138" s="13" t="s">
        <v>986</v>
      </c>
      <c r="V138" s="13" t="s">
        <v>406</v>
      </c>
      <c r="W138" s="13" t="s">
        <v>987</v>
      </c>
      <c r="AN138" s="7" t="s">
        <v>155</v>
      </c>
      <c r="AO138" s="21">
        <f t="shared" si="6"/>
        <v>0</v>
      </c>
      <c r="AP138" s="7">
        <f t="shared" si="7"/>
        <v>764.7</v>
      </c>
      <c r="AQ138" s="31" t="str">
        <f t="shared" si="8"/>
        <v>Complete - No Adjustment</v>
      </c>
    </row>
    <row r="139" spans="1:43" x14ac:dyDescent="0.2">
      <c r="A139" s="46">
        <v>129</v>
      </c>
      <c r="B139" s="13" t="s">
        <v>266</v>
      </c>
      <c r="C139" s="13" t="s">
        <v>291</v>
      </c>
      <c r="D139" s="13" t="s">
        <v>290</v>
      </c>
      <c r="E139" s="13" t="s">
        <v>988</v>
      </c>
      <c r="F139" s="13" t="s">
        <v>163</v>
      </c>
      <c r="G139" s="13" t="s">
        <v>111</v>
      </c>
      <c r="H139" s="16">
        <v>43929</v>
      </c>
      <c r="I139" s="16">
        <v>43950</v>
      </c>
      <c r="J139" s="22">
        <v>1053.08</v>
      </c>
      <c r="K139" s="22">
        <v>125</v>
      </c>
      <c r="L139" s="22" t="s">
        <v>989</v>
      </c>
      <c r="M139" s="26" t="s">
        <v>98</v>
      </c>
      <c r="N139" s="13" t="s">
        <v>230</v>
      </c>
      <c r="O139" s="13" t="s">
        <v>292</v>
      </c>
      <c r="P139" s="13" t="s">
        <v>60</v>
      </c>
      <c r="Q139" s="13" t="s">
        <v>59</v>
      </c>
      <c r="R139" s="13" t="s">
        <v>270</v>
      </c>
      <c r="S139" s="13" t="s">
        <v>990</v>
      </c>
      <c r="T139" s="13" t="s">
        <v>991</v>
      </c>
      <c r="U139" s="13"/>
      <c r="V139" s="13"/>
      <c r="W139" s="13"/>
      <c r="AN139" s="7" t="s">
        <v>70</v>
      </c>
      <c r="AO139" s="21">
        <f t="shared" si="6"/>
        <v>0</v>
      </c>
      <c r="AP139" s="7">
        <f t="shared" si="7"/>
        <v>125</v>
      </c>
      <c r="AQ139" s="31" t="str">
        <f t="shared" si="8"/>
        <v>Complete - No Adjustment</v>
      </c>
    </row>
    <row r="140" spans="1:43" x14ac:dyDescent="0.2">
      <c r="A140" s="46">
        <v>130</v>
      </c>
      <c r="B140" s="13" t="s">
        <v>266</v>
      </c>
      <c r="C140" s="13" t="s">
        <v>291</v>
      </c>
      <c r="D140" s="13" t="s">
        <v>290</v>
      </c>
      <c r="E140" s="13" t="s">
        <v>988</v>
      </c>
      <c r="F140" s="13" t="s">
        <v>163</v>
      </c>
      <c r="G140" s="13" t="s">
        <v>111</v>
      </c>
      <c r="H140" s="16">
        <v>43929</v>
      </c>
      <c r="I140" s="16">
        <v>43950</v>
      </c>
      <c r="J140" s="22">
        <v>1053.08</v>
      </c>
      <c r="K140" s="22">
        <v>196.09</v>
      </c>
      <c r="L140" s="22" t="s">
        <v>989</v>
      </c>
      <c r="M140" s="26" t="s">
        <v>98</v>
      </c>
      <c r="N140" s="13" t="s">
        <v>230</v>
      </c>
      <c r="O140" s="13" t="s">
        <v>292</v>
      </c>
      <c r="P140" s="13" t="s">
        <v>60</v>
      </c>
      <c r="Q140" s="13" t="s">
        <v>174</v>
      </c>
      <c r="R140" s="13" t="s">
        <v>270</v>
      </c>
      <c r="S140" s="13" t="s">
        <v>990</v>
      </c>
      <c r="T140" s="13" t="s">
        <v>992</v>
      </c>
      <c r="U140" s="13"/>
      <c r="V140" s="13"/>
      <c r="W140" s="13"/>
      <c r="AN140" s="7" t="s">
        <v>70</v>
      </c>
      <c r="AO140" s="21">
        <f t="shared" si="6"/>
        <v>0</v>
      </c>
      <c r="AP140" s="7">
        <f t="shared" si="7"/>
        <v>196.09</v>
      </c>
      <c r="AQ140" s="31" t="str">
        <f t="shared" si="8"/>
        <v>Complete - No Adjustment</v>
      </c>
    </row>
    <row r="141" spans="1:43" x14ac:dyDescent="0.2">
      <c r="A141" s="46">
        <v>131</v>
      </c>
      <c r="B141" s="13" t="s">
        <v>266</v>
      </c>
      <c r="C141" s="13" t="s">
        <v>291</v>
      </c>
      <c r="D141" s="13" t="s">
        <v>290</v>
      </c>
      <c r="E141" s="13" t="s">
        <v>988</v>
      </c>
      <c r="F141" s="13" t="s">
        <v>163</v>
      </c>
      <c r="G141" s="13" t="s">
        <v>111</v>
      </c>
      <c r="H141" s="16">
        <v>43929</v>
      </c>
      <c r="I141" s="16">
        <v>43950</v>
      </c>
      <c r="J141" s="22">
        <v>1053.08</v>
      </c>
      <c r="K141" s="22">
        <v>700</v>
      </c>
      <c r="L141" s="22" t="s">
        <v>989</v>
      </c>
      <c r="M141" s="26" t="s">
        <v>97</v>
      </c>
      <c r="N141" s="13" t="s">
        <v>230</v>
      </c>
      <c r="O141" s="13" t="s">
        <v>292</v>
      </c>
      <c r="P141" s="13" t="s">
        <v>42</v>
      </c>
      <c r="Q141" s="13" t="s">
        <v>55</v>
      </c>
      <c r="R141" s="13" t="s">
        <v>270</v>
      </c>
      <c r="S141" s="13" t="s">
        <v>990</v>
      </c>
      <c r="T141" s="13" t="s">
        <v>993</v>
      </c>
      <c r="U141" s="13"/>
      <c r="V141" s="13"/>
      <c r="W141" s="13"/>
      <c r="AI141" s="53">
        <v>700</v>
      </c>
      <c r="AN141" s="7" t="s">
        <v>145</v>
      </c>
      <c r="AO141" s="21">
        <f t="shared" si="6"/>
        <v>700</v>
      </c>
      <c r="AP141" s="7">
        <f t="shared" si="7"/>
        <v>0</v>
      </c>
      <c r="AQ141" s="31" t="str">
        <f t="shared" si="8"/>
        <v>Complete - With Adjustment</v>
      </c>
    </row>
    <row r="142" spans="1:43" x14ac:dyDescent="0.2">
      <c r="A142" s="46">
        <v>132</v>
      </c>
      <c r="B142" s="13" t="s">
        <v>266</v>
      </c>
      <c r="C142" s="13" t="s">
        <v>291</v>
      </c>
      <c r="D142" s="13" t="s">
        <v>290</v>
      </c>
      <c r="E142" s="13" t="s">
        <v>988</v>
      </c>
      <c r="F142" s="13" t="s">
        <v>163</v>
      </c>
      <c r="G142" s="13" t="s">
        <v>111</v>
      </c>
      <c r="H142" s="16">
        <v>43929</v>
      </c>
      <c r="I142" s="16">
        <v>43950</v>
      </c>
      <c r="J142" s="22">
        <v>1053.08</v>
      </c>
      <c r="K142" s="22">
        <v>31.99</v>
      </c>
      <c r="L142" s="22" t="s">
        <v>989</v>
      </c>
      <c r="M142" s="26" t="s">
        <v>98</v>
      </c>
      <c r="N142" s="13" t="s">
        <v>230</v>
      </c>
      <c r="O142" s="13" t="s">
        <v>292</v>
      </c>
      <c r="P142" s="13" t="s">
        <v>60</v>
      </c>
      <c r="Q142" s="13" t="s">
        <v>174</v>
      </c>
      <c r="R142" s="13" t="s">
        <v>270</v>
      </c>
      <c r="S142" s="13" t="s">
        <v>990</v>
      </c>
      <c r="T142" s="13" t="s">
        <v>994</v>
      </c>
      <c r="U142" s="13"/>
      <c r="V142" s="13"/>
      <c r="W142" s="13"/>
      <c r="AN142" s="7" t="s">
        <v>70</v>
      </c>
      <c r="AO142" s="21">
        <f t="shared" si="6"/>
        <v>0</v>
      </c>
      <c r="AP142" s="7">
        <f t="shared" si="7"/>
        <v>31.99</v>
      </c>
      <c r="AQ142" s="31" t="str">
        <f t="shared" si="8"/>
        <v>Complete - No Adjustment</v>
      </c>
    </row>
    <row r="143" spans="1:43" x14ac:dyDescent="0.2">
      <c r="A143" s="46">
        <v>133</v>
      </c>
      <c r="B143" s="13" t="s">
        <v>266</v>
      </c>
      <c r="C143" s="13" t="s">
        <v>296</v>
      </c>
      <c r="D143" s="13" t="s">
        <v>295</v>
      </c>
      <c r="E143" s="13" t="s">
        <v>995</v>
      </c>
      <c r="F143" s="13" t="s">
        <v>170</v>
      </c>
      <c r="G143" s="13" t="s">
        <v>111</v>
      </c>
      <c r="H143" s="16">
        <v>43921</v>
      </c>
      <c r="I143" s="16">
        <v>43923</v>
      </c>
      <c r="J143" s="22">
        <v>10.050000000000001</v>
      </c>
      <c r="K143" s="22">
        <v>10.050000000000001</v>
      </c>
      <c r="L143" s="22" t="s">
        <v>996</v>
      </c>
      <c r="M143" s="26" t="s">
        <v>98</v>
      </c>
      <c r="N143" s="13" t="s">
        <v>230</v>
      </c>
      <c r="O143" s="13" t="s">
        <v>297</v>
      </c>
      <c r="P143" s="13" t="s">
        <v>60</v>
      </c>
      <c r="Q143" s="13" t="s">
        <v>41</v>
      </c>
      <c r="R143" s="13" t="s">
        <v>270</v>
      </c>
      <c r="S143" s="13" t="s">
        <v>997</v>
      </c>
      <c r="T143" s="13" t="s">
        <v>998</v>
      </c>
      <c r="U143" s="13"/>
      <c r="V143" s="13"/>
      <c r="W143" s="13"/>
      <c r="AN143" s="7" t="s">
        <v>70</v>
      </c>
      <c r="AO143" s="21">
        <f t="shared" si="6"/>
        <v>0</v>
      </c>
      <c r="AP143" s="7">
        <f t="shared" si="7"/>
        <v>10.050000000000001</v>
      </c>
      <c r="AQ143" s="31" t="str">
        <f t="shared" si="8"/>
        <v>Complete - No Adjustment</v>
      </c>
    </row>
    <row r="144" spans="1:43" x14ac:dyDescent="0.2">
      <c r="A144" s="46">
        <v>134</v>
      </c>
      <c r="B144" s="13" t="s">
        <v>266</v>
      </c>
      <c r="C144" s="13" t="s">
        <v>300</v>
      </c>
      <c r="D144" s="13" t="s">
        <v>299</v>
      </c>
      <c r="E144" s="13" t="s">
        <v>999</v>
      </c>
      <c r="F144" s="13" t="s">
        <v>172</v>
      </c>
      <c r="G144" s="13" t="s">
        <v>111</v>
      </c>
      <c r="H144" s="16">
        <v>43903</v>
      </c>
      <c r="I144" s="16">
        <v>43937</v>
      </c>
      <c r="J144" s="22">
        <v>449.51</v>
      </c>
      <c r="K144" s="22">
        <v>11.76</v>
      </c>
      <c r="L144" s="22" t="s">
        <v>1000</v>
      </c>
      <c r="M144" s="26" t="s">
        <v>98</v>
      </c>
      <c r="N144" s="13" t="s">
        <v>230</v>
      </c>
      <c r="O144" s="13" t="s">
        <v>272</v>
      </c>
      <c r="P144" s="13" t="s">
        <v>60</v>
      </c>
      <c r="Q144" s="13" t="s">
        <v>44</v>
      </c>
      <c r="R144" s="13" t="s">
        <v>270</v>
      </c>
      <c r="S144" s="13" t="s">
        <v>1001</v>
      </c>
      <c r="T144" s="13" t="s">
        <v>1002</v>
      </c>
      <c r="U144" s="13"/>
      <c r="V144" s="13"/>
      <c r="W144" s="13"/>
      <c r="AN144" s="7" t="s">
        <v>70</v>
      </c>
      <c r="AO144" s="21">
        <f t="shared" si="6"/>
        <v>0</v>
      </c>
      <c r="AP144" s="7">
        <f t="shared" si="7"/>
        <v>11.76</v>
      </c>
      <c r="AQ144" s="31" t="str">
        <f t="shared" si="8"/>
        <v>Complete - No Adjustment</v>
      </c>
    </row>
    <row r="145" spans="1:43" x14ac:dyDescent="0.2">
      <c r="A145" s="46">
        <v>135</v>
      </c>
      <c r="B145" s="13" t="s">
        <v>266</v>
      </c>
      <c r="C145" s="13" t="s">
        <v>300</v>
      </c>
      <c r="D145" s="13" t="s">
        <v>299</v>
      </c>
      <c r="E145" s="13" t="s">
        <v>999</v>
      </c>
      <c r="F145" s="13" t="s">
        <v>172</v>
      </c>
      <c r="G145" s="13" t="s">
        <v>111</v>
      </c>
      <c r="H145" s="16">
        <v>43903</v>
      </c>
      <c r="I145" s="16">
        <v>43937</v>
      </c>
      <c r="J145" s="22">
        <v>449.51</v>
      </c>
      <c r="K145" s="22">
        <v>7</v>
      </c>
      <c r="L145" s="22" t="s">
        <v>1000</v>
      </c>
      <c r="M145" s="26" t="s">
        <v>98</v>
      </c>
      <c r="N145" s="13" t="s">
        <v>230</v>
      </c>
      <c r="O145" s="13" t="s">
        <v>272</v>
      </c>
      <c r="P145" s="13" t="s">
        <v>60</v>
      </c>
      <c r="Q145" s="13" t="s">
        <v>44</v>
      </c>
      <c r="R145" s="13" t="s">
        <v>270</v>
      </c>
      <c r="S145" s="13" t="s">
        <v>1001</v>
      </c>
      <c r="T145" s="13" t="s">
        <v>1003</v>
      </c>
      <c r="U145" s="13"/>
      <c r="V145" s="13"/>
      <c r="W145" s="13"/>
      <c r="AN145" s="7" t="s">
        <v>70</v>
      </c>
      <c r="AO145" s="21">
        <f t="shared" si="6"/>
        <v>0</v>
      </c>
      <c r="AP145" s="7">
        <f t="shared" si="7"/>
        <v>7</v>
      </c>
      <c r="AQ145" s="31" t="str">
        <f t="shared" si="8"/>
        <v>Complete - No Adjustment</v>
      </c>
    </row>
    <row r="146" spans="1:43" x14ac:dyDescent="0.2">
      <c r="A146" s="46">
        <v>136</v>
      </c>
      <c r="B146" s="13" t="s">
        <v>266</v>
      </c>
      <c r="C146" s="13" t="s">
        <v>300</v>
      </c>
      <c r="D146" s="13" t="s">
        <v>299</v>
      </c>
      <c r="E146" s="13" t="s">
        <v>999</v>
      </c>
      <c r="F146" s="13" t="s">
        <v>172</v>
      </c>
      <c r="G146" s="13" t="s">
        <v>111</v>
      </c>
      <c r="H146" s="16">
        <v>43903</v>
      </c>
      <c r="I146" s="16">
        <v>43937</v>
      </c>
      <c r="J146" s="22">
        <v>449.51</v>
      </c>
      <c r="K146" s="22">
        <v>18</v>
      </c>
      <c r="L146" s="22" t="s">
        <v>1000</v>
      </c>
      <c r="M146" s="26" t="s">
        <v>98</v>
      </c>
      <c r="N146" s="13" t="s">
        <v>230</v>
      </c>
      <c r="O146" s="13" t="s">
        <v>272</v>
      </c>
      <c r="P146" s="13" t="s">
        <v>60</v>
      </c>
      <c r="Q146" s="13" t="s">
        <v>44</v>
      </c>
      <c r="R146" s="13" t="s">
        <v>270</v>
      </c>
      <c r="S146" s="13" t="s">
        <v>1001</v>
      </c>
      <c r="T146" s="13" t="s">
        <v>1004</v>
      </c>
      <c r="U146" s="13"/>
      <c r="V146" s="13"/>
      <c r="W146" s="13"/>
      <c r="AN146" s="7" t="s">
        <v>70</v>
      </c>
      <c r="AO146" s="21">
        <f t="shared" si="6"/>
        <v>0</v>
      </c>
      <c r="AP146" s="7">
        <f t="shared" si="7"/>
        <v>18</v>
      </c>
      <c r="AQ146" s="31" t="str">
        <f t="shared" si="8"/>
        <v>Complete - No Adjustment</v>
      </c>
    </row>
    <row r="147" spans="1:43" x14ac:dyDescent="0.2">
      <c r="A147" s="46">
        <v>137</v>
      </c>
      <c r="B147" s="13" t="s">
        <v>266</v>
      </c>
      <c r="C147" s="13" t="s">
        <v>300</v>
      </c>
      <c r="D147" s="13" t="s">
        <v>299</v>
      </c>
      <c r="E147" s="13" t="s">
        <v>999</v>
      </c>
      <c r="F147" s="13" t="s">
        <v>172</v>
      </c>
      <c r="G147" s="13" t="s">
        <v>111</v>
      </c>
      <c r="H147" s="16">
        <v>43903</v>
      </c>
      <c r="I147" s="16">
        <v>43937</v>
      </c>
      <c r="J147" s="22">
        <v>449.51</v>
      </c>
      <c r="K147" s="22">
        <v>6.9</v>
      </c>
      <c r="L147" s="22" t="s">
        <v>1000</v>
      </c>
      <c r="M147" s="26" t="s">
        <v>98</v>
      </c>
      <c r="N147" s="13" t="s">
        <v>230</v>
      </c>
      <c r="O147" s="13" t="s">
        <v>272</v>
      </c>
      <c r="P147" s="13" t="s">
        <v>60</v>
      </c>
      <c r="Q147" s="13" t="s">
        <v>41</v>
      </c>
      <c r="R147" s="13" t="s">
        <v>270</v>
      </c>
      <c r="S147" s="13" t="s">
        <v>1001</v>
      </c>
      <c r="T147" s="13" t="s">
        <v>1005</v>
      </c>
      <c r="U147" s="13"/>
      <c r="V147" s="13"/>
      <c r="W147" s="13"/>
      <c r="AN147" s="7" t="s">
        <v>70</v>
      </c>
      <c r="AO147" s="21">
        <f t="shared" si="6"/>
        <v>0</v>
      </c>
      <c r="AP147" s="7">
        <f t="shared" si="7"/>
        <v>6.9</v>
      </c>
      <c r="AQ147" s="31" t="str">
        <f t="shared" si="8"/>
        <v>Complete - No Adjustment</v>
      </c>
    </row>
    <row r="148" spans="1:43" x14ac:dyDescent="0.2">
      <c r="A148" s="46">
        <v>138</v>
      </c>
      <c r="B148" s="13" t="s">
        <v>266</v>
      </c>
      <c r="C148" s="13" t="s">
        <v>300</v>
      </c>
      <c r="D148" s="13" t="s">
        <v>299</v>
      </c>
      <c r="E148" s="13" t="s">
        <v>999</v>
      </c>
      <c r="F148" s="13" t="s">
        <v>172</v>
      </c>
      <c r="G148" s="13" t="s">
        <v>111</v>
      </c>
      <c r="H148" s="16">
        <v>43903</v>
      </c>
      <c r="I148" s="16">
        <v>43937</v>
      </c>
      <c r="J148" s="22">
        <v>449.51</v>
      </c>
      <c r="K148" s="22">
        <v>160.08000000000001</v>
      </c>
      <c r="L148" s="22" t="s">
        <v>1000</v>
      </c>
      <c r="M148" s="26" t="s">
        <v>98</v>
      </c>
      <c r="N148" s="13" t="s">
        <v>230</v>
      </c>
      <c r="O148" s="13" t="s">
        <v>272</v>
      </c>
      <c r="P148" s="13" t="s">
        <v>60</v>
      </c>
      <c r="Q148" s="13" t="s">
        <v>45</v>
      </c>
      <c r="R148" s="13" t="s">
        <v>270</v>
      </c>
      <c r="S148" s="13" t="s">
        <v>1001</v>
      </c>
      <c r="T148" s="13" t="s">
        <v>1006</v>
      </c>
      <c r="U148" s="13"/>
      <c r="V148" s="13"/>
      <c r="W148" s="13"/>
      <c r="AN148" s="7" t="s">
        <v>70</v>
      </c>
      <c r="AO148" s="21">
        <f t="shared" si="6"/>
        <v>0</v>
      </c>
      <c r="AP148" s="7">
        <f t="shared" si="7"/>
        <v>160.08000000000001</v>
      </c>
      <c r="AQ148" s="31" t="str">
        <f t="shared" si="8"/>
        <v>Complete - No Adjustment</v>
      </c>
    </row>
    <row r="149" spans="1:43" x14ac:dyDescent="0.2">
      <c r="A149" s="46">
        <v>139</v>
      </c>
      <c r="B149" s="13" t="s">
        <v>266</v>
      </c>
      <c r="C149" s="13" t="s">
        <v>300</v>
      </c>
      <c r="D149" s="13" t="s">
        <v>299</v>
      </c>
      <c r="E149" s="13" t="s">
        <v>999</v>
      </c>
      <c r="F149" s="13" t="s">
        <v>172</v>
      </c>
      <c r="G149" s="13" t="s">
        <v>111</v>
      </c>
      <c r="H149" s="16">
        <v>43903</v>
      </c>
      <c r="I149" s="16">
        <v>43937</v>
      </c>
      <c r="J149" s="22">
        <v>449.51</v>
      </c>
      <c r="K149" s="22">
        <v>13.94</v>
      </c>
      <c r="L149" s="22" t="s">
        <v>1000</v>
      </c>
      <c r="M149" s="26" t="s">
        <v>98</v>
      </c>
      <c r="N149" s="13" t="s">
        <v>230</v>
      </c>
      <c r="O149" s="13" t="s">
        <v>272</v>
      </c>
      <c r="P149" s="13" t="s">
        <v>60</v>
      </c>
      <c r="Q149" s="13" t="s">
        <v>41</v>
      </c>
      <c r="R149" s="13" t="s">
        <v>270</v>
      </c>
      <c r="S149" s="13" t="s">
        <v>1001</v>
      </c>
      <c r="T149" s="13" t="s">
        <v>1005</v>
      </c>
      <c r="U149" s="13"/>
      <c r="V149" s="13"/>
      <c r="W149" s="13"/>
      <c r="AN149" s="7" t="s">
        <v>70</v>
      </c>
      <c r="AO149" s="21">
        <f t="shared" si="6"/>
        <v>0</v>
      </c>
      <c r="AP149" s="7">
        <f t="shared" si="7"/>
        <v>13.94</v>
      </c>
      <c r="AQ149" s="31" t="str">
        <f t="shared" si="8"/>
        <v>Complete - No Adjustment</v>
      </c>
    </row>
    <row r="150" spans="1:43" x14ac:dyDescent="0.2">
      <c r="A150" s="46">
        <v>140</v>
      </c>
      <c r="B150" s="13" t="s">
        <v>266</v>
      </c>
      <c r="C150" s="13" t="s">
        <v>300</v>
      </c>
      <c r="D150" s="13" t="s">
        <v>299</v>
      </c>
      <c r="E150" s="13" t="s">
        <v>999</v>
      </c>
      <c r="F150" s="13" t="s">
        <v>172</v>
      </c>
      <c r="G150" s="13" t="s">
        <v>111</v>
      </c>
      <c r="H150" s="16">
        <v>43903</v>
      </c>
      <c r="I150" s="16">
        <v>43937</v>
      </c>
      <c r="J150" s="22">
        <v>449.51</v>
      </c>
      <c r="K150" s="22">
        <v>2</v>
      </c>
      <c r="L150" s="22" t="s">
        <v>1000</v>
      </c>
      <c r="M150" s="26" t="s">
        <v>98</v>
      </c>
      <c r="N150" s="13" t="s">
        <v>230</v>
      </c>
      <c r="O150" s="13" t="s">
        <v>272</v>
      </c>
      <c r="P150" s="13" t="s">
        <v>60</v>
      </c>
      <c r="Q150" s="13" t="s">
        <v>44</v>
      </c>
      <c r="R150" s="13" t="s">
        <v>270</v>
      </c>
      <c r="S150" s="13" t="s">
        <v>1001</v>
      </c>
      <c r="T150" s="13" t="s">
        <v>1004</v>
      </c>
      <c r="U150" s="13"/>
      <c r="V150" s="13"/>
      <c r="W150" s="13"/>
      <c r="AN150" s="7" t="s">
        <v>70</v>
      </c>
      <c r="AO150" s="21">
        <f t="shared" si="6"/>
        <v>0</v>
      </c>
      <c r="AP150" s="7">
        <f t="shared" si="7"/>
        <v>2</v>
      </c>
      <c r="AQ150" s="31" t="str">
        <f t="shared" si="8"/>
        <v>Complete - No Adjustment</v>
      </c>
    </row>
    <row r="151" spans="1:43" x14ac:dyDescent="0.2">
      <c r="A151" s="46">
        <v>141</v>
      </c>
      <c r="B151" s="13" t="s">
        <v>266</v>
      </c>
      <c r="C151" s="13" t="s">
        <v>300</v>
      </c>
      <c r="D151" s="13" t="s">
        <v>299</v>
      </c>
      <c r="E151" s="13" t="s">
        <v>999</v>
      </c>
      <c r="F151" s="13" t="s">
        <v>172</v>
      </c>
      <c r="G151" s="13" t="s">
        <v>111</v>
      </c>
      <c r="H151" s="16">
        <v>43903</v>
      </c>
      <c r="I151" s="16">
        <v>43937</v>
      </c>
      <c r="J151" s="22">
        <v>449.51</v>
      </c>
      <c r="K151" s="22">
        <v>18</v>
      </c>
      <c r="L151" s="22" t="s">
        <v>1000</v>
      </c>
      <c r="M151" s="26" t="s">
        <v>98</v>
      </c>
      <c r="N151" s="13" t="s">
        <v>230</v>
      </c>
      <c r="O151" s="13" t="s">
        <v>272</v>
      </c>
      <c r="P151" s="13" t="s">
        <v>60</v>
      </c>
      <c r="Q151" s="13" t="s">
        <v>44</v>
      </c>
      <c r="R151" s="13" t="s">
        <v>270</v>
      </c>
      <c r="S151" s="13" t="s">
        <v>1001</v>
      </c>
      <c r="T151" s="13" t="s">
        <v>1007</v>
      </c>
      <c r="U151" s="13"/>
      <c r="V151" s="13"/>
      <c r="W151" s="13"/>
      <c r="AN151" s="7" t="s">
        <v>70</v>
      </c>
      <c r="AO151" s="21">
        <f t="shared" si="6"/>
        <v>0</v>
      </c>
      <c r="AP151" s="7">
        <f t="shared" si="7"/>
        <v>18</v>
      </c>
      <c r="AQ151" s="31" t="str">
        <f t="shared" si="8"/>
        <v>Complete - No Adjustment</v>
      </c>
    </row>
    <row r="152" spans="1:43" x14ac:dyDescent="0.2">
      <c r="A152" s="46">
        <v>142</v>
      </c>
      <c r="B152" s="13" t="s">
        <v>266</v>
      </c>
      <c r="C152" s="13" t="s">
        <v>300</v>
      </c>
      <c r="D152" s="13" t="s">
        <v>299</v>
      </c>
      <c r="E152" s="13" t="s">
        <v>999</v>
      </c>
      <c r="F152" s="13" t="s">
        <v>172</v>
      </c>
      <c r="G152" s="13" t="s">
        <v>111</v>
      </c>
      <c r="H152" s="16">
        <v>43903</v>
      </c>
      <c r="I152" s="16">
        <v>43937</v>
      </c>
      <c r="J152" s="22">
        <v>449.51</v>
      </c>
      <c r="K152" s="22">
        <v>21.65</v>
      </c>
      <c r="L152" s="22" t="s">
        <v>1000</v>
      </c>
      <c r="M152" s="26" t="s">
        <v>98</v>
      </c>
      <c r="N152" s="13" t="s">
        <v>230</v>
      </c>
      <c r="O152" s="13" t="s">
        <v>272</v>
      </c>
      <c r="P152" s="13" t="s">
        <v>60</v>
      </c>
      <c r="Q152" s="13" t="s">
        <v>44</v>
      </c>
      <c r="R152" s="13" t="s">
        <v>270</v>
      </c>
      <c r="S152" s="13" t="s">
        <v>1001</v>
      </c>
      <c r="T152" s="13" t="s">
        <v>1008</v>
      </c>
      <c r="U152" s="13"/>
      <c r="V152" s="13"/>
      <c r="W152" s="13"/>
      <c r="AN152" s="7" t="s">
        <v>70</v>
      </c>
      <c r="AO152" s="21">
        <f t="shared" si="6"/>
        <v>0</v>
      </c>
      <c r="AP152" s="7">
        <f t="shared" si="7"/>
        <v>21.65</v>
      </c>
      <c r="AQ152" s="31" t="str">
        <f t="shared" si="8"/>
        <v>Complete - No Adjustment</v>
      </c>
    </row>
    <row r="153" spans="1:43" x14ac:dyDescent="0.2">
      <c r="A153" s="46">
        <v>143</v>
      </c>
      <c r="B153" s="13" t="s">
        <v>266</v>
      </c>
      <c r="C153" s="13" t="s">
        <v>300</v>
      </c>
      <c r="D153" s="13" t="s">
        <v>299</v>
      </c>
      <c r="E153" s="13" t="s">
        <v>999</v>
      </c>
      <c r="F153" s="13" t="s">
        <v>172</v>
      </c>
      <c r="G153" s="13" t="s">
        <v>111</v>
      </c>
      <c r="H153" s="16">
        <v>43903</v>
      </c>
      <c r="I153" s="16">
        <v>43937</v>
      </c>
      <c r="J153" s="22">
        <v>449.51</v>
      </c>
      <c r="K153" s="22">
        <v>36.64</v>
      </c>
      <c r="L153" s="22" t="s">
        <v>1000</v>
      </c>
      <c r="M153" s="26" t="s">
        <v>98</v>
      </c>
      <c r="N153" s="13" t="s">
        <v>230</v>
      </c>
      <c r="O153" s="13" t="s">
        <v>272</v>
      </c>
      <c r="P153" s="13" t="s">
        <v>60</v>
      </c>
      <c r="Q153" s="13" t="s">
        <v>41</v>
      </c>
      <c r="R153" s="13" t="s">
        <v>270</v>
      </c>
      <c r="S153" s="13" t="s">
        <v>1001</v>
      </c>
      <c r="T153" s="13" t="s">
        <v>1009</v>
      </c>
      <c r="U153" s="13"/>
      <c r="V153" s="13"/>
      <c r="W153" s="13"/>
      <c r="AN153" s="7" t="s">
        <v>155</v>
      </c>
      <c r="AO153" s="21">
        <f t="shared" si="6"/>
        <v>0</v>
      </c>
      <c r="AP153" s="7">
        <f t="shared" si="7"/>
        <v>36.64</v>
      </c>
      <c r="AQ153" s="31" t="str">
        <f t="shared" si="8"/>
        <v>Complete - No Adjustment</v>
      </c>
    </row>
    <row r="154" spans="1:43" x14ac:dyDescent="0.2">
      <c r="A154" s="46">
        <v>144</v>
      </c>
      <c r="B154" s="13" t="s">
        <v>266</v>
      </c>
      <c r="C154" s="13" t="s">
        <v>300</v>
      </c>
      <c r="D154" s="13" t="s">
        <v>299</v>
      </c>
      <c r="E154" s="13" t="s">
        <v>999</v>
      </c>
      <c r="F154" s="13" t="s">
        <v>172</v>
      </c>
      <c r="G154" s="13" t="s">
        <v>111</v>
      </c>
      <c r="H154" s="16">
        <v>43903</v>
      </c>
      <c r="I154" s="16">
        <v>43937</v>
      </c>
      <c r="J154" s="22">
        <v>449.51</v>
      </c>
      <c r="K154" s="22">
        <v>21.81</v>
      </c>
      <c r="L154" s="22" t="s">
        <v>1000</v>
      </c>
      <c r="M154" s="26" t="s">
        <v>98</v>
      </c>
      <c r="N154" s="13" t="s">
        <v>230</v>
      </c>
      <c r="O154" s="13" t="s">
        <v>272</v>
      </c>
      <c r="P154" s="13" t="s">
        <v>60</v>
      </c>
      <c r="Q154" s="13" t="s">
        <v>44</v>
      </c>
      <c r="R154" s="13" t="s">
        <v>270</v>
      </c>
      <c r="S154" s="13" t="s">
        <v>1001</v>
      </c>
      <c r="T154" s="13" t="s">
        <v>1002</v>
      </c>
      <c r="U154" s="13"/>
      <c r="V154" s="13"/>
      <c r="W154" s="13"/>
      <c r="AN154" s="7" t="s">
        <v>70</v>
      </c>
      <c r="AO154" s="21">
        <f t="shared" si="6"/>
        <v>0</v>
      </c>
      <c r="AP154" s="7">
        <f t="shared" si="7"/>
        <v>21.81</v>
      </c>
      <c r="AQ154" s="31" t="str">
        <f t="shared" si="8"/>
        <v>Complete - No Adjustment</v>
      </c>
    </row>
    <row r="155" spans="1:43" x14ac:dyDescent="0.2">
      <c r="A155" s="46">
        <v>145</v>
      </c>
      <c r="B155" s="13" t="s">
        <v>266</v>
      </c>
      <c r="C155" s="13" t="s">
        <v>300</v>
      </c>
      <c r="D155" s="13" t="s">
        <v>299</v>
      </c>
      <c r="E155" s="13" t="s">
        <v>999</v>
      </c>
      <c r="F155" s="13" t="s">
        <v>172</v>
      </c>
      <c r="G155" s="13" t="s">
        <v>111</v>
      </c>
      <c r="H155" s="16">
        <v>43903</v>
      </c>
      <c r="I155" s="16">
        <v>43937</v>
      </c>
      <c r="J155" s="22">
        <v>449.51</v>
      </c>
      <c r="K155" s="22">
        <v>131.72999999999999</v>
      </c>
      <c r="L155" s="22" t="s">
        <v>1000</v>
      </c>
      <c r="M155" s="26" t="s">
        <v>98</v>
      </c>
      <c r="N155" s="13" t="s">
        <v>230</v>
      </c>
      <c r="O155" s="13" t="s">
        <v>272</v>
      </c>
      <c r="P155" s="13" t="s">
        <v>60</v>
      </c>
      <c r="Q155" s="13" t="s">
        <v>44</v>
      </c>
      <c r="R155" s="13" t="s">
        <v>270</v>
      </c>
      <c r="S155" s="13" t="s">
        <v>1001</v>
      </c>
      <c r="T155" s="13" t="s">
        <v>1010</v>
      </c>
      <c r="U155" s="13"/>
      <c r="V155" s="13"/>
      <c r="W155" s="13"/>
      <c r="AN155" s="7" t="s">
        <v>70</v>
      </c>
      <c r="AO155" s="21">
        <f t="shared" si="6"/>
        <v>0</v>
      </c>
      <c r="AP155" s="7">
        <f t="shared" si="7"/>
        <v>131.72999999999999</v>
      </c>
      <c r="AQ155" s="31" t="str">
        <f t="shared" si="8"/>
        <v>Complete - No Adjustment</v>
      </c>
    </row>
    <row r="156" spans="1:43" x14ac:dyDescent="0.2">
      <c r="A156" s="46">
        <v>146</v>
      </c>
      <c r="B156" s="13" t="s">
        <v>266</v>
      </c>
      <c r="C156" s="13" t="s">
        <v>302</v>
      </c>
      <c r="D156" s="13" t="s">
        <v>301</v>
      </c>
      <c r="E156" s="13" t="s">
        <v>1011</v>
      </c>
      <c r="F156" s="13" t="s">
        <v>170</v>
      </c>
      <c r="G156" s="13" t="s">
        <v>111</v>
      </c>
      <c r="H156" s="16">
        <v>43920</v>
      </c>
      <c r="I156" s="16">
        <v>43923</v>
      </c>
      <c r="J156" s="22">
        <v>708.37</v>
      </c>
      <c r="K156" s="22">
        <v>24.16</v>
      </c>
      <c r="L156" s="22" t="s">
        <v>1012</v>
      </c>
      <c r="M156" s="26" t="s">
        <v>98</v>
      </c>
      <c r="N156" s="13" t="s">
        <v>230</v>
      </c>
      <c r="O156" s="13" t="s">
        <v>303</v>
      </c>
      <c r="P156" s="13" t="s">
        <v>60</v>
      </c>
      <c r="Q156" s="13" t="s">
        <v>44</v>
      </c>
      <c r="R156" s="13" t="s">
        <v>270</v>
      </c>
      <c r="S156" s="13" t="s">
        <v>1013</v>
      </c>
      <c r="T156" s="13" t="s">
        <v>1014</v>
      </c>
      <c r="U156" s="13"/>
      <c r="V156" s="13"/>
      <c r="W156" s="13"/>
      <c r="AL156" s="14">
        <v>15</v>
      </c>
      <c r="AN156" s="7" t="s">
        <v>167</v>
      </c>
      <c r="AO156" s="21">
        <f t="shared" si="6"/>
        <v>15</v>
      </c>
      <c r="AP156" s="7">
        <f t="shared" si="7"/>
        <v>9.16</v>
      </c>
      <c r="AQ156" s="31" t="str">
        <f t="shared" si="8"/>
        <v>Complete - With Adjustment</v>
      </c>
    </row>
    <row r="157" spans="1:43" x14ac:dyDescent="0.2">
      <c r="A157" s="46">
        <v>147</v>
      </c>
      <c r="B157" s="13" t="s">
        <v>266</v>
      </c>
      <c r="C157" s="13" t="s">
        <v>302</v>
      </c>
      <c r="D157" s="13" t="s">
        <v>301</v>
      </c>
      <c r="E157" s="13" t="s">
        <v>1011</v>
      </c>
      <c r="F157" s="13" t="s">
        <v>170</v>
      </c>
      <c r="G157" s="13" t="s">
        <v>111</v>
      </c>
      <c r="H157" s="16">
        <v>43920</v>
      </c>
      <c r="I157" s="16">
        <v>43923</v>
      </c>
      <c r="J157" s="22">
        <v>708.37</v>
      </c>
      <c r="K157" s="22">
        <v>684.21</v>
      </c>
      <c r="L157" s="22" t="s">
        <v>1012</v>
      </c>
      <c r="M157" s="26" t="s">
        <v>98</v>
      </c>
      <c r="N157" s="13" t="s">
        <v>230</v>
      </c>
      <c r="O157" s="13" t="s">
        <v>303</v>
      </c>
      <c r="P157" s="13" t="s">
        <v>60</v>
      </c>
      <c r="Q157" s="13" t="s">
        <v>44</v>
      </c>
      <c r="R157" s="13" t="s">
        <v>270</v>
      </c>
      <c r="S157" s="13" t="s">
        <v>1013</v>
      </c>
      <c r="T157" s="13" t="s">
        <v>1015</v>
      </c>
      <c r="U157" s="13"/>
      <c r="V157" s="13"/>
      <c r="W157" s="13"/>
      <c r="AL157" s="14">
        <v>684.21</v>
      </c>
      <c r="AN157" s="7" t="s">
        <v>146</v>
      </c>
      <c r="AO157" s="21">
        <f t="shared" si="6"/>
        <v>684.21</v>
      </c>
      <c r="AP157" s="7">
        <f t="shared" si="7"/>
        <v>0</v>
      </c>
      <c r="AQ157" s="31" t="str">
        <f t="shared" si="8"/>
        <v>Complete - With Adjustment</v>
      </c>
    </row>
    <row r="158" spans="1:43" x14ac:dyDescent="0.2">
      <c r="A158" s="46">
        <v>148</v>
      </c>
      <c r="B158" s="13" t="s">
        <v>266</v>
      </c>
      <c r="C158" s="13" t="s">
        <v>757</v>
      </c>
      <c r="D158" s="13" t="s">
        <v>756</v>
      </c>
      <c r="E158" s="13" t="s">
        <v>1016</v>
      </c>
      <c r="F158" s="13" t="s">
        <v>163</v>
      </c>
      <c r="G158" s="13" t="s">
        <v>111</v>
      </c>
      <c r="H158" s="16">
        <v>43948</v>
      </c>
      <c r="I158" s="16">
        <v>43950</v>
      </c>
      <c r="J158" s="22">
        <v>75</v>
      </c>
      <c r="K158" s="22">
        <v>75</v>
      </c>
      <c r="L158" s="22" t="s">
        <v>1017</v>
      </c>
      <c r="M158" s="26" t="s">
        <v>98</v>
      </c>
      <c r="N158" s="13" t="s">
        <v>230</v>
      </c>
      <c r="O158" s="13" t="s">
        <v>292</v>
      </c>
      <c r="P158" s="13" t="s">
        <v>60</v>
      </c>
      <c r="Q158" s="13" t="s">
        <v>48</v>
      </c>
      <c r="R158" s="13" t="s">
        <v>270</v>
      </c>
      <c r="S158" s="13" t="s">
        <v>1018</v>
      </c>
      <c r="T158" s="13" t="s">
        <v>1019</v>
      </c>
      <c r="U158" s="13"/>
      <c r="V158" s="13"/>
      <c r="W158" s="13"/>
      <c r="AN158" s="7" t="s">
        <v>70</v>
      </c>
      <c r="AO158" s="21">
        <f t="shared" si="6"/>
        <v>0</v>
      </c>
      <c r="AP158" s="7">
        <f t="shared" si="7"/>
        <v>75</v>
      </c>
      <c r="AQ158" s="31" t="str">
        <f t="shared" si="8"/>
        <v>Complete - No Adjustment</v>
      </c>
    </row>
    <row r="159" spans="1:43" x14ac:dyDescent="0.2">
      <c r="A159" s="46">
        <v>149</v>
      </c>
      <c r="B159" s="13" t="s">
        <v>266</v>
      </c>
      <c r="C159" s="13" t="s">
        <v>759</v>
      </c>
      <c r="D159" s="13" t="s">
        <v>758</v>
      </c>
      <c r="E159" s="13" t="s">
        <v>1020</v>
      </c>
      <c r="F159" s="13" t="s">
        <v>177</v>
      </c>
      <c r="G159" s="13" t="s">
        <v>111</v>
      </c>
      <c r="H159" s="16">
        <v>43921</v>
      </c>
      <c r="I159" s="16">
        <v>43928</v>
      </c>
      <c r="J159" s="22">
        <v>12.73</v>
      </c>
      <c r="K159" s="22">
        <v>12.73</v>
      </c>
      <c r="L159" s="22" t="s">
        <v>1021</v>
      </c>
      <c r="M159" s="26" t="s">
        <v>98</v>
      </c>
      <c r="N159" s="13" t="s">
        <v>230</v>
      </c>
      <c r="O159" s="13" t="s">
        <v>429</v>
      </c>
      <c r="P159" s="13" t="s">
        <v>60</v>
      </c>
      <c r="Q159" s="13" t="s">
        <v>41</v>
      </c>
      <c r="R159" s="13" t="s">
        <v>270</v>
      </c>
      <c r="S159" s="13" t="s">
        <v>1022</v>
      </c>
      <c r="T159" s="13" t="s">
        <v>1023</v>
      </c>
      <c r="U159" s="13"/>
      <c r="V159" s="13"/>
      <c r="W159" s="13"/>
      <c r="AI159" s="53">
        <v>12.73</v>
      </c>
      <c r="AN159" s="7" t="s">
        <v>145</v>
      </c>
      <c r="AO159" s="21">
        <f t="shared" si="6"/>
        <v>12.73</v>
      </c>
      <c r="AP159" s="7">
        <f t="shared" si="7"/>
        <v>0</v>
      </c>
      <c r="AQ159" s="31" t="str">
        <f t="shared" si="8"/>
        <v>Complete - With Adjustment</v>
      </c>
    </row>
    <row r="160" spans="1:43" x14ac:dyDescent="0.2">
      <c r="A160" s="46">
        <v>150</v>
      </c>
      <c r="B160" s="13" t="s">
        <v>266</v>
      </c>
      <c r="C160" s="13" t="s">
        <v>305</v>
      </c>
      <c r="D160" s="13" t="s">
        <v>304</v>
      </c>
      <c r="E160" s="13" t="s">
        <v>1024</v>
      </c>
      <c r="F160" s="13" t="s">
        <v>177</v>
      </c>
      <c r="G160" s="13" t="s">
        <v>111</v>
      </c>
      <c r="H160" s="16">
        <v>43927</v>
      </c>
      <c r="I160" s="16">
        <v>43928</v>
      </c>
      <c r="J160" s="22">
        <v>200</v>
      </c>
      <c r="K160" s="22">
        <v>200</v>
      </c>
      <c r="L160" s="22" t="s">
        <v>1025</v>
      </c>
      <c r="M160" s="26" t="s">
        <v>98</v>
      </c>
      <c r="N160" s="13" t="s">
        <v>230</v>
      </c>
      <c r="O160" s="13" t="s">
        <v>288</v>
      </c>
      <c r="P160" s="13" t="s">
        <v>60</v>
      </c>
      <c r="Q160" s="13" t="s">
        <v>48</v>
      </c>
      <c r="R160" s="13" t="s">
        <v>270</v>
      </c>
      <c r="S160" s="13" t="s">
        <v>1026</v>
      </c>
      <c r="T160" s="13" t="s">
        <v>1027</v>
      </c>
      <c r="U160" s="13"/>
      <c r="V160" s="13"/>
      <c r="W160" s="13"/>
      <c r="AN160" s="7" t="s">
        <v>70</v>
      </c>
      <c r="AO160" s="21">
        <f t="shared" si="6"/>
        <v>0</v>
      </c>
      <c r="AP160" s="7">
        <f t="shared" si="7"/>
        <v>200</v>
      </c>
      <c r="AQ160" s="31" t="str">
        <f t="shared" si="8"/>
        <v>Complete - No Adjustment</v>
      </c>
    </row>
    <row r="161" spans="1:43" x14ac:dyDescent="0.2">
      <c r="A161" s="46">
        <v>151</v>
      </c>
      <c r="B161" s="13" t="s">
        <v>266</v>
      </c>
      <c r="C161" s="13" t="s">
        <v>307</v>
      </c>
      <c r="D161" s="13" t="s">
        <v>306</v>
      </c>
      <c r="E161" s="13" t="s">
        <v>1028</v>
      </c>
      <c r="F161" s="13" t="s">
        <v>164</v>
      </c>
      <c r="G161" s="13" t="s">
        <v>111</v>
      </c>
      <c r="H161" s="16">
        <v>43943</v>
      </c>
      <c r="I161" s="16">
        <v>43945</v>
      </c>
      <c r="J161" s="22">
        <v>365</v>
      </c>
      <c r="K161" s="22">
        <v>365</v>
      </c>
      <c r="L161" s="22" t="s">
        <v>1029</v>
      </c>
      <c r="M161" s="26" t="s">
        <v>98</v>
      </c>
      <c r="N161" s="13" t="s">
        <v>230</v>
      </c>
      <c r="O161" s="13" t="s">
        <v>277</v>
      </c>
      <c r="P161" s="13" t="s">
        <v>60</v>
      </c>
      <c r="Q161" s="13" t="s">
        <v>59</v>
      </c>
      <c r="R161" s="13" t="s">
        <v>270</v>
      </c>
      <c r="S161" s="13" t="s">
        <v>1030</v>
      </c>
      <c r="T161" s="13" t="s">
        <v>1031</v>
      </c>
      <c r="U161" s="13"/>
      <c r="V161" s="13"/>
      <c r="W161" s="13"/>
      <c r="AN161" s="7" t="s">
        <v>70</v>
      </c>
      <c r="AO161" s="21">
        <f t="shared" si="6"/>
        <v>0</v>
      </c>
      <c r="AP161" s="7">
        <f t="shared" si="7"/>
        <v>365</v>
      </c>
      <c r="AQ161" s="31" t="str">
        <f t="shared" si="8"/>
        <v>Complete - No Adjustment</v>
      </c>
    </row>
    <row r="162" spans="1:43" x14ac:dyDescent="0.2">
      <c r="A162" s="46">
        <v>152</v>
      </c>
      <c r="B162" s="13" t="s">
        <v>266</v>
      </c>
      <c r="C162" s="13" t="s">
        <v>587</v>
      </c>
      <c r="D162" s="13" t="s">
        <v>586</v>
      </c>
      <c r="E162" s="13" t="s">
        <v>1032</v>
      </c>
      <c r="F162" s="13" t="s">
        <v>183</v>
      </c>
      <c r="G162" s="13" t="s">
        <v>111</v>
      </c>
      <c r="H162" s="16">
        <v>43934</v>
      </c>
      <c r="I162" s="16">
        <v>43936</v>
      </c>
      <c r="J162" s="22">
        <v>38.94</v>
      </c>
      <c r="K162" s="22">
        <v>38.94</v>
      </c>
      <c r="L162" s="22" t="s">
        <v>1033</v>
      </c>
      <c r="M162" s="26" t="s">
        <v>98</v>
      </c>
      <c r="N162" s="13" t="s">
        <v>230</v>
      </c>
      <c r="O162" s="13" t="s">
        <v>277</v>
      </c>
      <c r="P162" s="13" t="s">
        <v>60</v>
      </c>
      <c r="Q162" s="13" t="s">
        <v>62</v>
      </c>
      <c r="R162" s="13" t="s">
        <v>270</v>
      </c>
      <c r="S162" s="13" t="s">
        <v>1034</v>
      </c>
      <c r="T162" s="13" t="s">
        <v>1035</v>
      </c>
      <c r="U162" s="13"/>
      <c r="V162" s="13"/>
      <c r="W162" s="13"/>
      <c r="AN162" s="7" t="s">
        <v>155</v>
      </c>
      <c r="AO162" s="21">
        <f t="shared" si="6"/>
        <v>0</v>
      </c>
      <c r="AP162" s="7">
        <f t="shared" si="7"/>
        <v>38.94</v>
      </c>
      <c r="AQ162" s="31" t="str">
        <f t="shared" si="8"/>
        <v>Complete - No Adjustment</v>
      </c>
    </row>
    <row r="163" spans="1:43" x14ac:dyDescent="0.2">
      <c r="A163" s="46">
        <v>153</v>
      </c>
      <c r="B163" s="13" t="s">
        <v>266</v>
      </c>
      <c r="C163" s="13" t="s">
        <v>589</v>
      </c>
      <c r="D163" s="13" t="s">
        <v>588</v>
      </c>
      <c r="E163" s="13" t="s">
        <v>1036</v>
      </c>
      <c r="F163" s="13" t="s">
        <v>173</v>
      </c>
      <c r="G163" s="13" t="s">
        <v>111</v>
      </c>
      <c r="H163" s="16">
        <v>43938</v>
      </c>
      <c r="I163" s="16">
        <v>43941</v>
      </c>
      <c r="J163" s="22">
        <v>95</v>
      </c>
      <c r="K163" s="22">
        <v>95</v>
      </c>
      <c r="L163" s="22" t="s">
        <v>1037</v>
      </c>
      <c r="M163" s="26" t="s">
        <v>98</v>
      </c>
      <c r="N163" s="13" t="s">
        <v>230</v>
      </c>
      <c r="O163" s="13" t="s">
        <v>271</v>
      </c>
      <c r="P163" s="13" t="s">
        <v>60</v>
      </c>
      <c r="Q163" s="13" t="s">
        <v>113</v>
      </c>
      <c r="R163" s="13" t="s">
        <v>270</v>
      </c>
      <c r="S163" s="13" t="s">
        <v>1038</v>
      </c>
      <c r="T163" s="13" t="s">
        <v>1039</v>
      </c>
      <c r="U163" s="13"/>
      <c r="V163" s="13"/>
      <c r="W163" s="13"/>
      <c r="AN163" s="7" t="s">
        <v>70</v>
      </c>
      <c r="AO163" s="21">
        <f t="shared" si="6"/>
        <v>0</v>
      </c>
      <c r="AP163" s="7">
        <f t="shared" si="7"/>
        <v>95</v>
      </c>
      <c r="AQ163" s="31" t="str">
        <f t="shared" si="8"/>
        <v>Complete - No Adjustment</v>
      </c>
    </row>
    <row r="164" spans="1:43" x14ac:dyDescent="0.2">
      <c r="A164" s="46">
        <v>154</v>
      </c>
      <c r="B164" s="13" t="s">
        <v>266</v>
      </c>
      <c r="C164" s="13" t="s">
        <v>313</v>
      </c>
      <c r="D164" s="13" t="s">
        <v>312</v>
      </c>
      <c r="E164" s="13" t="s">
        <v>1040</v>
      </c>
      <c r="F164" s="13" t="s">
        <v>182</v>
      </c>
      <c r="G164" s="13" t="s">
        <v>111</v>
      </c>
      <c r="H164" s="16">
        <v>43941</v>
      </c>
      <c r="I164" s="16">
        <v>43943</v>
      </c>
      <c r="J164" s="22">
        <v>1221.73</v>
      </c>
      <c r="K164" s="22">
        <v>219.46</v>
      </c>
      <c r="L164" s="22" t="s">
        <v>1041</v>
      </c>
      <c r="M164" s="26" t="s">
        <v>98</v>
      </c>
      <c r="N164" s="13" t="s">
        <v>230</v>
      </c>
      <c r="O164" s="13" t="s">
        <v>314</v>
      </c>
      <c r="P164" s="13" t="s">
        <v>60</v>
      </c>
      <c r="Q164" s="13" t="s">
        <v>104</v>
      </c>
      <c r="R164" s="13" t="s">
        <v>270</v>
      </c>
      <c r="S164" s="13" t="s">
        <v>1042</v>
      </c>
      <c r="T164" s="13" t="s">
        <v>1043</v>
      </c>
      <c r="U164" s="13"/>
      <c r="V164" s="13"/>
      <c r="W164" s="13"/>
      <c r="AA164" s="54"/>
      <c r="AN164" s="7" t="s">
        <v>70</v>
      </c>
      <c r="AO164" s="21">
        <f t="shared" si="6"/>
        <v>0</v>
      </c>
      <c r="AP164" s="7">
        <f t="shared" si="7"/>
        <v>219.46</v>
      </c>
      <c r="AQ164" s="31" t="str">
        <f t="shared" si="8"/>
        <v>Complete - No Adjustment</v>
      </c>
    </row>
    <row r="165" spans="1:43" x14ac:dyDescent="0.2">
      <c r="A165" s="46">
        <v>155</v>
      </c>
      <c r="B165" s="13" t="s">
        <v>266</v>
      </c>
      <c r="C165" s="13" t="s">
        <v>313</v>
      </c>
      <c r="D165" s="13" t="s">
        <v>312</v>
      </c>
      <c r="E165" s="13" t="s">
        <v>1040</v>
      </c>
      <c r="F165" s="13" t="s">
        <v>182</v>
      </c>
      <c r="G165" s="13" t="s">
        <v>111</v>
      </c>
      <c r="H165" s="16">
        <v>43941</v>
      </c>
      <c r="I165" s="16">
        <v>43943</v>
      </c>
      <c r="J165" s="22">
        <v>1221.73</v>
      </c>
      <c r="K165" s="22">
        <v>82.87</v>
      </c>
      <c r="L165" s="22" t="s">
        <v>1041</v>
      </c>
      <c r="M165" s="26" t="s">
        <v>98</v>
      </c>
      <c r="N165" s="13" t="s">
        <v>230</v>
      </c>
      <c r="O165" s="13" t="s">
        <v>314</v>
      </c>
      <c r="P165" s="13" t="s">
        <v>60</v>
      </c>
      <c r="Q165" s="13" t="s">
        <v>62</v>
      </c>
      <c r="R165" s="13" t="s">
        <v>270</v>
      </c>
      <c r="S165" s="13" t="s">
        <v>1042</v>
      </c>
      <c r="T165" s="13" t="s">
        <v>1044</v>
      </c>
      <c r="U165" s="13"/>
      <c r="V165" s="13"/>
      <c r="W165" s="13"/>
      <c r="AN165" s="7" t="s">
        <v>70</v>
      </c>
      <c r="AO165" s="21">
        <f t="shared" si="6"/>
        <v>0</v>
      </c>
      <c r="AP165" s="7">
        <f t="shared" si="7"/>
        <v>82.87</v>
      </c>
      <c r="AQ165" s="31" t="str">
        <f t="shared" si="8"/>
        <v>Complete - No Adjustment</v>
      </c>
    </row>
    <row r="166" spans="1:43" x14ac:dyDescent="0.2">
      <c r="A166" s="46">
        <v>156</v>
      </c>
      <c r="B166" s="13" t="s">
        <v>266</v>
      </c>
      <c r="C166" s="13" t="s">
        <v>313</v>
      </c>
      <c r="D166" s="13" t="s">
        <v>312</v>
      </c>
      <c r="E166" s="13" t="s">
        <v>1040</v>
      </c>
      <c r="F166" s="13" t="s">
        <v>182</v>
      </c>
      <c r="G166" s="13" t="s">
        <v>111</v>
      </c>
      <c r="H166" s="16">
        <v>43941</v>
      </c>
      <c r="I166" s="16">
        <v>43943</v>
      </c>
      <c r="J166" s="22">
        <v>1221.73</v>
      </c>
      <c r="K166" s="22">
        <v>481.85</v>
      </c>
      <c r="L166" s="22" t="s">
        <v>1041</v>
      </c>
      <c r="M166" s="26" t="s">
        <v>98</v>
      </c>
      <c r="N166" s="13" t="s">
        <v>230</v>
      </c>
      <c r="O166" s="13" t="s">
        <v>314</v>
      </c>
      <c r="P166" s="13" t="s">
        <v>60</v>
      </c>
      <c r="Q166" s="13" t="s">
        <v>44</v>
      </c>
      <c r="R166" s="13" t="s">
        <v>270</v>
      </c>
      <c r="S166" s="13" t="s">
        <v>1042</v>
      </c>
      <c r="T166" s="13" t="s">
        <v>1045</v>
      </c>
      <c r="U166" s="13"/>
      <c r="V166" s="13"/>
      <c r="W166" s="13"/>
      <c r="AN166" s="7" t="s">
        <v>70</v>
      </c>
      <c r="AO166" s="21">
        <f t="shared" si="6"/>
        <v>0</v>
      </c>
      <c r="AP166" s="7">
        <f t="shared" si="7"/>
        <v>481.85</v>
      </c>
      <c r="AQ166" s="31" t="str">
        <f t="shared" si="8"/>
        <v>Complete - No Adjustment</v>
      </c>
    </row>
    <row r="167" spans="1:43" x14ac:dyDescent="0.2">
      <c r="A167" s="46">
        <v>157</v>
      </c>
      <c r="B167" s="13" t="s">
        <v>266</v>
      </c>
      <c r="C167" s="13" t="s">
        <v>313</v>
      </c>
      <c r="D167" s="13" t="s">
        <v>312</v>
      </c>
      <c r="E167" s="13" t="s">
        <v>1040</v>
      </c>
      <c r="F167" s="13" t="s">
        <v>182</v>
      </c>
      <c r="G167" s="13" t="s">
        <v>111</v>
      </c>
      <c r="H167" s="16">
        <v>43941</v>
      </c>
      <c r="I167" s="16">
        <v>43943</v>
      </c>
      <c r="J167" s="22">
        <v>1221.73</v>
      </c>
      <c r="K167" s="22">
        <v>33.619999999999997</v>
      </c>
      <c r="L167" s="22" t="s">
        <v>1041</v>
      </c>
      <c r="M167" s="26" t="s">
        <v>98</v>
      </c>
      <c r="N167" s="13" t="s">
        <v>230</v>
      </c>
      <c r="O167" s="13" t="s">
        <v>314</v>
      </c>
      <c r="P167" s="13" t="s">
        <v>60</v>
      </c>
      <c r="Q167" s="13" t="s">
        <v>62</v>
      </c>
      <c r="R167" s="13" t="s">
        <v>270</v>
      </c>
      <c r="S167" s="13" t="s">
        <v>1042</v>
      </c>
      <c r="T167" s="13" t="s">
        <v>1046</v>
      </c>
      <c r="U167" s="13"/>
      <c r="V167" s="13"/>
      <c r="W167" s="13"/>
      <c r="AN167" s="7" t="s">
        <v>70</v>
      </c>
      <c r="AO167" s="21">
        <f t="shared" si="6"/>
        <v>0</v>
      </c>
      <c r="AP167" s="7">
        <f t="shared" si="7"/>
        <v>33.619999999999997</v>
      </c>
      <c r="AQ167" s="31" t="str">
        <f t="shared" si="8"/>
        <v>Complete - No Adjustment</v>
      </c>
    </row>
    <row r="168" spans="1:43" x14ac:dyDescent="0.2">
      <c r="A168" s="46">
        <v>158</v>
      </c>
      <c r="B168" s="13" t="s">
        <v>266</v>
      </c>
      <c r="C168" s="13" t="s">
        <v>313</v>
      </c>
      <c r="D168" s="13" t="s">
        <v>312</v>
      </c>
      <c r="E168" s="13" t="s">
        <v>1040</v>
      </c>
      <c r="F168" s="13" t="s">
        <v>182</v>
      </c>
      <c r="G168" s="13" t="s">
        <v>111</v>
      </c>
      <c r="H168" s="16">
        <v>43941</v>
      </c>
      <c r="I168" s="16">
        <v>43943</v>
      </c>
      <c r="J168" s="22">
        <v>1221.73</v>
      </c>
      <c r="K168" s="22">
        <v>3.48</v>
      </c>
      <c r="L168" s="22" t="s">
        <v>1041</v>
      </c>
      <c r="M168" s="26" t="s">
        <v>98</v>
      </c>
      <c r="N168" s="13" t="s">
        <v>230</v>
      </c>
      <c r="O168" s="13" t="s">
        <v>314</v>
      </c>
      <c r="P168" s="13" t="s">
        <v>60</v>
      </c>
      <c r="Q168" s="13" t="s">
        <v>41</v>
      </c>
      <c r="R168" s="13" t="s">
        <v>270</v>
      </c>
      <c r="S168" s="13" t="s">
        <v>1042</v>
      </c>
      <c r="T168" s="13" t="s">
        <v>1047</v>
      </c>
      <c r="U168" s="13"/>
      <c r="V168" s="13"/>
      <c r="W168" s="13"/>
      <c r="AN168" s="7" t="s">
        <v>70</v>
      </c>
      <c r="AO168" s="21">
        <f t="shared" ref="AO168:AO231" si="9">SUM(Y168:AL168)</f>
        <v>0</v>
      </c>
      <c r="AP168" s="7">
        <f t="shared" ref="AP168:AP231" si="10">K168-AO168</f>
        <v>3.48</v>
      </c>
      <c r="AQ168" s="31" t="str">
        <f t="shared" si="8"/>
        <v>Complete - No Adjustment</v>
      </c>
    </row>
    <row r="169" spans="1:43" x14ac:dyDescent="0.2">
      <c r="A169" s="46">
        <v>159</v>
      </c>
      <c r="B169" s="13" t="s">
        <v>266</v>
      </c>
      <c r="C169" s="13" t="s">
        <v>313</v>
      </c>
      <c r="D169" s="13" t="s">
        <v>312</v>
      </c>
      <c r="E169" s="13" t="s">
        <v>1040</v>
      </c>
      <c r="F169" s="13" t="s">
        <v>182</v>
      </c>
      <c r="G169" s="13" t="s">
        <v>111</v>
      </c>
      <c r="H169" s="16">
        <v>43941</v>
      </c>
      <c r="I169" s="16">
        <v>43943</v>
      </c>
      <c r="J169" s="22">
        <v>1221.73</v>
      </c>
      <c r="K169" s="22">
        <v>26.35</v>
      </c>
      <c r="L169" s="22" t="s">
        <v>1041</v>
      </c>
      <c r="M169" s="26" t="s">
        <v>98</v>
      </c>
      <c r="N169" s="13" t="s">
        <v>230</v>
      </c>
      <c r="O169" s="13" t="s">
        <v>314</v>
      </c>
      <c r="P169" s="13" t="s">
        <v>60</v>
      </c>
      <c r="Q169" s="13" t="s">
        <v>62</v>
      </c>
      <c r="R169" s="13" t="s">
        <v>270</v>
      </c>
      <c r="S169" s="13" t="s">
        <v>1042</v>
      </c>
      <c r="T169" s="13" t="s">
        <v>1048</v>
      </c>
      <c r="U169" s="13"/>
      <c r="V169" s="13"/>
      <c r="W169" s="13"/>
      <c r="AN169" s="7" t="s">
        <v>70</v>
      </c>
      <c r="AO169" s="21">
        <f t="shared" si="9"/>
        <v>0</v>
      </c>
      <c r="AP169" s="7">
        <f t="shared" si="10"/>
        <v>26.35</v>
      </c>
      <c r="AQ169" s="31" t="str">
        <f t="shared" si="8"/>
        <v>Complete - No Adjustment</v>
      </c>
    </row>
    <row r="170" spans="1:43" x14ac:dyDescent="0.2">
      <c r="A170" s="46">
        <v>160</v>
      </c>
      <c r="B170" s="13" t="s">
        <v>266</v>
      </c>
      <c r="C170" s="13" t="s">
        <v>313</v>
      </c>
      <c r="D170" s="13" t="s">
        <v>312</v>
      </c>
      <c r="E170" s="13" t="s">
        <v>1040</v>
      </c>
      <c r="F170" s="13" t="s">
        <v>182</v>
      </c>
      <c r="G170" s="13" t="s">
        <v>111</v>
      </c>
      <c r="H170" s="16">
        <v>43941</v>
      </c>
      <c r="I170" s="16">
        <v>43943</v>
      </c>
      <c r="J170" s="22">
        <v>1221.73</v>
      </c>
      <c r="K170" s="22">
        <v>55.15</v>
      </c>
      <c r="L170" s="22" t="s">
        <v>1041</v>
      </c>
      <c r="M170" s="26" t="s">
        <v>98</v>
      </c>
      <c r="N170" s="13" t="s">
        <v>230</v>
      </c>
      <c r="O170" s="13" t="s">
        <v>314</v>
      </c>
      <c r="P170" s="13" t="s">
        <v>60</v>
      </c>
      <c r="Q170" s="13" t="s">
        <v>62</v>
      </c>
      <c r="R170" s="13" t="s">
        <v>270</v>
      </c>
      <c r="S170" s="13" t="s">
        <v>1042</v>
      </c>
      <c r="T170" s="13" t="s">
        <v>1049</v>
      </c>
      <c r="U170" s="13"/>
      <c r="V170" s="13"/>
      <c r="W170" s="13"/>
      <c r="AN170" s="7" t="s">
        <v>70</v>
      </c>
      <c r="AO170" s="21">
        <f t="shared" si="9"/>
        <v>0</v>
      </c>
      <c r="AP170" s="7">
        <f t="shared" si="10"/>
        <v>55.15</v>
      </c>
      <c r="AQ170" s="31" t="str">
        <f t="shared" si="8"/>
        <v>Complete - No Adjustment</v>
      </c>
    </row>
    <row r="171" spans="1:43" x14ac:dyDescent="0.2">
      <c r="A171" s="46">
        <v>161</v>
      </c>
      <c r="B171" s="13" t="s">
        <v>266</v>
      </c>
      <c r="C171" s="13" t="s">
        <v>313</v>
      </c>
      <c r="D171" s="13" t="s">
        <v>312</v>
      </c>
      <c r="E171" s="13" t="s">
        <v>1040</v>
      </c>
      <c r="F171" s="13" t="s">
        <v>182</v>
      </c>
      <c r="G171" s="13" t="s">
        <v>111</v>
      </c>
      <c r="H171" s="16">
        <v>43941</v>
      </c>
      <c r="I171" s="16">
        <v>43943</v>
      </c>
      <c r="J171" s="22">
        <v>1221.73</v>
      </c>
      <c r="K171" s="22">
        <v>30.71</v>
      </c>
      <c r="L171" s="22" t="s">
        <v>1041</v>
      </c>
      <c r="M171" s="26" t="s">
        <v>98</v>
      </c>
      <c r="N171" s="13" t="s">
        <v>230</v>
      </c>
      <c r="O171" s="13" t="s">
        <v>314</v>
      </c>
      <c r="P171" s="13" t="s">
        <v>60</v>
      </c>
      <c r="Q171" s="13" t="s">
        <v>62</v>
      </c>
      <c r="R171" s="13" t="s">
        <v>270</v>
      </c>
      <c r="S171" s="13" t="s">
        <v>1042</v>
      </c>
      <c r="T171" s="13" t="s">
        <v>1050</v>
      </c>
      <c r="U171" s="13"/>
      <c r="V171" s="13"/>
      <c r="W171" s="13"/>
      <c r="AN171" s="7" t="s">
        <v>70</v>
      </c>
      <c r="AO171" s="21">
        <f t="shared" si="9"/>
        <v>0</v>
      </c>
      <c r="AP171" s="7">
        <f t="shared" si="10"/>
        <v>30.71</v>
      </c>
      <c r="AQ171" s="31" t="str">
        <f t="shared" si="8"/>
        <v>Complete - No Adjustment</v>
      </c>
    </row>
    <row r="172" spans="1:43" x14ac:dyDescent="0.2">
      <c r="A172" s="46">
        <v>162</v>
      </c>
      <c r="B172" s="13" t="s">
        <v>266</v>
      </c>
      <c r="C172" s="13" t="s">
        <v>313</v>
      </c>
      <c r="D172" s="13" t="s">
        <v>312</v>
      </c>
      <c r="E172" s="13" t="s">
        <v>1040</v>
      </c>
      <c r="F172" s="13" t="s">
        <v>182</v>
      </c>
      <c r="G172" s="13" t="s">
        <v>111</v>
      </c>
      <c r="H172" s="16">
        <v>43941</v>
      </c>
      <c r="I172" s="16">
        <v>43943</v>
      </c>
      <c r="J172" s="22">
        <v>1221.73</v>
      </c>
      <c r="K172" s="22">
        <v>260.88</v>
      </c>
      <c r="L172" s="22" t="s">
        <v>1041</v>
      </c>
      <c r="M172" s="26" t="s">
        <v>98</v>
      </c>
      <c r="N172" s="13" t="s">
        <v>230</v>
      </c>
      <c r="O172" s="13" t="s">
        <v>314</v>
      </c>
      <c r="P172" s="13" t="s">
        <v>60</v>
      </c>
      <c r="Q172" s="13" t="s">
        <v>41</v>
      </c>
      <c r="R172" s="13" t="s">
        <v>270</v>
      </c>
      <c r="S172" s="13" t="s">
        <v>1042</v>
      </c>
      <c r="T172" s="13" t="s">
        <v>1051</v>
      </c>
      <c r="U172" s="13"/>
      <c r="V172" s="13"/>
      <c r="W172" s="13"/>
      <c r="AL172" s="14">
        <v>260.88</v>
      </c>
      <c r="AN172" s="7" t="s">
        <v>146</v>
      </c>
      <c r="AO172" s="21">
        <f t="shared" si="9"/>
        <v>260.88</v>
      </c>
      <c r="AP172" s="7">
        <f t="shared" si="10"/>
        <v>0</v>
      </c>
      <c r="AQ172" s="31" t="str">
        <f t="shared" si="8"/>
        <v>Complete - With Adjustment</v>
      </c>
    </row>
    <row r="173" spans="1:43" x14ac:dyDescent="0.2">
      <c r="A173" s="46">
        <v>163</v>
      </c>
      <c r="B173" s="13" t="s">
        <v>266</v>
      </c>
      <c r="C173" s="13" t="s">
        <v>313</v>
      </c>
      <c r="D173" s="13" t="s">
        <v>312</v>
      </c>
      <c r="E173" s="13" t="s">
        <v>1040</v>
      </c>
      <c r="F173" s="13" t="s">
        <v>182</v>
      </c>
      <c r="G173" s="13" t="s">
        <v>111</v>
      </c>
      <c r="H173" s="16">
        <v>43941</v>
      </c>
      <c r="I173" s="16">
        <v>43943</v>
      </c>
      <c r="J173" s="22">
        <v>1221.73</v>
      </c>
      <c r="K173" s="22">
        <v>8.7200000000000006</v>
      </c>
      <c r="L173" s="22" t="s">
        <v>1041</v>
      </c>
      <c r="M173" s="26" t="s">
        <v>98</v>
      </c>
      <c r="N173" s="13" t="s">
        <v>230</v>
      </c>
      <c r="O173" s="13" t="s">
        <v>314</v>
      </c>
      <c r="P173" s="13" t="s">
        <v>60</v>
      </c>
      <c r="Q173" s="13" t="s">
        <v>41</v>
      </c>
      <c r="R173" s="13" t="s">
        <v>270</v>
      </c>
      <c r="S173" s="13" t="s">
        <v>1042</v>
      </c>
      <c r="T173" s="13" t="s">
        <v>1052</v>
      </c>
      <c r="U173" s="13"/>
      <c r="V173" s="13"/>
      <c r="W173" s="13"/>
      <c r="AN173" s="7" t="s">
        <v>70</v>
      </c>
      <c r="AO173" s="21">
        <f t="shared" si="9"/>
        <v>0</v>
      </c>
      <c r="AP173" s="7">
        <f t="shared" si="10"/>
        <v>8.7200000000000006</v>
      </c>
      <c r="AQ173" s="31" t="str">
        <f t="shared" si="8"/>
        <v>Complete - No Adjustment</v>
      </c>
    </row>
    <row r="174" spans="1:43" x14ac:dyDescent="0.2">
      <c r="A174" s="46">
        <v>164</v>
      </c>
      <c r="B174" s="13" t="s">
        <v>266</v>
      </c>
      <c r="C174" s="13" t="s">
        <v>313</v>
      </c>
      <c r="D174" s="13" t="s">
        <v>312</v>
      </c>
      <c r="E174" s="13" t="s">
        <v>1040</v>
      </c>
      <c r="F174" s="13" t="s">
        <v>182</v>
      </c>
      <c r="G174" s="13" t="s">
        <v>111</v>
      </c>
      <c r="H174" s="16">
        <v>43941</v>
      </c>
      <c r="I174" s="16">
        <v>43943</v>
      </c>
      <c r="J174" s="22">
        <v>1221.73</v>
      </c>
      <c r="K174" s="22">
        <v>10</v>
      </c>
      <c r="L174" s="22" t="s">
        <v>1041</v>
      </c>
      <c r="M174" s="26" t="s">
        <v>98</v>
      </c>
      <c r="N174" s="13" t="s">
        <v>230</v>
      </c>
      <c r="O174" s="13" t="s">
        <v>314</v>
      </c>
      <c r="P174" s="13" t="s">
        <v>60</v>
      </c>
      <c r="Q174" s="13" t="s">
        <v>44</v>
      </c>
      <c r="R174" s="13" t="s">
        <v>270</v>
      </c>
      <c r="S174" s="13" t="s">
        <v>1042</v>
      </c>
      <c r="T174" s="13" t="s">
        <v>1053</v>
      </c>
      <c r="U174" s="13"/>
      <c r="V174" s="13"/>
      <c r="W174" s="13"/>
      <c r="AN174" s="7" t="s">
        <v>70</v>
      </c>
      <c r="AO174" s="21">
        <f t="shared" si="9"/>
        <v>0</v>
      </c>
      <c r="AP174" s="7">
        <f t="shared" si="10"/>
        <v>10</v>
      </c>
      <c r="AQ174" s="31" t="str">
        <f t="shared" si="8"/>
        <v>Complete - No Adjustment</v>
      </c>
    </row>
    <row r="175" spans="1:43" x14ac:dyDescent="0.2">
      <c r="A175" s="46">
        <v>165</v>
      </c>
      <c r="B175" s="13" t="s">
        <v>266</v>
      </c>
      <c r="C175" s="13" t="s">
        <v>313</v>
      </c>
      <c r="D175" s="13" t="s">
        <v>312</v>
      </c>
      <c r="E175" s="13" t="s">
        <v>1040</v>
      </c>
      <c r="F175" s="13" t="s">
        <v>182</v>
      </c>
      <c r="G175" s="13" t="s">
        <v>111</v>
      </c>
      <c r="H175" s="16">
        <v>43941</v>
      </c>
      <c r="I175" s="16">
        <v>43943</v>
      </c>
      <c r="J175" s="22">
        <v>1221.73</v>
      </c>
      <c r="K175" s="22">
        <v>8.64</v>
      </c>
      <c r="L175" s="22" t="s">
        <v>1041</v>
      </c>
      <c r="M175" s="26" t="s">
        <v>98</v>
      </c>
      <c r="N175" s="13" t="s">
        <v>230</v>
      </c>
      <c r="O175" s="13" t="s">
        <v>314</v>
      </c>
      <c r="P175" s="13" t="s">
        <v>60</v>
      </c>
      <c r="Q175" s="13" t="s">
        <v>41</v>
      </c>
      <c r="R175" s="13" t="s">
        <v>270</v>
      </c>
      <c r="S175" s="13" t="s">
        <v>1042</v>
      </c>
      <c r="T175" s="13" t="s">
        <v>1054</v>
      </c>
      <c r="U175" s="13"/>
      <c r="V175" s="13"/>
      <c r="W175" s="13"/>
      <c r="AN175" s="7" t="s">
        <v>70</v>
      </c>
      <c r="AO175" s="21">
        <f t="shared" si="9"/>
        <v>0</v>
      </c>
      <c r="AP175" s="7">
        <f t="shared" si="10"/>
        <v>8.64</v>
      </c>
      <c r="AQ175" s="31" t="str">
        <f t="shared" si="8"/>
        <v>Complete - No Adjustment</v>
      </c>
    </row>
    <row r="176" spans="1:43" x14ac:dyDescent="0.2">
      <c r="A176" s="46">
        <v>166</v>
      </c>
      <c r="B176" s="13" t="s">
        <v>266</v>
      </c>
      <c r="C176" s="13" t="s">
        <v>721</v>
      </c>
      <c r="D176" s="13" t="s">
        <v>797</v>
      </c>
      <c r="E176" s="13" t="s">
        <v>1055</v>
      </c>
      <c r="F176" s="13" t="s">
        <v>162</v>
      </c>
      <c r="G176" s="13" t="s">
        <v>111</v>
      </c>
      <c r="H176" s="16">
        <v>43929</v>
      </c>
      <c r="I176" s="16">
        <v>43935</v>
      </c>
      <c r="J176" s="22">
        <v>159</v>
      </c>
      <c r="K176" s="22">
        <v>159</v>
      </c>
      <c r="L176" s="22" t="s">
        <v>1056</v>
      </c>
      <c r="M176" s="26" t="s">
        <v>98</v>
      </c>
      <c r="N176" s="13" t="s">
        <v>230</v>
      </c>
      <c r="O176" s="13" t="s">
        <v>277</v>
      </c>
      <c r="P176" s="13" t="s">
        <v>60</v>
      </c>
      <c r="Q176" s="13" t="s">
        <v>56</v>
      </c>
      <c r="R176" s="13" t="s">
        <v>270</v>
      </c>
      <c r="S176" s="13" t="s">
        <v>1057</v>
      </c>
      <c r="T176" s="13" t="s">
        <v>1058</v>
      </c>
      <c r="U176" s="13"/>
      <c r="V176" s="13"/>
      <c r="W176" s="13"/>
      <c r="AN176" s="7" t="s">
        <v>70</v>
      </c>
      <c r="AO176" s="21">
        <f t="shared" si="9"/>
        <v>0</v>
      </c>
      <c r="AP176" s="7">
        <f t="shared" si="10"/>
        <v>159</v>
      </c>
      <c r="AQ176" s="31" t="str">
        <f t="shared" si="8"/>
        <v>Complete - No Adjustment</v>
      </c>
    </row>
    <row r="177" spans="1:43" x14ac:dyDescent="0.2">
      <c r="A177" s="46">
        <v>167</v>
      </c>
      <c r="B177" s="13" t="s">
        <v>266</v>
      </c>
      <c r="C177" s="13" t="s">
        <v>742</v>
      </c>
      <c r="D177" s="13" t="s">
        <v>741</v>
      </c>
      <c r="E177" s="13" t="s">
        <v>1059</v>
      </c>
      <c r="F177" s="13" t="s">
        <v>162</v>
      </c>
      <c r="G177" s="13" t="s">
        <v>111</v>
      </c>
      <c r="H177" s="16">
        <v>43930</v>
      </c>
      <c r="I177" s="16">
        <v>43935</v>
      </c>
      <c r="J177" s="22">
        <v>10.48</v>
      </c>
      <c r="K177" s="22">
        <v>10.48</v>
      </c>
      <c r="L177" s="22" t="s">
        <v>1060</v>
      </c>
      <c r="M177" s="26" t="s">
        <v>98</v>
      </c>
      <c r="N177" s="13" t="s">
        <v>230</v>
      </c>
      <c r="O177" s="13" t="s">
        <v>288</v>
      </c>
      <c r="P177" s="13" t="s">
        <v>60</v>
      </c>
      <c r="Q177" s="13" t="s">
        <v>41</v>
      </c>
      <c r="R177" s="13" t="s">
        <v>270</v>
      </c>
      <c r="S177" s="13" t="s">
        <v>1061</v>
      </c>
      <c r="T177" s="13" t="s">
        <v>1062</v>
      </c>
      <c r="U177" s="13"/>
      <c r="V177" s="13"/>
      <c r="W177" s="13"/>
      <c r="AN177" s="7" t="s">
        <v>155</v>
      </c>
      <c r="AO177" s="21">
        <f t="shared" si="9"/>
        <v>0</v>
      </c>
      <c r="AP177" s="7">
        <f t="shared" si="10"/>
        <v>10.48</v>
      </c>
      <c r="AQ177" s="31" t="str">
        <f t="shared" si="8"/>
        <v>Complete - No Adjustment</v>
      </c>
    </row>
    <row r="178" spans="1:43" x14ac:dyDescent="0.2">
      <c r="A178" s="46">
        <v>168</v>
      </c>
      <c r="B178" s="13" t="s">
        <v>266</v>
      </c>
      <c r="C178" s="13" t="s">
        <v>742</v>
      </c>
      <c r="D178" s="13" t="s">
        <v>741</v>
      </c>
      <c r="E178" s="13" t="s">
        <v>1063</v>
      </c>
      <c r="F178" s="13" t="s">
        <v>177</v>
      </c>
      <c r="G178" s="13" t="s">
        <v>111</v>
      </c>
      <c r="H178" s="16">
        <v>43924</v>
      </c>
      <c r="I178" s="16">
        <v>43928</v>
      </c>
      <c r="J178" s="22">
        <v>11.01</v>
      </c>
      <c r="K178" s="22">
        <v>11.01</v>
      </c>
      <c r="L178" s="22" t="s">
        <v>1064</v>
      </c>
      <c r="M178" s="26" t="s">
        <v>98</v>
      </c>
      <c r="N178" s="13" t="s">
        <v>230</v>
      </c>
      <c r="O178" s="13" t="s">
        <v>288</v>
      </c>
      <c r="P178" s="13" t="s">
        <v>60</v>
      </c>
      <c r="Q178" s="13" t="s">
        <v>41</v>
      </c>
      <c r="R178" s="13" t="s">
        <v>270</v>
      </c>
      <c r="S178" s="13" t="s">
        <v>1065</v>
      </c>
      <c r="T178" s="13" t="s">
        <v>1066</v>
      </c>
      <c r="U178" s="13"/>
      <c r="V178" s="13"/>
      <c r="W178" s="13"/>
      <c r="AN178" s="7" t="s">
        <v>848</v>
      </c>
      <c r="AO178" s="21">
        <f t="shared" si="9"/>
        <v>0</v>
      </c>
      <c r="AP178" s="7">
        <f t="shared" si="10"/>
        <v>11.01</v>
      </c>
      <c r="AQ178" s="31" t="str">
        <f t="shared" si="8"/>
        <v>Complete - No Adjustment</v>
      </c>
    </row>
    <row r="179" spans="1:43" x14ac:dyDescent="0.2">
      <c r="A179" s="46">
        <v>169</v>
      </c>
      <c r="B179" s="13" t="s">
        <v>266</v>
      </c>
      <c r="C179" s="13" t="s">
        <v>742</v>
      </c>
      <c r="D179" s="13" t="s">
        <v>741</v>
      </c>
      <c r="E179" s="13" t="s">
        <v>1067</v>
      </c>
      <c r="F179" s="13" t="s">
        <v>168</v>
      </c>
      <c r="G179" s="13" t="s">
        <v>111</v>
      </c>
      <c r="H179" s="16">
        <v>43936</v>
      </c>
      <c r="I179" s="16">
        <v>43938</v>
      </c>
      <c r="J179" s="22">
        <v>12.45</v>
      </c>
      <c r="K179" s="22">
        <v>12.45</v>
      </c>
      <c r="L179" s="22" t="s">
        <v>1068</v>
      </c>
      <c r="M179" s="26" t="s">
        <v>98</v>
      </c>
      <c r="N179" s="13" t="s">
        <v>230</v>
      </c>
      <c r="O179" s="13" t="s">
        <v>288</v>
      </c>
      <c r="P179" s="13" t="s">
        <v>60</v>
      </c>
      <c r="Q179" s="13" t="s">
        <v>41</v>
      </c>
      <c r="R179" s="13" t="s">
        <v>270</v>
      </c>
      <c r="S179" s="13" t="s">
        <v>1069</v>
      </c>
      <c r="T179" s="13" t="s">
        <v>1070</v>
      </c>
      <c r="U179" s="13"/>
      <c r="V179" s="13"/>
      <c r="W179" s="13"/>
      <c r="AN179" s="7" t="s">
        <v>155</v>
      </c>
      <c r="AO179" s="21">
        <f t="shared" si="9"/>
        <v>0</v>
      </c>
      <c r="AP179" s="7">
        <f t="shared" si="10"/>
        <v>12.45</v>
      </c>
      <c r="AQ179" s="31" t="str">
        <f t="shared" si="8"/>
        <v>Complete - No Adjustment</v>
      </c>
    </row>
    <row r="180" spans="1:43" x14ac:dyDescent="0.2">
      <c r="A180" s="46">
        <v>170</v>
      </c>
      <c r="B180" s="13" t="s">
        <v>266</v>
      </c>
      <c r="C180" s="13" t="s">
        <v>742</v>
      </c>
      <c r="D180" s="13" t="s">
        <v>741</v>
      </c>
      <c r="E180" s="13" t="s">
        <v>1071</v>
      </c>
      <c r="F180" s="13" t="s">
        <v>181</v>
      </c>
      <c r="G180" s="13" t="s">
        <v>111</v>
      </c>
      <c r="H180" s="16">
        <v>43944</v>
      </c>
      <c r="I180" s="16">
        <v>43948</v>
      </c>
      <c r="J180" s="22">
        <v>15.35</v>
      </c>
      <c r="K180" s="22">
        <v>15.35</v>
      </c>
      <c r="L180" s="22" t="s">
        <v>1072</v>
      </c>
      <c r="M180" s="26" t="s">
        <v>98</v>
      </c>
      <c r="N180" s="13" t="s">
        <v>230</v>
      </c>
      <c r="O180" s="13" t="s">
        <v>288</v>
      </c>
      <c r="P180" s="13" t="s">
        <v>60</v>
      </c>
      <c r="Q180" s="13" t="s">
        <v>41</v>
      </c>
      <c r="R180" s="13" t="s">
        <v>270</v>
      </c>
      <c r="S180" s="13" t="s">
        <v>1073</v>
      </c>
      <c r="T180" s="13" t="s">
        <v>1074</v>
      </c>
      <c r="U180" s="13"/>
      <c r="V180" s="13"/>
      <c r="W180" s="13"/>
      <c r="AN180" s="7" t="s">
        <v>155</v>
      </c>
      <c r="AO180" s="21">
        <f t="shared" si="9"/>
        <v>0</v>
      </c>
      <c r="AP180" s="7">
        <f t="shared" si="10"/>
        <v>15.35</v>
      </c>
      <c r="AQ180" s="31" t="str">
        <f t="shared" si="8"/>
        <v>Complete - No Adjustment</v>
      </c>
    </row>
    <row r="181" spans="1:43" x14ac:dyDescent="0.2">
      <c r="A181" s="46">
        <v>171</v>
      </c>
      <c r="B181" s="13" t="s">
        <v>266</v>
      </c>
      <c r="C181" s="13" t="s">
        <v>316</v>
      </c>
      <c r="D181" s="13" t="s">
        <v>315</v>
      </c>
      <c r="E181" s="13" t="s">
        <v>1075</v>
      </c>
      <c r="F181" s="13" t="s">
        <v>160</v>
      </c>
      <c r="G181" s="13" t="s">
        <v>111</v>
      </c>
      <c r="H181" s="16">
        <v>43867</v>
      </c>
      <c r="I181" s="16">
        <v>43930</v>
      </c>
      <c r="J181" s="22">
        <v>62.75</v>
      </c>
      <c r="K181" s="22">
        <v>62.75</v>
      </c>
      <c r="L181" s="22" t="s">
        <v>1076</v>
      </c>
      <c r="M181" s="26" t="s">
        <v>98</v>
      </c>
      <c r="N181" s="13" t="s">
        <v>230</v>
      </c>
      <c r="O181" s="13" t="s">
        <v>317</v>
      </c>
      <c r="P181" s="13" t="s">
        <v>60</v>
      </c>
      <c r="Q181" s="13" t="s">
        <v>41</v>
      </c>
      <c r="R181" s="13" t="s">
        <v>270</v>
      </c>
      <c r="S181" s="13" t="s">
        <v>1077</v>
      </c>
      <c r="T181" s="13" t="s">
        <v>1078</v>
      </c>
      <c r="U181" s="13"/>
      <c r="V181" s="13"/>
      <c r="W181" s="13"/>
      <c r="AN181" s="7" t="s">
        <v>70</v>
      </c>
      <c r="AO181" s="21">
        <f t="shared" si="9"/>
        <v>0</v>
      </c>
      <c r="AP181" s="7">
        <f t="shared" si="10"/>
        <v>62.75</v>
      </c>
      <c r="AQ181" s="31" t="str">
        <f t="shared" si="8"/>
        <v>Complete - No Adjustment</v>
      </c>
    </row>
    <row r="182" spans="1:43" x14ac:dyDescent="0.2">
      <c r="A182" s="46">
        <v>172</v>
      </c>
      <c r="B182" s="13" t="s">
        <v>266</v>
      </c>
      <c r="C182" s="13" t="s">
        <v>77</v>
      </c>
      <c r="D182" s="13" t="s">
        <v>100</v>
      </c>
      <c r="E182" s="13" t="s">
        <v>1079</v>
      </c>
      <c r="F182" s="13" t="s">
        <v>173</v>
      </c>
      <c r="G182" s="13" t="s">
        <v>111</v>
      </c>
      <c r="H182" s="16">
        <v>43937</v>
      </c>
      <c r="I182" s="16">
        <v>43941</v>
      </c>
      <c r="J182" s="22">
        <v>455.7</v>
      </c>
      <c r="K182" s="22">
        <v>395</v>
      </c>
      <c r="L182" s="22" t="s">
        <v>1080</v>
      </c>
      <c r="M182" s="26" t="s">
        <v>98</v>
      </c>
      <c r="N182" s="13" t="s">
        <v>230</v>
      </c>
      <c r="O182" s="13" t="s">
        <v>78</v>
      </c>
      <c r="P182" s="13" t="s">
        <v>60</v>
      </c>
      <c r="Q182" s="13" t="s">
        <v>48</v>
      </c>
      <c r="R182" s="13" t="s">
        <v>270</v>
      </c>
      <c r="S182" s="13" t="s">
        <v>1081</v>
      </c>
      <c r="T182" s="13" t="s">
        <v>1082</v>
      </c>
      <c r="U182" s="13"/>
      <c r="V182" s="13"/>
      <c r="W182" s="13"/>
      <c r="AN182" s="7" t="s">
        <v>70</v>
      </c>
      <c r="AO182" s="21">
        <f t="shared" si="9"/>
        <v>0</v>
      </c>
      <c r="AP182" s="7">
        <f t="shared" si="10"/>
        <v>395</v>
      </c>
      <c r="AQ182" s="31" t="str">
        <f t="shared" si="8"/>
        <v>Complete - No Adjustment</v>
      </c>
    </row>
    <row r="183" spans="1:43" x14ac:dyDescent="0.2">
      <c r="A183" s="46">
        <v>173</v>
      </c>
      <c r="B183" s="13" t="s">
        <v>266</v>
      </c>
      <c r="C183" s="13" t="s">
        <v>77</v>
      </c>
      <c r="D183" s="13" t="s">
        <v>100</v>
      </c>
      <c r="E183" s="13" t="s">
        <v>1079</v>
      </c>
      <c r="F183" s="13" t="s">
        <v>173</v>
      </c>
      <c r="G183" s="13" t="s">
        <v>111</v>
      </c>
      <c r="H183" s="16">
        <v>43937</v>
      </c>
      <c r="I183" s="16">
        <v>43941</v>
      </c>
      <c r="J183" s="22">
        <v>455.7</v>
      </c>
      <c r="K183" s="22">
        <v>10.7</v>
      </c>
      <c r="L183" s="22" t="s">
        <v>1080</v>
      </c>
      <c r="M183" s="26" t="s">
        <v>98</v>
      </c>
      <c r="N183" s="13" t="s">
        <v>230</v>
      </c>
      <c r="O183" s="13" t="s">
        <v>78</v>
      </c>
      <c r="P183" s="13" t="s">
        <v>60</v>
      </c>
      <c r="Q183" s="13" t="s">
        <v>62</v>
      </c>
      <c r="R183" s="13" t="s">
        <v>270</v>
      </c>
      <c r="S183" s="13" t="s">
        <v>1081</v>
      </c>
      <c r="T183" s="13" t="s">
        <v>1083</v>
      </c>
      <c r="U183" s="13"/>
      <c r="V183" s="13"/>
      <c r="W183" s="13"/>
      <c r="AN183" s="7" t="s">
        <v>155</v>
      </c>
      <c r="AO183" s="21">
        <f t="shared" si="9"/>
        <v>0</v>
      </c>
      <c r="AP183" s="7">
        <f t="shared" si="10"/>
        <v>10.7</v>
      </c>
      <c r="AQ183" s="31" t="str">
        <f t="shared" si="8"/>
        <v>Complete - No Adjustment</v>
      </c>
    </row>
    <row r="184" spans="1:43" x14ac:dyDescent="0.2">
      <c r="A184" s="46">
        <v>174</v>
      </c>
      <c r="B184" s="13" t="s">
        <v>266</v>
      </c>
      <c r="C184" s="13" t="s">
        <v>77</v>
      </c>
      <c r="D184" s="13" t="s">
        <v>100</v>
      </c>
      <c r="E184" s="13" t="s">
        <v>1079</v>
      </c>
      <c r="F184" s="13" t="s">
        <v>173</v>
      </c>
      <c r="G184" s="13" t="s">
        <v>111</v>
      </c>
      <c r="H184" s="16">
        <v>43937</v>
      </c>
      <c r="I184" s="16">
        <v>43941</v>
      </c>
      <c r="J184" s="22">
        <v>455.7</v>
      </c>
      <c r="K184" s="22">
        <v>50</v>
      </c>
      <c r="L184" s="22" t="s">
        <v>1080</v>
      </c>
      <c r="M184" s="26" t="s">
        <v>98</v>
      </c>
      <c r="N184" s="13" t="s">
        <v>230</v>
      </c>
      <c r="O184" s="13" t="s">
        <v>78</v>
      </c>
      <c r="P184" s="13" t="s">
        <v>60</v>
      </c>
      <c r="Q184" s="13" t="s">
        <v>48</v>
      </c>
      <c r="R184" s="13" t="s">
        <v>270</v>
      </c>
      <c r="S184" s="13" t="s">
        <v>1081</v>
      </c>
      <c r="T184" s="13" t="s">
        <v>1084</v>
      </c>
      <c r="U184" s="13"/>
      <c r="V184" s="13"/>
      <c r="W184" s="13"/>
      <c r="AN184" s="7" t="s">
        <v>70</v>
      </c>
      <c r="AO184" s="21">
        <f t="shared" si="9"/>
        <v>0</v>
      </c>
      <c r="AP184" s="7">
        <f t="shared" si="10"/>
        <v>50</v>
      </c>
      <c r="AQ184" s="31" t="str">
        <f t="shared" si="8"/>
        <v>Complete - No Adjustment</v>
      </c>
    </row>
    <row r="185" spans="1:43" x14ac:dyDescent="0.2">
      <c r="A185" s="46">
        <v>175</v>
      </c>
      <c r="B185" s="13" t="s">
        <v>266</v>
      </c>
      <c r="C185" s="13" t="s">
        <v>319</v>
      </c>
      <c r="D185" s="13" t="s">
        <v>318</v>
      </c>
      <c r="E185" s="13" t="s">
        <v>1085</v>
      </c>
      <c r="F185" s="13" t="s">
        <v>180</v>
      </c>
      <c r="G185" s="13" t="s">
        <v>111</v>
      </c>
      <c r="H185" s="16">
        <v>43923</v>
      </c>
      <c r="I185" s="16">
        <v>43927</v>
      </c>
      <c r="J185" s="22">
        <v>107.69</v>
      </c>
      <c r="K185" s="22">
        <v>40.64</v>
      </c>
      <c r="L185" s="22" t="s">
        <v>1086</v>
      </c>
      <c r="M185" s="26" t="s">
        <v>98</v>
      </c>
      <c r="N185" s="13" t="s">
        <v>230</v>
      </c>
      <c r="O185" s="13" t="s">
        <v>320</v>
      </c>
      <c r="P185" s="13" t="s">
        <v>60</v>
      </c>
      <c r="Q185" s="13" t="s">
        <v>41</v>
      </c>
      <c r="R185" s="13" t="s">
        <v>270</v>
      </c>
      <c r="S185" s="13" t="s">
        <v>1087</v>
      </c>
      <c r="T185" s="13" t="s">
        <v>1088</v>
      </c>
      <c r="U185" s="13"/>
      <c r="V185" s="13"/>
      <c r="W185" s="13"/>
      <c r="AN185" s="7" t="s">
        <v>70</v>
      </c>
      <c r="AO185" s="21">
        <f t="shared" si="9"/>
        <v>0</v>
      </c>
      <c r="AP185" s="7">
        <f t="shared" si="10"/>
        <v>40.64</v>
      </c>
      <c r="AQ185" s="31" t="str">
        <f t="shared" si="8"/>
        <v>Complete - No Adjustment</v>
      </c>
    </row>
    <row r="186" spans="1:43" x14ac:dyDescent="0.2">
      <c r="A186" s="46">
        <v>176</v>
      </c>
      <c r="B186" s="13" t="s">
        <v>266</v>
      </c>
      <c r="C186" s="13" t="s">
        <v>319</v>
      </c>
      <c r="D186" s="13" t="s">
        <v>318</v>
      </c>
      <c r="E186" s="13" t="s">
        <v>1085</v>
      </c>
      <c r="F186" s="13" t="s">
        <v>180</v>
      </c>
      <c r="G186" s="13" t="s">
        <v>111</v>
      </c>
      <c r="H186" s="16">
        <v>43923</v>
      </c>
      <c r="I186" s="16">
        <v>43927</v>
      </c>
      <c r="J186" s="22">
        <v>107.69</v>
      </c>
      <c r="K186" s="22">
        <v>67.05</v>
      </c>
      <c r="L186" s="22" t="s">
        <v>1086</v>
      </c>
      <c r="M186" s="26" t="s">
        <v>98</v>
      </c>
      <c r="N186" s="13" t="s">
        <v>230</v>
      </c>
      <c r="O186" s="13" t="s">
        <v>320</v>
      </c>
      <c r="P186" s="13" t="s">
        <v>60</v>
      </c>
      <c r="Q186" s="13" t="s">
        <v>41</v>
      </c>
      <c r="R186" s="13" t="s">
        <v>270</v>
      </c>
      <c r="S186" s="13" t="s">
        <v>1087</v>
      </c>
      <c r="T186" s="13" t="s">
        <v>1089</v>
      </c>
      <c r="U186" s="13"/>
      <c r="V186" s="13"/>
      <c r="W186" s="13"/>
      <c r="AB186" s="14">
        <f>52.7-25*2</f>
        <v>2.7000000000000028</v>
      </c>
      <c r="AN186" s="7" t="s">
        <v>66</v>
      </c>
      <c r="AO186" s="21">
        <f t="shared" si="9"/>
        <v>2.7000000000000028</v>
      </c>
      <c r="AP186" s="7">
        <f t="shared" si="10"/>
        <v>64.349999999999994</v>
      </c>
      <c r="AQ186" s="31" t="str">
        <f t="shared" si="8"/>
        <v>Complete - With Adjustment</v>
      </c>
    </row>
    <row r="187" spans="1:43" x14ac:dyDescent="0.2">
      <c r="A187" s="46">
        <v>177</v>
      </c>
      <c r="B187" s="13" t="s">
        <v>266</v>
      </c>
      <c r="C187" s="13" t="s">
        <v>325</v>
      </c>
      <c r="D187" s="13" t="s">
        <v>324</v>
      </c>
      <c r="E187" s="13" t="s">
        <v>1090</v>
      </c>
      <c r="F187" s="13" t="s">
        <v>173</v>
      </c>
      <c r="G187" s="13" t="s">
        <v>111</v>
      </c>
      <c r="H187" s="16">
        <v>43937</v>
      </c>
      <c r="I187" s="16">
        <v>43941</v>
      </c>
      <c r="J187" s="22">
        <v>99.78</v>
      </c>
      <c r="K187" s="22">
        <v>61.93</v>
      </c>
      <c r="L187" s="22" t="s">
        <v>1091</v>
      </c>
      <c r="M187" s="26" t="s">
        <v>98</v>
      </c>
      <c r="N187" s="13" t="s">
        <v>230</v>
      </c>
      <c r="O187" s="13" t="s">
        <v>288</v>
      </c>
      <c r="P187" s="13" t="s">
        <v>60</v>
      </c>
      <c r="Q187" s="13" t="s">
        <v>62</v>
      </c>
      <c r="R187" s="13" t="s">
        <v>270</v>
      </c>
      <c r="S187" s="13" t="s">
        <v>1092</v>
      </c>
      <c r="T187" s="13" t="s">
        <v>1093</v>
      </c>
      <c r="U187" s="13"/>
      <c r="V187" s="13"/>
      <c r="W187" s="13"/>
      <c r="AN187" s="7" t="s">
        <v>70</v>
      </c>
      <c r="AO187" s="21">
        <f t="shared" si="9"/>
        <v>0</v>
      </c>
      <c r="AP187" s="7">
        <f t="shared" si="10"/>
        <v>61.93</v>
      </c>
      <c r="AQ187" s="31" t="str">
        <f t="shared" si="8"/>
        <v>Complete - No Adjustment</v>
      </c>
    </row>
    <row r="188" spans="1:43" x14ac:dyDescent="0.2">
      <c r="A188" s="46">
        <v>178</v>
      </c>
      <c r="B188" s="13" t="s">
        <v>266</v>
      </c>
      <c r="C188" s="13" t="s">
        <v>325</v>
      </c>
      <c r="D188" s="13" t="s">
        <v>324</v>
      </c>
      <c r="E188" s="13" t="s">
        <v>1090</v>
      </c>
      <c r="F188" s="13" t="s">
        <v>173</v>
      </c>
      <c r="G188" s="13" t="s">
        <v>111</v>
      </c>
      <c r="H188" s="16">
        <v>43937</v>
      </c>
      <c r="I188" s="16">
        <v>43941</v>
      </c>
      <c r="J188" s="22">
        <v>99.78</v>
      </c>
      <c r="K188" s="22">
        <v>10.81</v>
      </c>
      <c r="L188" s="22" t="s">
        <v>1091</v>
      </c>
      <c r="M188" s="26" t="s">
        <v>98</v>
      </c>
      <c r="N188" s="13" t="s">
        <v>230</v>
      </c>
      <c r="O188" s="13" t="s">
        <v>288</v>
      </c>
      <c r="P188" s="13" t="s">
        <v>60</v>
      </c>
      <c r="Q188" s="13" t="s">
        <v>41</v>
      </c>
      <c r="R188" s="13" t="s">
        <v>270</v>
      </c>
      <c r="S188" s="13" t="s">
        <v>1092</v>
      </c>
      <c r="T188" s="13" t="s">
        <v>1094</v>
      </c>
      <c r="U188" s="13"/>
      <c r="V188" s="13"/>
      <c r="W188" s="13"/>
      <c r="AN188" s="7" t="s">
        <v>70</v>
      </c>
      <c r="AO188" s="21">
        <f t="shared" si="9"/>
        <v>0</v>
      </c>
      <c r="AP188" s="7">
        <f t="shared" si="10"/>
        <v>10.81</v>
      </c>
      <c r="AQ188" s="31" t="str">
        <f t="shared" si="8"/>
        <v>Complete - No Adjustment</v>
      </c>
    </row>
    <row r="189" spans="1:43" x14ac:dyDescent="0.2">
      <c r="A189" s="46">
        <v>179</v>
      </c>
      <c r="B189" s="13" t="s">
        <v>266</v>
      </c>
      <c r="C189" s="13" t="s">
        <v>325</v>
      </c>
      <c r="D189" s="13" t="s">
        <v>324</v>
      </c>
      <c r="E189" s="13" t="s">
        <v>1090</v>
      </c>
      <c r="F189" s="13" t="s">
        <v>173</v>
      </c>
      <c r="G189" s="13" t="s">
        <v>111</v>
      </c>
      <c r="H189" s="16">
        <v>43937</v>
      </c>
      <c r="I189" s="16">
        <v>43941</v>
      </c>
      <c r="J189" s="22">
        <v>99.78</v>
      </c>
      <c r="K189" s="22">
        <v>16.23</v>
      </c>
      <c r="L189" s="22" t="s">
        <v>1091</v>
      </c>
      <c r="M189" s="26" t="s">
        <v>98</v>
      </c>
      <c r="N189" s="13" t="s">
        <v>230</v>
      </c>
      <c r="O189" s="13" t="s">
        <v>288</v>
      </c>
      <c r="P189" s="13" t="s">
        <v>60</v>
      </c>
      <c r="Q189" s="13" t="s">
        <v>41</v>
      </c>
      <c r="R189" s="13" t="s">
        <v>270</v>
      </c>
      <c r="S189" s="13" t="s">
        <v>1092</v>
      </c>
      <c r="T189" s="13" t="s">
        <v>1094</v>
      </c>
      <c r="U189" s="13"/>
      <c r="V189" s="13"/>
      <c r="W189" s="13"/>
      <c r="AL189" s="14">
        <v>16.23</v>
      </c>
      <c r="AN189" s="7" t="s">
        <v>146</v>
      </c>
      <c r="AO189" s="21">
        <f t="shared" si="9"/>
        <v>16.23</v>
      </c>
      <c r="AP189" s="7">
        <f t="shared" si="10"/>
        <v>0</v>
      </c>
      <c r="AQ189" s="31" t="str">
        <f t="shared" si="8"/>
        <v>Complete - With Adjustment</v>
      </c>
    </row>
    <row r="190" spans="1:43" x14ac:dyDescent="0.2">
      <c r="A190" s="46">
        <v>180</v>
      </c>
      <c r="B190" s="13" t="s">
        <v>266</v>
      </c>
      <c r="C190" s="13" t="s">
        <v>325</v>
      </c>
      <c r="D190" s="13" t="s">
        <v>324</v>
      </c>
      <c r="E190" s="13" t="s">
        <v>1090</v>
      </c>
      <c r="F190" s="13" t="s">
        <v>173</v>
      </c>
      <c r="G190" s="13" t="s">
        <v>111</v>
      </c>
      <c r="H190" s="16">
        <v>43937</v>
      </c>
      <c r="I190" s="16">
        <v>43941</v>
      </c>
      <c r="J190" s="22">
        <v>99.78</v>
      </c>
      <c r="K190" s="22">
        <v>10.81</v>
      </c>
      <c r="L190" s="22" t="s">
        <v>1091</v>
      </c>
      <c r="M190" s="26" t="s">
        <v>98</v>
      </c>
      <c r="N190" s="13" t="s">
        <v>230</v>
      </c>
      <c r="O190" s="13" t="s">
        <v>288</v>
      </c>
      <c r="P190" s="13" t="s">
        <v>60</v>
      </c>
      <c r="Q190" s="13" t="s">
        <v>41</v>
      </c>
      <c r="R190" s="13" t="s">
        <v>270</v>
      </c>
      <c r="S190" s="13" t="s">
        <v>1092</v>
      </c>
      <c r="T190" s="13" t="s">
        <v>1095</v>
      </c>
      <c r="U190" s="13"/>
      <c r="V190" s="13"/>
      <c r="W190" s="13"/>
      <c r="AN190" s="7" t="s">
        <v>70</v>
      </c>
      <c r="AO190" s="21">
        <f t="shared" si="9"/>
        <v>0</v>
      </c>
      <c r="AP190" s="7">
        <f t="shared" si="10"/>
        <v>10.81</v>
      </c>
      <c r="AQ190" s="31" t="str">
        <f t="shared" si="8"/>
        <v>Complete - No Adjustment</v>
      </c>
    </row>
    <row r="191" spans="1:43" x14ac:dyDescent="0.2">
      <c r="A191" s="46">
        <v>181</v>
      </c>
      <c r="B191" s="13" t="s">
        <v>266</v>
      </c>
      <c r="C191" s="13" t="s">
        <v>328</v>
      </c>
      <c r="D191" s="13" t="s">
        <v>327</v>
      </c>
      <c r="E191" s="13" t="s">
        <v>1096</v>
      </c>
      <c r="F191" s="13" t="s">
        <v>173</v>
      </c>
      <c r="G191" s="13" t="s">
        <v>111</v>
      </c>
      <c r="H191" s="16">
        <v>43935</v>
      </c>
      <c r="I191" s="16">
        <v>43941</v>
      </c>
      <c r="J191" s="22">
        <v>11.9</v>
      </c>
      <c r="K191" s="22">
        <v>11.9</v>
      </c>
      <c r="L191" s="22" t="s">
        <v>1097</v>
      </c>
      <c r="M191" s="26" t="s">
        <v>98</v>
      </c>
      <c r="N191" s="13" t="s">
        <v>230</v>
      </c>
      <c r="O191" s="13" t="s">
        <v>281</v>
      </c>
      <c r="P191" s="13" t="s">
        <v>60</v>
      </c>
      <c r="Q191" s="13" t="s">
        <v>41</v>
      </c>
      <c r="R191" s="13" t="s">
        <v>270</v>
      </c>
      <c r="S191" s="13" t="s">
        <v>1098</v>
      </c>
      <c r="T191" s="13" t="s">
        <v>1099</v>
      </c>
      <c r="U191" s="13"/>
      <c r="V191" s="13"/>
      <c r="W191" s="13"/>
      <c r="AN191" s="7" t="s">
        <v>155</v>
      </c>
      <c r="AO191" s="21">
        <f t="shared" si="9"/>
        <v>0</v>
      </c>
      <c r="AP191" s="7">
        <f t="shared" si="10"/>
        <v>11.9</v>
      </c>
      <c r="AQ191" s="31" t="str">
        <f t="shared" si="8"/>
        <v>Complete - No Adjustment</v>
      </c>
    </row>
    <row r="192" spans="1:43" x14ac:dyDescent="0.2">
      <c r="A192" s="46">
        <v>182</v>
      </c>
      <c r="B192" s="13" t="s">
        <v>266</v>
      </c>
      <c r="C192" s="13" t="s">
        <v>328</v>
      </c>
      <c r="D192" s="13" t="s">
        <v>327</v>
      </c>
      <c r="E192" s="13" t="s">
        <v>1100</v>
      </c>
      <c r="F192" s="13" t="s">
        <v>161</v>
      </c>
      <c r="G192" s="13" t="s">
        <v>111</v>
      </c>
      <c r="H192" s="16">
        <v>43944</v>
      </c>
      <c r="I192" s="16">
        <v>43949</v>
      </c>
      <c r="J192" s="22">
        <v>12.15</v>
      </c>
      <c r="K192" s="22">
        <v>12.15</v>
      </c>
      <c r="L192" s="22" t="s">
        <v>1101</v>
      </c>
      <c r="M192" s="26" t="s">
        <v>98</v>
      </c>
      <c r="N192" s="13" t="s">
        <v>230</v>
      </c>
      <c r="O192" s="13" t="s">
        <v>281</v>
      </c>
      <c r="P192" s="13" t="s">
        <v>60</v>
      </c>
      <c r="Q192" s="13" t="s">
        <v>41</v>
      </c>
      <c r="R192" s="13" t="s">
        <v>270</v>
      </c>
      <c r="S192" s="13" t="s">
        <v>1102</v>
      </c>
      <c r="T192" s="13" t="s">
        <v>1103</v>
      </c>
      <c r="U192" s="13"/>
      <c r="V192" s="13"/>
      <c r="W192" s="13"/>
      <c r="AN192" s="7" t="s">
        <v>155</v>
      </c>
      <c r="AO192" s="21">
        <f t="shared" si="9"/>
        <v>0</v>
      </c>
      <c r="AP192" s="7">
        <f t="shared" si="10"/>
        <v>12.15</v>
      </c>
      <c r="AQ192" s="31" t="str">
        <f t="shared" si="8"/>
        <v>Complete - No Adjustment</v>
      </c>
    </row>
    <row r="193" spans="1:43" x14ac:dyDescent="0.2">
      <c r="A193" s="46">
        <v>183</v>
      </c>
      <c r="B193" s="13" t="s">
        <v>266</v>
      </c>
      <c r="C193" s="13" t="s">
        <v>232</v>
      </c>
      <c r="D193" s="13" t="s">
        <v>231</v>
      </c>
      <c r="E193" s="13" t="s">
        <v>1104</v>
      </c>
      <c r="F193" s="13" t="s">
        <v>176</v>
      </c>
      <c r="G193" s="13" t="s">
        <v>111</v>
      </c>
      <c r="H193" s="16">
        <v>43920</v>
      </c>
      <c r="I193" s="16">
        <v>43942</v>
      </c>
      <c r="J193" s="22">
        <v>171.57</v>
      </c>
      <c r="K193" s="22">
        <v>33.42</v>
      </c>
      <c r="L193" s="22" t="s">
        <v>1105</v>
      </c>
      <c r="M193" s="26" t="s">
        <v>98</v>
      </c>
      <c r="N193" s="13" t="s">
        <v>230</v>
      </c>
      <c r="O193" s="13" t="s">
        <v>331</v>
      </c>
      <c r="P193" s="13" t="s">
        <v>60</v>
      </c>
      <c r="Q193" s="13" t="s">
        <v>46</v>
      </c>
      <c r="R193" s="13" t="s">
        <v>270</v>
      </c>
      <c r="S193" s="13" t="s">
        <v>1106</v>
      </c>
      <c r="T193" s="13" t="s">
        <v>1107</v>
      </c>
      <c r="U193" s="13"/>
      <c r="V193" s="13"/>
      <c r="W193" s="13"/>
      <c r="AI193" s="53">
        <v>33.42</v>
      </c>
      <c r="AN193" s="7" t="s">
        <v>145</v>
      </c>
      <c r="AO193" s="21">
        <f t="shared" si="9"/>
        <v>33.42</v>
      </c>
      <c r="AP193" s="7">
        <f t="shared" si="10"/>
        <v>0</v>
      </c>
      <c r="AQ193" s="31" t="str">
        <f t="shared" si="8"/>
        <v>Complete - With Adjustment</v>
      </c>
    </row>
    <row r="194" spans="1:43" x14ac:dyDescent="0.2">
      <c r="A194" s="46">
        <v>184</v>
      </c>
      <c r="B194" s="13" t="s">
        <v>266</v>
      </c>
      <c r="C194" s="13" t="s">
        <v>232</v>
      </c>
      <c r="D194" s="13" t="s">
        <v>231</v>
      </c>
      <c r="E194" s="13" t="s">
        <v>1104</v>
      </c>
      <c r="F194" s="13" t="s">
        <v>176</v>
      </c>
      <c r="G194" s="13" t="s">
        <v>111</v>
      </c>
      <c r="H194" s="16">
        <v>43920</v>
      </c>
      <c r="I194" s="16">
        <v>43942</v>
      </c>
      <c r="J194" s="22">
        <v>171.57</v>
      </c>
      <c r="K194" s="22">
        <v>17.64</v>
      </c>
      <c r="L194" s="22" t="s">
        <v>1105</v>
      </c>
      <c r="M194" s="26" t="s">
        <v>98</v>
      </c>
      <c r="N194" s="13" t="s">
        <v>230</v>
      </c>
      <c r="O194" s="13" t="s">
        <v>311</v>
      </c>
      <c r="P194" s="13" t="s">
        <v>60</v>
      </c>
      <c r="Q194" s="13" t="s">
        <v>41</v>
      </c>
      <c r="R194" s="13" t="s">
        <v>270</v>
      </c>
      <c r="S194" s="13" t="s">
        <v>1106</v>
      </c>
      <c r="T194" s="13" t="s">
        <v>1108</v>
      </c>
      <c r="U194" s="13"/>
      <c r="V194" s="13"/>
      <c r="W194" s="13"/>
      <c r="AN194" s="7" t="s">
        <v>155</v>
      </c>
      <c r="AO194" s="21">
        <f t="shared" si="9"/>
        <v>0</v>
      </c>
      <c r="AP194" s="7">
        <f t="shared" si="10"/>
        <v>17.64</v>
      </c>
      <c r="AQ194" s="31" t="str">
        <f t="shared" si="8"/>
        <v>Complete - No Adjustment</v>
      </c>
    </row>
    <row r="195" spans="1:43" x14ac:dyDescent="0.2">
      <c r="A195" s="46">
        <v>185</v>
      </c>
      <c r="B195" s="13" t="s">
        <v>266</v>
      </c>
      <c r="C195" s="13" t="s">
        <v>232</v>
      </c>
      <c r="D195" s="13" t="s">
        <v>231</v>
      </c>
      <c r="E195" s="13" t="s">
        <v>1104</v>
      </c>
      <c r="F195" s="13" t="s">
        <v>176</v>
      </c>
      <c r="G195" s="13" t="s">
        <v>111</v>
      </c>
      <c r="H195" s="16">
        <v>43920</v>
      </c>
      <c r="I195" s="16">
        <v>43942</v>
      </c>
      <c r="J195" s="22">
        <v>171.57</v>
      </c>
      <c r="K195" s="22">
        <v>18.309999999999999</v>
      </c>
      <c r="L195" s="22" t="s">
        <v>1105</v>
      </c>
      <c r="M195" s="26" t="s">
        <v>98</v>
      </c>
      <c r="N195" s="13" t="s">
        <v>230</v>
      </c>
      <c r="O195" s="13" t="s">
        <v>311</v>
      </c>
      <c r="P195" s="13" t="s">
        <v>60</v>
      </c>
      <c r="Q195" s="13" t="s">
        <v>41</v>
      </c>
      <c r="R195" s="13" t="s">
        <v>270</v>
      </c>
      <c r="S195" s="13" t="s">
        <v>1106</v>
      </c>
      <c r="T195" s="13" t="s">
        <v>1109</v>
      </c>
      <c r="U195" s="13"/>
      <c r="V195" s="13"/>
      <c r="W195" s="13"/>
      <c r="AN195" s="7" t="s">
        <v>155</v>
      </c>
      <c r="AO195" s="21">
        <f t="shared" si="9"/>
        <v>0</v>
      </c>
      <c r="AP195" s="7">
        <f t="shared" si="10"/>
        <v>18.309999999999999</v>
      </c>
      <c r="AQ195" s="31" t="str">
        <f t="shared" si="8"/>
        <v>Complete - No Adjustment</v>
      </c>
    </row>
    <row r="196" spans="1:43" x14ac:dyDescent="0.2">
      <c r="A196" s="46">
        <v>186</v>
      </c>
      <c r="B196" s="13" t="s">
        <v>266</v>
      </c>
      <c r="C196" s="13" t="s">
        <v>232</v>
      </c>
      <c r="D196" s="13" t="s">
        <v>231</v>
      </c>
      <c r="E196" s="13" t="s">
        <v>1104</v>
      </c>
      <c r="F196" s="13" t="s">
        <v>176</v>
      </c>
      <c r="G196" s="13" t="s">
        <v>111</v>
      </c>
      <c r="H196" s="16">
        <v>43920</v>
      </c>
      <c r="I196" s="16">
        <v>43942</v>
      </c>
      <c r="J196" s="22">
        <v>171.57</v>
      </c>
      <c r="K196" s="22">
        <v>102.2</v>
      </c>
      <c r="L196" s="22" t="s">
        <v>1105</v>
      </c>
      <c r="M196" s="26" t="s">
        <v>98</v>
      </c>
      <c r="N196" s="13" t="s">
        <v>230</v>
      </c>
      <c r="O196" s="13" t="s">
        <v>331</v>
      </c>
      <c r="P196" s="13" t="s">
        <v>60</v>
      </c>
      <c r="Q196" s="13" t="s">
        <v>46</v>
      </c>
      <c r="R196" s="13" t="s">
        <v>270</v>
      </c>
      <c r="S196" s="13" t="s">
        <v>1106</v>
      </c>
      <c r="T196" s="13" t="s">
        <v>1107</v>
      </c>
      <c r="U196" s="13"/>
      <c r="V196" s="13"/>
      <c r="W196" s="13"/>
      <c r="AI196" s="53">
        <v>102.2</v>
      </c>
      <c r="AN196" s="7" t="s">
        <v>145</v>
      </c>
      <c r="AO196" s="21">
        <f t="shared" si="9"/>
        <v>102.2</v>
      </c>
      <c r="AP196" s="7">
        <f t="shared" si="10"/>
        <v>0</v>
      </c>
      <c r="AQ196" s="31" t="str">
        <f t="shared" si="8"/>
        <v>Complete - With Adjustment</v>
      </c>
    </row>
    <row r="197" spans="1:43" x14ac:dyDescent="0.2">
      <c r="A197" s="46">
        <v>187</v>
      </c>
      <c r="B197" s="13" t="s">
        <v>266</v>
      </c>
      <c r="C197" s="13" t="s">
        <v>744</v>
      </c>
      <c r="D197" s="13" t="s">
        <v>743</v>
      </c>
      <c r="E197" s="13" t="s">
        <v>1110</v>
      </c>
      <c r="F197" s="13" t="s">
        <v>169</v>
      </c>
      <c r="G197" s="13" t="s">
        <v>111</v>
      </c>
      <c r="H197" s="16">
        <v>43930</v>
      </c>
      <c r="I197" s="16">
        <v>43934</v>
      </c>
      <c r="J197" s="22">
        <v>216.49</v>
      </c>
      <c r="K197" s="22">
        <v>216.49</v>
      </c>
      <c r="L197" s="22" t="s">
        <v>1111</v>
      </c>
      <c r="M197" s="26" t="s">
        <v>98</v>
      </c>
      <c r="N197" s="13" t="s">
        <v>230</v>
      </c>
      <c r="O197" s="13" t="s">
        <v>717</v>
      </c>
      <c r="P197" s="13" t="s">
        <v>60</v>
      </c>
      <c r="Q197" s="13" t="s">
        <v>104</v>
      </c>
      <c r="R197" s="13" t="s">
        <v>270</v>
      </c>
      <c r="S197" s="13" t="s">
        <v>1112</v>
      </c>
      <c r="T197" s="13" t="s">
        <v>1113</v>
      </c>
      <c r="U197" s="13"/>
      <c r="V197" s="13"/>
      <c r="W197" s="13"/>
      <c r="AA197" s="54"/>
      <c r="AN197" s="7" t="s">
        <v>155</v>
      </c>
      <c r="AO197" s="21">
        <f t="shared" si="9"/>
        <v>0</v>
      </c>
      <c r="AP197" s="7">
        <f t="shared" si="10"/>
        <v>216.49</v>
      </c>
      <c r="AQ197" s="31" t="str">
        <f t="shared" ref="AQ197:AQ260" si="11">IF(AO197&lt;&gt;0,"Complete - With Adjustment","Complete - No Adjustment")</f>
        <v>Complete - No Adjustment</v>
      </c>
    </row>
    <row r="198" spans="1:43" x14ac:dyDescent="0.2">
      <c r="A198" s="46">
        <v>188</v>
      </c>
      <c r="B198" s="13" t="s">
        <v>266</v>
      </c>
      <c r="C198" s="13" t="s">
        <v>336</v>
      </c>
      <c r="D198" s="13" t="s">
        <v>335</v>
      </c>
      <c r="E198" s="13" t="s">
        <v>1114</v>
      </c>
      <c r="F198" s="13" t="s">
        <v>183</v>
      </c>
      <c r="G198" s="13" t="s">
        <v>111</v>
      </c>
      <c r="H198" s="16">
        <v>43913</v>
      </c>
      <c r="I198" s="16">
        <v>43936</v>
      </c>
      <c r="J198" s="22">
        <v>472.3</v>
      </c>
      <c r="K198" s="22">
        <v>13.8</v>
      </c>
      <c r="L198" s="22" t="s">
        <v>1115</v>
      </c>
      <c r="M198" s="26" t="s">
        <v>98</v>
      </c>
      <c r="N198" s="13" t="s">
        <v>230</v>
      </c>
      <c r="O198" s="13" t="s">
        <v>271</v>
      </c>
      <c r="P198" s="13" t="s">
        <v>60</v>
      </c>
      <c r="Q198" s="13" t="s">
        <v>44</v>
      </c>
      <c r="R198" s="13" t="s">
        <v>270</v>
      </c>
      <c r="S198" s="13" t="s">
        <v>1116</v>
      </c>
      <c r="T198" s="13" t="s">
        <v>1117</v>
      </c>
      <c r="U198" s="13"/>
      <c r="V198" s="13"/>
      <c r="W198" s="13"/>
      <c r="AN198" s="7" t="s">
        <v>70</v>
      </c>
      <c r="AO198" s="21">
        <f t="shared" si="9"/>
        <v>0</v>
      </c>
      <c r="AP198" s="7">
        <f t="shared" si="10"/>
        <v>13.8</v>
      </c>
      <c r="AQ198" s="31" t="str">
        <f t="shared" si="11"/>
        <v>Complete - No Adjustment</v>
      </c>
    </row>
    <row r="199" spans="1:43" x14ac:dyDescent="0.2">
      <c r="A199" s="46">
        <v>189</v>
      </c>
      <c r="B199" s="13" t="s">
        <v>266</v>
      </c>
      <c r="C199" s="13" t="s">
        <v>336</v>
      </c>
      <c r="D199" s="13" t="s">
        <v>335</v>
      </c>
      <c r="E199" s="13" t="s">
        <v>1114</v>
      </c>
      <c r="F199" s="13" t="s">
        <v>183</v>
      </c>
      <c r="G199" s="13" t="s">
        <v>111</v>
      </c>
      <c r="H199" s="16">
        <v>43913</v>
      </c>
      <c r="I199" s="16">
        <v>43936</v>
      </c>
      <c r="J199" s="22">
        <v>472.3</v>
      </c>
      <c r="K199" s="22">
        <v>64.94</v>
      </c>
      <c r="L199" s="22" t="s">
        <v>1115</v>
      </c>
      <c r="M199" s="26" t="s">
        <v>98</v>
      </c>
      <c r="N199" s="13" t="s">
        <v>230</v>
      </c>
      <c r="O199" s="13" t="s">
        <v>271</v>
      </c>
      <c r="P199" s="13" t="s">
        <v>60</v>
      </c>
      <c r="Q199" s="13" t="s">
        <v>104</v>
      </c>
      <c r="R199" s="13" t="s">
        <v>270</v>
      </c>
      <c r="S199" s="13" t="s">
        <v>1116</v>
      </c>
      <c r="T199" s="13" t="s">
        <v>1118</v>
      </c>
      <c r="U199" s="13"/>
      <c r="V199" s="13"/>
      <c r="W199" s="13"/>
      <c r="AA199" s="54"/>
      <c r="AN199" s="7" t="s">
        <v>155</v>
      </c>
      <c r="AO199" s="21">
        <f t="shared" si="9"/>
        <v>0</v>
      </c>
      <c r="AP199" s="7">
        <f t="shared" si="10"/>
        <v>64.94</v>
      </c>
      <c r="AQ199" s="31" t="str">
        <f t="shared" si="11"/>
        <v>Complete - No Adjustment</v>
      </c>
    </row>
    <row r="200" spans="1:43" x14ac:dyDescent="0.2">
      <c r="A200" s="46">
        <v>190</v>
      </c>
      <c r="B200" s="13" t="s">
        <v>266</v>
      </c>
      <c r="C200" s="13" t="s">
        <v>336</v>
      </c>
      <c r="D200" s="13" t="s">
        <v>335</v>
      </c>
      <c r="E200" s="13" t="s">
        <v>1114</v>
      </c>
      <c r="F200" s="13" t="s">
        <v>183</v>
      </c>
      <c r="G200" s="13" t="s">
        <v>111</v>
      </c>
      <c r="H200" s="16">
        <v>43913</v>
      </c>
      <c r="I200" s="16">
        <v>43936</v>
      </c>
      <c r="J200" s="22">
        <v>472.3</v>
      </c>
      <c r="K200" s="22">
        <v>16.100000000000001</v>
      </c>
      <c r="L200" s="22" t="s">
        <v>1115</v>
      </c>
      <c r="M200" s="26" t="s">
        <v>98</v>
      </c>
      <c r="N200" s="13" t="s">
        <v>230</v>
      </c>
      <c r="O200" s="13" t="s">
        <v>271</v>
      </c>
      <c r="P200" s="13" t="s">
        <v>60</v>
      </c>
      <c r="Q200" s="13" t="s">
        <v>44</v>
      </c>
      <c r="R200" s="13" t="s">
        <v>270</v>
      </c>
      <c r="S200" s="13" t="s">
        <v>1116</v>
      </c>
      <c r="T200" s="13" t="s">
        <v>1119</v>
      </c>
      <c r="U200" s="13"/>
      <c r="V200" s="13"/>
      <c r="W200" s="13"/>
      <c r="AN200" s="7" t="s">
        <v>70</v>
      </c>
      <c r="AO200" s="21">
        <f t="shared" si="9"/>
        <v>0</v>
      </c>
      <c r="AP200" s="7">
        <f t="shared" si="10"/>
        <v>16.100000000000001</v>
      </c>
      <c r="AQ200" s="31" t="str">
        <f t="shared" si="11"/>
        <v>Complete - No Adjustment</v>
      </c>
    </row>
    <row r="201" spans="1:43" x14ac:dyDescent="0.2">
      <c r="A201" s="46">
        <v>191</v>
      </c>
      <c r="B201" s="13" t="s">
        <v>266</v>
      </c>
      <c r="C201" s="13" t="s">
        <v>336</v>
      </c>
      <c r="D201" s="13" t="s">
        <v>335</v>
      </c>
      <c r="E201" s="13" t="s">
        <v>1114</v>
      </c>
      <c r="F201" s="13" t="s">
        <v>183</v>
      </c>
      <c r="G201" s="13" t="s">
        <v>111</v>
      </c>
      <c r="H201" s="16">
        <v>43913</v>
      </c>
      <c r="I201" s="16">
        <v>43936</v>
      </c>
      <c r="J201" s="22">
        <v>472.3</v>
      </c>
      <c r="K201" s="22">
        <v>13.8</v>
      </c>
      <c r="L201" s="22" t="s">
        <v>1115</v>
      </c>
      <c r="M201" s="26" t="s">
        <v>98</v>
      </c>
      <c r="N201" s="13" t="s">
        <v>230</v>
      </c>
      <c r="O201" s="13" t="s">
        <v>271</v>
      </c>
      <c r="P201" s="13" t="s">
        <v>60</v>
      </c>
      <c r="Q201" s="13" t="s">
        <v>44</v>
      </c>
      <c r="R201" s="13" t="s">
        <v>270</v>
      </c>
      <c r="S201" s="13" t="s">
        <v>1116</v>
      </c>
      <c r="T201" s="13" t="s">
        <v>1120</v>
      </c>
      <c r="U201" s="13"/>
      <c r="V201" s="13"/>
      <c r="W201" s="13"/>
      <c r="AN201" s="7" t="s">
        <v>70</v>
      </c>
      <c r="AO201" s="21">
        <f t="shared" si="9"/>
        <v>0</v>
      </c>
      <c r="AP201" s="7">
        <f t="shared" si="10"/>
        <v>13.8</v>
      </c>
      <c r="AQ201" s="31" t="str">
        <f t="shared" si="11"/>
        <v>Complete - No Adjustment</v>
      </c>
    </row>
    <row r="202" spans="1:43" x14ac:dyDescent="0.2">
      <c r="A202" s="46">
        <v>192</v>
      </c>
      <c r="B202" s="13" t="s">
        <v>266</v>
      </c>
      <c r="C202" s="13" t="s">
        <v>336</v>
      </c>
      <c r="D202" s="13" t="s">
        <v>335</v>
      </c>
      <c r="E202" s="13" t="s">
        <v>1114</v>
      </c>
      <c r="F202" s="13" t="s">
        <v>183</v>
      </c>
      <c r="G202" s="13" t="s">
        <v>111</v>
      </c>
      <c r="H202" s="16">
        <v>43913</v>
      </c>
      <c r="I202" s="16">
        <v>43936</v>
      </c>
      <c r="J202" s="22">
        <v>472.3</v>
      </c>
      <c r="K202" s="22">
        <v>17.02</v>
      </c>
      <c r="L202" s="22" t="s">
        <v>1115</v>
      </c>
      <c r="M202" s="26" t="s">
        <v>98</v>
      </c>
      <c r="N202" s="13" t="s">
        <v>230</v>
      </c>
      <c r="O202" s="13" t="s">
        <v>271</v>
      </c>
      <c r="P202" s="13" t="s">
        <v>60</v>
      </c>
      <c r="Q202" s="13" t="s">
        <v>44</v>
      </c>
      <c r="R202" s="13" t="s">
        <v>270</v>
      </c>
      <c r="S202" s="13" t="s">
        <v>1116</v>
      </c>
      <c r="T202" s="13" t="s">
        <v>1121</v>
      </c>
      <c r="U202" s="13"/>
      <c r="V202" s="13"/>
      <c r="W202" s="13"/>
      <c r="AN202" s="7" t="s">
        <v>70</v>
      </c>
      <c r="AO202" s="21">
        <f t="shared" si="9"/>
        <v>0</v>
      </c>
      <c r="AP202" s="7">
        <f t="shared" si="10"/>
        <v>17.02</v>
      </c>
      <c r="AQ202" s="31" t="str">
        <f t="shared" si="11"/>
        <v>Complete - No Adjustment</v>
      </c>
    </row>
    <row r="203" spans="1:43" x14ac:dyDescent="0.2">
      <c r="A203" s="46">
        <v>193</v>
      </c>
      <c r="B203" s="13" t="s">
        <v>266</v>
      </c>
      <c r="C203" s="13" t="s">
        <v>336</v>
      </c>
      <c r="D203" s="13" t="s">
        <v>335</v>
      </c>
      <c r="E203" s="13" t="s">
        <v>1114</v>
      </c>
      <c r="F203" s="13" t="s">
        <v>183</v>
      </c>
      <c r="G203" s="13" t="s">
        <v>111</v>
      </c>
      <c r="H203" s="16">
        <v>43913</v>
      </c>
      <c r="I203" s="16">
        <v>43936</v>
      </c>
      <c r="J203" s="22">
        <v>472.3</v>
      </c>
      <c r="K203" s="22">
        <v>289</v>
      </c>
      <c r="L203" s="22" t="s">
        <v>1115</v>
      </c>
      <c r="M203" s="26" t="s">
        <v>98</v>
      </c>
      <c r="N203" s="13" t="s">
        <v>230</v>
      </c>
      <c r="O203" s="13" t="s">
        <v>271</v>
      </c>
      <c r="P203" s="13" t="s">
        <v>60</v>
      </c>
      <c r="Q203" s="13" t="s">
        <v>123</v>
      </c>
      <c r="R203" s="13" t="s">
        <v>270</v>
      </c>
      <c r="S203" s="13" t="s">
        <v>1116</v>
      </c>
      <c r="T203" s="13" t="s">
        <v>1122</v>
      </c>
      <c r="U203" s="13"/>
      <c r="V203" s="13"/>
      <c r="W203" s="13"/>
      <c r="AN203" s="7" t="s">
        <v>70</v>
      </c>
      <c r="AO203" s="21">
        <f t="shared" si="9"/>
        <v>0</v>
      </c>
      <c r="AP203" s="7">
        <f t="shared" si="10"/>
        <v>289</v>
      </c>
      <c r="AQ203" s="31" t="str">
        <f t="shared" si="11"/>
        <v>Complete - No Adjustment</v>
      </c>
    </row>
    <row r="204" spans="1:43" x14ac:dyDescent="0.2">
      <c r="A204" s="46">
        <v>194</v>
      </c>
      <c r="B204" s="13" t="s">
        <v>266</v>
      </c>
      <c r="C204" s="13" t="s">
        <v>336</v>
      </c>
      <c r="D204" s="13" t="s">
        <v>335</v>
      </c>
      <c r="E204" s="13" t="s">
        <v>1114</v>
      </c>
      <c r="F204" s="13" t="s">
        <v>183</v>
      </c>
      <c r="G204" s="13" t="s">
        <v>111</v>
      </c>
      <c r="H204" s="16">
        <v>43913</v>
      </c>
      <c r="I204" s="16">
        <v>43936</v>
      </c>
      <c r="J204" s="22">
        <v>472.3</v>
      </c>
      <c r="K204" s="22">
        <v>57.64</v>
      </c>
      <c r="L204" s="22" t="s">
        <v>1115</v>
      </c>
      <c r="M204" s="26" t="s">
        <v>98</v>
      </c>
      <c r="N204" s="13" t="s">
        <v>230</v>
      </c>
      <c r="O204" s="13" t="s">
        <v>271</v>
      </c>
      <c r="P204" s="13" t="s">
        <v>60</v>
      </c>
      <c r="Q204" s="13" t="s">
        <v>41</v>
      </c>
      <c r="R204" s="13" t="s">
        <v>270</v>
      </c>
      <c r="S204" s="13" t="s">
        <v>1116</v>
      </c>
      <c r="T204" s="13" t="s">
        <v>1123</v>
      </c>
      <c r="U204" s="13"/>
      <c r="V204" s="13"/>
      <c r="W204" s="13"/>
      <c r="AN204" s="7" t="s">
        <v>70</v>
      </c>
      <c r="AO204" s="21">
        <f t="shared" si="9"/>
        <v>0</v>
      </c>
      <c r="AP204" s="7">
        <f t="shared" si="10"/>
        <v>57.64</v>
      </c>
      <c r="AQ204" s="31" t="str">
        <f t="shared" si="11"/>
        <v>Complete - No Adjustment</v>
      </c>
    </row>
    <row r="205" spans="1:43" x14ac:dyDescent="0.2">
      <c r="A205" s="46">
        <v>195</v>
      </c>
      <c r="B205" s="13" t="s">
        <v>266</v>
      </c>
      <c r="C205" s="13" t="s">
        <v>341</v>
      </c>
      <c r="D205" s="13" t="s">
        <v>340</v>
      </c>
      <c r="E205" s="13" t="s">
        <v>1124</v>
      </c>
      <c r="F205" s="13" t="s">
        <v>173</v>
      </c>
      <c r="G205" s="13" t="s">
        <v>111</v>
      </c>
      <c r="H205" s="16">
        <v>43937</v>
      </c>
      <c r="I205" s="16">
        <v>43941</v>
      </c>
      <c r="J205" s="22">
        <v>72.069999999999993</v>
      </c>
      <c r="K205" s="22">
        <v>72.069999999999993</v>
      </c>
      <c r="L205" s="22" t="s">
        <v>1125</v>
      </c>
      <c r="M205" s="26" t="s">
        <v>98</v>
      </c>
      <c r="N205" s="13" t="s">
        <v>230</v>
      </c>
      <c r="O205" s="13" t="s">
        <v>404</v>
      </c>
      <c r="P205" s="13" t="s">
        <v>60</v>
      </c>
      <c r="Q205" s="13" t="s">
        <v>41</v>
      </c>
      <c r="R205" s="13" t="s">
        <v>270</v>
      </c>
      <c r="S205" s="13" t="s">
        <v>1126</v>
      </c>
      <c r="T205" s="13" t="s">
        <v>1127</v>
      </c>
      <c r="U205" s="13"/>
      <c r="V205" s="13"/>
      <c r="W205" s="13"/>
      <c r="AN205" s="7" t="s">
        <v>70</v>
      </c>
      <c r="AO205" s="21">
        <f t="shared" si="9"/>
        <v>0</v>
      </c>
      <c r="AP205" s="7">
        <f t="shared" si="10"/>
        <v>72.069999999999993</v>
      </c>
      <c r="AQ205" s="31" t="str">
        <f t="shared" si="11"/>
        <v>Complete - No Adjustment</v>
      </c>
    </row>
    <row r="206" spans="1:43" x14ac:dyDescent="0.2">
      <c r="A206" s="46">
        <v>196</v>
      </c>
      <c r="B206" s="13" t="s">
        <v>266</v>
      </c>
      <c r="C206" s="13" t="s">
        <v>780</v>
      </c>
      <c r="D206" s="13" t="s">
        <v>798</v>
      </c>
      <c r="E206" s="13" t="s">
        <v>1128</v>
      </c>
      <c r="F206" s="13" t="s">
        <v>182</v>
      </c>
      <c r="G206" s="13" t="s">
        <v>111</v>
      </c>
      <c r="H206" s="16">
        <v>43938</v>
      </c>
      <c r="I206" s="16">
        <v>43943</v>
      </c>
      <c r="J206" s="22">
        <v>18.48</v>
      </c>
      <c r="K206" s="22">
        <v>18.48</v>
      </c>
      <c r="L206" s="22" t="s">
        <v>1129</v>
      </c>
      <c r="M206" s="26" t="s">
        <v>98</v>
      </c>
      <c r="N206" s="13" t="s">
        <v>230</v>
      </c>
      <c r="O206" s="13" t="s">
        <v>288</v>
      </c>
      <c r="P206" s="13" t="s">
        <v>60</v>
      </c>
      <c r="Q206" s="13" t="s">
        <v>41</v>
      </c>
      <c r="R206" s="13" t="s">
        <v>270</v>
      </c>
      <c r="S206" s="13" t="s">
        <v>1130</v>
      </c>
      <c r="T206" s="13" t="s">
        <v>1131</v>
      </c>
      <c r="U206" s="13"/>
      <c r="V206" s="13"/>
      <c r="W206" s="13"/>
      <c r="AC206" s="53">
        <f>(1.68)</f>
        <v>1.68</v>
      </c>
      <c r="AN206" s="7" t="s">
        <v>1132</v>
      </c>
      <c r="AO206" s="21">
        <f t="shared" si="9"/>
        <v>1.68</v>
      </c>
      <c r="AP206" s="7">
        <f t="shared" si="10"/>
        <v>16.8</v>
      </c>
      <c r="AQ206" s="31" t="str">
        <f t="shared" si="11"/>
        <v>Complete - With Adjustment</v>
      </c>
    </row>
    <row r="207" spans="1:43" x14ac:dyDescent="0.2">
      <c r="A207" s="46">
        <v>197</v>
      </c>
      <c r="B207" s="13" t="s">
        <v>266</v>
      </c>
      <c r="C207" s="13" t="s">
        <v>780</v>
      </c>
      <c r="D207" s="13" t="s">
        <v>798</v>
      </c>
      <c r="E207" s="13" t="s">
        <v>1133</v>
      </c>
      <c r="F207" s="13" t="s">
        <v>161</v>
      </c>
      <c r="G207" s="13" t="s">
        <v>111</v>
      </c>
      <c r="H207" s="16">
        <v>43945</v>
      </c>
      <c r="I207" s="16">
        <v>43949</v>
      </c>
      <c r="J207" s="22">
        <v>18.670000000000002</v>
      </c>
      <c r="K207" s="22">
        <v>18.670000000000002</v>
      </c>
      <c r="L207" s="22" t="s">
        <v>1134</v>
      </c>
      <c r="M207" s="26" t="s">
        <v>98</v>
      </c>
      <c r="N207" s="13" t="s">
        <v>230</v>
      </c>
      <c r="O207" s="13" t="s">
        <v>288</v>
      </c>
      <c r="P207" s="13" t="s">
        <v>60</v>
      </c>
      <c r="Q207" s="13" t="s">
        <v>41</v>
      </c>
      <c r="R207" s="13" t="s">
        <v>270</v>
      </c>
      <c r="S207" s="13" t="s">
        <v>1135</v>
      </c>
      <c r="T207" s="13" t="s">
        <v>1136</v>
      </c>
      <c r="U207" s="13"/>
      <c r="V207" s="13"/>
      <c r="W207" s="13"/>
      <c r="AN207" s="7" t="s">
        <v>70</v>
      </c>
      <c r="AO207" s="21">
        <f t="shared" si="9"/>
        <v>0</v>
      </c>
      <c r="AP207" s="7">
        <f t="shared" si="10"/>
        <v>18.670000000000002</v>
      </c>
      <c r="AQ207" s="31" t="str">
        <f t="shared" si="11"/>
        <v>Complete - No Adjustment</v>
      </c>
    </row>
    <row r="208" spans="1:43" x14ac:dyDescent="0.2">
      <c r="A208" s="46">
        <v>198</v>
      </c>
      <c r="B208" s="13" t="s">
        <v>266</v>
      </c>
      <c r="C208" s="13" t="s">
        <v>780</v>
      </c>
      <c r="D208" s="13" t="s">
        <v>798</v>
      </c>
      <c r="E208" s="13" t="s">
        <v>1137</v>
      </c>
      <c r="F208" s="13" t="s">
        <v>177</v>
      </c>
      <c r="G208" s="13" t="s">
        <v>111</v>
      </c>
      <c r="H208" s="16">
        <v>43917</v>
      </c>
      <c r="I208" s="16">
        <v>43928</v>
      </c>
      <c r="J208" s="22">
        <v>25.79</v>
      </c>
      <c r="K208" s="22">
        <v>25.79</v>
      </c>
      <c r="L208" s="22" t="s">
        <v>1138</v>
      </c>
      <c r="M208" s="26" t="s">
        <v>98</v>
      </c>
      <c r="N208" s="13" t="s">
        <v>230</v>
      </c>
      <c r="O208" s="13" t="s">
        <v>288</v>
      </c>
      <c r="P208" s="13" t="s">
        <v>60</v>
      </c>
      <c r="Q208" s="13" t="s">
        <v>41</v>
      </c>
      <c r="R208" s="13" t="s">
        <v>270</v>
      </c>
      <c r="S208" s="13" t="s">
        <v>1139</v>
      </c>
      <c r="T208" s="13" t="s">
        <v>1140</v>
      </c>
      <c r="U208" s="13"/>
      <c r="V208" s="13"/>
      <c r="W208" s="13"/>
      <c r="AN208" s="7" t="s">
        <v>70</v>
      </c>
      <c r="AO208" s="21">
        <f t="shared" si="9"/>
        <v>0</v>
      </c>
      <c r="AP208" s="7">
        <f t="shared" si="10"/>
        <v>25.79</v>
      </c>
      <c r="AQ208" s="31" t="str">
        <f t="shared" si="11"/>
        <v>Complete - No Adjustment</v>
      </c>
    </row>
    <row r="209" spans="1:61" x14ac:dyDescent="0.2">
      <c r="A209" s="46">
        <v>199</v>
      </c>
      <c r="B209" s="13" t="s">
        <v>266</v>
      </c>
      <c r="C209" s="13" t="s">
        <v>780</v>
      </c>
      <c r="D209" s="13" t="s">
        <v>798</v>
      </c>
      <c r="E209" s="13" t="s">
        <v>1141</v>
      </c>
      <c r="F209" s="13" t="s">
        <v>177</v>
      </c>
      <c r="G209" s="13" t="s">
        <v>111</v>
      </c>
      <c r="H209" s="16">
        <v>43924</v>
      </c>
      <c r="I209" s="16">
        <v>43928</v>
      </c>
      <c r="J209" s="22">
        <v>32.590000000000003</v>
      </c>
      <c r="K209" s="22">
        <v>32.590000000000003</v>
      </c>
      <c r="L209" s="22" t="s">
        <v>1142</v>
      </c>
      <c r="M209" s="26" t="s">
        <v>98</v>
      </c>
      <c r="N209" s="13" t="s">
        <v>230</v>
      </c>
      <c r="O209" s="13" t="s">
        <v>288</v>
      </c>
      <c r="P209" s="13" t="s">
        <v>60</v>
      </c>
      <c r="Q209" s="13" t="s">
        <v>41</v>
      </c>
      <c r="R209" s="13" t="s">
        <v>270</v>
      </c>
      <c r="S209" s="13" t="s">
        <v>1143</v>
      </c>
      <c r="T209" s="13" t="s">
        <v>1144</v>
      </c>
      <c r="U209" s="13"/>
      <c r="V209" s="13"/>
      <c r="W209" s="13"/>
      <c r="AN209" s="7" t="s">
        <v>70</v>
      </c>
      <c r="AO209" s="21">
        <f t="shared" si="9"/>
        <v>0</v>
      </c>
      <c r="AP209" s="7">
        <f t="shared" si="10"/>
        <v>32.590000000000003</v>
      </c>
      <c r="AQ209" s="31" t="str">
        <f t="shared" si="11"/>
        <v>Complete - No Adjustment</v>
      </c>
    </row>
    <row r="210" spans="1:61" x14ac:dyDescent="0.2">
      <c r="A210" s="46">
        <v>200</v>
      </c>
      <c r="B210" s="13" t="s">
        <v>266</v>
      </c>
      <c r="C210" s="13" t="s">
        <v>780</v>
      </c>
      <c r="D210" s="13" t="s">
        <v>798</v>
      </c>
      <c r="E210" s="13" t="s">
        <v>1145</v>
      </c>
      <c r="F210" s="13" t="s">
        <v>162</v>
      </c>
      <c r="G210" s="13" t="s">
        <v>111</v>
      </c>
      <c r="H210" s="16">
        <v>43931</v>
      </c>
      <c r="I210" s="16">
        <v>43935</v>
      </c>
      <c r="J210" s="22">
        <v>34.159999999999997</v>
      </c>
      <c r="K210" s="22">
        <v>34.159999999999997</v>
      </c>
      <c r="L210" s="22" t="s">
        <v>1146</v>
      </c>
      <c r="M210" s="26" t="s">
        <v>98</v>
      </c>
      <c r="N210" s="13" t="s">
        <v>230</v>
      </c>
      <c r="O210" s="13" t="s">
        <v>288</v>
      </c>
      <c r="P210" s="13" t="s">
        <v>60</v>
      </c>
      <c r="Q210" s="13" t="s">
        <v>41</v>
      </c>
      <c r="R210" s="13" t="s">
        <v>270</v>
      </c>
      <c r="S210" s="13" t="s">
        <v>1130</v>
      </c>
      <c r="T210" s="13" t="s">
        <v>1131</v>
      </c>
      <c r="U210" s="13"/>
      <c r="V210" s="13"/>
      <c r="W210" s="13"/>
      <c r="AN210" s="7" t="s">
        <v>155</v>
      </c>
      <c r="AO210" s="21">
        <f t="shared" si="9"/>
        <v>0</v>
      </c>
      <c r="AP210" s="7">
        <f t="shared" si="10"/>
        <v>34.159999999999997</v>
      </c>
      <c r="AQ210" s="31" t="str">
        <f t="shared" si="11"/>
        <v>Complete - No Adjustment</v>
      </c>
    </row>
    <row r="211" spans="1:61" x14ac:dyDescent="0.2">
      <c r="A211" s="46">
        <v>201</v>
      </c>
      <c r="B211" s="13" t="s">
        <v>266</v>
      </c>
      <c r="C211" s="13" t="s">
        <v>354</v>
      </c>
      <c r="D211" s="13" t="s">
        <v>353</v>
      </c>
      <c r="E211" s="13" t="s">
        <v>865</v>
      </c>
      <c r="F211" s="13" t="s">
        <v>175</v>
      </c>
      <c r="G211" s="13" t="s">
        <v>111</v>
      </c>
      <c r="H211" s="16">
        <v>43927</v>
      </c>
      <c r="I211" s="16">
        <v>43929</v>
      </c>
      <c r="J211" s="22">
        <v>398.83</v>
      </c>
      <c r="K211" s="22">
        <v>39.049999999999997</v>
      </c>
      <c r="L211" s="22"/>
      <c r="M211" s="26" t="s">
        <v>97</v>
      </c>
      <c r="N211" s="13" t="s">
        <v>230</v>
      </c>
      <c r="O211" s="13" t="s">
        <v>355</v>
      </c>
      <c r="P211" s="13" t="s">
        <v>42</v>
      </c>
      <c r="Q211" s="13" t="s">
        <v>57</v>
      </c>
      <c r="R211" s="13" t="s">
        <v>270</v>
      </c>
      <c r="S211" s="13" t="s">
        <v>866</v>
      </c>
      <c r="T211" s="13" t="s">
        <v>867</v>
      </c>
      <c r="U211" s="13"/>
      <c r="V211" s="13"/>
      <c r="W211" s="13"/>
      <c r="AL211" s="14">
        <v>39.049999999999997</v>
      </c>
      <c r="AN211" s="7" t="s">
        <v>70</v>
      </c>
      <c r="AO211" s="21">
        <f t="shared" si="9"/>
        <v>39.049999999999997</v>
      </c>
      <c r="AP211" s="7">
        <f t="shared" si="10"/>
        <v>0</v>
      </c>
      <c r="AQ211" s="31" t="str">
        <f t="shared" si="11"/>
        <v>Complete - With Adjustment</v>
      </c>
      <c r="AS211" s="37"/>
      <c r="AT211" s="37"/>
      <c r="AU211" s="37"/>
      <c r="AV211" s="37"/>
      <c r="AW211" s="37"/>
      <c r="AX211" s="37"/>
      <c r="AY211" s="37"/>
      <c r="AZ211" s="37"/>
      <c r="BA211" s="37"/>
      <c r="BB211" s="37"/>
      <c r="BC211" s="37"/>
      <c r="BD211" s="37"/>
      <c r="BE211" s="37"/>
      <c r="BF211" s="37"/>
      <c r="BG211" s="37"/>
      <c r="BH211" s="37"/>
      <c r="BI211" s="37"/>
    </row>
    <row r="212" spans="1:61" x14ac:dyDescent="0.2">
      <c r="A212" s="46">
        <v>202</v>
      </c>
      <c r="B212" s="13" t="s">
        <v>266</v>
      </c>
      <c r="C212" s="13" t="s">
        <v>354</v>
      </c>
      <c r="D212" s="13" t="s">
        <v>353</v>
      </c>
      <c r="E212" s="13" t="s">
        <v>865</v>
      </c>
      <c r="F212" s="13" t="s">
        <v>175</v>
      </c>
      <c r="G212" s="13" t="s">
        <v>111</v>
      </c>
      <c r="H212" s="16">
        <v>43927</v>
      </c>
      <c r="I212" s="16">
        <v>43929</v>
      </c>
      <c r="J212" s="22">
        <v>398.83</v>
      </c>
      <c r="K212" s="22">
        <v>61.96</v>
      </c>
      <c r="L212" s="22"/>
      <c r="M212" s="26" t="s">
        <v>97</v>
      </c>
      <c r="N212" s="13" t="s">
        <v>230</v>
      </c>
      <c r="O212" s="13" t="s">
        <v>355</v>
      </c>
      <c r="P212" s="13" t="s">
        <v>42</v>
      </c>
      <c r="Q212" s="13" t="s">
        <v>41</v>
      </c>
      <c r="R212" s="13" t="s">
        <v>270</v>
      </c>
      <c r="S212" s="13" t="s">
        <v>866</v>
      </c>
      <c r="T212" s="13" t="s">
        <v>868</v>
      </c>
      <c r="U212" s="13"/>
      <c r="V212" s="13"/>
      <c r="W212" s="13"/>
      <c r="AL212" s="14">
        <v>61.96</v>
      </c>
      <c r="AN212" s="7" t="s">
        <v>146</v>
      </c>
      <c r="AO212" s="21">
        <f t="shared" si="9"/>
        <v>61.96</v>
      </c>
      <c r="AP212" s="7">
        <f t="shared" si="10"/>
        <v>0</v>
      </c>
      <c r="AQ212" s="31" t="str">
        <f t="shared" si="11"/>
        <v>Complete - With Adjustment</v>
      </c>
      <c r="AS212" s="37"/>
      <c r="AT212" s="37"/>
      <c r="AU212" s="37"/>
      <c r="AV212" s="37"/>
      <c r="AW212" s="37"/>
      <c r="AX212" s="37"/>
      <c r="AY212" s="37"/>
      <c r="AZ212" s="37"/>
      <c r="BA212" s="37"/>
      <c r="BB212" s="37"/>
      <c r="BC212" s="37"/>
      <c r="BD212" s="37"/>
      <c r="BE212" s="37"/>
      <c r="BF212" s="37"/>
      <c r="BG212" s="37"/>
      <c r="BH212" s="37"/>
      <c r="BI212" s="37"/>
    </row>
    <row r="213" spans="1:61" x14ac:dyDescent="0.2">
      <c r="A213" s="46">
        <v>203</v>
      </c>
      <c r="B213" s="13" t="s">
        <v>266</v>
      </c>
      <c r="C213" s="13" t="s">
        <v>354</v>
      </c>
      <c r="D213" s="13" t="s">
        <v>353</v>
      </c>
      <c r="E213" s="13" t="s">
        <v>865</v>
      </c>
      <c r="F213" s="13" t="s">
        <v>175</v>
      </c>
      <c r="G213" s="13" t="s">
        <v>111</v>
      </c>
      <c r="H213" s="16">
        <v>43927</v>
      </c>
      <c r="I213" s="16">
        <v>43929</v>
      </c>
      <c r="J213" s="22">
        <v>398.83</v>
      </c>
      <c r="K213" s="22">
        <v>297.82</v>
      </c>
      <c r="L213" s="22"/>
      <c r="M213" s="26" t="s">
        <v>97</v>
      </c>
      <c r="N213" s="13" t="s">
        <v>230</v>
      </c>
      <c r="O213" s="13" t="s">
        <v>355</v>
      </c>
      <c r="P213" s="13" t="s">
        <v>42</v>
      </c>
      <c r="Q213" s="13" t="s">
        <v>56</v>
      </c>
      <c r="R213" s="13" t="s">
        <v>270</v>
      </c>
      <c r="S213" s="13" t="s">
        <v>866</v>
      </c>
      <c r="T213" s="13" t="s">
        <v>869</v>
      </c>
      <c r="U213" s="13"/>
      <c r="V213" s="13"/>
      <c r="W213" s="13"/>
      <c r="AL213" s="14">
        <v>297.82</v>
      </c>
      <c r="AN213" s="7" t="s">
        <v>70</v>
      </c>
      <c r="AO213" s="21">
        <f t="shared" si="9"/>
        <v>297.82</v>
      </c>
      <c r="AP213" s="7">
        <f t="shared" si="10"/>
        <v>0</v>
      </c>
      <c r="AQ213" s="31" t="str">
        <f t="shared" si="11"/>
        <v>Complete - With Adjustment</v>
      </c>
      <c r="AS213" s="37"/>
      <c r="AT213" s="37"/>
      <c r="AU213" s="37"/>
      <c r="AV213" s="37"/>
      <c r="AW213" s="37"/>
      <c r="AX213" s="37"/>
      <c r="AY213" s="37"/>
      <c r="AZ213" s="37"/>
      <c r="BA213" s="37"/>
      <c r="BB213" s="37"/>
      <c r="BC213" s="37"/>
      <c r="BD213" s="37"/>
      <c r="BE213" s="37"/>
      <c r="BF213" s="37"/>
      <c r="BG213" s="37"/>
      <c r="BH213" s="37"/>
      <c r="BI213" s="37"/>
    </row>
    <row r="214" spans="1:61" x14ac:dyDescent="0.2">
      <c r="A214" s="46">
        <v>204</v>
      </c>
      <c r="B214" s="13" t="s">
        <v>266</v>
      </c>
      <c r="C214" s="13" t="s">
        <v>746</v>
      </c>
      <c r="D214" s="13" t="s">
        <v>745</v>
      </c>
      <c r="E214" s="13" t="s">
        <v>1147</v>
      </c>
      <c r="F214" s="13" t="s">
        <v>171</v>
      </c>
      <c r="G214" s="13" t="s">
        <v>111</v>
      </c>
      <c r="H214" s="16">
        <v>43845</v>
      </c>
      <c r="I214" s="16">
        <v>43922</v>
      </c>
      <c r="J214" s="22">
        <v>474.46</v>
      </c>
      <c r="K214" s="22">
        <v>474.46</v>
      </c>
      <c r="L214" s="22" t="s">
        <v>1148</v>
      </c>
      <c r="M214" s="26" t="s">
        <v>98</v>
      </c>
      <c r="N214" s="13" t="s">
        <v>230</v>
      </c>
      <c r="O214" s="13" t="s">
        <v>280</v>
      </c>
      <c r="P214" s="13" t="s">
        <v>60</v>
      </c>
      <c r="Q214" s="13" t="s">
        <v>44</v>
      </c>
      <c r="R214" s="13" t="s">
        <v>270</v>
      </c>
      <c r="S214" s="13" t="s">
        <v>1149</v>
      </c>
      <c r="T214" s="13" t="s">
        <v>1150</v>
      </c>
      <c r="U214" s="13"/>
      <c r="V214" s="13"/>
      <c r="W214" s="13"/>
      <c r="AN214" s="7" t="s">
        <v>70</v>
      </c>
      <c r="AO214" s="21">
        <f t="shared" si="9"/>
        <v>0</v>
      </c>
      <c r="AP214" s="7">
        <f t="shared" si="10"/>
        <v>474.46</v>
      </c>
      <c r="AQ214" s="31" t="str">
        <f t="shared" si="11"/>
        <v>Complete - No Adjustment</v>
      </c>
    </row>
    <row r="215" spans="1:61" x14ac:dyDescent="0.2">
      <c r="A215" s="46">
        <v>205</v>
      </c>
      <c r="B215" s="13" t="s">
        <v>266</v>
      </c>
      <c r="C215" s="13" t="s">
        <v>528</v>
      </c>
      <c r="D215" s="13" t="s">
        <v>527</v>
      </c>
      <c r="E215" s="13" t="s">
        <v>1151</v>
      </c>
      <c r="F215" s="13" t="s">
        <v>163</v>
      </c>
      <c r="G215" s="13" t="s">
        <v>111</v>
      </c>
      <c r="H215" s="16">
        <v>43948</v>
      </c>
      <c r="I215" s="16">
        <v>43950</v>
      </c>
      <c r="J215" s="22">
        <v>75</v>
      </c>
      <c r="K215" s="22">
        <v>75</v>
      </c>
      <c r="L215" s="22" t="s">
        <v>1152</v>
      </c>
      <c r="M215" s="26" t="s">
        <v>98</v>
      </c>
      <c r="N215" s="13" t="s">
        <v>230</v>
      </c>
      <c r="O215" s="13" t="s">
        <v>292</v>
      </c>
      <c r="P215" s="13" t="s">
        <v>60</v>
      </c>
      <c r="Q215" s="13" t="s">
        <v>48</v>
      </c>
      <c r="R215" s="13" t="s">
        <v>270</v>
      </c>
      <c r="S215" s="13" t="s">
        <v>1153</v>
      </c>
      <c r="T215" s="13" t="s">
        <v>1154</v>
      </c>
      <c r="U215" s="13"/>
      <c r="V215" s="13"/>
      <c r="W215" s="13"/>
      <c r="AN215" s="7" t="s">
        <v>70</v>
      </c>
      <c r="AO215" s="21">
        <f t="shared" si="9"/>
        <v>0</v>
      </c>
      <c r="AP215" s="7">
        <f t="shared" si="10"/>
        <v>75</v>
      </c>
      <c r="AQ215" s="31" t="str">
        <f t="shared" si="11"/>
        <v>Complete - No Adjustment</v>
      </c>
    </row>
    <row r="216" spans="1:61" x14ac:dyDescent="0.2">
      <c r="A216" s="46">
        <v>206</v>
      </c>
      <c r="B216" s="13" t="s">
        <v>266</v>
      </c>
      <c r="C216" s="13" t="s">
        <v>250</v>
      </c>
      <c r="D216" s="13" t="s">
        <v>249</v>
      </c>
      <c r="E216" s="13" t="s">
        <v>1155</v>
      </c>
      <c r="F216" s="13" t="s">
        <v>166</v>
      </c>
      <c r="G216" s="13" t="s">
        <v>111</v>
      </c>
      <c r="H216" s="16">
        <v>43942</v>
      </c>
      <c r="I216" s="16">
        <v>43944</v>
      </c>
      <c r="J216" s="22">
        <v>25</v>
      </c>
      <c r="K216" s="22">
        <v>12.5</v>
      </c>
      <c r="L216" s="22" t="s">
        <v>1156</v>
      </c>
      <c r="M216" s="26" t="s">
        <v>98</v>
      </c>
      <c r="N216" s="13" t="s">
        <v>230</v>
      </c>
      <c r="O216" s="13" t="s">
        <v>326</v>
      </c>
      <c r="P216" s="13" t="s">
        <v>60</v>
      </c>
      <c r="Q216" s="13" t="s">
        <v>41</v>
      </c>
      <c r="R216" s="13" t="s">
        <v>270</v>
      </c>
      <c r="S216" s="13" t="s">
        <v>1157</v>
      </c>
      <c r="T216" s="13" t="s">
        <v>1158</v>
      </c>
      <c r="U216" s="13"/>
      <c r="V216" s="13"/>
      <c r="W216" s="13"/>
      <c r="AN216" s="7" t="s">
        <v>155</v>
      </c>
      <c r="AO216" s="21">
        <f t="shared" si="9"/>
        <v>0</v>
      </c>
      <c r="AP216" s="7">
        <f t="shared" si="10"/>
        <v>12.5</v>
      </c>
      <c r="AQ216" s="31" t="str">
        <f t="shared" si="11"/>
        <v>Complete - No Adjustment</v>
      </c>
    </row>
    <row r="217" spans="1:61" x14ac:dyDescent="0.2">
      <c r="A217" s="46">
        <v>207</v>
      </c>
      <c r="B217" s="13" t="s">
        <v>266</v>
      </c>
      <c r="C217" s="13" t="s">
        <v>672</v>
      </c>
      <c r="D217" s="13" t="s">
        <v>671</v>
      </c>
      <c r="E217" s="13" t="s">
        <v>1159</v>
      </c>
      <c r="F217" s="13" t="s">
        <v>170</v>
      </c>
      <c r="G217" s="13" t="s">
        <v>111</v>
      </c>
      <c r="H217" s="16">
        <v>43921</v>
      </c>
      <c r="I217" s="16">
        <v>43923</v>
      </c>
      <c r="J217" s="22">
        <v>15</v>
      </c>
      <c r="K217" s="22">
        <v>15</v>
      </c>
      <c r="L217" s="22" t="s">
        <v>1160</v>
      </c>
      <c r="M217" s="26" t="s">
        <v>98</v>
      </c>
      <c r="N217" s="13" t="s">
        <v>230</v>
      </c>
      <c r="O217" s="13" t="s">
        <v>673</v>
      </c>
      <c r="P217" s="13" t="s">
        <v>60</v>
      </c>
      <c r="Q217" s="13" t="s">
        <v>46</v>
      </c>
      <c r="R217" s="13" t="s">
        <v>270</v>
      </c>
      <c r="S217" s="13" t="s">
        <v>1161</v>
      </c>
      <c r="T217" s="13" t="s">
        <v>1162</v>
      </c>
      <c r="U217" s="13"/>
      <c r="V217" s="13"/>
      <c r="W217" s="13"/>
      <c r="AN217" s="7" t="s">
        <v>70</v>
      </c>
      <c r="AO217" s="21">
        <f t="shared" si="9"/>
        <v>0</v>
      </c>
      <c r="AP217" s="7">
        <f t="shared" si="10"/>
        <v>15</v>
      </c>
      <c r="AQ217" s="31" t="str">
        <f t="shared" si="11"/>
        <v>Complete - No Adjustment</v>
      </c>
    </row>
    <row r="218" spans="1:61" x14ac:dyDescent="0.2">
      <c r="A218" s="46">
        <v>208</v>
      </c>
      <c r="B218" s="13" t="s">
        <v>266</v>
      </c>
      <c r="C218" s="13" t="s">
        <v>650</v>
      </c>
      <c r="D218" s="13" t="s">
        <v>649</v>
      </c>
      <c r="E218" s="13" t="s">
        <v>1163</v>
      </c>
      <c r="F218" s="13" t="s">
        <v>160</v>
      </c>
      <c r="G218" s="13" t="s">
        <v>111</v>
      </c>
      <c r="H218" s="16">
        <v>43924</v>
      </c>
      <c r="I218" s="16">
        <v>43930</v>
      </c>
      <c r="J218" s="22">
        <v>38.229999999999997</v>
      </c>
      <c r="K218" s="22">
        <v>28</v>
      </c>
      <c r="L218" s="22" t="s">
        <v>1164</v>
      </c>
      <c r="M218" s="26" t="s">
        <v>98</v>
      </c>
      <c r="N218" s="13" t="s">
        <v>230</v>
      </c>
      <c r="O218" s="13" t="s">
        <v>317</v>
      </c>
      <c r="P218" s="13" t="s">
        <v>60</v>
      </c>
      <c r="Q218" s="13" t="s">
        <v>41</v>
      </c>
      <c r="R218" s="13" t="s">
        <v>270</v>
      </c>
      <c r="S218" s="13" t="s">
        <v>1165</v>
      </c>
      <c r="T218" s="13" t="s">
        <v>1166</v>
      </c>
      <c r="U218" s="13"/>
      <c r="V218" s="13"/>
      <c r="W218" s="13"/>
      <c r="AN218" s="7" t="s">
        <v>70</v>
      </c>
      <c r="AO218" s="21">
        <f t="shared" si="9"/>
        <v>0</v>
      </c>
      <c r="AP218" s="7">
        <f t="shared" si="10"/>
        <v>28</v>
      </c>
      <c r="AQ218" s="31" t="str">
        <f t="shared" si="11"/>
        <v>Complete - No Adjustment</v>
      </c>
    </row>
    <row r="219" spans="1:61" x14ac:dyDescent="0.2">
      <c r="A219" s="46">
        <v>209</v>
      </c>
      <c r="B219" s="13" t="s">
        <v>266</v>
      </c>
      <c r="C219" s="13" t="s">
        <v>650</v>
      </c>
      <c r="D219" s="13" t="s">
        <v>649</v>
      </c>
      <c r="E219" s="13" t="s">
        <v>1163</v>
      </c>
      <c r="F219" s="13" t="s">
        <v>160</v>
      </c>
      <c r="G219" s="13" t="s">
        <v>111</v>
      </c>
      <c r="H219" s="16">
        <v>43924</v>
      </c>
      <c r="I219" s="16">
        <v>43930</v>
      </c>
      <c r="J219" s="22">
        <v>38.229999999999997</v>
      </c>
      <c r="K219" s="22">
        <v>10.23</v>
      </c>
      <c r="L219" s="22" t="s">
        <v>1164</v>
      </c>
      <c r="M219" s="26" t="s">
        <v>98</v>
      </c>
      <c r="N219" s="13" t="s">
        <v>230</v>
      </c>
      <c r="O219" s="13" t="s">
        <v>317</v>
      </c>
      <c r="P219" s="13" t="s">
        <v>60</v>
      </c>
      <c r="Q219" s="13" t="s">
        <v>41</v>
      </c>
      <c r="R219" s="13" t="s">
        <v>270</v>
      </c>
      <c r="S219" s="13" t="s">
        <v>1165</v>
      </c>
      <c r="T219" s="13" t="s">
        <v>781</v>
      </c>
      <c r="U219" s="13"/>
      <c r="V219" s="13"/>
      <c r="W219" s="13"/>
      <c r="AN219" s="7" t="s">
        <v>70</v>
      </c>
      <c r="AO219" s="21">
        <f t="shared" si="9"/>
        <v>0</v>
      </c>
      <c r="AP219" s="7">
        <f t="shared" si="10"/>
        <v>10.23</v>
      </c>
      <c r="AQ219" s="31" t="str">
        <f t="shared" si="11"/>
        <v>Complete - No Adjustment</v>
      </c>
    </row>
    <row r="220" spans="1:61" x14ac:dyDescent="0.2">
      <c r="A220" s="46">
        <v>210</v>
      </c>
      <c r="B220" s="13" t="s">
        <v>266</v>
      </c>
      <c r="C220" s="13" t="s">
        <v>263</v>
      </c>
      <c r="D220" s="13" t="s">
        <v>262</v>
      </c>
      <c r="E220" s="13" t="s">
        <v>1167</v>
      </c>
      <c r="F220" s="13" t="s">
        <v>183</v>
      </c>
      <c r="G220" s="13" t="s">
        <v>111</v>
      </c>
      <c r="H220" s="16">
        <v>43935</v>
      </c>
      <c r="I220" s="16">
        <v>43936</v>
      </c>
      <c r="J220" s="22">
        <v>28.58</v>
      </c>
      <c r="K220" s="22">
        <v>13.8</v>
      </c>
      <c r="L220" s="22" t="s">
        <v>1168</v>
      </c>
      <c r="M220" s="26" t="s">
        <v>98</v>
      </c>
      <c r="N220" s="13" t="s">
        <v>230</v>
      </c>
      <c r="O220" s="13" t="s">
        <v>288</v>
      </c>
      <c r="P220" s="13" t="s">
        <v>60</v>
      </c>
      <c r="Q220" s="13" t="s">
        <v>41</v>
      </c>
      <c r="R220" s="13" t="s">
        <v>270</v>
      </c>
      <c r="S220" s="13" t="s">
        <v>1169</v>
      </c>
      <c r="T220" s="13" t="s">
        <v>1170</v>
      </c>
      <c r="U220" s="13"/>
      <c r="V220" s="13"/>
      <c r="W220" s="13"/>
      <c r="AN220" s="7" t="s">
        <v>155</v>
      </c>
      <c r="AO220" s="21">
        <f t="shared" si="9"/>
        <v>0</v>
      </c>
      <c r="AP220" s="7">
        <f t="shared" si="10"/>
        <v>13.8</v>
      </c>
      <c r="AQ220" s="31" t="str">
        <f t="shared" si="11"/>
        <v>Complete - No Adjustment</v>
      </c>
    </row>
    <row r="221" spans="1:61" x14ac:dyDescent="0.2">
      <c r="A221" s="46">
        <v>211</v>
      </c>
      <c r="B221" s="13" t="s">
        <v>266</v>
      </c>
      <c r="C221" s="13" t="s">
        <v>263</v>
      </c>
      <c r="D221" s="13" t="s">
        <v>262</v>
      </c>
      <c r="E221" s="13" t="s">
        <v>1167</v>
      </c>
      <c r="F221" s="13" t="s">
        <v>183</v>
      </c>
      <c r="G221" s="13" t="s">
        <v>111</v>
      </c>
      <c r="H221" s="16">
        <v>43935</v>
      </c>
      <c r="I221" s="16">
        <v>43936</v>
      </c>
      <c r="J221" s="22">
        <v>28.58</v>
      </c>
      <c r="K221" s="22">
        <v>14.78</v>
      </c>
      <c r="L221" s="22" t="s">
        <v>1168</v>
      </c>
      <c r="M221" s="26" t="s">
        <v>98</v>
      </c>
      <c r="N221" s="13" t="s">
        <v>230</v>
      </c>
      <c r="O221" s="13" t="s">
        <v>288</v>
      </c>
      <c r="P221" s="13" t="s">
        <v>60</v>
      </c>
      <c r="Q221" s="13" t="s">
        <v>41</v>
      </c>
      <c r="R221" s="13" t="s">
        <v>270</v>
      </c>
      <c r="S221" s="13" t="s">
        <v>1169</v>
      </c>
      <c r="T221" s="13" t="s">
        <v>1170</v>
      </c>
      <c r="U221" s="13"/>
      <c r="V221" s="13"/>
      <c r="W221" s="13"/>
      <c r="AN221" s="7" t="s">
        <v>155</v>
      </c>
      <c r="AO221" s="21">
        <f t="shared" si="9"/>
        <v>0</v>
      </c>
      <c r="AP221" s="7">
        <f t="shared" si="10"/>
        <v>14.78</v>
      </c>
      <c r="AQ221" s="31" t="str">
        <f t="shared" si="11"/>
        <v>Complete - No Adjustment</v>
      </c>
    </row>
    <row r="222" spans="1:61" x14ac:dyDescent="0.2">
      <c r="A222" s="46">
        <v>212</v>
      </c>
      <c r="B222" s="13" t="s">
        <v>266</v>
      </c>
      <c r="C222" s="13" t="s">
        <v>377</v>
      </c>
      <c r="D222" s="13" t="s">
        <v>376</v>
      </c>
      <c r="E222" s="13" t="s">
        <v>1171</v>
      </c>
      <c r="F222" s="13" t="s">
        <v>175</v>
      </c>
      <c r="G222" s="13" t="s">
        <v>111</v>
      </c>
      <c r="H222" s="16">
        <v>43927</v>
      </c>
      <c r="I222" s="16">
        <v>43929</v>
      </c>
      <c r="J222" s="22">
        <v>253</v>
      </c>
      <c r="K222" s="22">
        <v>253</v>
      </c>
      <c r="L222" s="22" t="s">
        <v>1172</v>
      </c>
      <c r="M222" s="26" t="s">
        <v>98</v>
      </c>
      <c r="N222" s="13" t="s">
        <v>230</v>
      </c>
      <c r="O222" s="13" t="s">
        <v>280</v>
      </c>
      <c r="P222" s="13" t="s">
        <v>60</v>
      </c>
      <c r="Q222" s="13" t="s">
        <v>75</v>
      </c>
      <c r="R222" s="13" t="s">
        <v>270</v>
      </c>
      <c r="S222" s="13" t="s">
        <v>1173</v>
      </c>
      <c r="T222" s="13" t="s">
        <v>1174</v>
      </c>
      <c r="U222" s="13"/>
      <c r="V222" s="13"/>
      <c r="W222" s="13"/>
      <c r="AN222" s="7" t="s">
        <v>70</v>
      </c>
      <c r="AO222" s="21">
        <f t="shared" si="9"/>
        <v>0</v>
      </c>
      <c r="AP222" s="7">
        <f t="shared" si="10"/>
        <v>253</v>
      </c>
      <c r="AQ222" s="31" t="str">
        <f t="shared" si="11"/>
        <v>Complete - No Adjustment</v>
      </c>
    </row>
    <row r="223" spans="1:61" x14ac:dyDescent="0.2">
      <c r="A223" s="46">
        <v>213</v>
      </c>
      <c r="B223" s="13" t="s">
        <v>266</v>
      </c>
      <c r="C223" s="13" t="s">
        <v>600</v>
      </c>
      <c r="D223" s="13" t="s">
        <v>599</v>
      </c>
      <c r="E223" s="13" t="s">
        <v>1175</v>
      </c>
      <c r="F223" s="13" t="s">
        <v>176</v>
      </c>
      <c r="G223" s="13" t="s">
        <v>111</v>
      </c>
      <c r="H223" s="16">
        <v>43938</v>
      </c>
      <c r="I223" s="16">
        <v>43942</v>
      </c>
      <c r="J223" s="22">
        <v>11.74</v>
      </c>
      <c r="K223" s="22">
        <v>11.74</v>
      </c>
      <c r="L223" s="22" t="s">
        <v>1176</v>
      </c>
      <c r="M223" s="26" t="s">
        <v>98</v>
      </c>
      <c r="N223" s="13" t="s">
        <v>230</v>
      </c>
      <c r="O223" s="13" t="s">
        <v>287</v>
      </c>
      <c r="P223" s="13" t="s">
        <v>60</v>
      </c>
      <c r="Q223" s="13" t="s">
        <v>41</v>
      </c>
      <c r="R223" s="13" t="s">
        <v>270</v>
      </c>
      <c r="S223" s="13" t="s">
        <v>1177</v>
      </c>
      <c r="T223" s="13" t="s">
        <v>1178</v>
      </c>
      <c r="U223" s="13"/>
      <c r="V223" s="13"/>
      <c r="W223" s="13"/>
      <c r="AN223" s="7" t="s">
        <v>70</v>
      </c>
      <c r="AO223" s="21">
        <f t="shared" si="9"/>
        <v>0</v>
      </c>
      <c r="AP223" s="7">
        <f t="shared" si="10"/>
        <v>11.74</v>
      </c>
      <c r="AQ223" s="31" t="str">
        <f t="shared" si="11"/>
        <v>Complete - No Adjustment</v>
      </c>
    </row>
    <row r="224" spans="1:61" x14ac:dyDescent="0.2">
      <c r="A224" s="46">
        <v>214</v>
      </c>
      <c r="B224" s="13" t="s">
        <v>266</v>
      </c>
      <c r="C224" s="13" t="s">
        <v>600</v>
      </c>
      <c r="D224" s="13" t="s">
        <v>599</v>
      </c>
      <c r="E224" s="13" t="s">
        <v>1179</v>
      </c>
      <c r="F224" s="13" t="s">
        <v>165</v>
      </c>
      <c r="G224" s="13" t="s">
        <v>111</v>
      </c>
      <c r="H224" s="16">
        <v>43922</v>
      </c>
      <c r="I224" s="16">
        <v>43924</v>
      </c>
      <c r="J224" s="22">
        <v>12.91</v>
      </c>
      <c r="K224" s="22">
        <v>12.91</v>
      </c>
      <c r="L224" s="22" t="s">
        <v>1180</v>
      </c>
      <c r="M224" s="26" t="s">
        <v>98</v>
      </c>
      <c r="N224" s="13" t="s">
        <v>230</v>
      </c>
      <c r="O224" s="13" t="s">
        <v>287</v>
      </c>
      <c r="P224" s="13" t="s">
        <v>60</v>
      </c>
      <c r="Q224" s="13" t="s">
        <v>41</v>
      </c>
      <c r="R224" s="13" t="s">
        <v>270</v>
      </c>
      <c r="S224" s="13" t="s">
        <v>1181</v>
      </c>
      <c r="T224" s="13" t="s">
        <v>1182</v>
      </c>
      <c r="U224" s="13"/>
      <c r="V224" s="13"/>
      <c r="W224" s="13"/>
      <c r="AN224" s="7" t="s">
        <v>155</v>
      </c>
      <c r="AO224" s="21">
        <f t="shared" si="9"/>
        <v>0</v>
      </c>
      <c r="AP224" s="7">
        <f t="shared" si="10"/>
        <v>12.91</v>
      </c>
      <c r="AQ224" s="31" t="str">
        <f t="shared" si="11"/>
        <v>Complete - No Adjustment</v>
      </c>
    </row>
    <row r="225" spans="1:61" x14ac:dyDescent="0.2">
      <c r="A225" s="46">
        <v>215</v>
      </c>
      <c r="B225" s="13" t="s">
        <v>266</v>
      </c>
      <c r="C225" s="13" t="s">
        <v>530</v>
      </c>
      <c r="D225" s="13" t="s">
        <v>529</v>
      </c>
      <c r="E225" s="13" t="s">
        <v>1183</v>
      </c>
      <c r="F225" s="13" t="s">
        <v>182</v>
      </c>
      <c r="G225" s="13" t="s">
        <v>111</v>
      </c>
      <c r="H225" s="16">
        <v>43941</v>
      </c>
      <c r="I225" s="16">
        <v>43943</v>
      </c>
      <c r="J225" s="22">
        <v>75</v>
      </c>
      <c r="K225" s="22">
        <v>75</v>
      </c>
      <c r="L225" s="22" t="s">
        <v>1184</v>
      </c>
      <c r="M225" s="26" t="s">
        <v>98</v>
      </c>
      <c r="N225" s="13" t="s">
        <v>230</v>
      </c>
      <c r="O225" s="13" t="s">
        <v>292</v>
      </c>
      <c r="P225" s="13" t="s">
        <v>60</v>
      </c>
      <c r="Q225" s="13" t="s">
        <v>48</v>
      </c>
      <c r="R225" s="13" t="s">
        <v>270</v>
      </c>
      <c r="S225" s="13" t="s">
        <v>1185</v>
      </c>
      <c r="T225" s="13" t="s">
        <v>1186</v>
      </c>
      <c r="U225" s="13"/>
      <c r="V225" s="13"/>
      <c r="W225" s="13"/>
      <c r="AN225" s="7" t="s">
        <v>70</v>
      </c>
      <c r="AO225" s="21">
        <f t="shared" si="9"/>
        <v>0</v>
      </c>
      <c r="AP225" s="7">
        <f t="shared" si="10"/>
        <v>75</v>
      </c>
      <c r="AQ225" s="31" t="str">
        <f t="shared" si="11"/>
        <v>Complete - No Adjustment</v>
      </c>
    </row>
    <row r="226" spans="1:61" x14ac:dyDescent="0.2">
      <c r="A226" s="46">
        <v>216</v>
      </c>
      <c r="B226" s="13" t="s">
        <v>266</v>
      </c>
      <c r="C226" s="13" t="s">
        <v>532</v>
      </c>
      <c r="D226" s="13" t="s">
        <v>531</v>
      </c>
      <c r="E226" s="13" t="s">
        <v>1187</v>
      </c>
      <c r="F226" s="13" t="s">
        <v>170</v>
      </c>
      <c r="G226" s="13" t="s">
        <v>111</v>
      </c>
      <c r="H226" s="16">
        <v>43921</v>
      </c>
      <c r="I226" s="16">
        <v>43923</v>
      </c>
      <c r="J226" s="22">
        <v>14.89</v>
      </c>
      <c r="K226" s="22">
        <v>14.89</v>
      </c>
      <c r="L226" s="22" t="s">
        <v>1188</v>
      </c>
      <c r="M226" s="26" t="s">
        <v>98</v>
      </c>
      <c r="N226" s="13" t="s">
        <v>230</v>
      </c>
      <c r="O226" s="13" t="s">
        <v>533</v>
      </c>
      <c r="P226" s="13" t="s">
        <v>60</v>
      </c>
      <c r="Q226" s="13" t="s">
        <v>46</v>
      </c>
      <c r="R226" s="13" t="s">
        <v>270</v>
      </c>
      <c r="S226" s="13" t="s">
        <v>1189</v>
      </c>
      <c r="T226" s="13" t="s">
        <v>1190</v>
      </c>
      <c r="U226" s="13"/>
      <c r="V226" s="13"/>
      <c r="W226" s="13"/>
      <c r="AN226" s="7" t="s">
        <v>155</v>
      </c>
      <c r="AO226" s="21">
        <f t="shared" si="9"/>
        <v>0</v>
      </c>
      <c r="AP226" s="7">
        <f t="shared" si="10"/>
        <v>14.89</v>
      </c>
      <c r="AQ226" s="31" t="str">
        <f t="shared" si="11"/>
        <v>Complete - No Adjustment</v>
      </c>
    </row>
    <row r="227" spans="1:61" x14ac:dyDescent="0.2">
      <c r="A227" s="46">
        <v>217</v>
      </c>
      <c r="B227" s="13" t="s">
        <v>266</v>
      </c>
      <c r="C227" s="13" t="s">
        <v>389</v>
      </c>
      <c r="D227" s="13" t="s">
        <v>388</v>
      </c>
      <c r="E227" s="13" t="s">
        <v>1191</v>
      </c>
      <c r="F227" s="13" t="s">
        <v>163</v>
      </c>
      <c r="G227" s="13" t="s">
        <v>111</v>
      </c>
      <c r="H227" s="16">
        <v>43948</v>
      </c>
      <c r="I227" s="16">
        <v>43950</v>
      </c>
      <c r="J227" s="22">
        <v>300</v>
      </c>
      <c r="K227" s="22">
        <v>300</v>
      </c>
      <c r="L227" s="22" t="s">
        <v>1192</v>
      </c>
      <c r="M227" s="26" t="s">
        <v>98</v>
      </c>
      <c r="N227" s="13" t="s">
        <v>230</v>
      </c>
      <c r="O227" s="13" t="s">
        <v>277</v>
      </c>
      <c r="P227" s="13" t="s">
        <v>60</v>
      </c>
      <c r="Q227" s="13" t="s">
        <v>119</v>
      </c>
      <c r="R227" s="13" t="s">
        <v>270</v>
      </c>
      <c r="S227" s="13" t="s">
        <v>1193</v>
      </c>
      <c r="T227" s="13" t="s">
        <v>1194</v>
      </c>
      <c r="U227" s="13"/>
      <c r="V227" s="13"/>
      <c r="W227" s="13"/>
      <c r="AN227" s="7" t="s">
        <v>70</v>
      </c>
      <c r="AO227" s="21">
        <f t="shared" si="9"/>
        <v>0</v>
      </c>
      <c r="AP227" s="7">
        <f t="shared" si="10"/>
        <v>300</v>
      </c>
      <c r="AQ227" s="31" t="str">
        <f t="shared" si="11"/>
        <v>Complete - No Adjustment</v>
      </c>
    </row>
    <row r="228" spans="1:61" x14ac:dyDescent="0.2">
      <c r="A228" s="46">
        <v>218</v>
      </c>
      <c r="B228" s="13" t="s">
        <v>266</v>
      </c>
      <c r="C228" s="13" t="s">
        <v>395</v>
      </c>
      <c r="D228" s="13" t="s">
        <v>394</v>
      </c>
      <c r="E228" s="13" t="s">
        <v>1195</v>
      </c>
      <c r="F228" s="13" t="s">
        <v>168</v>
      </c>
      <c r="G228" s="13" t="s">
        <v>111</v>
      </c>
      <c r="H228" s="16">
        <v>43936</v>
      </c>
      <c r="I228" s="16">
        <v>43938</v>
      </c>
      <c r="J228" s="22">
        <v>8.0299999999999994</v>
      </c>
      <c r="K228" s="22">
        <v>8.0299999999999994</v>
      </c>
      <c r="L228" s="22" t="s">
        <v>1196</v>
      </c>
      <c r="M228" s="26" t="s">
        <v>98</v>
      </c>
      <c r="N228" s="13" t="s">
        <v>230</v>
      </c>
      <c r="O228" s="13" t="s">
        <v>288</v>
      </c>
      <c r="P228" s="13" t="s">
        <v>60</v>
      </c>
      <c r="Q228" s="13" t="s">
        <v>41</v>
      </c>
      <c r="R228" s="13" t="s">
        <v>270</v>
      </c>
      <c r="S228" s="13" t="s">
        <v>1197</v>
      </c>
      <c r="T228" s="13" t="s">
        <v>1198</v>
      </c>
      <c r="U228" s="13"/>
      <c r="V228" s="13"/>
      <c r="W228" s="13"/>
      <c r="AN228" s="7" t="s">
        <v>155</v>
      </c>
      <c r="AO228" s="21">
        <f t="shared" si="9"/>
        <v>0</v>
      </c>
      <c r="AP228" s="7">
        <f t="shared" si="10"/>
        <v>8.0299999999999994</v>
      </c>
      <c r="AQ228" s="31" t="str">
        <f t="shared" si="11"/>
        <v>Complete - No Adjustment</v>
      </c>
    </row>
    <row r="229" spans="1:61" x14ac:dyDescent="0.2">
      <c r="A229" s="46">
        <v>219</v>
      </c>
      <c r="B229" s="13" t="s">
        <v>266</v>
      </c>
      <c r="C229" s="13" t="s">
        <v>401</v>
      </c>
      <c r="D229" s="13" t="s">
        <v>400</v>
      </c>
      <c r="E229" s="13" t="s">
        <v>870</v>
      </c>
      <c r="F229" s="13" t="s">
        <v>173</v>
      </c>
      <c r="G229" s="13" t="s">
        <v>111</v>
      </c>
      <c r="H229" s="16">
        <v>43937</v>
      </c>
      <c r="I229" s="16">
        <v>43941</v>
      </c>
      <c r="J229" s="22">
        <v>205.62</v>
      </c>
      <c r="K229" s="22">
        <v>205.62</v>
      </c>
      <c r="L229" s="22"/>
      <c r="M229" s="26" t="s">
        <v>97</v>
      </c>
      <c r="N229" s="13" t="s">
        <v>230</v>
      </c>
      <c r="O229" s="13" t="s">
        <v>402</v>
      </c>
      <c r="P229" s="13" t="s">
        <v>42</v>
      </c>
      <c r="Q229" s="13" t="s">
        <v>57</v>
      </c>
      <c r="R229" s="13" t="s">
        <v>270</v>
      </c>
      <c r="S229" s="13" t="s">
        <v>871</v>
      </c>
      <c r="T229" s="13" t="s">
        <v>872</v>
      </c>
      <c r="U229" s="13"/>
      <c r="V229" s="13"/>
      <c r="W229" s="13"/>
      <c r="AL229" s="14">
        <v>205.62</v>
      </c>
      <c r="AN229" s="7" t="s">
        <v>146</v>
      </c>
      <c r="AO229" s="21">
        <f t="shared" si="9"/>
        <v>205.62</v>
      </c>
      <c r="AP229" s="7">
        <f t="shared" si="10"/>
        <v>0</v>
      </c>
      <c r="AQ229" s="31" t="str">
        <f t="shared" si="11"/>
        <v>Complete - With Adjustment</v>
      </c>
      <c r="AS229" s="37"/>
      <c r="AT229" s="37"/>
      <c r="AU229" s="37"/>
      <c r="AV229" s="37"/>
      <c r="AW229" s="37"/>
      <c r="AX229" s="37"/>
      <c r="AY229" s="37"/>
      <c r="AZ229" s="37"/>
      <c r="BA229" s="37"/>
      <c r="BB229" s="37"/>
      <c r="BC229" s="37"/>
      <c r="BD229" s="37"/>
      <c r="BE229" s="37"/>
      <c r="BF229" s="37"/>
      <c r="BG229" s="37"/>
      <c r="BH229" s="37"/>
      <c r="BI229" s="37"/>
    </row>
    <row r="230" spans="1:61" x14ac:dyDescent="0.2">
      <c r="A230" s="46">
        <v>220</v>
      </c>
      <c r="B230" s="13" t="s">
        <v>266</v>
      </c>
      <c r="C230" s="13" t="s">
        <v>401</v>
      </c>
      <c r="D230" s="13" t="s">
        <v>400</v>
      </c>
      <c r="E230" s="13" t="s">
        <v>873</v>
      </c>
      <c r="F230" s="13" t="s">
        <v>164</v>
      </c>
      <c r="G230" s="13" t="s">
        <v>111</v>
      </c>
      <c r="H230" s="16">
        <v>43943</v>
      </c>
      <c r="I230" s="16">
        <v>43945</v>
      </c>
      <c r="J230" s="22">
        <v>2299.98</v>
      </c>
      <c r="K230" s="22">
        <v>2299.98</v>
      </c>
      <c r="L230" s="22"/>
      <c r="M230" s="26" t="s">
        <v>97</v>
      </c>
      <c r="N230" s="13" t="s">
        <v>230</v>
      </c>
      <c r="O230" s="13" t="s">
        <v>402</v>
      </c>
      <c r="P230" s="13" t="s">
        <v>42</v>
      </c>
      <c r="Q230" s="13" t="s">
        <v>41</v>
      </c>
      <c r="R230" s="13" t="s">
        <v>270</v>
      </c>
      <c r="S230" s="13" t="s">
        <v>874</v>
      </c>
      <c r="T230" s="13" t="s">
        <v>875</v>
      </c>
      <c r="U230" s="13"/>
      <c r="V230" s="13"/>
      <c r="W230" s="13"/>
      <c r="Z230" s="14">
        <v>2299.98</v>
      </c>
      <c r="AN230" s="7" t="s">
        <v>39</v>
      </c>
      <c r="AO230" s="21">
        <f t="shared" si="9"/>
        <v>2299.98</v>
      </c>
      <c r="AP230" s="7">
        <f t="shared" si="10"/>
        <v>0</v>
      </c>
      <c r="AQ230" s="31" t="str">
        <f t="shared" si="11"/>
        <v>Complete - With Adjustment</v>
      </c>
      <c r="AS230" s="37"/>
      <c r="AT230" s="37"/>
      <c r="AU230" s="37"/>
      <c r="AV230" s="37"/>
      <c r="AW230" s="37"/>
      <c r="AX230" s="37"/>
      <c r="AY230" s="37"/>
      <c r="AZ230" s="37"/>
      <c r="BA230" s="37"/>
      <c r="BB230" s="37"/>
      <c r="BC230" s="37"/>
      <c r="BD230" s="37"/>
      <c r="BE230" s="37"/>
      <c r="BF230" s="37"/>
      <c r="BG230" s="37"/>
      <c r="BH230" s="37"/>
      <c r="BI230" s="37"/>
    </row>
    <row r="231" spans="1:61" x14ac:dyDescent="0.2">
      <c r="A231" s="46">
        <v>221</v>
      </c>
      <c r="B231" s="13" t="s">
        <v>266</v>
      </c>
      <c r="C231" s="13" t="s">
        <v>401</v>
      </c>
      <c r="D231" s="13" t="s">
        <v>400</v>
      </c>
      <c r="E231" s="13" t="s">
        <v>876</v>
      </c>
      <c r="F231" s="13" t="s">
        <v>163</v>
      </c>
      <c r="G231" s="13" t="s">
        <v>111</v>
      </c>
      <c r="H231" s="16">
        <v>43945</v>
      </c>
      <c r="I231" s="16">
        <v>43950</v>
      </c>
      <c r="J231" s="22">
        <v>14896</v>
      </c>
      <c r="K231" s="22">
        <v>14896</v>
      </c>
      <c r="L231" s="22"/>
      <c r="M231" s="26" t="s">
        <v>97</v>
      </c>
      <c r="N231" s="13" t="s">
        <v>230</v>
      </c>
      <c r="O231" s="13" t="s">
        <v>402</v>
      </c>
      <c r="P231" s="13" t="s">
        <v>42</v>
      </c>
      <c r="Q231" s="13" t="s">
        <v>59</v>
      </c>
      <c r="R231" s="13" t="s">
        <v>270</v>
      </c>
      <c r="S231" s="13" t="s">
        <v>877</v>
      </c>
      <c r="T231" s="13" t="s">
        <v>878</v>
      </c>
      <c r="U231" s="13"/>
      <c r="V231" s="13"/>
      <c r="W231" s="13"/>
      <c r="Z231" s="14">
        <v>14896</v>
      </c>
      <c r="AN231" s="7" t="s">
        <v>39</v>
      </c>
      <c r="AO231" s="21">
        <f t="shared" si="9"/>
        <v>14896</v>
      </c>
      <c r="AP231" s="7">
        <f t="shared" si="10"/>
        <v>0</v>
      </c>
      <c r="AQ231" s="31" t="str">
        <f t="shared" si="11"/>
        <v>Complete - With Adjustment</v>
      </c>
      <c r="AS231" s="37"/>
      <c r="AT231" s="37"/>
      <c r="AU231" s="37"/>
      <c r="AV231" s="37"/>
      <c r="AW231" s="37"/>
      <c r="AX231" s="37"/>
      <c r="AY231" s="37"/>
      <c r="AZ231" s="37"/>
      <c r="BA231" s="37"/>
      <c r="BB231" s="37"/>
      <c r="BC231" s="37"/>
      <c r="BD231" s="37"/>
      <c r="BE231" s="37"/>
      <c r="BF231" s="37"/>
      <c r="BG231" s="37"/>
      <c r="BH231" s="37"/>
      <c r="BI231" s="37"/>
    </row>
    <row r="232" spans="1:61" x14ac:dyDescent="0.2">
      <c r="A232" s="46">
        <v>222</v>
      </c>
      <c r="B232" s="13" t="s">
        <v>266</v>
      </c>
      <c r="C232" s="13" t="s">
        <v>150</v>
      </c>
      <c r="D232" s="13" t="s">
        <v>151</v>
      </c>
      <c r="E232" s="13" t="s">
        <v>1199</v>
      </c>
      <c r="F232" s="13" t="s">
        <v>166</v>
      </c>
      <c r="G232" s="13" t="s">
        <v>111</v>
      </c>
      <c r="H232" s="16">
        <v>43942</v>
      </c>
      <c r="I232" s="16">
        <v>43944</v>
      </c>
      <c r="J232" s="22">
        <v>25</v>
      </c>
      <c r="K232" s="22">
        <v>25</v>
      </c>
      <c r="L232" s="22" t="s">
        <v>1200</v>
      </c>
      <c r="M232" s="26" t="s">
        <v>98</v>
      </c>
      <c r="N232" s="13" t="s">
        <v>230</v>
      </c>
      <c r="O232" s="13" t="s">
        <v>383</v>
      </c>
      <c r="P232" s="13" t="s">
        <v>60</v>
      </c>
      <c r="Q232" s="13" t="s">
        <v>41</v>
      </c>
      <c r="R232" s="13" t="s">
        <v>270</v>
      </c>
      <c r="S232" s="13" t="s">
        <v>1201</v>
      </c>
      <c r="T232" s="13" t="s">
        <v>1202</v>
      </c>
      <c r="U232" s="13"/>
      <c r="V232" s="13"/>
      <c r="W232" s="13"/>
      <c r="AN232" s="7" t="s">
        <v>70</v>
      </c>
      <c r="AO232" s="21">
        <f t="shared" ref="AO232:AO295" si="12">SUM(Y232:AL232)</f>
        <v>0</v>
      </c>
      <c r="AP232" s="7">
        <f t="shared" ref="AP232:AP295" si="13">K232-AO232</f>
        <v>25</v>
      </c>
      <c r="AQ232" s="31" t="str">
        <f t="shared" si="11"/>
        <v>Complete - No Adjustment</v>
      </c>
    </row>
    <row r="233" spans="1:61" x14ac:dyDescent="0.2">
      <c r="A233" s="46">
        <v>223</v>
      </c>
      <c r="B233" s="13" t="s">
        <v>266</v>
      </c>
      <c r="C233" s="13" t="s">
        <v>751</v>
      </c>
      <c r="D233" s="13" t="s">
        <v>750</v>
      </c>
      <c r="E233" s="13" t="s">
        <v>1203</v>
      </c>
      <c r="F233" s="13" t="s">
        <v>162</v>
      </c>
      <c r="G233" s="13" t="s">
        <v>111</v>
      </c>
      <c r="H233" s="16">
        <v>43930</v>
      </c>
      <c r="I233" s="16">
        <v>43935</v>
      </c>
      <c r="J233" s="22">
        <v>200</v>
      </c>
      <c r="K233" s="22">
        <v>200</v>
      </c>
      <c r="L233" s="22" t="s">
        <v>1204</v>
      </c>
      <c r="M233" s="26" t="s">
        <v>98</v>
      </c>
      <c r="N233" s="13" t="s">
        <v>230</v>
      </c>
      <c r="O233" s="13" t="s">
        <v>397</v>
      </c>
      <c r="P233" s="13" t="s">
        <v>60</v>
      </c>
      <c r="Q233" s="13" t="s">
        <v>48</v>
      </c>
      <c r="R233" s="13" t="s">
        <v>270</v>
      </c>
      <c r="S233" s="13" t="s">
        <v>1205</v>
      </c>
      <c r="T233" s="13" t="s">
        <v>1206</v>
      </c>
      <c r="U233" s="13"/>
      <c r="V233" s="13"/>
      <c r="W233" s="13"/>
      <c r="AL233" s="14">
        <v>200</v>
      </c>
      <c r="AN233" s="7" t="s">
        <v>146</v>
      </c>
      <c r="AO233" s="21">
        <f t="shared" si="12"/>
        <v>200</v>
      </c>
      <c r="AP233" s="7">
        <f t="shared" si="13"/>
        <v>0</v>
      </c>
      <c r="AQ233" s="31" t="str">
        <f t="shared" si="11"/>
        <v>Complete - With Adjustment</v>
      </c>
    </row>
    <row r="234" spans="1:61" x14ac:dyDescent="0.2">
      <c r="A234" s="46">
        <v>224</v>
      </c>
      <c r="B234" s="13" t="s">
        <v>266</v>
      </c>
      <c r="C234" s="13" t="s">
        <v>765</v>
      </c>
      <c r="D234" s="13" t="s">
        <v>764</v>
      </c>
      <c r="E234" s="13" t="s">
        <v>1207</v>
      </c>
      <c r="F234" s="13" t="s">
        <v>178</v>
      </c>
      <c r="G234" s="13" t="s">
        <v>111</v>
      </c>
      <c r="H234" s="16">
        <v>43949</v>
      </c>
      <c r="I234" s="16">
        <v>43951</v>
      </c>
      <c r="J234" s="22">
        <v>12.37</v>
      </c>
      <c r="K234" s="22">
        <v>6.19</v>
      </c>
      <c r="L234" s="22" t="s">
        <v>1208</v>
      </c>
      <c r="M234" s="26" t="s">
        <v>98</v>
      </c>
      <c r="N234" s="13" t="s">
        <v>230</v>
      </c>
      <c r="O234" s="13" t="s">
        <v>533</v>
      </c>
      <c r="P234" s="13" t="s">
        <v>60</v>
      </c>
      <c r="Q234" s="13" t="s">
        <v>46</v>
      </c>
      <c r="R234" s="13" t="s">
        <v>270</v>
      </c>
      <c r="S234" s="13" t="s">
        <v>1209</v>
      </c>
      <c r="T234" s="13" t="s">
        <v>1210</v>
      </c>
      <c r="U234" s="13"/>
      <c r="V234" s="13"/>
      <c r="W234" s="13"/>
      <c r="AN234" s="7" t="s">
        <v>155</v>
      </c>
      <c r="AO234" s="21">
        <f t="shared" si="12"/>
        <v>0</v>
      </c>
      <c r="AP234" s="7">
        <f t="shared" si="13"/>
        <v>6.19</v>
      </c>
      <c r="AQ234" s="31" t="str">
        <f t="shared" si="11"/>
        <v>Complete - No Adjustment</v>
      </c>
    </row>
    <row r="235" spans="1:61" x14ac:dyDescent="0.2">
      <c r="A235" s="46">
        <v>225</v>
      </c>
      <c r="B235" s="13" t="s">
        <v>266</v>
      </c>
      <c r="C235" s="13" t="s">
        <v>765</v>
      </c>
      <c r="D235" s="13" t="s">
        <v>764</v>
      </c>
      <c r="E235" s="13" t="s">
        <v>1211</v>
      </c>
      <c r="F235" s="13" t="s">
        <v>170</v>
      </c>
      <c r="G235" s="13" t="s">
        <v>111</v>
      </c>
      <c r="H235" s="16">
        <v>43921</v>
      </c>
      <c r="I235" s="16">
        <v>43923</v>
      </c>
      <c r="J235" s="22">
        <v>15</v>
      </c>
      <c r="K235" s="22">
        <v>7.5</v>
      </c>
      <c r="L235" s="22" t="s">
        <v>1212</v>
      </c>
      <c r="M235" s="26" t="s">
        <v>98</v>
      </c>
      <c r="N235" s="13" t="s">
        <v>230</v>
      </c>
      <c r="O235" s="13" t="s">
        <v>533</v>
      </c>
      <c r="P235" s="13" t="s">
        <v>60</v>
      </c>
      <c r="Q235" s="13" t="s">
        <v>46</v>
      </c>
      <c r="R235" s="13" t="s">
        <v>270</v>
      </c>
      <c r="S235" s="13" t="s">
        <v>1213</v>
      </c>
      <c r="T235" s="13" t="s">
        <v>1214</v>
      </c>
      <c r="U235" s="13"/>
      <c r="V235" s="13"/>
      <c r="W235" s="13"/>
      <c r="AN235" s="7" t="s">
        <v>155</v>
      </c>
      <c r="AO235" s="21">
        <f t="shared" si="12"/>
        <v>0</v>
      </c>
      <c r="AP235" s="7">
        <f t="shared" si="13"/>
        <v>7.5</v>
      </c>
      <c r="AQ235" s="31" t="str">
        <f t="shared" si="11"/>
        <v>Complete - No Adjustment</v>
      </c>
    </row>
    <row r="236" spans="1:61" x14ac:dyDescent="0.2">
      <c r="A236" s="46">
        <v>226</v>
      </c>
      <c r="B236" s="13" t="s">
        <v>266</v>
      </c>
      <c r="C236" s="13" t="s">
        <v>542</v>
      </c>
      <c r="D236" s="13" t="s">
        <v>541</v>
      </c>
      <c r="E236" s="13" t="s">
        <v>1215</v>
      </c>
      <c r="F236" s="13" t="s">
        <v>171</v>
      </c>
      <c r="G236" s="13" t="s">
        <v>111</v>
      </c>
      <c r="H236" s="16">
        <v>43917</v>
      </c>
      <c r="I236" s="16">
        <v>43922</v>
      </c>
      <c r="J236" s="22">
        <v>103.51</v>
      </c>
      <c r="K236" s="22">
        <v>103.51</v>
      </c>
      <c r="L236" s="22" t="s">
        <v>1216</v>
      </c>
      <c r="M236" s="26" t="s">
        <v>98</v>
      </c>
      <c r="N236" s="13" t="s">
        <v>230</v>
      </c>
      <c r="O236" s="13" t="s">
        <v>277</v>
      </c>
      <c r="P236" s="13" t="s">
        <v>60</v>
      </c>
      <c r="Q236" s="13" t="s">
        <v>62</v>
      </c>
      <c r="R236" s="13" t="s">
        <v>270</v>
      </c>
      <c r="S236" s="13" t="s">
        <v>1217</v>
      </c>
      <c r="T236" s="13" t="s">
        <v>1218</v>
      </c>
      <c r="U236" s="13"/>
      <c r="V236" s="13"/>
      <c r="W236" s="13"/>
      <c r="AN236" s="7" t="s">
        <v>155</v>
      </c>
      <c r="AO236" s="21">
        <f t="shared" si="12"/>
        <v>0</v>
      </c>
      <c r="AP236" s="7">
        <f t="shared" si="13"/>
        <v>103.51</v>
      </c>
      <c r="AQ236" s="31" t="str">
        <f t="shared" si="11"/>
        <v>Complete - No Adjustment</v>
      </c>
    </row>
    <row r="237" spans="1:61" x14ac:dyDescent="0.2">
      <c r="A237" s="46">
        <v>227</v>
      </c>
      <c r="B237" s="13" t="s">
        <v>266</v>
      </c>
      <c r="C237" s="13" t="s">
        <v>1219</v>
      </c>
      <c r="D237" s="13" t="s">
        <v>1220</v>
      </c>
      <c r="E237" s="13" t="s">
        <v>1221</v>
      </c>
      <c r="F237" s="13" t="s">
        <v>165</v>
      </c>
      <c r="G237" s="13" t="s">
        <v>111</v>
      </c>
      <c r="H237" s="16">
        <v>43921</v>
      </c>
      <c r="I237" s="16">
        <v>43924</v>
      </c>
      <c r="J237" s="22">
        <v>12.99</v>
      </c>
      <c r="K237" s="22">
        <v>12.99</v>
      </c>
      <c r="L237" s="22" t="s">
        <v>1222</v>
      </c>
      <c r="M237" s="26" t="s">
        <v>98</v>
      </c>
      <c r="N237" s="13" t="s">
        <v>230</v>
      </c>
      <c r="O237" s="13" t="s">
        <v>673</v>
      </c>
      <c r="P237" s="13" t="s">
        <v>60</v>
      </c>
      <c r="Q237" s="13" t="s">
        <v>46</v>
      </c>
      <c r="R237" s="13" t="s">
        <v>270</v>
      </c>
      <c r="S237" s="13" t="s">
        <v>1223</v>
      </c>
      <c r="T237" s="13" t="s">
        <v>1162</v>
      </c>
      <c r="U237" s="13"/>
      <c r="V237" s="13"/>
      <c r="W237" s="13"/>
      <c r="AN237" s="7" t="s">
        <v>155</v>
      </c>
      <c r="AO237" s="21">
        <f t="shared" si="12"/>
        <v>0</v>
      </c>
      <c r="AP237" s="7">
        <f t="shared" si="13"/>
        <v>12.99</v>
      </c>
      <c r="AQ237" s="31" t="str">
        <f t="shared" si="11"/>
        <v>Complete - No Adjustment</v>
      </c>
    </row>
    <row r="238" spans="1:61" x14ac:dyDescent="0.2">
      <c r="A238" s="46">
        <v>228</v>
      </c>
      <c r="B238" s="13" t="s">
        <v>266</v>
      </c>
      <c r="C238" s="13" t="s">
        <v>251</v>
      </c>
      <c r="D238" s="13" t="s">
        <v>800</v>
      </c>
      <c r="E238" s="13" t="s">
        <v>1224</v>
      </c>
      <c r="F238" s="13" t="s">
        <v>162</v>
      </c>
      <c r="G238" s="13" t="s">
        <v>111</v>
      </c>
      <c r="H238" s="16">
        <v>43930</v>
      </c>
      <c r="I238" s="16">
        <v>43935</v>
      </c>
      <c r="J238" s="22">
        <v>39.770000000000003</v>
      </c>
      <c r="K238" s="22">
        <v>20.2</v>
      </c>
      <c r="L238" s="22" t="s">
        <v>1225</v>
      </c>
      <c r="M238" s="26" t="s">
        <v>98</v>
      </c>
      <c r="N238" s="13" t="s">
        <v>230</v>
      </c>
      <c r="O238" s="13" t="s">
        <v>288</v>
      </c>
      <c r="P238" s="13" t="s">
        <v>60</v>
      </c>
      <c r="Q238" s="13" t="s">
        <v>41</v>
      </c>
      <c r="R238" s="13" t="s">
        <v>270</v>
      </c>
      <c r="S238" s="13" t="s">
        <v>1226</v>
      </c>
      <c r="T238" s="13" t="s">
        <v>1227</v>
      </c>
      <c r="U238" s="13"/>
      <c r="V238" s="13"/>
      <c r="W238" s="13"/>
      <c r="AN238" s="7" t="s">
        <v>155</v>
      </c>
      <c r="AO238" s="21">
        <f t="shared" si="12"/>
        <v>0</v>
      </c>
      <c r="AP238" s="7">
        <f t="shared" si="13"/>
        <v>20.2</v>
      </c>
      <c r="AQ238" s="31" t="str">
        <f t="shared" si="11"/>
        <v>Complete - No Adjustment</v>
      </c>
    </row>
    <row r="239" spans="1:61" x14ac:dyDescent="0.2">
      <c r="A239" s="46">
        <v>229</v>
      </c>
      <c r="B239" s="13" t="s">
        <v>266</v>
      </c>
      <c r="C239" s="13" t="s">
        <v>251</v>
      </c>
      <c r="D239" s="13" t="s">
        <v>800</v>
      </c>
      <c r="E239" s="13" t="s">
        <v>1224</v>
      </c>
      <c r="F239" s="13" t="s">
        <v>162</v>
      </c>
      <c r="G239" s="13" t="s">
        <v>111</v>
      </c>
      <c r="H239" s="16">
        <v>43930</v>
      </c>
      <c r="I239" s="16">
        <v>43935</v>
      </c>
      <c r="J239" s="22">
        <v>39.770000000000003</v>
      </c>
      <c r="K239" s="22">
        <v>19.57</v>
      </c>
      <c r="L239" s="22" t="s">
        <v>1225</v>
      </c>
      <c r="M239" s="26" t="s">
        <v>98</v>
      </c>
      <c r="N239" s="13" t="s">
        <v>230</v>
      </c>
      <c r="O239" s="13" t="s">
        <v>288</v>
      </c>
      <c r="P239" s="13" t="s">
        <v>60</v>
      </c>
      <c r="Q239" s="13" t="s">
        <v>41</v>
      </c>
      <c r="R239" s="13" t="s">
        <v>270</v>
      </c>
      <c r="S239" s="13" t="s">
        <v>1226</v>
      </c>
      <c r="T239" s="13" t="s">
        <v>1227</v>
      </c>
      <c r="U239" s="13"/>
      <c r="V239" s="13"/>
      <c r="W239" s="13"/>
      <c r="AN239" s="7" t="s">
        <v>155</v>
      </c>
      <c r="AO239" s="21">
        <f t="shared" si="12"/>
        <v>0</v>
      </c>
      <c r="AP239" s="7">
        <f t="shared" si="13"/>
        <v>19.57</v>
      </c>
      <c r="AQ239" s="31" t="str">
        <f t="shared" si="11"/>
        <v>Complete - No Adjustment</v>
      </c>
    </row>
    <row r="240" spans="1:61" x14ac:dyDescent="0.2">
      <c r="A240" s="46">
        <v>230</v>
      </c>
      <c r="B240" s="13" t="s">
        <v>266</v>
      </c>
      <c r="C240" s="13" t="s">
        <v>1228</v>
      </c>
      <c r="D240" s="13" t="s">
        <v>1229</v>
      </c>
      <c r="E240" s="13" t="s">
        <v>1230</v>
      </c>
      <c r="F240" s="13" t="s">
        <v>163</v>
      </c>
      <c r="G240" s="13" t="s">
        <v>111</v>
      </c>
      <c r="H240" s="16">
        <v>43948</v>
      </c>
      <c r="I240" s="16">
        <v>43950</v>
      </c>
      <c r="J240" s="22">
        <v>97.99</v>
      </c>
      <c r="K240" s="22">
        <v>37.65</v>
      </c>
      <c r="L240" s="22" t="s">
        <v>1231</v>
      </c>
      <c r="M240" s="26" t="s">
        <v>98</v>
      </c>
      <c r="N240" s="13" t="s">
        <v>230</v>
      </c>
      <c r="O240" s="13" t="s">
        <v>545</v>
      </c>
      <c r="P240" s="13" t="s">
        <v>60</v>
      </c>
      <c r="Q240" s="13" t="s">
        <v>62</v>
      </c>
      <c r="R240" s="13" t="s">
        <v>270</v>
      </c>
      <c r="S240" s="13" t="s">
        <v>1232</v>
      </c>
      <c r="T240" s="13" t="s">
        <v>1233</v>
      </c>
      <c r="U240" s="13"/>
      <c r="V240" s="13"/>
      <c r="W240" s="13"/>
      <c r="AN240" s="7" t="s">
        <v>70</v>
      </c>
      <c r="AO240" s="21">
        <f t="shared" si="12"/>
        <v>0</v>
      </c>
      <c r="AP240" s="7">
        <f t="shared" si="13"/>
        <v>37.65</v>
      </c>
      <c r="AQ240" s="31" t="str">
        <f t="shared" si="11"/>
        <v>Complete - No Adjustment</v>
      </c>
    </row>
    <row r="241" spans="1:43" x14ac:dyDescent="0.2">
      <c r="A241" s="46">
        <v>231</v>
      </c>
      <c r="B241" s="13" t="s">
        <v>266</v>
      </c>
      <c r="C241" s="13" t="s">
        <v>1228</v>
      </c>
      <c r="D241" s="13" t="s">
        <v>1229</v>
      </c>
      <c r="E241" s="13" t="s">
        <v>1230</v>
      </c>
      <c r="F241" s="13" t="s">
        <v>163</v>
      </c>
      <c r="G241" s="13" t="s">
        <v>111</v>
      </c>
      <c r="H241" s="16">
        <v>43948</v>
      </c>
      <c r="I241" s="16">
        <v>43950</v>
      </c>
      <c r="J241" s="22">
        <v>97.99</v>
      </c>
      <c r="K241" s="22">
        <v>60.34</v>
      </c>
      <c r="L241" s="22" t="s">
        <v>1231</v>
      </c>
      <c r="M241" s="26" t="s">
        <v>98</v>
      </c>
      <c r="N241" s="13" t="s">
        <v>230</v>
      </c>
      <c r="O241" s="13" t="s">
        <v>545</v>
      </c>
      <c r="P241" s="13" t="s">
        <v>60</v>
      </c>
      <c r="Q241" s="13" t="s">
        <v>62</v>
      </c>
      <c r="R241" s="13" t="s">
        <v>270</v>
      </c>
      <c r="S241" s="13" t="s">
        <v>1232</v>
      </c>
      <c r="T241" s="13" t="s">
        <v>1234</v>
      </c>
      <c r="U241" s="13"/>
      <c r="V241" s="13"/>
      <c r="W241" s="13"/>
      <c r="AN241" s="7" t="s">
        <v>70</v>
      </c>
      <c r="AO241" s="21">
        <f t="shared" si="12"/>
        <v>0</v>
      </c>
      <c r="AP241" s="7">
        <f t="shared" si="13"/>
        <v>60.34</v>
      </c>
      <c r="AQ241" s="31" t="str">
        <f t="shared" si="11"/>
        <v>Complete - No Adjustment</v>
      </c>
    </row>
    <row r="242" spans="1:43" x14ac:dyDescent="0.2">
      <c r="A242" s="46">
        <v>232</v>
      </c>
      <c r="B242" s="13" t="s">
        <v>266</v>
      </c>
      <c r="C242" s="13" t="s">
        <v>412</v>
      </c>
      <c r="D242" s="13" t="s">
        <v>411</v>
      </c>
      <c r="E242" s="13" t="s">
        <v>1235</v>
      </c>
      <c r="F242" s="13" t="s">
        <v>181</v>
      </c>
      <c r="G242" s="13" t="s">
        <v>111</v>
      </c>
      <c r="H242" s="16">
        <v>43944</v>
      </c>
      <c r="I242" s="16">
        <v>43948</v>
      </c>
      <c r="J242" s="22">
        <v>57.34</v>
      </c>
      <c r="K242" s="22">
        <v>9.18</v>
      </c>
      <c r="L242" s="22" t="s">
        <v>1236</v>
      </c>
      <c r="M242" s="26" t="s">
        <v>98</v>
      </c>
      <c r="N242" s="13" t="s">
        <v>230</v>
      </c>
      <c r="O242" s="13" t="s">
        <v>288</v>
      </c>
      <c r="P242" s="13" t="s">
        <v>60</v>
      </c>
      <c r="Q242" s="13" t="s">
        <v>41</v>
      </c>
      <c r="R242" s="13" t="s">
        <v>270</v>
      </c>
      <c r="S242" s="13" t="s">
        <v>1237</v>
      </c>
      <c r="T242" s="13" t="s">
        <v>1238</v>
      </c>
      <c r="U242" s="13"/>
      <c r="V242" s="13"/>
      <c r="W242" s="13"/>
      <c r="AN242" s="7" t="s">
        <v>70</v>
      </c>
      <c r="AO242" s="21">
        <f t="shared" si="12"/>
        <v>0</v>
      </c>
      <c r="AP242" s="7">
        <f t="shared" si="13"/>
        <v>9.18</v>
      </c>
      <c r="AQ242" s="31" t="str">
        <f t="shared" si="11"/>
        <v>Complete - No Adjustment</v>
      </c>
    </row>
    <row r="243" spans="1:43" x14ac:dyDescent="0.2">
      <c r="A243" s="46">
        <v>233</v>
      </c>
      <c r="B243" s="13" t="s">
        <v>266</v>
      </c>
      <c r="C243" s="13" t="s">
        <v>412</v>
      </c>
      <c r="D243" s="13" t="s">
        <v>411</v>
      </c>
      <c r="E243" s="13" t="s">
        <v>1235</v>
      </c>
      <c r="F243" s="13" t="s">
        <v>181</v>
      </c>
      <c r="G243" s="13" t="s">
        <v>111</v>
      </c>
      <c r="H243" s="16">
        <v>43944</v>
      </c>
      <c r="I243" s="16">
        <v>43948</v>
      </c>
      <c r="J243" s="22">
        <v>57.34</v>
      </c>
      <c r="K243" s="22">
        <v>33.270000000000003</v>
      </c>
      <c r="L243" s="22" t="s">
        <v>1236</v>
      </c>
      <c r="M243" s="26" t="s">
        <v>98</v>
      </c>
      <c r="N243" s="13" t="s">
        <v>230</v>
      </c>
      <c r="O243" s="13" t="s">
        <v>288</v>
      </c>
      <c r="P243" s="13" t="s">
        <v>60</v>
      </c>
      <c r="Q243" s="13" t="s">
        <v>41</v>
      </c>
      <c r="R243" s="13" t="s">
        <v>270</v>
      </c>
      <c r="S243" s="13" t="s">
        <v>1237</v>
      </c>
      <c r="T243" s="13" t="s">
        <v>1239</v>
      </c>
      <c r="U243" s="13"/>
      <c r="V243" s="13"/>
      <c r="W243" s="13"/>
      <c r="AB243" s="14">
        <f>33.27-(25*1.0825*1.2)</f>
        <v>0.79500000000000171</v>
      </c>
      <c r="AN243" s="7" t="s">
        <v>66</v>
      </c>
      <c r="AO243" s="21">
        <f t="shared" si="12"/>
        <v>0.79500000000000171</v>
      </c>
      <c r="AP243" s="7">
        <f t="shared" si="13"/>
        <v>32.475000000000001</v>
      </c>
      <c r="AQ243" s="31" t="str">
        <f t="shared" si="11"/>
        <v>Complete - With Adjustment</v>
      </c>
    </row>
    <row r="244" spans="1:43" x14ac:dyDescent="0.2">
      <c r="A244" s="46">
        <v>234</v>
      </c>
      <c r="B244" s="13" t="s">
        <v>266</v>
      </c>
      <c r="C244" s="13" t="s">
        <v>412</v>
      </c>
      <c r="D244" s="13" t="s">
        <v>411</v>
      </c>
      <c r="E244" s="13" t="s">
        <v>1235</v>
      </c>
      <c r="F244" s="13" t="s">
        <v>181</v>
      </c>
      <c r="G244" s="13" t="s">
        <v>111</v>
      </c>
      <c r="H244" s="16">
        <v>43944</v>
      </c>
      <c r="I244" s="16">
        <v>43948</v>
      </c>
      <c r="J244" s="22">
        <v>57.34</v>
      </c>
      <c r="K244" s="22">
        <v>14.89</v>
      </c>
      <c r="L244" s="22" t="s">
        <v>1236</v>
      </c>
      <c r="M244" s="26" t="s">
        <v>98</v>
      </c>
      <c r="N244" s="13" t="s">
        <v>230</v>
      </c>
      <c r="O244" s="13" t="s">
        <v>288</v>
      </c>
      <c r="P244" s="13" t="s">
        <v>60</v>
      </c>
      <c r="Q244" s="13" t="s">
        <v>41</v>
      </c>
      <c r="R244" s="13" t="s">
        <v>270</v>
      </c>
      <c r="S244" s="13" t="s">
        <v>1237</v>
      </c>
      <c r="T244" s="13" t="s">
        <v>1238</v>
      </c>
      <c r="U244" s="13"/>
      <c r="V244" s="13"/>
      <c r="W244" s="13"/>
      <c r="AN244" s="7" t="s">
        <v>70</v>
      </c>
      <c r="AO244" s="21">
        <f t="shared" si="12"/>
        <v>0</v>
      </c>
      <c r="AP244" s="7">
        <f t="shared" si="13"/>
        <v>14.89</v>
      </c>
      <c r="AQ244" s="31" t="str">
        <f t="shared" si="11"/>
        <v>Complete - No Adjustment</v>
      </c>
    </row>
    <row r="245" spans="1:43" x14ac:dyDescent="0.2">
      <c r="A245" s="46">
        <v>235</v>
      </c>
      <c r="B245" s="13" t="s">
        <v>266</v>
      </c>
      <c r="C245" s="13" t="s">
        <v>412</v>
      </c>
      <c r="D245" s="13" t="s">
        <v>411</v>
      </c>
      <c r="E245" s="13" t="s">
        <v>1240</v>
      </c>
      <c r="F245" s="13" t="s">
        <v>181</v>
      </c>
      <c r="G245" s="13" t="s">
        <v>111</v>
      </c>
      <c r="H245" s="16">
        <v>43944</v>
      </c>
      <c r="I245" s="16">
        <v>43948</v>
      </c>
      <c r="J245" s="22">
        <v>280.14</v>
      </c>
      <c r="K245" s="22">
        <v>161.81</v>
      </c>
      <c r="L245" s="22" t="s">
        <v>1241</v>
      </c>
      <c r="M245" s="26" t="s">
        <v>98</v>
      </c>
      <c r="N245" s="13" t="s">
        <v>230</v>
      </c>
      <c r="O245" s="13" t="s">
        <v>288</v>
      </c>
      <c r="P245" s="13" t="s">
        <v>60</v>
      </c>
      <c r="Q245" s="13" t="s">
        <v>41</v>
      </c>
      <c r="R245" s="13" t="s">
        <v>270</v>
      </c>
      <c r="S245" s="13" t="s">
        <v>1242</v>
      </c>
      <c r="T245" s="13" t="s">
        <v>1243</v>
      </c>
      <c r="U245" s="13"/>
      <c r="V245" s="13"/>
      <c r="W245" s="13"/>
      <c r="AL245" s="14">
        <v>161.81</v>
      </c>
      <c r="AN245" s="7" t="s">
        <v>146</v>
      </c>
      <c r="AO245" s="21">
        <f t="shared" si="12"/>
        <v>161.81</v>
      </c>
      <c r="AP245" s="7">
        <f t="shared" si="13"/>
        <v>0</v>
      </c>
      <c r="AQ245" s="31" t="str">
        <f t="shared" si="11"/>
        <v>Complete - With Adjustment</v>
      </c>
    </row>
    <row r="246" spans="1:43" x14ac:dyDescent="0.2">
      <c r="A246" s="46">
        <v>236</v>
      </c>
      <c r="B246" s="13" t="s">
        <v>266</v>
      </c>
      <c r="C246" s="13" t="s">
        <v>412</v>
      </c>
      <c r="D246" s="13" t="s">
        <v>411</v>
      </c>
      <c r="E246" s="13" t="s">
        <v>1240</v>
      </c>
      <c r="F246" s="13" t="s">
        <v>181</v>
      </c>
      <c r="G246" s="13" t="s">
        <v>111</v>
      </c>
      <c r="H246" s="16">
        <v>43944</v>
      </c>
      <c r="I246" s="16">
        <v>43948</v>
      </c>
      <c r="J246" s="22">
        <v>280.14</v>
      </c>
      <c r="K246" s="22">
        <v>118.33</v>
      </c>
      <c r="L246" s="22" t="s">
        <v>1241</v>
      </c>
      <c r="M246" s="26" t="s">
        <v>98</v>
      </c>
      <c r="N246" s="13" t="s">
        <v>230</v>
      </c>
      <c r="O246" s="13" t="s">
        <v>288</v>
      </c>
      <c r="P246" s="13" t="s">
        <v>60</v>
      </c>
      <c r="Q246" s="13" t="s">
        <v>41</v>
      </c>
      <c r="R246" s="13" t="s">
        <v>270</v>
      </c>
      <c r="S246" s="13" t="s">
        <v>1242</v>
      </c>
      <c r="T246" s="13" t="s">
        <v>1243</v>
      </c>
      <c r="U246" s="13"/>
      <c r="V246" s="13"/>
      <c r="W246" s="13"/>
      <c r="AC246" s="53">
        <f>(118.33-98.33*1.2)</f>
        <v>0.33400000000000318</v>
      </c>
      <c r="AN246" s="7" t="s">
        <v>67</v>
      </c>
      <c r="AO246" s="21">
        <f t="shared" si="12"/>
        <v>0.33400000000000318</v>
      </c>
      <c r="AP246" s="7">
        <f t="shared" si="13"/>
        <v>117.996</v>
      </c>
      <c r="AQ246" s="31" t="str">
        <f t="shared" si="11"/>
        <v>Complete - With Adjustment</v>
      </c>
    </row>
    <row r="247" spans="1:43" x14ac:dyDescent="0.2">
      <c r="A247" s="46">
        <v>237</v>
      </c>
      <c r="B247" s="13" t="s">
        <v>266</v>
      </c>
      <c r="C247" s="13" t="s">
        <v>412</v>
      </c>
      <c r="D247" s="13" t="s">
        <v>411</v>
      </c>
      <c r="E247" s="13" t="s">
        <v>1244</v>
      </c>
      <c r="F247" s="13" t="s">
        <v>172</v>
      </c>
      <c r="G247" s="13" t="s">
        <v>111</v>
      </c>
      <c r="H247" s="16">
        <v>43935</v>
      </c>
      <c r="I247" s="16">
        <v>43937</v>
      </c>
      <c r="J247" s="22">
        <v>411.57</v>
      </c>
      <c r="K247" s="22">
        <v>166.39</v>
      </c>
      <c r="L247" s="22" t="s">
        <v>1245</v>
      </c>
      <c r="M247" s="26" t="s">
        <v>98</v>
      </c>
      <c r="N247" s="13" t="s">
        <v>230</v>
      </c>
      <c r="O247" s="13" t="s">
        <v>288</v>
      </c>
      <c r="P247" s="13" t="s">
        <v>60</v>
      </c>
      <c r="Q247" s="13" t="s">
        <v>41</v>
      </c>
      <c r="R247" s="13" t="s">
        <v>270</v>
      </c>
      <c r="S247" s="13" t="s">
        <v>1246</v>
      </c>
      <c r="T247" s="13" t="s">
        <v>1247</v>
      </c>
      <c r="U247" s="13"/>
      <c r="V247" s="13"/>
      <c r="W247" s="13"/>
      <c r="AL247" s="14">
        <v>166.39</v>
      </c>
      <c r="AN247" s="7" t="s">
        <v>146</v>
      </c>
      <c r="AO247" s="21">
        <f t="shared" si="12"/>
        <v>166.39</v>
      </c>
      <c r="AP247" s="7">
        <f t="shared" si="13"/>
        <v>0</v>
      </c>
      <c r="AQ247" s="31" t="str">
        <f t="shared" si="11"/>
        <v>Complete - With Adjustment</v>
      </c>
    </row>
    <row r="248" spans="1:43" x14ac:dyDescent="0.2">
      <c r="A248" s="46">
        <v>238</v>
      </c>
      <c r="B248" s="13" t="s">
        <v>266</v>
      </c>
      <c r="C248" s="13" t="s">
        <v>412</v>
      </c>
      <c r="D248" s="13" t="s">
        <v>411</v>
      </c>
      <c r="E248" s="13" t="s">
        <v>1244</v>
      </c>
      <c r="F248" s="13" t="s">
        <v>172</v>
      </c>
      <c r="G248" s="13" t="s">
        <v>111</v>
      </c>
      <c r="H248" s="16">
        <v>43935</v>
      </c>
      <c r="I248" s="16">
        <v>43937</v>
      </c>
      <c r="J248" s="22">
        <v>411.57</v>
      </c>
      <c r="K248" s="22">
        <v>115.8</v>
      </c>
      <c r="L248" s="22" t="s">
        <v>1245</v>
      </c>
      <c r="M248" s="26" t="s">
        <v>98</v>
      </c>
      <c r="N248" s="13" t="s">
        <v>230</v>
      </c>
      <c r="O248" s="13" t="s">
        <v>288</v>
      </c>
      <c r="P248" s="13" t="s">
        <v>60</v>
      </c>
      <c r="Q248" s="13" t="s">
        <v>41</v>
      </c>
      <c r="R248" s="13" t="s">
        <v>270</v>
      </c>
      <c r="S248" s="13" t="s">
        <v>1246</v>
      </c>
      <c r="T248" s="13" t="s">
        <v>1247</v>
      </c>
      <c r="U248" s="13"/>
      <c r="V248" s="13"/>
      <c r="W248" s="13"/>
      <c r="AL248" s="14">
        <v>115.8</v>
      </c>
      <c r="AN248" s="7" t="s">
        <v>146</v>
      </c>
      <c r="AO248" s="21">
        <f t="shared" si="12"/>
        <v>115.8</v>
      </c>
      <c r="AP248" s="7">
        <f t="shared" si="13"/>
        <v>0</v>
      </c>
      <c r="AQ248" s="31" t="str">
        <f t="shared" si="11"/>
        <v>Complete - With Adjustment</v>
      </c>
    </row>
    <row r="249" spans="1:43" x14ac:dyDescent="0.2">
      <c r="A249" s="46">
        <v>239</v>
      </c>
      <c r="B249" s="13" t="s">
        <v>266</v>
      </c>
      <c r="C249" s="13" t="s">
        <v>412</v>
      </c>
      <c r="D249" s="13" t="s">
        <v>411</v>
      </c>
      <c r="E249" s="13" t="s">
        <v>1244</v>
      </c>
      <c r="F249" s="13" t="s">
        <v>172</v>
      </c>
      <c r="G249" s="13" t="s">
        <v>111</v>
      </c>
      <c r="H249" s="16">
        <v>43935</v>
      </c>
      <c r="I249" s="16">
        <v>43937</v>
      </c>
      <c r="J249" s="22">
        <v>411.57</v>
      </c>
      <c r="K249" s="22">
        <v>129.38</v>
      </c>
      <c r="L249" s="22" t="s">
        <v>1245</v>
      </c>
      <c r="M249" s="26" t="s">
        <v>98</v>
      </c>
      <c r="N249" s="13" t="s">
        <v>230</v>
      </c>
      <c r="O249" s="13" t="s">
        <v>288</v>
      </c>
      <c r="P249" s="13" t="s">
        <v>60</v>
      </c>
      <c r="Q249" s="13" t="s">
        <v>41</v>
      </c>
      <c r="R249" s="13" t="s">
        <v>270</v>
      </c>
      <c r="S249" s="13" t="s">
        <v>1246</v>
      </c>
      <c r="T249" s="13" t="s">
        <v>1247</v>
      </c>
      <c r="U249" s="13"/>
      <c r="V249" s="13"/>
      <c r="W249" s="13"/>
      <c r="AL249" s="14">
        <v>129.38</v>
      </c>
      <c r="AN249" s="7" t="s">
        <v>146</v>
      </c>
      <c r="AO249" s="21">
        <f t="shared" si="12"/>
        <v>129.38</v>
      </c>
      <c r="AP249" s="7">
        <f t="shared" si="13"/>
        <v>0</v>
      </c>
      <c r="AQ249" s="31" t="str">
        <f t="shared" si="11"/>
        <v>Complete - With Adjustment</v>
      </c>
    </row>
    <row r="250" spans="1:43" x14ac:dyDescent="0.2">
      <c r="A250" s="46">
        <v>240</v>
      </c>
      <c r="B250" s="13" t="s">
        <v>266</v>
      </c>
      <c r="C250" s="13" t="s">
        <v>544</v>
      </c>
      <c r="D250" s="13" t="s">
        <v>543</v>
      </c>
      <c r="E250" s="13" t="s">
        <v>1248</v>
      </c>
      <c r="F250" s="13" t="s">
        <v>177</v>
      </c>
      <c r="G250" s="13" t="s">
        <v>111</v>
      </c>
      <c r="H250" s="16">
        <v>43920</v>
      </c>
      <c r="I250" s="16">
        <v>43928</v>
      </c>
      <c r="J250" s="22">
        <v>200.23</v>
      </c>
      <c r="K250" s="22">
        <v>82.78</v>
      </c>
      <c r="L250" s="22" t="s">
        <v>1249</v>
      </c>
      <c r="M250" s="26" t="s">
        <v>98</v>
      </c>
      <c r="N250" s="13" t="s">
        <v>230</v>
      </c>
      <c r="O250" s="13" t="s">
        <v>545</v>
      </c>
      <c r="P250" s="13" t="s">
        <v>60</v>
      </c>
      <c r="Q250" s="13" t="s">
        <v>44</v>
      </c>
      <c r="R250" s="13" t="s">
        <v>270</v>
      </c>
      <c r="S250" s="13" t="s">
        <v>1250</v>
      </c>
      <c r="T250" s="13" t="s">
        <v>1251</v>
      </c>
      <c r="U250" s="13"/>
      <c r="V250" s="13"/>
      <c r="W250" s="13"/>
      <c r="AN250" s="7" t="s">
        <v>70</v>
      </c>
      <c r="AO250" s="21">
        <f t="shared" si="12"/>
        <v>0</v>
      </c>
      <c r="AP250" s="7">
        <f t="shared" si="13"/>
        <v>82.78</v>
      </c>
      <c r="AQ250" s="31" t="str">
        <f t="shared" si="11"/>
        <v>Complete - No Adjustment</v>
      </c>
    </row>
    <row r="251" spans="1:43" x14ac:dyDescent="0.2">
      <c r="A251" s="46">
        <v>241</v>
      </c>
      <c r="B251" s="13" t="s">
        <v>266</v>
      </c>
      <c r="C251" s="13" t="s">
        <v>544</v>
      </c>
      <c r="D251" s="13" t="s">
        <v>543</v>
      </c>
      <c r="E251" s="13" t="s">
        <v>1248</v>
      </c>
      <c r="F251" s="13" t="s">
        <v>177</v>
      </c>
      <c r="G251" s="13" t="s">
        <v>111</v>
      </c>
      <c r="H251" s="16">
        <v>43920</v>
      </c>
      <c r="I251" s="16">
        <v>43928</v>
      </c>
      <c r="J251" s="22">
        <v>200.23</v>
      </c>
      <c r="K251" s="22">
        <v>97.42</v>
      </c>
      <c r="L251" s="22" t="s">
        <v>1249</v>
      </c>
      <c r="M251" s="26" t="s">
        <v>98</v>
      </c>
      <c r="N251" s="13" t="s">
        <v>230</v>
      </c>
      <c r="O251" s="13" t="s">
        <v>545</v>
      </c>
      <c r="P251" s="13" t="s">
        <v>60</v>
      </c>
      <c r="Q251" s="13" t="s">
        <v>46</v>
      </c>
      <c r="R251" s="13" t="s">
        <v>270</v>
      </c>
      <c r="S251" s="13" t="s">
        <v>1250</v>
      </c>
      <c r="T251" s="13" t="s">
        <v>1252</v>
      </c>
      <c r="U251" s="13"/>
      <c r="V251" s="13"/>
      <c r="W251" s="13"/>
      <c r="AI251" s="53">
        <v>97.42</v>
      </c>
      <c r="AN251" s="7" t="s">
        <v>145</v>
      </c>
      <c r="AO251" s="21">
        <f t="shared" si="12"/>
        <v>97.42</v>
      </c>
      <c r="AP251" s="7">
        <f t="shared" si="13"/>
        <v>0</v>
      </c>
      <c r="AQ251" s="31" t="str">
        <f t="shared" si="11"/>
        <v>Complete - With Adjustment</v>
      </c>
    </row>
    <row r="252" spans="1:43" x14ac:dyDescent="0.2">
      <c r="A252" s="46">
        <v>242</v>
      </c>
      <c r="B252" s="13" t="s">
        <v>266</v>
      </c>
      <c r="C252" s="13" t="s">
        <v>544</v>
      </c>
      <c r="D252" s="13" t="s">
        <v>543</v>
      </c>
      <c r="E252" s="13" t="s">
        <v>1253</v>
      </c>
      <c r="F252" s="13" t="s">
        <v>180</v>
      </c>
      <c r="G252" s="13" t="s">
        <v>111</v>
      </c>
      <c r="H252" s="16">
        <v>43900</v>
      </c>
      <c r="I252" s="16">
        <v>43927</v>
      </c>
      <c r="J252" s="22">
        <v>5408.37</v>
      </c>
      <c r="K252" s="22">
        <v>37.85</v>
      </c>
      <c r="L252" s="22" t="s">
        <v>1254</v>
      </c>
      <c r="M252" s="26" t="s">
        <v>98</v>
      </c>
      <c r="N252" s="13" t="s">
        <v>230</v>
      </c>
      <c r="O252" s="13" t="s">
        <v>545</v>
      </c>
      <c r="P252" s="13" t="s">
        <v>60</v>
      </c>
      <c r="Q252" s="13" t="s">
        <v>44</v>
      </c>
      <c r="R252" s="13" t="s">
        <v>270</v>
      </c>
      <c r="S252" s="13" t="s">
        <v>1255</v>
      </c>
      <c r="T252" s="13" t="s">
        <v>1256</v>
      </c>
      <c r="U252" s="13"/>
      <c r="V252" s="13"/>
      <c r="W252" s="13"/>
      <c r="AN252" s="7" t="s">
        <v>70</v>
      </c>
      <c r="AO252" s="21">
        <f t="shared" si="12"/>
        <v>0</v>
      </c>
      <c r="AP252" s="7">
        <f t="shared" si="13"/>
        <v>37.85</v>
      </c>
      <c r="AQ252" s="31" t="str">
        <f t="shared" si="11"/>
        <v>Complete - No Adjustment</v>
      </c>
    </row>
    <row r="253" spans="1:43" x14ac:dyDescent="0.2">
      <c r="A253" s="46">
        <v>243</v>
      </c>
      <c r="B253" s="13" t="s">
        <v>266</v>
      </c>
      <c r="C253" s="13" t="s">
        <v>544</v>
      </c>
      <c r="D253" s="13" t="s">
        <v>543</v>
      </c>
      <c r="E253" s="13" t="s">
        <v>1253</v>
      </c>
      <c r="F253" s="13" t="s">
        <v>180</v>
      </c>
      <c r="G253" s="13" t="s">
        <v>111</v>
      </c>
      <c r="H253" s="16">
        <v>43900</v>
      </c>
      <c r="I253" s="16">
        <v>43927</v>
      </c>
      <c r="J253" s="22">
        <v>5408.37</v>
      </c>
      <c r="K253" s="22">
        <v>11.36</v>
      </c>
      <c r="L253" s="22" t="s">
        <v>1254</v>
      </c>
      <c r="M253" s="26" t="s">
        <v>98</v>
      </c>
      <c r="N253" s="13" t="s">
        <v>230</v>
      </c>
      <c r="O253" s="13" t="s">
        <v>545</v>
      </c>
      <c r="P253" s="13" t="s">
        <v>60</v>
      </c>
      <c r="Q253" s="13" t="s">
        <v>41</v>
      </c>
      <c r="R253" s="13" t="s">
        <v>270</v>
      </c>
      <c r="S253" s="13" t="s">
        <v>1255</v>
      </c>
      <c r="T253" s="13" t="s">
        <v>1257</v>
      </c>
      <c r="U253" s="13"/>
      <c r="V253" s="13"/>
      <c r="W253" s="13"/>
      <c r="AN253" s="7" t="s">
        <v>70</v>
      </c>
      <c r="AO253" s="21">
        <f t="shared" si="12"/>
        <v>0</v>
      </c>
      <c r="AP253" s="7">
        <f t="shared" si="13"/>
        <v>11.36</v>
      </c>
      <c r="AQ253" s="31" t="str">
        <f t="shared" si="11"/>
        <v>Complete - No Adjustment</v>
      </c>
    </row>
    <row r="254" spans="1:43" x14ac:dyDescent="0.2">
      <c r="A254" s="46">
        <v>244</v>
      </c>
      <c r="B254" s="13" t="s">
        <v>266</v>
      </c>
      <c r="C254" s="13" t="s">
        <v>544</v>
      </c>
      <c r="D254" s="13" t="s">
        <v>543</v>
      </c>
      <c r="E254" s="13" t="s">
        <v>1253</v>
      </c>
      <c r="F254" s="13" t="s">
        <v>180</v>
      </c>
      <c r="G254" s="13" t="s">
        <v>111</v>
      </c>
      <c r="H254" s="16">
        <v>43900</v>
      </c>
      <c r="I254" s="16">
        <v>43927</v>
      </c>
      <c r="J254" s="22">
        <v>5408.37</v>
      </c>
      <c r="K254" s="22">
        <v>34.200000000000003</v>
      </c>
      <c r="L254" s="22" t="s">
        <v>1254</v>
      </c>
      <c r="M254" s="26" t="s">
        <v>98</v>
      </c>
      <c r="N254" s="13" t="s">
        <v>230</v>
      </c>
      <c r="O254" s="13" t="s">
        <v>545</v>
      </c>
      <c r="P254" s="13" t="s">
        <v>60</v>
      </c>
      <c r="Q254" s="13" t="s">
        <v>44</v>
      </c>
      <c r="R254" s="13" t="s">
        <v>270</v>
      </c>
      <c r="S254" s="13" t="s">
        <v>1255</v>
      </c>
      <c r="T254" s="13" t="s">
        <v>1258</v>
      </c>
      <c r="U254" s="13"/>
      <c r="V254" s="13"/>
      <c r="W254" s="13"/>
      <c r="AN254" s="7" t="s">
        <v>70</v>
      </c>
      <c r="AO254" s="21">
        <f t="shared" si="12"/>
        <v>0</v>
      </c>
      <c r="AP254" s="7">
        <f t="shared" si="13"/>
        <v>34.200000000000003</v>
      </c>
      <c r="AQ254" s="31" t="str">
        <f t="shared" si="11"/>
        <v>Complete - No Adjustment</v>
      </c>
    </row>
    <row r="255" spans="1:43" x14ac:dyDescent="0.2">
      <c r="A255" s="46">
        <v>245</v>
      </c>
      <c r="B255" s="13" t="s">
        <v>266</v>
      </c>
      <c r="C255" s="13" t="s">
        <v>544</v>
      </c>
      <c r="D255" s="13" t="s">
        <v>543</v>
      </c>
      <c r="E255" s="13" t="s">
        <v>1253</v>
      </c>
      <c r="F255" s="13" t="s">
        <v>180</v>
      </c>
      <c r="G255" s="13" t="s">
        <v>111</v>
      </c>
      <c r="H255" s="16">
        <v>43900</v>
      </c>
      <c r="I255" s="16">
        <v>43927</v>
      </c>
      <c r="J255" s="22">
        <v>5408.37</v>
      </c>
      <c r="K255" s="22">
        <v>215.03</v>
      </c>
      <c r="L255" s="22" t="s">
        <v>1254</v>
      </c>
      <c r="M255" s="26" t="s">
        <v>98</v>
      </c>
      <c r="N255" s="13" t="s">
        <v>230</v>
      </c>
      <c r="O255" s="13" t="s">
        <v>545</v>
      </c>
      <c r="P255" s="13" t="s">
        <v>60</v>
      </c>
      <c r="Q255" s="13" t="s">
        <v>45</v>
      </c>
      <c r="R255" s="13" t="s">
        <v>270</v>
      </c>
      <c r="S255" s="13" t="s">
        <v>1255</v>
      </c>
      <c r="T255" s="13" t="s">
        <v>1259</v>
      </c>
      <c r="U255" s="13"/>
      <c r="V255" s="13"/>
      <c r="W255" s="13"/>
      <c r="AE255" s="53">
        <f>(215.03/238.92)*(198-150)</f>
        <v>43.200401808136618</v>
      </c>
      <c r="AN255" s="7" t="s">
        <v>68</v>
      </c>
      <c r="AO255" s="21">
        <f t="shared" si="12"/>
        <v>43.200401808136618</v>
      </c>
      <c r="AP255" s="7">
        <f t="shared" si="13"/>
        <v>171.8295981918634</v>
      </c>
      <c r="AQ255" s="31" t="str">
        <f t="shared" si="11"/>
        <v>Complete - With Adjustment</v>
      </c>
    </row>
    <row r="256" spans="1:43" x14ac:dyDescent="0.2">
      <c r="A256" s="46">
        <v>246</v>
      </c>
      <c r="B256" s="13" t="s">
        <v>266</v>
      </c>
      <c r="C256" s="13" t="s">
        <v>544</v>
      </c>
      <c r="D256" s="13" t="s">
        <v>543</v>
      </c>
      <c r="E256" s="13" t="s">
        <v>1253</v>
      </c>
      <c r="F256" s="13" t="s">
        <v>180</v>
      </c>
      <c r="G256" s="13" t="s">
        <v>111</v>
      </c>
      <c r="H256" s="16">
        <v>43900</v>
      </c>
      <c r="I256" s="16">
        <v>43927</v>
      </c>
      <c r="J256" s="22">
        <v>5408.37</v>
      </c>
      <c r="K256" s="22">
        <v>420.26</v>
      </c>
      <c r="L256" s="22" t="s">
        <v>1254</v>
      </c>
      <c r="M256" s="26" t="s">
        <v>98</v>
      </c>
      <c r="N256" s="13" t="s">
        <v>230</v>
      </c>
      <c r="O256" s="13" t="s">
        <v>545</v>
      </c>
      <c r="P256" s="13" t="s">
        <v>60</v>
      </c>
      <c r="Q256" s="13" t="s">
        <v>44</v>
      </c>
      <c r="R256" s="13" t="s">
        <v>270</v>
      </c>
      <c r="S256" s="13" t="s">
        <v>1255</v>
      </c>
      <c r="T256" s="13" t="s">
        <v>1260</v>
      </c>
      <c r="U256" s="13"/>
      <c r="V256" s="13"/>
      <c r="W256" s="13"/>
      <c r="AN256" s="7" t="s">
        <v>70</v>
      </c>
      <c r="AO256" s="21">
        <f t="shared" si="12"/>
        <v>0</v>
      </c>
      <c r="AP256" s="7">
        <f t="shared" si="13"/>
        <v>420.26</v>
      </c>
      <c r="AQ256" s="31" t="str">
        <f t="shared" si="11"/>
        <v>Complete - No Adjustment</v>
      </c>
    </row>
    <row r="257" spans="1:43" x14ac:dyDescent="0.2">
      <c r="A257" s="46">
        <v>247</v>
      </c>
      <c r="B257" s="13" t="s">
        <v>266</v>
      </c>
      <c r="C257" s="13" t="s">
        <v>544</v>
      </c>
      <c r="D257" s="13" t="s">
        <v>543</v>
      </c>
      <c r="E257" s="13" t="s">
        <v>1253</v>
      </c>
      <c r="F257" s="13" t="s">
        <v>180</v>
      </c>
      <c r="G257" s="13" t="s">
        <v>111</v>
      </c>
      <c r="H257" s="16">
        <v>43900</v>
      </c>
      <c r="I257" s="16">
        <v>43927</v>
      </c>
      <c r="J257" s="22">
        <v>5408.37</v>
      </c>
      <c r="K257" s="22">
        <v>37.799999999999997</v>
      </c>
      <c r="L257" s="22" t="s">
        <v>1254</v>
      </c>
      <c r="M257" s="26" t="s">
        <v>98</v>
      </c>
      <c r="N257" s="13" t="s">
        <v>230</v>
      </c>
      <c r="O257" s="13" t="s">
        <v>545</v>
      </c>
      <c r="P257" s="13" t="s">
        <v>60</v>
      </c>
      <c r="Q257" s="13" t="s">
        <v>44</v>
      </c>
      <c r="R257" s="13" t="s">
        <v>270</v>
      </c>
      <c r="S257" s="13" t="s">
        <v>1255</v>
      </c>
      <c r="T257" s="13" t="s">
        <v>1261</v>
      </c>
      <c r="U257" s="13"/>
      <c r="V257" s="13"/>
      <c r="W257" s="13"/>
      <c r="AN257" s="7" t="s">
        <v>70</v>
      </c>
      <c r="AO257" s="21">
        <f t="shared" si="12"/>
        <v>0</v>
      </c>
      <c r="AP257" s="7">
        <f t="shared" si="13"/>
        <v>37.799999999999997</v>
      </c>
      <c r="AQ257" s="31" t="str">
        <f t="shared" si="11"/>
        <v>Complete - No Adjustment</v>
      </c>
    </row>
    <row r="258" spans="1:43" x14ac:dyDescent="0.2">
      <c r="A258" s="46">
        <v>248</v>
      </c>
      <c r="B258" s="13" t="s">
        <v>266</v>
      </c>
      <c r="C258" s="13" t="s">
        <v>544</v>
      </c>
      <c r="D258" s="13" t="s">
        <v>543</v>
      </c>
      <c r="E258" s="13" t="s">
        <v>1253</v>
      </c>
      <c r="F258" s="13" t="s">
        <v>180</v>
      </c>
      <c r="G258" s="13" t="s">
        <v>111</v>
      </c>
      <c r="H258" s="16">
        <v>43900</v>
      </c>
      <c r="I258" s="16">
        <v>43927</v>
      </c>
      <c r="J258" s="22">
        <v>5408.37</v>
      </c>
      <c r="K258" s="22">
        <v>164.16</v>
      </c>
      <c r="L258" s="22" t="s">
        <v>1254</v>
      </c>
      <c r="M258" s="26" t="s">
        <v>98</v>
      </c>
      <c r="N258" s="13" t="s">
        <v>230</v>
      </c>
      <c r="O258" s="13" t="s">
        <v>545</v>
      </c>
      <c r="P258" s="13" t="s">
        <v>60</v>
      </c>
      <c r="Q258" s="13" t="s">
        <v>44</v>
      </c>
      <c r="R258" s="13" t="s">
        <v>270</v>
      </c>
      <c r="S258" s="13" t="s">
        <v>1255</v>
      </c>
      <c r="T258" s="13" t="s">
        <v>914</v>
      </c>
      <c r="U258" s="13"/>
      <c r="V258" s="13"/>
      <c r="W258" s="13"/>
      <c r="AN258" s="7" t="s">
        <v>70</v>
      </c>
      <c r="AO258" s="21">
        <f t="shared" si="12"/>
        <v>0</v>
      </c>
      <c r="AP258" s="7">
        <f t="shared" si="13"/>
        <v>164.16</v>
      </c>
      <c r="AQ258" s="31" t="str">
        <f t="shared" si="11"/>
        <v>Complete - No Adjustment</v>
      </c>
    </row>
    <row r="259" spans="1:43" x14ac:dyDescent="0.2">
      <c r="A259" s="46">
        <v>249</v>
      </c>
      <c r="B259" s="13" t="s">
        <v>266</v>
      </c>
      <c r="C259" s="13" t="s">
        <v>544</v>
      </c>
      <c r="D259" s="13" t="s">
        <v>543</v>
      </c>
      <c r="E259" s="13" t="s">
        <v>1253</v>
      </c>
      <c r="F259" s="13" t="s">
        <v>180</v>
      </c>
      <c r="G259" s="13" t="s">
        <v>111</v>
      </c>
      <c r="H259" s="16">
        <v>43900</v>
      </c>
      <c r="I259" s="16">
        <v>43927</v>
      </c>
      <c r="J259" s="22">
        <v>5408.37</v>
      </c>
      <c r="K259" s="22">
        <v>123.28</v>
      </c>
      <c r="L259" s="22" t="s">
        <v>1254</v>
      </c>
      <c r="M259" s="26" t="s">
        <v>98</v>
      </c>
      <c r="N259" s="13" t="s">
        <v>230</v>
      </c>
      <c r="O259" s="13" t="s">
        <v>545</v>
      </c>
      <c r="P259" s="13" t="s">
        <v>60</v>
      </c>
      <c r="Q259" s="13" t="s">
        <v>44</v>
      </c>
      <c r="R259" s="13" t="s">
        <v>270</v>
      </c>
      <c r="S259" s="13" t="s">
        <v>1255</v>
      </c>
      <c r="T259" s="13" t="s">
        <v>1262</v>
      </c>
      <c r="U259" s="13"/>
      <c r="V259" s="13"/>
      <c r="W259" s="13"/>
      <c r="AN259" s="7" t="s">
        <v>70</v>
      </c>
      <c r="AO259" s="21">
        <f t="shared" si="12"/>
        <v>0</v>
      </c>
      <c r="AP259" s="7">
        <f t="shared" si="13"/>
        <v>123.28</v>
      </c>
      <c r="AQ259" s="31" t="str">
        <f t="shared" si="11"/>
        <v>Complete - No Adjustment</v>
      </c>
    </row>
    <row r="260" spans="1:43" x14ac:dyDescent="0.2">
      <c r="A260" s="46">
        <v>250</v>
      </c>
      <c r="B260" s="13" t="s">
        <v>266</v>
      </c>
      <c r="C260" s="13" t="s">
        <v>544</v>
      </c>
      <c r="D260" s="13" t="s">
        <v>543</v>
      </c>
      <c r="E260" s="13" t="s">
        <v>1253</v>
      </c>
      <c r="F260" s="13" t="s">
        <v>180</v>
      </c>
      <c r="G260" s="13" t="s">
        <v>111</v>
      </c>
      <c r="H260" s="16">
        <v>43900</v>
      </c>
      <c r="I260" s="16">
        <v>43927</v>
      </c>
      <c r="J260" s="22">
        <v>5408.37</v>
      </c>
      <c r="K260" s="22">
        <v>84.05</v>
      </c>
      <c r="L260" s="22" t="s">
        <v>1254</v>
      </c>
      <c r="M260" s="26" t="s">
        <v>98</v>
      </c>
      <c r="N260" s="13" t="s">
        <v>230</v>
      </c>
      <c r="O260" s="13" t="s">
        <v>545</v>
      </c>
      <c r="P260" s="13" t="s">
        <v>60</v>
      </c>
      <c r="Q260" s="13" t="s">
        <v>41</v>
      </c>
      <c r="R260" s="13" t="s">
        <v>270</v>
      </c>
      <c r="S260" s="13" t="s">
        <v>1255</v>
      </c>
      <c r="T260" s="13" t="s">
        <v>1263</v>
      </c>
      <c r="U260" s="13"/>
      <c r="V260" s="13"/>
      <c r="W260" s="13"/>
      <c r="AC260" s="53">
        <f>(84.05/93.4)*(93.4-77.4*1.2)</f>
        <v>0.4679443254817951</v>
      </c>
      <c r="AN260" s="7" t="s">
        <v>67</v>
      </c>
      <c r="AO260" s="21">
        <f t="shared" si="12"/>
        <v>0.4679443254817951</v>
      </c>
      <c r="AP260" s="7">
        <f t="shared" si="13"/>
        <v>83.582055674518202</v>
      </c>
      <c r="AQ260" s="31" t="str">
        <f t="shared" si="11"/>
        <v>Complete - With Adjustment</v>
      </c>
    </row>
    <row r="261" spans="1:43" x14ac:dyDescent="0.2">
      <c r="A261" s="46">
        <v>251</v>
      </c>
      <c r="B261" s="13" t="s">
        <v>266</v>
      </c>
      <c r="C261" s="13" t="s">
        <v>544</v>
      </c>
      <c r="D261" s="13" t="s">
        <v>543</v>
      </c>
      <c r="E261" s="13" t="s">
        <v>1253</v>
      </c>
      <c r="F261" s="13" t="s">
        <v>180</v>
      </c>
      <c r="G261" s="13" t="s">
        <v>111</v>
      </c>
      <c r="H261" s="16">
        <v>43900</v>
      </c>
      <c r="I261" s="16">
        <v>43927</v>
      </c>
      <c r="J261" s="22">
        <v>5408.37</v>
      </c>
      <c r="K261" s="22">
        <v>9.58</v>
      </c>
      <c r="L261" s="22" t="s">
        <v>1254</v>
      </c>
      <c r="M261" s="26" t="s">
        <v>98</v>
      </c>
      <c r="N261" s="13" t="s">
        <v>230</v>
      </c>
      <c r="O261" s="13" t="s">
        <v>545</v>
      </c>
      <c r="P261" s="13" t="s">
        <v>60</v>
      </c>
      <c r="Q261" s="13" t="s">
        <v>41</v>
      </c>
      <c r="R261" s="13" t="s">
        <v>270</v>
      </c>
      <c r="S261" s="13" t="s">
        <v>1255</v>
      </c>
      <c r="T261" s="13" t="s">
        <v>1263</v>
      </c>
      <c r="U261" s="13"/>
      <c r="V261" s="13"/>
      <c r="W261" s="13"/>
      <c r="AL261" s="14">
        <v>9.58</v>
      </c>
      <c r="AN261" s="7" t="s">
        <v>146</v>
      </c>
      <c r="AO261" s="21">
        <f t="shared" si="12"/>
        <v>9.58</v>
      </c>
      <c r="AP261" s="7">
        <f t="shared" si="13"/>
        <v>0</v>
      </c>
      <c r="AQ261" s="31" t="str">
        <f t="shared" ref="AQ261:AQ324" si="14">IF(AO261&lt;&gt;0,"Complete - With Adjustment","Complete - No Adjustment")</f>
        <v>Complete - With Adjustment</v>
      </c>
    </row>
    <row r="262" spans="1:43" x14ac:dyDescent="0.2">
      <c r="A262" s="46">
        <v>252</v>
      </c>
      <c r="B262" s="13" t="s">
        <v>266</v>
      </c>
      <c r="C262" s="13" t="s">
        <v>544</v>
      </c>
      <c r="D262" s="13" t="s">
        <v>543</v>
      </c>
      <c r="E262" s="13" t="s">
        <v>1253</v>
      </c>
      <c r="F262" s="13" t="s">
        <v>180</v>
      </c>
      <c r="G262" s="13" t="s">
        <v>111</v>
      </c>
      <c r="H262" s="16">
        <v>43900</v>
      </c>
      <c r="I262" s="16">
        <v>43927</v>
      </c>
      <c r="J262" s="22">
        <v>5408.37</v>
      </c>
      <c r="K262" s="22">
        <v>425.66</v>
      </c>
      <c r="L262" s="22" t="s">
        <v>1254</v>
      </c>
      <c r="M262" s="26" t="s">
        <v>98</v>
      </c>
      <c r="N262" s="13" t="s">
        <v>230</v>
      </c>
      <c r="O262" s="13" t="s">
        <v>545</v>
      </c>
      <c r="P262" s="13" t="s">
        <v>60</v>
      </c>
      <c r="Q262" s="13" t="s">
        <v>44</v>
      </c>
      <c r="R262" s="13" t="s">
        <v>270</v>
      </c>
      <c r="S262" s="13" t="s">
        <v>1255</v>
      </c>
      <c r="T262" s="13" t="s">
        <v>1264</v>
      </c>
      <c r="U262" s="13"/>
      <c r="V262" s="13"/>
      <c r="W262" s="13"/>
      <c r="AD262" s="14">
        <f>(425.66/472.96)*(16+16)</f>
        <v>28.799729364005415</v>
      </c>
      <c r="AN262" s="7" t="s">
        <v>147</v>
      </c>
      <c r="AO262" s="21">
        <f t="shared" si="12"/>
        <v>28.799729364005415</v>
      </c>
      <c r="AP262" s="7">
        <f t="shared" si="13"/>
        <v>396.8602706359946</v>
      </c>
      <c r="AQ262" s="31" t="str">
        <f t="shared" si="14"/>
        <v>Complete - With Adjustment</v>
      </c>
    </row>
    <row r="263" spans="1:43" x14ac:dyDescent="0.2">
      <c r="A263" s="46">
        <v>253</v>
      </c>
      <c r="B263" s="13" t="s">
        <v>266</v>
      </c>
      <c r="C263" s="13" t="s">
        <v>544</v>
      </c>
      <c r="D263" s="13" t="s">
        <v>543</v>
      </c>
      <c r="E263" s="13" t="s">
        <v>1253</v>
      </c>
      <c r="F263" s="13" t="s">
        <v>180</v>
      </c>
      <c r="G263" s="13" t="s">
        <v>111</v>
      </c>
      <c r="H263" s="16">
        <v>43900</v>
      </c>
      <c r="I263" s="16">
        <v>43927</v>
      </c>
      <c r="J263" s="22">
        <v>5408.37</v>
      </c>
      <c r="K263" s="22">
        <v>4.58</v>
      </c>
      <c r="L263" s="22" t="s">
        <v>1254</v>
      </c>
      <c r="M263" s="26" t="s">
        <v>98</v>
      </c>
      <c r="N263" s="13" t="s">
        <v>230</v>
      </c>
      <c r="O263" s="13" t="s">
        <v>545</v>
      </c>
      <c r="P263" s="13" t="s">
        <v>60</v>
      </c>
      <c r="Q263" s="13" t="s">
        <v>41</v>
      </c>
      <c r="R263" s="13" t="s">
        <v>270</v>
      </c>
      <c r="S263" s="13" t="s">
        <v>1255</v>
      </c>
      <c r="T263" s="13" t="s">
        <v>1263</v>
      </c>
      <c r="U263" s="13"/>
      <c r="V263" s="13"/>
      <c r="W263" s="13"/>
      <c r="AN263" s="7" t="s">
        <v>70</v>
      </c>
      <c r="AO263" s="21">
        <f t="shared" si="12"/>
        <v>0</v>
      </c>
      <c r="AP263" s="7">
        <f t="shared" si="13"/>
        <v>4.58</v>
      </c>
      <c r="AQ263" s="31" t="str">
        <f t="shared" si="14"/>
        <v>Complete - No Adjustment</v>
      </c>
    </row>
    <row r="264" spans="1:43" x14ac:dyDescent="0.2">
      <c r="A264" s="46">
        <v>254</v>
      </c>
      <c r="B264" s="13" t="s">
        <v>266</v>
      </c>
      <c r="C264" s="13" t="s">
        <v>544</v>
      </c>
      <c r="D264" s="13" t="s">
        <v>543</v>
      </c>
      <c r="E264" s="13" t="s">
        <v>1253</v>
      </c>
      <c r="F264" s="13" t="s">
        <v>180</v>
      </c>
      <c r="G264" s="13" t="s">
        <v>111</v>
      </c>
      <c r="H264" s="16">
        <v>43900</v>
      </c>
      <c r="I264" s="16">
        <v>43927</v>
      </c>
      <c r="J264" s="22">
        <v>5408.37</v>
      </c>
      <c r="K264" s="22">
        <v>19.8</v>
      </c>
      <c r="L264" s="22" t="s">
        <v>1254</v>
      </c>
      <c r="M264" s="26" t="s">
        <v>98</v>
      </c>
      <c r="N264" s="13" t="s">
        <v>230</v>
      </c>
      <c r="O264" s="13" t="s">
        <v>545</v>
      </c>
      <c r="P264" s="13" t="s">
        <v>60</v>
      </c>
      <c r="Q264" s="13" t="s">
        <v>44</v>
      </c>
      <c r="R264" s="13" t="s">
        <v>270</v>
      </c>
      <c r="S264" s="13" t="s">
        <v>1255</v>
      </c>
      <c r="T264" s="13" t="s">
        <v>1265</v>
      </c>
      <c r="U264" s="13"/>
      <c r="V264" s="13"/>
      <c r="W264" s="13"/>
      <c r="AN264" s="7" t="s">
        <v>70</v>
      </c>
      <c r="AO264" s="21">
        <f t="shared" si="12"/>
        <v>0</v>
      </c>
      <c r="AP264" s="7">
        <f t="shared" si="13"/>
        <v>19.8</v>
      </c>
      <c r="AQ264" s="31" t="str">
        <f t="shared" si="14"/>
        <v>Complete - No Adjustment</v>
      </c>
    </row>
    <row r="265" spans="1:43" x14ac:dyDescent="0.2">
      <c r="A265" s="46">
        <v>255</v>
      </c>
      <c r="B265" s="13" t="s">
        <v>266</v>
      </c>
      <c r="C265" s="13" t="s">
        <v>544</v>
      </c>
      <c r="D265" s="13" t="s">
        <v>543</v>
      </c>
      <c r="E265" s="13" t="s">
        <v>1253</v>
      </c>
      <c r="F265" s="13" t="s">
        <v>180</v>
      </c>
      <c r="G265" s="13" t="s">
        <v>111</v>
      </c>
      <c r="H265" s="16">
        <v>43900</v>
      </c>
      <c r="I265" s="16">
        <v>43927</v>
      </c>
      <c r="J265" s="22">
        <v>5408.37</v>
      </c>
      <c r="K265" s="22">
        <v>39.6</v>
      </c>
      <c r="L265" s="22" t="s">
        <v>1254</v>
      </c>
      <c r="M265" s="26" t="s">
        <v>98</v>
      </c>
      <c r="N265" s="13" t="s">
        <v>230</v>
      </c>
      <c r="O265" s="13" t="s">
        <v>545</v>
      </c>
      <c r="P265" s="13" t="s">
        <v>60</v>
      </c>
      <c r="Q265" s="13" t="s">
        <v>44</v>
      </c>
      <c r="R265" s="13" t="s">
        <v>270</v>
      </c>
      <c r="S265" s="13" t="s">
        <v>1255</v>
      </c>
      <c r="T265" s="13" t="s">
        <v>1266</v>
      </c>
      <c r="U265" s="13"/>
      <c r="V265" s="13"/>
      <c r="W265" s="13"/>
      <c r="AN265" s="7" t="s">
        <v>70</v>
      </c>
      <c r="AO265" s="21">
        <f t="shared" si="12"/>
        <v>0</v>
      </c>
      <c r="AP265" s="7">
        <f t="shared" si="13"/>
        <v>39.6</v>
      </c>
      <c r="AQ265" s="31" t="str">
        <f t="shared" si="14"/>
        <v>Complete - No Adjustment</v>
      </c>
    </row>
    <row r="266" spans="1:43" x14ac:dyDescent="0.2">
      <c r="A266" s="46">
        <v>256</v>
      </c>
      <c r="B266" s="13" t="s">
        <v>266</v>
      </c>
      <c r="C266" s="13" t="s">
        <v>544</v>
      </c>
      <c r="D266" s="13" t="s">
        <v>543</v>
      </c>
      <c r="E266" s="13" t="s">
        <v>1253</v>
      </c>
      <c r="F266" s="13" t="s">
        <v>180</v>
      </c>
      <c r="G266" s="13" t="s">
        <v>111</v>
      </c>
      <c r="H266" s="16">
        <v>43900</v>
      </c>
      <c r="I266" s="16">
        <v>43927</v>
      </c>
      <c r="J266" s="22">
        <v>5408.37</v>
      </c>
      <c r="K266" s="22">
        <v>116.98</v>
      </c>
      <c r="L266" s="22" t="s">
        <v>1254</v>
      </c>
      <c r="M266" s="26" t="s">
        <v>98</v>
      </c>
      <c r="N266" s="13" t="s">
        <v>230</v>
      </c>
      <c r="O266" s="13" t="s">
        <v>545</v>
      </c>
      <c r="P266" s="13" t="s">
        <v>60</v>
      </c>
      <c r="Q266" s="13" t="s">
        <v>44</v>
      </c>
      <c r="R266" s="13" t="s">
        <v>270</v>
      </c>
      <c r="S266" s="13" t="s">
        <v>1255</v>
      </c>
      <c r="T266" s="13" t="s">
        <v>1267</v>
      </c>
      <c r="U266" s="13"/>
      <c r="V266" s="13"/>
      <c r="W266" s="13"/>
      <c r="AN266" s="7" t="s">
        <v>70</v>
      </c>
      <c r="AO266" s="21">
        <f t="shared" si="12"/>
        <v>0</v>
      </c>
      <c r="AP266" s="7">
        <f t="shared" si="13"/>
        <v>116.98</v>
      </c>
      <c r="AQ266" s="31" t="str">
        <f t="shared" si="14"/>
        <v>Complete - No Adjustment</v>
      </c>
    </row>
    <row r="267" spans="1:43" x14ac:dyDescent="0.2">
      <c r="A267" s="46">
        <v>257</v>
      </c>
      <c r="B267" s="13" t="s">
        <v>266</v>
      </c>
      <c r="C267" s="13" t="s">
        <v>544</v>
      </c>
      <c r="D267" s="13" t="s">
        <v>543</v>
      </c>
      <c r="E267" s="13" t="s">
        <v>1253</v>
      </c>
      <c r="F267" s="13" t="s">
        <v>180</v>
      </c>
      <c r="G267" s="13" t="s">
        <v>111</v>
      </c>
      <c r="H267" s="16">
        <v>43900</v>
      </c>
      <c r="I267" s="16">
        <v>43927</v>
      </c>
      <c r="J267" s="22">
        <v>5408.37</v>
      </c>
      <c r="K267" s="22">
        <v>465.03</v>
      </c>
      <c r="L267" s="22" t="s">
        <v>1254</v>
      </c>
      <c r="M267" s="26" t="s">
        <v>98</v>
      </c>
      <c r="N267" s="13" t="s">
        <v>230</v>
      </c>
      <c r="O267" s="13" t="s">
        <v>545</v>
      </c>
      <c r="P267" s="13" t="s">
        <v>60</v>
      </c>
      <c r="Q267" s="13" t="s">
        <v>44</v>
      </c>
      <c r="R267" s="13" t="s">
        <v>270</v>
      </c>
      <c r="S267" s="13" t="s">
        <v>1255</v>
      </c>
      <c r="T267" s="13" t="s">
        <v>1267</v>
      </c>
      <c r="U267" s="13"/>
      <c r="V267" s="13"/>
      <c r="W267" s="13"/>
      <c r="AN267" s="7" t="s">
        <v>70</v>
      </c>
      <c r="AO267" s="21">
        <f t="shared" si="12"/>
        <v>0</v>
      </c>
      <c r="AP267" s="7">
        <f t="shared" si="13"/>
        <v>465.03</v>
      </c>
      <c r="AQ267" s="31" t="str">
        <f t="shared" si="14"/>
        <v>Complete - No Adjustment</v>
      </c>
    </row>
    <row r="268" spans="1:43" x14ac:dyDescent="0.2">
      <c r="A268" s="46">
        <v>258</v>
      </c>
      <c r="B268" s="13" t="s">
        <v>266</v>
      </c>
      <c r="C268" s="13" t="s">
        <v>544</v>
      </c>
      <c r="D268" s="13" t="s">
        <v>543</v>
      </c>
      <c r="E268" s="13" t="s">
        <v>1253</v>
      </c>
      <c r="F268" s="13" t="s">
        <v>180</v>
      </c>
      <c r="G268" s="13" t="s">
        <v>111</v>
      </c>
      <c r="H268" s="16">
        <v>43900</v>
      </c>
      <c r="I268" s="16">
        <v>43927</v>
      </c>
      <c r="J268" s="22">
        <v>5408.37</v>
      </c>
      <c r="K268" s="22">
        <v>20.7</v>
      </c>
      <c r="L268" s="22" t="s">
        <v>1254</v>
      </c>
      <c r="M268" s="26" t="s">
        <v>98</v>
      </c>
      <c r="N268" s="13" t="s">
        <v>230</v>
      </c>
      <c r="O268" s="13" t="s">
        <v>545</v>
      </c>
      <c r="P268" s="13" t="s">
        <v>60</v>
      </c>
      <c r="Q268" s="13" t="s">
        <v>44</v>
      </c>
      <c r="R268" s="13" t="s">
        <v>270</v>
      </c>
      <c r="S268" s="13" t="s">
        <v>1255</v>
      </c>
      <c r="T268" s="13" t="s">
        <v>1268</v>
      </c>
      <c r="U268" s="13"/>
      <c r="V268" s="13"/>
      <c r="W268" s="13"/>
      <c r="AN268" s="7" t="s">
        <v>70</v>
      </c>
      <c r="AO268" s="21">
        <f t="shared" si="12"/>
        <v>0</v>
      </c>
      <c r="AP268" s="7">
        <f t="shared" si="13"/>
        <v>20.7</v>
      </c>
      <c r="AQ268" s="31" t="str">
        <f t="shared" si="14"/>
        <v>Complete - No Adjustment</v>
      </c>
    </row>
    <row r="269" spans="1:43" x14ac:dyDescent="0.2">
      <c r="A269" s="46">
        <v>259</v>
      </c>
      <c r="B269" s="13" t="s">
        <v>266</v>
      </c>
      <c r="C269" s="13" t="s">
        <v>544</v>
      </c>
      <c r="D269" s="13" t="s">
        <v>543</v>
      </c>
      <c r="E269" s="13" t="s">
        <v>1253</v>
      </c>
      <c r="F269" s="13" t="s">
        <v>180</v>
      </c>
      <c r="G269" s="13" t="s">
        <v>111</v>
      </c>
      <c r="H269" s="16">
        <v>43900</v>
      </c>
      <c r="I269" s="16">
        <v>43927</v>
      </c>
      <c r="J269" s="22">
        <v>5408.37</v>
      </c>
      <c r="K269" s="22">
        <v>162.34</v>
      </c>
      <c r="L269" s="22" t="s">
        <v>1254</v>
      </c>
      <c r="M269" s="26" t="s">
        <v>98</v>
      </c>
      <c r="N269" s="13" t="s">
        <v>230</v>
      </c>
      <c r="O269" s="13" t="s">
        <v>545</v>
      </c>
      <c r="P269" s="13" t="s">
        <v>60</v>
      </c>
      <c r="Q269" s="13" t="s">
        <v>44</v>
      </c>
      <c r="R269" s="13" t="s">
        <v>270</v>
      </c>
      <c r="S269" s="13" t="s">
        <v>1255</v>
      </c>
      <c r="T269" s="13" t="s">
        <v>1269</v>
      </c>
      <c r="U269" s="13"/>
      <c r="V269" s="13"/>
      <c r="W269" s="13"/>
      <c r="AN269" s="7" t="s">
        <v>70</v>
      </c>
      <c r="AO269" s="21">
        <f t="shared" si="12"/>
        <v>0</v>
      </c>
      <c r="AP269" s="7">
        <f t="shared" si="13"/>
        <v>162.34</v>
      </c>
      <c r="AQ269" s="31" t="str">
        <f t="shared" si="14"/>
        <v>Complete - No Adjustment</v>
      </c>
    </row>
    <row r="270" spans="1:43" x14ac:dyDescent="0.2">
      <c r="A270" s="46">
        <v>260</v>
      </c>
      <c r="B270" s="13" t="s">
        <v>266</v>
      </c>
      <c r="C270" s="13" t="s">
        <v>544</v>
      </c>
      <c r="D270" s="13" t="s">
        <v>543</v>
      </c>
      <c r="E270" s="13" t="s">
        <v>1253</v>
      </c>
      <c r="F270" s="13" t="s">
        <v>180</v>
      </c>
      <c r="G270" s="13" t="s">
        <v>111</v>
      </c>
      <c r="H270" s="16">
        <v>43900</v>
      </c>
      <c r="I270" s="16">
        <v>43927</v>
      </c>
      <c r="J270" s="22">
        <v>5408.37</v>
      </c>
      <c r="K270" s="22">
        <v>133.9</v>
      </c>
      <c r="L270" s="22" t="s">
        <v>1254</v>
      </c>
      <c r="M270" s="26" t="s">
        <v>98</v>
      </c>
      <c r="N270" s="13" t="s">
        <v>230</v>
      </c>
      <c r="O270" s="13" t="s">
        <v>545</v>
      </c>
      <c r="P270" s="13" t="s">
        <v>60</v>
      </c>
      <c r="Q270" s="13" t="s">
        <v>41</v>
      </c>
      <c r="R270" s="13" t="s">
        <v>270</v>
      </c>
      <c r="S270" s="13" t="s">
        <v>1255</v>
      </c>
      <c r="T270" s="13" t="s">
        <v>1270</v>
      </c>
      <c r="U270" s="13"/>
      <c r="V270" s="13"/>
      <c r="W270" s="13"/>
      <c r="AN270" s="7" t="s">
        <v>70</v>
      </c>
      <c r="AO270" s="21">
        <f t="shared" si="12"/>
        <v>0</v>
      </c>
      <c r="AP270" s="7">
        <f t="shared" si="13"/>
        <v>133.9</v>
      </c>
      <c r="AQ270" s="31" t="str">
        <f t="shared" si="14"/>
        <v>Complete - No Adjustment</v>
      </c>
    </row>
    <row r="271" spans="1:43" x14ac:dyDescent="0.2">
      <c r="A271" s="46">
        <v>261</v>
      </c>
      <c r="B271" s="13" t="s">
        <v>266</v>
      </c>
      <c r="C271" s="13" t="s">
        <v>544</v>
      </c>
      <c r="D271" s="13" t="s">
        <v>543</v>
      </c>
      <c r="E271" s="13" t="s">
        <v>1253</v>
      </c>
      <c r="F271" s="13" t="s">
        <v>180</v>
      </c>
      <c r="G271" s="13" t="s">
        <v>111</v>
      </c>
      <c r="H271" s="16">
        <v>43900</v>
      </c>
      <c r="I271" s="16">
        <v>43927</v>
      </c>
      <c r="J271" s="22">
        <v>5408.37</v>
      </c>
      <c r="K271" s="22">
        <v>195.9</v>
      </c>
      <c r="L271" s="22" t="s">
        <v>1254</v>
      </c>
      <c r="M271" s="26" t="s">
        <v>98</v>
      </c>
      <c r="N271" s="13" t="s">
        <v>230</v>
      </c>
      <c r="O271" s="13" t="s">
        <v>545</v>
      </c>
      <c r="P271" s="13" t="s">
        <v>60</v>
      </c>
      <c r="Q271" s="13" t="s">
        <v>41</v>
      </c>
      <c r="R271" s="13" t="s">
        <v>270</v>
      </c>
      <c r="S271" s="13" t="s">
        <v>1255</v>
      </c>
      <c r="T271" s="13" t="s">
        <v>1271</v>
      </c>
      <c r="U271" s="13"/>
      <c r="V271" s="13"/>
      <c r="W271" s="13"/>
      <c r="AB271" s="14">
        <f>(195.9/217.66)*(217.66-25*5*1.1*1.2)</f>
        <v>47.395451621795459</v>
      </c>
      <c r="AN271" s="7" t="s">
        <v>66</v>
      </c>
      <c r="AO271" s="21">
        <f t="shared" si="12"/>
        <v>47.395451621795459</v>
      </c>
      <c r="AP271" s="7">
        <f t="shared" si="13"/>
        <v>148.50454837820456</v>
      </c>
      <c r="AQ271" s="31" t="str">
        <f t="shared" si="14"/>
        <v>Complete - With Adjustment</v>
      </c>
    </row>
    <row r="272" spans="1:43" x14ac:dyDescent="0.2">
      <c r="A272" s="46">
        <v>262</v>
      </c>
      <c r="B272" s="13" t="s">
        <v>266</v>
      </c>
      <c r="C272" s="13" t="s">
        <v>544</v>
      </c>
      <c r="D272" s="13" t="s">
        <v>543</v>
      </c>
      <c r="E272" s="13" t="s">
        <v>1253</v>
      </c>
      <c r="F272" s="13" t="s">
        <v>180</v>
      </c>
      <c r="G272" s="13" t="s">
        <v>111</v>
      </c>
      <c r="H272" s="16">
        <v>43900</v>
      </c>
      <c r="I272" s="16">
        <v>43927</v>
      </c>
      <c r="J272" s="22">
        <v>5408.37</v>
      </c>
      <c r="K272" s="22">
        <v>406.52</v>
      </c>
      <c r="L272" s="22" t="s">
        <v>1254</v>
      </c>
      <c r="M272" s="26" t="s">
        <v>98</v>
      </c>
      <c r="N272" s="13" t="s">
        <v>230</v>
      </c>
      <c r="O272" s="13" t="s">
        <v>545</v>
      </c>
      <c r="P272" s="13" t="s">
        <v>60</v>
      </c>
      <c r="Q272" s="13" t="s">
        <v>41</v>
      </c>
      <c r="R272" s="13" t="s">
        <v>270</v>
      </c>
      <c r="S272" s="13" t="s">
        <v>1255</v>
      </c>
      <c r="T272" s="13" t="s">
        <v>1272</v>
      </c>
      <c r="U272" s="13"/>
      <c r="V272" s="13"/>
      <c r="W272" s="13"/>
      <c r="AB272" s="14">
        <f>(406.52/451.68)*((390.73-25*15))</f>
        <v>14.157278604321659</v>
      </c>
      <c r="AN272" s="7" t="s">
        <v>66</v>
      </c>
      <c r="AO272" s="21">
        <f t="shared" si="12"/>
        <v>14.157278604321659</v>
      </c>
      <c r="AP272" s="7">
        <f t="shared" si="13"/>
        <v>392.36272139567831</v>
      </c>
      <c r="AQ272" s="31" t="str">
        <f t="shared" si="14"/>
        <v>Complete - With Adjustment</v>
      </c>
    </row>
    <row r="273" spans="1:43" x14ac:dyDescent="0.2">
      <c r="A273" s="46">
        <v>263</v>
      </c>
      <c r="B273" s="13" t="s">
        <v>266</v>
      </c>
      <c r="C273" s="13" t="s">
        <v>544</v>
      </c>
      <c r="D273" s="13" t="s">
        <v>543</v>
      </c>
      <c r="E273" s="13" t="s">
        <v>1253</v>
      </c>
      <c r="F273" s="13" t="s">
        <v>180</v>
      </c>
      <c r="G273" s="13" t="s">
        <v>111</v>
      </c>
      <c r="H273" s="16">
        <v>43900</v>
      </c>
      <c r="I273" s="16">
        <v>43927</v>
      </c>
      <c r="J273" s="22">
        <v>5408.37</v>
      </c>
      <c r="K273" s="22">
        <v>161.65</v>
      </c>
      <c r="L273" s="22" t="s">
        <v>1254</v>
      </c>
      <c r="M273" s="26" t="s">
        <v>98</v>
      </c>
      <c r="N273" s="13" t="s">
        <v>230</v>
      </c>
      <c r="O273" s="13" t="s">
        <v>545</v>
      </c>
      <c r="P273" s="13" t="s">
        <v>60</v>
      </c>
      <c r="Q273" s="13" t="s">
        <v>45</v>
      </c>
      <c r="R273" s="13" t="s">
        <v>270</v>
      </c>
      <c r="S273" s="13" t="s">
        <v>1255</v>
      </c>
      <c r="T273" s="13" t="s">
        <v>1273</v>
      </c>
      <c r="U273" s="13"/>
      <c r="V273" s="13"/>
      <c r="W273" s="13"/>
      <c r="AE273" s="53">
        <f>(161.65/179.61)*(155.82-150)</f>
        <v>5.2380324035409993</v>
      </c>
      <c r="AN273" s="7" t="s">
        <v>68</v>
      </c>
      <c r="AO273" s="21">
        <f t="shared" si="12"/>
        <v>5.2380324035409993</v>
      </c>
      <c r="AP273" s="7">
        <f t="shared" si="13"/>
        <v>156.41196759645899</v>
      </c>
      <c r="AQ273" s="31" t="str">
        <f t="shared" si="14"/>
        <v>Complete - With Adjustment</v>
      </c>
    </row>
    <row r="274" spans="1:43" x14ac:dyDescent="0.2">
      <c r="A274" s="46">
        <v>264</v>
      </c>
      <c r="B274" s="13" t="s">
        <v>266</v>
      </c>
      <c r="C274" s="13" t="s">
        <v>544</v>
      </c>
      <c r="D274" s="13" t="s">
        <v>543</v>
      </c>
      <c r="E274" s="13" t="s">
        <v>1253</v>
      </c>
      <c r="F274" s="13" t="s">
        <v>180</v>
      </c>
      <c r="G274" s="13" t="s">
        <v>111</v>
      </c>
      <c r="H274" s="16">
        <v>43900</v>
      </c>
      <c r="I274" s="16">
        <v>43927</v>
      </c>
      <c r="J274" s="22">
        <v>5408.37</v>
      </c>
      <c r="K274" s="22">
        <v>359.06</v>
      </c>
      <c r="L274" s="22" t="s">
        <v>1254</v>
      </c>
      <c r="M274" s="26" t="s">
        <v>98</v>
      </c>
      <c r="N274" s="13" t="s">
        <v>230</v>
      </c>
      <c r="O274" s="13" t="s">
        <v>545</v>
      </c>
      <c r="P274" s="13" t="s">
        <v>60</v>
      </c>
      <c r="Q274" s="13" t="s">
        <v>44</v>
      </c>
      <c r="R274" s="13" t="s">
        <v>270</v>
      </c>
      <c r="S274" s="13" t="s">
        <v>1255</v>
      </c>
      <c r="T274" s="13" t="s">
        <v>1274</v>
      </c>
      <c r="U274" s="13"/>
      <c r="V274" s="13"/>
      <c r="W274" s="13"/>
      <c r="AN274" s="7" t="s">
        <v>70</v>
      </c>
      <c r="AO274" s="21">
        <f t="shared" si="12"/>
        <v>0</v>
      </c>
      <c r="AP274" s="7">
        <f t="shared" si="13"/>
        <v>359.06</v>
      </c>
      <c r="AQ274" s="31" t="str">
        <f t="shared" si="14"/>
        <v>Complete - No Adjustment</v>
      </c>
    </row>
    <row r="275" spans="1:43" x14ac:dyDescent="0.2">
      <c r="A275" s="46">
        <v>265</v>
      </c>
      <c r="B275" s="13" t="s">
        <v>266</v>
      </c>
      <c r="C275" s="13" t="s">
        <v>544</v>
      </c>
      <c r="D275" s="13" t="s">
        <v>543</v>
      </c>
      <c r="E275" s="13" t="s">
        <v>1253</v>
      </c>
      <c r="F275" s="13" t="s">
        <v>180</v>
      </c>
      <c r="G275" s="13" t="s">
        <v>111</v>
      </c>
      <c r="H275" s="16">
        <v>43900</v>
      </c>
      <c r="I275" s="16">
        <v>43927</v>
      </c>
      <c r="J275" s="22">
        <v>5408.37</v>
      </c>
      <c r="K275" s="22">
        <v>27.41</v>
      </c>
      <c r="L275" s="22" t="s">
        <v>1254</v>
      </c>
      <c r="M275" s="26" t="s">
        <v>98</v>
      </c>
      <c r="N275" s="13" t="s">
        <v>230</v>
      </c>
      <c r="O275" s="13" t="s">
        <v>545</v>
      </c>
      <c r="P275" s="13" t="s">
        <v>60</v>
      </c>
      <c r="Q275" s="13" t="s">
        <v>41</v>
      </c>
      <c r="R275" s="13" t="s">
        <v>270</v>
      </c>
      <c r="S275" s="13" t="s">
        <v>1255</v>
      </c>
      <c r="T275" s="13" t="s">
        <v>1275</v>
      </c>
      <c r="U275" s="13"/>
      <c r="V275" s="13"/>
      <c r="W275" s="13"/>
      <c r="AL275" s="14">
        <v>27.41</v>
      </c>
      <c r="AN275" s="7" t="s">
        <v>146</v>
      </c>
      <c r="AO275" s="21">
        <f t="shared" si="12"/>
        <v>27.41</v>
      </c>
      <c r="AP275" s="7">
        <f t="shared" si="13"/>
        <v>0</v>
      </c>
      <c r="AQ275" s="31" t="str">
        <f t="shared" si="14"/>
        <v>Complete - With Adjustment</v>
      </c>
    </row>
    <row r="276" spans="1:43" x14ac:dyDescent="0.2">
      <c r="A276" s="46">
        <v>266</v>
      </c>
      <c r="B276" s="13" t="s">
        <v>266</v>
      </c>
      <c r="C276" s="13" t="s">
        <v>544</v>
      </c>
      <c r="D276" s="13" t="s">
        <v>543</v>
      </c>
      <c r="E276" s="13" t="s">
        <v>1253</v>
      </c>
      <c r="F276" s="13" t="s">
        <v>180</v>
      </c>
      <c r="G276" s="13" t="s">
        <v>111</v>
      </c>
      <c r="H276" s="16">
        <v>43900</v>
      </c>
      <c r="I276" s="16">
        <v>43927</v>
      </c>
      <c r="J276" s="22">
        <v>5408.37</v>
      </c>
      <c r="K276" s="22">
        <v>232.7</v>
      </c>
      <c r="L276" s="22" t="s">
        <v>1254</v>
      </c>
      <c r="M276" s="26" t="s">
        <v>98</v>
      </c>
      <c r="N276" s="13" t="s">
        <v>230</v>
      </c>
      <c r="O276" s="13" t="s">
        <v>545</v>
      </c>
      <c r="P276" s="13" t="s">
        <v>60</v>
      </c>
      <c r="Q276" s="13" t="s">
        <v>45</v>
      </c>
      <c r="R276" s="13" t="s">
        <v>270</v>
      </c>
      <c r="S276" s="13" t="s">
        <v>1255</v>
      </c>
      <c r="T276" s="13" t="s">
        <v>1276</v>
      </c>
      <c r="U276" s="13"/>
      <c r="V276" s="13"/>
      <c r="W276" s="13"/>
      <c r="AE276" s="53">
        <f>(232.7/258.56)*(199-150)</f>
        <v>44.099241955445542</v>
      </c>
      <c r="AN276" s="7" t="s">
        <v>68</v>
      </c>
      <c r="AO276" s="21">
        <f t="shared" si="12"/>
        <v>44.099241955445542</v>
      </c>
      <c r="AP276" s="7">
        <f t="shared" si="13"/>
        <v>188.60075804455445</v>
      </c>
      <c r="AQ276" s="31" t="str">
        <f t="shared" si="14"/>
        <v>Complete - With Adjustment</v>
      </c>
    </row>
    <row r="277" spans="1:43" x14ac:dyDescent="0.2">
      <c r="A277" s="46">
        <v>267</v>
      </c>
      <c r="B277" s="13" t="s">
        <v>266</v>
      </c>
      <c r="C277" s="13" t="s">
        <v>544</v>
      </c>
      <c r="D277" s="13" t="s">
        <v>543</v>
      </c>
      <c r="E277" s="13" t="s">
        <v>1253</v>
      </c>
      <c r="F277" s="13" t="s">
        <v>180</v>
      </c>
      <c r="G277" s="13" t="s">
        <v>111</v>
      </c>
      <c r="H277" s="16">
        <v>43900</v>
      </c>
      <c r="I277" s="16">
        <v>43927</v>
      </c>
      <c r="J277" s="22">
        <v>5408.37</v>
      </c>
      <c r="K277" s="22">
        <v>26.21</v>
      </c>
      <c r="L277" s="22" t="s">
        <v>1254</v>
      </c>
      <c r="M277" s="26" t="s">
        <v>98</v>
      </c>
      <c r="N277" s="13" t="s">
        <v>230</v>
      </c>
      <c r="O277" s="13" t="s">
        <v>545</v>
      </c>
      <c r="P277" s="13" t="s">
        <v>60</v>
      </c>
      <c r="Q277" s="13" t="s">
        <v>41</v>
      </c>
      <c r="R277" s="13" t="s">
        <v>270</v>
      </c>
      <c r="S277" s="13" t="s">
        <v>1255</v>
      </c>
      <c r="T277" s="13" t="s">
        <v>1277</v>
      </c>
      <c r="U277" s="13"/>
      <c r="V277" s="13"/>
      <c r="W277" s="13"/>
      <c r="AL277" s="14">
        <v>26.21</v>
      </c>
      <c r="AN277" s="7" t="s">
        <v>146</v>
      </c>
      <c r="AO277" s="21">
        <f t="shared" si="12"/>
        <v>26.21</v>
      </c>
      <c r="AP277" s="7">
        <f t="shared" si="13"/>
        <v>0</v>
      </c>
      <c r="AQ277" s="31" t="str">
        <f t="shared" si="14"/>
        <v>Complete - With Adjustment</v>
      </c>
    </row>
    <row r="278" spans="1:43" x14ac:dyDescent="0.2">
      <c r="A278" s="46">
        <v>268</v>
      </c>
      <c r="B278" s="13" t="s">
        <v>266</v>
      </c>
      <c r="C278" s="13" t="s">
        <v>544</v>
      </c>
      <c r="D278" s="13" t="s">
        <v>543</v>
      </c>
      <c r="E278" s="13" t="s">
        <v>1253</v>
      </c>
      <c r="F278" s="13" t="s">
        <v>180</v>
      </c>
      <c r="G278" s="13" t="s">
        <v>111</v>
      </c>
      <c r="H278" s="16">
        <v>43900</v>
      </c>
      <c r="I278" s="16">
        <v>43927</v>
      </c>
      <c r="J278" s="22">
        <v>5408.37</v>
      </c>
      <c r="K278" s="22">
        <v>51.75</v>
      </c>
      <c r="L278" s="22" t="s">
        <v>1254</v>
      </c>
      <c r="M278" s="26" t="s">
        <v>97</v>
      </c>
      <c r="N278" s="13" t="s">
        <v>230</v>
      </c>
      <c r="O278" s="13" t="s">
        <v>545</v>
      </c>
      <c r="P278" s="13" t="s">
        <v>42</v>
      </c>
      <c r="Q278" s="13" t="s">
        <v>41</v>
      </c>
      <c r="R278" s="13" t="s">
        <v>270</v>
      </c>
      <c r="S278" s="13" t="s">
        <v>1255</v>
      </c>
      <c r="T278" s="13" t="s">
        <v>1278</v>
      </c>
      <c r="U278" s="13"/>
      <c r="V278" s="13"/>
      <c r="W278" s="13"/>
      <c r="Y278" s="53">
        <v>51.75</v>
      </c>
      <c r="AN278" s="7" t="s">
        <v>8</v>
      </c>
      <c r="AO278" s="21">
        <f t="shared" si="12"/>
        <v>51.75</v>
      </c>
      <c r="AP278" s="7">
        <f t="shared" si="13"/>
        <v>0</v>
      </c>
      <c r="AQ278" s="31" t="str">
        <f t="shared" si="14"/>
        <v>Complete - With Adjustment</v>
      </c>
    </row>
    <row r="279" spans="1:43" x14ac:dyDescent="0.2">
      <c r="A279" s="46">
        <v>269</v>
      </c>
      <c r="B279" s="13" t="s">
        <v>266</v>
      </c>
      <c r="C279" s="13" t="s">
        <v>544</v>
      </c>
      <c r="D279" s="13" t="s">
        <v>543</v>
      </c>
      <c r="E279" s="13" t="s">
        <v>1253</v>
      </c>
      <c r="F279" s="13" t="s">
        <v>180</v>
      </c>
      <c r="G279" s="13" t="s">
        <v>111</v>
      </c>
      <c r="H279" s="16">
        <v>43900</v>
      </c>
      <c r="I279" s="16">
        <v>43927</v>
      </c>
      <c r="J279" s="22">
        <v>5408.37</v>
      </c>
      <c r="K279" s="22">
        <v>159.44999999999999</v>
      </c>
      <c r="L279" s="22" t="s">
        <v>1254</v>
      </c>
      <c r="M279" s="26" t="s">
        <v>98</v>
      </c>
      <c r="N279" s="13" t="s">
        <v>230</v>
      </c>
      <c r="O279" s="13" t="s">
        <v>545</v>
      </c>
      <c r="P279" s="13" t="s">
        <v>60</v>
      </c>
      <c r="Q279" s="13" t="s">
        <v>41</v>
      </c>
      <c r="R279" s="13" t="s">
        <v>270</v>
      </c>
      <c r="S279" s="13" t="s">
        <v>1255</v>
      </c>
      <c r="T279" s="13" t="s">
        <v>1279</v>
      </c>
      <c r="U279" s="13"/>
      <c r="V279" s="13"/>
      <c r="W279" s="13"/>
      <c r="AB279" s="14">
        <f>(159.45/177.17)*(194.67-25*3*1.08*1.2)</f>
        <v>87.721349551278422</v>
      </c>
      <c r="AN279" s="7" t="s">
        <v>66</v>
      </c>
      <c r="AO279" s="21">
        <f t="shared" si="12"/>
        <v>87.721349551278422</v>
      </c>
      <c r="AP279" s="7">
        <f t="shared" si="13"/>
        <v>71.728650448721567</v>
      </c>
      <c r="AQ279" s="31" t="str">
        <f t="shared" si="14"/>
        <v>Complete - With Adjustment</v>
      </c>
    </row>
    <row r="280" spans="1:43" x14ac:dyDescent="0.2">
      <c r="A280" s="46">
        <v>270</v>
      </c>
      <c r="B280" s="13" t="s">
        <v>266</v>
      </c>
      <c r="C280" s="13" t="s">
        <v>544</v>
      </c>
      <c r="D280" s="13" t="s">
        <v>543</v>
      </c>
      <c r="E280" s="13" t="s">
        <v>1253</v>
      </c>
      <c r="F280" s="13" t="s">
        <v>180</v>
      </c>
      <c r="G280" s="13" t="s">
        <v>111</v>
      </c>
      <c r="H280" s="16">
        <v>43900</v>
      </c>
      <c r="I280" s="16">
        <v>43927</v>
      </c>
      <c r="J280" s="22">
        <v>5408.37</v>
      </c>
      <c r="K280" s="22">
        <v>2.2999999999999998</v>
      </c>
      <c r="L280" s="22" t="s">
        <v>1254</v>
      </c>
      <c r="M280" s="26" t="s">
        <v>98</v>
      </c>
      <c r="N280" s="13" t="s">
        <v>230</v>
      </c>
      <c r="O280" s="13" t="s">
        <v>545</v>
      </c>
      <c r="P280" s="13" t="s">
        <v>60</v>
      </c>
      <c r="Q280" s="13" t="s">
        <v>41</v>
      </c>
      <c r="R280" s="13" t="s">
        <v>270</v>
      </c>
      <c r="S280" s="13" t="s">
        <v>1255</v>
      </c>
      <c r="T280" s="13" t="s">
        <v>1280</v>
      </c>
      <c r="U280" s="13"/>
      <c r="V280" s="13"/>
      <c r="W280" s="13"/>
      <c r="AN280" s="7" t="s">
        <v>70</v>
      </c>
      <c r="AO280" s="21">
        <f t="shared" si="12"/>
        <v>0</v>
      </c>
      <c r="AP280" s="7">
        <f t="shared" si="13"/>
        <v>2.2999999999999998</v>
      </c>
      <c r="AQ280" s="31" t="str">
        <f t="shared" si="14"/>
        <v>Complete - No Adjustment</v>
      </c>
    </row>
    <row r="281" spans="1:43" x14ac:dyDescent="0.2">
      <c r="A281" s="46">
        <v>271</v>
      </c>
      <c r="B281" s="13" t="s">
        <v>266</v>
      </c>
      <c r="C281" s="13" t="s">
        <v>544</v>
      </c>
      <c r="D281" s="13" t="s">
        <v>543</v>
      </c>
      <c r="E281" s="13" t="s">
        <v>1253</v>
      </c>
      <c r="F281" s="13" t="s">
        <v>180</v>
      </c>
      <c r="G281" s="13" t="s">
        <v>111</v>
      </c>
      <c r="H281" s="16">
        <v>43900</v>
      </c>
      <c r="I281" s="16">
        <v>43927</v>
      </c>
      <c r="J281" s="22">
        <v>5408.37</v>
      </c>
      <c r="K281" s="22">
        <v>301.95</v>
      </c>
      <c r="L281" s="22" t="s">
        <v>1254</v>
      </c>
      <c r="M281" s="26" t="s">
        <v>98</v>
      </c>
      <c r="N281" s="13" t="s">
        <v>230</v>
      </c>
      <c r="O281" s="13" t="s">
        <v>545</v>
      </c>
      <c r="P281" s="13" t="s">
        <v>60</v>
      </c>
      <c r="Q281" s="13" t="s">
        <v>45</v>
      </c>
      <c r="R281" s="13" t="s">
        <v>270</v>
      </c>
      <c r="S281" s="13" t="s">
        <v>1255</v>
      </c>
      <c r="T281" s="13" t="s">
        <v>1281</v>
      </c>
      <c r="U281" s="13"/>
      <c r="V281" s="13"/>
      <c r="W281" s="13"/>
      <c r="AE281" s="53">
        <f>(301.95/335.5)*(296.12-150)</f>
        <v>131.50799999999998</v>
      </c>
      <c r="AN281" s="7" t="s">
        <v>68</v>
      </c>
      <c r="AO281" s="21">
        <f t="shared" si="12"/>
        <v>131.50799999999998</v>
      </c>
      <c r="AP281" s="7">
        <f t="shared" si="13"/>
        <v>170.44200000000001</v>
      </c>
      <c r="AQ281" s="31" t="str">
        <f t="shared" si="14"/>
        <v>Complete - With Adjustment</v>
      </c>
    </row>
    <row r="282" spans="1:43" x14ac:dyDescent="0.2">
      <c r="A282" s="46">
        <v>272</v>
      </c>
      <c r="B282" s="13" t="s">
        <v>266</v>
      </c>
      <c r="C282" s="13" t="s">
        <v>544</v>
      </c>
      <c r="D282" s="13" t="s">
        <v>543</v>
      </c>
      <c r="E282" s="13" t="s">
        <v>1253</v>
      </c>
      <c r="F282" s="13" t="s">
        <v>180</v>
      </c>
      <c r="G282" s="13" t="s">
        <v>111</v>
      </c>
      <c r="H282" s="16">
        <v>43900</v>
      </c>
      <c r="I282" s="16">
        <v>43927</v>
      </c>
      <c r="J282" s="22">
        <v>5408.37</v>
      </c>
      <c r="K282" s="22">
        <v>81.52</v>
      </c>
      <c r="L282" s="22" t="s">
        <v>1254</v>
      </c>
      <c r="M282" s="26" t="s">
        <v>97</v>
      </c>
      <c r="N282" s="13" t="s">
        <v>230</v>
      </c>
      <c r="O282" s="13" t="s">
        <v>545</v>
      </c>
      <c r="P282" s="13" t="s">
        <v>42</v>
      </c>
      <c r="Q282" s="13" t="s">
        <v>41</v>
      </c>
      <c r="R282" s="13" t="s">
        <v>270</v>
      </c>
      <c r="S282" s="13" t="s">
        <v>1255</v>
      </c>
      <c r="T282" s="13" t="s">
        <v>1282</v>
      </c>
      <c r="U282" s="13"/>
      <c r="V282" s="13"/>
      <c r="W282" s="13"/>
      <c r="Y282" s="53">
        <v>81.52</v>
      </c>
      <c r="AN282" s="7" t="s">
        <v>8</v>
      </c>
      <c r="AO282" s="21">
        <f t="shared" si="12"/>
        <v>81.52</v>
      </c>
      <c r="AP282" s="7">
        <f t="shared" si="13"/>
        <v>0</v>
      </c>
      <c r="AQ282" s="31" t="str">
        <f t="shared" si="14"/>
        <v>Complete - With Adjustment</v>
      </c>
    </row>
    <row r="283" spans="1:43" x14ac:dyDescent="0.2">
      <c r="A283" s="46">
        <v>273</v>
      </c>
      <c r="B283" s="13" t="s">
        <v>266</v>
      </c>
      <c r="C283" s="13" t="s">
        <v>544</v>
      </c>
      <c r="D283" s="13" t="s">
        <v>543</v>
      </c>
      <c r="E283" s="13" t="s">
        <v>1253</v>
      </c>
      <c r="F283" s="13" t="s">
        <v>180</v>
      </c>
      <c r="G283" s="13" t="s">
        <v>111</v>
      </c>
      <c r="H283" s="16">
        <v>43900</v>
      </c>
      <c r="I283" s="16">
        <v>43927</v>
      </c>
      <c r="J283" s="22">
        <v>5408.37</v>
      </c>
      <c r="K283" s="22">
        <v>117.55</v>
      </c>
      <c r="L283" s="22" t="s">
        <v>1254</v>
      </c>
      <c r="M283" s="26" t="s">
        <v>98</v>
      </c>
      <c r="N283" s="13" t="s">
        <v>230</v>
      </c>
      <c r="O283" s="13" t="s">
        <v>545</v>
      </c>
      <c r="P283" s="13" t="s">
        <v>60</v>
      </c>
      <c r="Q283" s="13" t="s">
        <v>45</v>
      </c>
      <c r="R283" s="13" t="s">
        <v>270</v>
      </c>
      <c r="S283" s="13" t="s">
        <v>1255</v>
      </c>
      <c r="T283" s="13" t="s">
        <v>1281</v>
      </c>
      <c r="U283" s="13"/>
      <c r="V283" s="13"/>
      <c r="W283" s="13"/>
      <c r="AN283" s="7" t="s">
        <v>70</v>
      </c>
      <c r="AO283" s="21">
        <f t="shared" si="12"/>
        <v>0</v>
      </c>
      <c r="AP283" s="7">
        <f t="shared" si="13"/>
        <v>117.55</v>
      </c>
      <c r="AQ283" s="31" t="str">
        <f t="shared" si="14"/>
        <v>Complete - No Adjustment</v>
      </c>
    </row>
    <row r="284" spans="1:43" x14ac:dyDescent="0.2">
      <c r="A284" s="46">
        <v>274</v>
      </c>
      <c r="B284" s="13" t="s">
        <v>266</v>
      </c>
      <c r="C284" s="13" t="s">
        <v>544</v>
      </c>
      <c r="D284" s="13" t="s">
        <v>543</v>
      </c>
      <c r="E284" s="13" t="s">
        <v>1253</v>
      </c>
      <c r="F284" s="13" t="s">
        <v>180</v>
      </c>
      <c r="G284" s="13" t="s">
        <v>111</v>
      </c>
      <c r="H284" s="16">
        <v>43900</v>
      </c>
      <c r="I284" s="16">
        <v>43927</v>
      </c>
      <c r="J284" s="22">
        <v>5408.37</v>
      </c>
      <c r="K284" s="22">
        <v>24.02</v>
      </c>
      <c r="L284" s="22" t="s">
        <v>1254</v>
      </c>
      <c r="M284" s="26" t="s">
        <v>98</v>
      </c>
      <c r="N284" s="13" t="s">
        <v>230</v>
      </c>
      <c r="O284" s="13" t="s">
        <v>545</v>
      </c>
      <c r="P284" s="13" t="s">
        <v>60</v>
      </c>
      <c r="Q284" s="13" t="s">
        <v>41</v>
      </c>
      <c r="R284" s="13" t="s">
        <v>270</v>
      </c>
      <c r="S284" s="13" t="s">
        <v>1255</v>
      </c>
      <c r="T284" s="13" t="s">
        <v>1283</v>
      </c>
      <c r="U284" s="13"/>
      <c r="V284" s="13"/>
      <c r="W284" s="13"/>
      <c r="AL284" s="14">
        <v>24.02</v>
      </c>
      <c r="AN284" s="7" t="s">
        <v>146</v>
      </c>
      <c r="AO284" s="21">
        <f t="shared" si="12"/>
        <v>24.02</v>
      </c>
      <c r="AP284" s="7">
        <f t="shared" si="13"/>
        <v>0</v>
      </c>
      <c r="AQ284" s="31" t="str">
        <f t="shared" si="14"/>
        <v>Complete - With Adjustment</v>
      </c>
    </row>
    <row r="285" spans="1:43" x14ac:dyDescent="0.2">
      <c r="A285" s="46">
        <v>275</v>
      </c>
      <c r="B285" s="13" t="s">
        <v>266</v>
      </c>
      <c r="C285" s="13" t="s">
        <v>544</v>
      </c>
      <c r="D285" s="13" t="s">
        <v>543</v>
      </c>
      <c r="E285" s="13" t="s">
        <v>1253</v>
      </c>
      <c r="F285" s="13" t="s">
        <v>180</v>
      </c>
      <c r="G285" s="13" t="s">
        <v>111</v>
      </c>
      <c r="H285" s="16">
        <v>43900</v>
      </c>
      <c r="I285" s="16">
        <v>43927</v>
      </c>
      <c r="J285" s="22">
        <v>5408.37</v>
      </c>
      <c r="K285" s="22">
        <v>110.7</v>
      </c>
      <c r="L285" s="22" t="s">
        <v>1254</v>
      </c>
      <c r="M285" s="26" t="s">
        <v>98</v>
      </c>
      <c r="N285" s="13" t="s">
        <v>230</v>
      </c>
      <c r="O285" s="13" t="s">
        <v>545</v>
      </c>
      <c r="P285" s="13" t="s">
        <v>60</v>
      </c>
      <c r="Q285" s="13" t="s">
        <v>41</v>
      </c>
      <c r="R285" s="13" t="s">
        <v>270</v>
      </c>
      <c r="S285" s="13" t="s">
        <v>1255</v>
      </c>
      <c r="T285" s="13" t="s">
        <v>1284</v>
      </c>
      <c r="U285" s="13"/>
      <c r="V285" s="13"/>
      <c r="W285" s="13"/>
      <c r="AB285" s="14">
        <f>(110.7/122.99)*(122.99-25*3*1.0825*1.2)</f>
        <v>23.010370761850556</v>
      </c>
      <c r="AN285" s="7" t="s">
        <v>66</v>
      </c>
      <c r="AO285" s="21">
        <f t="shared" si="12"/>
        <v>23.010370761850556</v>
      </c>
      <c r="AP285" s="7">
        <f t="shared" si="13"/>
        <v>87.68962923814945</v>
      </c>
      <c r="AQ285" s="31" t="str">
        <f t="shared" si="14"/>
        <v>Complete - With Adjustment</v>
      </c>
    </row>
    <row r="286" spans="1:43" x14ac:dyDescent="0.2">
      <c r="A286" s="46">
        <v>276</v>
      </c>
      <c r="B286" s="13" t="s">
        <v>266</v>
      </c>
      <c r="C286" s="13" t="s">
        <v>544</v>
      </c>
      <c r="D286" s="13" t="s">
        <v>543</v>
      </c>
      <c r="E286" s="13" t="s">
        <v>1253</v>
      </c>
      <c r="F286" s="13" t="s">
        <v>180</v>
      </c>
      <c r="G286" s="13" t="s">
        <v>111</v>
      </c>
      <c r="H286" s="16">
        <v>43900</v>
      </c>
      <c r="I286" s="16">
        <v>43927</v>
      </c>
      <c r="J286" s="22">
        <v>5408.37</v>
      </c>
      <c r="K286" s="22">
        <v>64.8</v>
      </c>
      <c r="L286" s="22" t="s">
        <v>1254</v>
      </c>
      <c r="M286" s="26" t="s">
        <v>97</v>
      </c>
      <c r="N286" s="13" t="s">
        <v>230</v>
      </c>
      <c r="O286" s="13" t="s">
        <v>545</v>
      </c>
      <c r="P286" s="13" t="s">
        <v>42</v>
      </c>
      <c r="Q286" s="13" t="s">
        <v>41</v>
      </c>
      <c r="R286" s="13" t="s">
        <v>270</v>
      </c>
      <c r="S286" s="13" t="s">
        <v>1255</v>
      </c>
      <c r="T286" s="13" t="s">
        <v>1285</v>
      </c>
      <c r="U286" s="13"/>
      <c r="V286" s="13"/>
      <c r="W286" s="13"/>
      <c r="Y286" s="53">
        <v>64.8</v>
      </c>
      <c r="AN286" s="7" t="s">
        <v>8</v>
      </c>
      <c r="AO286" s="21">
        <f t="shared" si="12"/>
        <v>64.8</v>
      </c>
      <c r="AP286" s="7">
        <f t="shared" si="13"/>
        <v>0</v>
      </c>
      <c r="AQ286" s="31" t="str">
        <f t="shared" si="14"/>
        <v>Complete - With Adjustment</v>
      </c>
    </row>
    <row r="287" spans="1:43" x14ac:dyDescent="0.2">
      <c r="A287" s="46">
        <v>277</v>
      </c>
      <c r="B287" s="13" t="s">
        <v>266</v>
      </c>
      <c r="C287" s="13" t="s">
        <v>544</v>
      </c>
      <c r="D287" s="13" t="s">
        <v>543</v>
      </c>
      <c r="E287" s="13" t="s">
        <v>1253</v>
      </c>
      <c r="F287" s="13" t="s">
        <v>180</v>
      </c>
      <c r="G287" s="13" t="s">
        <v>111</v>
      </c>
      <c r="H287" s="16">
        <v>43900</v>
      </c>
      <c r="I287" s="16">
        <v>43927</v>
      </c>
      <c r="J287" s="22">
        <v>5408.37</v>
      </c>
      <c r="K287" s="22">
        <v>4</v>
      </c>
      <c r="L287" s="22" t="s">
        <v>1254</v>
      </c>
      <c r="M287" s="26" t="s">
        <v>98</v>
      </c>
      <c r="N287" s="13" t="s">
        <v>230</v>
      </c>
      <c r="O287" s="13" t="s">
        <v>545</v>
      </c>
      <c r="P287" s="13" t="s">
        <v>60</v>
      </c>
      <c r="Q287" s="13" t="s">
        <v>41</v>
      </c>
      <c r="R287" s="13" t="s">
        <v>270</v>
      </c>
      <c r="S287" s="13" t="s">
        <v>1255</v>
      </c>
      <c r="T287" s="13" t="s">
        <v>1280</v>
      </c>
      <c r="U287" s="13"/>
      <c r="V287" s="13"/>
      <c r="W287" s="13"/>
      <c r="AN287" s="7" t="s">
        <v>70</v>
      </c>
      <c r="AO287" s="21">
        <f t="shared" si="12"/>
        <v>0</v>
      </c>
      <c r="AP287" s="7">
        <f t="shared" si="13"/>
        <v>4</v>
      </c>
      <c r="AQ287" s="31" t="str">
        <f t="shared" si="14"/>
        <v>Complete - No Adjustment</v>
      </c>
    </row>
    <row r="288" spans="1:43" x14ac:dyDescent="0.2">
      <c r="A288" s="46">
        <v>278</v>
      </c>
      <c r="B288" s="13" t="s">
        <v>266</v>
      </c>
      <c r="C288" s="13" t="s">
        <v>544</v>
      </c>
      <c r="D288" s="13" t="s">
        <v>543</v>
      </c>
      <c r="E288" s="13" t="s">
        <v>1253</v>
      </c>
      <c r="F288" s="13" t="s">
        <v>180</v>
      </c>
      <c r="G288" s="13" t="s">
        <v>111</v>
      </c>
      <c r="H288" s="16">
        <v>43900</v>
      </c>
      <c r="I288" s="16">
        <v>43927</v>
      </c>
      <c r="J288" s="22">
        <v>5408.37</v>
      </c>
      <c r="K288" s="22">
        <v>4.2300000000000004</v>
      </c>
      <c r="L288" s="22" t="s">
        <v>1254</v>
      </c>
      <c r="M288" s="26" t="s">
        <v>98</v>
      </c>
      <c r="N288" s="13" t="s">
        <v>230</v>
      </c>
      <c r="O288" s="13" t="s">
        <v>545</v>
      </c>
      <c r="P288" s="13" t="s">
        <v>60</v>
      </c>
      <c r="Q288" s="13" t="s">
        <v>41</v>
      </c>
      <c r="R288" s="13" t="s">
        <v>270</v>
      </c>
      <c r="S288" s="13" t="s">
        <v>1255</v>
      </c>
      <c r="T288" s="13" t="s">
        <v>1280</v>
      </c>
      <c r="U288" s="13"/>
      <c r="V288" s="13"/>
      <c r="W288" s="13"/>
      <c r="AC288" s="53">
        <f>(4.23/4.71)*(4.71-2.71*1.2)</f>
        <v>1.3094140127388538</v>
      </c>
      <c r="AN288" s="7" t="s">
        <v>67</v>
      </c>
      <c r="AO288" s="21">
        <f t="shared" si="12"/>
        <v>1.3094140127388538</v>
      </c>
      <c r="AP288" s="7">
        <f t="shared" si="13"/>
        <v>2.9205859872611466</v>
      </c>
      <c r="AQ288" s="31" t="str">
        <f t="shared" si="14"/>
        <v>Complete - With Adjustment</v>
      </c>
    </row>
    <row r="289" spans="1:43" x14ac:dyDescent="0.2">
      <c r="A289" s="46">
        <v>279</v>
      </c>
      <c r="B289" s="13" t="s">
        <v>266</v>
      </c>
      <c r="C289" s="13" t="s">
        <v>544</v>
      </c>
      <c r="D289" s="13" t="s">
        <v>543</v>
      </c>
      <c r="E289" s="13" t="s">
        <v>1253</v>
      </c>
      <c r="F289" s="13" t="s">
        <v>180</v>
      </c>
      <c r="G289" s="13" t="s">
        <v>111</v>
      </c>
      <c r="H289" s="16">
        <v>43900</v>
      </c>
      <c r="I289" s="16">
        <v>43927</v>
      </c>
      <c r="J289" s="22">
        <v>5408.37</v>
      </c>
      <c r="K289" s="22">
        <v>9.61</v>
      </c>
      <c r="L289" s="22" t="s">
        <v>1254</v>
      </c>
      <c r="M289" s="26" t="s">
        <v>98</v>
      </c>
      <c r="N289" s="13" t="s">
        <v>230</v>
      </c>
      <c r="O289" s="13" t="s">
        <v>545</v>
      </c>
      <c r="P289" s="13" t="s">
        <v>60</v>
      </c>
      <c r="Q289" s="13" t="s">
        <v>41</v>
      </c>
      <c r="R289" s="13" t="s">
        <v>270</v>
      </c>
      <c r="S289" s="13" t="s">
        <v>1255</v>
      </c>
      <c r="T289" s="13" t="s">
        <v>1280</v>
      </c>
      <c r="U289" s="13"/>
      <c r="V289" s="13"/>
      <c r="W289" s="13"/>
      <c r="AN289" s="7" t="s">
        <v>70</v>
      </c>
      <c r="AO289" s="21">
        <f t="shared" si="12"/>
        <v>0</v>
      </c>
      <c r="AP289" s="7">
        <f t="shared" si="13"/>
        <v>9.61</v>
      </c>
      <c r="AQ289" s="31" t="str">
        <f t="shared" si="14"/>
        <v>Complete - No Adjustment</v>
      </c>
    </row>
    <row r="290" spans="1:43" x14ac:dyDescent="0.2">
      <c r="A290" s="46">
        <v>280</v>
      </c>
      <c r="B290" s="13" t="s">
        <v>266</v>
      </c>
      <c r="C290" s="13" t="s">
        <v>416</v>
      </c>
      <c r="D290" s="13" t="s">
        <v>415</v>
      </c>
      <c r="E290" s="13" t="s">
        <v>1286</v>
      </c>
      <c r="F290" s="13" t="s">
        <v>181</v>
      </c>
      <c r="G290" s="13" t="s">
        <v>111</v>
      </c>
      <c r="H290" s="16">
        <v>43944</v>
      </c>
      <c r="I290" s="16">
        <v>43948</v>
      </c>
      <c r="J290" s="22">
        <v>93.06</v>
      </c>
      <c r="K290" s="22">
        <v>93.06</v>
      </c>
      <c r="L290" s="22" t="s">
        <v>1287</v>
      </c>
      <c r="M290" s="26" t="s">
        <v>98</v>
      </c>
      <c r="N290" s="13" t="s">
        <v>230</v>
      </c>
      <c r="O290" s="13" t="s">
        <v>331</v>
      </c>
      <c r="P290" s="13" t="s">
        <v>60</v>
      </c>
      <c r="Q290" s="13" t="s">
        <v>46</v>
      </c>
      <c r="R290" s="13" t="s">
        <v>270</v>
      </c>
      <c r="S290" s="13" t="s">
        <v>1288</v>
      </c>
      <c r="T290" s="13" t="s">
        <v>1289</v>
      </c>
      <c r="U290" s="13"/>
      <c r="V290" s="13"/>
      <c r="W290" s="13"/>
      <c r="AI290" s="53">
        <v>93.06</v>
      </c>
      <c r="AN290" s="7" t="s">
        <v>145</v>
      </c>
      <c r="AO290" s="21">
        <f t="shared" si="12"/>
        <v>93.06</v>
      </c>
      <c r="AP290" s="7">
        <f t="shared" si="13"/>
        <v>0</v>
      </c>
      <c r="AQ290" s="31" t="str">
        <f t="shared" si="14"/>
        <v>Complete - With Adjustment</v>
      </c>
    </row>
    <row r="291" spans="1:43" x14ac:dyDescent="0.2">
      <c r="A291" s="46">
        <v>281</v>
      </c>
      <c r="B291" s="13" t="s">
        <v>266</v>
      </c>
      <c r="C291" s="13" t="s">
        <v>705</v>
      </c>
      <c r="D291" s="13" t="s">
        <v>704</v>
      </c>
      <c r="E291" s="13" t="s">
        <v>1290</v>
      </c>
      <c r="F291" s="13" t="s">
        <v>168</v>
      </c>
      <c r="G291" s="13" t="s">
        <v>111</v>
      </c>
      <c r="H291" s="16">
        <v>43903</v>
      </c>
      <c r="I291" s="16">
        <v>43938</v>
      </c>
      <c r="J291" s="22">
        <v>3900.92</v>
      </c>
      <c r="K291" s="22">
        <v>51.99</v>
      </c>
      <c r="L291" s="22" t="s">
        <v>1291</v>
      </c>
      <c r="M291" s="26" t="s">
        <v>98</v>
      </c>
      <c r="N291" s="13" t="s">
        <v>230</v>
      </c>
      <c r="O291" s="13" t="s">
        <v>347</v>
      </c>
      <c r="P291" s="13" t="s">
        <v>60</v>
      </c>
      <c r="Q291" s="13" t="s">
        <v>44</v>
      </c>
      <c r="R291" s="13" t="s">
        <v>270</v>
      </c>
      <c r="S291" s="13" t="s">
        <v>1292</v>
      </c>
      <c r="T291" s="13" t="s">
        <v>1293</v>
      </c>
      <c r="U291" s="13"/>
      <c r="V291" s="13"/>
      <c r="W291" s="13"/>
      <c r="AN291" s="7" t="s">
        <v>70</v>
      </c>
      <c r="AO291" s="21">
        <f t="shared" si="12"/>
        <v>0</v>
      </c>
      <c r="AP291" s="7">
        <f t="shared" si="13"/>
        <v>51.99</v>
      </c>
      <c r="AQ291" s="31" t="str">
        <f t="shared" si="14"/>
        <v>Complete - No Adjustment</v>
      </c>
    </row>
    <row r="292" spans="1:43" x14ac:dyDescent="0.2">
      <c r="A292" s="46">
        <v>282</v>
      </c>
      <c r="B292" s="13" t="s">
        <v>266</v>
      </c>
      <c r="C292" s="13" t="s">
        <v>705</v>
      </c>
      <c r="D292" s="13" t="s">
        <v>704</v>
      </c>
      <c r="E292" s="13" t="s">
        <v>1290</v>
      </c>
      <c r="F292" s="13" t="s">
        <v>168</v>
      </c>
      <c r="G292" s="13" t="s">
        <v>111</v>
      </c>
      <c r="H292" s="16">
        <v>43903</v>
      </c>
      <c r="I292" s="16">
        <v>43938</v>
      </c>
      <c r="J292" s="22">
        <v>3900.92</v>
      </c>
      <c r="K292" s="22">
        <v>14.8</v>
      </c>
      <c r="L292" s="22" t="s">
        <v>1291</v>
      </c>
      <c r="M292" s="26" t="s">
        <v>98</v>
      </c>
      <c r="N292" s="13" t="s">
        <v>230</v>
      </c>
      <c r="O292" s="13" t="s">
        <v>347</v>
      </c>
      <c r="P292" s="13" t="s">
        <v>60</v>
      </c>
      <c r="Q292" s="13" t="s">
        <v>44</v>
      </c>
      <c r="R292" s="13" t="s">
        <v>270</v>
      </c>
      <c r="S292" s="13" t="s">
        <v>1292</v>
      </c>
      <c r="T292" s="13" t="s">
        <v>1294</v>
      </c>
      <c r="U292" s="13"/>
      <c r="V292" s="13"/>
      <c r="W292" s="13"/>
      <c r="AN292" s="7" t="s">
        <v>70</v>
      </c>
      <c r="AO292" s="21">
        <f t="shared" si="12"/>
        <v>0</v>
      </c>
      <c r="AP292" s="7">
        <f t="shared" si="13"/>
        <v>14.8</v>
      </c>
      <c r="AQ292" s="31" t="str">
        <f t="shared" si="14"/>
        <v>Complete - No Adjustment</v>
      </c>
    </row>
    <row r="293" spans="1:43" x14ac:dyDescent="0.2">
      <c r="A293" s="46">
        <v>283</v>
      </c>
      <c r="B293" s="13" t="s">
        <v>266</v>
      </c>
      <c r="C293" s="13" t="s">
        <v>705</v>
      </c>
      <c r="D293" s="13" t="s">
        <v>704</v>
      </c>
      <c r="E293" s="13" t="s">
        <v>1290</v>
      </c>
      <c r="F293" s="13" t="s">
        <v>168</v>
      </c>
      <c r="G293" s="13" t="s">
        <v>111</v>
      </c>
      <c r="H293" s="16">
        <v>43903</v>
      </c>
      <c r="I293" s="16">
        <v>43938</v>
      </c>
      <c r="J293" s="22">
        <v>3900.92</v>
      </c>
      <c r="K293" s="22">
        <v>5.63</v>
      </c>
      <c r="L293" s="22" t="s">
        <v>1291</v>
      </c>
      <c r="M293" s="26" t="s">
        <v>98</v>
      </c>
      <c r="N293" s="13" t="s">
        <v>230</v>
      </c>
      <c r="O293" s="13" t="s">
        <v>347</v>
      </c>
      <c r="P293" s="13" t="s">
        <v>60</v>
      </c>
      <c r="Q293" s="13" t="s">
        <v>44</v>
      </c>
      <c r="R293" s="13" t="s">
        <v>270</v>
      </c>
      <c r="S293" s="13" t="s">
        <v>1292</v>
      </c>
      <c r="T293" s="13" t="s">
        <v>1295</v>
      </c>
      <c r="U293" s="13"/>
      <c r="V293" s="13"/>
      <c r="W293" s="13"/>
      <c r="AN293" s="7" t="s">
        <v>70</v>
      </c>
      <c r="AO293" s="21">
        <f t="shared" si="12"/>
        <v>0</v>
      </c>
      <c r="AP293" s="7">
        <f t="shared" si="13"/>
        <v>5.63</v>
      </c>
      <c r="AQ293" s="31" t="str">
        <f t="shared" si="14"/>
        <v>Complete - No Adjustment</v>
      </c>
    </row>
    <row r="294" spans="1:43" x14ac:dyDescent="0.2">
      <c r="A294" s="46">
        <v>284</v>
      </c>
      <c r="B294" s="13" t="s">
        <v>266</v>
      </c>
      <c r="C294" s="13" t="s">
        <v>705</v>
      </c>
      <c r="D294" s="13" t="s">
        <v>704</v>
      </c>
      <c r="E294" s="13" t="s">
        <v>1290</v>
      </c>
      <c r="F294" s="13" t="s">
        <v>168</v>
      </c>
      <c r="G294" s="13" t="s">
        <v>111</v>
      </c>
      <c r="H294" s="16">
        <v>43903</v>
      </c>
      <c r="I294" s="16">
        <v>43938</v>
      </c>
      <c r="J294" s="22">
        <v>3900.92</v>
      </c>
      <c r="K294" s="22">
        <v>17.600000000000001</v>
      </c>
      <c r="L294" s="22" t="s">
        <v>1291</v>
      </c>
      <c r="M294" s="26" t="s">
        <v>98</v>
      </c>
      <c r="N294" s="13" t="s">
        <v>230</v>
      </c>
      <c r="O294" s="13" t="s">
        <v>347</v>
      </c>
      <c r="P294" s="13" t="s">
        <v>60</v>
      </c>
      <c r="Q294" s="13" t="s">
        <v>44</v>
      </c>
      <c r="R294" s="13" t="s">
        <v>270</v>
      </c>
      <c r="S294" s="13" t="s">
        <v>1292</v>
      </c>
      <c r="T294" s="13" t="s">
        <v>1296</v>
      </c>
      <c r="U294" s="13"/>
      <c r="V294" s="13"/>
      <c r="W294" s="13"/>
      <c r="AN294" s="7" t="s">
        <v>70</v>
      </c>
      <c r="AO294" s="21">
        <f t="shared" si="12"/>
        <v>0</v>
      </c>
      <c r="AP294" s="7">
        <f t="shared" si="13"/>
        <v>17.600000000000001</v>
      </c>
      <c r="AQ294" s="31" t="str">
        <f t="shared" si="14"/>
        <v>Complete - No Adjustment</v>
      </c>
    </row>
    <row r="295" spans="1:43" x14ac:dyDescent="0.2">
      <c r="A295" s="46">
        <v>285</v>
      </c>
      <c r="B295" s="13" t="s">
        <v>266</v>
      </c>
      <c r="C295" s="13" t="s">
        <v>705</v>
      </c>
      <c r="D295" s="13" t="s">
        <v>704</v>
      </c>
      <c r="E295" s="13" t="s">
        <v>1290</v>
      </c>
      <c r="F295" s="13" t="s">
        <v>168</v>
      </c>
      <c r="G295" s="13" t="s">
        <v>111</v>
      </c>
      <c r="H295" s="16">
        <v>43903</v>
      </c>
      <c r="I295" s="16">
        <v>43938</v>
      </c>
      <c r="J295" s="22">
        <v>3900.92</v>
      </c>
      <c r="K295" s="22">
        <v>182</v>
      </c>
      <c r="L295" s="22" t="s">
        <v>1291</v>
      </c>
      <c r="M295" s="26" t="s">
        <v>98</v>
      </c>
      <c r="N295" s="13" t="s">
        <v>230</v>
      </c>
      <c r="O295" s="13" t="s">
        <v>347</v>
      </c>
      <c r="P295" s="13" t="s">
        <v>60</v>
      </c>
      <c r="Q295" s="13" t="s">
        <v>44</v>
      </c>
      <c r="R295" s="13" t="s">
        <v>270</v>
      </c>
      <c r="S295" s="13" t="s">
        <v>1292</v>
      </c>
      <c r="T295" s="13" t="s">
        <v>1297</v>
      </c>
      <c r="U295" s="13"/>
      <c r="V295" s="13"/>
      <c r="W295" s="13"/>
      <c r="AN295" s="7" t="s">
        <v>70</v>
      </c>
      <c r="AO295" s="21">
        <f t="shared" si="12"/>
        <v>0</v>
      </c>
      <c r="AP295" s="7">
        <f t="shared" si="13"/>
        <v>182</v>
      </c>
      <c r="AQ295" s="31" t="str">
        <f t="shared" si="14"/>
        <v>Complete - No Adjustment</v>
      </c>
    </row>
    <row r="296" spans="1:43" x14ac:dyDescent="0.2">
      <c r="A296" s="46">
        <v>286</v>
      </c>
      <c r="B296" s="13" t="s">
        <v>266</v>
      </c>
      <c r="C296" s="13" t="s">
        <v>705</v>
      </c>
      <c r="D296" s="13" t="s">
        <v>704</v>
      </c>
      <c r="E296" s="13" t="s">
        <v>1290</v>
      </c>
      <c r="F296" s="13" t="s">
        <v>168</v>
      </c>
      <c r="G296" s="13" t="s">
        <v>111</v>
      </c>
      <c r="H296" s="16">
        <v>43903</v>
      </c>
      <c r="I296" s="16">
        <v>43938</v>
      </c>
      <c r="J296" s="22">
        <v>3900.92</v>
      </c>
      <c r="K296" s="22">
        <v>6.31</v>
      </c>
      <c r="L296" s="22" t="s">
        <v>1291</v>
      </c>
      <c r="M296" s="26" t="s">
        <v>98</v>
      </c>
      <c r="N296" s="13" t="s">
        <v>230</v>
      </c>
      <c r="O296" s="13" t="s">
        <v>347</v>
      </c>
      <c r="P296" s="13" t="s">
        <v>60</v>
      </c>
      <c r="Q296" s="13" t="s">
        <v>44</v>
      </c>
      <c r="R296" s="13" t="s">
        <v>270</v>
      </c>
      <c r="S296" s="13" t="s">
        <v>1292</v>
      </c>
      <c r="T296" s="13" t="s">
        <v>1298</v>
      </c>
      <c r="U296" s="13"/>
      <c r="V296" s="13"/>
      <c r="W296" s="13"/>
      <c r="AN296" s="7" t="s">
        <v>70</v>
      </c>
      <c r="AO296" s="21">
        <f t="shared" ref="AO296:AO359" si="15">SUM(Y296:AL296)</f>
        <v>0</v>
      </c>
      <c r="AP296" s="7">
        <f t="shared" ref="AP296:AP359" si="16">K296-AO296</f>
        <v>6.31</v>
      </c>
      <c r="AQ296" s="31" t="str">
        <f t="shared" si="14"/>
        <v>Complete - No Adjustment</v>
      </c>
    </row>
    <row r="297" spans="1:43" x14ac:dyDescent="0.2">
      <c r="A297" s="46">
        <v>287</v>
      </c>
      <c r="B297" s="13" t="s">
        <v>266</v>
      </c>
      <c r="C297" s="13" t="s">
        <v>705</v>
      </c>
      <c r="D297" s="13" t="s">
        <v>704</v>
      </c>
      <c r="E297" s="13" t="s">
        <v>1290</v>
      </c>
      <c r="F297" s="13" t="s">
        <v>168</v>
      </c>
      <c r="G297" s="13" t="s">
        <v>111</v>
      </c>
      <c r="H297" s="16">
        <v>43903</v>
      </c>
      <c r="I297" s="16">
        <v>43938</v>
      </c>
      <c r="J297" s="22">
        <v>3900.92</v>
      </c>
      <c r="K297" s="22">
        <v>55.55</v>
      </c>
      <c r="L297" s="22" t="s">
        <v>1291</v>
      </c>
      <c r="M297" s="26" t="s">
        <v>98</v>
      </c>
      <c r="N297" s="13" t="s">
        <v>230</v>
      </c>
      <c r="O297" s="13" t="s">
        <v>347</v>
      </c>
      <c r="P297" s="13" t="s">
        <v>60</v>
      </c>
      <c r="Q297" s="13" t="s">
        <v>45</v>
      </c>
      <c r="R297" s="13" t="s">
        <v>270</v>
      </c>
      <c r="S297" s="13" t="s">
        <v>1292</v>
      </c>
      <c r="T297" s="13" t="s">
        <v>1299</v>
      </c>
      <c r="U297" s="13"/>
      <c r="V297" s="13"/>
      <c r="W297" s="13"/>
      <c r="AN297" s="7" t="s">
        <v>70</v>
      </c>
      <c r="AO297" s="21">
        <f t="shared" si="15"/>
        <v>0</v>
      </c>
      <c r="AP297" s="7">
        <f t="shared" si="16"/>
        <v>55.55</v>
      </c>
      <c r="AQ297" s="31" t="str">
        <f t="shared" si="14"/>
        <v>Complete - No Adjustment</v>
      </c>
    </row>
    <row r="298" spans="1:43" x14ac:dyDescent="0.2">
      <c r="A298" s="46">
        <v>288</v>
      </c>
      <c r="B298" s="13" t="s">
        <v>266</v>
      </c>
      <c r="C298" s="13" t="s">
        <v>705</v>
      </c>
      <c r="D298" s="13" t="s">
        <v>704</v>
      </c>
      <c r="E298" s="13" t="s">
        <v>1290</v>
      </c>
      <c r="F298" s="13" t="s">
        <v>168</v>
      </c>
      <c r="G298" s="13" t="s">
        <v>111</v>
      </c>
      <c r="H298" s="16">
        <v>43903</v>
      </c>
      <c r="I298" s="16">
        <v>43938</v>
      </c>
      <c r="J298" s="22">
        <v>3900.92</v>
      </c>
      <c r="K298" s="22">
        <v>10.14</v>
      </c>
      <c r="L298" s="22" t="s">
        <v>1291</v>
      </c>
      <c r="M298" s="26" t="s">
        <v>98</v>
      </c>
      <c r="N298" s="13" t="s">
        <v>230</v>
      </c>
      <c r="O298" s="13" t="s">
        <v>347</v>
      </c>
      <c r="P298" s="13" t="s">
        <v>60</v>
      </c>
      <c r="Q298" s="13" t="s">
        <v>41</v>
      </c>
      <c r="R298" s="13" t="s">
        <v>270</v>
      </c>
      <c r="S298" s="13" t="s">
        <v>1292</v>
      </c>
      <c r="T298" s="13" t="s">
        <v>1300</v>
      </c>
      <c r="U298" s="13"/>
      <c r="V298" s="13"/>
      <c r="W298" s="13"/>
      <c r="AL298" s="14">
        <v>10.14</v>
      </c>
      <c r="AN298" s="7" t="s">
        <v>146</v>
      </c>
      <c r="AO298" s="21">
        <f t="shared" si="15"/>
        <v>10.14</v>
      </c>
      <c r="AP298" s="7">
        <f t="shared" si="16"/>
        <v>0</v>
      </c>
      <c r="AQ298" s="31" t="str">
        <f t="shared" si="14"/>
        <v>Complete - With Adjustment</v>
      </c>
    </row>
    <row r="299" spans="1:43" x14ac:dyDescent="0.2">
      <c r="A299" s="46">
        <v>289</v>
      </c>
      <c r="B299" s="13" t="s">
        <v>266</v>
      </c>
      <c r="C299" s="13" t="s">
        <v>705</v>
      </c>
      <c r="D299" s="13" t="s">
        <v>704</v>
      </c>
      <c r="E299" s="13" t="s">
        <v>1290</v>
      </c>
      <c r="F299" s="13" t="s">
        <v>168</v>
      </c>
      <c r="G299" s="13" t="s">
        <v>111</v>
      </c>
      <c r="H299" s="16">
        <v>43903</v>
      </c>
      <c r="I299" s="16">
        <v>43938</v>
      </c>
      <c r="J299" s="22">
        <v>3900.92</v>
      </c>
      <c r="K299" s="22">
        <v>2.5299999999999998</v>
      </c>
      <c r="L299" s="22" t="s">
        <v>1291</v>
      </c>
      <c r="M299" s="26" t="s">
        <v>98</v>
      </c>
      <c r="N299" s="13" t="s">
        <v>230</v>
      </c>
      <c r="O299" s="13" t="s">
        <v>347</v>
      </c>
      <c r="P299" s="13" t="s">
        <v>60</v>
      </c>
      <c r="Q299" s="13" t="s">
        <v>41</v>
      </c>
      <c r="R299" s="13" t="s">
        <v>270</v>
      </c>
      <c r="S299" s="13" t="s">
        <v>1292</v>
      </c>
      <c r="T299" s="13" t="s">
        <v>1301</v>
      </c>
      <c r="U299" s="13"/>
      <c r="V299" s="13"/>
      <c r="W299" s="13"/>
      <c r="AL299" s="14">
        <v>2.5299999999999998</v>
      </c>
      <c r="AN299" s="7" t="s">
        <v>146</v>
      </c>
      <c r="AO299" s="21">
        <f t="shared" si="15"/>
        <v>2.5299999999999998</v>
      </c>
      <c r="AP299" s="7">
        <f t="shared" si="16"/>
        <v>0</v>
      </c>
      <c r="AQ299" s="31" t="str">
        <f t="shared" si="14"/>
        <v>Complete - With Adjustment</v>
      </c>
    </row>
    <row r="300" spans="1:43" x14ac:dyDescent="0.2">
      <c r="A300" s="46">
        <v>290</v>
      </c>
      <c r="B300" s="13" t="s">
        <v>266</v>
      </c>
      <c r="C300" s="13" t="s">
        <v>705</v>
      </c>
      <c r="D300" s="13" t="s">
        <v>704</v>
      </c>
      <c r="E300" s="13" t="s">
        <v>1290</v>
      </c>
      <c r="F300" s="13" t="s">
        <v>168</v>
      </c>
      <c r="G300" s="13" t="s">
        <v>111</v>
      </c>
      <c r="H300" s="16">
        <v>43903</v>
      </c>
      <c r="I300" s="16">
        <v>43938</v>
      </c>
      <c r="J300" s="22">
        <v>3900.92</v>
      </c>
      <c r="K300" s="22">
        <v>12.96</v>
      </c>
      <c r="L300" s="22" t="s">
        <v>1291</v>
      </c>
      <c r="M300" s="26" t="s">
        <v>98</v>
      </c>
      <c r="N300" s="13" t="s">
        <v>230</v>
      </c>
      <c r="O300" s="13" t="s">
        <v>347</v>
      </c>
      <c r="P300" s="13" t="s">
        <v>60</v>
      </c>
      <c r="Q300" s="13" t="s">
        <v>41</v>
      </c>
      <c r="R300" s="13" t="s">
        <v>270</v>
      </c>
      <c r="S300" s="13" t="s">
        <v>1292</v>
      </c>
      <c r="T300" s="13" t="s">
        <v>1302</v>
      </c>
      <c r="U300" s="13"/>
      <c r="V300" s="13"/>
      <c r="W300" s="13"/>
      <c r="AL300" s="14">
        <v>12.96</v>
      </c>
      <c r="AN300" s="7" t="s">
        <v>146</v>
      </c>
      <c r="AO300" s="21">
        <f t="shared" si="15"/>
        <v>12.96</v>
      </c>
      <c r="AP300" s="7">
        <f t="shared" si="16"/>
        <v>0</v>
      </c>
      <c r="AQ300" s="31" t="str">
        <f t="shared" si="14"/>
        <v>Complete - With Adjustment</v>
      </c>
    </row>
    <row r="301" spans="1:43" x14ac:dyDescent="0.2">
      <c r="A301" s="46">
        <v>291</v>
      </c>
      <c r="B301" s="13" t="s">
        <v>266</v>
      </c>
      <c r="C301" s="13" t="s">
        <v>705</v>
      </c>
      <c r="D301" s="13" t="s">
        <v>704</v>
      </c>
      <c r="E301" s="13" t="s">
        <v>1290</v>
      </c>
      <c r="F301" s="13" t="s">
        <v>168</v>
      </c>
      <c r="G301" s="13" t="s">
        <v>111</v>
      </c>
      <c r="H301" s="16">
        <v>43903</v>
      </c>
      <c r="I301" s="16">
        <v>43938</v>
      </c>
      <c r="J301" s="22">
        <v>3900.92</v>
      </c>
      <c r="K301" s="22">
        <v>98.7</v>
      </c>
      <c r="L301" s="22" t="s">
        <v>1291</v>
      </c>
      <c r="M301" s="26" t="s">
        <v>98</v>
      </c>
      <c r="N301" s="13" t="s">
        <v>230</v>
      </c>
      <c r="O301" s="13" t="s">
        <v>347</v>
      </c>
      <c r="P301" s="13" t="s">
        <v>60</v>
      </c>
      <c r="Q301" s="13" t="s">
        <v>45</v>
      </c>
      <c r="R301" s="13" t="s">
        <v>270</v>
      </c>
      <c r="S301" s="13" t="s">
        <v>1292</v>
      </c>
      <c r="T301" s="13" t="s">
        <v>1303</v>
      </c>
      <c r="U301" s="13"/>
      <c r="V301" s="13"/>
      <c r="W301" s="13"/>
      <c r="AE301" s="53">
        <f>(98.7/246.75)*(189-150)</f>
        <v>15.600000000000001</v>
      </c>
      <c r="AN301" s="7" t="s">
        <v>68</v>
      </c>
      <c r="AO301" s="21">
        <f t="shared" si="15"/>
        <v>15.600000000000001</v>
      </c>
      <c r="AP301" s="7">
        <f t="shared" si="16"/>
        <v>83.1</v>
      </c>
      <c r="AQ301" s="31" t="str">
        <f t="shared" si="14"/>
        <v>Complete - With Adjustment</v>
      </c>
    </row>
    <row r="302" spans="1:43" x14ac:dyDescent="0.2">
      <c r="A302" s="46">
        <v>292</v>
      </c>
      <c r="B302" s="13" t="s">
        <v>266</v>
      </c>
      <c r="C302" s="13" t="s">
        <v>705</v>
      </c>
      <c r="D302" s="13" t="s">
        <v>704</v>
      </c>
      <c r="E302" s="13" t="s">
        <v>1290</v>
      </c>
      <c r="F302" s="13" t="s">
        <v>168</v>
      </c>
      <c r="G302" s="13" t="s">
        <v>111</v>
      </c>
      <c r="H302" s="16">
        <v>43903</v>
      </c>
      <c r="I302" s="16">
        <v>43938</v>
      </c>
      <c r="J302" s="22">
        <v>3900.92</v>
      </c>
      <c r="K302" s="22">
        <v>3.55</v>
      </c>
      <c r="L302" s="22" t="s">
        <v>1291</v>
      </c>
      <c r="M302" s="26" t="s">
        <v>98</v>
      </c>
      <c r="N302" s="13" t="s">
        <v>230</v>
      </c>
      <c r="O302" s="13" t="s">
        <v>347</v>
      </c>
      <c r="P302" s="13" t="s">
        <v>60</v>
      </c>
      <c r="Q302" s="13" t="s">
        <v>44</v>
      </c>
      <c r="R302" s="13" t="s">
        <v>270</v>
      </c>
      <c r="S302" s="13" t="s">
        <v>1292</v>
      </c>
      <c r="T302" s="13" t="s">
        <v>1295</v>
      </c>
      <c r="U302" s="13"/>
      <c r="V302" s="13"/>
      <c r="W302" s="13"/>
      <c r="AN302" s="7" t="s">
        <v>70</v>
      </c>
      <c r="AO302" s="21">
        <f t="shared" si="15"/>
        <v>0</v>
      </c>
      <c r="AP302" s="7">
        <f t="shared" si="16"/>
        <v>3.55</v>
      </c>
      <c r="AQ302" s="31" t="str">
        <f t="shared" si="14"/>
        <v>Complete - No Adjustment</v>
      </c>
    </row>
    <row r="303" spans="1:43" x14ac:dyDescent="0.2">
      <c r="A303" s="46">
        <v>293</v>
      </c>
      <c r="B303" s="13" t="s">
        <v>266</v>
      </c>
      <c r="C303" s="13" t="s">
        <v>705</v>
      </c>
      <c r="D303" s="13" t="s">
        <v>704</v>
      </c>
      <c r="E303" s="13" t="s">
        <v>1290</v>
      </c>
      <c r="F303" s="13" t="s">
        <v>168</v>
      </c>
      <c r="G303" s="13" t="s">
        <v>111</v>
      </c>
      <c r="H303" s="16">
        <v>43903</v>
      </c>
      <c r="I303" s="16">
        <v>43938</v>
      </c>
      <c r="J303" s="22">
        <v>3900.92</v>
      </c>
      <c r="K303" s="22">
        <v>30.5</v>
      </c>
      <c r="L303" s="22" t="s">
        <v>1291</v>
      </c>
      <c r="M303" s="26" t="s">
        <v>98</v>
      </c>
      <c r="N303" s="13" t="s">
        <v>230</v>
      </c>
      <c r="O303" s="13" t="s">
        <v>347</v>
      </c>
      <c r="P303" s="13" t="s">
        <v>60</v>
      </c>
      <c r="Q303" s="13" t="s">
        <v>41</v>
      </c>
      <c r="R303" s="13" t="s">
        <v>270</v>
      </c>
      <c r="S303" s="13" t="s">
        <v>1292</v>
      </c>
      <c r="T303" s="13" t="s">
        <v>1304</v>
      </c>
      <c r="U303" s="13"/>
      <c r="V303" s="13"/>
      <c r="W303" s="13"/>
      <c r="AB303" s="14">
        <f>(30.5/76.26)*(57.56-25*2)</f>
        <v>3.0236034618410708</v>
      </c>
      <c r="AN303" s="7" t="s">
        <v>66</v>
      </c>
      <c r="AO303" s="21">
        <f t="shared" si="15"/>
        <v>3.0236034618410708</v>
      </c>
      <c r="AP303" s="7">
        <f t="shared" si="16"/>
        <v>27.47639653815893</v>
      </c>
      <c r="AQ303" s="31" t="str">
        <f t="shared" si="14"/>
        <v>Complete - With Adjustment</v>
      </c>
    </row>
    <row r="304" spans="1:43" x14ac:dyDescent="0.2">
      <c r="A304" s="46">
        <v>294</v>
      </c>
      <c r="B304" s="13" t="s">
        <v>266</v>
      </c>
      <c r="C304" s="13" t="s">
        <v>705</v>
      </c>
      <c r="D304" s="13" t="s">
        <v>704</v>
      </c>
      <c r="E304" s="13" t="s">
        <v>1290</v>
      </c>
      <c r="F304" s="13" t="s">
        <v>168</v>
      </c>
      <c r="G304" s="13" t="s">
        <v>111</v>
      </c>
      <c r="H304" s="16">
        <v>43903</v>
      </c>
      <c r="I304" s="16">
        <v>43938</v>
      </c>
      <c r="J304" s="22">
        <v>3900.92</v>
      </c>
      <c r="K304" s="22">
        <v>32.1</v>
      </c>
      <c r="L304" s="22" t="s">
        <v>1291</v>
      </c>
      <c r="M304" s="26" t="s">
        <v>98</v>
      </c>
      <c r="N304" s="13" t="s">
        <v>230</v>
      </c>
      <c r="O304" s="13" t="s">
        <v>347</v>
      </c>
      <c r="P304" s="13" t="s">
        <v>60</v>
      </c>
      <c r="Q304" s="13" t="s">
        <v>41</v>
      </c>
      <c r="R304" s="13" t="s">
        <v>270</v>
      </c>
      <c r="S304" s="13" t="s">
        <v>1292</v>
      </c>
      <c r="T304" s="13" t="s">
        <v>1305</v>
      </c>
      <c r="U304" s="13"/>
      <c r="V304" s="13"/>
      <c r="W304" s="13"/>
      <c r="AC304" s="53">
        <f>(32.1/80.24)*(80.24-66.24*1.2)</f>
        <v>0.3008374875373917</v>
      </c>
      <c r="AN304" s="7" t="s">
        <v>67</v>
      </c>
      <c r="AO304" s="21">
        <f t="shared" si="15"/>
        <v>0.3008374875373917</v>
      </c>
      <c r="AP304" s="7">
        <f t="shared" si="16"/>
        <v>31.799162512462608</v>
      </c>
      <c r="AQ304" s="31" t="str">
        <f t="shared" si="14"/>
        <v>Complete - With Adjustment</v>
      </c>
    </row>
    <row r="305" spans="1:43" x14ac:dyDescent="0.2">
      <c r="A305" s="46">
        <v>295</v>
      </c>
      <c r="B305" s="13" t="s">
        <v>266</v>
      </c>
      <c r="C305" s="13" t="s">
        <v>705</v>
      </c>
      <c r="D305" s="13" t="s">
        <v>704</v>
      </c>
      <c r="E305" s="13" t="s">
        <v>1290</v>
      </c>
      <c r="F305" s="13" t="s">
        <v>168</v>
      </c>
      <c r="G305" s="13" t="s">
        <v>111</v>
      </c>
      <c r="H305" s="16">
        <v>43903</v>
      </c>
      <c r="I305" s="16">
        <v>43938</v>
      </c>
      <c r="J305" s="22">
        <v>3900.92</v>
      </c>
      <c r="K305" s="22">
        <v>192.68</v>
      </c>
      <c r="L305" s="22" t="s">
        <v>1291</v>
      </c>
      <c r="M305" s="26" t="s">
        <v>98</v>
      </c>
      <c r="N305" s="13" t="s">
        <v>230</v>
      </c>
      <c r="O305" s="13" t="s">
        <v>347</v>
      </c>
      <c r="P305" s="13" t="s">
        <v>60</v>
      </c>
      <c r="Q305" s="13" t="s">
        <v>44</v>
      </c>
      <c r="R305" s="13" t="s">
        <v>270</v>
      </c>
      <c r="S305" s="13" t="s">
        <v>1292</v>
      </c>
      <c r="T305" s="13" t="s">
        <v>1306</v>
      </c>
      <c r="U305" s="13"/>
      <c r="V305" s="13"/>
      <c r="W305" s="13"/>
      <c r="AN305" s="7" t="s">
        <v>70</v>
      </c>
      <c r="AO305" s="21">
        <f t="shared" si="15"/>
        <v>0</v>
      </c>
      <c r="AP305" s="7">
        <f t="shared" si="16"/>
        <v>192.68</v>
      </c>
      <c r="AQ305" s="31" t="str">
        <f t="shared" si="14"/>
        <v>Complete - No Adjustment</v>
      </c>
    </row>
    <row r="306" spans="1:43" x14ac:dyDescent="0.2">
      <c r="A306" s="46">
        <v>296</v>
      </c>
      <c r="B306" s="13" t="s">
        <v>266</v>
      </c>
      <c r="C306" s="13" t="s">
        <v>705</v>
      </c>
      <c r="D306" s="13" t="s">
        <v>704</v>
      </c>
      <c r="E306" s="13" t="s">
        <v>1290</v>
      </c>
      <c r="F306" s="13" t="s">
        <v>168</v>
      </c>
      <c r="G306" s="13" t="s">
        <v>111</v>
      </c>
      <c r="H306" s="16">
        <v>43903</v>
      </c>
      <c r="I306" s="16">
        <v>43938</v>
      </c>
      <c r="J306" s="22">
        <v>3900.92</v>
      </c>
      <c r="K306" s="22">
        <v>3.7</v>
      </c>
      <c r="L306" s="22" t="s">
        <v>1291</v>
      </c>
      <c r="M306" s="26" t="s">
        <v>98</v>
      </c>
      <c r="N306" s="13" t="s">
        <v>230</v>
      </c>
      <c r="O306" s="13" t="s">
        <v>347</v>
      </c>
      <c r="P306" s="13" t="s">
        <v>60</v>
      </c>
      <c r="Q306" s="13" t="s">
        <v>44</v>
      </c>
      <c r="R306" s="13" t="s">
        <v>270</v>
      </c>
      <c r="S306" s="13" t="s">
        <v>1292</v>
      </c>
      <c r="T306" s="13" t="s">
        <v>1307</v>
      </c>
      <c r="U306" s="13"/>
      <c r="V306" s="13"/>
      <c r="W306" s="13"/>
      <c r="AN306" s="7" t="s">
        <v>70</v>
      </c>
      <c r="AO306" s="21">
        <f t="shared" si="15"/>
        <v>0</v>
      </c>
      <c r="AP306" s="7">
        <f t="shared" si="16"/>
        <v>3.7</v>
      </c>
      <c r="AQ306" s="31" t="str">
        <f t="shared" si="14"/>
        <v>Complete - No Adjustment</v>
      </c>
    </row>
    <row r="307" spans="1:43" x14ac:dyDescent="0.2">
      <c r="A307" s="46">
        <v>297</v>
      </c>
      <c r="B307" s="13" t="s">
        <v>266</v>
      </c>
      <c r="C307" s="13" t="s">
        <v>705</v>
      </c>
      <c r="D307" s="13" t="s">
        <v>704</v>
      </c>
      <c r="E307" s="13" t="s">
        <v>1290</v>
      </c>
      <c r="F307" s="13" t="s">
        <v>168</v>
      </c>
      <c r="G307" s="13" t="s">
        <v>111</v>
      </c>
      <c r="H307" s="16">
        <v>43903</v>
      </c>
      <c r="I307" s="16">
        <v>43938</v>
      </c>
      <c r="J307" s="22">
        <v>3900.92</v>
      </c>
      <c r="K307" s="22">
        <v>26.4</v>
      </c>
      <c r="L307" s="22" t="s">
        <v>1291</v>
      </c>
      <c r="M307" s="26" t="s">
        <v>98</v>
      </c>
      <c r="N307" s="13" t="s">
        <v>230</v>
      </c>
      <c r="O307" s="13" t="s">
        <v>347</v>
      </c>
      <c r="P307" s="13" t="s">
        <v>60</v>
      </c>
      <c r="Q307" s="13" t="s">
        <v>44</v>
      </c>
      <c r="R307" s="13" t="s">
        <v>270</v>
      </c>
      <c r="S307" s="13" t="s">
        <v>1292</v>
      </c>
      <c r="T307" s="13" t="s">
        <v>1308</v>
      </c>
      <c r="U307" s="13"/>
      <c r="V307" s="13"/>
      <c r="W307" s="13"/>
      <c r="AN307" s="7" t="s">
        <v>70</v>
      </c>
      <c r="AO307" s="21">
        <f t="shared" si="15"/>
        <v>0</v>
      </c>
      <c r="AP307" s="7">
        <f t="shared" si="16"/>
        <v>26.4</v>
      </c>
      <c r="AQ307" s="31" t="str">
        <f t="shared" si="14"/>
        <v>Complete - No Adjustment</v>
      </c>
    </row>
    <row r="308" spans="1:43" x14ac:dyDescent="0.2">
      <c r="A308" s="46">
        <v>298</v>
      </c>
      <c r="B308" s="13" t="s">
        <v>266</v>
      </c>
      <c r="C308" s="13" t="s">
        <v>705</v>
      </c>
      <c r="D308" s="13" t="s">
        <v>704</v>
      </c>
      <c r="E308" s="13" t="s">
        <v>1290</v>
      </c>
      <c r="F308" s="13" t="s">
        <v>168</v>
      </c>
      <c r="G308" s="13" t="s">
        <v>111</v>
      </c>
      <c r="H308" s="16">
        <v>43903</v>
      </c>
      <c r="I308" s="16">
        <v>43938</v>
      </c>
      <c r="J308" s="22">
        <v>3900.92</v>
      </c>
      <c r="K308" s="22">
        <v>54.8</v>
      </c>
      <c r="L308" s="22" t="s">
        <v>1291</v>
      </c>
      <c r="M308" s="26" t="s">
        <v>98</v>
      </c>
      <c r="N308" s="13" t="s">
        <v>230</v>
      </c>
      <c r="O308" s="13" t="s">
        <v>347</v>
      </c>
      <c r="P308" s="13" t="s">
        <v>60</v>
      </c>
      <c r="Q308" s="13" t="s">
        <v>44</v>
      </c>
      <c r="R308" s="13" t="s">
        <v>270</v>
      </c>
      <c r="S308" s="13" t="s">
        <v>1292</v>
      </c>
      <c r="T308" s="13" t="s">
        <v>1309</v>
      </c>
      <c r="U308" s="13"/>
      <c r="V308" s="13"/>
      <c r="W308" s="13"/>
      <c r="AN308" s="7" t="s">
        <v>70</v>
      </c>
      <c r="AO308" s="21">
        <f t="shared" si="15"/>
        <v>0</v>
      </c>
      <c r="AP308" s="7">
        <f t="shared" si="16"/>
        <v>54.8</v>
      </c>
      <c r="AQ308" s="31" t="str">
        <f t="shared" si="14"/>
        <v>Complete - No Adjustment</v>
      </c>
    </row>
    <row r="309" spans="1:43" x14ac:dyDescent="0.2">
      <c r="A309" s="46">
        <v>299</v>
      </c>
      <c r="B309" s="13" t="s">
        <v>266</v>
      </c>
      <c r="C309" s="13" t="s">
        <v>705</v>
      </c>
      <c r="D309" s="13" t="s">
        <v>704</v>
      </c>
      <c r="E309" s="13" t="s">
        <v>1290</v>
      </c>
      <c r="F309" s="13" t="s">
        <v>168</v>
      </c>
      <c r="G309" s="13" t="s">
        <v>111</v>
      </c>
      <c r="H309" s="16">
        <v>43903</v>
      </c>
      <c r="I309" s="16">
        <v>43938</v>
      </c>
      <c r="J309" s="22">
        <v>3900.92</v>
      </c>
      <c r="K309" s="22">
        <v>3.24</v>
      </c>
      <c r="L309" s="22" t="s">
        <v>1291</v>
      </c>
      <c r="M309" s="26" t="s">
        <v>98</v>
      </c>
      <c r="N309" s="13" t="s">
        <v>230</v>
      </c>
      <c r="O309" s="13" t="s">
        <v>347</v>
      </c>
      <c r="P309" s="13" t="s">
        <v>60</v>
      </c>
      <c r="Q309" s="13" t="s">
        <v>44</v>
      </c>
      <c r="R309" s="13" t="s">
        <v>270</v>
      </c>
      <c r="S309" s="13" t="s">
        <v>1292</v>
      </c>
      <c r="T309" s="13" t="s">
        <v>1310</v>
      </c>
      <c r="U309" s="13"/>
      <c r="V309" s="13"/>
      <c r="W309" s="13"/>
      <c r="AN309" s="7" t="s">
        <v>70</v>
      </c>
      <c r="AO309" s="21">
        <f t="shared" si="15"/>
        <v>0</v>
      </c>
      <c r="AP309" s="7">
        <f t="shared" si="16"/>
        <v>3.24</v>
      </c>
      <c r="AQ309" s="31" t="str">
        <f t="shared" si="14"/>
        <v>Complete - No Adjustment</v>
      </c>
    </row>
    <row r="310" spans="1:43" x14ac:dyDescent="0.2">
      <c r="A310" s="46">
        <v>300</v>
      </c>
      <c r="B310" s="13" t="s">
        <v>266</v>
      </c>
      <c r="C310" s="13" t="s">
        <v>705</v>
      </c>
      <c r="D310" s="13" t="s">
        <v>704</v>
      </c>
      <c r="E310" s="13" t="s">
        <v>1290</v>
      </c>
      <c r="F310" s="13" t="s">
        <v>168</v>
      </c>
      <c r="G310" s="13" t="s">
        <v>111</v>
      </c>
      <c r="H310" s="16">
        <v>43903</v>
      </c>
      <c r="I310" s="16">
        <v>43938</v>
      </c>
      <c r="J310" s="22">
        <v>3900.92</v>
      </c>
      <c r="K310" s="22">
        <v>10.8</v>
      </c>
      <c r="L310" s="22" t="s">
        <v>1291</v>
      </c>
      <c r="M310" s="26" t="s">
        <v>98</v>
      </c>
      <c r="N310" s="13" t="s">
        <v>230</v>
      </c>
      <c r="O310" s="13" t="s">
        <v>347</v>
      </c>
      <c r="P310" s="13" t="s">
        <v>60</v>
      </c>
      <c r="Q310" s="13" t="s">
        <v>44</v>
      </c>
      <c r="R310" s="13" t="s">
        <v>270</v>
      </c>
      <c r="S310" s="13" t="s">
        <v>1292</v>
      </c>
      <c r="T310" s="13" t="s">
        <v>1310</v>
      </c>
      <c r="U310" s="13"/>
      <c r="V310" s="13"/>
      <c r="W310" s="13"/>
      <c r="AN310" s="7" t="s">
        <v>70</v>
      </c>
      <c r="AO310" s="21">
        <f t="shared" si="15"/>
        <v>0</v>
      </c>
      <c r="AP310" s="7">
        <f t="shared" si="16"/>
        <v>10.8</v>
      </c>
      <c r="AQ310" s="31" t="str">
        <f t="shared" si="14"/>
        <v>Complete - No Adjustment</v>
      </c>
    </row>
    <row r="311" spans="1:43" x14ac:dyDescent="0.2">
      <c r="A311" s="46">
        <v>301</v>
      </c>
      <c r="B311" s="13" t="s">
        <v>266</v>
      </c>
      <c r="C311" s="13" t="s">
        <v>705</v>
      </c>
      <c r="D311" s="13" t="s">
        <v>704</v>
      </c>
      <c r="E311" s="13" t="s">
        <v>1290</v>
      </c>
      <c r="F311" s="13" t="s">
        <v>168</v>
      </c>
      <c r="G311" s="13" t="s">
        <v>111</v>
      </c>
      <c r="H311" s="16">
        <v>43903</v>
      </c>
      <c r="I311" s="16">
        <v>43938</v>
      </c>
      <c r="J311" s="22">
        <v>3900.92</v>
      </c>
      <c r="K311" s="22">
        <v>6.48</v>
      </c>
      <c r="L311" s="22" t="s">
        <v>1291</v>
      </c>
      <c r="M311" s="26" t="s">
        <v>98</v>
      </c>
      <c r="N311" s="13" t="s">
        <v>230</v>
      </c>
      <c r="O311" s="13" t="s">
        <v>347</v>
      </c>
      <c r="P311" s="13" t="s">
        <v>60</v>
      </c>
      <c r="Q311" s="13" t="s">
        <v>44</v>
      </c>
      <c r="R311" s="13" t="s">
        <v>270</v>
      </c>
      <c r="S311" s="13" t="s">
        <v>1292</v>
      </c>
      <c r="T311" s="13" t="s">
        <v>1310</v>
      </c>
      <c r="U311" s="13"/>
      <c r="V311" s="13"/>
      <c r="W311" s="13"/>
      <c r="AN311" s="7" t="s">
        <v>70</v>
      </c>
      <c r="AO311" s="21">
        <f t="shared" si="15"/>
        <v>0</v>
      </c>
      <c r="AP311" s="7">
        <f t="shared" si="16"/>
        <v>6.48</v>
      </c>
      <c r="AQ311" s="31" t="str">
        <f t="shared" si="14"/>
        <v>Complete - No Adjustment</v>
      </c>
    </row>
    <row r="312" spans="1:43" x14ac:dyDescent="0.2">
      <c r="A312" s="46">
        <v>302</v>
      </c>
      <c r="B312" s="13" t="s">
        <v>266</v>
      </c>
      <c r="C312" s="13" t="s">
        <v>705</v>
      </c>
      <c r="D312" s="13" t="s">
        <v>704</v>
      </c>
      <c r="E312" s="13" t="s">
        <v>1290</v>
      </c>
      <c r="F312" s="13" t="s">
        <v>168</v>
      </c>
      <c r="G312" s="13" t="s">
        <v>111</v>
      </c>
      <c r="H312" s="16">
        <v>43903</v>
      </c>
      <c r="I312" s="16">
        <v>43938</v>
      </c>
      <c r="J312" s="22">
        <v>3900.92</v>
      </c>
      <c r="K312" s="22">
        <v>82.52</v>
      </c>
      <c r="L312" s="22" t="s">
        <v>1291</v>
      </c>
      <c r="M312" s="26" t="s">
        <v>98</v>
      </c>
      <c r="N312" s="13" t="s">
        <v>230</v>
      </c>
      <c r="O312" s="13" t="s">
        <v>347</v>
      </c>
      <c r="P312" s="13" t="s">
        <v>60</v>
      </c>
      <c r="Q312" s="13" t="s">
        <v>45</v>
      </c>
      <c r="R312" s="13" t="s">
        <v>270</v>
      </c>
      <c r="S312" s="13" t="s">
        <v>1292</v>
      </c>
      <c r="T312" s="13" t="s">
        <v>1311</v>
      </c>
      <c r="U312" s="13"/>
      <c r="V312" s="13"/>
      <c r="W312" s="13"/>
      <c r="AE312" s="53">
        <f>(82.52/206.31)*(179-150)</f>
        <v>11.599437739324317</v>
      </c>
      <c r="AN312" s="7" t="s">
        <v>68</v>
      </c>
      <c r="AO312" s="21">
        <f t="shared" si="15"/>
        <v>11.599437739324317</v>
      </c>
      <c r="AP312" s="7">
        <f t="shared" si="16"/>
        <v>70.92056226067568</v>
      </c>
      <c r="AQ312" s="31" t="str">
        <f t="shared" si="14"/>
        <v>Complete - With Adjustment</v>
      </c>
    </row>
    <row r="313" spans="1:43" x14ac:dyDescent="0.2">
      <c r="A313" s="46">
        <v>303</v>
      </c>
      <c r="B313" s="13" t="s">
        <v>266</v>
      </c>
      <c r="C313" s="13" t="s">
        <v>705</v>
      </c>
      <c r="D313" s="13" t="s">
        <v>704</v>
      </c>
      <c r="E313" s="13" t="s">
        <v>1290</v>
      </c>
      <c r="F313" s="13" t="s">
        <v>168</v>
      </c>
      <c r="G313" s="13" t="s">
        <v>111</v>
      </c>
      <c r="H313" s="16">
        <v>43903</v>
      </c>
      <c r="I313" s="16">
        <v>43938</v>
      </c>
      <c r="J313" s="22">
        <v>3900.92</v>
      </c>
      <c r="K313" s="22">
        <v>11.79</v>
      </c>
      <c r="L313" s="22" t="s">
        <v>1291</v>
      </c>
      <c r="M313" s="26" t="s">
        <v>98</v>
      </c>
      <c r="N313" s="13" t="s">
        <v>230</v>
      </c>
      <c r="O313" s="13" t="s">
        <v>347</v>
      </c>
      <c r="P313" s="13" t="s">
        <v>60</v>
      </c>
      <c r="Q313" s="13" t="s">
        <v>44</v>
      </c>
      <c r="R313" s="13" t="s">
        <v>270</v>
      </c>
      <c r="S313" s="13" t="s">
        <v>1292</v>
      </c>
      <c r="T313" s="13" t="s">
        <v>1312</v>
      </c>
      <c r="U313" s="13"/>
      <c r="V313" s="13"/>
      <c r="W313" s="13"/>
      <c r="AN313" s="7" t="s">
        <v>70</v>
      </c>
      <c r="AO313" s="21">
        <f t="shared" si="15"/>
        <v>0</v>
      </c>
      <c r="AP313" s="7">
        <f t="shared" si="16"/>
        <v>11.79</v>
      </c>
      <c r="AQ313" s="31" t="str">
        <f t="shared" si="14"/>
        <v>Complete - No Adjustment</v>
      </c>
    </row>
    <row r="314" spans="1:43" x14ac:dyDescent="0.2">
      <c r="A314" s="46">
        <v>304</v>
      </c>
      <c r="B314" s="13" t="s">
        <v>266</v>
      </c>
      <c r="C314" s="13" t="s">
        <v>705</v>
      </c>
      <c r="D314" s="13" t="s">
        <v>704</v>
      </c>
      <c r="E314" s="13" t="s">
        <v>1290</v>
      </c>
      <c r="F314" s="13" t="s">
        <v>168</v>
      </c>
      <c r="G314" s="13" t="s">
        <v>111</v>
      </c>
      <c r="H314" s="16">
        <v>43903</v>
      </c>
      <c r="I314" s="16">
        <v>43938</v>
      </c>
      <c r="J314" s="22">
        <v>3900.92</v>
      </c>
      <c r="K314" s="22">
        <v>17.600000000000001</v>
      </c>
      <c r="L314" s="22" t="s">
        <v>1291</v>
      </c>
      <c r="M314" s="26" t="s">
        <v>98</v>
      </c>
      <c r="N314" s="13" t="s">
        <v>230</v>
      </c>
      <c r="O314" s="13" t="s">
        <v>347</v>
      </c>
      <c r="P314" s="13" t="s">
        <v>60</v>
      </c>
      <c r="Q314" s="13" t="s">
        <v>44</v>
      </c>
      <c r="R314" s="13" t="s">
        <v>270</v>
      </c>
      <c r="S314" s="13" t="s">
        <v>1292</v>
      </c>
      <c r="T314" s="13" t="s">
        <v>1313</v>
      </c>
      <c r="U314" s="13"/>
      <c r="V314" s="13"/>
      <c r="W314" s="13"/>
      <c r="AN314" s="7" t="s">
        <v>70</v>
      </c>
      <c r="AO314" s="21">
        <f t="shared" si="15"/>
        <v>0</v>
      </c>
      <c r="AP314" s="7">
        <f t="shared" si="16"/>
        <v>17.600000000000001</v>
      </c>
      <c r="AQ314" s="31" t="str">
        <f t="shared" si="14"/>
        <v>Complete - No Adjustment</v>
      </c>
    </row>
    <row r="315" spans="1:43" x14ac:dyDescent="0.2">
      <c r="A315" s="46">
        <v>305</v>
      </c>
      <c r="B315" s="13" t="s">
        <v>266</v>
      </c>
      <c r="C315" s="13" t="s">
        <v>705</v>
      </c>
      <c r="D315" s="13" t="s">
        <v>704</v>
      </c>
      <c r="E315" s="13" t="s">
        <v>1290</v>
      </c>
      <c r="F315" s="13" t="s">
        <v>168</v>
      </c>
      <c r="G315" s="13" t="s">
        <v>111</v>
      </c>
      <c r="H315" s="16">
        <v>43903</v>
      </c>
      <c r="I315" s="16">
        <v>43938</v>
      </c>
      <c r="J315" s="22">
        <v>3900.92</v>
      </c>
      <c r="K315" s="22">
        <v>36.44</v>
      </c>
      <c r="L315" s="22" t="s">
        <v>1291</v>
      </c>
      <c r="M315" s="26" t="s">
        <v>98</v>
      </c>
      <c r="N315" s="13" t="s">
        <v>230</v>
      </c>
      <c r="O315" s="13" t="s">
        <v>347</v>
      </c>
      <c r="P315" s="13" t="s">
        <v>60</v>
      </c>
      <c r="Q315" s="13" t="s">
        <v>41</v>
      </c>
      <c r="R315" s="13" t="s">
        <v>270</v>
      </c>
      <c r="S315" s="13" t="s">
        <v>1292</v>
      </c>
      <c r="T315" s="13" t="s">
        <v>1314</v>
      </c>
      <c r="U315" s="13"/>
      <c r="V315" s="13"/>
      <c r="W315" s="13"/>
      <c r="AL315" s="14">
        <v>36.44</v>
      </c>
      <c r="AN315" s="7" t="s">
        <v>146</v>
      </c>
      <c r="AO315" s="21">
        <f t="shared" si="15"/>
        <v>36.44</v>
      </c>
      <c r="AP315" s="7">
        <f t="shared" si="16"/>
        <v>0</v>
      </c>
      <c r="AQ315" s="31" t="str">
        <f t="shared" si="14"/>
        <v>Complete - With Adjustment</v>
      </c>
    </row>
    <row r="316" spans="1:43" x14ac:dyDescent="0.2">
      <c r="A316" s="46">
        <v>306</v>
      </c>
      <c r="B316" s="13" t="s">
        <v>266</v>
      </c>
      <c r="C316" s="13" t="s">
        <v>705</v>
      </c>
      <c r="D316" s="13" t="s">
        <v>704</v>
      </c>
      <c r="E316" s="13" t="s">
        <v>1290</v>
      </c>
      <c r="F316" s="13" t="s">
        <v>168</v>
      </c>
      <c r="G316" s="13" t="s">
        <v>111</v>
      </c>
      <c r="H316" s="16">
        <v>43903</v>
      </c>
      <c r="I316" s="16">
        <v>43938</v>
      </c>
      <c r="J316" s="22">
        <v>3900.92</v>
      </c>
      <c r="K316" s="22">
        <v>16</v>
      </c>
      <c r="L316" s="22" t="s">
        <v>1291</v>
      </c>
      <c r="M316" s="26" t="s">
        <v>97</v>
      </c>
      <c r="N316" s="13" t="s">
        <v>230</v>
      </c>
      <c r="O316" s="13" t="s">
        <v>347</v>
      </c>
      <c r="P316" s="13" t="s">
        <v>42</v>
      </c>
      <c r="Q316" s="13" t="s">
        <v>41</v>
      </c>
      <c r="R316" s="13" t="s">
        <v>270</v>
      </c>
      <c r="S316" s="13" t="s">
        <v>1292</v>
      </c>
      <c r="T316" s="13" t="s">
        <v>1315</v>
      </c>
      <c r="U316" s="13"/>
      <c r="V316" s="13"/>
      <c r="W316" s="13"/>
      <c r="Y316" s="53">
        <v>16</v>
      </c>
      <c r="AN316" s="7" t="s">
        <v>8</v>
      </c>
      <c r="AO316" s="21">
        <f t="shared" si="15"/>
        <v>16</v>
      </c>
      <c r="AP316" s="7">
        <f t="shared" si="16"/>
        <v>0</v>
      </c>
      <c r="AQ316" s="31" t="str">
        <f t="shared" si="14"/>
        <v>Complete - With Adjustment</v>
      </c>
    </row>
    <row r="317" spans="1:43" x14ac:dyDescent="0.2">
      <c r="A317" s="46">
        <v>307</v>
      </c>
      <c r="B317" s="13" t="s">
        <v>266</v>
      </c>
      <c r="C317" s="13" t="s">
        <v>705</v>
      </c>
      <c r="D317" s="13" t="s">
        <v>704</v>
      </c>
      <c r="E317" s="13" t="s">
        <v>1290</v>
      </c>
      <c r="F317" s="13" t="s">
        <v>168</v>
      </c>
      <c r="G317" s="13" t="s">
        <v>111</v>
      </c>
      <c r="H317" s="16">
        <v>43903</v>
      </c>
      <c r="I317" s="16">
        <v>43938</v>
      </c>
      <c r="J317" s="22">
        <v>3900.92</v>
      </c>
      <c r="K317" s="22">
        <v>138.35</v>
      </c>
      <c r="L317" s="22" t="s">
        <v>1291</v>
      </c>
      <c r="M317" s="26" t="s">
        <v>98</v>
      </c>
      <c r="N317" s="13" t="s">
        <v>230</v>
      </c>
      <c r="O317" s="13" t="s">
        <v>347</v>
      </c>
      <c r="P317" s="13" t="s">
        <v>60</v>
      </c>
      <c r="Q317" s="13" t="s">
        <v>45</v>
      </c>
      <c r="R317" s="13" t="s">
        <v>270</v>
      </c>
      <c r="S317" s="13" t="s">
        <v>1292</v>
      </c>
      <c r="T317" s="13" t="s">
        <v>1316</v>
      </c>
      <c r="U317" s="13"/>
      <c r="V317" s="13"/>
      <c r="W317" s="13"/>
      <c r="AE317" s="53">
        <f>(138.35/345.88)*(305.28-150)</f>
        <v>62.111102116340909</v>
      </c>
      <c r="AN317" s="7" t="s">
        <v>68</v>
      </c>
      <c r="AO317" s="21">
        <f t="shared" si="15"/>
        <v>62.111102116340909</v>
      </c>
      <c r="AP317" s="7">
        <f t="shared" si="16"/>
        <v>76.238897883659092</v>
      </c>
      <c r="AQ317" s="31" t="str">
        <f t="shared" si="14"/>
        <v>Complete - With Adjustment</v>
      </c>
    </row>
    <row r="318" spans="1:43" x14ac:dyDescent="0.2">
      <c r="A318" s="46">
        <v>308</v>
      </c>
      <c r="B318" s="13" t="s">
        <v>266</v>
      </c>
      <c r="C318" s="13" t="s">
        <v>705</v>
      </c>
      <c r="D318" s="13" t="s">
        <v>704</v>
      </c>
      <c r="E318" s="13" t="s">
        <v>1290</v>
      </c>
      <c r="F318" s="13" t="s">
        <v>168</v>
      </c>
      <c r="G318" s="13" t="s">
        <v>111</v>
      </c>
      <c r="H318" s="16">
        <v>43903</v>
      </c>
      <c r="I318" s="16">
        <v>43938</v>
      </c>
      <c r="J318" s="22">
        <v>3900.92</v>
      </c>
      <c r="K318" s="22">
        <v>16.61</v>
      </c>
      <c r="L318" s="22" t="s">
        <v>1291</v>
      </c>
      <c r="M318" s="26" t="s">
        <v>97</v>
      </c>
      <c r="N318" s="13" t="s">
        <v>230</v>
      </c>
      <c r="O318" s="13" t="s">
        <v>347</v>
      </c>
      <c r="P318" s="13" t="s">
        <v>42</v>
      </c>
      <c r="Q318" s="13" t="s">
        <v>41</v>
      </c>
      <c r="R318" s="13" t="s">
        <v>270</v>
      </c>
      <c r="S318" s="13" t="s">
        <v>1292</v>
      </c>
      <c r="T318" s="13" t="s">
        <v>1317</v>
      </c>
      <c r="U318" s="13"/>
      <c r="V318" s="13"/>
      <c r="W318" s="13"/>
      <c r="Y318" s="53">
        <v>16.61</v>
      </c>
      <c r="AN318" s="7" t="s">
        <v>8</v>
      </c>
      <c r="AO318" s="21">
        <f t="shared" si="15"/>
        <v>16.61</v>
      </c>
      <c r="AP318" s="7">
        <f t="shared" si="16"/>
        <v>0</v>
      </c>
      <c r="AQ318" s="31" t="str">
        <f t="shared" si="14"/>
        <v>Complete - With Adjustment</v>
      </c>
    </row>
    <row r="319" spans="1:43" x14ac:dyDescent="0.2">
      <c r="A319" s="46">
        <v>309</v>
      </c>
      <c r="B319" s="13" t="s">
        <v>266</v>
      </c>
      <c r="C319" s="13" t="s">
        <v>705</v>
      </c>
      <c r="D319" s="13" t="s">
        <v>704</v>
      </c>
      <c r="E319" s="13" t="s">
        <v>1290</v>
      </c>
      <c r="F319" s="13" t="s">
        <v>168</v>
      </c>
      <c r="G319" s="13" t="s">
        <v>111</v>
      </c>
      <c r="H319" s="16">
        <v>43903</v>
      </c>
      <c r="I319" s="16">
        <v>43938</v>
      </c>
      <c r="J319" s="22">
        <v>3900.92</v>
      </c>
      <c r="K319" s="22">
        <v>0.95</v>
      </c>
      <c r="L319" s="22" t="s">
        <v>1291</v>
      </c>
      <c r="M319" s="26" t="s">
        <v>98</v>
      </c>
      <c r="N319" s="13" t="s">
        <v>230</v>
      </c>
      <c r="O319" s="13" t="s">
        <v>347</v>
      </c>
      <c r="P319" s="13" t="s">
        <v>60</v>
      </c>
      <c r="Q319" s="13" t="s">
        <v>41</v>
      </c>
      <c r="R319" s="13" t="s">
        <v>270</v>
      </c>
      <c r="S319" s="13" t="s">
        <v>1292</v>
      </c>
      <c r="T319" s="13" t="s">
        <v>1318</v>
      </c>
      <c r="U319" s="13"/>
      <c r="V319" s="13"/>
      <c r="W319" s="13"/>
      <c r="AL319" s="14">
        <v>0.95</v>
      </c>
      <c r="AN319" s="7" t="s">
        <v>146</v>
      </c>
      <c r="AO319" s="21">
        <f t="shared" si="15"/>
        <v>0.95</v>
      </c>
      <c r="AP319" s="7">
        <f t="shared" si="16"/>
        <v>0</v>
      </c>
      <c r="AQ319" s="31" t="str">
        <f t="shared" si="14"/>
        <v>Complete - With Adjustment</v>
      </c>
    </row>
    <row r="320" spans="1:43" x14ac:dyDescent="0.2">
      <c r="A320" s="46">
        <v>310</v>
      </c>
      <c r="B320" s="13" t="s">
        <v>266</v>
      </c>
      <c r="C320" s="13" t="s">
        <v>705</v>
      </c>
      <c r="D320" s="13" t="s">
        <v>704</v>
      </c>
      <c r="E320" s="13" t="s">
        <v>1290</v>
      </c>
      <c r="F320" s="13" t="s">
        <v>168</v>
      </c>
      <c r="G320" s="13" t="s">
        <v>111</v>
      </c>
      <c r="H320" s="16">
        <v>43903</v>
      </c>
      <c r="I320" s="16">
        <v>43938</v>
      </c>
      <c r="J320" s="22">
        <v>3900.92</v>
      </c>
      <c r="K320" s="22">
        <v>9.18</v>
      </c>
      <c r="L320" s="22" t="s">
        <v>1291</v>
      </c>
      <c r="M320" s="26" t="s">
        <v>98</v>
      </c>
      <c r="N320" s="13" t="s">
        <v>230</v>
      </c>
      <c r="O320" s="13" t="s">
        <v>347</v>
      </c>
      <c r="P320" s="13" t="s">
        <v>60</v>
      </c>
      <c r="Q320" s="13" t="s">
        <v>41</v>
      </c>
      <c r="R320" s="13" t="s">
        <v>270</v>
      </c>
      <c r="S320" s="13" t="s">
        <v>1292</v>
      </c>
      <c r="T320" s="13" t="s">
        <v>1319</v>
      </c>
      <c r="U320" s="13"/>
      <c r="V320" s="13"/>
      <c r="W320" s="13"/>
      <c r="AN320" s="7" t="s">
        <v>70</v>
      </c>
      <c r="AO320" s="21">
        <f t="shared" si="15"/>
        <v>0</v>
      </c>
      <c r="AP320" s="7">
        <f t="shared" si="16"/>
        <v>9.18</v>
      </c>
      <c r="AQ320" s="31" t="str">
        <f t="shared" si="14"/>
        <v>Complete - No Adjustment</v>
      </c>
    </row>
    <row r="321" spans="1:43" x14ac:dyDescent="0.2">
      <c r="A321" s="46">
        <v>311</v>
      </c>
      <c r="B321" s="13" t="s">
        <v>266</v>
      </c>
      <c r="C321" s="13" t="s">
        <v>705</v>
      </c>
      <c r="D321" s="13" t="s">
        <v>704</v>
      </c>
      <c r="E321" s="13" t="s">
        <v>1290</v>
      </c>
      <c r="F321" s="13" t="s">
        <v>168</v>
      </c>
      <c r="G321" s="13" t="s">
        <v>111</v>
      </c>
      <c r="H321" s="16">
        <v>43903</v>
      </c>
      <c r="I321" s="16">
        <v>43938</v>
      </c>
      <c r="J321" s="22">
        <v>3900.92</v>
      </c>
      <c r="K321" s="22">
        <v>28.18</v>
      </c>
      <c r="L321" s="22" t="s">
        <v>1291</v>
      </c>
      <c r="M321" s="26" t="s">
        <v>97</v>
      </c>
      <c r="N321" s="13" t="s">
        <v>230</v>
      </c>
      <c r="O321" s="13" t="s">
        <v>347</v>
      </c>
      <c r="P321" s="13" t="s">
        <v>42</v>
      </c>
      <c r="Q321" s="13" t="s">
        <v>41</v>
      </c>
      <c r="R321" s="13" t="s">
        <v>270</v>
      </c>
      <c r="S321" s="13" t="s">
        <v>1292</v>
      </c>
      <c r="T321" s="13" t="s">
        <v>1320</v>
      </c>
      <c r="U321" s="13"/>
      <c r="V321" s="13"/>
      <c r="W321" s="13"/>
      <c r="Y321" s="53">
        <v>28.18</v>
      </c>
      <c r="AN321" s="7" t="s">
        <v>8</v>
      </c>
      <c r="AO321" s="21">
        <f t="shared" si="15"/>
        <v>28.18</v>
      </c>
      <c r="AP321" s="7">
        <f t="shared" si="16"/>
        <v>0</v>
      </c>
      <c r="AQ321" s="31" t="str">
        <f t="shared" si="14"/>
        <v>Complete - With Adjustment</v>
      </c>
    </row>
    <row r="322" spans="1:43" x14ac:dyDescent="0.2">
      <c r="A322" s="46">
        <v>312</v>
      </c>
      <c r="B322" s="13" t="s">
        <v>266</v>
      </c>
      <c r="C322" s="13" t="s">
        <v>705</v>
      </c>
      <c r="D322" s="13" t="s">
        <v>704</v>
      </c>
      <c r="E322" s="13" t="s">
        <v>1290</v>
      </c>
      <c r="F322" s="13" t="s">
        <v>168</v>
      </c>
      <c r="G322" s="13" t="s">
        <v>111</v>
      </c>
      <c r="H322" s="16">
        <v>43903</v>
      </c>
      <c r="I322" s="16">
        <v>43938</v>
      </c>
      <c r="J322" s="22">
        <v>3900.92</v>
      </c>
      <c r="K322" s="22">
        <v>130</v>
      </c>
      <c r="L322" s="22" t="s">
        <v>1291</v>
      </c>
      <c r="M322" s="26" t="s">
        <v>98</v>
      </c>
      <c r="N322" s="13" t="s">
        <v>230</v>
      </c>
      <c r="O322" s="13" t="s">
        <v>347</v>
      </c>
      <c r="P322" s="13" t="s">
        <v>60</v>
      </c>
      <c r="Q322" s="13" t="s">
        <v>44</v>
      </c>
      <c r="R322" s="13" t="s">
        <v>270</v>
      </c>
      <c r="S322" s="13" t="s">
        <v>1292</v>
      </c>
      <c r="T322" s="13" t="s">
        <v>1321</v>
      </c>
      <c r="U322" s="13"/>
      <c r="V322" s="13"/>
      <c r="W322" s="13"/>
      <c r="AL322" s="14">
        <v>130</v>
      </c>
      <c r="AN322" s="7" t="s">
        <v>146</v>
      </c>
      <c r="AO322" s="21">
        <f t="shared" si="15"/>
        <v>130</v>
      </c>
      <c r="AP322" s="7">
        <f t="shared" si="16"/>
        <v>0</v>
      </c>
      <c r="AQ322" s="31" t="str">
        <f t="shared" si="14"/>
        <v>Complete - With Adjustment</v>
      </c>
    </row>
    <row r="323" spans="1:43" x14ac:dyDescent="0.2">
      <c r="A323" s="46">
        <v>313</v>
      </c>
      <c r="B323" s="13" t="s">
        <v>266</v>
      </c>
      <c r="C323" s="13" t="s">
        <v>705</v>
      </c>
      <c r="D323" s="13" t="s">
        <v>704</v>
      </c>
      <c r="E323" s="13" t="s">
        <v>1290</v>
      </c>
      <c r="F323" s="13" t="s">
        <v>168</v>
      </c>
      <c r="G323" s="13" t="s">
        <v>111</v>
      </c>
      <c r="H323" s="16">
        <v>43903</v>
      </c>
      <c r="I323" s="16">
        <v>43938</v>
      </c>
      <c r="J323" s="22">
        <v>3900.92</v>
      </c>
      <c r="K323" s="22">
        <v>95.57</v>
      </c>
      <c r="L323" s="22" t="s">
        <v>1291</v>
      </c>
      <c r="M323" s="26" t="s">
        <v>98</v>
      </c>
      <c r="N323" s="13" t="s">
        <v>230</v>
      </c>
      <c r="O323" s="13" t="s">
        <v>347</v>
      </c>
      <c r="P323" s="13" t="s">
        <v>60</v>
      </c>
      <c r="Q323" s="13" t="s">
        <v>45</v>
      </c>
      <c r="R323" s="13" t="s">
        <v>270</v>
      </c>
      <c r="S323" s="13" t="s">
        <v>1292</v>
      </c>
      <c r="T323" s="13" t="s">
        <v>1322</v>
      </c>
      <c r="U323" s="13"/>
      <c r="V323" s="13"/>
      <c r="W323" s="13"/>
      <c r="AE323" s="53">
        <f>(95.57/238.92)*(198-150)</f>
        <v>19.200401808136615</v>
      </c>
      <c r="AN323" s="7" t="s">
        <v>68</v>
      </c>
      <c r="AO323" s="21">
        <f t="shared" si="15"/>
        <v>19.200401808136615</v>
      </c>
      <c r="AP323" s="7">
        <f t="shared" si="16"/>
        <v>76.369598191863375</v>
      </c>
      <c r="AQ323" s="31" t="str">
        <f t="shared" si="14"/>
        <v>Complete - With Adjustment</v>
      </c>
    </row>
    <row r="324" spans="1:43" x14ac:dyDescent="0.2">
      <c r="A324" s="46">
        <v>314</v>
      </c>
      <c r="B324" s="13" t="s">
        <v>266</v>
      </c>
      <c r="C324" s="13" t="s">
        <v>705</v>
      </c>
      <c r="D324" s="13" t="s">
        <v>704</v>
      </c>
      <c r="E324" s="13" t="s">
        <v>1290</v>
      </c>
      <c r="F324" s="13" t="s">
        <v>168</v>
      </c>
      <c r="G324" s="13" t="s">
        <v>111</v>
      </c>
      <c r="H324" s="16">
        <v>43903</v>
      </c>
      <c r="I324" s="16">
        <v>43938</v>
      </c>
      <c r="J324" s="22">
        <v>3900.92</v>
      </c>
      <c r="K324" s="22">
        <v>12.59</v>
      </c>
      <c r="L324" s="22" t="s">
        <v>1291</v>
      </c>
      <c r="M324" s="26" t="s">
        <v>98</v>
      </c>
      <c r="N324" s="13" t="s">
        <v>230</v>
      </c>
      <c r="O324" s="13" t="s">
        <v>347</v>
      </c>
      <c r="P324" s="13" t="s">
        <v>60</v>
      </c>
      <c r="Q324" s="13" t="s">
        <v>44</v>
      </c>
      <c r="R324" s="13" t="s">
        <v>270</v>
      </c>
      <c r="S324" s="13" t="s">
        <v>1292</v>
      </c>
      <c r="T324" s="13" t="s">
        <v>1323</v>
      </c>
      <c r="U324" s="13"/>
      <c r="V324" s="13"/>
      <c r="W324" s="13"/>
      <c r="AN324" s="7" t="s">
        <v>70</v>
      </c>
      <c r="AO324" s="21">
        <f t="shared" si="15"/>
        <v>0</v>
      </c>
      <c r="AP324" s="7">
        <f t="shared" si="16"/>
        <v>12.59</v>
      </c>
      <c r="AQ324" s="31" t="str">
        <f t="shared" si="14"/>
        <v>Complete - No Adjustment</v>
      </c>
    </row>
    <row r="325" spans="1:43" x14ac:dyDescent="0.2">
      <c r="A325" s="46">
        <v>315</v>
      </c>
      <c r="B325" s="13" t="s">
        <v>266</v>
      </c>
      <c r="C325" s="13" t="s">
        <v>705</v>
      </c>
      <c r="D325" s="13" t="s">
        <v>704</v>
      </c>
      <c r="E325" s="13" t="s">
        <v>1290</v>
      </c>
      <c r="F325" s="13" t="s">
        <v>168</v>
      </c>
      <c r="G325" s="13" t="s">
        <v>111</v>
      </c>
      <c r="H325" s="16">
        <v>43903</v>
      </c>
      <c r="I325" s="16">
        <v>43938</v>
      </c>
      <c r="J325" s="22">
        <v>3900.92</v>
      </c>
      <c r="K325" s="22">
        <v>6.06</v>
      </c>
      <c r="L325" s="22" t="s">
        <v>1291</v>
      </c>
      <c r="M325" s="26" t="s">
        <v>98</v>
      </c>
      <c r="N325" s="13" t="s">
        <v>230</v>
      </c>
      <c r="O325" s="13" t="s">
        <v>347</v>
      </c>
      <c r="P325" s="13" t="s">
        <v>60</v>
      </c>
      <c r="Q325" s="13" t="s">
        <v>41</v>
      </c>
      <c r="R325" s="13" t="s">
        <v>270</v>
      </c>
      <c r="S325" s="13" t="s">
        <v>1292</v>
      </c>
      <c r="T325" s="13" t="s">
        <v>1324</v>
      </c>
      <c r="U325" s="13"/>
      <c r="V325" s="13"/>
      <c r="W325" s="13"/>
      <c r="AN325" s="7" t="s">
        <v>70</v>
      </c>
      <c r="AO325" s="21">
        <f t="shared" si="15"/>
        <v>0</v>
      </c>
      <c r="AP325" s="7">
        <f t="shared" si="16"/>
        <v>6.06</v>
      </c>
      <c r="AQ325" s="31" t="str">
        <f t="shared" ref="AQ325:AQ388" si="17">IF(AO325&lt;&gt;0,"Complete - With Adjustment","Complete - No Adjustment")</f>
        <v>Complete - No Adjustment</v>
      </c>
    </row>
    <row r="326" spans="1:43" x14ac:dyDescent="0.2">
      <c r="A326" s="46">
        <v>316</v>
      </c>
      <c r="B326" s="13" t="s">
        <v>266</v>
      </c>
      <c r="C326" s="13" t="s">
        <v>705</v>
      </c>
      <c r="D326" s="13" t="s">
        <v>704</v>
      </c>
      <c r="E326" s="13" t="s">
        <v>1290</v>
      </c>
      <c r="F326" s="13" t="s">
        <v>168</v>
      </c>
      <c r="G326" s="13" t="s">
        <v>111</v>
      </c>
      <c r="H326" s="16">
        <v>43903</v>
      </c>
      <c r="I326" s="16">
        <v>43938</v>
      </c>
      <c r="J326" s="22">
        <v>3900.92</v>
      </c>
      <c r="K326" s="22">
        <v>16</v>
      </c>
      <c r="L326" s="22" t="s">
        <v>1291</v>
      </c>
      <c r="M326" s="26" t="s">
        <v>98</v>
      </c>
      <c r="N326" s="13" t="s">
        <v>230</v>
      </c>
      <c r="O326" s="13" t="s">
        <v>347</v>
      </c>
      <c r="P326" s="13" t="s">
        <v>60</v>
      </c>
      <c r="Q326" s="13" t="s">
        <v>44</v>
      </c>
      <c r="R326" s="13" t="s">
        <v>270</v>
      </c>
      <c r="S326" s="13" t="s">
        <v>1292</v>
      </c>
      <c r="T326" s="13" t="s">
        <v>1325</v>
      </c>
      <c r="U326" s="13"/>
      <c r="V326" s="13"/>
      <c r="W326" s="13"/>
      <c r="AN326" s="7" t="s">
        <v>70</v>
      </c>
      <c r="AO326" s="21">
        <f t="shared" si="15"/>
        <v>0</v>
      </c>
      <c r="AP326" s="7">
        <f t="shared" si="16"/>
        <v>16</v>
      </c>
      <c r="AQ326" s="31" t="str">
        <f t="shared" si="17"/>
        <v>Complete - No Adjustment</v>
      </c>
    </row>
    <row r="327" spans="1:43" x14ac:dyDescent="0.2">
      <c r="A327" s="46">
        <v>317</v>
      </c>
      <c r="B327" s="13" t="s">
        <v>266</v>
      </c>
      <c r="C327" s="13" t="s">
        <v>705</v>
      </c>
      <c r="D327" s="13" t="s">
        <v>704</v>
      </c>
      <c r="E327" s="13" t="s">
        <v>1290</v>
      </c>
      <c r="F327" s="13" t="s">
        <v>168</v>
      </c>
      <c r="G327" s="13" t="s">
        <v>111</v>
      </c>
      <c r="H327" s="16">
        <v>43903</v>
      </c>
      <c r="I327" s="16">
        <v>43938</v>
      </c>
      <c r="J327" s="22">
        <v>3900.92</v>
      </c>
      <c r="K327" s="22">
        <v>3.58</v>
      </c>
      <c r="L327" s="22" t="s">
        <v>1291</v>
      </c>
      <c r="M327" s="26" t="s">
        <v>98</v>
      </c>
      <c r="N327" s="13" t="s">
        <v>230</v>
      </c>
      <c r="O327" s="13" t="s">
        <v>347</v>
      </c>
      <c r="P327" s="13" t="s">
        <v>60</v>
      </c>
      <c r="Q327" s="13" t="s">
        <v>41</v>
      </c>
      <c r="R327" s="13" t="s">
        <v>270</v>
      </c>
      <c r="S327" s="13" t="s">
        <v>1292</v>
      </c>
      <c r="T327" s="13" t="s">
        <v>1326</v>
      </c>
      <c r="U327" s="13"/>
      <c r="V327" s="13"/>
      <c r="W327" s="13"/>
      <c r="AN327" s="7" t="s">
        <v>70</v>
      </c>
      <c r="AO327" s="21">
        <f t="shared" si="15"/>
        <v>0</v>
      </c>
      <c r="AP327" s="7">
        <f t="shared" si="16"/>
        <v>3.58</v>
      </c>
      <c r="AQ327" s="31" t="str">
        <f t="shared" si="17"/>
        <v>Complete - No Adjustment</v>
      </c>
    </row>
    <row r="328" spans="1:43" x14ac:dyDescent="0.2">
      <c r="A328" s="46">
        <v>318</v>
      </c>
      <c r="B328" s="13" t="s">
        <v>266</v>
      </c>
      <c r="C328" s="13" t="s">
        <v>705</v>
      </c>
      <c r="D328" s="13" t="s">
        <v>704</v>
      </c>
      <c r="E328" s="13" t="s">
        <v>1290</v>
      </c>
      <c r="F328" s="13" t="s">
        <v>168</v>
      </c>
      <c r="G328" s="13" t="s">
        <v>111</v>
      </c>
      <c r="H328" s="16">
        <v>43903</v>
      </c>
      <c r="I328" s="16">
        <v>43938</v>
      </c>
      <c r="J328" s="22">
        <v>3900.92</v>
      </c>
      <c r="K328" s="22">
        <v>62.95</v>
      </c>
      <c r="L328" s="22" t="s">
        <v>1291</v>
      </c>
      <c r="M328" s="26" t="s">
        <v>98</v>
      </c>
      <c r="N328" s="13" t="s">
        <v>230</v>
      </c>
      <c r="O328" s="13" t="s">
        <v>347</v>
      </c>
      <c r="P328" s="13" t="s">
        <v>60</v>
      </c>
      <c r="Q328" s="13" t="s">
        <v>44</v>
      </c>
      <c r="R328" s="13" t="s">
        <v>270</v>
      </c>
      <c r="S328" s="13" t="s">
        <v>1292</v>
      </c>
      <c r="T328" s="13" t="s">
        <v>1327</v>
      </c>
      <c r="U328" s="13"/>
      <c r="V328" s="13"/>
      <c r="W328" s="13"/>
      <c r="AN328" s="7" t="s">
        <v>70</v>
      </c>
      <c r="AO328" s="21">
        <f t="shared" si="15"/>
        <v>0</v>
      </c>
      <c r="AP328" s="7">
        <f t="shared" si="16"/>
        <v>62.95</v>
      </c>
      <c r="AQ328" s="31" t="str">
        <f t="shared" si="17"/>
        <v>Complete - No Adjustment</v>
      </c>
    </row>
    <row r="329" spans="1:43" x14ac:dyDescent="0.2">
      <c r="A329" s="46">
        <v>319</v>
      </c>
      <c r="B329" s="13" t="s">
        <v>266</v>
      </c>
      <c r="C329" s="13" t="s">
        <v>705</v>
      </c>
      <c r="D329" s="13" t="s">
        <v>704</v>
      </c>
      <c r="E329" s="13" t="s">
        <v>1290</v>
      </c>
      <c r="F329" s="13" t="s">
        <v>168</v>
      </c>
      <c r="G329" s="13" t="s">
        <v>111</v>
      </c>
      <c r="H329" s="16">
        <v>43903</v>
      </c>
      <c r="I329" s="16">
        <v>43938</v>
      </c>
      <c r="J329" s="22">
        <v>3900.92</v>
      </c>
      <c r="K329" s="22">
        <v>37.5</v>
      </c>
      <c r="L329" s="22" t="s">
        <v>1291</v>
      </c>
      <c r="M329" s="26" t="s">
        <v>98</v>
      </c>
      <c r="N329" s="13" t="s">
        <v>230</v>
      </c>
      <c r="O329" s="13" t="s">
        <v>347</v>
      </c>
      <c r="P329" s="13" t="s">
        <v>60</v>
      </c>
      <c r="Q329" s="13" t="s">
        <v>44</v>
      </c>
      <c r="R329" s="13" t="s">
        <v>270</v>
      </c>
      <c r="S329" s="13" t="s">
        <v>1292</v>
      </c>
      <c r="T329" s="13" t="s">
        <v>1328</v>
      </c>
      <c r="U329" s="13"/>
      <c r="V329" s="13"/>
      <c r="W329" s="13"/>
      <c r="AN329" s="7" t="s">
        <v>70</v>
      </c>
      <c r="AO329" s="21">
        <f t="shared" si="15"/>
        <v>0</v>
      </c>
      <c r="AP329" s="7">
        <f t="shared" si="16"/>
        <v>37.5</v>
      </c>
      <c r="AQ329" s="31" t="str">
        <f t="shared" si="17"/>
        <v>Complete - No Adjustment</v>
      </c>
    </row>
    <row r="330" spans="1:43" x14ac:dyDescent="0.2">
      <c r="A330" s="46">
        <v>320</v>
      </c>
      <c r="B330" s="13" t="s">
        <v>266</v>
      </c>
      <c r="C330" s="13" t="s">
        <v>705</v>
      </c>
      <c r="D330" s="13" t="s">
        <v>704</v>
      </c>
      <c r="E330" s="13" t="s">
        <v>1290</v>
      </c>
      <c r="F330" s="13" t="s">
        <v>168</v>
      </c>
      <c r="G330" s="13" t="s">
        <v>111</v>
      </c>
      <c r="H330" s="16">
        <v>43903</v>
      </c>
      <c r="I330" s="16">
        <v>43938</v>
      </c>
      <c r="J330" s="22">
        <v>3900.92</v>
      </c>
      <c r="K330" s="22">
        <v>3.7</v>
      </c>
      <c r="L330" s="22" t="s">
        <v>1291</v>
      </c>
      <c r="M330" s="26" t="s">
        <v>98</v>
      </c>
      <c r="N330" s="13" t="s">
        <v>230</v>
      </c>
      <c r="O330" s="13" t="s">
        <v>347</v>
      </c>
      <c r="P330" s="13" t="s">
        <v>60</v>
      </c>
      <c r="Q330" s="13" t="s">
        <v>44</v>
      </c>
      <c r="R330" s="13" t="s">
        <v>270</v>
      </c>
      <c r="S330" s="13" t="s">
        <v>1292</v>
      </c>
      <c r="T330" s="13" t="s">
        <v>1329</v>
      </c>
      <c r="U330" s="13"/>
      <c r="V330" s="13"/>
      <c r="W330" s="13"/>
      <c r="AN330" s="7" t="s">
        <v>70</v>
      </c>
      <c r="AO330" s="21">
        <f t="shared" si="15"/>
        <v>0</v>
      </c>
      <c r="AP330" s="7">
        <f t="shared" si="16"/>
        <v>3.7</v>
      </c>
      <c r="AQ330" s="31" t="str">
        <f t="shared" si="17"/>
        <v>Complete - No Adjustment</v>
      </c>
    </row>
    <row r="331" spans="1:43" x14ac:dyDescent="0.2">
      <c r="A331" s="46">
        <v>321</v>
      </c>
      <c r="B331" s="13" t="s">
        <v>266</v>
      </c>
      <c r="C331" s="13" t="s">
        <v>705</v>
      </c>
      <c r="D331" s="13" t="s">
        <v>704</v>
      </c>
      <c r="E331" s="13" t="s">
        <v>1290</v>
      </c>
      <c r="F331" s="13" t="s">
        <v>168</v>
      </c>
      <c r="G331" s="13" t="s">
        <v>111</v>
      </c>
      <c r="H331" s="16">
        <v>43903</v>
      </c>
      <c r="I331" s="16">
        <v>43938</v>
      </c>
      <c r="J331" s="22">
        <v>3900.92</v>
      </c>
      <c r="K331" s="22">
        <v>12.39</v>
      </c>
      <c r="L331" s="22" t="s">
        <v>1291</v>
      </c>
      <c r="M331" s="26" t="s">
        <v>98</v>
      </c>
      <c r="N331" s="13" t="s">
        <v>230</v>
      </c>
      <c r="O331" s="13" t="s">
        <v>347</v>
      </c>
      <c r="P331" s="13" t="s">
        <v>60</v>
      </c>
      <c r="Q331" s="13" t="s">
        <v>44</v>
      </c>
      <c r="R331" s="13" t="s">
        <v>270</v>
      </c>
      <c r="S331" s="13" t="s">
        <v>1292</v>
      </c>
      <c r="T331" s="13" t="s">
        <v>1307</v>
      </c>
      <c r="U331" s="13"/>
      <c r="V331" s="13"/>
      <c r="W331" s="13"/>
      <c r="AN331" s="7" t="s">
        <v>70</v>
      </c>
      <c r="AO331" s="21">
        <f t="shared" si="15"/>
        <v>0</v>
      </c>
      <c r="AP331" s="7">
        <f t="shared" si="16"/>
        <v>12.39</v>
      </c>
      <c r="AQ331" s="31" t="str">
        <f t="shared" si="17"/>
        <v>Complete - No Adjustment</v>
      </c>
    </row>
    <row r="332" spans="1:43" x14ac:dyDescent="0.2">
      <c r="A332" s="46">
        <v>322</v>
      </c>
      <c r="B332" s="13" t="s">
        <v>266</v>
      </c>
      <c r="C332" s="13" t="s">
        <v>552</v>
      </c>
      <c r="D332" s="13" t="s">
        <v>551</v>
      </c>
      <c r="E332" s="13" t="s">
        <v>1330</v>
      </c>
      <c r="F332" s="13" t="s">
        <v>171</v>
      </c>
      <c r="G332" s="13" t="s">
        <v>111</v>
      </c>
      <c r="H332" s="16">
        <v>43920</v>
      </c>
      <c r="I332" s="16">
        <v>43922</v>
      </c>
      <c r="J332" s="22">
        <v>39.64</v>
      </c>
      <c r="K332" s="22">
        <v>23.41</v>
      </c>
      <c r="L332" s="22" t="s">
        <v>1331</v>
      </c>
      <c r="M332" s="26" t="s">
        <v>98</v>
      </c>
      <c r="N332" s="13" t="s">
        <v>230</v>
      </c>
      <c r="O332" s="13" t="s">
        <v>342</v>
      </c>
      <c r="P332" s="13" t="s">
        <v>60</v>
      </c>
      <c r="Q332" s="13" t="s">
        <v>104</v>
      </c>
      <c r="R332" s="13" t="s">
        <v>270</v>
      </c>
      <c r="S332" s="13" t="s">
        <v>1332</v>
      </c>
      <c r="T332" s="13" t="s">
        <v>1333</v>
      </c>
      <c r="U332" s="13"/>
      <c r="V332" s="13"/>
      <c r="W332" s="13"/>
      <c r="AA332" s="54">
        <v>23.41</v>
      </c>
      <c r="AN332" s="7" t="s">
        <v>15</v>
      </c>
      <c r="AO332" s="21">
        <f t="shared" si="15"/>
        <v>23.41</v>
      </c>
      <c r="AP332" s="7">
        <f t="shared" si="16"/>
        <v>0</v>
      </c>
      <c r="AQ332" s="31" t="str">
        <f t="shared" si="17"/>
        <v>Complete - With Adjustment</v>
      </c>
    </row>
    <row r="333" spans="1:43" x14ac:dyDescent="0.2">
      <c r="A333" s="46">
        <v>323</v>
      </c>
      <c r="B333" s="13" t="s">
        <v>266</v>
      </c>
      <c r="C333" s="13" t="s">
        <v>552</v>
      </c>
      <c r="D333" s="13" t="s">
        <v>551</v>
      </c>
      <c r="E333" s="13" t="s">
        <v>1330</v>
      </c>
      <c r="F333" s="13" t="s">
        <v>171</v>
      </c>
      <c r="G333" s="13" t="s">
        <v>111</v>
      </c>
      <c r="H333" s="16">
        <v>43920</v>
      </c>
      <c r="I333" s="16">
        <v>43922</v>
      </c>
      <c r="J333" s="22">
        <v>39.64</v>
      </c>
      <c r="K333" s="22">
        <v>16.23</v>
      </c>
      <c r="L333" s="22" t="s">
        <v>1331</v>
      </c>
      <c r="M333" s="26" t="s">
        <v>98</v>
      </c>
      <c r="N333" s="13" t="s">
        <v>230</v>
      </c>
      <c r="O333" s="13" t="s">
        <v>342</v>
      </c>
      <c r="P333" s="13" t="s">
        <v>60</v>
      </c>
      <c r="Q333" s="13" t="s">
        <v>104</v>
      </c>
      <c r="R333" s="13" t="s">
        <v>270</v>
      </c>
      <c r="S333" s="13" t="s">
        <v>1332</v>
      </c>
      <c r="T333" s="13" t="s">
        <v>1334</v>
      </c>
      <c r="U333" s="13"/>
      <c r="V333" s="13"/>
      <c r="W333" s="13"/>
      <c r="AA333" s="54">
        <v>16.23</v>
      </c>
      <c r="AN333" s="7" t="s">
        <v>15</v>
      </c>
      <c r="AO333" s="21">
        <f t="shared" si="15"/>
        <v>16.23</v>
      </c>
      <c r="AP333" s="7">
        <f t="shared" si="16"/>
        <v>0</v>
      </c>
      <c r="AQ333" s="31" t="str">
        <f t="shared" si="17"/>
        <v>Complete - With Adjustment</v>
      </c>
    </row>
    <row r="334" spans="1:43" x14ac:dyDescent="0.2">
      <c r="A334" s="46">
        <v>324</v>
      </c>
      <c r="B334" s="13" t="s">
        <v>266</v>
      </c>
      <c r="C334" s="13" t="s">
        <v>1335</v>
      </c>
      <c r="D334" s="13" t="s">
        <v>1336</v>
      </c>
      <c r="E334" s="13" t="s">
        <v>1337</v>
      </c>
      <c r="F334" s="13" t="s">
        <v>177</v>
      </c>
      <c r="G334" s="13" t="s">
        <v>111</v>
      </c>
      <c r="H334" s="16">
        <v>43921</v>
      </c>
      <c r="I334" s="16">
        <v>43928</v>
      </c>
      <c r="J334" s="22">
        <v>14.06</v>
      </c>
      <c r="K334" s="22">
        <v>14.06</v>
      </c>
      <c r="L334" s="22" t="s">
        <v>1338</v>
      </c>
      <c r="M334" s="26" t="s">
        <v>98</v>
      </c>
      <c r="N334" s="13" t="s">
        <v>230</v>
      </c>
      <c r="O334" s="13" t="s">
        <v>429</v>
      </c>
      <c r="P334" s="13" t="s">
        <v>60</v>
      </c>
      <c r="Q334" s="13" t="s">
        <v>41</v>
      </c>
      <c r="R334" s="13" t="s">
        <v>270</v>
      </c>
      <c r="S334" s="13" t="s">
        <v>1339</v>
      </c>
      <c r="T334" s="13" t="s">
        <v>1340</v>
      </c>
      <c r="U334" s="13"/>
      <c r="V334" s="13"/>
      <c r="W334" s="13"/>
      <c r="AI334" s="53">
        <v>14.06</v>
      </c>
      <c r="AN334" s="7" t="s">
        <v>145</v>
      </c>
      <c r="AO334" s="21">
        <f t="shared" si="15"/>
        <v>14.06</v>
      </c>
      <c r="AP334" s="7">
        <f t="shared" si="16"/>
        <v>0</v>
      </c>
      <c r="AQ334" s="31" t="str">
        <f t="shared" si="17"/>
        <v>Complete - With Adjustment</v>
      </c>
    </row>
    <row r="335" spans="1:43" x14ac:dyDescent="0.2">
      <c r="A335" s="46">
        <v>325</v>
      </c>
      <c r="B335" s="13" t="s">
        <v>266</v>
      </c>
      <c r="C335" s="13" t="s">
        <v>1335</v>
      </c>
      <c r="D335" s="13" t="s">
        <v>1336</v>
      </c>
      <c r="E335" s="13" t="s">
        <v>1341</v>
      </c>
      <c r="F335" s="13" t="s">
        <v>170</v>
      </c>
      <c r="G335" s="13" t="s">
        <v>111</v>
      </c>
      <c r="H335" s="16">
        <v>43877</v>
      </c>
      <c r="I335" s="16">
        <v>43923</v>
      </c>
      <c r="J335" s="22">
        <v>1209.1300000000001</v>
      </c>
      <c r="K335" s="22">
        <v>303.27</v>
      </c>
      <c r="L335" s="22" t="s">
        <v>1342</v>
      </c>
      <c r="M335" s="26" t="s">
        <v>98</v>
      </c>
      <c r="N335" s="13" t="s">
        <v>230</v>
      </c>
      <c r="O335" s="13" t="s">
        <v>429</v>
      </c>
      <c r="P335" s="13" t="s">
        <v>60</v>
      </c>
      <c r="Q335" s="13" t="s">
        <v>45</v>
      </c>
      <c r="R335" s="13" t="s">
        <v>270</v>
      </c>
      <c r="S335" s="13" t="s">
        <v>1343</v>
      </c>
      <c r="T335" s="13" t="s">
        <v>1344</v>
      </c>
      <c r="U335" s="13"/>
      <c r="V335" s="13"/>
      <c r="W335" s="13"/>
      <c r="AN335" s="7" t="s">
        <v>70</v>
      </c>
      <c r="AO335" s="21">
        <f t="shared" si="15"/>
        <v>0</v>
      </c>
      <c r="AP335" s="7">
        <f t="shared" si="16"/>
        <v>303.27</v>
      </c>
      <c r="AQ335" s="31" t="str">
        <f t="shared" si="17"/>
        <v>Complete - No Adjustment</v>
      </c>
    </row>
    <row r="336" spans="1:43" x14ac:dyDescent="0.2">
      <c r="A336" s="46">
        <v>326</v>
      </c>
      <c r="B336" s="13" t="s">
        <v>266</v>
      </c>
      <c r="C336" s="13" t="s">
        <v>1335</v>
      </c>
      <c r="D336" s="13" t="s">
        <v>1336</v>
      </c>
      <c r="E336" s="13" t="s">
        <v>1341</v>
      </c>
      <c r="F336" s="13" t="s">
        <v>170</v>
      </c>
      <c r="G336" s="13" t="s">
        <v>111</v>
      </c>
      <c r="H336" s="16">
        <v>43877</v>
      </c>
      <c r="I336" s="16">
        <v>43923</v>
      </c>
      <c r="J336" s="22">
        <v>1209.1300000000001</v>
      </c>
      <c r="K336" s="22">
        <v>209.96</v>
      </c>
      <c r="L336" s="22" t="s">
        <v>1342</v>
      </c>
      <c r="M336" s="26" t="s">
        <v>98</v>
      </c>
      <c r="N336" s="13" t="s">
        <v>230</v>
      </c>
      <c r="O336" s="13" t="s">
        <v>429</v>
      </c>
      <c r="P336" s="13" t="s">
        <v>60</v>
      </c>
      <c r="Q336" s="13" t="s">
        <v>44</v>
      </c>
      <c r="R336" s="13" t="s">
        <v>270</v>
      </c>
      <c r="S336" s="13" t="s">
        <v>1343</v>
      </c>
      <c r="T336" s="13" t="s">
        <v>1345</v>
      </c>
      <c r="U336" s="13"/>
      <c r="V336" s="13"/>
      <c r="W336" s="13"/>
      <c r="AN336" s="7" t="s">
        <v>70</v>
      </c>
      <c r="AO336" s="21">
        <f t="shared" si="15"/>
        <v>0</v>
      </c>
      <c r="AP336" s="7">
        <f t="shared" si="16"/>
        <v>209.96</v>
      </c>
      <c r="AQ336" s="31" t="str">
        <f t="shared" si="17"/>
        <v>Complete - No Adjustment</v>
      </c>
    </row>
    <row r="337" spans="1:43" x14ac:dyDescent="0.2">
      <c r="A337" s="46">
        <v>327</v>
      </c>
      <c r="B337" s="13" t="s">
        <v>266</v>
      </c>
      <c r="C337" s="13" t="s">
        <v>1335</v>
      </c>
      <c r="D337" s="13" t="s">
        <v>1336</v>
      </c>
      <c r="E337" s="13" t="s">
        <v>1341</v>
      </c>
      <c r="F337" s="13" t="s">
        <v>170</v>
      </c>
      <c r="G337" s="13" t="s">
        <v>111</v>
      </c>
      <c r="H337" s="16">
        <v>43877</v>
      </c>
      <c r="I337" s="16">
        <v>43923</v>
      </c>
      <c r="J337" s="22">
        <v>1209.1300000000001</v>
      </c>
      <c r="K337" s="22">
        <v>310.3</v>
      </c>
      <c r="L337" s="22" t="s">
        <v>1342</v>
      </c>
      <c r="M337" s="26" t="s">
        <v>98</v>
      </c>
      <c r="N337" s="13" t="s">
        <v>230</v>
      </c>
      <c r="O337" s="13" t="s">
        <v>429</v>
      </c>
      <c r="P337" s="13" t="s">
        <v>60</v>
      </c>
      <c r="Q337" s="13" t="s">
        <v>45</v>
      </c>
      <c r="R337" s="13" t="s">
        <v>270</v>
      </c>
      <c r="S337" s="13" t="s">
        <v>1343</v>
      </c>
      <c r="T337" s="13" t="s">
        <v>1346</v>
      </c>
      <c r="U337" s="13"/>
      <c r="V337" s="13"/>
      <c r="W337" s="13"/>
      <c r="AN337" s="7" t="s">
        <v>70</v>
      </c>
      <c r="AO337" s="21">
        <f t="shared" si="15"/>
        <v>0</v>
      </c>
      <c r="AP337" s="7">
        <f t="shared" si="16"/>
        <v>310.3</v>
      </c>
      <c r="AQ337" s="31" t="str">
        <f t="shared" si="17"/>
        <v>Complete - No Adjustment</v>
      </c>
    </row>
    <row r="338" spans="1:43" x14ac:dyDescent="0.2">
      <c r="A338" s="46">
        <v>328</v>
      </c>
      <c r="B338" s="13" t="s">
        <v>266</v>
      </c>
      <c r="C338" s="13" t="s">
        <v>1335</v>
      </c>
      <c r="D338" s="13" t="s">
        <v>1336</v>
      </c>
      <c r="E338" s="13" t="s">
        <v>1341</v>
      </c>
      <c r="F338" s="13" t="s">
        <v>170</v>
      </c>
      <c r="G338" s="13" t="s">
        <v>111</v>
      </c>
      <c r="H338" s="16">
        <v>43877</v>
      </c>
      <c r="I338" s="16">
        <v>43923</v>
      </c>
      <c r="J338" s="22">
        <v>1209.1300000000001</v>
      </c>
      <c r="K338" s="22">
        <v>385.6</v>
      </c>
      <c r="L338" s="22" t="s">
        <v>1342</v>
      </c>
      <c r="M338" s="26" t="s">
        <v>98</v>
      </c>
      <c r="N338" s="13" t="s">
        <v>230</v>
      </c>
      <c r="O338" s="13" t="s">
        <v>429</v>
      </c>
      <c r="P338" s="13" t="s">
        <v>60</v>
      </c>
      <c r="Q338" s="13" t="s">
        <v>44</v>
      </c>
      <c r="R338" s="13" t="s">
        <v>270</v>
      </c>
      <c r="S338" s="13" t="s">
        <v>1343</v>
      </c>
      <c r="T338" s="13" t="s">
        <v>1347</v>
      </c>
      <c r="U338" s="13"/>
      <c r="V338" s="13"/>
      <c r="W338" s="13"/>
      <c r="AN338" s="7" t="s">
        <v>70</v>
      </c>
      <c r="AO338" s="21">
        <f t="shared" si="15"/>
        <v>0</v>
      </c>
      <c r="AP338" s="7">
        <f t="shared" si="16"/>
        <v>385.6</v>
      </c>
      <c r="AQ338" s="31" t="str">
        <f t="shared" si="17"/>
        <v>Complete - No Adjustment</v>
      </c>
    </row>
    <row r="339" spans="1:43" x14ac:dyDescent="0.2">
      <c r="A339" s="46">
        <v>329</v>
      </c>
      <c r="B339" s="13" t="s">
        <v>266</v>
      </c>
      <c r="C339" s="13" t="s">
        <v>708</v>
      </c>
      <c r="D339" s="13" t="s">
        <v>707</v>
      </c>
      <c r="E339" s="13" t="s">
        <v>1348</v>
      </c>
      <c r="F339" s="13" t="s">
        <v>175</v>
      </c>
      <c r="G339" s="13" t="s">
        <v>111</v>
      </c>
      <c r="H339" s="16">
        <v>43892</v>
      </c>
      <c r="I339" s="16">
        <v>43929</v>
      </c>
      <c r="J339" s="22">
        <v>1774.54</v>
      </c>
      <c r="K339" s="22">
        <v>200</v>
      </c>
      <c r="L339" s="22" t="s">
        <v>1349</v>
      </c>
      <c r="M339" s="26" t="s">
        <v>98</v>
      </c>
      <c r="N339" s="13" t="s">
        <v>230</v>
      </c>
      <c r="O339" s="13" t="s">
        <v>387</v>
      </c>
      <c r="P339" s="13" t="s">
        <v>60</v>
      </c>
      <c r="Q339" s="13" t="s">
        <v>44</v>
      </c>
      <c r="R339" s="13" t="s">
        <v>270</v>
      </c>
      <c r="S339" s="13" t="s">
        <v>1350</v>
      </c>
      <c r="T339" s="13" t="s">
        <v>1351</v>
      </c>
      <c r="U339" s="13"/>
      <c r="V339" s="13"/>
      <c r="W339" s="13"/>
      <c r="AN339" s="7" t="s">
        <v>70</v>
      </c>
      <c r="AO339" s="21">
        <f t="shared" si="15"/>
        <v>0</v>
      </c>
      <c r="AP339" s="7">
        <f t="shared" si="16"/>
        <v>200</v>
      </c>
      <c r="AQ339" s="31" t="str">
        <f t="shared" si="17"/>
        <v>Complete - No Adjustment</v>
      </c>
    </row>
    <row r="340" spans="1:43" x14ac:dyDescent="0.2">
      <c r="A340" s="46">
        <v>330</v>
      </c>
      <c r="B340" s="13" t="s">
        <v>266</v>
      </c>
      <c r="C340" s="13" t="s">
        <v>708</v>
      </c>
      <c r="D340" s="13" t="s">
        <v>707</v>
      </c>
      <c r="E340" s="13" t="s">
        <v>1348</v>
      </c>
      <c r="F340" s="13" t="s">
        <v>175</v>
      </c>
      <c r="G340" s="13" t="s">
        <v>111</v>
      </c>
      <c r="H340" s="16">
        <v>43892</v>
      </c>
      <c r="I340" s="16">
        <v>43929</v>
      </c>
      <c r="J340" s="22">
        <v>1774.54</v>
      </c>
      <c r="K340" s="22">
        <v>60.32</v>
      </c>
      <c r="L340" s="22" t="s">
        <v>1349</v>
      </c>
      <c r="M340" s="26" t="s">
        <v>97</v>
      </c>
      <c r="N340" s="13" t="s">
        <v>230</v>
      </c>
      <c r="O340" s="13" t="s">
        <v>375</v>
      </c>
      <c r="P340" s="13" t="s">
        <v>42</v>
      </c>
      <c r="Q340" s="13" t="s">
        <v>41</v>
      </c>
      <c r="R340" s="13" t="s">
        <v>270</v>
      </c>
      <c r="S340" s="13" t="s">
        <v>1350</v>
      </c>
      <c r="T340" s="13" t="s">
        <v>1352</v>
      </c>
      <c r="U340" s="13"/>
      <c r="V340" s="13"/>
      <c r="W340" s="13"/>
      <c r="AI340" s="53">
        <v>60.32</v>
      </c>
      <c r="AN340" s="7" t="s">
        <v>145</v>
      </c>
      <c r="AO340" s="21">
        <f t="shared" si="15"/>
        <v>60.32</v>
      </c>
      <c r="AP340" s="7">
        <f t="shared" si="16"/>
        <v>0</v>
      </c>
      <c r="AQ340" s="31" t="str">
        <f t="shared" si="17"/>
        <v>Complete - With Adjustment</v>
      </c>
    </row>
    <row r="341" spans="1:43" x14ac:dyDescent="0.2">
      <c r="A341" s="46">
        <v>331</v>
      </c>
      <c r="B341" s="13" t="s">
        <v>266</v>
      </c>
      <c r="C341" s="13" t="s">
        <v>708</v>
      </c>
      <c r="D341" s="13" t="s">
        <v>707</v>
      </c>
      <c r="E341" s="13" t="s">
        <v>1348</v>
      </c>
      <c r="F341" s="13" t="s">
        <v>175</v>
      </c>
      <c r="G341" s="13" t="s">
        <v>111</v>
      </c>
      <c r="H341" s="16">
        <v>43892</v>
      </c>
      <c r="I341" s="16">
        <v>43929</v>
      </c>
      <c r="J341" s="22">
        <v>1774.54</v>
      </c>
      <c r="K341" s="22">
        <v>270.33</v>
      </c>
      <c r="L341" s="22" t="s">
        <v>1349</v>
      </c>
      <c r="M341" s="26" t="s">
        <v>97</v>
      </c>
      <c r="N341" s="13" t="s">
        <v>230</v>
      </c>
      <c r="O341" s="13" t="s">
        <v>375</v>
      </c>
      <c r="P341" s="13" t="s">
        <v>42</v>
      </c>
      <c r="Q341" s="13" t="s">
        <v>41</v>
      </c>
      <c r="R341" s="13" t="s">
        <v>270</v>
      </c>
      <c r="S341" s="13" t="s">
        <v>1350</v>
      </c>
      <c r="T341" s="13" t="s">
        <v>1353</v>
      </c>
      <c r="U341" s="13"/>
      <c r="V341" s="13"/>
      <c r="W341" s="13"/>
      <c r="AI341" s="53">
        <v>270.33</v>
      </c>
      <c r="AN341" s="7" t="s">
        <v>1354</v>
      </c>
      <c r="AO341" s="21">
        <f t="shared" si="15"/>
        <v>270.33</v>
      </c>
      <c r="AP341" s="7">
        <f t="shared" si="16"/>
        <v>0</v>
      </c>
      <c r="AQ341" s="31" t="str">
        <f t="shared" si="17"/>
        <v>Complete - With Adjustment</v>
      </c>
    </row>
    <row r="342" spans="1:43" x14ac:dyDescent="0.2">
      <c r="A342" s="46">
        <v>332</v>
      </c>
      <c r="B342" s="13" t="s">
        <v>266</v>
      </c>
      <c r="C342" s="13" t="s">
        <v>708</v>
      </c>
      <c r="D342" s="13" t="s">
        <v>707</v>
      </c>
      <c r="E342" s="13" t="s">
        <v>1348</v>
      </c>
      <c r="F342" s="13" t="s">
        <v>175</v>
      </c>
      <c r="G342" s="13" t="s">
        <v>111</v>
      </c>
      <c r="H342" s="16">
        <v>43892</v>
      </c>
      <c r="I342" s="16">
        <v>43929</v>
      </c>
      <c r="J342" s="22">
        <v>1774.54</v>
      </c>
      <c r="K342" s="22">
        <v>633.38</v>
      </c>
      <c r="L342" s="22" t="s">
        <v>1349</v>
      </c>
      <c r="M342" s="26" t="s">
        <v>98</v>
      </c>
      <c r="N342" s="13" t="s">
        <v>230</v>
      </c>
      <c r="O342" s="13" t="s">
        <v>277</v>
      </c>
      <c r="P342" s="13" t="s">
        <v>60</v>
      </c>
      <c r="Q342" s="13" t="s">
        <v>41</v>
      </c>
      <c r="R342" s="13" t="s">
        <v>270</v>
      </c>
      <c r="S342" s="13" t="s">
        <v>1350</v>
      </c>
      <c r="T342" s="13" t="s">
        <v>1355</v>
      </c>
      <c r="U342" s="13"/>
      <c r="V342" s="13"/>
      <c r="W342" s="13"/>
      <c r="AN342" s="7" t="s">
        <v>70</v>
      </c>
      <c r="AO342" s="21">
        <f t="shared" si="15"/>
        <v>0</v>
      </c>
      <c r="AP342" s="7">
        <f t="shared" si="16"/>
        <v>633.38</v>
      </c>
      <c r="AQ342" s="31" t="str">
        <f t="shared" si="17"/>
        <v>Complete - No Adjustment</v>
      </c>
    </row>
    <row r="343" spans="1:43" x14ac:dyDescent="0.2">
      <c r="A343" s="46">
        <v>333</v>
      </c>
      <c r="B343" s="13" t="s">
        <v>266</v>
      </c>
      <c r="C343" s="13" t="s">
        <v>708</v>
      </c>
      <c r="D343" s="13" t="s">
        <v>707</v>
      </c>
      <c r="E343" s="13" t="s">
        <v>1348</v>
      </c>
      <c r="F343" s="13" t="s">
        <v>175</v>
      </c>
      <c r="G343" s="13" t="s">
        <v>111</v>
      </c>
      <c r="H343" s="16">
        <v>43892</v>
      </c>
      <c r="I343" s="16">
        <v>43929</v>
      </c>
      <c r="J343" s="22">
        <v>1774.54</v>
      </c>
      <c r="K343" s="22">
        <v>199.46</v>
      </c>
      <c r="L343" s="22" t="s">
        <v>1349</v>
      </c>
      <c r="M343" s="26" t="s">
        <v>97</v>
      </c>
      <c r="N343" s="13" t="s">
        <v>230</v>
      </c>
      <c r="O343" s="13" t="s">
        <v>375</v>
      </c>
      <c r="P343" s="13" t="s">
        <v>42</v>
      </c>
      <c r="Q343" s="13" t="s">
        <v>41</v>
      </c>
      <c r="R343" s="13" t="s">
        <v>270</v>
      </c>
      <c r="S343" s="13" t="s">
        <v>1350</v>
      </c>
      <c r="T343" s="13" t="s">
        <v>1356</v>
      </c>
      <c r="U343" s="13"/>
      <c r="V343" s="13"/>
      <c r="W343" s="13"/>
      <c r="AI343" s="53">
        <v>199.46</v>
      </c>
      <c r="AN343" s="7" t="s">
        <v>145</v>
      </c>
      <c r="AO343" s="21">
        <f t="shared" si="15"/>
        <v>199.46</v>
      </c>
      <c r="AP343" s="7">
        <f t="shared" si="16"/>
        <v>0</v>
      </c>
      <c r="AQ343" s="31" t="str">
        <f t="shared" si="17"/>
        <v>Complete - With Adjustment</v>
      </c>
    </row>
    <row r="344" spans="1:43" x14ac:dyDescent="0.2">
      <c r="A344" s="46">
        <v>334</v>
      </c>
      <c r="B344" s="13" t="s">
        <v>266</v>
      </c>
      <c r="C344" s="13" t="s">
        <v>708</v>
      </c>
      <c r="D344" s="13" t="s">
        <v>707</v>
      </c>
      <c r="E344" s="13" t="s">
        <v>1348</v>
      </c>
      <c r="F344" s="13" t="s">
        <v>175</v>
      </c>
      <c r="G344" s="13" t="s">
        <v>111</v>
      </c>
      <c r="H344" s="16">
        <v>43892</v>
      </c>
      <c r="I344" s="16">
        <v>43929</v>
      </c>
      <c r="J344" s="22">
        <v>1774.54</v>
      </c>
      <c r="K344" s="22">
        <v>81.569999999999993</v>
      </c>
      <c r="L344" s="22" t="s">
        <v>1349</v>
      </c>
      <c r="M344" s="26" t="s">
        <v>97</v>
      </c>
      <c r="N344" s="13" t="s">
        <v>230</v>
      </c>
      <c r="O344" s="13" t="s">
        <v>375</v>
      </c>
      <c r="P344" s="13" t="s">
        <v>42</v>
      </c>
      <c r="Q344" s="13" t="s">
        <v>41</v>
      </c>
      <c r="R344" s="13" t="s">
        <v>270</v>
      </c>
      <c r="S344" s="13" t="s">
        <v>1350</v>
      </c>
      <c r="T344" s="13" t="s">
        <v>1357</v>
      </c>
      <c r="U344" s="13"/>
      <c r="V344" s="13"/>
      <c r="W344" s="13"/>
      <c r="AI344" s="53">
        <v>81.569999999999993</v>
      </c>
      <c r="AN344" s="7" t="s">
        <v>1354</v>
      </c>
      <c r="AO344" s="21">
        <f t="shared" si="15"/>
        <v>81.569999999999993</v>
      </c>
      <c r="AP344" s="7">
        <f t="shared" si="16"/>
        <v>0</v>
      </c>
      <c r="AQ344" s="31" t="str">
        <f t="shared" si="17"/>
        <v>Complete - With Adjustment</v>
      </c>
    </row>
    <row r="345" spans="1:43" x14ac:dyDescent="0.2">
      <c r="A345" s="46">
        <v>335</v>
      </c>
      <c r="B345" s="13" t="s">
        <v>266</v>
      </c>
      <c r="C345" s="13" t="s">
        <v>708</v>
      </c>
      <c r="D345" s="13" t="s">
        <v>707</v>
      </c>
      <c r="E345" s="13" t="s">
        <v>1348</v>
      </c>
      <c r="F345" s="13" t="s">
        <v>175</v>
      </c>
      <c r="G345" s="13" t="s">
        <v>111</v>
      </c>
      <c r="H345" s="16">
        <v>43892</v>
      </c>
      <c r="I345" s="16">
        <v>43929</v>
      </c>
      <c r="J345" s="22">
        <v>1774.54</v>
      </c>
      <c r="K345" s="22">
        <v>34.49</v>
      </c>
      <c r="L345" s="22" t="s">
        <v>1349</v>
      </c>
      <c r="M345" s="26" t="s">
        <v>97</v>
      </c>
      <c r="N345" s="13" t="s">
        <v>230</v>
      </c>
      <c r="O345" s="13" t="s">
        <v>375</v>
      </c>
      <c r="P345" s="13" t="s">
        <v>42</v>
      </c>
      <c r="Q345" s="13" t="s">
        <v>41</v>
      </c>
      <c r="R345" s="13" t="s">
        <v>270</v>
      </c>
      <c r="S345" s="13" t="s">
        <v>1350</v>
      </c>
      <c r="T345" s="13" t="s">
        <v>1353</v>
      </c>
      <c r="U345" s="13"/>
      <c r="V345" s="13"/>
      <c r="W345" s="13"/>
      <c r="AI345" s="53">
        <v>34.49</v>
      </c>
      <c r="AN345" s="7" t="s">
        <v>1354</v>
      </c>
      <c r="AO345" s="21">
        <f t="shared" si="15"/>
        <v>34.49</v>
      </c>
      <c r="AP345" s="7">
        <f t="shared" si="16"/>
        <v>0</v>
      </c>
      <c r="AQ345" s="31" t="str">
        <f t="shared" si="17"/>
        <v>Complete - With Adjustment</v>
      </c>
    </row>
    <row r="346" spans="1:43" x14ac:dyDescent="0.2">
      <c r="A346" s="46">
        <v>336</v>
      </c>
      <c r="B346" s="13" t="s">
        <v>266</v>
      </c>
      <c r="C346" s="13" t="s">
        <v>708</v>
      </c>
      <c r="D346" s="13" t="s">
        <v>707</v>
      </c>
      <c r="E346" s="13" t="s">
        <v>1348</v>
      </c>
      <c r="F346" s="13" t="s">
        <v>175</v>
      </c>
      <c r="G346" s="13" t="s">
        <v>111</v>
      </c>
      <c r="H346" s="16">
        <v>43892</v>
      </c>
      <c r="I346" s="16">
        <v>43929</v>
      </c>
      <c r="J346" s="22">
        <v>1774.54</v>
      </c>
      <c r="K346" s="22">
        <v>94.99</v>
      </c>
      <c r="L346" s="22" t="s">
        <v>1349</v>
      </c>
      <c r="M346" s="26" t="s">
        <v>97</v>
      </c>
      <c r="N346" s="13" t="s">
        <v>230</v>
      </c>
      <c r="O346" s="13" t="s">
        <v>375</v>
      </c>
      <c r="P346" s="13" t="s">
        <v>42</v>
      </c>
      <c r="Q346" s="13" t="s">
        <v>41</v>
      </c>
      <c r="R346" s="13" t="s">
        <v>270</v>
      </c>
      <c r="S346" s="13" t="s">
        <v>1350</v>
      </c>
      <c r="T346" s="13" t="s">
        <v>1358</v>
      </c>
      <c r="U346" s="13"/>
      <c r="V346" s="13"/>
      <c r="W346" s="13"/>
      <c r="AI346" s="53">
        <v>94.99</v>
      </c>
      <c r="AN346" s="7" t="s">
        <v>179</v>
      </c>
      <c r="AO346" s="21">
        <f t="shared" si="15"/>
        <v>94.99</v>
      </c>
      <c r="AP346" s="7">
        <f t="shared" si="16"/>
        <v>0</v>
      </c>
      <c r="AQ346" s="31" t="str">
        <f t="shared" si="17"/>
        <v>Complete - With Adjustment</v>
      </c>
    </row>
    <row r="347" spans="1:43" x14ac:dyDescent="0.2">
      <c r="A347" s="46">
        <v>337</v>
      </c>
      <c r="B347" s="13" t="s">
        <v>266</v>
      </c>
      <c r="C347" s="13" t="s">
        <v>708</v>
      </c>
      <c r="D347" s="13" t="s">
        <v>707</v>
      </c>
      <c r="E347" s="13" t="s">
        <v>1348</v>
      </c>
      <c r="F347" s="13" t="s">
        <v>175</v>
      </c>
      <c r="G347" s="13" t="s">
        <v>111</v>
      </c>
      <c r="H347" s="16">
        <v>43892</v>
      </c>
      <c r="I347" s="16">
        <v>43929</v>
      </c>
      <c r="J347" s="22">
        <v>1774.54</v>
      </c>
      <c r="K347" s="22">
        <v>200</v>
      </c>
      <c r="L347" s="22" t="s">
        <v>1349</v>
      </c>
      <c r="M347" s="26" t="s">
        <v>97</v>
      </c>
      <c r="N347" s="13" t="s">
        <v>230</v>
      </c>
      <c r="O347" s="13" t="s">
        <v>375</v>
      </c>
      <c r="P347" s="13" t="s">
        <v>42</v>
      </c>
      <c r="Q347" s="13" t="s">
        <v>44</v>
      </c>
      <c r="R347" s="13" t="s">
        <v>270</v>
      </c>
      <c r="S347" s="13" t="s">
        <v>1350</v>
      </c>
      <c r="T347" s="13" t="s">
        <v>1359</v>
      </c>
      <c r="U347" s="13"/>
      <c r="V347" s="13"/>
      <c r="W347" s="13"/>
      <c r="AL347" s="14">
        <v>200</v>
      </c>
      <c r="AN347" s="7" t="s">
        <v>146</v>
      </c>
      <c r="AO347" s="21">
        <f t="shared" si="15"/>
        <v>200</v>
      </c>
      <c r="AP347" s="7">
        <f t="shared" si="16"/>
        <v>0</v>
      </c>
      <c r="AQ347" s="31" t="str">
        <f t="shared" si="17"/>
        <v>Complete - With Adjustment</v>
      </c>
    </row>
    <row r="348" spans="1:43" x14ac:dyDescent="0.2">
      <c r="A348" s="46">
        <v>338</v>
      </c>
      <c r="B348" s="13" t="s">
        <v>266</v>
      </c>
      <c r="C348" s="13" t="s">
        <v>710</v>
      </c>
      <c r="D348" s="13" t="s">
        <v>709</v>
      </c>
      <c r="E348" s="13" t="s">
        <v>1360</v>
      </c>
      <c r="F348" s="13" t="s">
        <v>182</v>
      </c>
      <c r="G348" s="13" t="s">
        <v>111</v>
      </c>
      <c r="H348" s="16">
        <v>43938</v>
      </c>
      <c r="I348" s="16">
        <v>43943</v>
      </c>
      <c r="J348" s="22">
        <v>41.84</v>
      </c>
      <c r="K348" s="22">
        <v>15</v>
      </c>
      <c r="L348" s="22" t="s">
        <v>1361</v>
      </c>
      <c r="M348" s="26" t="s">
        <v>98</v>
      </c>
      <c r="N348" s="13" t="s">
        <v>230</v>
      </c>
      <c r="O348" s="13" t="s">
        <v>288</v>
      </c>
      <c r="P348" s="13" t="s">
        <v>60</v>
      </c>
      <c r="Q348" s="13" t="s">
        <v>41</v>
      </c>
      <c r="R348" s="13" t="s">
        <v>270</v>
      </c>
      <c r="S348" s="13" t="s">
        <v>1362</v>
      </c>
      <c r="T348" s="13" t="s">
        <v>1363</v>
      </c>
      <c r="U348" s="13"/>
      <c r="V348" s="13"/>
      <c r="W348" s="13"/>
      <c r="AN348" s="7" t="s">
        <v>70</v>
      </c>
      <c r="AO348" s="21">
        <f t="shared" si="15"/>
        <v>0</v>
      </c>
      <c r="AP348" s="7">
        <f t="shared" si="16"/>
        <v>15</v>
      </c>
      <c r="AQ348" s="31" t="str">
        <f t="shared" si="17"/>
        <v>Complete - No Adjustment</v>
      </c>
    </row>
    <row r="349" spans="1:43" x14ac:dyDescent="0.2">
      <c r="A349" s="46">
        <v>339</v>
      </c>
      <c r="B349" s="13" t="s">
        <v>266</v>
      </c>
      <c r="C349" s="13" t="s">
        <v>710</v>
      </c>
      <c r="D349" s="13" t="s">
        <v>709</v>
      </c>
      <c r="E349" s="13" t="s">
        <v>1360</v>
      </c>
      <c r="F349" s="13" t="s">
        <v>182</v>
      </c>
      <c r="G349" s="13" t="s">
        <v>111</v>
      </c>
      <c r="H349" s="16">
        <v>43938</v>
      </c>
      <c r="I349" s="16">
        <v>43943</v>
      </c>
      <c r="J349" s="22">
        <v>41.84</v>
      </c>
      <c r="K349" s="22">
        <v>10.93</v>
      </c>
      <c r="L349" s="22" t="s">
        <v>1361</v>
      </c>
      <c r="M349" s="26" t="s">
        <v>98</v>
      </c>
      <c r="N349" s="13" t="s">
        <v>230</v>
      </c>
      <c r="O349" s="13" t="s">
        <v>288</v>
      </c>
      <c r="P349" s="13" t="s">
        <v>60</v>
      </c>
      <c r="Q349" s="13" t="s">
        <v>41</v>
      </c>
      <c r="R349" s="13" t="s">
        <v>270</v>
      </c>
      <c r="S349" s="13" t="s">
        <v>1362</v>
      </c>
      <c r="T349" s="13" t="s">
        <v>1364</v>
      </c>
      <c r="U349" s="13"/>
      <c r="V349" s="13"/>
      <c r="W349" s="13"/>
      <c r="AN349" s="7" t="s">
        <v>155</v>
      </c>
      <c r="AO349" s="21">
        <f t="shared" si="15"/>
        <v>0</v>
      </c>
      <c r="AP349" s="7">
        <f t="shared" si="16"/>
        <v>10.93</v>
      </c>
      <c r="AQ349" s="31" t="str">
        <f t="shared" si="17"/>
        <v>Complete - No Adjustment</v>
      </c>
    </row>
    <row r="350" spans="1:43" x14ac:dyDescent="0.2">
      <c r="A350" s="46">
        <v>340</v>
      </c>
      <c r="B350" s="13" t="s">
        <v>266</v>
      </c>
      <c r="C350" s="13" t="s">
        <v>710</v>
      </c>
      <c r="D350" s="13" t="s">
        <v>709</v>
      </c>
      <c r="E350" s="13" t="s">
        <v>1360</v>
      </c>
      <c r="F350" s="13" t="s">
        <v>182</v>
      </c>
      <c r="G350" s="13" t="s">
        <v>111</v>
      </c>
      <c r="H350" s="16">
        <v>43938</v>
      </c>
      <c r="I350" s="16">
        <v>43943</v>
      </c>
      <c r="J350" s="22">
        <v>41.84</v>
      </c>
      <c r="K350" s="22">
        <v>15.91</v>
      </c>
      <c r="L350" s="22" t="s">
        <v>1361</v>
      </c>
      <c r="M350" s="26" t="s">
        <v>98</v>
      </c>
      <c r="N350" s="13" t="s">
        <v>230</v>
      </c>
      <c r="O350" s="13" t="s">
        <v>288</v>
      </c>
      <c r="P350" s="13" t="s">
        <v>60</v>
      </c>
      <c r="Q350" s="13" t="s">
        <v>41</v>
      </c>
      <c r="R350" s="13" t="s">
        <v>270</v>
      </c>
      <c r="S350" s="13" t="s">
        <v>1362</v>
      </c>
      <c r="T350" s="13" t="s">
        <v>1365</v>
      </c>
      <c r="U350" s="13"/>
      <c r="V350" s="13"/>
      <c r="W350" s="13"/>
      <c r="AC350" s="53">
        <f>15.91-11.91*1.2</f>
        <v>1.6180000000000003</v>
      </c>
      <c r="AN350" s="7" t="s">
        <v>1132</v>
      </c>
      <c r="AO350" s="21">
        <f t="shared" si="15"/>
        <v>1.6180000000000003</v>
      </c>
      <c r="AP350" s="7">
        <f t="shared" si="16"/>
        <v>14.292</v>
      </c>
      <c r="AQ350" s="31" t="str">
        <f t="shared" si="17"/>
        <v>Complete - With Adjustment</v>
      </c>
    </row>
    <row r="351" spans="1:43" x14ac:dyDescent="0.2">
      <c r="A351" s="46">
        <v>341</v>
      </c>
      <c r="B351" s="13" t="s">
        <v>266</v>
      </c>
      <c r="C351" s="13" t="s">
        <v>657</v>
      </c>
      <c r="D351" s="13" t="s">
        <v>656</v>
      </c>
      <c r="E351" s="13" t="s">
        <v>1366</v>
      </c>
      <c r="F351" s="13" t="s">
        <v>183</v>
      </c>
      <c r="G351" s="13" t="s">
        <v>111</v>
      </c>
      <c r="H351" s="16">
        <v>43934</v>
      </c>
      <c r="I351" s="16">
        <v>43936</v>
      </c>
      <c r="J351" s="22">
        <v>135.29</v>
      </c>
      <c r="K351" s="22">
        <v>37.880000000000003</v>
      </c>
      <c r="L351" s="22" t="s">
        <v>1367</v>
      </c>
      <c r="M351" s="26" t="s">
        <v>98</v>
      </c>
      <c r="N351" s="13" t="s">
        <v>230</v>
      </c>
      <c r="O351" s="13" t="s">
        <v>484</v>
      </c>
      <c r="P351" s="13" t="s">
        <v>60</v>
      </c>
      <c r="Q351" s="13" t="s">
        <v>62</v>
      </c>
      <c r="R351" s="13" t="s">
        <v>270</v>
      </c>
      <c r="S351" s="13" t="s">
        <v>1368</v>
      </c>
      <c r="T351" s="13" t="s">
        <v>1369</v>
      </c>
      <c r="U351" s="13"/>
      <c r="V351" s="13"/>
      <c r="W351" s="13"/>
      <c r="AN351" s="7" t="s">
        <v>155</v>
      </c>
      <c r="AO351" s="21">
        <f t="shared" si="15"/>
        <v>0</v>
      </c>
      <c r="AP351" s="7">
        <f t="shared" si="16"/>
        <v>37.880000000000003</v>
      </c>
      <c r="AQ351" s="31" t="str">
        <f t="shared" si="17"/>
        <v>Complete - No Adjustment</v>
      </c>
    </row>
    <row r="352" spans="1:43" x14ac:dyDescent="0.2">
      <c r="A352" s="46">
        <v>342</v>
      </c>
      <c r="B352" s="13" t="s">
        <v>266</v>
      </c>
      <c r="C352" s="13" t="s">
        <v>657</v>
      </c>
      <c r="D352" s="13" t="s">
        <v>656</v>
      </c>
      <c r="E352" s="13" t="s">
        <v>1366</v>
      </c>
      <c r="F352" s="13" t="s">
        <v>183</v>
      </c>
      <c r="G352" s="13" t="s">
        <v>111</v>
      </c>
      <c r="H352" s="16">
        <v>43934</v>
      </c>
      <c r="I352" s="16">
        <v>43936</v>
      </c>
      <c r="J352" s="22">
        <v>135.29</v>
      </c>
      <c r="K352" s="22">
        <v>97.41</v>
      </c>
      <c r="L352" s="22" t="s">
        <v>1367</v>
      </c>
      <c r="M352" s="26" t="s">
        <v>98</v>
      </c>
      <c r="N352" s="13" t="s">
        <v>230</v>
      </c>
      <c r="O352" s="13" t="s">
        <v>484</v>
      </c>
      <c r="P352" s="13" t="s">
        <v>60</v>
      </c>
      <c r="Q352" s="13" t="s">
        <v>62</v>
      </c>
      <c r="R352" s="13" t="s">
        <v>270</v>
      </c>
      <c r="S352" s="13" t="s">
        <v>1368</v>
      </c>
      <c r="T352" s="13" t="s">
        <v>1370</v>
      </c>
      <c r="U352" s="13"/>
      <c r="V352" s="13"/>
      <c r="W352" s="13"/>
      <c r="AN352" s="7" t="s">
        <v>155</v>
      </c>
      <c r="AO352" s="21">
        <f t="shared" si="15"/>
        <v>0</v>
      </c>
      <c r="AP352" s="7">
        <f t="shared" si="16"/>
        <v>97.41</v>
      </c>
      <c r="AQ352" s="31" t="str">
        <f t="shared" si="17"/>
        <v>Complete - No Adjustment</v>
      </c>
    </row>
    <row r="353" spans="1:43" x14ac:dyDescent="0.2">
      <c r="A353" s="46">
        <v>343</v>
      </c>
      <c r="B353" s="13" t="s">
        <v>266</v>
      </c>
      <c r="C353" s="13" t="s">
        <v>435</v>
      </c>
      <c r="D353" s="13" t="s">
        <v>434</v>
      </c>
      <c r="E353" s="13" t="s">
        <v>1371</v>
      </c>
      <c r="F353" s="13" t="s">
        <v>173</v>
      </c>
      <c r="G353" s="13" t="s">
        <v>111</v>
      </c>
      <c r="H353" s="16">
        <v>43929</v>
      </c>
      <c r="I353" s="16">
        <v>43941</v>
      </c>
      <c r="J353" s="22">
        <v>12.3</v>
      </c>
      <c r="K353" s="22">
        <v>12.3</v>
      </c>
      <c r="L353" s="22" t="s">
        <v>1372</v>
      </c>
      <c r="M353" s="26" t="s">
        <v>98</v>
      </c>
      <c r="N353" s="13" t="s">
        <v>230</v>
      </c>
      <c r="O353" s="13" t="s">
        <v>287</v>
      </c>
      <c r="P353" s="13" t="s">
        <v>60</v>
      </c>
      <c r="Q353" s="13" t="s">
        <v>41</v>
      </c>
      <c r="R353" s="13" t="s">
        <v>270</v>
      </c>
      <c r="S353" s="13" t="s">
        <v>1373</v>
      </c>
      <c r="T353" s="13" t="s">
        <v>1374</v>
      </c>
      <c r="U353" s="13"/>
      <c r="V353" s="13"/>
      <c r="W353" s="13"/>
      <c r="AN353" s="7" t="s">
        <v>70</v>
      </c>
      <c r="AO353" s="21">
        <f t="shared" si="15"/>
        <v>0</v>
      </c>
      <c r="AP353" s="7">
        <f t="shared" si="16"/>
        <v>12.3</v>
      </c>
      <c r="AQ353" s="31" t="str">
        <f t="shared" si="17"/>
        <v>Complete - No Adjustment</v>
      </c>
    </row>
    <row r="354" spans="1:43" x14ac:dyDescent="0.2">
      <c r="A354" s="46">
        <v>344</v>
      </c>
      <c r="B354" s="13" t="s">
        <v>266</v>
      </c>
      <c r="C354" s="13" t="s">
        <v>435</v>
      </c>
      <c r="D354" s="13" t="s">
        <v>434</v>
      </c>
      <c r="E354" s="13" t="s">
        <v>1375</v>
      </c>
      <c r="F354" s="13" t="s">
        <v>173</v>
      </c>
      <c r="G354" s="13" t="s">
        <v>111</v>
      </c>
      <c r="H354" s="16">
        <v>43936</v>
      </c>
      <c r="I354" s="16">
        <v>43941</v>
      </c>
      <c r="J354" s="22">
        <v>14.78</v>
      </c>
      <c r="K354" s="22">
        <v>14.78</v>
      </c>
      <c r="L354" s="22" t="s">
        <v>1376</v>
      </c>
      <c r="M354" s="26" t="s">
        <v>98</v>
      </c>
      <c r="N354" s="13" t="s">
        <v>230</v>
      </c>
      <c r="O354" s="13" t="s">
        <v>287</v>
      </c>
      <c r="P354" s="13" t="s">
        <v>60</v>
      </c>
      <c r="Q354" s="13" t="s">
        <v>41</v>
      </c>
      <c r="R354" s="13" t="s">
        <v>270</v>
      </c>
      <c r="S354" s="13" t="s">
        <v>1373</v>
      </c>
      <c r="T354" s="13" t="s">
        <v>1374</v>
      </c>
      <c r="U354" s="13"/>
      <c r="V354" s="13"/>
      <c r="W354" s="13"/>
      <c r="AN354" s="7" t="s">
        <v>70</v>
      </c>
      <c r="AO354" s="21">
        <f t="shared" si="15"/>
        <v>0</v>
      </c>
      <c r="AP354" s="7">
        <f t="shared" si="16"/>
        <v>14.78</v>
      </c>
      <c r="AQ354" s="31" t="str">
        <f t="shared" si="17"/>
        <v>Complete - No Adjustment</v>
      </c>
    </row>
    <row r="355" spans="1:43" x14ac:dyDescent="0.2">
      <c r="A355" s="46">
        <v>345</v>
      </c>
      <c r="B355" s="13" t="s">
        <v>266</v>
      </c>
      <c r="C355" s="13" t="s">
        <v>439</v>
      </c>
      <c r="D355" s="13" t="s">
        <v>438</v>
      </c>
      <c r="E355" s="13" t="s">
        <v>1377</v>
      </c>
      <c r="F355" s="13" t="s">
        <v>180</v>
      </c>
      <c r="G355" s="13" t="s">
        <v>111</v>
      </c>
      <c r="H355" s="16">
        <v>43880</v>
      </c>
      <c r="I355" s="16">
        <v>43927</v>
      </c>
      <c r="J355" s="22">
        <v>467.91</v>
      </c>
      <c r="K355" s="22">
        <v>290</v>
      </c>
      <c r="L355" s="22" t="s">
        <v>1378</v>
      </c>
      <c r="M355" s="26" t="s">
        <v>98</v>
      </c>
      <c r="N355" s="13" t="s">
        <v>230</v>
      </c>
      <c r="O355" s="13" t="s">
        <v>271</v>
      </c>
      <c r="P355" s="13" t="s">
        <v>60</v>
      </c>
      <c r="Q355" s="13" t="s">
        <v>104</v>
      </c>
      <c r="R355" s="13" t="s">
        <v>270</v>
      </c>
      <c r="S355" s="13" t="s">
        <v>1379</v>
      </c>
      <c r="T355" s="13" t="s">
        <v>1380</v>
      </c>
      <c r="U355" s="13"/>
      <c r="V355" s="13"/>
      <c r="W355" s="13"/>
      <c r="AA355" s="54"/>
      <c r="AN355" s="7" t="s">
        <v>70</v>
      </c>
      <c r="AO355" s="21">
        <f t="shared" si="15"/>
        <v>0</v>
      </c>
      <c r="AP355" s="7">
        <f t="shared" si="16"/>
        <v>290</v>
      </c>
      <c r="AQ355" s="31" t="str">
        <f t="shared" si="17"/>
        <v>Complete - No Adjustment</v>
      </c>
    </row>
    <row r="356" spans="1:43" x14ac:dyDescent="0.2">
      <c r="A356" s="46">
        <v>346</v>
      </c>
      <c r="B356" s="13" t="s">
        <v>266</v>
      </c>
      <c r="C356" s="13" t="s">
        <v>439</v>
      </c>
      <c r="D356" s="13" t="s">
        <v>438</v>
      </c>
      <c r="E356" s="13" t="s">
        <v>1377</v>
      </c>
      <c r="F356" s="13" t="s">
        <v>180</v>
      </c>
      <c r="G356" s="13" t="s">
        <v>111</v>
      </c>
      <c r="H356" s="16">
        <v>43880</v>
      </c>
      <c r="I356" s="16">
        <v>43927</v>
      </c>
      <c r="J356" s="22">
        <v>467.91</v>
      </c>
      <c r="K356" s="43">
        <v>3</v>
      </c>
      <c r="L356" s="22" t="s">
        <v>1378</v>
      </c>
      <c r="M356" s="26" t="s">
        <v>98</v>
      </c>
      <c r="N356" s="13" t="s">
        <v>230</v>
      </c>
      <c r="O356" s="13" t="s">
        <v>271</v>
      </c>
      <c r="P356" s="13" t="s">
        <v>60</v>
      </c>
      <c r="Q356" s="13" t="s">
        <v>62</v>
      </c>
      <c r="R356" s="13" t="s">
        <v>270</v>
      </c>
      <c r="S356" s="13" t="s">
        <v>1379</v>
      </c>
      <c r="T356" s="13" t="s">
        <v>1381</v>
      </c>
      <c r="U356" s="13"/>
      <c r="V356" s="13"/>
      <c r="W356" s="13"/>
      <c r="AL356" s="14">
        <v>3</v>
      </c>
      <c r="AN356" s="7" t="s">
        <v>146</v>
      </c>
      <c r="AO356" s="21">
        <f t="shared" si="15"/>
        <v>3</v>
      </c>
      <c r="AP356" s="7">
        <f t="shared" si="16"/>
        <v>0</v>
      </c>
      <c r="AQ356" s="31" t="str">
        <f t="shared" si="17"/>
        <v>Complete - With Adjustment</v>
      </c>
    </row>
    <row r="357" spans="1:43" x14ac:dyDescent="0.2">
      <c r="A357" s="46">
        <v>347</v>
      </c>
      <c r="B357" s="13" t="s">
        <v>266</v>
      </c>
      <c r="C357" s="13" t="s">
        <v>439</v>
      </c>
      <c r="D357" s="13" t="s">
        <v>438</v>
      </c>
      <c r="E357" s="13" t="s">
        <v>1377</v>
      </c>
      <c r="F357" s="13" t="s">
        <v>180</v>
      </c>
      <c r="G357" s="13" t="s">
        <v>111</v>
      </c>
      <c r="H357" s="16">
        <v>43880</v>
      </c>
      <c r="I357" s="16">
        <v>43927</v>
      </c>
      <c r="J357" s="22">
        <v>467.91</v>
      </c>
      <c r="K357" s="22">
        <v>16.23</v>
      </c>
      <c r="L357" s="22" t="s">
        <v>1378</v>
      </c>
      <c r="M357" s="26" t="s">
        <v>98</v>
      </c>
      <c r="N357" s="13" t="s">
        <v>230</v>
      </c>
      <c r="O357" s="13" t="s">
        <v>271</v>
      </c>
      <c r="P357" s="13" t="s">
        <v>60</v>
      </c>
      <c r="Q357" s="13" t="s">
        <v>104</v>
      </c>
      <c r="R357" s="13" t="s">
        <v>270</v>
      </c>
      <c r="S357" s="13" t="s">
        <v>1379</v>
      </c>
      <c r="T357" s="13" t="s">
        <v>1382</v>
      </c>
      <c r="U357" s="13"/>
      <c r="V357" s="13"/>
      <c r="W357" s="13"/>
      <c r="AA357" s="54"/>
      <c r="AN357" s="7" t="s">
        <v>70</v>
      </c>
      <c r="AO357" s="21">
        <f t="shared" si="15"/>
        <v>0</v>
      </c>
      <c r="AP357" s="7">
        <f t="shared" si="16"/>
        <v>16.23</v>
      </c>
      <c r="AQ357" s="31" t="str">
        <f t="shared" si="17"/>
        <v>Complete - No Adjustment</v>
      </c>
    </row>
    <row r="358" spans="1:43" x14ac:dyDescent="0.2">
      <c r="A358" s="46">
        <v>348</v>
      </c>
      <c r="B358" s="13" t="s">
        <v>266</v>
      </c>
      <c r="C358" s="13" t="s">
        <v>439</v>
      </c>
      <c r="D358" s="13" t="s">
        <v>438</v>
      </c>
      <c r="E358" s="13" t="s">
        <v>1377</v>
      </c>
      <c r="F358" s="13" t="s">
        <v>180</v>
      </c>
      <c r="G358" s="13" t="s">
        <v>111</v>
      </c>
      <c r="H358" s="16">
        <v>43880</v>
      </c>
      <c r="I358" s="16">
        <v>43927</v>
      </c>
      <c r="J358" s="22">
        <v>467.91</v>
      </c>
      <c r="K358" s="22">
        <v>43.13</v>
      </c>
      <c r="L358" s="22" t="s">
        <v>1378</v>
      </c>
      <c r="M358" s="26" t="s">
        <v>98</v>
      </c>
      <c r="N358" s="13" t="s">
        <v>230</v>
      </c>
      <c r="O358" s="13" t="s">
        <v>271</v>
      </c>
      <c r="P358" s="13" t="s">
        <v>60</v>
      </c>
      <c r="Q358" s="13" t="s">
        <v>44</v>
      </c>
      <c r="R358" s="13" t="s">
        <v>270</v>
      </c>
      <c r="S358" s="13" t="s">
        <v>1379</v>
      </c>
      <c r="T358" s="13" t="s">
        <v>1383</v>
      </c>
      <c r="U358" s="13"/>
      <c r="V358" s="13"/>
      <c r="W358" s="13"/>
      <c r="AN358" s="7" t="s">
        <v>70</v>
      </c>
      <c r="AO358" s="21">
        <f t="shared" si="15"/>
        <v>0</v>
      </c>
      <c r="AP358" s="7">
        <f t="shared" si="16"/>
        <v>43.13</v>
      </c>
      <c r="AQ358" s="31" t="str">
        <f t="shared" si="17"/>
        <v>Complete - No Adjustment</v>
      </c>
    </row>
    <row r="359" spans="1:43" x14ac:dyDescent="0.2">
      <c r="A359" s="46">
        <v>349</v>
      </c>
      <c r="B359" s="13" t="s">
        <v>266</v>
      </c>
      <c r="C359" s="13" t="s">
        <v>439</v>
      </c>
      <c r="D359" s="13" t="s">
        <v>438</v>
      </c>
      <c r="E359" s="13" t="s">
        <v>1377</v>
      </c>
      <c r="F359" s="13" t="s">
        <v>180</v>
      </c>
      <c r="G359" s="13" t="s">
        <v>111</v>
      </c>
      <c r="H359" s="16">
        <v>43880</v>
      </c>
      <c r="I359" s="16">
        <v>43927</v>
      </c>
      <c r="J359" s="22">
        <v>467.91</v>
      </c>
      <c r="K359" s="22">
        <v>115.55</v>
      </c>
      <c r="L359" s="22" t="s">
        <v>1378</v>
      </c>
      <c r="M359" s="26" t="s">
        <v>98</v>
      </c>
      <c r="N359" s="13" t="s">
        <v>230</v>
      </c>
      <c r="O359" s="13" t="s">
        <v>271</v>
      </c>
      <c r="P359" s="13" t="s">
        <v>60</v>
      </c>
      <c r="Q359" s="13" t="s">
        <v>46</v>
      </c>
      <c r="R359" s="13" t="s">
        <v>270</v>
      </c>
      <c r="S359" s="13" t="s">
        <v>1379</v>
      </c>
      <c r="T359" s="13" t="s">
        <v>1384</v>
      </c>
      <c r="U359" s="13"/>
      <c r="V359" s="13"/>
      <c r="W359" s="13"/>
      <c r="AI359" s="53">
        <v>115.55</v>
      </c>
      <c r="AN359" s="7" t="s">
        <v>145</v>
      </c>
      <c r="AO359" s="21">
        <f t="shared" si="15"/>
        <v>115.55</v>
      </c>
      <c r="AP359" s="7">
        <f t="shared" si="16"/>
        <v>0</v>
      </c>
      <c r="AQ359" s="31" t="str">
        <f t="shared" si="17"/>
        <v>Complete - With Adjustment</v>
      </c>
    </row>
    <row r="360" spans="1:43" x14ac:dyDescent="0.2">
      <c r="A360" s="46">
        <v>350</v>
      </c>
      <c r="B360" s="13" t="s">
        <v>266</v>
      </c>
      <c r="C360" s="13" t="s">
        <v>443</v>
      </c>
      <c r="D360" s="13" t="s">
        <v>442</v>
      </c>
      <c r="E360" s="13" t="s">
        <v>1385</v>
      </c>
      <c r="F360" s="13" t="s">
        <v>182</v>
      </c>
      <c r="G360" s="13" t="s">
        <v>111</v>
      </c>
      <c r="H360" s="16">
        <v>43941</v>
      </c>
      <c r="I360" s="16">
        <v>43943</v>
      </c>
      <c r="J360" s="22">
        <v>25</v>
      </c>
      <c r="K360" s="22">
        <v>25</v>
      </c>
      <c r="L360" s="22" t="s">
        <v>1386</v>
      </c>
      <c r="M360" s="26" t="s">
        <v>98</v>
      </c>
      <c r="N360" s="13" t="s">
        <v>230</v>
      </c>
      <c r="O360" s="13" t="s">
        <v>444</v>
      </c>
      <c r="P360" s="13" t="s">
        <v>60</v>
      </c>
      <c r="Q360" s="13" t="s">
        <v>41</v>
      </c>
      <c r="R360" s="13" t="s">
        <v>270</v>
      </c>
      <c r="S360" s="13" t="s">
        <v>1387</v>
      </c>
      <c r="T360" s="13" t="s">
        <v>1388</v>
      </c>
      <c r="U360" s="13"/>
      <c r="V360" s="13"/>
      <c r="W360" s="13"/>
      <c r="AN360" s="7" t="s">
        <v>155</v>
      </c>
      <c r="AO360" s="21">
        <f t="shared" ref="AO360:AO423" si="18">SUM(Y360:AL360)</f>
        <v>0</v>
      </c>
      <c r="AP360" s="7">
        <f t="shared" ref="AP360:AP423" si="19">K360-AO360</f>
        <v>25</v>
      </c>
      <c r="AQ360" s="31" t="str">
        <f t="shared" si="17"/>
        <v>Complete - No Adjustment</v>
      </c>
    </row>
    <row r="361" spans="1:43" x14ac:dyDescent="0.2">
      <c r="A361" s="46">
        <v>351</v>
      </c>
      <c r="B361" s="13" t="s">
        <v>266</v>
      </c>
      <c r="C361" s="13" t="s">
        <v>561</v>
      </c>
      <c r="D361" s="13" t="s">
        <v>560</v>
      </c>
      <c r="E361" s="13" t="s">
        <v>1389</v>
      </c>
      <c r="F361" s="13" t="s">
        <v>163</v>
      </c>
      <c r="G361" s="13" t="s">
        <v>111</v>
      </c>
      <c r="H361" s="16">
        <v>43949</v>
      </c>
      <c r="I361" s="16">
        <v>43950</v>
      </c>
      <c r="J361" s="22">
        <v>20.39</v>
      </c>
      <c r="K361" s="22">
        <v>20.39</v>
      </c>
      <c r="L361" s="22" t="s">
        <v>1390</v>
      </c>
      <c r="M361" s="26" t="s">
        <v>98</v>
      </c>
      <c r="N361" s="13" t="s">
        <v>230</v>
      </c>
      <c r="O361" s="13" t="s">
        <v>281</v>
      </c>
      <c r="P361" s="13" t="s">
        <v>60</v>
      </c>
      <c r="Q361" s="13" t="s">
        <v>41</v>
      </c>
      <c r="R361" s="13" t="s">
        <v>270</v>
      </c>
      <c r="S361" s="13" t="s">
        <v>1391</v>
      </c>
      <c r="T361" s="13" t="s">
        <v>1392</v>
      </c>
      <c r="U361" s="13"/>
      <c r="V361" s="13"/>
      <c r="W361" s="13"/>
      <c r="AN361" s="7" t="s">
        <v>155</v>
      </c>
      <c r="AO361" s="21">
        <f t="shared" si="18"/>
        <v>0</v>
      </c>
      <c r="AP361" s="7">
        <f t="shared" si="19"/>
        <v>20.39</v>
      </c>
      <c r="AQ361" s="31" t="str">
        <f t="shared" si="17"/>
        <v>Complete - No Adjustment</v>
      </c>
    </row>
    <row r="362" spans="1:43" x14ac:dyDescent="0.2">
      <c r="A362" s="46">
        <v>352</v>
      </c>
      <c r="B362" s="13" t="s">
        <v>266</v>
      </c>
      <c r="C362" s="13" t="s">
        <v>561</v>
      </c>
      <c r="D362" s="13" t="s">
        <v>560</v>
      </c>
      <c r="E362" s="13" t="s">
        <v>1393</v>
      </c>
      <c r="F362" s="13" t="s">
        <v>173</v>
      </c>
      <c r="G362" s="13" t="s">
        <v>111</v>
      </c>
      <c r="H362" s="16">
        <v>43938</v>
      </c>
      <c r="I362" s="16">
        <v>43941</v>
      </c>
      <c r="J362" s="22">
        <v>21.65</v>
      </c>
      <c r="K362" s="22">
        <v>21.65</v>
      </c>
      <c r="L362" s="22" t="s">
        <v>1394</v>
      </c>
      <c r="M362" s="26" t="s">
        <v>98</v>
      </c>
      <c r="N362" s="13" t="s">
        <v>230</v>
      </c>
      <c r="O362" s="13" t="s">
        <v>281</v>
      </c>
      <c r="P362" s="13" t="s">
        <v>60</v>
      </c>
      <c r="Q362" s="13" t="s">
        <v>41</v>
      </c>
      <c r="R362" s="13" t="s">
        <v>270</v>
      </c>
      <c r="S362" s="13" t="s">
        <v>1395</v>
      </c>
      <c r="T362" s="13" t="s">
        <v>1396</v>
      </c>
      <c r="U362" s="13"/>
      <c r="V362" s="13"/>
      <c r="W362" s="13"/>
      <c r="AN362" s="7" t="s">
        <v>155</v>
      </c>
      <c r="AO362" s="21">
        <f t="shared" si="18"/>
        <v>0</v>
      </c>
      <c r="AP362" s="7">
        <f t="shared" si="19"/>
        <v>21.65</v>
      </c>
      <c r="AQ362" s="31" t="str">
        <f t="shared" si="17"/>
        <v>Complete - No Adjustment</v>
      </c>
    </row>
    <row r="363" spans="1:43" x14ac:dyDescent="0.2">
      <c r="A363" s="46">
        <v>353</v>
      </c>
      <c r="B363" s="13" t="s">
        <v>266</v>
      </c>
      <c r="C363" s="13" t="s">
        <v>561</v>
      </c>
      <c r="D363" s="13" t="s">
        <v>560</v>
      </c>
      <c r="E363" s="13" t="s">
        <v>1397</v>
      </c>
      <c r="F363" s="13" t="s">
        <v>183</v>
      </c>
      <c r="G363" s="13" t="s">
        <v>111</v>
      </c>
      <c r="H363" s="16">
        <v>43934</v>
      </c>
      <c r="I363" s="16">
        <v>43936</v>
      </c>
      <c r="J363" s="22">
        <v>177.15</v>
      </c>
      <c r="K363" s="22">
        <v>24.33</v>
      </c>
      <c r="L363" s="22" t="s">
        <v>1398</v>
      </c>
      <c r="M363" s="26" t="s">
        <v>98</v>
      </c>
      <c r="N363" s="13" t="s">
        <v>230</v>
      </c>
      <c r="O363" s="13" t="s">
        <v>281</v>
      </c>
      <c r="P363" s="13" t="s">
        <v>60</v>
      </c>
      <c r="Q363" s="13" t="s">
        <v>41</v>
      </c>
      <c r="R363" s="13" t="s">
        <v>270</v>
      </c>
      <c r="S363" s="13" t="s">
        <v>1399</v>
      </c>
      <c r="T363" s="13" t="s">
        <v>1400</v>
      </c>
      <c r="U363" s="13"/>
      <c r="V363" s="13"/>
      <c r="W363" s="13"/>
      <c r="AC363" s="53">
        <f>24.33-18.39*1.2</f>
        <v>2.2619999999999969</v>
      </c>
      <c r="AN363" s="7" t="s">
        <v>1132</v>
      </c>
      <c r="AO363" s="21">
        <f t="shared" si="18"/>
        <v>2.2619999999999969</v>
      </c>
      <c r="AP363" s="7">
        <f t="shared" si="19"/>
        <v>22.068000000000001</v>
      </c>
      <c r="AQ363" s="31" t="str">
        <f t="shared" si="17"/>
        <v>Complete - With Adjustment</v>
      </c>
    </row>
    <row r="364" spans="1:43" x14ac:dyDescent="0.2">
      <c r="A364" s="46">
        <v>354</v>
      </c>
      <c r="B364" s="13" t="s">
        <v>266</v>
      </c>
      <c r="C364" s="13" t="s">
        <v>561</v>
      </c>
      <c r="D364" s="13" t="s">
        <v>560</v>
      </c>
      <c r="E364" s="13" t="s">
        <v>1397</v>
      </c>
      <c r="F364" s="13" t="s">
        <v>183</v>
      </c>
      <c r="G364" s="13" t="s">
        <v>111</v>
      </c>
      <c r="H364" s="16">
        <v>43934</v>
      </c>
      <c r="I364" s="16">
        <v>43936</v>
      </c>
      <c r="J364" s="22">
        <v>177.15</v>
      </c>
      <c r="K364" s="22">
        <v>17.82</v>
      </c>
      <c r="L364" s="22" t="s">
        <v>1398</v>
      </c>
      <c r="M364" s="26" t="s">
        <v>98</v>
      </c>
      <c r="N364" s="13" t="s">
        <v>230</v>
      </c>
      <c r="O364" s="13" t="s">
        <v>281</v>
      </c>
      <c r="P364" s="13" t="s">
        <v>60</v>
      </c>
      <c r="Q364" s="13" t="s">
        <v>41</v>
      </c>
      <c r="R364" s="13" t="s">
        <v>270</v>
      </c>
      <c r="S364" s="13" t="s">
        <v>1399</v>
      </c>
      <c r="T364" s="13" t="s">
        <v>1401</v>
      </c>
      <c r="U364" s="13"/>
      <c r="V364" s="13"/>
      <c r="W364" s="13"/>
      <c r="AC364" s="53">
        <f>(17.82-14.26*1.2)</f>
        <v>0.70800000000000196</v>
      </c>
      <c r="AN364" s="7" t="s">
        <v>1132</v>
      </c>
      <c r="AO364" s="21">
        <f t="shared" si="18"/>
        <v>0.70800000000000196</v>
      </c>
      <c r="AP364" s="7">
        <f t="shared" si="19"/>
        <v>17.111999999999998</v>
      </c>
      <c r="AQ364" s="31" t="str">
        <f t="shared" si="17"/>
        <v>Complete - With Adjustment</v>
      </c>
    </row>
    <row r="365" spans="1:43" x14ac:dyDescent="0.2">
      <c r="A365" s="46">
        <v>355</v>
      </c>
      <c r="B365" s="13" t="s">
        <v>266</v>
      </c>
      <c r="C365" s="13" t="s">
        <v>561</v>
      </c>
      <c r="D365" s="13" t="s">
        <v>560</v>
      </c>
      <c r="E365" s="13" t="s">
        <v>1397</v>
      </c>
      <c r="F365" s="13" t="s">
        <v>183</v>
      </c>
      <c r="G365" s="13" t="s">
        <v>111</v>
      </c>
      <c r="H365" s="16">
        <v>43934</v>
      </c>
      <c r="I365" s="16">
        <v>43936</v>
      </c>
      <c r="J365" s="22">
        <v>177.15</v>
      </c>
      <c r="K365" s="22">
        <v>120</v>
      </c>
      <c r="L365" s="22" t="s">
        <v>1398</v>
      </c>
      <c r="M365" s="26" t="s">
        <v>98</v>
      </c>
      <c r="N365" s="13" t="s">
        <v>230</v>
      </c>
      <c r="O365" s="13" t="s">
        <v>281</v>
      </c>
      <c r="P365" s="13" t="s">
        <v>60</v>
      </c>
      <c r="Q365" s="13" t="s">
        <v>174</v>
      </c>
      <c r="R365" s="13" t="s">
        <v>270</v>
      </c>
      <c r="S365" s="13" t="s">
        <v>1399</v>
      </c>
      <c r="T365" s="13" t="s">
        <v>1402</v>
      </c>
      <c r="U365" s="13"/>
      <c r="V365" s="13"/>
      <c r="W365" s="13"/>
      <c r="AN365" s="7" t="s">
        <v>70</v>
      </c>
      <c r="AO365" s="21">
        <f t="shared" si="18"/>
        <v>0</v>
      </c>
      <c r="AP365" s="7">
        <f t="shared" si="19"/>
        <v>120</v>
      </c>
      <c r="AQ365" s="31" t="str">
        <f t="shared" si="17"/>
        <v>Complete - No Adjustment</v>
      </c>
    </row>
    <row r="366" spans="1:43" x14ac:dyDescent="0.2">
      <c r="A366" s="46">
        <v>356</v>
      </c>
      <c r="B366" s="13" t="s">
        <v>266</v>
      </c>
      <c r="C366" s="13" t="s">
        <v>561</v>
      </c>
      <c r="D366" s="13" t="s">
        <v>560</v>
      </c>
      <c r="E366" s="13" t="s">
        <v>1397</v>
      </c>
      <c r="F366" s="13" t="s">
        <v>183</v>
      </c>
      <c r="G366" s="13" t="s">
        <v>111</v>
      </c>
      <c r="H366" s="16">
        <v>43934</v>
      </c>
      <c r="I366" s="16">
        <v>43936</v>
      </c>
      <c r="J366" s="22">
        <v>177.15</v>
      </c>
      <c r="K366" s="22">
        <v>15</v>
      </c>
      <c r="L366" s="22" t="s">
        <v>1398</v>
      </c>
      <c r="M366" s="26" t="s">
        <v>98</v>
      </c>
      <c r="N366" s="13" t="s">
        <v>230</v>
      </c>
      <c r="O366" s="13" t="s">
        <v>281</v>
      </c>
      <c r="P366" s="13" t="s">
        <v>60</v>
      </c>
      <c r="Q366" s="13" t="s">
        <v>41</v>
      </c>
      <c r="R366" s="13" t="s">
        <v>270</v>
      </c>
      <c r="S366" s="13" t="s">
        <v>1399</v>
      </c>
      <c r="T366" s="13" t="s">
        <v>1401</v>
      </c>
      <c r="U366" s="13"/>
      <c r="V366" s="13"/>
      <c r="W366" s="13"/>
      <c r="AC366" s="53">
        <f>15-11.64*1.2</f>
        <v>1.032</v>
      </c>
      <c r="AN366" s="7" t="s">
        <v>1132</v>
      </c>
      <c r="AO366" s="21">
        <f t="shared" si="18"/>
        <v>1.032</v>
      </c>
      <c r="AP366" s="7">
        <f t="shared" si="19"/>
        <v>13.968</v>
      </c>
      <c r="AQ366" s="31" t="str">
        <f t="shared" si="17"/>
        <v>Complete - With Adjustment</v>
      </c>
    </row>
    <row r="367" spans="1:43" x14ac:dyDescent="0.2">
      <c r="A367" s="46">
        <v>357</v>
      </c>
      <c r="B367" s="13" t="s">
        <v>266</v>
      </c>
      <c r="C367" s="13" t="s">
        <v>561</v>
      </c>
      <c r="D367" s="13" t="s">
        <v>560</v>
      </c>
      <c r="E367" s="13" t="s">
        <v>1403</v>
      </c>
      <c r="F367" s="13" t="s">
        <v>181</v>
      </c>
      <c r="G367" s="13" t="s">
        <v>111</v>
      </c>
      <c r="H367" s="16">
        <v>43944</v>
      </c>
      <c r="I367" s="16">
        <v>43948</v>
      </c>
      <c r="J367" s="22">
        <v>209.94</v>
      </c>
      <c r="K367" s="22">
        <v>74.23</v>
      </c>
      <c r="L367" s="22" t="s">
        <v>1404</v>
      </c>
      <c r="M367" s="26" t="s">
        <v>98</v>
      </c>
      <c r="N367" s="13" t="s">
        <v>230</v>
      </c>
      <c r="O367" s="13" t="s">
        <v>281</v>
      </c>
      <c r="P367" s="13" t="s">
        <v>60</v>
      </c>
      <c r="Q367" s="13" t="s">
        <v>62</v>
      </c>
      <c r="R367" s="13" t="s">
        <v>270</v>
      </c>
      <c r="S367" s="13" t="s">
        <v>1405</v>
      </c>
      <c r="T367" s="13" t="s">
        <v>1406</v>
      </c>
      <c r="U367" s="13"/>
      <c r="V367" s="13"/>
      <c r="W367" s="13"/>
      <c r="AN367" s="7" t="s">
        <v>70</v>
      </c>
      <c r="AO367" s="21">
        <f t="shared" si="18"/>
        <v>0</v>
      </c>
      <c r="AP367" s="7">
        <f t="shared" si="19"/>
        <v>74.23</v>
      </c>
      <c r="AQ367" s="31" t="str">
        <f t="shared" si="17"/>
        <v>Complete - No Adjustment</v>
      </c>
    </row>
    <row r="368" spans="1:43" x14ac:dyDescent="0.2">
      <c r="A368" s="46">
        <v>358</v>
      </c>
      <c r="B368" s="13" t="s">
        <v>266</v>
      </c>
      <c r="C368" s="13" t="s">
        <v>561</v>
      </c>
      <c r="D368" s="13" t="s">
        <v>560</v>
      </c>
      <c r="E368" s="13" t="s">
        <v>1403</v>
      </c>
      <c r="F368" s="13" t="s">
        <v>181</v>
      </c>
      <c r="G368" s="13" t="s">
        <v>111</v>
      </c>
      <c r="H368" s="16">
        <v>43944</v>
      </c>
      <c r="I368" s="16">
        <v>43948</v>
      </c>
      <c r="J368" s="22">
        <v>209.94</v>
      </c>
      <c r="K368" s="22">
        <v>115.99</v>
      </c>
      <c r="L368" s="22" t="s">
        <v>1404</v>
      </c>
      <c r="M368" s="26" t="s">
        <v>98</v>
      </c>
      <c r="N368" s="13" t="s">
        <v>230</v>
      </c>
      <c r="O368" s="13" t="s">
        <v>281</v>
      </c>
      <c r="P368" s="13" t="s">
        <v>60</v>
      </c>
      <c r="Q368" s="13" t="s">
        <v>174</v>
      </c>
      <c r="R368" s="13" t="s">
        <v>270</v>
      </c>
      <c r="S368" s="13" t="s">
        <v>1405</v>
      </c>
      <c r="T368" s="13" t="s">
        <v>1407</v>
      </c>
      <c r="U368" s="13"/>
      <c r="V368" s="13"/>
      <c r="W368" s="13"/>
      <c r="AN368" s="7" t="s">
        <v>70</v>
      </c>
      <c r="AO368" s="21">
        <f t="shared" si="18"/>
        <v>0</v>
      </c>
      <c r="AP368" s="7">
        <f t="shared" si="19"/>
        <v>115.99</v>
      </c>
      <c r="AQ368" s="31" t="str">
        <f t="shared" si="17"/>
        <v>Complete - No Adjustment</v>
      </c>
    </row>
    <row r="369" spans="1:43" x14ac:dyDescent="0.2">
      <c r="A369" s="46">
        <v>359</v>
      </c>
      <c r="B369" s="13" t="s">
        <v>266</v>
      </c>
      <c r="C369" s="13" t="s">
        <v>561</v>
      </c>
      <c r="D369" s="13" t="s">
        <v>560</v>
      </c>
      <c r="E369" s="13" t="s">
        <v>1403</v>
      </c>
      <c r="F369" s="13" t="s">
        <v>181</v>
      </c>
      <c r="G369" s="13" t="s">
        <v>111</v>
      </c>
      <c r="H369" s="16">
        <v>43944</v>
      </c>
      <c r="I369" s="16">
        <v>43948</v>
      </c>
      <c r="J369" s="22">
        <v>209.94</v>
      </c>
      <c r="K369" s="22">
        <v>19.72</v>
      </c>
      <c r="L369" s="22" t="s">
        <v>1404</v>
      </c>
      <c r="M369" s="26" t="s">
        <v>98</v>
      </c>
      <c r="N369" s="13" t="s">
        <v>230</v>
      </c>
      <c r="O369" s="13" t="s">
        <v>281</v>
      </c>
      <c r="P369" s="13" t="s">
        <v>60</v>
      </c>
      <c r="Q369" s="13" t="s">
        <v>41</v>
      </c>
      <c r="R369" s="13" t="s">
        <v>270</v>
      </c>
      <c r="S369" s="13" t="s">
        <v>1405</v>
      </c>
      <c r="T369" s="13" t="s">
        <v>1408</v>
      </c>
      <c r="U369" s="13"/>
      <c r="V369" s="13"/>
      <c r="W369" s="13"/>
      <c r="AN369" s="7" t="s">
        <v>155</v>
      </c>
      <c r="AO369" s="21">
        <f t="shared" si="18"/>
        <v>0</v>
      </c>
      <c r="AP369" s="7">
        <f t="shared" si="19"/>
        <v>19.72</v>
      </c>
      <c r="AQ369" s="31" t="str">
        <f t="shared" si="17"/>
        <v>Complete - No Adjustment</v>
      </c>
    </row>
    <row r="370" spans="1:43" x14ac:dyDescent="0.2">
      <c r="A370" s="46">
        <v>360</v>
      </c>
      <c r="B370" s="13" t="s">
        <v>266</v>
      </c>
      <c r="C370" s="13" t="s">
        <v>446</v>
      </c>
      <c r="D370" s="13" t="s">
        <v>445</v>
      </c>
      <c r="E370" s="13" t="s">
        <v>1409</v>
      </c>
      <c r="F370" s="13" t="s">
        <v>173</v>
      </c>
      <c r="G370" s="13" t="s">
        <v>111</v>
      </c>
      <c r="H370" s="16">
        <v>43938</v>
      </c>
      <c r="I370" s="16">
        <v>43941</v>
      </c>
      <c r="J370" s="22">
        <v>21.27</v>
      </c>
      <c r="K370" s="22">
        <v>21.27</v>
      </c>
      <c r="L370" s="22" t="s">
        <v>1410</v>
      </c>
      <c r="M370" s="26" t="s">
        <v>98</v>
      </c>
      <c r="N370" s="13" t="s">
        <v>230</v>
      </c>
      <c r="O370" s="13" t="s">
        <v>293</v>
      </c>
      <c r="P370" s="13" t="s">
        <v>60</v>
      </c>
      <c r="Q370" s="13" t="s">
        <v>79</v>
      </c>
      <c r="R370" s="13" t="s">
        <v>270</v>
      </c>
      <c r="S370" s="13" t="s">
        <v>1411</v>
      </c>
      <c r="T370" s="13" t="s">
        <v>812</v>
      </c>
      <c r="U370" s="13"/>
      <c r="V370" s="13"/>
      <c r="W370" s="13"/>
      <c r="AN370" s="7" t="s">
        <v>70</v>
      </c>
      <c r="AO370" s="21">
        <f t="shared" si="18"/>
        <v>0</v>
      </c>
      <c r="AP370" s="7">
        <f t="shared" si="19"/>
        <v>21.27</v>
      </c>
      <c r="AQ370" s="31" t="str">
        <f t="shared" si="17"/>
        <v>Complete - No Adjustment</v>
      </c>
    </row>
    <row r="371" spans="1:43" x14ac:dyDescent="0.2">
      <c r="A371" s="46">
        <v>361</v>
      </c>
      <c r="B371" s="13" t="s">
        <v>266</v>
      </c>
      <c r="C371" s="13" t="s">
        <v>563</v>
      </c>
      <c r="D371" s="13" t="s">
        <v>562</v>
      </c>
      <c r="E371" s="13" t="s">
        <v>1412</v>
      </c>
      <c r="F371" s="13" t="s">
        <v>162</v>
      </c>
      <c r="G371" s="13" t="s">
        <v>111</v>
      </c>
      <c r="H371" s="16">
        <v>43929</v>
      </c>
      <c r="I371" s="16">
        <v>43935</v>
      </c>
      <c r="J371" s="22">
        <v>86.59</v>
      </c>
      <c r="K371" s="22">
        <v>86.59</v>
      </c>
      <c r="L371" s="22" t="s">
        <v>1413</v>
      </c>
      <c r="M371" s="26" t="s">
        <v>98</v>
      </c>
      <c r="N371" s="13" t="s">
        <v>230</v>
      </c>
      <c r="O371" s="13" t="s">
        <v>484</v>
      </c>
      <c r="P371" s="13" t="s">
        <v>60</v>
      </c>
      <c r="Q371" s="13" t="s">
        <v>62</v>
      </c>
      <c r="R371" s="13" t="s">
        <v>270</v>
      </c>
      <c r="S371" s="13" t="s">
        <v>1414</v>
      </c>
      <c r="T371" s="13" t="s">
        <v>1415</v>
      </c>
      <c r="U371" s="13"/>
      <c r="V371" s="13"/>
      <c r="W371" s="13"/>
      <c r="AN371" s="7" t="s">
        <v>70</v>
      </c>
      <c r="AO371" s="21">
        <f t="shared" si="18"/>
        <v>0</v>
      </c>
      <c r="AP371" s="7">
        <f t="shared" si="19"/>
        <v>86.59</v>
      </c>
      <c r="AQ371" s="31" t="str">
        <f t="shared" si="17"/>
        <v>Complete - No Adjustment</v>
      </c>
    </row>
    <row r="372" spans="1:43" x14ac:dyDescent="0.2">
      <c r="A372" s="46">
        <v>362</v>
      </c>
      <c r="B372" s="13" t="s">
        <v>266</v>
      </c>
      <c r="C372" s="13" t="s">
        <v>563</v>
      </c>
      <c r="D372" s="13" t="s">
        <v>562</v>
      </c>
      <c r="E372" s="13" t="s">
        <v>1416</v>
      </c>
      <c r="F372" s="13" t="s">
        <v>180</v>
      </c>
      <c r="G372" s="13" t="s">
        <v>111</v>
      </c>
      <c r="H372" s="16">
        <v>43908</v>
      </c>
      <c r="I372" s="16">
        <v>43927</v>
      </c>
      <c r="J372" s="22">
        <v>120</v>
      </c>
      <c r="K372" s="22">
        <v>120</v>
      </c>
      <c r="L372" s="22" t="s">
        <v>1417</v>
      </c>
      <c r="M372" s="26" t="s">
        <v>98</v>
      </c>
      <c r="N372" s="13" t="s">
        <v>230</v>
      </c>
      <c r="O372" s="13" t="s">
        <v>484</v>
      </c>
      <c r="P372" s="13" t="s">
        <v>60</v>
      </c>
      <c r="Q372" s="13" t="s">
        <v>48</v>
      </c>
      <c r="R372" s="13" t="s">
        <v>270</v>
      </c>
      <c r="S372" s="13" t="s">
        <v>1418</v>
      </c>
      <c r="T372" s="13" t="s">
        <v>1419</v>
      </c>
      <c r="U372" s="13"/>
      <c r="V372" s="13"/>
      <c r="W372" s="13"/>
      <c r="AN372" s="7" t="s">
        <v>70</v>
      </c>
      <c r="AO372" s="21">
        <f t="shared" si="18"/>
        <v>0</v>
      </c>
      <c r="AP372" s="7">
        <f t="shared" si="19"/>
        <v>120</v>
      </c>
      <c r="AQ372" s="31" t="str">
        <f t="shared" si="17"/>
        <v>Complete - No Adjustment</v>
      </c>
    </row>
    <row r="373" spans="1:43" x14ac:dyDescent="0.2">
      <c r="A373" s="46">
        <v>363</v>
      </c>
      <c r="B373" s="13" t="s">
        <v>266</v>
      </c>
      <c r="C373" s="13" t="s">
        <v>813</v>
      </c>
      <c r="D373" s="13" t="s">
        <v>814</v>
      </c>
      <c r="E373" s="13" t="s">
        <v>1420</v>
      </c>
      <c r="F373" s="13" t="s">
        <v>183</v>
      </c>
      <c r="G373" s="13" t="s">
        <v>111</v>
      </c>
      <c r="H373" s="16">
        <v>43920</v>
      </c>
      <c r="I373" s="16">
        <v>43936</v>
      </c>
      <c r="J373" s="22">
        <v>37.880000000000003</v>
      </c>
      <c r="K373" s="22">
        <v>37.880000000000003</v>
      </c>
      <c r="L373" s="22" t="s">
        <v>1421</v>
      </c>
      <c r="M373" s="26" t="s">
        <v>98</v>
      </c>
      <c r="N373" s="13" t="s">
        <v>230</v>
      </c>
      <c r="O373" s="13" t="s">
        <v>269</v>
      </c>
      <c r="P373" s="13" t="s">
        <v>60</v>
      </c>
      <c r="Q373" s="13" t="s">
        <v>104</v>
      </c>
      <c r="R373" s="13" t="s">
        <v>270</v>
      </c>
      <c r="S373" s="13" t="s">
        <v>1422</v>
      </c>
      <c r="T373" s="13" t="s">
        <v>1423</v>
      </c>
      <c r="U373" s="13"/>
      <c r="V373" s="13"/>
      <c r="W373" s="13"/>
      <c r="AA373" s="54"/>
      <c r="AN373" s="7" t="s">
        <v>155</v>
      </c>
      <c r="AO373" s="21">
        <f t="shared" si="18"/>
        <v>0</v>
      </c>
      <c r="AP373" s="7">
        <f t="shared" si="19"/>
        <v>37.880000000000003</v>
      </c>
      <c r="AQ373" s="31" t="str">
        <f t="shared" si="17"/>
        <v>Complete - No Adjustment</v>
      </c>
    </row>
    <row r="374" spans="1:43" x14ac:dyDescent="0.2">
      <c r="A374" s="46">
        <v>364</v>
      </c>
      <c r="B374" s="13" t="s">
        <v>266</v>
      </c>
      <c r="C374" s="13" t="s">
        <v>720</v>
      </c>
      <c r="D374" s="13" t="s">
        <v>1424</v>
      </c>
      <c r="E374" s="13" t="s">
        <v>1425</v>
      </c>
      <c r="F374" s="13" t="s">
        <v>164</v>
      </c>
      <c r="G374" s="13" t="s">
        <v>111</v>
      </c>
      <c r="H374" s="16">
        <v>43943</v>
      </c>
      <c r="I374" s="16">
        <v>43945</v>
      </c>
      <c r="J374" s="22">
        <v>75</v>
      </c>
      <c r="K374" s="22">
        <v>75</v>
      </c>
      <c r="L374" s="22" t="s">
        <v>1426</v>
      </c>
      <c r="M374" s="26" t="s">
        <v>98</v>
      </c>
      <c r="N374" s="13" t="s">
        <v>230</v>
      </c>
      <c r="O374" s="13" t="s">
        <v>292</v>
      </c>
      <c r="P374" s="13" t="s">
        <v>60</v>
      </c>
      <c r="Q374" s="13" t="s">
        <v>56</v>
      </c>
      <c r="R374" s="13" t="s">
        <v>270</v>
      </c>
      <c r="S374" s="13" t="s">
        <v>1427</v>
      </c>
      <c r="T374" s="13" t="s">
        <v>1428</v>
      </c>
      <c r="U374" s="13"/>
      <c r="V374" s="13"/>
      <c r="W374" s="13"/>
      <c r="AN374" s="7" t="s">
        <v>70</v>
      </c>
      <c r="AO374" s="21">
        <f t="shared" si="18"/>
        <v>0</v>
      </c>
      <c r="AP374" s="7">
        <f t="shared" si="19"/>
        <v>75</v>
      </c>
      <c r="AQ374" s="31" t="str">
        <f t="shared" si="17"/>
        <v>Complete - No Adjustment</v>
      </c>
    </row>
    <row r="375" spans="1:43" x14ac:dyDescent="0.2">
      <c r="A375" s="46">
        <v>365</v>
      </c>
      <c r="B375" s="13" t="s">
        <v>266</v>
      </c>
      <c r="C375" s="13" t="s">
        <v>564</v>
      </c>
      <c r="D375" s="13" t="s">
        <v>1429</v>
      </c>
      <c r="E375" s="13" t="s">
        <v>1430</v>
      </c>
      <c r="F375" s="13" t="s">
        <v>180</v>
      </c>
      <c r="G375" s="13" t="s">
        <v>111</v>
      </c>
      <c r="H375" s="16">
        <v>43925</v>
      </c>
      <c r="I375" s="16">
        <v>43927</v>
      </c>
      <c r="J375" s="22">
        <v>8.34</v>
      </c>
      <c r="K375" s="22">
        <v>8.34</v>
      </c>
      <c r="L375" s="22" t="s">
        <v>1431</v>
      </c>
      <c r="M375" s="26" t="s">
        <v>98</v>
      </c>
      <c r="N375" s="13" t="s">
        <v>230</v>
      </c>
      <c r="O375" s="13" t="s">
        <v>269</v>
      </c>
      <c r="P375" s="13" t="s">
        <v>60</v>
      </c>
      <c r="Q375" s="13" t="s">
        <v>41</v>
      </c>
      <c r="R375" s="13" t="s">
        <v>270</v>
      </c>
      <c r="S375" s="13" t="s">
        <v>1432</v>
      </c>
      <c r="T375" s="13" t="s">
        <v>1433</v>
      </c>
      <c r="U375" s="13"/>
      <c r="V375" s="13"/>
      <c r="W375" s="13"/>
      <c r="AN375" s="7" t="s">
        <v>70</v>
      </c>
      <c r="AO375" s="21">
        <f t="shared" si="18"/>
        <v>0</v>
      </c>
      <c r="AP375" s="7">
        <f t="shared" si="19"/>
        <v>8.34</v>
      </c>
      <c r="AQ375" s="31" t="str">
        <f t="shared" si="17"/>
        <v>Complete - No Adjustment</v>
      </c>
    </row>
    <row r="376" spans="1:43" x14ac:dyDescent="0.2">
      <c r="A376" s="46">
        <v>366</v>
      </c>
      <c r="B376" s="13" t="s">
        <v>266</v>
      </c>
      <c r="C376" s="13" t="s">
        <v>458</v>
      </c>
      <c r="D376" s="13" t="s">
        <v>457</v>
      </c>
      <c r="E376" s="13" t="s">
        <v>1434</v>
      </c>
      <c r="F376" s="13" t="s">
        <v>164</v>
      </c>
      <c r="G376" s="13" t="s">
        <v>111</v>
      </c>
      <c r="H376" s="16">
        <v>43941</v>
      </c>
      <c r="I376" s="16">
        <v>43945</v>
      </c>
      <c r="J376" s="22">
        <v>8.65</v>
      </c>
      <c r="K376" s="22">
        <v>8.65</v>
      </c>
      <c r="L376" s="22" t="s">
        <v>1435</v>
      </c>
      <c r="M376" s="26" t="s">
        <v>98</v>
      </c>
      <c r="N376" s="13" t="s">
        <v>230</v>
      </c>
      <c r="O376" s="13" t="s">
        <v>281</v>
      </c>
      <c r="P376" s="13" t="s">
        <v>60</v>
      </c>
      <c r="Q376" s="13" t="s">
        <v>41</v>
      </c>
      <c r="R376" s="13" t="s">
        <v>270</v>
      </c>
      <c r="S376" s="13" t="s">
        <v>1436</v>
      </c>
      <c r="T376" s="13" t="s">
        <v>1437</v>
      </c>
      <c r="U376" s="13"/>
      <c r="V376" s="13"/>
      <c r="W376" s="13"/>
      <c r="AN376" s="7" t="s">
        <v>155</v>
      </c>
      <c r="AO376" s="21">
        <f t="shared" si="18"/>
        <v>0</v>
      </c>
      <c r="AP376" s="7">
        <f t="shared" si="19"/>
        <v>8.65</v>
      </c>
      <c r="AQ376" s="31" t="str">
        <f t="shared" si="17"/>
        <v>Complete - No Adjustment</v>
      </c>
    </row>
    <row r="377" spans="1:43" x14ac:dyDescent="0.2">
      <c r="A377" s="46">
        <v>367</v>
      </c>
      <c r="B377" s="13" t="s">
        <v>266</v>
      </c>
      <c r="C377" s="13" t="s">
        <v>458</v>
      </c>
      <c r="D377" s="13" t="s">
        <v>457</v>
      </c>
      <c r="E377" s="13" t="s">
        <v>1438</v>
      </c>
      <c r="F377" s="13" t="s">
        <v>162</v>
      </c>
      <c r="G377" s="13" t="s">
        <v>111</v>
      </c>
      <c r="H377" s="16">
        <v>43934</v>
      </c>
      <c r="I377" s="16">
        <v>43935</v>
      </c>
      <c r="J377" s="22">
        <v>14.06</v>
      </c>
      <c r="K377" s="22">
        <v>14.06</v>
      </c>
      <c r="L377" s="22" t="s">
        <v>1439</v>
      </c>
      <c r="M377" s="26" t="s">
        <v>98</v>
      </c>
      <c r="N377" s="13" t="s">
        <v>230</v>
      </c>
      <c r="O377" s="13" t="s">
        <v>281</v>
      </c>
      <c r="P377" s="13" t="s">
        <v>60</v>
      </c>
      <c r="Q377" s="13" t="s">
        <v>41</v>
      </c>
      <c r="R377" s="13" t="s">
        <v>270</v>
      </c>
      <c r="S377" s="13" t="s">
        <v>1436</v>
      </c>
      <c r="T377" s="13" t="s">
        <v>1437</v>
      </c>
      <c r="U377" s="13"/>
      <c r="V377" s="13"/>
      <c r="W377" s="13"/>
      <c r="AN377" s="7" t="s">
        <v>155</v>
      </c>
      <c r="AO377" s="21">
        <f t="shared" si="18"/>
        <v>0</v>
      </c>
      <c r="AP377" s="7">
        <f t="shared" si="19"/>
        <v>14.06</v>
      </c>
      <c r="AQ377" s="31" t="str">
        <f t="shared" si="17"/>
        <v>Complete - No Adjustment</v>
      </c>
    </row>
    <row r="378" spans="1:43" x14ac:dyDescent="0.2">
      <c r="A378" s="46">
        <v>368</v>
      </c>
      <c r="B378" s="13" t="s">
        <v>266</v>
      </c>
      <c r="C378" s="13" t="s">
        <v>620</v>
      </c>
      <c r="D378" s="13" t="s">
        <v>619</v>
      </c>
      <c r="E378" s="13" t="s">
        <v>1440</v>
      </c>
      <c r="F378" s="13" t="s">
        <v>176</v>
      </c>
      <c r="G378" s="13" t="s">
        <v>111</v>
      </c>
      <c r="H378" s="16">
        <v>43940</v>
      </c>
      <c r="I378" s="16">
        <v>43942</v>
      </c>
      <c r="J378" s="22">
        <v>25.44</v>
      </c>
      <c r="K378" s="22">
        <v>25.44</v>
      </c>
      <c r="L378" s="22" t="s">
        <v>1441</v>
      </c>
      <c r="M378" s="26" t="s">
        <v>98</v>
      </c>
      <c r="N378" s="13" t="s">
        <v>230</v>
      </c>
      <c r="O378" s="13" t="s">
        <v>320</v>
      </c>
      <c r="P378" s="13" t="s">
        <v>60</v>
      </c>
      <c r="Q378" s="13" t="s">
        <v>41</v>
      </c>
      <c r="R378" s="13" t="s">
        <v>270</v>
      </c>
      <c r="S378" s="13" t="s">
        <v>1442</v>
      </c>
      <c r="T378" s="13" t="s">
        <v>1443</v>
      </c>
      <c r="U378" s="13"/>
      <c r="V378" s="13"/>
      <c r="W378" s="13"/>
      <c r="AN378" s="7" t="s">
        <v>155</v>
      </c>
      <c r="AO378" s="21">
        <f t="shared" si="18"/>
        <v>0</v>
      </c>
      <c r="AP378" s="7">
        <f t="shared" si="19"/>
        <v>25.44</v>
      </c>
      <c r="AQ378" s="31" t="str">
        <f t="shared" si="17"/>
        <v>Complete - No Adjustment</v>
      </c>
    </row>
    <row r="379" spans="1:43" x14ac:dyDescent="0.2">
      <c r="A379" s="46">
        <v>369</v>
      </c>
      <c r="B379" s="13" t="s">
        <v>266</v>
      </c>
      <c r="C379" s="13" t="s">
        <v>568</v>
      </c>
      <c r="D379" s="13" t="s">
        <v>567</v>
      </c>
      <c r="E379" s="13" t="s">
        <v>1444</v>
      </c>
      <c r="F379" s="13" t="s">
        <v>163</v>
      </c>
      <c r="G379" s="13" t="s">
        <v>111</v>
      </c>
      <c r="H379" s="16">
        <v>43946</v>
      </c>
      <c r="I379" s="16">
        <v>43950</v>
      </c>
      <c r="J379" s="22">
        <v>22.22</v>
      </c>
      <c r="K379" s="22">
        <v>22.22</v>
      </c>
      <c r="L379" s="22" t="s">
        <v>1445</v>
      </c>
      <c r="M379" s="26" t="s">
        <v>98</v>
      </c>
      <c r="N379" s="13" t="s">
        <v>230</v>
      </c>
      <c r="O379" s="13" t="s">
        <v>303</v>
      </c>
      <c r="P379" s="13" t="s">
        <v>60</v>
      </c>
      <c r="Q379" s="13" t="s">
        <v>41</v>
      </c>
      <c r="R379" s="13" t="s">
        <v>270</v>
      </c>
      <c r="S379" s="13" t="s">
        <v>1446</v>
      </c>
      <c r="T379" s="13" t="s">
        <v>1447</v>
      </c>
      <c r="U379" s="13"/>
      <c r="V379" s="13"/>
      <c r="W379" s="13"/>
      <c r="AN379" s="7" t="s">
        <v>70</v>
      </c>
      <c r="AO379" s="21">
        <f t="shared" si="18"/>
        <v>0</v>
      </c>
      <c r="AP379" s="7">
        <f t="shared" si="19"/>
        <v>22.22</v>
      </c>
      <c r="AQ379" s="31" t="str">
        <f t="shared" si="17"/>
        <v>Complete - No Adjustment</v>
      </c>
    </row>
    <row r="380" spans="1:43" x14ac:dyDescent="0.2">
      <c r="A380" s="46">
        <v>370</v>
      </c>
      <c r="B380" s="13" t="s">
        <v>266</v>
      </c>
      <c r="C380" s="13" t="s">
        <v>462</v>
      </c>
      <c r="D380" s="13" t="s">
        <v>461</v>
      </c>
      <c r="E380" s="13" t="s">
        <v>1448</v>
      </c>
      <c r="F380" s="13" t="s">
        <v>183</v>
      </c>
      <c r="G380" s="13" t="s">
        <v>111</v>
      </c>
      <c r="H380" s="16">
        <v>43934</v>
      </c>
      <c r="I380" s="16">
        <v>43936</v>
      </c>
      <c r="J380" s="22">
        <v>18.989999999999998</v>
      </c>
      <c r="K380" s="22">
        <v>18.989999999999998</v>
      </c>
      <c r="L380" s="22" t="s">
        <v>1449</v>
      </c>
      <c r="M380" s="26" t="s">
        <v>98</v>
      </c>
      <c r="N380" s="13" t="s">
        <v>230</v>
      </c>
      <c r="O380" s="13" t="s">
        <v>288</v>
      </c>
      <c r="P380" s="13" t="s">
        <v>60</v>
      </c>
      <c r="Q380" s="13" t="s">
        <v>41</v>
      </c>
      <c r="R380" s="13" t="s">
        <v>270</v>
      </c>
      <c r="S380" s="13" t="s">
        <v>1450</v>
      </c>
      <c r="T380" s="13" t="s">
        <v>1451</v>
      </c>
      <c r="U380" s="13"/>
      <c r="V380" s="13"/>
      <c r="W380" s="13"/>
      <c r="AN380" s="7" t="s">
        <v>155</v>
      </c>
      <c r="AO380" s="21">
        <f t="shared" si="18"/>
        <v>0</v>
      </c>
      <c r="AP380" s="7">
        <f t="shared" si="19"/>
        <v>18.989999999999998</v>
      </c>
      <c r="AQ380" s="31" t="str">
        <f t="shared" si="17"/>
        <v>Complete - No Adjustment</v>
      </c>
    </row>
    <row r="381" spans="1:43" x14ac:dyDescent="0.2">
      <c r="A381" s="46">
        <v>371</v>
      </c>
      <c r="B381" s="13" t="s">
        <v>266</v>
      </c>
      <c r="C381" s="13" t="s">
        <v>462</v>
      </c>
      <c r="D381" s="13" t="s">
        <v>461</v>
      </c>
      <c r="E381" s="13" t="s">
        <v>1452</v>
      </c>
      <c r="F381" s="13" t="s">
        <v>166</v>
      </c>
      <c r="G381" s="13" t="s">
        <v>111</v>
      </c>
      <c r="H381" s="16">
        <v>43942</v>
      </c>
      <c r="I381" s="16">
        <v>43944</v>
      </c>
      <c r="J381" s="22">
        <v>19.54</v>
      </c>
      <c r="K381" s="22">
        <v>19.54</v>
      </c>
      <c r="L381" s="22" t="s">
        <v>1453</v>
      </c>
      <c r="M381" s="26" t="s">
        <v>98</v>
      </c>
      <c r="N381" s="13" t="s">
        <v>230</v>
      </c>
      <c r="O381" s="13" t="s">
        <v>288</v>
      </c>
      <c r="P381" s="13" t="s">
        <v>60</v>
      </c>
      <c r="Q381" s="13" t="s">
        <v>41</v>
      </c>
      <c r="R381" s="13" t="s">
        <v>270</v>
      </c>
      <c r="S381" s="13" t="s">
        <v>1454</v>
      </c>
      <c r="T381" s="13" t="s">
        <v>1455</v>
      </c>
      <c r="U381" s="13"/>
      <c r="V381" s="13"/>
      <c r="W381" s="13"/>
      <c r="AL381" s="14">
        <v>19.54</v>
      </c>
      <c r="AN381" s="7" t="s">
        <v>167</v>
      </c>
      <c r="AO381" s="21">
        <f t="shared" si="18"/>
        <v>19.54</v>
      </c>
      <c r="AP381" s="7">
        <f t="shared" si="19"/>
        <v>0</v>
      </c>
      <c r="AQ381" s="31" t="str">
        <f t="shared" si="17"/>
        <v>Complete - With Adjustment</v>
      </c>
    </row>
    <row r="382" spans="1:43" x14ac:dyDescent="0.2">
      <c r="A382" s="46">
        <v>372</v>
      </c>
      <c r="B382" s="13" t="s">
        <v>266</v>
      </c>
      <c r="C382" s="13" t="s">
        <v>462</v>
      </c>
      <c r="D382" s="13" t="s">
        <v>461</v>
      </c>
      <c r="E382" s="13" t="s">
        <v>1456</v>
      </c>
      <c r="F382" s="13" t="s">
        <v>175</v>
      </c>
      <c r="G382" s="13" t="s">
        <v>111</v>
      </c>
      <c r="H382" s="16">
        <v>43927</v>
      </c>
      <c r="I382" s="16">
        <v>43929</v>
      </c>
      <c r="J382" s="22">
        <v>24.11</v>
      </c>
      <c r="K382" s="22">
        <v>24.11</v>
      </c>
      <c r="L382" s="22" t="s">
        <v>1457</v>
      </c>
      <c r="M382" s="26" t="s">
        <v>98</v>
      </c>
      <c r="N382" s="13" t="s">
        <v>230</v>
      </c>
      <c r="O382" s="13" t="s">
        <v>288</v>
      </c>
      <c r="P382" s="13" t="s">
        <v>60</v>
      </c>
      <c r="Q382" s="13" t="s">
        <v>41</v>
      </c>
      <c r="R382" s="13" t="s">
        <v>270</v>
      </c>
      <c r="S382" s="13" t="s">
        <v>1458</v>
      </c>
      <c r="T382" s="13" t="s">
        <v>1459</v>
      </c>
      <c r="U382" s="13"/>
      <c r="V382" s="13"/>
      <c r="W382" s="13"/>
      <c r="AL382" s="14">
        <v>24.11</v>
      </c>
      <c r="AN382" s="7" t="s">
        <v>146</v>
      </c>
      <c r="AO382" s="21">
        <f t="shared" si="18"/>
        <v>24.11</v>
      </c>
      <c r="AP382" s="7">
        <f t="shared" si="19"/>
        <v>0</v>
      </c>
      <c r="AQ382" s="31" t="str">
        <f t="shared" si="17"/>
        <v>Complete - With Adjustment</v>
      </c>
    </row>
    <row r="383" spans="1:43" x14ac:dyDescent="0.2">
      <c r="A383" s="46">
        <v>373</v>
      </c>
      <c r="B383" s="13" t="s">
        <v>266</v>
      </c>
      <c r="C383" s="13" t="s">
        <v>462</v>
      </c>
      <c r="D383" s="13" t="s">
        <v>461</v>
      </c>
      <c r="E383" s="13" t="s">
        <v>1460</v>
      </c>
      <c r="F383" s="13" t="s">
        <v>177</v>
      </c>
      <c r="G383" s="13" t="s">
        <v>111</v>
      </c>
      <c r="H383" s="16">
        <v>43920</v>
      </c>
      <c r="I383" s="16">
        <v>43928</v>
      </c>
      <c r="J383" s="22">
        <v>27.9</v>
      </c>
      <c r="K383" s="22">
        <v>27.9</v>
      </c>
      <c r="L383" s="22" t="s">
        <v>1461</v>
      </c>
      <c r="M383" s="26" t="s">
        <v>98</v>
      </c>
      <c r="N383" s="13" t="s">
        <v>230</v>
      </c>
      <c r="O383" s="13" t="s">
        <v>288</v>
      </c>
      <c r="P383" s="13" t="s">
        <v>60</v>
      </c>
      <c r="Q383" s="13" t="s">
        <v>41</v>
      </c>
      <c r="R383" s="13" t="s">
        <v>270</v>
      </c>
      <c r="S383" s="13" t="s">
        <v>1462</v>
      </c>
      <c r="T383" s="13" t="s">
        <v>1463</v>
      </c>
      <c r="U383" s="13"/>
      <c r="V383" s="13"/>
      <c r="W383" s="13"/>
      <c r="AN383" s="7" t="s">
        <v>70</v>
      </c>
      <c r="AO383" s="21">
        <f t="shared" si="18"/>
        <v>0</v>
      </c>
      <c r="AP383" s="7">
        <f t="shared" si="19"/>
        <v>27.9</v>
      </c>
      <c r="AQ383" s="31" t="str">
        <f t="shared" si="17"/>
        <v>Complete - No Adjustment</v>
      </c>
    </row>
    <row r="384" spans="1:43" x14ac:dyDescent="0.2">
      <c r="A384" s="46">
        <v>374</v>
      </c>
      <c r="B384" s="13" t="s">
        <v>266</v>
      </c>
      <c r="C384" s="13" t="s">
        <v>464</v>
      </c>
      <c r="D384" s="13" t="s">
        <v>463</v>
      </c>
      <c r="E384" s="13" t="s">
        <v>1464</v>
      </c>
      <c r="F384" s="13" t="s">
        <v>163</v>
      </c>
      <c r="G384" s="13" t="s">
        <v>111</v>
      </c>
      <c r="H384" s="16">
        <v>43948</v>
      </c>
      <c r="I384" s="16">
        <v>43950</v>
      </c>
      <c r="J384" s="22">
        <v>380</v>
      </c>
      <c r="K384" s="22">
        <v>380</v>
      </c>
      <c r="L384" s="22" t="s">
        <v>1465</v>
      </c>
      <c r="M384" s="26" t="s">
        <v>98</v>
      </c>
      <c r="N384" s="13" t="s">
        <v>230</v>
      </c>
      <c r="O384" s="13" t="s">
        <v>465</v>
      </c>
      <c r="P384" s="13" t="s">
        <v>60</v>
      </c>
      <c r="Q384" s="13" t="s">
        <v>56</v>
      </c>
      <c r="R384" s="13" t="s">
        <v>270</v>
      </c>
      <c r="S384" s="13" t="s">
        <v>1466</v>
      </c>
      <c r="T384" s="13" t="s">
        <v>1467</v>
      </c>
      <c r="U384" s="13"/>
      <c r="V384" s="13"/>
      <c r="W384" s="13"/>
      <c r="AN384" s="7" t="s">
        <v>70</v>
      </c>
      <c r="AO384" s="21">
        <f t="shared" si="18"/>
        <v>0</v>
      </c>
      <c r="AP384" s="7">
        <f t="shared" si="19"/>
        <v>380</v>
      </c>
      <c r="AQ384" s="31" t="str">
        <f t="shared" si="17"/>
        <v>Complete - No Adjustment</v>
      </c>
    </row>
    <row r="385" spans="1:43" x14ac:dyDescent="0.2">
      <c r="A385" s="46">
        <v>375</v>
      </c>
      <c r="B385" s="13" t="s">
        <v>266</v>
      </c>
      <c r="C385" s="13" t="s">
        <v>660</v>
      </c>
      <c r="D385" s="13" t="s">
        <v>659</v>
      </c>
      <c r="E385" s="13" t="s">
        <v>1468</v>
      </c>
      <c r="F385" s="13" t="s">
        <v>176</v>
      </c>
      <c r="G385" s="13" t="s">
        <v>111</v>
      </c>
      <c r="H385" s="16">
        <v>43938</v>
      </c>
      <c r="I385" s="16">
        <v>43942</v>
      </c>
      <c r="J385" s="22">
        <v>23.9</v>
      </c>
      <c r="K385" s="22">
        <v>23.9</v>
      </c>
      <c r="L385" s="22" t="s">
        <v>1469</v>
      </c>
      <c r="M385" s="26" t="s">
        <v>98</v>
      </c>
      <c r="N385" s="13" t="s">
        <v>230</v>
      </c>
      <c r="O385" s="13" t="s">
        <v>320</v>
      </c>
      <c r="P385" s="13" t="s">
        <v>60</v>
      </c>
      <c r="Q385" s="13" t="s">
        <v>41</v>
      </c>
      <c r="R385" s="13" t="s">
        <v>270</v>
      </c>
      <c r="S385" s="13" t="s">
        <v>1470</v>
      </c>
      <c r="T385" s="13" t="s">
        <v>1471</v>
      </c>
      <c r="U385" s="13"/>
      <c r="V385" s="13"/>
      <c r="W385" s="13"/>
      <c r="AN385" s="7" t="s">
        <v>155</v>
      </c>
      <c r="AO385" s="21">
        <f t="shared" si="18"/>
        <v>0</v>
      </c>
      <c r="AP385" s="7">
        <f t="shared" si="19"/>
        <v>23.9</v>
      </c>
      <c r="AQ385" s="31" t="str">
        <f t="shared" si="17"/>
        <v>Complete - No Adjustment</v>
      </c>
    </row>
    <row r="386" spans="1:43" x14ac:dyDescent="0.2">
      <c r="A386" s="46">
        <v>376</v>
      </c>
      <c r="B386" s="13" t="s">
        <v>266</v>
      </c>
      <c r="C386" s="13" t="s">
        <v>788</v>
      </c>
      <c r="D386" s="13" t="s">
        <v>787</v>
      </c>
      <c r="E386" s="13" t="s">
        <v>1472</v>
      </c>
      <c r="F386" s="13" t="s">
        <v>161</v>
      </c>
      <c r="G386" s="13" t="s">
        <v>111</v>
      </c>
      <c r="H386" s="16">
        <v>43941</v>
      </c>
      <c r="I386" s="16">
        <v>43949</v>
      </c>
      <c r="J386" s="22">
        <v>22.56</v>
      </c>
      <c r="K386" s="22">
        <v>22.56</v>
      </c>
      <c r="L386" s="22" t="s">
        <v>1473</v>
      </c>
      <c r="M386" s="26" t="s">
        <v>98</v>
      </c>
      <c r="N386" s="13" t="s">
        <v>230</v>
      </c>
      <c r="O386" s="13" t="s">
        <v>444</v>
      </c>
      <c r="P386" s="13" t="s">
        <v>60</v>
      </c>
      <c r="Q386" s="13" t="s">
        <v>41</v>
      </c>
      <c r="R386" s="13" t="s">
        <v>270</v>
      </c>
      <c r="S386" s="13" t="s">
        <v>1387</v>
      </c>
      <c r="T386" s="13" t="s">
        <v>1388</v>
      </c>
      <c r="U386" s="13"/>
      <c r="V386" s="13"/>
      <c r="W386" s="13"/>
      <c r="AL386" s="14">
        <v>22.56</v>
      </c>
      <c r="AN386" s="7" t="s">
        <v>167</v>
      </c>
      <c r="AO386" s="21">
        <f t="shared" si="18"/>
        <v>22.56</v>
      </c>
      <c r="AP386" s="7">
        <f t="shared" si="19"/>
        <v>0</v>
      </c>
      <c r="AQ386" s="31" t="str">
        <f t="shared" si="17"/>
        <v>Complete - With Adjustment</v>
      </c>
    </row>
    <row r="387" spans="1:43" x14ac:dyDescent="0.2">
      <c r="A387" s="46">
        <v>377</v>
      </c>
      <c r="B387" s="13" t="s">
        <v>266</v>
      </c>
      <c r="C387" s="13" t="s">
        <v>469</v>
      </c>
      <c r="D387" s="13" t="s">
        <v>468</v>
      </c>
      <c r="E387" s="13" t="s">
        <v>1474</v>
      </c>
      <c r="F387" s="13" t="s">
        <v>175</v>
      </c>
      <c r="G387" s="13" t="s">
        <v>111</v>
      </c>
      <c r="H387" s="16">
        <v>43928</v>
      </c>
      <c r="I387" s="16">
        <v>43929</v>
      </c>
      <c r="J387" s="22">
        <v>1533.19</v>
      </c>
      <c r="K387" s="22">
        <v>515.22</v>
      </c>
      <c r="L387" s="22" t="s">
        <v>1475</v>
      </c>
      <c r="M387" s="26" t="s">
        <v>98</v>
      </c>
      <c r="N387" s="13" t="s">
        <v>230</v>
      </c>
      <c r="O387" s="13" t="s">
        <v>280</v>
      </c>
      <c r="P387" s="13" t="s">
        <v>60</v>
      </c>
      <c r="Q387" s="13" t="s">
        <v>45</v>
      </c>
      <c r="R387" s="13" t="s">
        <v>270</v>
      </c>
      <c r="S387" s="13" t="s">
        <v>1476</v>
      </c>
      <c r="T387" s="13" t="s">
        <v>1477</v>
      </c>
      <c r="U387" s="13"/>
      <c r="V387" s="13"/>
      <c r="W387" s="13"/>
      <c r="AN387" s="7" t="s">
        <v>70</v>
      </c>
      <c r="AO387" s="21">
        <f t="shared" si="18"/>
        <v>0</v>
      </c>
      <c r="AP387" s="7">
        <f t="shared" si="19"/>
        <v>515.22</v>
      </c>
      <c r="AQ387" s="31" t="str">
        <f t="shared" si="17"/>
        <v>Complete - No Adjustment</v>
      </c>
    </row>
    <row r="388" spans="1:43" x14ac:dyDescent="0.2">
      <c r="A388" s="46">
        <v>378</v>
      </c>
      <c r="B388" s="13" t="s">
        <v>266</v>
      </c>
      <c r="C388" s="13" t="s">
        <v>469</v>
      </c>
      <c r="D388" s="13" t="s">
        <v>468</v>
      </c>
      <c r="E388" s="13" t="s">
        <v>1474</v>
      </c>
      <c r="F388" s="13" t="s">
        <v>175</v>
      </c>
      <c r="G388" s="13" t="s">
        <v>111</v>
      </c>
      <c r="H388" s="16">
        <v>43928</v>
      </c>
      <c r="I388" s="16">
        <v>43929</v>
      </c>
      <c r="J388" s="22">
        <v>1533.19</v>
      </c>
      <c r="K388" s="22">
        <v>52.12</v>
      </c>
      <c r="L388" s="22" t="s">
        <v>1475</v>
      </c>
      <c r="M388" s="26" t="s">
        <v>98</v>
      </c>
      <c r="N388" s="13" t="s">
        <v>230</v>
      </c>
      <c r="O388" s="13" t="s">
        <v>280</v>
      </c>
      <c r="P388" s="13" t="s">
        <v>60</v>
      </c>
      <c r="Q388" s="13" t="s">
        <v>41</v>
      </c>
      <c r="R388" s="13" t="s">
        <v>270</v>
      </c>
      <c r="S388" s="13" t="s">
        <v>1476</v>
      </c>
      <c r="T388" s="13" t="s">
        <v>1478</v>
      </c>
      <c r="U388" s="13"/>
      <c r="V388" s="13"/>
      <c r="W388" s="13"/>
      <c r="AB388" s="14">
        <f>(52.12-25*1.0825*1.2)</f>
        <v>19.644999999999996</v>
      </c>
      <c r="AN388" s="7" t="s">
        <v>66</v>
      </c>
      <c r="AO388" s="21">
        <f t="shared" si="18"/>
        <v>19.644999999999996</v>
      </c>
      <c r="AP388" s="7">
        <f t="shared" si="19"/>
        <v>32.475000000000001</v>
      </c>
      <c r="AQ388" s="31" t="str">
        <f t="shared" si="17"/>
        <v>Complete - With Adjustment</v>
      </c>
    </row>
    <row r="389" spans="1:43" x14ac:dyDescent="0.2">
      <c r="A389" s="46">
        <v>379</v>
      </c>
      <c r="B389" s="13" t="s">
        <v>266</v>
      </c>
      <c r="C389" s="13" t="s">
        <v>469</v>
      </c>
      <c r="D389" s="13" t="s">
        <v>468</v>
      </c>
      <c r="E389" s="13" t="s">
        <v>1474</v>
      </c>
      <c r="F389" s="13" t="s">
        <v>175</v>
      </c>
      <c r="G389" s="13" t="s">
        <v>111</v>
      </c>
      <c r="H389" s="16">
        <v>43928</v>
      </c>
      <c r="I389" s="16">
        <v>43929</v>
      </c>
      <c r="J389" s="22">
        <v>1533.19</v>
      </c>
      <c r="K389" s="22">
        <v>40</v>
      </c>
      <c r="L389" s="22" t="s">
        <v>1475</v>
      </c>
      <c r="M389" s="26" t="s">
        <v>98</v>
      </c>
      <c r="N389" s="13" t="s">
        <v>230</v>
      </c>
      <c r="O389" s="13" t="s">
        <v>280</v>
      </c>
      <c r="P389" s="13" t="s">
        <v>60</v>
      </c>
      <c r="Q389" s="13" t="s">
        <v>44</v>
      </c>
      <c r="R389" s="13" t="s">
        <v>270</v>
      </c>
      <c r="S389" s="13" t="s">
        <v>1476</v>
      </c>
      <c r="T389" s="13" t="s">
        <v>1479</v>
      </c>
      <c r="U389" s="13"/>
      <c r="V389" s="13"/>
      <c r="W389" s="13"/>
      <c r="AN389" s="7" t="s">
        <v>70</v>
      </c>
      <c r="AO389" s="21">
        <f t="shared" si="18"/>
        <v>0</v>
      </c>
      <c r="AP389" s="7">
        <f t="shared" si="19"/>
        <v>40</v>
      </c>
      <c r="AQ389" s="31" t="str">
        <f t="shared" ref="AQ389:AQ452" si="20">IF(AO389&lt;&gt;0,"Complete - With Adjustment","Complete - No Adjustment")</f>
        <v>Complete - No Adjustment</v>
      </c>
    </row>
    <row r="390" spans="1:43" x14ac:dyDescent="0.2">
      <c r="A390" s="46">
        <v>380</v>
      </c>
      <c r="B390" s="13" t="s">
        <v>266</v>
      </c>
      <c r="C390" s="13" t="s">
        <v>469</v>
      </c>
      <c r="D390" s="13" t="s">
        <v>468</v>
      </c>
      <c r="E390" s="13" t="s">
        <v>1474</v>
      </c>
      <c r="F390" s="13" t="s">
        <v>175</v>
      </c>
      <c r="G390" s="13" t="s">
        <v>111</v>
      </c>
      <c r="H390" s="16">
        <v>43928</v>
      </c>
      <c r="I390" s="16">
        <v>43929</v>
      </c>
      <c r="J390" s="22">
        <v>1533.19</v>
      </c>
      <c r="K390" s="22">
        <v>5.75</v>
      </c>
      <c r="L390" s="22" t="s">
        <v>1475</v>
      </c>
      <c r="M390" s="26" t="s">
        <v>98</v>
      </c>
      <c r="N390" s="13" t="s">
        <v>230</v>
      </c>
      <c r="O390" s="13" t="s">
        <v>280</v>
      </c>
      <c r="P390" s="13" t="s">
        <v>60</v>
      </c>
      <c r="Q390" s="13" t="s">
        <v>44</v>
      </c>
      <c r="R390" s="13" t="s">
        <v>270</v>
      </c>
      <c r="S390" s="13" t="s">
        <v>1476</v>
      </c>
      <c r="T390" s="13" t="s">
        <v>1480</v>
      </c>
      <c r="U390" s="13"/>
      <c r="V390" s="13"/>
      <c r="W390" s="13"/>
      <c r="AN390" s="7" t="s">
        <v>70</v>
      </c>
      <c r="AO390" s="21">
        <f t="shared" si="18"/>
        <v>0</v>
      </c>
      <c r="AP390" s="7">
        <f t="shared" si="19"/>
        <v>5.75</v>
      </c>
      <c r="AQ390" s="31" t="str">
        <f t="shared" si="20"/>
        <v>Complete - No Adjustment</v>
      </c>
    </row>
    <row r="391" spans="1:43" x14ac:dyDescent="0.2">
      <c r="A391" s="46">
        <v>381</v>
      </c>
      <c r="B391" s="13" t="s">
        <v>266</v>
      </c>
      <c r="C391" s="13" t="s">
        <v>469</v>
      </c>
      <c r="D391" s="13" t="s">
        <v>468</v>
      </c>
      <c r="E391" s="13" t="s">
        <v>1474</v>
      </c>
      <c r="F391" s="13" t="s">
        <v>175</v>
      </c>
      <c r="G391" s="13" t="s">
        <v>111</v>
      </c>
      <c r="H391" s="16">
        <v>43928</v>
      </c>
      <c r="I391" s="16">
        <v>43929</v>
      </c>
      <c r="J391" s="22">
        <v>1533.19</v>
      </c>
      <c r="K391" s="22">
        <v>9.5</v>
      </c>
      <c r="L391" s="22" t="s">
        <v>1475</v>
      </c>
      <c r="M391" s="26" t="s">
        <v>98</v>
      </c>
      <c r="N391" s="13" t="s">
        <v>230</v>
      </c>
      <c r="O391" s="13" t="s">
        <v>280</v>
      </c>
      <c r="P391" s="13" t="s">
        <v>60</v>
      </c>
      <c r="Q391" s="13" t="s">
        <v>41</v>
      </c>
      <c r="R391" s="13" t="s">
        <v>270</v>
      </c>
      <c r="S391" s="13" t="s">
        <v>1476</v>
      </c>
      <c r="T391" s="13" t="s">
        <v>1478</v>
      </c>
      <c r="U391" s="13"/>
      <c r="V391" s="13"/>
      <c r="W391" s="13"/>
      <c r="AL391" s="14">
        <v>9.5</v>
      </c>
      <c r="AN391" s="7" t="s">
        <v>146</v>
      </c>
      <c r="AO391" s="21">
        <f t="shared" si="18"/>
        <v>9.5</v>
      </c>
      <c r="AP391" s="7">
        <f t="shared" si="19"/>
        <v>0</v>
      </c>
      <c r="AQ391" s="31" t="str">
        <f t="shared" si="20"/>
        <v>Complete - With Adjustment</v>
      </c>
    </row>
    <row r="392" spans="1:43" x14ac:dyDescent="0.2">
      <c r="A392" s="46">
        <v>382</v>
      </c>
      <c r="B392" s="13" t="s">
        <v>266</v>
      </c>
      <c r="C392" s="13" t="s">
        <v>469</v>
      </c>
      <c r="D392" s="13" t="s">
        <v>468</v>
      </c>
      <c r="E392" s="13" t="s">
        <v>1474</v>
      </c>
      <c r="F392" s="13" t="s">
        <v>175</v>
      </c>
      <c r="G392" s="13" t="s">
        <v>111</v>
      </c>
      <c r="H392" s="16">
        <v>43928</v>
      </c>
      <c r="I392" s="16">
        <v>43929</v>
      </c>
      <c r="J392" s="22">
        <v>1533.19</v>
      </c>
      <c r="K392" s="22">
        <v>9.5</v>
      </c>
      <c r="L392" s="22" t="s">
        <v>1475</v>
      </c>
      <c r="M392" s="26" t="s">
        <v>98</v>
      </c>
      <c r="N392" s="13" t="s">
        <v>230</v>
      </c>
      <c r="O392" s="13" t="s">
        <v>280</v>
      </c>
      <c r="P392" s="13" t="s">
        <v>60</v>
      </c>
      <c r="Q392" s="13" t="s">
        <v>41</v>
      </c>
      <c r="R392" s="13" t="s">
        <v>270</v>
      </c>
      <c r="S392" s="13" t="s">
        <v>1476</v>
      </c>
      <c r="T392" s="13" t="s">
        <v>1478</v>
      </c>
      <c r="U392" s="13"/>
      <c r="V392" s="13"/>
      <c r="W392" s="13"/>
      <c r="AL392" s="14">
        <v>9.5</v>
      </c>
      <c r="AN392" s="7" t="s">
        <v>146</v>
      </c>
      <c r="AO392" s="21">
        <f t="shared" si="18"/>
        <v>9.5</v>
      </c>
      <c r="AP392" s="7">
        <f t="shared" si="19"/>
        <v>0</v>
      </c>
      <c r="AQ392" s="31" t="str">
        <f t="shared" si="20"/>
        <v>Complete - With Adjustment</v>
      </c>
    </row>
    <row r="393" spans="1:43" x14ac:dyDescent="0.2">
      <c r="A393" s="46">
        <v>383</v>
      </c>
      <c r="B393" s="13" t="s">
        <v>266</v>
      </c>
      <c r="C393" s="13" t="s">
        <v>469</v>
      </c>
      <c r="D393" s="13" t="s">
        <v>468</v>
      </c>
      <c r="E393" s="13" t="s">
        <v>1474</v>
      </c>
      <c r="F393" s="13" t="s">
        <v>175</v>
      </c>
      <c r="G393" s="13" t="s">
        <v>111</v>
      </c>
      <c r="H393" s="16">
        <v>43928</v>
      </c>
      <c r="I393" s="16">
        <v>43929</v>
      </c>
      <c r="J393" s="22">
        <v>1533.19</v>
      </c>
      <c r="K393" s="22">
        <v>13.7</v>
      </c>
      <c r="L393" s="22" t="s">
        <v>1475</v>
      </c>
      <c r="M393" s="26" t="s">
        <v>98</v>
      </c>
      <c r="N393" s="13" t="s">
        <v>230</v>
      </c>
      <c r="O393" s="13" t="s">
        <v>280</v>
      </c>
      <c r="P393" s="13" t="s">
        <v>60</v>
      </c>
      <c r="Q393" s="13" t="s">
        <v>41</v>
      </c>
      <c r="R393" s="13" t="s">
        <v>270</v>
      </c>
      <c r="S393" s="13" t="s">
        <v>1476</v>
      </c>
      <c r="T393" s="13" t="s">
        <v>1478</v>
      </c>
      <c r="U393" s="13"/>
      <c r="V393" s="13"/>
      <c r="W393" s="13"/>
      <c r="AL393" s="14">
        <v>13.7</v>
      </c>
      <c r="AN393" s="7" t="s">
        <v>146</v>
      </c>
      <c r="AO393" s="21">
        <f t="shared" si="18"/>
        <v>13.7</v>
      </c>
      <c r="AP393" s="7">
        <f t="shared" si="19"/>
        <v>0</v>
      </c>
      <c r="AQ393" s="31" t="str">
        <f t="shared" si="20"/>
        <v>Complete - With Adjustment</v>
      </c>
    </row>
    <row r="394" spans="1:43" x14ac:dyDescent="0.2">
      <c r="A394" s="46">
        <v>384</v>
      </c>
      <c r="B394" s="13" t="s">
        <v>266</v>
      </c>
      <c r="C394" s="13" t="s">
        <v>469</v>
      </c>
      <c r="D394" s="13" t="s">
        <v>468</v>
      </c>
      <c r="E394" s="13" t="s">
        <v>1474</v>
      </c>
      <c r="F394" s="13" t="s">
        <v>175</v>
      </c>
      <c r="G394" s="13" t="s">
        <v>111</v>
      </c>
      <c r="H394" s="16">
        <v>43928</v>
      </c>
      <c r="I394" s="16">
        <v>43929</v>
      </c>
      <c r="J394" s="22">
        <v>1533.19</v>
      </c>
      <c r="K394" s="22">
        <v>7.57</v>
      </c>
      <c r="L394" s="22" t="s">
        <v>1475</v>
      </c>
      <c r="M394" s="26" t="s">
        <v>98</v>
      </c>
      <c r="N394" s="13" t="s">
        <v>230</v>
      </c>
      <c r="O394" s="13" t="s">
        <v>280</v>
      </c>
      <c r="P394" s="13" t="s">
        <v>60</v>
      </c>
      <c r="Q394" s="13" t="s">
        <v>41</v>
      </c>
      <c r="R394" s="13" t="s">
        <v>270</v>
      </c>
      <c r="S394" s="13" t="s">
        <v>1476</v>
      </c>
      <c r="T394" s="13" t="s">
        <v>1478</v>
      </c>
      <c r="U394" s="13"/>
      <c r="V394" s="13"/>
      <c r="W394" s="13"/>
      <c r="AN394" s="7" t="s">
        <v>70</v>
      </c>
      <c r="AO394" s="21">
        <f t="shared" si="18"/>
        <v>0</v>
      </c>
      <c r="AP394" s="7">
        <f t="shared" si="19"/>
        <v>7.57</v>
      </c>
      <c r="AQ394" s="31" t="str">
        <f t="shared" si="20"/>
        <v>Complete - No Adjustment</v>
      </c>
    </row>
    <row r="395" spans="1:43" x14ac:dyDescent="0.2">
      <c r="A395" s="46">
        <v>385</v>
      </c>
      <c r="B395" s="13" t="s">
        <v>266</v>
      </c>
      <c r="C395" s="13" t="s">
        <v>469</v>
      </c>
      <c r="D395" s="13" t="s">
        <v>468</v>
      </c>
      <c r="E395" s="13" t="s">
        <v>1474</v>
      </c>
      <c r="F395" s="13" t="s">
        <v>175</v>
      </c>
      <c r="G395" s="13" t="s">
        <v>111</v>
      </c>
      <c r="H395" s="16">
        <v>43928</v>
      </c>
      <c r="I395" s="16">
        <v>43929</v>
      </c>
      <c r="J395" s="22">
        <v>1533.19</v>
      </c>
      <c r="K395" s="22">
        <v>5.75</v>
      </c>
      <c r="L395" s="22" t="s">
        <v>1475</v>
      </c>
      <c r="M395" s="26" t="s">
        <v>98</v>
      </c>
      <c r="N395" s="13" t="s">
        <v>230</v>
      </c>
      <c r="O395" s="13" t="s">
        <v>280</v>
      </c>
      <c r="P395" s="13" t="s">
        <v>60</v>
      </c>
      <c r="Q395" s="13" t="s">
        <v>44</v>
      </c>
      <c r="R395" s="13" t="s">
        <v>270</v>
      </c>
      <c r="S395" s="13" t="s">
        <v>1476</v>
      </c>
      <c r="T395" s="13" t="s">
        <v>1480</v>
      </c>
      <c r="U395" s="13"/>
      <c r="V395" s="13"/>
      <c r="W395" s="13"/>
      <c r="AN395" s="7" t="s">
        <v>70</v>
      </c>
      <c r="AO395" s="21">
        <f t="shared" si="18"/>
        <v>0</v>
      </c>
      <c r="AP395" s="7">
        <f t="shared" si="19"/>
        <v>5.75</v>
      </c>
      <c r="AQ395" s="31" t="str">
        <f t="shared" si="20"/>
        <v>Complete - No Adjustment</v>
      </c>
    </row>
    <row r="396" spans="1:43" x14ac:dyDescent="0.2">
      <c r="A396" s="46">
        <v>386</v>
      </c>
      <c r="B396" s="13" t="s">
        <v>266</v>
      </c>
      <c r="C396" s="13" t="s">
        <v>469</v>
      </c>
      <c r="D396" s="13" t="s">
        <v>468</v>
      </c>
      <c r="E396" s="13" t="s">
        <v>1474</v>
      </c>
      <c r="F396" s="13" t="s">
        <v>175</v>
      </c>
      <c r="G396" s="13" t="s">
        <v>111</v>
      </c>
      <c r="H396" s="16">
        <v>43928</v>
      </c>
      <c r="I396" s="16">
        <v>43929</v>
      </c>
      <c r="J396" s="22">
        <v>1533.19</v>
      </c>
      <c r="K396" s="22">
        <v>501.96</v>
      </c>
      <c r="L396" s="22" t="s">
        <v>1475</v>
      </c>
      <c r="M396" s="26" t="s">
        <v>98</v>
      </c>
      <c r="N396" s="13" t="s">
        <v>230</v>
      </c>
      <c r="O396" s="13" t="s">
        <v>280</v>
      </c>
      <c r="P396" s="13" t="s">
        <v>60</v>
      </c>
      <c r="Q396" s="13" t="s">
        <v>44</v>
      </c>
      <c r="R396" s="13" t="s">
        <v>270</v>
      </c>
      <c r="S396" s="13" t="s">
        <v>1476</v>
      </c>
      <c r="T396" s="13" t="s">
        <v>1481</v>
      </c>
      <c r="U396" s="13"/>
      <c r="V396" s="13"/>
      <c r="W396" s="13"/>
      <c r="AN396" s="7" t="s">
        <v>70</v>
      </c>
      <c r="AO396" s="21">
        <f t="shared" si="18"/>
        <v>0</v>
      </c>
      <c r="AP396" s="7">
        <f t="shared" si="19"/>
        <v>501.96</v>
      </c>
      <c r="AQ396" s="31" t="str">
        <f t="shared" si="20"/>
        <v>Complete - No Adjustment</v>
      </c>
    </row>
    <row r="397" spans="1:43" x14ac:dyDescent="0.2">
      <c r="A397" s="46">
        <v>387</v>
      </c>
      <c r="B397" s="13" t="s">
        <v>266</v>
      </c>
      <c r="C397" s="13" t="s">
        <v>469</v>
      </c>
      <c r="D397" s="13" t="s">
        <v>468</v>
      </c>
      <c r="E397" s="13" t="s">
        <v>1474</v>
      </c>
      <c r="F397" s="13" t="s">
        <v>175</v>
      </c>
      <c r="G397" s="13" t="s">
        <v>111</v>
      </c>
      <c r="H397" s="16">
        <v>43928</v>
      </c>
      <c r="I397" s="16">
        <v>43929</v>
      </c>
      <c r="J397" s="22">
        <v>1533.19</v>
      </c>
      <c r="K397" s="22">
        <v>28</v>
      </c>
      <c r="L397" s="22" t="s">
        <v>1475</v>
      </c>
      <c r="M397" s="26" t="s">
        <v>97</v>
      </c>
      <c r="N397" s="13" t="s">
        <v>230</v>
      </c>
      <c r="O397" s="13" t="s">
        <v>280</v>
      </c>
      <c r="P397" s="13" t="s">
        <v>42</v>
      </c>
      <c r="Q397" s="13" t="s">
        <v>41</v>
      </c>
      <c r="R397" s="13" t="s">
        <v>270</v>
      </c>
      <c r="S397" s="13" t="s">
        <v>1476</v>
      </c>
      <c r="T397" s="13" t="s">
        <v>1482</v>
      </c>
      <c r="U397" s="13"/>
      <c r="V397" s="13"/>
      <c r="W397" s="13"/>
      <c r="Y397" s="53">
        <v>28</v>
      </c>
      <c r="AN397" s="7" t="s">
        <v>8</v>
      </c>
      <c r="AO397" s="21">
        <f t="shared" si="18"/>
        <v>28</v>
      </c>
      <c r="AP397" s="7">
        <f t="shared" si="19"/>
        <v>0</v>
      </c>
      <c r="AQ397" s="31" t="str">
        <f t="shared" si="20"/>
        <v>Complete - With Adjustment</v>
      </c>
    </row>
    <row r="398" spans="1:43" x14ac:dyDescent="0.2">
      <c r="A398" s="46">
        <v>388</v>
      </c>
      <c r="B398" s="13" t="s">
        <v>266</v>
      </c>
      <c r="C398" s="13" t="s">
        <v>469</v>
      </c>
      <c r="D398" s="13" t="s">
        <v>468</v>
      </c>
      <c r="E398" s="13" t="s">
        <v>1474</v>
      </c>
      <c r="F398" s="13" t="s">
        <v>175</v>
      </c>
      <c r="G398" s="13" t="s">
        <v>111</v>
      </c>
      <c r="H398" s="16">
        <v>43928</v>
      </c>
      <c r="I398" s="16">
        <v>43929</v>
      </c>
      <c r="J398" s="22">
        <v>1533.19</v>
      </c>
      <c r="K398" s="22">
        <v>344.12</v>
      </c>
      <c r="L398" s="22" t="s">
        <v>1475</v>
      </c>
      <c r="M398" s="26" t="s">
        <v>98</v>
      </c>
      <c r="N398" s="13" t="s">
        <v>230</v>
      </c>
      <c r="O398" s="13" t="s">
        <v>280</v>
      </c>
      <c r="P398" s="13" t="s">
        <v>60</v>
      </c>
      <c r="Q398" s="13" t="s">
        <v>44</v>
      </c>
      <c r="R398" s="13" t="s">
        <v>270</v>
      </c>
      <c r="S398" s="13" t="s">
        <v>1476</v>
      </c>
      <c r="T398" s="13" t="s">
        <v>1483</v>
      </c>
      <c r="U398" s="13"/>
      <c r="V398" s="13"/>
      <c r="W398" s="13"/>
      <c r="AN398" s="7" t="s">
        <v>70</v>
      </c>
      <c r="AO398" s="21">
        <f t="shared" si="18"/>
        <v>0</v>
      </c>
      <c r="AP398" s="7">
        <f t="shared" si="19"/>
        <v>344.12</v>
      </c>
      <c r="AQ398" s="31" t="str">
        <f t="shared" si="20"/>
        <v>Complete - No Adjustment</v>
      </c>
    </row>
    <row r="399" spans="1:43" x14ac:dyDescent="0.2">
      <c r="A399" s="46">
        <v>389</v>
      </c>
      <c r="B399" s="13" t="s">
        <v>266</v>
      </c>
      <c r="C399" s="13" t="s">
        <v>265</v>
      </c>
      <c r="D399" s="13" t="s">
        <v>264</v>
      </c>
      <c r="E399" s="13" t="s">
        <v>1484</v>
      </c>
      <c r="F399" s="13" t="s">
        <v>171</v>
      </c>
      <c r="G399" s="13" t="s">
        <v>111</v>
      </c>
      <c r="H399" s="16">
        <v>43920</v>
      </c>
      <c r="I399" s="16">
        <v>43922</v>
      </c>
      <c r="J399" s="22">
        <v>169</v>
      </c>
      <c r="K399" s="22">
        <v>169</v>
      </c>
      <c r="L399" s="22" t="s">
        <v>1485</v>
      </c>
      <c r="M399" s="26" t="s">
        <v>98</v>
      </c>
      <c r="N399" s="13" t="s">
        <v>230</v>
      </c>
      <c r="O399" s="13" t="s">
        <v>342</v>
      </c>
      <c r="P399" s="13" t="s">
        <v>60</v>
      </c>
      <c r="Q399" s="13" t="s">
        <v>46</v>
      </c>
      <c r="R399" s="13" t="s">
        <v>270</v>
      </c>
      <c r="S399" s="13" t="s">
        <v>1486</v>
      </c>
      <c r="T399" s="13" t="s">
        <v>1487</v>
      </c>
      <c r="U399" s="13"/>
      <c r="V399" s="13"/>
      <c r="W399" s="13"/>
      <c r="AL399" s="14">
        <v>169</v>
      </c>
      <c r="AN399" s="7" t="s">
        <v>146</v>
      </c>
      <c r="AO399" s="21">
        <f t="shared" si="18"/>
        <v>169</v>
      </c>
      <c r="AP399" s="7">
        <f t="shared" si="19"/>
        <v>0</v>
      </c>
      <c r="AQ399" s="31" t="str">
        <f t="shared" si="20"/>
        <v>Complete - With Adjustment</v>
      </c>
    </row>
    <row r="400" spans="1:43" x14ac:dyDescent="0.2">
      <c r="A400" s="46">
        <v>390</v>
      </c>
      <c r="B400" s="13" t="s">
        <v>266</v>
      </c>
      <c r="C400" s="13" t="s">
        <v>1488</v>
      </c>
      <c r="D400" s="13" t="s">
        <v>1489</v>
      </c>
      <c r="E400" s="13" t="s">
        <v>1490</v>
      </c>
      <c r="F400" s="13" t="s">
        <v>171</v>
      </c>
      <c r="G400" s="13" t="s">
        <v>111</v>
      </c>
      <c r="H400" s="16">
        <v>43920</v>
      </c>
      <c r="I400" s="16">
        <v>43922</v>
      </c>
      <c r="J400" s="22">
        <v>395</v>
      </c>
      <c r="K400" s="22">
        <v>395</v>
      </c>
      <c r="L400" s="22" t="s">
        <v>1491</v>
      </c>
      <c r="M400" s="26" t="s">
        <v>98</v>
      </c>
      <c r="N400" s="13" t="s">
        <v>230</v>
      </c>
      <c r="O400" s="13" t="s">
        <v>292</v>
      </c>
      <c r="P400" s="13" t="s">
        <v>60</v>
      </c>
      <c r="Q400" s="13" t="s">
        <v>48</v>
      </c>
      <c r="R400" s="13" t="s">
        <v>270</v>
      </c>
      <c r="S400" s="13" t="s">
        <v>1492</v>
      </c>
      <c r="T400" s="13" t="s">
        <v>1493</v>
      </c>
      <c r="U400" s="13"/>
      <c r="V400" s="13"/>
      <c r="W400" s="13"/>
      <c r="AN400" s="7" t="s">
        <v>70</v>
      </c>
      <c r="AO400" s="21">
        <f t="shared" si="18"/>
        <v>0</v>
      </c>
      <c r="AP400" s="7">
        <f t="shared" si="19"/>
        <v>395</v>
      </c>
      <c r="AQ400" s="31" t="str">
        <f t="shared" si="20"/>
        <v>Complete - No Adjustment</v>
      </c>
    </row>
    <row r="401" spans="1:43" x14ac:dyDescent="0.2">
      <c r="A401" s="46">
        <v>391</v>
      </c>
      <c r="B401" s="13" t="s">
        <v>266</v>
      </c>
      <c r="C401" s="13" t="s">
        <v>1488</v>
      </c>
      <c r="D401" s="13" t="s">
        <v>1489</v>
      </c>
      <c r="E401" s="13" t="s">
        <v>1494</v>
      </c>
      <c r="F401" s="13" t="s">
        <v>165</v>
      </c>
      <c r="G401" s="13" t="s">
        <v>111</v>
      </c>
      <c r="H401" s="16">
        <v>43921</v>
      </c>
      <c r="I401" s="16">
        <v>43924</v>
      </c>
      <c r="J401" s="22">
        <v>4569.13</v>
      </c>
      <c r="K401" s="22">
        <v>4569.13</v>
      </c>
      <c r="L401" s="22" t="s">
        <v>1495</v>
      </c>
      <c r="M401" s="26" t="s">
        <v>98</v>
      </c>
      <c r="N401" s="13" t="s">
        <v>230</v>
      </c>
      <c r="O401" s="13" t="s">
        <v>292</v>
      </c>
      <c r="P401" s="13" t="s">
        <v>60</v>
      </c>
      <c r="Q401" s="13" t="s">
        <v>123</v>
      </c>
      <c r="R401" s="13" t="s">
        <v>270</v>
      </c>
      <c r="S401" s="13" t="s">
        <v>1496</v>
      </c>
      <c r="T401" s="13" t="s">
        <v>1497</v>
      </c>
      <c r="U401" s="13"/>
      <c r="V401" s="13"/>
      <c r="W401" s="13"/>
      <c r="AN401" s="7" t="s">
        <v>70</v>
      </c>
      <c r="AO401" s="21">
        <f t="shared" si="18"/>
        <v>0</v>
      </c>
      <c r="AP401" s="7">
        <f t="shared" si="19"/>
        <v>4569.13</v>
      </c>
      <c r="AQ401" s="31" t="str">
        <f t="shared" si="20"/>
        <v>Complete - No Adjustment</v>
      </c>
    </row>
    <row r="402" spans="1:43" x14ac:dyDescent="0.2">
      <c r="A402" s="46">
        <v>392</v>
      </c>
      <c r="B402" s="13" t="s">
        <v>266</v>
      </c>
      <c r="C402" s="13" t="s">
        <v>775</v>
      </c>
      <c r="D402" s="13" t="s">
        <v>774</v>
      </c>
      <c r="E402" s="13" t="s">
        <v>1498</v>
      </c>
      <c r="F402" s="13" t="s">
        <v>166</v>
      </c>
      <c r="G402" s="13" t="s">
        <v>111</v>
      </c>
      <c r="H402" s="16">
        <v>43942</v>
      </c>
      <c r="I402" s="16">
        <v>43944</v>
      </c>
      <c r="J402" s="22">
        <v>100</v>
      </c>
      <c r="K402" s="22">
        <v>100</v>
      </c>
      <c r="L402" s="22" t="s">
        <v>1499</v>
      </c>
      <c r="M402" s="26" t="s">
        <v>97</v>
      </c>
      <c r="N402" s="13" t="s">
        <v>230</v>
      </c>
      <c r="O402" s="13" t="s">
        <v>298</v>
      </c>
      <c r="P402" s="13" t="s">
        <v>42</v>
      </c>
      <c r="Q402" s="13" t="s">
        <v>55</v>
      </c>
      <c r="R402" s="13" t="s">
        <v>270</v>
      </c>
      <c r="S402" s="13" t="s">
        <v>1500</v>
      </c>
      <c r="T402" s="13" t="s">
        <v>1501</v>
      </c>
      <c r="U402" s="13"/>
      <c r="V402" s="13"/>
      <c r="W402" s="13"/>
      <c r="AI402" s="53">
        <v>100</v>
      </c>
      <c r="AO402" s="21">
        <f t="shared" si="18"/>
        <v>100</v>
      </c>
      <c r="AP402" s="7">
        <f t="shared" si="19"/>
        <v>0</v>
      </c>
      <c r="AQ402" s="31" t="str">
        <f t="shared" si="20"/>
        <v>Complete - With Adjustment</v>
      </c>
    </row>
    <row r="403" spans="1:43" x14ac:dyDescent="0.2">
      <c r="A403" s="46">
        <v>393</v>
      </c>
      <c r="B403" s="13" t="s">
        <v>266</v>
      </c>
      <c r="C403" s="13" t="s">
        <v>733</v>
      </c>
      <c r="D403" s="13" t="s">
        <v>732</v>
      </c>
      <c r="E403" s="13" t="s">
        <v>1502</v>
      </c>
      <c r="F403" s="13" t="s">
        <v>177</v>
      </c>
      <c r="G403" s="13" t="s">
        <v>111</v>
      </c>
      <c r="H403" s="16">
        <v>43920</v>
      </c>
      <c r="I403" s="16">
        <v>43928</v>
      </c>
      <c r="J403" s="22">
        <v>479.14</v>
      </c>
      <c r="K403" s="22">
        <v>11.13</v>
      </c>
      <c r="L403" s="22" t="s">
        <v>1503</v>
      </c>
      <c r="M403" s="26" t="s">
        <v>98</v>
      </c>
      <c r="N403" s="13" t="s">
        <v>230</v>
      </c>
      <c r="O403" s="13" t="s">
        <v>378</v>
      </c>
      <c r="P403" s="13" t="s">
        <v>60</v>
      </c>
      <c r="Q403" s="13" t="s">
        <v>41</v>
      </c>
      <c r="R403" s="13" t="s">
        <v>270</v>
      </c>
      <c r="S403" s="13" t="s">
        <v>1504</v>
      </c>
      <c r="T403" s="13" t="s">
        <v>1505</v>
      </c>
      <c r="U403" s="13"/>
      <c r="V403" s="13"/>
      <c r="W403" s="13"/>
      <c r="AN403" s="7" t="s">
        <v>70</v>
      </c>
      <c r="AO403" s="21">
        <f t="shared" si="18"/>
        <v>0</v>
      </c>
      <c r="AP403" s="7">
        <f t="shared" si="19"/>
        <v>11.13</v>
      </c>
      <c r="AQ403" s="31" t="str">
        <f t="shared" si="20"/>
        <v>Complete - No Adjustment</v>
      </c>
    </row>
    <row r="404" spans="1:43" x14ac:dyDescent="0.2">
      <c r="A404" s="46">
        <v>394</v>
      </c>
      <c r="B404" s="13" t="s">
        <v>266</v>
      </c>
      <c r="C404" s="13" t="s">
        <v>733</v>
      </c>
      <c r="D404" s="13" t="s">
        <v>732</v>
      </c>
      <c r="E404" s="13" t="s">
        <v>1502</v>
      </c>
      <c r="F404" s="13" t="s">
        <v>177</v>
      </c>
      <c r="G404" s="13" t="s">
        <v>111</v>
      </c>
      <c r="H404" s="16">
        <v>43920</v>
      </c>
      <c r="I404" s="16">
        <v>43928</v>
      </c>
      <c r="J404" s="22">
        <v>479.14</v>
      </c>
      <c r="K404" s="22">
        <v>431.25</v>
      </c>
      <c r="L404" s="22" t="s">
        <v>1503</v>
      </c>
      <c r="M404" s="26" t="s">
        <v>98</v>
      </c>
      <c r="N404" s="13" t="s">
        <v>230</v>
      </c>
      <c r="O404" s="13" t="s">
        <v>378</v>
      </c>
      <c r="P404" s="13" t="s">
        <v>60</v>
      </c>
      <c r="Q404" s="13" t="s">
        <v>44</v>
      </c>
      <c r="R404" s="13" t="s">
        <v>270</v>
      </c>
      <c r="S404" s="13" t="s">
        <v>1504</v>
      </c>
      <c r="T404" s="13" t="s">
        <v>1506</v>
      </c>
      <c r="U404" s="13"/>
      <c r="V404" s="13"/>
      <c r="W404" s="13"/>
      <c r="AN404" s="7" t="s">
        <v>70</v>
      </c>
      <c r="AO404" s="21">
        <f t="shared" si="18"/>
        <v>0</v>
      </c>
      <c r="AP404" s="7">
        <f t="shared" si="19"/>
        <v>431.25</v>
      </c>
      <c r="AQ404" s="31" t="str">
        <f t="shared" si="20"/>
        <v>Complete - No Adjustment</v>
      </c>
    </row>
    <row r="405" spans="1:43" x14ac:dyDescent="0.2">
      <c r="A405" s="46">
        <v>395</v>
      </c>
      <c r="B405" s="13" t="s">
        <v>266</v>
      </c>
      <c r="C405" s="13" t="s">
        <v>733</v>
      </c>
      <c r="D405" s="13" t="s">
        <v>732</v>
      </c>
      <c r="E405" s="13" t="s">
        <v>1502</v>
      </c>
      <c r="F405" s="13" t="s">
        <v>177</v>
      </c>
      <c r="G405" s="13" t="s">
        <v>111</v>
      </c>
      <c r="H405" s="16">
        <v>43920</v>
      </c>
      <c r="I405" s="16">
        <v>43928</v>
      </c>
      <c r="J405" s="22">
        <v>479.14</v>
      </c>
      <c r="K405" s="22">
        <v>4.75</v>
      </c>
      <c r="L405" s="22" t="s">
        <v>1503</v>
      </c>
      <c r="M405" s="26" t="s">
        <v>98</v>
      </c>
      <c r="N405" s="13" t="s">
        <v>230</v>
      </c>
      <c r="O405" s="13" t="s">
        <v>378</v>
      </c>
      <c r="P405" s="13" t="s">
        <v>60</v>
      </c>
      <c r="Q405" s="13" t="s">
        <v>41</v>
      </c>
      <c r="R405" s="13" t="s">
        <v>270</v>
      </c>
      <c r="S405" s="13" t="s">
        <v>1504</v>
      </c>
      <c r="T405" s="13" t="s">
        <v>1505</v>
      </c>
      <c r="U405" s="13"/>
      <c r="V405" s="13"/>
      <c r="W405" s="13"/>
      <c r="AN405" s="7" t="s">
        <v>70</v>
      </c>
      <c r="AO405" s="21">
        <f t="shared" si="18"/>
        <v>0</v>
      </c>
      <c r="AP405" s="7">
        <f t="shared" si="19"/>
        <v>4.75</v>
      </c>
      <c r="AQ405" s="31" t="str">
        <f t="shared" si="20"/>
        <v>Complete - No Adjustment</v>
      </c>
    </row>
    <row r="406" spans="1:43" x14ac:dyDescent="0.2">
      <c r="A406" s="46">
        <v>396</v>
      </c>
      <c r="B406" s="13" t="s">
        <v>266</v>
      </c>
      <c r="C406" s="13" t="s">
        <v>733</v>
      </c>
      <c r="D406" s="13" t="s">
        <v>732</v>
      </c>
      <c r="E406" s="13" t="s">
        <v>1502</v>
      </c>
      <c r="F406" s="13" t="s">
        <v>177</v>
      </c>
      <c r="G406" s="13" t="s">
        <v>111</v>
      </c>
      <c r="H406" s="16">
        <v>43920</v>
      </c>
      <c r="I406" s="16">
        <v>43928</v>
      </c>
      <c r="J406" s="22">
        <v>479.14</v>
      </c>
      <c r="K406" s="22">
        <v>8.27</v>
      </c>
      <c r="L406" s="22" t="s">
        <v>1503</v>
      </c>
      <c r="M406" s="26" t="s">
        <v>98</v>
      </c>
      <c r="N406" s="13" t="s">
        <v>230</v>
      </c>
      <c r="O406" s="13" t="s">
        <v>378</v>
      </c>
      <c r="P406" s="13" t="s">
        <v>60</v>
      </c>
      <c r="Q406" s="13" t="s">
        <v>41</v>
      </c>
      <c r="R406" s="13" t="s">
        <v>270</v>
      </c>
      <c r="S406" s="13" t="s">
        <v>1504</v>
      </c>
      <c r="T406" s="13" t="s">
        <v>1505</v>
      </c>
      <c r="U406" s="13"/>
      <c r="V406" s="13"/>
      <c r="W406" s="13"/>
      <c r="AN406" s="7" t="s">
        <v>70</v>
      </c>
      <c r="AO406" s="21">
        <f t="shared" si="18"/>
        <v>0</v>
      </c>
      <c r="AP406" s="7">
        <f t="shared" si="19"/>
        <v>8.27</v>
      </c>
      <c r="AQ406" s="31" t="str">
        <f t="shared" si="20"/>
        <v>Complete - No Adjustment</v>
      </c>
    </row>
    <row r="407" spans="1:43" x14ac:dyDescent="0.2">
      <c r="A407" s="46">
        <v>397</v>
      </c>
      <c r="B407" s="13" t="s">
        <v>266</v>
      </c>
      <c r="C407" s="13" t="s">
        <v>733</v>
      </c>
      <c r="D407" s="13" t="s">
        <v>732</v>
      </c>
      <c r="E407" s="13" t="s">
        <v>1502</v>
      </c>
      <c r="F407" s="13" t="s">
        <v>177</v>
      </c>
      <c r="G407" s="13" t="s">
        <v>111</v>
      </c>
      <c r="H407" s="16">
        <v>43920</v>
      </c>
      <c r="I407" s="16">
        <v>43928</v>
      </c>
      <c r="J407" s="22">
        <v>479.14</v>
      </c>
      <c r="K407" s="22">
        <v>19.04</v>
      </c>
      <c r="L407" s="22" t="s">
        <v>1503</v>
      </c>
      <c r="M407" s="26" t="s">
        <v>98</v>
      </c>
      <c r="N407" s="13" t="s">
        <v>230</v>
      </c>
      <c r="O407" s="13" t="s">
        <v>378</v>
      </c>
      <c r="P407" s="13" t="s">
        <v>60</v>
      </c>
      <c r="Q407" s="13" t="s">
        <v>41</v>
      </c>
      <c r="R407" s="13" t="s">
        <v>270</v>
      </c>
      <c r="S407" s="13" t="s">
        <v>1504</v>
      </c>
      <c r="T407" s="13" t="s">
        <v>1505</v>
      </c>
      <c r="U407" s="13"/>
      <c r="V407" s="13"/>
      <c r="W407" s="13"/>
      <c r="AN407" s="7" t="s">
        <v>70</v>
      </c>
      <c r="AO407" s="21">
        <f t="shared" si="18"/>
        <v>0</v>
      </c>
      <c r="AP407" s="7">
        <f t="shared" si="19"/>
        <v>19.04</v>
      </c>
      <c r="AQ407" s="31" t="str">
        <f t="shared" si="20"/>
        <v>Complete - No Adjustment</v>
      </c>
    </row>
    <row r="408" spans="1:43" x14ac:dyDescent="0.2">
      <c r="A408" s="46">
        <v>398</v>
      </c>
      <c r="B408" s="13" t="s">
        <v>266</v>
      </c>
      <c r="C408" s="13" t="s">
        <v>733</v>
      </c>
      <c r="D408" s="13" t="s">
        <v>732</v>
      </c>
      <c r="E408" s="13" t="s">
        <v>1502</v>
      </c>
      <c r="F408" s="13" t="s">
        <v>177</v>
      </c>
      <c r="G408" s="13" t="s">
        <v>111</v>
      </c>
      <c r="H408" s="16">
        <v>43920</v>
      </c>
      <c r="I408" s="16">
        <v>43928</v>
      </c>
      <c r="J408" s="22">
        <v>479.14</v>
      </c>
      <c r="K408" s="22">
        <v>1.72</v>
      </c>
      <c r="L408" s="22" t="s">
        <v>1503</v>
      </c>
      <c r="M408" s="26" t="s">
        <v>98</v>
      </c>
      <c r="N408" s="13" t="s">
        <v>230</v>
      </c>
      <c r="O408" s="13" t="s">
        <v>378</v>
      </c>
      <c r="P408" s="13" t="s">
        <v>60</v>
      </c>
      <c r="Q408" s="13" t="s">
        <v>41</v>
      </c>
      <c r="R408" s="13" t="s">
        <v>270</v>
      </c>
      <c r="S408" s="13" t="s">
        <v>1504</v>
      </c>
      <c r="T408" s="13" t="s">
        <v>1505</v>
      </c>
      <c r="U408" s="13"/>
      <c r="V408" s="13"/>
      <c r="W408" s="13"/>
      <c r="AN408" s="7" t="s">
        <v>70</v>
      </c>
      <c r="AO408" s="21">
        <f t="shared" si="18"/>
        <v>0</v>
      </c>
      <c r="AP408" s="7">
        <f t="shared" si="19"/>
        <v>1.72</v>
      </c>
      <c r="AQ408" s="31" t="str">
        <f t="shared" si="20"/>
        <v>Complete - No Adjustment</v>
      </c>
    </row>
    <row r="409" spans="1:43" x14ac:dyDescent="0.2">
      <c r="A409" s="46">
        <v>399</v>
      </c>
      <c r="B409" s="13" t="s">
        <v>266</v>
      </c>
      <c r="C409" s="13" t="s">
        <v>733</v>
      </c>
      <c r="D409" s="13" t="s">
        <v>732</v>
      </c>
      <c r="E409" s="13" t="s">
        <v>1502</v>
      </c>
      <c r="F409" s="13" t="s">
        <v>177</v>
      </c>
      <c r="G409" s="13" t="s">
        <v>111</v>
      </c>
      <c r="H409" s="16">
        <v>43920</v>
      </c>
      <c r="I409" s="16">
        <v>43928</v>
      </c>
      <c r="J409" s="22">
        <v>479.14</v>
      </c>
      <c r="K409" s="22">
        <v>2.98</v>
      </c>
      <c r="L409" s="22" t="s">
        <v>1503</v>
      </c>
      <c r="M409" s="26" t="s">
        <v>98</v>
      </c>
      <c r="N409" s="13" t="s">
        <v>230</v>
      </c>
      <c r="O409" s="13" t="s">
        <v>378</v>
      </c>
      <c r="P409" s="13" t="s">
        <v>60</v>
      </c>
      <c r="Q409" s="13" t="s">
        <v>44</v>
      </c>
      <c r="R409" s="13" t="s">
        <v>270</v>
      </c>
      <c r="S409" s="13" t="s">
        <v>1504</v>
      </c>
      <c r="T409" s="13" t="s">
        <v>1507</v>
      </c>
      <c r="U409" s="13"/>
      <c r="V409" s="13"/>
      <c r="W409" s="13"/>
      <c r="AL409" s="14">
        <v>2.98</v>
      </c>
      <c r="AN409" s="7" t="s">
        <v>146</v>
      </c>
      <c r="AO409" s="21">
        <f t="shared" si="18"/>
        <v>2.98</v>
      </c>
      <c r="AP409" s="7">
        <f t="shared" si="19"/>
        <v>0</v>
      </c>
      <c r="AQ409" s="31" t="str">
        <f t="shared" si="20"/>
        <v>Complete - With Adjustment</v>
      </c>
    </row>
    <row r="410" spans="1:43" x14ac:dyDescent="0.2">
      <c r="A410" s="46">
        <v>400</v>
      </c>
      <c r="B410" s="13" t="s">
        <v>266</v>
      </c>
      <c r="C410" s="13" t="s">
        <v>733</v>
      </c>
      <c r="D410" s="13" t="s">
        <v>732</v>
      </c>
      <c r="E410" s="13" t="s">
        <v>1508</v>
      </c>
      <c r="F410" s="13" t="s">
        <v>177</v>
      </c>
      <c r="G410" s="13" t="s">
        <v>111</v>
      </c>
      <c r="H410" s="16">
        <v>43926</v>
      </c>
      <c r="I410" s="16">
        <v>43928</v>
      </c>
      <c r="J410" s="22">
        <v>600.37</v>
      </c>
      <c r="K410" s="22">
        <v>5.8</v>
      </c>
      <c r="L410" s="22" t="s">
        <v>1509</v>
      </c>
      <c r="M410" s="26" t="s">
        <v>98</v>
      </c>
      <c r="N410" s="13" t="s">
        <v>230</v>
      </c>
      <c r="O410" s="13" t="s">
        <v>378</v>
      </c>
      <c r="P410" s="13" t="s">
        <v>60</v>
      </c>
      <c r="Q410" s="13" t="s">
        <v>44</v>
      </c>
      <c r="R410" s="13" t="s">
        <v>270</v>
      </c>
      <c r="S410" s="13" t="s">
        <v>1510</v>
      </c>
      <c r="T410" s="13" t="s">
        <v>1511</v>
      </c>
      <c r="U410" s="13"/>
      <c r="V410" s="13"/>
      <c r="W410" s="13"/>
      <c r="AL410" s="14">
        <v>5.8</v>
      </c>
      <c r="AN410" s="7" t="s">
        <v>146</v>
      </c>
      <c r="AO410" s="21">
        <f t="shared" si="18"/>
        <v>5.8</v>
      </c>
      <c r="AP410" s="7">
        <f t="shared" si="19"/>
        <v>0</v>
      </c>
      <c r="AQ410" s="31" t="str">
        <f t="shared" si="20"/>
        <v>Complete - With Adjustment</v>
      </c>
    </row>
    <row r="411" spans="1:43" x14ac:dyDescent="0.2">
      <c r="A411" s="46">
        <v>401</v>
      </c>
      <c r="B411" s="13" t="s">
        <v>266</v>
      </c>
      <c r="C411" s="13" t="s">
        <v>733</v>
      </c>
      <c r="D411" s="13" t="s">
        <v>732</v>
      </c>
      <c r="E411" s="13" t="s">
        <v>1508</v>
      </c>
      <c r="F411" s="13" t="s">
        <v>177</v>
      </c>
      <c r="G411" s="13" t="s">
        <v>111</v>
      </c>
      <c r="H411" s="16">
        <v>43926</v>
      </c>
      <c r="I411" s="16">
        <v>43928</v>
      </c>
      <c r="J411" s="22">
        <v>600.37</v>
      </c>
      <c r="K411" s="22">
        <v>7.57</v>
      </c>
      <c r="L411" s="22" t="s">
        <v>1509</v>
      </c>
      <c r="M411" s="26" t="s">
        <v>98</v>
      </c>
      <c r="N411" s="13" t="s">
        <v>230</v>
      </c>
      <c r="O411" s="13" t="s">
        <v>378</v>
      </c>
      <c r="P411" s="13" t="s">
        <v>60</v>
      </c>
      <c r="Q411" s="13" t="s">
        <v>41</v>
      </c>
      <c r="R411" s="13" t="s">
        <v>270</v>
      </c>
      <c r="S411" s="13" t="s">
        <v>1510</v>
      </c>
      <c r="T411" s="13" t="s">
        <v>1512</v>
      </c>
      <c r="U411" s="13"/>
      <c r="V411" s="13"/>
      <c r="W411" s="13"/>
      <c r="AN411" s="7" t="s">
        <v>70</v>
      </c>
      <c r="AO411" s="21">
        <f t="shared" si="18"/>
        <v>0</v>
      </c>
      <c r="AP411" s="7">
        <f t="shared" si="19"/>
        <v>7.57</v>
      </c>
      <c r="AQ411" s="31" t="str">
        <f t="shared" si="20"/>
        <v>Complete - No Adjustment</v>
      </c>
    </row>
    <row r="412" spans="1:43" x14ac:dyDescent="0.2">
      <c r="A412" s="46">
        <v>402</v>
      </c>
      <c r="B412" s="13" t="s">
        <v>266</v>
      </c>
      <c r="C412" s="13" t="s">
        <v>733</v>
      </c>
      <c r="D412" s="13" t="s">
        <v>732</v>
      </c>
      <c r="E412" s="13" t="s">
        <v>1508</v>
      </c>
      <c r="F412" s="13" t="s">
        <v>177</v>
      </c>
      <c r="G412" s="13" t="s">
        <v>111</v>
      </c>
      <c r="H412" s="16">
        <v>43926</v>
      </c>
      <c r="I412" s="16">
        <v>43928</v>
      </c>
      <c r="J412" s="22">
        <v>600.37</v>
      </c>
      <c r="K412" s="22">
        <v>18.93</v>
      </c>
      <c r="L412" s="22" t="s">
        <v>1509</v>
      </c>
      <c r="M412" s="26" t="s">
        <v>98</v>
      </c>
      <c r="N412" s="13" t="s">
        <v>230</v>
      </c>
      <c r="O412" s="13" t="s">
        <v>378</v>
      </c>
      <c r="P412" s="13" t="s">
        <v>60</v>
      </c>
      <c r="Q412" s="13" t="s">
        <v>41</v>
      </c>
      <c r="R412" s="13" t="s">
        <v>270</v>
      </c>
      <c r="S412" s="13" t="s">
        <v>1510</v>
      </c>
      <c r="T412" s="13" t="s">
        <v>1512</v>
      </c>
      <c r="U412" s="13"/>
      <c r="V412" s="13"/>
      <c r="W412" s="13"/>
      <c r="AN412" s="7" t="s">
        <v>70</v>
      </c>
      <c r="AO412" s="21">
        <f t="shared" si="18"/>
        <v>0</v>
      </c>
      <c r="AP412" s="7">
        <f t="shared" si="19"/>
        <v>18.93</v>
      </c>
      <c r="AQ412" s="31" t="str">
        <f t="shared" si="20"/>
        <v>Complete - No Adjustment</v>
      </c>
    </row>
    <row r="413" spans="1:43" x14ac:dyDescent="0.2">
      <c r="A413" s="46">
        <v>403</v>
      </c>
      <c r="B413" s="13" t="s">
        <v>266</v>
      </c>
      <c r="C413" s="13" t="s">
        <v>733</v>
      </c>
      <c r="D413" s="13" t="s">
        <v>732</v>
      </c>
      <c r="E413" s="13" t="s">
        <v>1508</v>
      </c>
      <c r="F413" s="13" t="s">
        <v>177</v>
      </c>
      <c r="G413" s="13" t="s">
        <v>111</v>
      </c>
      <c r="H413" s="16">
        <v>43926</v>
      </c>
      <c r="I413" s="16">
        <v>43928</v>
      </c>
      <c r="J413" s="22">
        <v>600.37</v>
      </c>
      <c r="K413" s="22">
        <v>416.3</v>
      </c>
      <c r="L413" s="22" t="s">
        <v>1509</v>
      </c>
      <c r="M413" s="26" t="s">
        <v>98</v>
      </c>
      <c r="N413" s="13" t="s">
        <v>230</v>
      </c>
      <c r="O413" s="13" t="s">
        <v>378</v>
      </c>
      <c r="P413" s="13" t="s">
        <v>60</v>
      </c>
      <c r="Q413" s="13" t="s">
        <v>44</v>
      </c>
      <c r="R413" s="13" t="s">
        <v>270</v>
      </c>
      <c r="S413" s="13" t="s">
        <v>1510</v>
      </c>
      <c r="T413" s="13" t="s">
        <v>1513</v>
      </c>
      <c r="U413" s="13"/>
      <c r="V413" s="13"/>
      <c r="W413" s="13"/>
      <c r="AN413" s="7" t="s">
        <v>70</v>
      </c>
      <c r="AO413" s="21">
        <f t="shared" si="18"/>
        <v>0</v>
      </c>
      <c r="AP413" s="7">
        <f t="shared" si="19"/>
        <v>416.3</v>
      </c>
      <c r="AQ413" s="31" t="str">
        <f t="shared" si="20"/>
        <v>Complete - No Adjustment</v>
      </c>
    </row>
    <row r="414" spans="1:43" x14ac:dyDescent="0.2">
      <c r="A414" s="46">
        <v>404</v>
      </c>
      <c r="B414" s="13" t="s">
        <v>266</v>
      </c>
      <c r="C414" s="13" t="s">
        <v>733</v>
      </c>
      <c r="D414" s="13" t="s">
        <v>732</v>
      </c>
      <c r="E414" s="13" t="s">
        <v>1508</v>
      </c>
      <c r="F414" s="13" t="s">
        <v>177</v>
      </c>
      <c r="G414" s="13" t="s">
        <v>111</v>
      </c>
      <c r="H414" s="16">
        <v>43926</v>
      </c>
      <c r="I414" s="16">
        <v>43928</v>
      </c>
      <c r="J414" s="22">
        <v>600.37</v>
      </c>
      <c r="K414" s="22">
        <v>6.65</v>
      </c>
      <c r="L414" s="22" t="s">
        <v>1509</v>
      </c>
      <c r="M414" s="26" t="s">
        <v>98</v>
      </c>
      <c r="N414" s="13" t="s">
        <v>230</v>
      </c>
      <c r="O414" s="13" t="s">
        <v>378</v>
      </c>
      <c r="P414" s="13" t="s">
        <v>60</v>
      </c>
      <c r="Q414" s="13" t="s">
        <v>41</v>
      </c>
      <c r="R414" s="13" t="s">
        <v>270</v>
      </c>
      <c r="S414" s="13" t="s">
        <v>1510</v>
      </c>
      <c r="T414" s="13" t="s">
        <v>1512</v>
      </c>
      <c r="U414" s="13"/>
      <c r="V414" s="13"/>
      <c r="W414" s="13"/>
      <c r="AN414" s="7" t="s">
        <v>70</v>
      </c>
      <c r="AO414" s="21">
        <f t="shared" si="18"/>
        <v>0</v>
      </c>
      <c r="AP414" s="7">
        <f t="shared" si="19"/>
        <v>6.65</v>
      </c>
      <c r="AQ414" s="31" t="str">
        <f t="shared" si="20"/>
        <v>Complete - No Adjustment</v>
      </c>
    </row>
    <row r="415" spans="1:43" x14ac:dyDescent="0.2">
      <c r="A415" s="46">
        <v>405</v>
      </c>
      <c r="B415" s="13" t="s">
        <v>266</v>
      </c>
      <c r="C415" s="13" t="s">
        <v>733</v>
      </c>
      <c r="D415" s="13" t="s">
        <v>732</v>
      </c>
      <c r="E415" s="13" t="s">
        <v>1508</v>
      </c>
      <c r="F415" s="13" t="s">
        <v>177</v>
      </c>
      <c r="G415" s="13" t="s">
        <v>111</v>
      </c>
      <c r="H415" s="16">
        <v>43926</v>
      </c>
      <c r="I415" s="16">
        <v>43928</v>
      </c>
      <c r="J415" s="22">
        <v>600.37</v>
      </c>
      <c r="K415" s="22">
        <v>10.3</v>
      </c>
      <c r="L415" s="22" t="s">
        <v>1509</v>
      </c>
      <c r="M415" s="26" t="s">
        <v>98</v>
      </c>
      <c r="N415" s="13" t="s">
        <v>230</v>
      </c>
      <c r="O415" s="13" t="s">
        <v>378</v>
      </c>
      <c r="P415" s="13" t="s">
        <v>60</v>
      </c>
      <c r="Q415" s="13" t="s">
        <v>41</v>
      </c>
      <c r="R415" s="13" t="s">
        <v>270</v>
      </c>
      <c r="S415" s="13" t="s">
        <v>1510</v>
      </c>
      <c r="T415" s="13" t="s">
        <v>1512</v>
      </c>
      <c r="U415" s="13"/>
      <c r="V415" s="13"/>
      <c r="W415" s="13"/>
      <c r="AN415" s="7" t="s">
        <v>70</v>
      </c>
      <c r="AO415" s="21">
        <f t="shared" si="18"/>
        <v>0</v>
      </c>
      <c r="AP415" s="7">
        <f t="shared" si="19"/>
        <v>10.3</v>
      </c>
      <c r="AQ415" s="31" t="str">
        <f t="shared" si="20"/>
        <v>Complete - No Adjustment</v>
      </c>
    </row>
    <row r="416" spans="1:43" x14ac:dyDescent="0.2">
      <c r="A416" s="46">
        <v>406</v>
      </c>
      <c r="B416" s="13" t="s">
        <v>266</v>
      </c>
      <c r="C416" s="13" t="s">
        <v>733</v>
      </c>
      <c r="D416" s="13" t="s">
        <v>732</v>
      </c>
      <c r="E416" s="13" t="s">
        <v>1508</v>
      </c>
      <c r="F416" s="13" t="s">
        <v>177</v>
      </c>
      <c r="G416" s="13" t="s">
        <v>111</v>
      </c>
      <c r="H416" s="16">
        <v>43926</v>
      </c>
      <c r="I416" s="16">
        <v>43928</v>
      </c>
      <c r="J416" s="22">
        <v>600.37</v>
      </c>
      <c r="K416" s="22">
        <v>134.82</v>
      </c>
      <c r="L416" s="22" t="s">
        <v>1509</v>
      </c>
      <c r="M416" s="26" t="s">
        <v>98</v>
      </c>
      <c r="N416" s="13" t="s">
        <v>230</v>
      </c>
      <c r="O416" s="13" t="s">
        <v>378</v>
      </c>
      <c r="P416" s="13" t="s">
        <v>60</v>
      </c>
      <c r="Q416" s="13" t="s">
        <v>45</v>
      </c>
      <c r="R416" s="13" t="s">
        <v>270</v>
      </c>
      <c r="S416" s="13" t="s">
        <v>1510</v>
      </c>
      <c r="T416" s="13" t="s">
        <v>1514</v>
      </c>
      <c r="U416" s="13"/>
      <c r="V416" s="13"/>
      <c r="W416" s="13"/>
      <c r="AN416" s="7" t="s">
        <v>70</v>
      </c>
      <c r="AO416" s="21">
        <f t="shared" si="18"/>
        <v>0</v>
      </c>
      <c r="AP416" s="7">
        <f t="shared" si="19"/>
        <v>134.82</v>
      </c>
      <c r="AQ416" s="31" t="str">
        <f t="shared" si="20"/>
        <v>Complete - No Adjustment</v>
      </c>
    </row>
    <row r="417" spans="1:43" x14ac:dyDescent="0.2">
      <c r="A417" s="46">
        <v>407</v>
      </c>
      <c r="B417" s="13" t="s">
        <v>266</v>
      </c>
      <c r="C417" s="13" t="s">
        <v>733</v>
      </c>
      <c r="D417" s="13" t="s">
        <v>732</v>
      </c>
      <c r="E417" s="13" t="s">
        <v>1515</v>
      </c>
      <c r="F417" s="13" t="s">
        <v>177</v>
      </c>
      <c r="G417" s="13" t="s">
        <v>111</v>
      </c>
      <c r="H417" s="16">
        <v>43922</v>
      </c>
      <c r="I417" s="16">
        <v>43928</v>
      </c>
      <c r="J417" s="22">
        <v>814.02</v>
      </c>
      <c r="K417" s="22">
        <v>4.1900000000000004</v>
      </c>
      <c r="L417" s="22" t="s">
        <v>1516</v>
      </c>
      <c r="M417" s="26" t="s">
        <v>98</v>
      </c>
      <c r="N417" s="13" t="s">
        <v>230</v>
      </c>
      <c r="O417" s="13" t="s">
        <v>378</v>
      </c>
      <c r="P417" s="13" t="s">
        <v>60</v>
      </c>
      <c r="Q417" s="13" t="s">
        <v>41</v>
      </c>
      <c r="R417" s="13" t="s">
        <v>270</v>
      </c>
      <c r="S417" s="13" t="s">
        <v>1517</v>
      </c>
      <c r="T417" s="13" t="s">
        <v>1518</v>
      </c>
      <c r="U417" s="13"/>
      <c r="V417" s="13"/>
      <c r="W417" s="13"/>
      <c r="AN417" s="7" t="s">
        <v>70</v>
      </c>
      <c r="AO417" s="21">
        <f t="shared" si="18"/>
        <v>0</v>
      </c>
      <c r="AP417" s="7">
        <f t="shared" si="19"/>
        <v>4.1900000000000004</v>
      </c>
      <c r="AQ417" s="31" t="str">
        <f t="shared" si="20"/>
        <v>Complete - No Adjustment</v>
      </c>
    </row>
    <row r="418" spans="1:43" x14ac:dyDescent="0.2">
      <c r="A418" s="46">
        <v>408</v>
      </c>
      <c r="B418" s="13" t="s">
        <v>266</v>
      </c>
      <c r="C418" s="13" t="s">
        <v>733</v>
      </c>
      <c r="D418" s="13" t="s">
        <v>732</v>
      </c>
      <c r="E418" s="13" t="s">
        <v>1515</v>
      </c>
      <c r="F418" s="13" t="s">
        <v>177</v>
      </c>
      <c r="G418" s="13" t="s">
        <v>111</v>
      </c>
      <c r="H418" s="16">
        <v>43922</v>
      </c>
      <c r="I418" s="16">
        <v>43928</v>
      </c>
      <c r="J418" s="22">
        <v>814.02</v>
      </c>
      <c r="K418" s="22">
        <v>6.05</v>
      </c>
      <c r="L418" s="22" t="s">
        <v>1516</v>
      </c>
      <c r="M418" s="26" t="s">
        <v>98</v>
      </c>
      <c r="N418" s="13" t="s">
        <v>230</v>
      </c>
      <c r="O418" s="13" t="s">
        <v>378</v>
      </c>
      <c r="P418" s="13" t="s">
        <v>60</v>
      </c>
      <c r="Q418" s="13" t="s">
        <v>41</v>
      </c>
      <c r="R418" s="13" t="s">
        <v>270</v>
      </c>
      <c r="S418" s="13" t="s">
        <v>1517</v>
      </c>
      <c r="T418" s="13" t="s">
        <v>1518</v>
      </c>
      <c r="U418" s="13"/>
      <c r="V418" s="13"/>
      <c r="W418" s="13"/>
      <c r="AN418" s="7" t="s">
        <v>70</v>
      </c>
      <c r="AO418" s="21">
        <f t="shared" si="18"/>
        <v>0</v>
      </c>
      <c r="AP418" s="7">
        <f t="shared" si="19"/>
        <v>6.05</v>
      </c>
      <c r="AQ418" s="31" t="str">
        <f t="shared" si="20"/>
        <v>Complete - No Adjustment</v>
      </c>
    </row>
    <row r="419" spans="1:43" x14ac:dyDescent="0.2">
      <c r="A419" s="46">
        <v>409</v>
      </c>
      <c r="B419" s="13" t="s">
        <v>266</v>
      </c>
      <c r="C419" s="13" t="s">
        <v>733</v>
      </c>
      <c r="D419" s="13" t="s">
        <v>732</v>
      </c>
      <c r="E419" s="13" t="s">
        <v>1515</v>
      </c>
      <c r="F419" s="13" t="s">
        <v>177</v>
      </c>
      <c r="G419" s="13" t="s">
        <v>111</v>
      </c>
      <c r="H419" s="16">
        <v>43922</v>
      </c>
      <c r="I419" s="16">
        <v>43928</v>
      </c>
      <c r="J419" s="22">
        <v>814.02</v>
      </c>
      <c r="K419" s="22">
        <v>3.62</v>
      </c>
      <c r="L419" s="22" t="s">
        <v>1516</v>
      </c>
      <c r="M419" s="26" t="s">
        <v>98</v>
      </c>
      <c r="N419" s="13" t="s">
        <v>230</v>
      </c>
      <c r="O419" s="13" t="s">
        <v>378</v>
      </c>
      <c r="P419" s="13" t="s">
        <v>60</v>
      </c>
      <c r="Q419" s="13" t="s">
        <v>41</v>
      </c>
      <c r="R419" s="13" t="s">
        <v>270</v>
      </c>
      <c r="S419" s="13" t="s">
        <v>1517</v>
      </c>
      <c r="T419" s="13" t="s">
        <v>1518</v>
      </c>
      <c r="U419" s="13"/>
      <c r="V419" s="13"/>
      <c r="W419" s="13"/>
      <c r="AN419" s="7" t="s">
        <v>70</v>
      </c>
      <c r="AO419" s="21">
        <f t="shared" si="18"/>
        <v>0</v>
      </c>
      <c r="AP419" s="7">
        <f t="shared" si="19"/>
        <v>3.62</v>
      </c>
      <c r="AQ419" s="31" t="str">
        <f t="shared" si="20"/>
        <v>Complete - No Adjustment</v>
      </c>
    </row>
    <row r="420" spans="1:43" x14ac:dyDescent="0.2">
      <c r="A420" s="46">
        <v>410</v>
      </c>
      <c r="B420" s="13" t="s">
        <v>266</v>
      </c>
      <c r="C420" s="13" t="s">
        <v>733</v>
      </c>
      <c r="D420" s="13" t="s">
        <v>732</v>
      </c>
      <c r="E420" s="13" t="s">
        <v>1515</v>
      </c>
      <c r="F420" s="13" t="s">
        <v>177</v>
      </c>
      <c r="G420" s="13" t="s">
        <v>111</v>
      </c>
      <c r="H420" s="16">
        <v>43922</v>
      </c>
      <c r="I420" s="16">
        <v>43928</v>
      </c>
      <c r="J420" s="22">
        <v>814.02</v>
      </c>
      <c r="K420" s="22">
        <v>24.24</v>
      </c>
      <c r="L420" s="22" t="s">
        <v>1516</v>
      </c>
      <c r="M420" s="26" t="s">
        <v>98</v>
      </c>
      <c r="N420" s="13" t="s">
        <v>230</v>
      </c>
      <c r="O420" s="13" t="s">
        <v>378</v>
      </c>
      <c r="P420" s="13" t="s">
        <v>60</v>
      </c>
      <c r="Q420" s="13" t="s">
        <v>41</v>
      </c>
      <c r="R420" s="13" t="s">
        <v>270</v>
      </c>
      <c r="S420" s="13" t="s">
        <v>1517</v>
      </c>
      <c r="T420" s="13" t="s">
        <v>1518</v>
      </c>
      <c r="U420" s="13"/>
      <c r="V420" s="13"/>
      <c r="W420" s="13"/>
      <c r="AL420" s="14">
        <v>24.24</v>
      </c>
      <c r="AN420" s="7" t="s">
        <v>146</v>
      </c>
      <c r="AO420" s="21">
        <f t="shared" si="18"/>
        <v>24.24</v>
      </c>
      <c r="AP420" s="7">
        <f t="shared" si="19"/>
        <v>0</v>
      </c>
      <c r="AQ420" s="31" t="str">
        <f t="shared" si="20"/>
        <v>Complete - With Adjustment</v>
      </c>
    </row>
    <row r="421" spans="1:43" x14ac:dyDescent="0.2">
      <c r="A421" s="46">
        <v>411</v>
      </c>
      <c r="B421" s="13" t="s">
        <v>266</v>
      </c>
      <c r="C421" s="13" t="s">
        <v>733</v>
      </c>
      <c r="D421" s="13" t="s">
        <v>732</v>
      </c>
      <c r="E421" s="13" t="s">
        <v>1515</v>
      </c>
      <c r="F421" s="13" t="s">
        <v>177</v>
      </c>
      <c r="G421" s="13" t="s">
        <v>111</v>
      </c>
      <c r="H421" s="16">
        <v>43922</v>
      </c>
      <c r="I421" s="16">
        <v>43928</v>
      </c>
      <c r="J421" s="22">
        <v>814.02</v>
      </c>
      <c r="K421" s="22">
        <v>343.28</v>
      </c>
      <c r="L421" s="22" t="s">
        <v>1516</v>
      </c>
      <c r="M421" s="26" t="s">
        <v>98</v>
      </c>
      <c r="N421" s="13" t="s">
        <v>230</v>
      </c>
      <c r="O421" s="13" t="s">
        <v>378</v>
      </c>
      <c r="P421" s="13" t="s">
        <v>60</v>
      </c>
      <c r="Q421" s="13" t="s">
        <v>44</v>
      </c>
      <c r="R421" s="13" t="s">
        <v>270</v>
      </c>
      <c r="S421" s="13" t="s">
        <v>1517</v>
      </c>
      <c r="T421" s="13" t="s">
        <v>1519</v>
      </c>
      <c r="U421" s="13"/>
      <c r="V421" s="13"/>
      <c r="W421" s="13"/>
      <c r="AN421" s="7" t="s">
        <v>70</v>
      </c>
      <c r="AO421" s="21">
        <f t="shared" si="18"/>
        <v>0</v>
      </c>
      <c r="AP421" s="7">
        <f t="shared" si="19"/>
        <v>343.28</v>
      </c>
      <c r="AQ421" s="31" t="str">
        <f t="shared" si="20"/>
        <v>Complete - No Adjustment</v>
      </c>
    </row>
    <row r="422" spans="1:43" x14ac:dyDescent="0.2">
      <c r="A422" s="46">
        <v>412</v>
      </c>
      <c r="B422" s="13" t="s">
        <v>266</v>
      </c>
      <c r="C422" s="13" t="s">
        <v>733</v>
      </c>
      <c r="D422" s="13" t="s">
        <v>732</v>
      </c>
      <c r="E422" s="13" t="s">
        <v>1515</v>
      </c>
      <c r="F422" s="13" t="s">
        <v>177</v>
      </c>
      <c r="G422" s="13" t="s">
        <v>111</v>
      </c>
      <c r="H422" s="16">
        <v>43922</v>
      </c>
      <c r="I422" s="16">
        <v>43928</v>
      </c>
      <c r="J422" s="22">
        <v>814.02</v>
      </c>
      <c r="K422" s="22">
        <v>15.16</v>
      </c>
      <c r="L422" s="22" t="s">
        <v>1516</v>
      </c>
      <c r="M422" s="26" t="s">
        <v>98</v>
      </c>
      <c r="N422" s="13" t="s">
        <v>230</v>
      </c>
      <c r="O422" s="13" t="s">
        <v>378</v>
      </c>
      <c r="P422" s="13" t="s">
        <v>60</v>
      </c>
      <c r="Q422" s="13" t="s">
        <v>41</v>
      </c>
      <c r="R422" s="13" t="s">
        <v>270</v>
      </c>
      <c r="S422" s="13" t="s">
        <v>1517</v>
      </c>
      <c r="T422" s="13" t="s">
        <v>1518</v>
      </c>
      <c r="U422" s="13"/>
      <c r="V422" s="13"/>
      <c r="W422" s="13"/>
      <c r="AN422" s="7" t="s">
        <v>70</v>
      </c>
      <c r="AO422" s="21">
        <f t="shared" si="18"/>
        <v>0</v>
      </c>
      <c r="AP422" s="7">
        <f t="shared" si="19"/>
        <v>15.16</v>
      </c>
      <c r="AQ422" s="31" t="str">
        <f t="shared" si="20"/>
        <v>Complete - No Adjustment</v>
      </c>
    </row>
    <row r="423" spans="1:43" x14ac:dyDescent="0.2">
      <c r="A423" s="46">
        <v>413</v>
      </c>
      <c r="B423" s="13" t="s">
        <v>266</v>
      </c>
      <c r="C423" s="13" t="s">
        <v>733</v>
      </c>
      <c r="D423" s="13" t="s">
        <v>732</v>
      </c>
      <c r="E423" s="13" t="s">
        <v>1515</v>
      </c>
      <c r="F423" s="13" t="s">
        <v>177</v>
      </c>
      <c r="G423" s="13" t="s">
        <v>111</v>
      </c>
      <c r="H423" s="16">
        <v>43922</v>
      </c>
      <c r="I423" s="16">
        <v>43928</v>
      </c>
      <c r="J423" s="22">
        <v>814.02</v>
      </c>
      <c r="K423" s="22">
        <v>241.52</v>
      </c>
      <c r="L423" s="22" t="s">
        <v>1516</v>
      </c>
      <c r="M423" s="26" t="s">
        <v>98</v>
      </c>
      <c r="N423" s="13" t="s">
        <v>230</v>
      </c>
      <c r="O423" s="13" t="s">
        <v>378</v>
      </c>
      <c r="P423" s="13" t="s">
        <v>60</v>
      </c>
      <c r="Q423" s="13" t="s">
        <v>45</v>
      </c>
      <c r="R423" s="13" t="s">
        <v>270</v>
      </c>
      <c r="S423" s="13" t="s">
        <v>1517</v>
      </c>
      <c r="T423" s="13" t="s">
        <v>1520</v>
      </c>
      <c r="U423" s="13"/>
      <c r="V423" s="13"/>
      <c r="W423" s="13"/>
      <c r="AN423" s="7" t="s">
        <v>70</v>
      </c>
      <c r="AO423" s="21">
        <f t="shared" si="18"/>
        <v>0</v>
      </c>
      <c r="AP423" s="7">
        <f t="shared" si="19"/>
        <v>241.52</v>
      </c>
      <c r="AQ423" s="31" t="str">
        <f t="shared" si="20"/>
        <v>Complete - No Adjustment</v>
      </c>
    </row>
    <row r="424" spans="1:43" x14ac:dyDescent="0.2">
      <c r="A424" s="46">
        <v>414</v>
      </c>
      <c r="B424" s="13" t="s">
        <v>266</v>
      </c>
      <c r="C424" s="13" t="s">
        <v>733</v>
      </c>
      <c r="D424" s="13" t="s">
        <v>732</v>
      </c>
      <c r="E424" s="13" t="s">
        <v>1515</v>
      </c>
      <c r="F424" s="13" t="s">
        <v>177</v>
      </c>
      <c r="G424" s="13" t="s">
        <v>111</v>
      </c>
      <c r="H424" s="16">
        <v>43922</v>
      </c>
      <c r="I424" s="16">
        <v>43928</v>
      </c>
      <c r="J424" s="22">
        <v>814.02</v>
      </c>
      <c r="K424" s="22">
        <v>7.22</v>
      </c>
      <c r="L424" s="22" t="s">
        <v>1516</v>
      </c>
      <c r="M424" s="26" t="s">
        <v>98</v>
      </c>
      <c r="N424" s="13" t="s">
        <v>230</v>
      </c>
      <c r="O424" s="13" t="s">
        <v>378</v>
      </c>
      <c r="P424" s="13" t="s">
        <v>60</v>
      </c>
      <c r="Q424" s="13" t="s">
        <v>41</v>
      </c>
      <c r="R424" s="13" t="s">
        <v>270</v>
      </c>
      <c r="S424" s="13" t="s">
        <v>1517</v>
      </c>
      <c r="T424" s="13" t="s">
        <v>1518</v>
      </c>
      <c r="U424" s="13"/>
      <c r="V424" s="13"/>
      <c r="W424" s="13"/>
      <c r="AN424" s="7" t="s">
        <v>70</v>
      </c>
      <c r="AO424" s="21">
        <f t="shared" ref="AO424:AO487" si="21">SUM(Y424:AL424)</f>
        <v>0</v>
      </c>
      <c r="AP424" s="7">
        <f t="shared" ref="AP424:AP487" si="22">K424-AO424</f>
        <v>7.22</v>
      </c>
      <c r="AQ424" s="31" t="str">
        <f t="shared" si="20"/>
        <v>Complete - No Adjustment</v>
      </c>
    </row>
    <row r="425" spans="1:43" x14ac:dyDescent="0.2">
      <c r="A425" s="46">
        <v>415</v>
      </c>
      <c r="B425" s="13" t="s">
        <v>266</v>
      </c>
      <c r="C425" s="13" t="s">
        <v>733</v>
      </c>
      <c r="D425" s="13" t="s">
        <v>732</v>
      </c>
      <c r="E425" s="13" t="s">
        <v>1515</v>
      </c>
      <c r="F425" s="13" t="s">
        <v>177</v>
      </c>
      <c r="G425" s="13" t="s">
        <v>111</v>
      </c>
      <c r="H425" s="16">
        <v>43922</v>
      </c>
      <c r="I425" s="16">
        <v>43928</v>
      </c>
      <c r="J425" s="22">
        <v>814.02</v>
      </c>
      <c r="K425" s="22">
        <v>17.16</v>
      </c>
      <c r="L425" s="22" t="s">
        <v>1516</v>
      </c>
      <c r="M425" s="26" t="s">
        <v>98</v>
      </c>
      <c r="N425" s="13" t="s">
        <v>230</v>
      </c>
      <c r="O425" s="13" t="s">
        <v>378</v>
      </c>
      <c r="P425" s="13" t="s">
        <v>60</v>
      </c>
      <c r="Q425" s="13" t="s">
        <v>41</v>
      </c>
      <c r="R425" s="13" t="s">
        <v>270</v>
      </c>
      <c r="S425" s="13" t="s">
        <v>1517</v>
      </c>
      <c r="T425" s="13" t="s">
        <v>1518</v>
      </c>
      <c r="U425" s="13"/>
      <c r="V425" s="13"/>
      <c r="W425" s="13"/>
      <c r="AN425" s="7" t="s">
        <v>70</v>
      </c>
      <c r="AO425" s="21">
        <f t="shared" si="21"/>
        <v>0</v>
      </c>
      <c r="AP425" s="7">
        <f t="shared" si="22"/>
        <v>17.16</v>
      </c>
      <c r="AQ425" s="31" t="str">
        <f t="shared" si="20"/>
        <v>Complete - No Adjustment</v>
      </c>
    </row>
    <row r="426" spans="1:43" x14ac:dyDescent="0.2">
      <c r="A426" s="46">
        <v>416</v>
      </c>
      <c r="B426" s="13" t="s">
        <v>266</v>
      </c>
      <c r="C426" s="13" t="s">
        <v>733</v>
      </c>
      <c r="D426" s="13" t="s">
        <v>732</v>
      </c>
      <c r="E426" s="13" t="s">
        <v>1515</v>
      </c>
      <c r="F426" s="13" t="s">
        <v>177</v>
      </c>
      <c r="G426" s="13" t="s">
        <v>111</v>
      </c>
      <c r="H426" s="16">
        <v>43922</v>
      </c>
      <c r="I426" s="16">
        <v>43928</v>
      </c>
      <c r="J426" s="22">
        <v>814.02</v>
      </c>
      <c r="K426" s="22">
        <v>14.23</v>
      </c>
      <c r="L426" s="22" t="s">
        <v>1516</v>
      </c>
      <c r="M426" s="26" t="s">
        <v>98</v>
      </c>
      <c r="N426" s="13" t="s">
        <v>230</v>
      </c>
      <c r="O426" s="13" t="s">
        <v>378</v>
      </c>
      <c r="P426" s="13" t="s">
        <v>60</v>
      </c>
      <c r="Q426" s="13" t="s">
        <v>41</v>
      </c>
      <c r="R426" s="13" t="s">
        <v>270</v>
      </c>
      <c r="S426" s="13" t="s">
        <v>1517</v>
      </c>
      <c r="T426" s="13" t="s">
        <v>1518</v>
      </c>
      <c r="U426" s="13"/>
      <c r="V426" s="13"/>
      <c r="W426" s="13"/>
      <c r="AN426" s="7" t="s">
        <v>70</v>
      </c>
      <c r="AO426" s="21">
        <f t="shared" si="21"/>
        <v>0</v>
      </c>
      <c r="AP426" s="7">
        <f t="shared" si="22"/>
        <v>14.23</v>
      </c>
      <c r="AQ426" s="31" t="str">
        <f t="shared" si="20"/>
        <v>Complete - No Adjustment</v>
      </c>
    </row>
    <row r="427" spans="1:43" x14ac:dyDescent="0.2">
      <c r="A427" s="46">
        <v>417</v>
      </c>
      <c r="B427" s="13" t="s">
        <v>266</v>
      </c>
      <c r="C427" s="13" t="s">
        <v>733</v>
      </c>
      <c r="D427" s="13" t="s">
        <v>732</v>
      </c>
      <c r="E427" s="13" t="s">
        <v>1515</v>
      </c>
      <c r="F427" s="13" t="s">
        <v>177</v>
      </c>
      <c r="G427" s="13" t="s">
        <v>111</v>
      </c>
      <c r="H427" s="16">
        <v>43922</v>
      </c>
      <c r="I427" s="16">
        <v>43928</v>
      </c>
      <c r="J427" s="22">
        <v>814.02</v>
      </c>
      <c r="K427" s="22">
        <v>94.99</v>
      </c>
      <c r="L427" s="22" t="s">
        <v>1516</v>
      </c>
      <c r="M427" s="26" t="s">
        <v>98</v>
      </c>
      <c r="N427" s="13" t="s">
        <v>230</v>
      </c>
      <c r="O427" s="13" t="s">
        <v>378</v>
      </c>
      <c r="P427" s="13" t="s">
        <v>60</v>
      </c>
      <c r="Q427" s="13" t="s">
        <v>62</v>
      </c>
      <c r="R427" s="13" t="s">
        <v>270</v>
      </c>
      <c r="S427" s="13" t="s">
        <v>1517</v>
      </c>
      <c r="T427" s="13" t="s">
        <v>1521</v>
      </c>
      <c r="U427" s="13"/>
      <c r="V427" s="13"/>
      <c r="W427" s="13"/>
      <c r="AN427" s="7" t="s">
        <v>70</v>
      </c>
      <c r="AO427" s="21">
        <f t="shared" si="21"/>
        <v>0</v>
      </c>
      <c r="AP427" s="7">
        <f t="shared" si="22"/>
        <v>94.99</v>
      </c>
      <c r="AQ427" s="31" t="str">
        <f t="shared" si="20"/>
        <v>Complete - No Adjustment</v>
      </c>
    </row>
    <row r="428" spans="1:43" x14ac:dyDescent="0.2">
      <c r="A428" s="46">
        <v>418</v>
      </c>
      <c r="B428" s="13" t="s">
        <v>266</v>
      </c>
      <c r="C428" s="13" t="s">
        <v>733</v>
      </c>
      <c r="D428" s="13" t="s">
        <v>732</v>
      </c>
      <c r="E428" s="13" t="s">
        <v>1515</v>
      </c>
      <c r="F428" s="13" t="s">
        <v>177</v>
      </c>
      <c r="G428" s="13" t="s">
        <v>111</v>
      </c>
      <c r="H428" s="16">
        <v>43922</v>
      </c>
      <c r="I428" s="16">
        <v>43928</v>
      </c>
      <c r="J428" s="22">
        <v>814.02</v>
      </c>
      <c r="K428" s="22">
        <v>12.3</v>
      </c>
      <c r="L428" s="22" t="s">
        <v>1516</v>
      </c>
      <c r="M428" s="26" t="s">
        <v>98</v>
      </c>
      <c r="N428" s="13" t="s">
        <v>230</v>
      </c>
      <c r="O428" s="13" t="s">
        <v>378</v>
      </c>
      <c r="P428" s="13" t="s">
        <v>60</v>
      </c>
      <c r="Q428" s="13" t="s">
        <v>44</v>
      </c>
      <c r="R428" s="13" t="s">
        <v>270</v>
      </c>
      <c r="S428" s="13" t="s">
        <v>1517</v>
      </c>
      <c r="T428" s="13" t="s">
        <v>1522</v>
      </c>
      <c r="U428" s="13"/>
      <c r="V428" s="13"/>
      <c r="W428" s="13"/>
      <c r="AL428" s="14">
        <v>12.13</v>
      </c>
      <c r="AN428" s="7" t="s">
        <v>146</v>
      </c>
      <c r="AO428" s="21">
        <f t="shared" si="21"/>
        <v>12.13</v>
      </c>
      <c r="AP428" s="7">
        <f t="shared" si="22"/>
        <v>0.16999999999999993</v>
      </c>
      <c r="AQ428" s="31" t="str">
        <f t="shared" si="20"/>
        <v>Complete - With Adjustment</v>
      </c>
    </row>
    <row r="429" spans="1:43" x14ac:dyDescent="0.2">
      <c r="A429" s="46">
        <v>419</v>
      </c>
      <c r="B429" s="13" t="s">
        <v>266</v>
      </c>
      <c r="C429" s="13" t="s">
        <v>733</v>
      </c>
      <c r="D429" s="13" t="s">
        <v>732</v>
      </c>
      <c r="E429" s="13" t="s">
        <v>1515</v>
      </c>
      <c r="F429" s="13" t="s">
        <v>177</v>
      </c>
      <c r="G429" s="13" t="s">
        <v>111</v>
      </c>
      <c r="H429" s="16">
        <v>43922</v>
      </c>
      <c r="I429" s="16">
        <v>43928</v>
      </c>
      <c r="J429" s="22">
        <v>814.02</v>
      </c>
      <c r="K429" s="22">
        <v>30.06</v>
      </c>
      <c r="L429" s="22" t="s">
        <v>1516</v>
      </c>
      <c r="M429" s="26" t="s">
        <v>98</v>
      </c>
      <c r="N429" s="13" t="s">
        <v>230</v>
      </c>
      <c r="O429" s="13" t="s">
        <v>378</v>
      </c>
      <c r="P429" s="13" t="s">
        <v>60</v>
      </c>
      <c r="Q429" s="13" t="s">
        <v>41</v>
      </c>
      <c r="R429" s="13" t="s">
        <v>270</v>
      </c>
      <c r="S429" s="13" t="s">
        <v>1517</v>
      </c>
      <c r="T429" s="13" t="s">
        <v>1518</v>
      </c>
      <c r="U429" s="13"/>
      <c r="V429" s="13"/>
      <c r="W429" s="13"/>
      <c r="AN429" s="7" t="s">
        <v>70</v>
      </c>
      <c r="AO429" s="21">
        <f t="shared" si="21"/>
        <v>0</v>
      </c>
      <c r="AP429" s="7">
        <f t="shared" si="22"/>
        <v>30.06</v>
      </c>
      <c r="AQ429" s="31" t="str">
        <f t="shared" si="20"/>
        <v>Complete - No Adjustment</v>
      </c>
    </row>
    <row r="430" spans="1:43" x14ac:dyDescent="0.2">
      <c r="A430" s="46">
        <v>420</v>
      </c>
      <c r="B430" s="13" t="s">
        <v>266</v>
      </c>
      <c r="C430" s="13" t="s">
        <v>733</v>
      </c>
      <c r="D430" s="13" t="s">
        <v>732</v>
      </c>
      <c r="E430" s="13" t="s">
        <v>1523</v>
      </c>
      <c r="F430" s="13" t="s">
        <v>160</v>
      </c>
      <c r="G430" s="13" t="s">
        <v>111</v>
      </c>
      <c r="H430" s="16">
        <v>43916</v>
      </c>
      <c r="I430" s="16">
        <v>43930</v>
      </c>
      <c r="J430" s="22">
        <v>934.09</v>
      </c>
      <c r="K430" s="22">
        <v>934.09</v>
      </c>
      <c r="L430" s="22" t="s">
        <v>1524</v>
      </c>
      <c r="M430" s="26" t="s">
        <v>98</v>
      </c>
      <c r="N430" s="13" t="s">
        <v>230</v>
      </c>
      <c r="O430" s="13" t="s">
        <v>378</v>
      </c>
      <c r="P430" s="13" t="s">
        <v>60</v>
      </c>
      <c r="Q430" s="13" t="s">
        <v>44</v>
      </c>
      <c r="R430" s="13" t="s">
        <v>270</v>
      </c>
      <c r="S430" s="13" t="s">
        <v>1525</v>
      </c>
      <c r="T430" s="13" t="s">
        <v>1526</v>
      </c>
      <c r="U430" s="13"/>
      <c r="V430" s="13"/>
      <c r="W430" s="13"/>
      <c r="AL430" s="14">
        <v>934.09</v>
      </c>
      <c r="AN430" s="7" t="s">
        <v>146</v>
      </c>
      <c r="AO430" s="21">
        <f t="shared" si="21"/>
        <v>934.09</v>
      </c>
      <c r="AP430" s="7">
        <f t="shared" si="22"/>
        <v>0</v>
      </c>
      <c r="AQ430" s="31" t="str">
        <f t="shared" si="20"/>
        <v>Complete - With Adjustment</v>
      </c>
    </row>
    <row r="431" spans="1:43" x14ac:dyDescent="0.2">
      <c r="A431" s="46">
        <v>421</v>
      </c>
      <c r="B431" s="13" t="s">
        <v>266</v>
      </c>
      <c r="C431" s="13" t="s">
        <v>714</v>
      </c>
      <c r="D431" s="13" t="s">
        <v>713</v>
      </c>
      <c r="E431" s="13" t="s">
        <v>1527</v>
      </c>
      <c r="F431" s="13" t="s">
        <v>172</v>
      </c>
      <c r="G431" s="13" t="s">
        <v>111</v>
      </c>
      <c r="H431" s="16">
        <v>43936</v>
      </c>
      <c r="I431" s="16">
        <v>43937</v>
      </c>
      <c r="J431" s="22">
        <v>66.75</v>
      </c>
      <c r="K431" s="22">
        <v>66.75</v>
      </c>
      <c r="L431" s="22" t="s">
        <v>1528</v>
      </c>
      <c r="M431" s="26" t="s">
        <v>98</v>
      </c>
      <c r="N431" s="13" t="s">
        <v>230</v>
      </c>
      <c r="O431" s="13" t="s">
        <v>272</v>
      </c>
      <c r="P431" s="13" t="s">
        <v>60</v>
      </c>
      <c r="Q431" s="13" t="s">
        <v>46</v>
      </c>
      <c r="R431" s="13" t="s">
        <v>270</v>
      </c>
      <c r="S431" s="13" t="s">
        <v>1529</v>
      </c>
      <c r="T431" s="13" t="s">
        <v>1530</v>
      </c>
      <c r="U431" s="13"/>
      <c r="V431" s="13"/>
      <c r="W431" s="13"/>
      <c r="AN431" s="7" t="s">
        <v>155</v>
      </c>
      <c r="AO431" s="21">
        <f t="shared" si="21"/>
        <v>0</v>
      </c>
      <c r="AP431" s="7">
        <f t="shared" si="22"/>
        <v>66.75</v>
      </c>
      <c r="AQ431" s="31" t="str">
        <f t="shared" si="20"/>
        <v>Complete - No Adjustment</v>
      </c>
    </row>
    <row r="432" spans="1:43" x14ac:dyDescent="0.2">
      <c r="A432" s="46">
        <v>422</v>
      </c>
      <c r="B432" s="13" t="s">
        <v>266</v>
      </c>
      <c r="C432" s="13" t="s">
        <v>474</v>
      </c>
      <c r="D432" s="13" t="s">
        <v>473</v>
      </c>
      <c r="E432" s="13" t="s">
        <v>1531</v>
      </c>
      <c r="F432" s="13" t="s">
        <v>170</v>
      </c>
      <c r="G432" s="13" t="s">
        <v>111</v>
      </c>
      <c r="H432" s="16">
        <v>43921</v>
      </c>
      <c r="I432" s="16">
        <v>43923</v>
      </c>
      <c r="J432" s="22">
        <v>16.010000000000002</v>
      </c>
      <c r="K432" s="22">
        <v>16.010000000000002</v>
      </c>
      <c r="L432" s="22" t="s">
        <v>1532</v>
      </c>
      <c r="M432" s="26" t="s">
        <v>98</v>
      </c>
      <c r="N432" s="13" t="s">
        <v>230</v>
      </c>
      <c r="O432" s="13" t="s">
        <v>297</v>
      </c>
      <c r="P432" s="13" t="s">
        <v>60</v>
      </c>
      <c r="Q432" s="13" t="s">
        <v>41</v>
      </c>
      <c r="R432" s="13" t="s">
        <v>270</v>
      </c>
      <c r="S432" s="13" t="s">
        <v>1533</v>
      </c>
      <c r="T432" s="13" t="s">
        <v>1534</v>
      </c>
      <c r="U432" s="13"/>
      <c r="V432" s="13"/>
      <c r="W432" s="13"/>
      <c r="AN432" s="7" t="s">
        <v>155</v>
      </c>
      <c r="AO432" s="21">
        <f t="shared" si="21"/>
        <v>0</v>
      </c>
      <c r="AP432" s="7">
        <f t="shared" si="22"/>
        <v>16.010000000000002</v>
      </c>
      <c r="AQ432" s="31" t="str">
        <f t="shared" si="20"/>
        <v>Complete - No Adjustment</v>
      </c>
    </row>
    <row r="433" spans="1:61" x14ac:dyDescent="0.2">
      <c r="A433" s="46">
        <v>423</v>
      </c>
      <c r="B433" s="13" t="s">
        <v>266</v>
      </c>
      <c r="C433" s="13" t="s">
        <v>476</v>
      </c>
      <c r="D433" s="13" t="s">
        <v>475</v>
      </c>
      <c r="E433" s="13" t="s">
        <v>1535</v>
      </c>
      <c r="F433" s="13" t="s">
        <v>176</v>
      </c>
      <c r="G433" s="13" t="s">
        <v>111</v>
      </c>
      <c r="H433" s="16">
        <v>43938</v>
      </c>
      <c r="I433" s="16">
        <v>43942</v>
      </c>
      <c r="J433" s="22">
        <v>25</v>
      </c>
      <c r="K433" s="22">
        <v>25</v>
      </c>
      <c r="L433" s="22" t="s">
        <v>1536</v>
      </c>
      <c r="M433" s="26" t="s">
        <v>98</v>
      </c>
      <c r="N433" s="13" t="s">
        <v>230</v>
      </c>
      <c r="O433" s="13" t="s">
        <v>320</v>
      </c>
      <c r="P433" s="13" t="s">
        <v>60</v>
      </c>
      <c r="Q433" s="13" t="s">
        <v>41</v>
      </c>
      <c r="R433" s="13" t="s">
        <v>270</v>
      </c>
      <c r="S433" s="13" t="s">
        <v>1537</v>
      </c>
      <c r="T433" s="13" t="s">
        <v>1538</v>
      </c>
      <c r="U433" s="13"/>
      <c r="V433" s="13"/>
      <c r="W433" s="13"/>
      <c r="AN433" s="7" t="s">
        <v>155</v>
      </c>
      <c r="AO433" s="21">
        <f t="shared" si="21"/>
        <v>0</v>
      </c>
      <c r="AP433" s="7">
        <f t="shared" si="22"/>
        <v>25</v>
      </c>
      <c r="AQ433" s="31" t="str">
        <f t="shared" si="20"/>
        <v>Complete - No Adjustment</v>
      </c>
    </row>
    <row r="434" spans="1:61" x14ac:dyDescent="0.2">
      <c r="A434" s="46">
        <v>424</v>
      </c>
      <c r="B434" s="13" t="s">
        <v>266</v>
      </c>
      <c r="C434" s="13" t="s">
        <v>575</v>
      </c>
      <c r="D434" s="13" t="s">
        <v>574</v>
      </c>
      <c r="E434" s="13" t="s">
        <v>1539</v>
      </c>
      <c r="F434" s="13" t="s">
        <v>176</v>
      </c>
      <c r="G434" s="13" t="s">
        <v>111</v>
      </c>
      <c r="H434" s="16">
        <v>43938</v>
      </c>
      <c r="I434" s="16">
        <v>43942</v>
      </c>
      <c r="J434" s="22">
        <v>258.45</v>
      </c>
      <c r="K434" s="22">
        <v>75</v>
      </c>
      <c r="L434" s="22" t="s">
        <v>1540</v>
      </c>
      <c r="M434" s="26" t="s">
        <v>98</v>
      </c>
      <c r="N434" s="13" t="s">
        <v>230</v>
      </c>
      <c r="O434" s="13" t="s">
        <v>78</v>
      </c>
      <c r="P434" s="13" t="s">
        <v>60</v>
      </c>
      <c r="Q434" s="13" t="s">
        <v>59</v>
      </c>
      <c r="R434" s="13" t="s">
        <v>270</v>
      </c>
      <c r="S434" s="13" t="s">
        <v>1541</v>
      </c>
      <c r="T434" s="13" t="s">
        <v>1542</v>
      </c>
      <c r="U434" s="13"/>
      <c r="V434" s="13"/>
      <c r="W434" s="13"/>
      <c r="AN434" s="7" t="s">
        <v>70</v>
      </c>
      <c r="AO434" s="21">
        <f t="shared" si="21"/>
        <v>0</v>
      </c>
      <c r="AP434" s="7">
        <f t="shared" si="22"/>
        <v>75</v>
      </c>
      <c r="AQ434" s="31" t="str">
        <f t="shared" si="20"/>
        <v>Complete - No Adjustment</v>
      </c>
    </row>
    <row r="435" spans="1:61" x14ac:dyDescent="0.2">
      <c r="A435" s="46">
        <v>425</v>
      </c>
      <c r="B435" s="13" t="s">
        <v>266</v>
      </c>
      <c r="C435" s="13" t="s">
        <v>575</v>
      </c>
      <c r="D435" s="13" t="s">
        <v>574</v>
      </c>
      <c r="E435" s="13" t="s">
        <v>1539</v>
      </c>
      <c r="F435" s="13" t="s">
        <v>176</v>
      </c>
      <c r="G435" s="13" t="s">
        <v>111</v>
      </c>
      <c r="H435" s="16">
        <v>43938</v>
      </c>
      <c r="I435" s="16">
        <v>43942</v>
      </c>
      <c r="J435" s="22">
        <v>258.45</v>
      </c>
      <c r="K435" s="22">
        <v>60</v>
      </c>
      <c r="L435" s="22" t="s">
        <v>1540</v>
      </c>
      <c r="M435" s="26" t="s">
        <v>98</v>
      </c>
      <c r="N435" s="13" t="s">
        <v>230</v>
      </c>
      <c r="O435" s="13" t="s">
        <v>78</v>
      </c>
      <c r="P435" s="13" t="s">
        <v>60</v>
      </c>
      <c r="Q435" s="13" t="s">
        <v>59</v>
      </c>
      <c r="R435" s="13" t="s">
        <v>270</v>
      </c>
      <c r="S435" s="13" t="s">
        <v>1541</v>
      </c>
      <c r="T435" s="13" t="s">
        <v>1543</v>
      </c>
      <c r="U435" s="13"/>
      <c r="V435" s="13"/>
      <c r="W435" s="13"/>
      <c r="AN435" s="7" t="s">
        <v>70</v>
      </c>
      <c r="AO435" s="21">
        <f t="shared" si="21"/>
        <v>0</v>
      </c>
      <c r="AP435" s="7">
        <f t="shared" si="22"/>
        <v>60</v>
      </c>
      <c r="AQ435" s="31" t="str">
        <f t="shared" si="20"/>
        <v>Complete - No Adjustment</v>
      </c>
    </row>
    <row r="436" spans="1:61" x14ac:dyDescent="0.2">
      <c r="A436" s="46">
        <v>426</v>
      </c>
      <c r="B436" s="13" t="s">
        <v>266</v>
      </c>
      <c r="C436" s="13" t="s">
        <v>575</v>
      </c>
      <c r="D436" s="13" t="s">
        <v>574</v>
      </c>
      <c r="E436" s="13" t="s">
        <v>1539</v>
      </c>
      <c r="F436" s="13" t="s">
        <v>176</v>
      </c>
      <c r="G436" s="13" t="s">
        <v>111</v>
      </c>
      <c r="H436" s="16">
        <v>43938</v>
      </c>
      <c r="I436" s="16">
        <v>43942</v>
      </c>
      <c r="J436" s="22">
        <v>258.45</v>
      </c>
      <c r="K436" s="22">
        <v>84.4</v>
      </c>
      <c r="L436" s="22" t="s">
        <v>1540</v>
      </c>
      <c r="M436" s="26" t="s">
        <v>98</v>
      </c>
      <c r="N436" s="13" t="s">
        <v>230</v>
      </c>
      <c r="O436" s="13" t="s">
        <v>78</v>
      </c>
      <c r="P436" s="13" t="s">
        <v>60</v>
      </c>
      <c r="Q436" s="13" t="s">
        <v>174</v>
      </c>
      <c r="R436" s="13" t="s">
        <v>270</v>
      </c>
      <c r="S436" s="13" t="s">
        <v>1541</v>
      </c>
      <c r="T436" s="13" t="s">
        <v>1544</v>
      </c>
      <c r="U436" s="13"/>
      <c r="V436" s="13"/>
      <c r="W436" s="13"/>
      <c r="AN436" s="7" t="s">
        <v>70</v>
      </c>
      <c r="AO436" s="21">
        <f t="shared" si="21"/>
        <v>0</v>
      </c>
      <c r="AP436" s="7">
        <f t="shared" si="22"/>
        <v>84.4</v>
      </c>
      <c r="AQ436" s="31" t="str">
        <f t="shared" si="20"/>
        <v>Complete - No Adjustment</v>
      </c>
    </row>
    <row r="437" spans="1:61" x14ac:dyDescent="0.2">
      <c r="A437" s="46">
        <v>427</v>
      </c>
      <c r="B437" s="13" t="s">
        <v>266</v>
      </c>
      <c r="C437" s="13" t="s">
        <v>575</v>
      </c>
      <c r="D437" s="13" t="s">
        <v>574</v>
      </c>
      <c r="E437" s="13" t="s">
        <v>1539</v>
      </c>
      <c r="F437" s="13" t="s">
        <v>176</v>
      </c>
      <c r="G437" s="13" t="s">
        <v>111</v>
      </c>
      <c r="H437" s="16">
        <v>43938</v>
      </c>
      <c r="I437" s="16">
        <v>43942</v>
      </c>
      <c r="J437" s="22">
        <v>258.45</v>
      </c>
      <c r="K437" s="22">
        <v>39.049999999999997</v>
      </c>
      <c r="L437" s="22" t="s">
        <v>1540</v>
      </c>
      <c r="M437" s="26" t="s">
        <v>98</v>
      </c>
      <c r="N437" s="13" t="s">
        <v>230</v>
      </c>
      <c r="O437" s="13" t="s">
        <v>78</v>
      </c>
      <c r="P437" s="13" t="s">
        <v>60</v>
      </c>
      <c r="Q437" s="13" t="s">
        <v>59</v>
      </c>
      <c r="R437" s="13" t="s">
        <v>270</v>
      </c>
      <c r="S437" s="13" t="s">
        <v>1541</v>
      </c>
      <c r="T437" s="13" t="s">
        <v>1545</v>
      </c>
      <c r="U437" s="13"/>
      <c r="V437" s="13"/>
      <c r="W437" s="13"/>
      <c r="AN437" s="7" t="s">
        <v>70</v>
      </c>
      <c r="AO437" s="21">
        <f t="shared" si="21"/>
        <v>0</v>
      </c>
      <c r="AP437" s="7">
        <f t="shared" si="22"/>
        <v>39.049999999999997</v>
      </c>
      <c r="AQ437" s="31" t="str">
        <f t="shared" si="20"/>
        <v>Complete - No Adjustment</v>
      </c>
    </row>
    <row r="438" spans="1:61" x14ac:dyDescent="0.2">
      <c r="A438" s="46">
        <v>428</v>
      </c>
      <c r="B438" s="13" t="s">
        <v>266</v>
      </c>
      <c r="C438" s="13" t="s">
        <v>626</v>
      </c>
      <c r="D438" s="13" t="s">
        <v>715</v>
      </c>
      <c r="E438" s="13" t="s">
        <v>1546</v>
      </c>
      <c r="F438" s="13" t="s">
        <v>163</v>
      </c>
      <c r="G438" s="13" t="s">
        <v>111</v>
      </c>
      <c r="H438" s="16">
        <v>43949</v>
      </c>
      <c r="I438" s="16">
        <v>43950</v>
      </c>
      <c r="J438" s="22">
        <v>15</v>
      </c>
      <c r="K438" s="22">
        <v>15</v>
      </c>
      <c r="L438" s="22" t="s">
        <v>1547</v>
      </c>
      <c r="M438" s="26" t="s">
        <v>98</v>
      </c>
      <c r="N438" s="13" t="s">
        <v>230</v>
      </c>
      <c r="O438" s="13" t="s">
        <v>294</v>
      </c>
      <c r="P438" s="13" t="s">
        <v>60</v>
      </c>
      <c r="Q438" s="13" t="s">
        <v>41</v>
      </c>
      <c r="R438" s="13" t="s">
        <v>270</v>
      </c>
      <c r="S438" s="13" t="s">
        <v>1548</v>
      </c>
      <c r="T438" s="13" t="s">
        <v>1549</v>
      </c>
      <c r="U438" s="13"/>
      <c r="V438" s="13"/>
      <c r="W438" s="13"/>
      <c r="AN438" s="7" t="s">
        <v>155</v>
      </c>
      <c r="AO438" s="21">
        <f t="shared" si="21"/>
        <v>0</v>
      </c>
      <c r="AP438" s="7">
        <f t="shared" si="22"/>
        <v>15</v>
      </c>
      <c r="AQ438" s="31" t="str">
        <f t="shared" si="20"/>
        <v>Complete - No Adjustment</v>
      </c>
    </row>
    <row r="439" spans="1:61" x14ac:dyDescent="0.2">
      <c r="A439" s="46">
        <v>429</v>
      </c>
      <c r="B439" s="13" t="s">
        <v>266</v>
      </c>
      <c r="C439" s="13" t="s">
        <v>626</v>
      </c>
      <c r="D439" s="13" t="s">
        <v>715</v>
      </c>
      <c r="E439" s="13" t="s">
        <v>1550</v>
      </c>
      <c r="F439" s="13" t="s">
        <v>170</v>
      </c>
      <c r="G439" s="13" t="s">
        <v>111</v>
      </c>
      <c r="H439" s="16">
        <v>43921</v>
      </c>
      <c r="I439" s="16">
        <v>43923</v>
      </c>
      <c r="J439" s="22">
        <v>20</v>
      </c>
      <c r="K439" s="22">
        <v>20</v>
      </c>
      <c r="L439" s="22" t="s">
        <v>1551</v>
      </c>
      <c r="M439" s="26" t="s">
        <v>98</v>
      </c>
      <c r="N439" s="13" t="s">
        <v>230</v>
      </c>
      <c r="O439" s="13" t="s">
        <v>294</v>
      </c>
      <c r="P439" s="13" t="s">
        <v>60</v>
      </c>
      <c r="Q439" s="13" t="s">
        <v>41</v>
      </c>
      <c r="R439" s="13" t="s">
        <v>270</v>
      </c>
      <c r="S439" s="13" t="s">
        <v>1552</v>
      </c>
      <c r="T439" s="13" t="s">
        <v>1553</v>
      </c>
      <c r="U439" s="13"/>
      <c r="V439" s="13"/>
      <c r="W439" s="13"/>
      <c r="AN439" s="7" t="s">
        <v>155</v>
      </c>
      <c r="AO439" s="21">
        <f t="shared" si="21"/>
        <v>0</v>
      </c>
      <c r="AP439" s="7">
        <f t="shared" si="22"/>
        <v>20</v>
      </c>
      <c r="AQ439" s="31" t="str">
        <f t="shared" si="20"/>
        <v>Complete - No Adjustment</v>
      </c>
    </row>
    <row r="440" spans="1:61" x14ac:dyDescent="0.2">
      <c r="A440" s="46">
        <v>430</v>
      </c>
      <c r="B440" s="13" t="s">
        <v>266</v>
      </c>
      <c r="C440" s="13" t="s">
        <v>737</v>
      </c>
      <c r="D440" s="13" t="s">
        <v>736</v>
      </c>
      <c r="E440" s="13" t="s">
        <v>1554</v>
      </c>
      <c r="F440" s="13" t="s">
        <v>177</v>
      </c>
      <c r="G440" s="13" t="s">
        <v>111</v>
      </c>
      <c r="H440" s="16">
        <v>43924</v>
      </c>
      <c r="I440" s="16">
        <v>43928</v>
      </c>
      <c r="J440" s="22">
        <v>200</v>
      </c>
      <c r="K440" s="22">
        <v>200</v>
      </c>
      <c r="L440" s="22" t="s">
        <v>1555</v>
      </c>
      <c r="M440" s="26" t="s">
        <v>98</v>
      </c>
      <c r="N440" s="13" t="s">
        <v>230</v>
      </c>
      <c r="O440" s="13" t="s">
        <v>397</v>
      </c>
      <c r="P440" s="13" t="s">
        <v>60</v>
      </c>
      <c r="Q440" s="13" t="s">
        <v>48</v>
      </c>
      <c r="R440" s="13" t="s">
        <v>270</v>
      </c>
      <c r="S440" s="13" t="s">
        <v>1556</v>
      </c>
      <c r="T440" s="13" t="s">
        <v>1557</v>
      </c>
      <c r="U440" s="13"/>
      <c r="V440" s="13"/>
      <c r="W440" s="13"/>
      <c r="AN440" s="7" t="s">
        <v>70</v>
      </c>
      <c r="AO440" s="21">
        <f t="shared" si="21"/>
        <v>0</v>
      </c>
      <c r="AP440" s="7">
        <f t="shared" si="22"/>
        <v>200</v>
      </c>
      <c r="AQ440" s="31" t="str">
        <f t="shared" si="20"/>
        <v>Complete - No Adjustment</v>
      </c>
    </row>
    <row r="441" spans="1:61" x14ac:dyDescent="0.2">
      <c r="A441" s="46">
        <v>431</v>
      </c>
      <c r="B441" s="13" t="s">
        <v>266</v>
      </c>
      <c r="C441" s="13" t="s">
        <v>627</v>
      </c>
      <c r="D441" s="13" t="s">
        <v>879</v>
      </c>
      <c r="E441" s="13" t="s">
        <v>880</v>
      </c>
      <c r="F441" s="13" t="s">
        <v>176</v>
      </c>
      <c r="G441" s="13" t="s">
        <v>111</v>
      </c>
      <c r="H441" s="16">
        <v>43941</v>
      </c>
      <c r="I441" s="16">
        <v>43942</v>
      </c>
      <c r="J441" s="22">
        <v>19.46</v>
      </c>
      <c r="K441" s="22">
        <v>19.46</v>
      </c>
      <c r="L441" s="22"/>
      <c r="M441" s="26" t="s">
        <v>98</v>
      </c>
      <c r="N441" s="13" t="s">
        <v>230</v>
      </c>
      <c r="O441" s="13" t="s">
        <v>277</v>
      </c>
      <c r="P441" s="13" t="s">
        <v>60</v>
      </c>
      <c r="Q441" s="13" t="s">
        <v>62</v>
      </c>
      <c r="R441" s="13" t="s">
        <v>270</v>
      </c>
      <c r="S441" s="13" t="s">
        <v>881</v>
      </c>
      <c r="T441" s="13" t="s">
        <v>882</v>
      </c>
      <c r="U441" s="13"/>
      <c r="V441" s="13"/>
      <c r="W441" s="13"/>
      <c r="AL441" s="14">
        <v>19.46</v>
      </c>
      <c r="AN441" s="7">
        <f>IF(AO441=0,"",AS441)</f>
        <v>0</v>
      </c>
      <c r="AO441" s="21">
        <f t="shared" si="21"/>
        <v>19.46</v>
      </c>
      <c r="AP441" s="7">
        <f t="shared" si="22"/>
        <v>0</v>
      </c>
      <c r="AQ441" s="31" t="str">
        <f t="shared" si="20"/>
        <v>Complete - With Adjustment</v>
      </c>
      <c r="AS441" s="37"/>
      <c r="AT441" s="37"/>
      <c r="AU441" s="37"/>
      <c r="AV441" s="37"/>
      <c r="AW441" s="37"/>
      <c r="AX441" s="37"/>
      <c r="AY441" s="37"/>
      <c r="AZ441" s="37"/>
      <c r="BA441" s="37"/>
      <c r="BB441" s="37"/>
      <c r="BC441" s="37"/>
      <c r="BD441" s="37"/>
      <c r="BE441" s="37"/>
      <c r="BF441" s="37"/>
      <c r="BG441" s="37"/>
      <c r="BH441" s="37"/>
      <c r="BI441" s="37"/>
    </row>
    <row r="442" spans="1:61" x14ac:dyDescent="0.2">
      <c r="A442" s="46">
        <v>432</v>
      </c>
      <c r="B442" s="13" t="s">
        <v>266</v>
      </c>
      <c r="C442" s="13" t="s">
        <v>629</v>
      </c>
      <c r="D442" s="13" t="s">
        <v>628</v>
      </c>
      <c r="E442" s="13" t="s">
        <v>1558</v>
      </c>
      <c r="F442" s="13" t="s">
        <v>162</v>
      </c>
      <c r="G442" s="13" t="s">
        <v>111</v>
      </c>
      <c r="H442" s="16">
        <v>43934</v>
      </c>
      <c r="I442" s="16">
        <v>43935</v>
      </c>
      <c r="J442" s="22">
        <v>75</v>
      </c>
      <c r="K442" s="22">
        <v>75</v>
      </c>
      <c r="L442" s="22" t="s">
        <v>1559</v>
      </c>
      <c r="M442" s="26" t="s">
        <v>98</v>
      </c>
      <c r="N442" s="13" t="s">
        <v>230</v>
      </c>
      <c r="O442" s="13" t="s">
        <v>506</v>
      </c>
      <c r="P442" s="13" t="s">
        <v>60</v>
      </c>
      <c r="Q442" s="13" t="s">
        <v>59</v>
      </c>
      <c r="R442" s="13" t="s">
        <v>270</v>
      </c>
      <c r="S442" s="13" t="s">
        <v>1560</v>
      </c>
      <c r="T442" s="13" t="s">
        <v>1561</v>
      </c>
      <c r="U442" s="13"/>
      <c r="V442" s="13"/>
      <c r="W442" s="13"/>
      <c r="AN442" s="7" t="s">
        <v>70</v>
      </c>
      <c r="AO442" s="21">
        <f t="shared" si="21"/>
        <v>0</v>
      </c>
      <c r="AP442" s="7">
        <f t="shared" si="22"/>
        <v>75</v>
      </c>
      <c r="AQ442" s="31" t="str">
        <f t="shared" si="20"/>
        <v>Complete - No Adjustment</v>
      </c>
    </row>
    <row r="443" spans="1:61" x14ac:dyDescent="0.2">
      <c r="A443" s="46">
        <v>433</v>
      </c>
      <c r="B443" s="13" t="s">
        <v>266</v>
      </c>
      <c r="C443" s="13" t="s">
        <v>754</v>
      </c>
      <c r="D443" s="13" t="s">
        <v>753</v>
      </c>
      <c r="E443" s="13" t="s">
        <v>1562</v>
      </c>
      <c r="F443" s="13" t="s">
        <v>160</v>
      </c>
      <c r="G443" s="13" t="s">
        <v>111</v>
      </c>
      <c r="H443" s="16">
        <v>43928</v>
      </c>
      <c r="I443" s="16">
        <v>43930</v>
      </c>
      <c r="J443" s="22">
        <v>200</v>
      </c>
      <c r="K443" s="22">
        <v>200</v>
      </c>
      <c r="L443" s="22" t="s">
        <v>1563</v>
      </c>
      <c r="M443" s="26" t="s">
        <v>98</v>
      </c>
      <c r="N443" s="13" t="s">
        <v>230</v>
      </c>
      <c r="O443" s="13" t="s">
        <v>397</v>
      </c>
      <c r="P443" s="13" t="s">
        <v>60</v>
      </c>
      <c r="Q443" s="13" t="s">
        <v>56</v>
      </c>
      <c r="R443" s="13" t="s">
        <v>270</v>
      </c>
      <c r="S443" s="13" t="s">
        <v>159</v>
      </c>
      <c r="T443" s="13" t="s">
        <v>1564</v>
      </c>
      <c r="U443" s="13"/>
      <c r="V443" s="13"/>
      <c r="W443" s="13"/>
      <c r="AN443" s="7" t="s">
        <v>70</v>
      </c>
      <c r="AO443" s="21">
        <f t="shared" si="21"/>
        <v>0</v>
      </c>
      <c r="AP443" s="7">
        <f t="shared" si="22"/>
        <v>200</v>
      </c>
      <c r="AQ443" s="31" t="str">
        <f t="shared" si="20"/>
        <v>Complete - No Adjustment</v>
      </c>
    </row>
    <row r="444" spans="1:61" x14ac:dyDescent="0.2">
      <c r="A444" s="46">
        <v>434</v>
      </c>
      <c r="B444" s="13" t="s">
        <v>266</v>
      </c>
      <c r="C444" s="13" t="s">
        <v>738</v>
      </c>
      <c r="D444" s="13" t="s">
        <v>830</v>
      </c>
      <c r="E444" s="13" t="s">
        <v>1565</v>
      </c>
      <c r="F444" s="13" t="s">
        <v>177</v>
      </c>
      <c r="G444" s="13" t="s">
        <v>111</v>
      </c>
      <c r="H444" s="16">
        <v>43921</v>
      </c>
      <c r="I444" s="16">
        <v>43928</v>
      </c>
      <c r="J444" s="22">
        <v>395</v>
      </c>
      <c r="K444" s="22">
        <v>395</v>
      </c>
      <c r="L444" s="22" t="s">
        <v>1566</v>
      </c>
      <c r="M444" s="26" t="s">
        <v>98</v>
      </c>
      <c r="N444" s="13" t="s">
        <v>230</v>
      </c>
      <c r="O444" s="13" t="s">
        <v>292</v>
      </c>
      <c r="P444" s="13" t="s">
        <v>60</v>
      </c>
      <c r="Q444" s="13" t="s">
        <v>48</v>
      </c>
      <c r="R444" s="13" t="s">
        <v>270</v>
      </c>
      <c r="S444" s="13" t="s">
        <v>1567</v>
      </c>
      <c r="T444" s="13" t="s">
        <v>1568</v>
      </c>
      <c r="U444" s="13"/>
      <c r="V444" s="13"/>
      <c r="W444" s="13"/>
      <c r="AN444" s="7" t="s">
        <v>70</v>
      </c>
      <c r="AO444" s="21">
        <f t="shared" si="21"/>
        <v>0</v>
      </c>
      <c r="AP444" s="7">
        <f t="shared" si="22"/>
        <v>395</v>
      </c>
      <c r="AQ444" s="31" t="str">
        <f t="shared" si="20"/>
        <v>Complete - No Adjustment</v>
      </c>
    </row>
    <row r="445" spans="1:61" x14ac:dyDescent="0.2">
      <c r="A445" s="46">
        <v>435</v>
      </c>
      <c r="B445" s="13" t="s">
        <v>266</v>
      </c>
      <c r="C445" s="13" t="s">
        <v>494</v>
      </c>
      <c r="D445" s="13" t="s">
        <v>493</v>
      </c>
      <c r="E445" s="13" t="s">
        <v>1569</v>
      </c>
      <c r="F445" s="13" t="s">
        <v>181</v>
      </c>
      <c r="G445" s="13" t="s">
        <v>111</v>
      </c>
      <c r="H445" s="16">
        <v>43944</v>
      </c>
      <c r="I445" s="16">
        <v>43948</v>
      </c>
      <c r="J445" s="22">
        <v>64.5</v>
      </c>
      <c r="K445" s="22">
        <v>20</v>
      </c>
      <c r="L445" s="22" t="s">
        <v>1570</v>
      </c>
      <c r="M445" s="26" t="s">
        <v>98</v>
      </c>
      <c r="N445" s="13" t="s">
        <v>230</v>
      </c>
      <c r="O445" s="13" t="s">
        <v>784</v>
      </c>
      <c r="P445" s="13" t="s">
        <v>60</v>
      </c>
      <c r="Q445" s="13" t="s">
        <v>41</v>
      </c>
      <c r="R445" s="13" t="s">
        <v>270</v>
      </c>
      <c r="S445" s="13" t="s">
        <v>1571</v>
      </c>
      <c r="T445" s="13" t="s">
        <v>1572</v>
      </c>
      <c r="U445" s="13"/>
      <c r="V445" s="13"/>
      <c r="W445" s="13"/>
      <c r="AN445" s="7" t="s">
        <v>70</v>
      </c>
      <c r="AO445" s="21">
        <f t="shared" si="21"/>
        <v>0</v>
      </c>
      <c r="AP445" s="7">
        <f t="shared" si="22"/>
        <v>20</v>
      </c>
      <c r="AQ445" s="31" t="str">
        <f t="shared" si="20"/>
        <v>Complete - No Adjustment</v>
      </c>
    </row>
    <row r="446" spans="1:61" x14ac:dyDescent="0.2">
      <c r="A446" s="46">
        <v>436</v>
      </c>
      <c r="B446" s="13" t="s">
        <v>266</v>
      </c>
      <c r="C446" s="13" t="s">
        <v>494</v>
      </c>
      <c r="D446" s="13" t="s">
        <v>493</v>
      </c>
      <c r="E446" s="13" t="s">
        <v>1569</v>
      </c>
      <c r="F446" s="13" t="s">
        <v>181</v>
      </c>
      <c r="G446" s="13" t="s">
        <v>111</v>
      </c>
      <c r="H446" s="16">
        <v>43944</v>
      </c>
      <c r="I446" s="16">
        <v>43948</v>
      </c>
      <c r="J446" s="22">
        <v>64.5</v>
      </c>
      <c r="K446" s="22">
        <v>14.5</v>
      </c>
      <c r="L446" s="22" t="s">
        <v>1570</v>
      </c>
      <c r="M446" s="26" t="s">
        <v>98</v>
      </c>
      <c r="N446" s="13" t="s">
        <v>230</v>
      </c>
      <c r="O446" s="13" t="s">
        <v>784</v>
      </c>
      <c r="P446" s="13" t="s">
        <v>60</v>
      </c>
      <c r="Q446" s="13" t="s">
        <v>41</v>
      </c>
      <c r="R446" s="13" t="s">
        <v>270</v>
      </c>
      <c r="S446" s="13" t="s">
        <v>1571</v>
      </c>
      <c r="T446" s="13" t="s">
        <v>1573</v>
      </c>
      <c r="U446" s="13"/>
      <c r="V446" s="13"/>
      <c r="W446" s="13"/>
      <c r="AL446" s="14">
        <v>14.5</v>
      </c>
      <c r="AN446" s="7" t="s">
        <v>146</v>
      </c>
      <c r="AO446" s="21">
        <f t="shared" si="21"/>
        <v>14.5</v>
      </c>
      <c r="AP446" s="7">
        <f t="shared" si="22"/>
        <v>0</v>
      </c>
      <c r="AQ446" s="31" t="str">
        <f t="shared" si="20"/>
        <v>Complete - With Adjustment</v>
      </c>
    </row>
    <row r="447" spans="1:61" x14ac:dyDescent="0.2">
      <c r="A447" s="46">
        <v>437</v>
      </c>
      <c r="B447" s="13" t="s">
        <v>266</v>
      </c>
      <c r="C447" s="13" t="s">
        <v>494</v>
      </c>
      <c r="D447" s="13" t="s">
        <v>493</v>
      </c>
      <c r="E447" s="13" t="s">
        <v>1569</v>
      </c>
      <c r="F447" s="13" t="s">
        <v>181</v>
      </c>
      <c r="G447" s="13" t="s">
        <v>111</v>
      </c>
      <c r="H447" s="16">
        <v>43944</v>
      </c>
      <c r="I447" s="16">
        <v>43948</v>
      </c>
      <c r="J447" s="22">
        <v>64.5</v>
      </c>
      <c r="K447" s="22">
        <v>15</v>
      </c>
      <c r="L447" s="22" t="s">
        <v>1570</v>
      </c>
      <c r="M447" s="26" t="s">
        <v>98</v>
      </c>
      <c r="N447" s="13" t="s">
        <v>230</v>
      </c>
      <c r="O447" s="13" t="s">
        <v>784</v>
      </c>
      <c r="P447" s="13" t="s">
        <v>60</v>
      </c>
      <c r="Q447" s="13" t="s">
        <v>41</v>
      </c>
      <c r="R447" s="13" t="s">
        <v>270</v>
      </c>
      <c r="S447" s="13" t="s">
        <v>1571</v>
      </c>
      <c r="T447" s="13" t="s">
        <v>1574</v>
      </c>
      <c r="U447" s="13"/>
      <c r="V447" s="13"/>
      <c r="W447" s="13"/>
      <c r="AN447" s="7" t="s">
        <v>155</v>
      </c>
      <c r="AO447" s="21">
        <f t="shared" si="21"/>
        <v>0</v>
      </c>
      <c r="AP447" s="7">
        <f t="shared" si="22"/>
        <v>15</v>
      </c>
      <c r="AQ447" s="31" t="str">
        <f t="shared" si="20"/>
        <v>Complete - No Adjustment</v>
      </c>
    </row>
    <row r="448" spans="1:61" x14ac:dyDescent="0.2">
      <c r="A448" s="46">
        <v>438</v>
      </c>
      <c r="B448" s="13" t="s">
        <v>266</v>
      </c>
      <c r="C448" s="13" t="s">
        <v>494</v>
      </c>
      <c r="D448" s="13" t="s">
        <v>493</v>
      </c>
      <c r="E448" s="13" t="s">
        <v>1569</v>
      </c>
      <c r="F448" s="13" t="s">
        <v>181</v>
      </c>
      <c r="G448" s="13" t="s">
        <v>111</v>
      </c>
      <c r="H448" s="16">
        <v>43944</v>
      </c>
      <c r="I448" s="16">
        <v>43948</v>
      </c>
      <c r="J448" s="22">
        <v>64.5</v>
      </c>
      <c r="K448" s="22">
        <v>15</v>
      </c>
      <c r="L448" s="22" t="s">
        <v>1570</v>
      </c>
      <c r="M448" s="26" t="s">
        <v>98</v>
      </c>
      <c r="N448" s="13" t="s">
        <v>230</v>
      </c>
      <c r="O448" s="13" t="s">
        <v>784</v>
      </c>
      <c r="P448" s="13" t="s">
        <v>60</v>
      </c>
      <c r="Q448" s="13" t="s">
        <v>41</v>
      </c>
      <c r="R448" s="13" t="s">
        <v>270</v>
      </c>
      <c r="S448" s="13" t="s">
        <v>1571</v>
      </c>
      <c r="T448" s="13" t="s">
        <v>1575</v>
      </c>
      <c r="U448" s="13"/>
      <c r="V448" s="13"/>
      <c r="W448" s="13"/>
      <c r="AL448" s="14">
        <v>15</v>
      </c>
      <c r="AN448" s="7" t="s">
        <v>167</v>
      </c>
      <c r="AO448" s="21">
        <f t="shared" si="21"/>
        <v>15</v>
      </c>
      <c r="AP448" s="7">
        <f t="shared" si="22"/>
        <v>0</v>
      </c>
      <c r="AQ448" s="31" t="str">
        <f t="shared" si="20"/>
        <v>Complete - With Adjustment</v>
      </c>
    </row>
    <row r="449" spans="1:43" x14ac:dyDescent="0.2">
      <c r="A449" s="46">
        <v>439</v>
      </c>
      <c r="B449" s="13" t="s">
        <v>266</v>
      </c>
      <c r="C449" s="13" t="s">
        <v>633</v>
      </c>
      <c r="D449" s="13" t="s">
        <v>632</v>
      </c>
      <c r="E449" s="13" t="s">
        <v>1576</v>
      </c>
      <c r="F449" s="13" t="s">
        <v>173</v>
      </c>
      <c r="G449" s="13" t="s">
        <v>111</v>
      </c>
      <c r="H449" s="16">
        <v>43937</v>
      </c>
      <c r="I449" s="16">
        <v>43941</v>
      </c>
      <c r="J449" s="22">
        <v>81.180000000000007</v>
      </c>
      <c r="K449" s="22">
        <v>81.180000000000007</v>
      </c>
      <c r="L449" s="22" t="s">
        <v>1577</v>
      </c>
      <c r="M449" s="26" t="s">
        <v>98</v>
      </c>
      <c r="N449" s="13" t="s">
        <v>230</v>
      </c>
      <c r="O449" s="13" t="s">
        <v>983</v>
      </c>
      <c r="P449" s="13" t="s">
        <v>406</v>
      </c>
      <c r="Q449" s="13" t="s">
        <v>57</v>
      </c>
      <c r="R449" s="13" t="s">
        <v>270</v>
      </c>
      <c r="S449" s="13" t="s">
        <v>1578</v>
      </c>
      <c r="T449" s="13" t="s">
        <v>1579</v>
      </c>
      <c r="U449" s="13" t="s">
        <v>986</v>
      </c>
      <c r="V449" s="13" t="s">
        <v>406</v>
      </c>
      <c r="W449" s="13" t="s">
        <v>58</v>
      </c>
      <c r="AN449" s="7" t="s">
        <v>155</v>
      </c>
      <c r="AO449" s="21">
        <f t="shared" si="21"/>
        <v>0</v>
      </c>
      <c r="AP449" s="7">
        <f t="shared" si="22"/>
        <v>81.180000000000007</v>
      </c>
      <c r="AQ449" s="31" t="str">
        <f t="shared" si="20"/>
        <v>Complete - No Adjustment</v>
      </c>
    </row>
    <row r="450" spans="1:43" x14ac:dyDescent="0.2">
      <c r="A450" s="46">
        <v>440</v>
      </c>
      <c r="B450" s="13" t="s">
        <v>266</v>
      </c>
      <c r="C450" s="13" t="s">
        <v>633</v>
      </c>
      <c r="D450" s="13" t="s">
        <v>632</v>
      </c>
      <c r="E450" s="13" t="s">
        <v>1580</v>
      </c>
      <c r="F450" s="13" t="s">
        <v>168</v>
      </c>
      <c r="G450" s="13" t="s">
        <v>111</v>
      </c>
      <c r="H450" s="16">
        <v>43936</v>
      </c>
      <c r="I450" s="16">
        <v>43938</v>
      </c>
      <c r="J450" s="22">
        <v>335.55</v>
      </c>
      <c r="K450" s="22">
        <v>140.71</v>
      </c>
      <c r="L450" s="22" t="s">
        <v>1581</v>
      </c>
      <c r="M450" s="26" t="s">
        <v>98</v>
      </c>
      <c r="N450" s="13" t="s">
        <v>230</v>
      </c>
      <c r="O450" s="13" t="s">
        <v>983</v>
      </c>
      <c r="P450" s="13" t="s">
        <v>406</v>
      </c>
      <c r="Q450" s="13" t="s">
        <v>57</v>
      </c>
      <c r="R450" s="13" t="s">
        <v>270</v>
      </c>
      <c r="S450" s="13" t="s">
        <v>1582</v>
      </c>
      <c r="T450" s="13" t="s">
        <v>1583</v>
      </c>
      <c r="U450" s="13" t="s">
        <v>986</v>
      </c>
      <c r="V450" s="13" t="s">
        <v>406</v>
      </c>
      <c r="W450" s="13" t="s">
        <v>58</v>
      </c>
      <c r="AN450" s="7" t="s">
        <v>155</v>
      </c>
      <c r="AO450" s="21">
        <f t="shared" si="21"/>
        <v>0</v>
      </c>
      <c r="AP450" s="7">
        <f t="shared" si="22"/>
        <v>140.71</v>
      </c>
      <c r="AQ450" s="31" t="str">
        <f t="shared" si="20"/>
        <v>Complete - No Adjustment</v>
      </c>
    </row>
    <row r="451" spans="1:43" x14ac:dyDescent="0.2">
      <c r="A451" s="46">
        <v>441</v>
      </c>
      <c r="B451" s="13" t="s">
        <v>266</v>
      </c>
      <c r="C451" s="13" t="s">
        <v>633</v>
      </c>
      <c r="D451" s="13" t="s">
        <v>632</v>
      </c>
      <c r="E451" s="13" t="s">
        <v>1580</v>
      </c>
      <c r="F451" s="13" t="s">
        <v>168</v>
      </c>
      <c r="G451" s="13" t="s">
        <v>111</v>
      </c>
      <c r="H451" s="16">
        <v>43936</v>
      </c>
      <c r="I451" s="16">
        <v>43938</v>
      </c>
      <c r="J451" s="22">
        <v>335.55</v>
      </c>
      <c r="K451" s="22">
        <v>194.84</v>
      </c>
      <c r="L451" s="22" t="s">
        <v>1581</v>
      </c>
      <c r="M451" s="26" t="s">
        <v>98</v>
      </c>
      <c r="N451" s="13" t="s">
        <v>230</v>
      </c>
      <c r="O451" s="13" t="s">
        <v>983</v>
      </c>
      <c r="P451" s="13" t="s">
        <v>406</v>
      </c>
      <c r="Q451" s="13" t="s">
        <v>57</v>
      </c>
      <c r="R451" s="13" t="s">
        <v>270</v>
      </c>
      <c r="S451" s="13" t="s">
        <v>1582</v>
      </c>
      <c r="T451" s="13" t="s">
        <v>1584</v>
      </c>
      <c r="U451" s="13" t="s">
        <v>986</v>
      </c>
      <c r="V451" s="13" t="s">
        <v>406</v>
      </c>
      <c r="W451" s="13" t="s">
        <v>58</v>
      </c>
      <c r="AN451" s="7" t="s">
        <v>155</v>
      </c>
      <c r="AO451" s="21">
        <f t="shared" si="21"/>
        <v>0</v>
      </c>
      <c r="AP451" s="7">
        <f t="shared" si="22"/>
        <v>194.84</v>
      </c>
      <c r="AQ451" s="31" t="str">
        <f t="shared" si="20"/>
        <v>Complete - No Adjustment</v>
      </c>
    </row>
    <row r="452" spans="1:43" x14ac:dyDescent="0.2">
      <c r="A452" s="46">
        <v>442</v>
      </c>
      <c r="B452" s="13" t="s">
        <v>266</v>
      </c>
      <c r="C452" s="13" t="s">
        <v>501</v>
      </c>
      <c r="D452" s="13" t="s">
        <v>500</v>
      </c>
      <c r="E452" s="13" t="s">
        <v>1585</v>
      </c>
      <c r="F452" s="13" t="s">
        <v>183</v>
      </c>
      <c r="G452" s="13" t="s">
        <v>111</v>
      </c>
      <c r="H452" s="16">
        <v>43934</v>
      </c>
      <c r="I452" s="16">
        <v>43936</v>
      </c>
      <c r="J452" s="22">
        <v>31.06</v>
      </c>
      <c r="K452" s="22">
        <v>14.07</v>
      </c>
      <c r="L452" s="22" t="s">
        <v>1586</v>
      </c>
      <c r="M452" s="26" t="s">
        <v>98</v>
      </c>
      <c r="N452" s="13" t="s">
        <v>230</v>
      </c>
      <c r="O452" s="13" t="s">
        <v>288</v>
      </c>
      <c r="P452" s="13" t="s">
        <v>60</v>
      </c>
      <c r="Q452" s="13" t="s">
        <v>41</v>
      </c>
      <c r="R452" s="13" t="s">
        <v>270</v>
      </c>
      <c r="S452" s="13" t="s">
        <v>1587</v>
      </c>
      <c r="T452" s="13" t="s">
        <v>1588</v>
      </c>
      <c r="U452" s="13"/>
      <c r="V452" s="13"/>
      <c r="W452" s="13"/>
      <c r="AN452" s="7" t="s">
        <v>155</v>
      </c>
      <c r="AO452" s="21">
        <f t="shared" si="21"/>
        <v>0</v>
      </c>
      <c r="AP452" s="7">
        <f t="shared" si="22"/>
        <v>14.07</v>
      </c>
      <c r="AQ452" s="31" t="str">
        <f t="shared" si="20"/>
        <v>Complete - No Adjustment</v>
      </c>
    </row>
    <row r="453" spans="1:43" x14ac:dyDescent="0.2">
      <c r="A453" s="46">
        <v>443</v>
      </c>
      <c r="B453" s="13" t="s">
        <v>266</v>
      </c>
      <c r="C453" s="13" t="s">
        <v>501</v>
      </c>
      <c r="D453" s="13" t="s">
        <v>500</v>
      </c>
      <c r="E453" s="13" t="s">
        <v>1585</v>
      </c>
      <c r="F453" s="13" t="s">
        <v>183</v>
      </c>
      <c r="G453" s="13" t="s">
        <v>111</v>
      </c>
      <c r="H453" s="16">
        <v>43934</v>
      </c>
      <c r="I453" s="16">
        <v>43936</v>
      </c>
      <c r="J453" s="22">
        <v>31.06</v>
      </c>
      <c r="K453" s="22">
        <v>16.989999999999998</v>
      </c>
      <c r="L453" s="22" t="s">
        <v>1586</v>
      </c>
      <c r="M453" s="26" t="s">
        <v>98</v>
      </c>
      <c r="N453" s="13" t="s">
        <v>230</v>
      </c>
      <c r="O453" s="13" t="s">
        <v>288</v>
      </c>
      <c r="P453" s="13" t="s">
        <v>60</v>
      </c>
      <c r="Q453" s="13" t="s">
        <v>41</v>
      </c>
      <c r="R453" s="13" t="s">
        <v>270</v>
      </c>
      <c r="S453" s="13" t="s">
        <v>1587</v>
      </c>
      <c r="T453" s="13" t="s">
        <v>1588</v>
      </c>
      <c r="U453" s="13"/>
      <c r="V453" s="13"/>
      <c r="W453" s="13"/>
      <c r="AN453" s="7" t="s">
        <v>155</v>
      </c>
      <c r="AO453" s="21">
        <f t="shared" si="21"/>
        <v>0</v>
      </c>
      <c r="AP453" s="7">
        <f t="shared" si="22"/>
        <v>16.989999999999998</v>
      </c>
      <c r="AQ453" s="31" t="str">
        <f t="shared" ref="AQ453:AQ516" si="23">IF(AO453&lt;&gt;0,"Complete - With Adjustment","Complete - No Adjustment")</f>
        <v>Complete - No Adjustment</v>
      </c>
    </row>
    <row r="454" spans="1:43" x14ac:dyDescent="0.2">
      <c r="A454" s="46">
        <v>444</v>
      </c>
      <c r="B454" s="13" t="s">
        <v>266</v>
      </c>
      <c r="C454" s="13" t="s">
        <v>503</v>
      </c>
      <c r="D454" s="13" t="s">
        <v>502</v>
      </c>
      <c r="E454" s="13" t="s">
        <v>1589</v>
      </c>
      <c r="F454" s="13" t="s">
        <v>173</v>
      </c>
      <c r="G454" s="13" t="s">
        <v>111</v>
      </c>
      <c r="H454" s="16">
        <v>43927</v>
      </c>
      <c r="I454" s="16">
        <v>43941</v>
      </c>
      <c r="J454" s="22">
        <v>19.46</v>
      </c>
      <c r="K454" s="22">
        <v>19.46</v>
      </c>
      <c r="L454" s="22" t="s">
        <v>1590</v>
      </c>
      <c r="M454" s="26" t="s">
        <v>98</v>
      </c>
      <c r="N454" s="13" t="s">
        <v>230</v>
      </c>
      <c r="O454" s="13" t="s">
        <v>277</v>
      </c>
      <c r="P454" s="13" t="s">
        <v>60</v>
      </c>
      <c r="Q454" s="13" t="s">
        <v>62</v>
      </c>
      <c r="R454" s="13" t="s">
        <v>270</v>
      </c>
      <c r="S454" s="13" t="s">
        <v>1591</v>
      </c>
      <c r="T454" s="13" t="s">
        <v>1592</v>
      </c>
      <c r="U454" s="13"/>
      <c r="V454" s="13"/>
      <c r="W454" s="13"/>
      <c r="AN454" s="7" t="s">
        <v>70</v>
      </c>
      <c r="AO454" s="21">
        <f t="shared" si="21"/>
        <v>0</v>
      </c>
      <c r="AP454" s="7">
        <f t="shared" si="22"/>
        <v>19.46</v>
      </c>
      <c r="AQ454" s="31" t="str">
        <f t="shared" si="23"/>
        <v>Complete - No Adjustment</v>
      </c>
    </row>
    <row r="455" spans="1:43" x14ac:dyDescent="0.2">
      <c r="A455" s="46">
        <v>445</v>
      </c>
      <c r="B455" s="13" t="s">
        <v>266</v>
      </c>
      <c r="C455" s="13" t="s">
        <v>503</v>
      </c>
      <c r="D455" s="13" t="s">
        <v>502</v>
      </c>
      <c r="E455" s="13" t="s">
        <v>1593</v>
      </c>
      <c r="F455" s="13" t="s">
        <v>182</v>
      </c>
      <c r="G455" s="13" t="s">
        <v>111</v>
      </c>
      <c r="H455" s="16">
        <v>43937</v>
      </c>
      <c r="I455" s="16">
        <v>43943</v>
      </c>
      <c r="J455" s="22">
        <v>100</v>
      </c>
      <c r="K455" s="22">
        <v>100</v>
      </c>
      <c r="L455" s="22" t="s">
        <v>1594</v>
      </c>
      <c r="M455" s="26" t="s">
        <v>97</v>
      </c>
      <c r="N455" s="13" t="s">
        <v>230</v>
      </c>
      <c r="O455" s="13" t="s">
        <v>277</v>
      </c>
      <c r="P455" s="13" t="s">
        <v>42</v>
      </c>
      <c r="Q455" s="13" t="s">
        <v>55</v>
      </c>
      <c r="R455" s="13" t="s">
        <v>270</v>
      </c>
      <c r="S455" s="13" t="s">
        <v>1595</v>
      </c>
      <c r="T455" s="13" t="s">
        <v>1596</v>
      </c>
      <c r="U455" s="13"/>
      <c r="V455" s="13"/>
      <c r="W455" s="13"/>
      <c r="AI455" s="53">
        <v>100</v>
      </c>
      <c r="AN455" s="7" t="s">
        <v>145</v>
      </c>
      <c r="AO455" s="21">
        <f t="shared" si="21"/>
        <v>100</v>
      </c>
      <c r="AP455" s="7">
        <f t="shared" si="22"/>
        <v>0</v>
      </c>
      <c r="AQ455" s="31" t="str">
        <f t="shared" si="23"/>
        <v>Complete - With Adjustment</v>
      </c>
    </row>
    <row r="456" spans="1:43" x14ac:dyDescent="0.2">
      <c r="A456" s="46">
        <v>446</v>
      </c>
      <c r="B456" s="13" t="s">
        <v>266</v>
      </c>
      <c r="C456" s="13" t="s">
        <v>504</v>
      </c>
      <c r="D456" s="13" t="s">
        <v>805</v>
      </c>
      <c r="E456" s="13" t="s">
        <v>1597</v>
      </c>
      <c r="F456" s="13" t="s">
        <v>175</v>
      </c>
      <c r="G456" s="13" t="s">
        <v>111</v>
      </c>
      <c r="H456" s="16">
        <v>43925</v>
      </c>
      <c r="I456" s="16">
        <v>43929</v>
      </c>
      <c r="J456" s="22">
        <v>72.31</v>
      </c>
      <c r="K456" s="22">
        <v>37.869999999999997</v>
      </c>
      <c r="L456" s="22" t="s">
        <v>1598</v>
      </c>
      <c r="M456" s="26" t="s">
        <v>98</v>
      </c>
      <c r="N456" s="13" t="s">
        <v>230</v>
      </c>
      <c r="O456" s="13" t="s">
        <v>507</v>
      </c>
      <c r="P456" s="13" t="s">
        <v>60</v>
      </c>
      <c r="Q456" s="13" t="s">
        <v>62</v>
      </c>
      <c r="R456" s="13" t="s">
        <v>270</v>
      </c>
      <c r="S456" s="13" t="s">
        <v>1599</v>
      </c>
      <c r="T456" s="13" t="s">
        <v>1600</v>
      </c>
      <c r="U456" s="13"/>
      <c r="V456" s="13"/>
      <c r="W456" s="13"/>
      <c r="AN456" s="7" t="s">
        <v>70</v>
      </c>
      <c r="AO456" s="21">
        <f t="shared" si="21"/>
        <v>0</v>
      </c>
      <c r="AP456" s="7">
        <f t="shared" si="22"/>
        <v>37.869999999999997</v>
      </c>
      <c r="AQ456" s="31" t="str">
        <f t="shared" si="23"/>
        <v>Complete - No Adjustment</v>
      </c>
    </row>
    <row r="457" spans="1:43" x14ac:dyDescent="0.2">
      <c r="A457" s="46">
        <v>447</v>
      </c>
      <c r="B457" s="13" t="s">
        <v>266</v>
      </c>
      <c r="C457" s="13" t="s">
        <v>504</v>
      </c>
      <c r="D457" s="13" t="s">
        <v>805</v>
      </c>
      <c r="E457" s="13" t="s">
        <v>1597</v>
      </c>
      <c r="F457" s="13" t="s">
        <v>175</v>
      </c>
      <c r="G457" s="13" t="s">
        <v>111</v>
      </c>
      <c r="H457" s="16">
        <v>43925</v>
      </c>
      <c r="I457" s="16">
        <v>43929</v>
      </c>
      <c r="J457" s="22">
        <v>72.31</v>
      </c>
      <c r="K457" s="22">
        <v>34.44</v>
      </c>
      <c r="L457" s="22" t="s">
        <v>1598</v>
      </c>
      <c r="M457" s="26" t="s">
        <v>98</v>
      </c>
      <c r="N457" s="13" t="s">
        <v>230</v>
      </c>
      <c r="O457" s="13" t="s">
        <v>507</v>
      </c>
      <c r="P457" s="13" t="s">
        <v>60</v>
      </c>
      <c r="Q457" s="13" t="s">
        <v>46</v>
      </c>
      <c r="R457" s="13" t="s">
        <v>270</v>
      </c>
      <c r="S457" s="13" t="s">
        <v>1599</v>
      </c>
      <c r="T457" s="13" t="s">
        <v>1601</v>
      </c>
      <c r="U457" s="13"/>
      <c r="V457" s="13"/>
      <c r="W457" s="13"/>
      <c r="AI457" s="53">
        <v>34.44</v>
      </c>
      <c r="AN457" s="7" t="s">
        <v>145</v>
      </c>
      <c r="AO457" s="21">
        <f t="shared" si="21"/>
        <v>34.44</v>
      </c>
      <c r="AP457" s="7">
        <f t="shared" si="22"/>
        <v>0</v>
      </c>
      <c r="AQ457" s="31" t="str">
        <f t="shared" si="23"/>
        <v>Complete - With Adjustment</v>
      </c>
    </row>
    <row r="458" spans="1:43" x14ac:dyDescent="0.2">
      <c r="A458" s="46">
        <v>448</v>
      </c>
      <c r="B458" s="13" t="s">
        <v>266</v>
      </c>
      <c r="C458" s="13" t="s">
        <v>504</v>
      </c>
      <c r="D458" s="13" t="s">
        <v>805</v>
      </c>
      <c r="E458" s="13" t="s">
        <v>1602</v>
      </c>
      <c r="F458" s="13" t="s">
        <v>173</v>
      </c>
      <c r="G458" s="13" t="s">
        <v>111</v>
      </c>
      <c r="H458" s="16">
        <v>43937</v>
      </c>
      <c r="I458" s="16">
        <v>43941</v>
      </c>
      <c r="J458" s="22">
        <v>82.31</v>
      </c>
      <c r="K458" s="22">
        <v>72.31</v>
      </c>
      <c r="L458" s="22" t="s">
        <v>1603</v>
      </c>
      <c r="M458" s="26" t="s">
        <v>98</v>
      </c>
      <c r="N458" s="13" t="s">
        <v>230</v>
      </c>
      <c r="O458" s="13" t="s">
        <v>983</v>
      </c>
      <c r="P458" s="13" t="s">
        <v>406</v>
      </c>
      <c r="Q458" s="13" t="s">
        <v>57</v>
      </c>
      <c r="R458" s="13" t="s">
        <v>270</v>
      </c>
      <c r="S458" s="13" t="s">
        <v>1604</v>
      </c>
      <c r="T458" s="13" t="s">
        <v>1605</v>
      </c>
      <c r="U458" s="13" t="s">
        <v>986</v>
      </c>
      <c r="V458" s="13" t="s">
        <v>406</v>
      </c>
      <c r="W458" s="13" t="s">
        <v>58</v>
      </c>
      <c r="AI458" s="53">
        <v>72.31</v>
      </c>
      <c r="AN458" s="7" t="s">
        <v>1606</v>
      </c>
      <c r="AO458" s="21">
        <f t="shared" si="21"/>
        <v>72.31</v>
      </c>
      <c r="AP458" s="7">
        <f t="shared" si="22"/>
        <v>0</v>
      </c>
      <c r="AQ458" s="31" t="str">
        <f t="shared" si="23"/>
        <v>Complete - With Adjustment</v>
      </c>
    </row>
    <row r="459" spans="1:43" x14ac:dyDescent="0.2">
      <c r="A459" s="46">
        <v>449</v>
      </c>
      <c r="B459" s="13" t="s">
        <v>266</v>
      </c>
      <c r="C459" s="13" t="s">
        <v>504</v>
      </c>
      <c r="D459" s="13" t="s">
        <v>805</v>
      </c>
      <c r="E459" s="13" t="s">
        <v>1602</v>
      </c>
      <c r="F459" s="13" t="s">
        <v>173</v>
      </c>
      <c r="G459" s="13" t="s">
        <v>111</v>
      </c>
      <c r="H459" s="16">
        <v>43937</v>
      </c>
      <c r="I459" s="16">
        <v>43941</v>
      </c>
      <c r="J459" s="22">
        <v>82.31</v>
      </c>
      <c r="K459" s="22">
        <v>10</v>
      </c>
      <c r="L459" s="22" t="s">
        <v>1603</v>
      </c>
      <c r="M459" s="26" t="s">
        <v>98</v>
      </c>
      <c r="N459" s="13" t="s">
        <v>230</v>
      </c>
      <c r="O459" s="13" t="s">
        <v>983</v>
      </c>
      <c r="P459" s="13" t="s">
        <v>406</v>
      </c>
      <c r="Q459" s="13" t="s">
        <v>57</v>
      </c>
      <c r="R459" s="13" t="s">
        <v>270</v>
      </c>
      <c r="S459" s="13" t="s">
        <v>1604</v>
      </c>
      <c r="T459" s="13" t="s">
        <v>1607</v>
      </c>
      <c r="U459" s="13" t="s">
        <v>986</v>
      </c>
      <c r="V459" s="13" t="s">
        <v>406</v>
      </c>
      <c r="W459" s="13" t="s">
        <v>58</v>
      </c>
      <c r="AL459" s="14">
        <v>10</v>
      </c>
      <c r="AN459" s="7" t="s">
        <v>146</v>
      </c>
      <c r="AO459" s="21">
        <f t="shared" si="21"/>
        <v>10</v>
      </c>
      <c r="AP459" s="7">
        <f t="shared" si="22"/>
        <v>0</v>
      </c>
      <c r="AQ459" s="31" t="str">
        <f t="shared" si="23"/>
        <v>Complete - With Adjustment</v>
      </c>
    </row>
    <row r="460" spans="1:43" x14ac:dyDescent="0.2">
      <c r="A460" s="46">
        <v>450</v>
      </c>
      <c r="B460" s="13" t="s">
        <v>266</v>
      </c>
      <c r="C460" s="13" t="s">
        <v>579</v>
      </c>
      <c r="D460" s="13" t="s">
        <v>578</v>
      </c>
      <c r="E460" s="13" t="s">
        <v>1608</v>
      </c>
      <c r="F460" s="13" t="s">
        <v>180</v>
      </c>
      <c r="G460" s="13" t="s">
        <v>111</v>
      </c>
      <c r="H460" s="16">
        <v>43921</v>
      </c>
      <c r="I460" s="16">
        <v>43927</v>
      </c>
      <c r="J460" s="22">
        <v>20.29</v>
      </c>
      <c r="K460" s="22">
        <v>10.15</v>
      </c>
      <c r="L460" s="22" t="s">
        <v>1609</v>
      </c>
      <c r="M460" s="26" t="s">
        <v>98</v>
      </c>
      <c r="N460" s="13" t="s">
        <v>230</v>
      </c>
      <c r="O460" s="13" t="s">
        <v>297</v>
      </c>
      <c r="P460" s="13" t="s">
        <v>60</v>
      </c>
      <c r="Q460" s="13" t="s">
        <v>41</v>
      </c>
      <c r="R460" s="13" t="s">
        <v>270</v>
      </c>
      <c r="S460" s="13" t="s">
        <v>1610</v>
      </c>
      <c r="T460" s="13" t="s">
        <v>1611</v>
      </c>
      <c r="U460" s="13"/>
      <c r="V460" s="13"/>
      <c r="W460" s="13"/>
      <c r="AC460" s="53">
        <f>(10.15/20.2)*(20.2-14.29*1.2)</f>
        <v>1.5335544554455443</v>
      </c>
      <c r="AN460" s="7" t="s">
        <v>1132</v>
      </c>
      <c r="AO460" s="21">
        <f t="shared" si="21"/>
        <v>1.5335544554455443</v>
      </c>
      <c r="AP460" s="7">
        <f t="shared" si="22"/>
        <v>8.6164455445544554</v>
      </c>
      <c r="AQ460" s="31" t="str">
        <f t="shared" si="23"/>
        <v>Complete - With Adjustment</v>
      </c>
    </row>
    <row r="461" spans="1:43" x14ac:dyDescent="0.2">
      <c r="A461" s="46">
        <v>451</v>
      </c>
      <c r="B461" s="13" t="s">
        <v>266</v>
      </c>
      <c r="C461" s="13" t="s">
        <v>579</v>
      </c>
      <c r="D461" s="13" t="s">
        <v>578</v>
      </c>
      <c r="E461" s="13" t="s">
        <v>1608</v>
      </c>
      <c r="F461" s="13" t="s">
        <v>180</v>
      </c>
      <c r="G461" s="13" t="s">
        <v>111</v>
      </c>
      <c r="H461" s="16">
        <v>43921</v>
      </c>
      <c r="I461" s="16">
        <v>43927</v>
      </c>
      <c r="J461" s="22">
        <v>20.29</v>
      </c>
      <c r="K461" s="22">
        <v>10.14</v>
      </c>
      <c r="L461" s="22" t="s">
        <v>1609</v>
      </c>
      <c r="M461" s="26" t="s">
        <v>98</v>
      </c>
      <c r="N461" s="13" t="s">
        <v>230</v>
      </c>
      <c r="O461" s="13" t="s">
        <v>294</v>
      </c>
      <c r="P461" s="13" t="s">
        <v>60</v>
      </c>
      <c r="Q461" s="13" t="s">
        <v>41</v>
      </c>
      <c r="R461" s="13" t="s">
        <v>270</v>
      </c>
      <c r="S461" s="13" t="s">
        <v>1610</v>
      </c>
      <c r="T461" s="13" t="s">
        <v>1611</v>
      </c>
      <c r="U461" s="13"/>
      <c r="V461" s="13"/>
      <c r="W461" s="13"/>
      <c r="AC461" s="53">
        <f>(10.14/20.2)*(20.2-14.29*1.2)</f>
        <v>1.5320435643564354</v>
      </c>
      <c r="AN461" s="7" t="s">
        <v>1132</v>
      </c>
      <c r="AO461" s="21">
        <f t="shared" si="21"/>
        <v>1.5320435643564354</v>
      </c>
      <c r="AP461" s="7">
        <f t="shared" si="22"/>
        <v>8.6079564356435654</v>
      </c>
      <c r="AQ461" s="31" t="str">
        <f t="shared" si="23"/>
        <v>Complete - With Adjustment</v>
      </c>
    </row>
    <row r="462" spans="1:43" x14ac:dyDescent="0.2">
      <c r="A462" s="46">
        <v>452</v>
      </c>
      <c r="B462" s="13" t="s">
        <v>266</v>
      </c>
      <c r="C462" s="13" t="s">
        <v>511</v>
      </c>
      <c r="D462" s="13" t="s">
        <v>510</v>
      </c>
      <c r="E462" s="13" t="s">
        <v>1612</v>
      </c>
      <c r="F462" s="13" t="s">
        <v>178</v>
      </c>
      <c r="G462" s="13" t="s">
        <v>111</v>
      </c>
      <c r="H462" s="16">
        <v>43949</v>
      </c>
      <c r="I462" s="16">
        <v>43951</v>
      </c>
      <c r="J462" s="22">
        <v>25</v>
      </c>
      <c r="K462" s="22">
        <v>25</v>
      </c>
      <c r="L462" s="22" t="s">
        <v>1613</v>
      </c>
      <c r="M462" s="26" t="s">
        <v>98</v>
      </c>
      <c r="N462" s="13" t="s">
        <v>230</v>
      </c>
      <c r="O462" s="13" t="s">
        <v>320</v>
      </c>
      <c r="P462" s="13" t="s">
        <v>60</v>
      </c>
      <c r="Q462" s="13" t="s">
        <v>46</v>
      </c>
      <c r="R462" s="13" t="s">
        <v>270</v>
      </c>
      <c r="S462" s="13" t="s">
        <v>1614</v>
      </c>
      <c r="T462" s="13" t="s">
        <v>1615</v>
      </c>
      <c r="U462" s="13"/>
      <c r="V462" s="13"/>
      <c r="W462" s="13"/>
      <c r="AN462" s="7" t="s">
        <v>155</v>
      </c>
      <c r="AO462" s="21">
        <f t="shared" si="21"/>
        <v>0</v>
      </c>
      <c r="AP462" s="7">
        <f t="shared" si="22"/>
        <v>25</v>
      </c>
      <c r="AQ462" s="31" t="str">
        <f t="shared" si="23"/>
        <v>Complete - No Adjustment</v>
      </c>
    </row>
    <row r="463" spans="1:43" x14ac:dyDescent="0.2">
      <c r="A463" s="46">
        <v>453</v>
      </c>
      <c r="B463" s="13" t="s">
        <v>266</v>
      </c>
      <c r="C463" s="13" t="s">
        <v>581</v>
      </c>
      <c r="D463" s="13" t="s">
        <v>580</v>
      </c>
      <c r="E463" s="13" t="s">
        <v>1616</v>
      </c>
      <c r="F463" s="13" t="s">
        <v>180</v>
      </c>
      <c r="G463" s="13" t="s">
        <v>111</v>
      </c>
      <c r="H463" s="16">
        <v>43922</v>
      </c>
      <c r="I463" s="16">
        <v>43927</v>
      </c>
      <c r="J463" s="22">
        <v>106.98</v>
      </c>
      <c r="K463" s="22">
        <v>12</v>
      </c>
      <c r="L463" s="22" t="s">
        <v>1617</v>
      </c>
      <c r="M463" s="26" t="s">
        <v>98</v>
      </c>
      <c r="N463" s="13" t="s">
        <v>230</v>
      </c>
      <c r="O463" s="13" t="s">
        <v>706</v>
      </c>
      <c r="P463" s="13" t="s">
        <v>60</v>
      </c>
      <c r="Q463" s="13" t="s">
        <v>46</v>
      </c>
      <c r="R463" s="13" t="s">
        <v>270</v>
      </c>
      <c r="S463" s="13" t="s">
        <v>1618</v>
      </c>
      <c r="T463" s="13" t="s">
        <v>1214</v>
      </c>
      <c r="U463" s="13"/>
      <c r="V463" s="13"/>
      <c r="W463" s="13"/>
      <c r="AN463" s="7" t="s">
        <v>155</v>
      </c>
      <c r="AO463" s="21">
        <f t="shared" si="21"/>
        <v>0</v>
      </c>
      <c r="AP463" s="7">
        <f t="shared" si="22"/>
        <v>12</v>
      </c>
      <c r="AQ463" s="31" t="str">
        <f t="shared" si="23"/>
        <v>Complete - No Adjustment</v>
      </c>
    </row>
    <row r="464" spans="1:43" x14ac:dyDescent="0.2">
      <c r="A464" s="46">
        <v>454</v>
      </c>
      <c r="B464" s="13" t="s">
        <v>266</v>
      </c>
      <c r="C464" s="13" t="s">
        <v>581</v>
      </c>
      <c r="D464" s="13" t="s">
        <v>580</v>
      </c>
      <c r="E464" s="13" t="s">
        <v>1616</v>
      </c>
      <c r="F464" s="13" t="s">
        <v>180</v>
      </c>
      <c r="G464" s="13" t="s">
        <v>111</v>
      </c>
      <c r="H464" s="16">
        <v>43922</v>
      </c>
      <c r="I464" s="16">
        <v>43927</v>
      </c>
      <c r="J464" s="22">
        <v>106.98</v>
      </c>
      <c r="K464" s="22">
        <v>73.58</v>
      </c>
      <c r="L464" s="22" t="s">
        <v>1617</v>
      </c>
      <c r="M464" s="26" t="s">
        <v>98</v>
      </c>
      <c r="N464" s="13" t="s">
        <v>230</v>
      </c>
      <c r="O464" s="13" t="s">
        <v>706</v>
      </c>
      <c r="P464" s="13" t="s">
        <v>60</v>
      </c>
      <c r="Q464" s="13" t="s">
        <v>44</v>
      </c>
      <c r="R464" s="13" t="s">
        <v>270</v>
      </c>
      <c r="S464" s="13" t="s">
        <v>1618</v>
      </c>
      <c r="T464" s="13" t="s">
        <v>1619</v>
      </c>
      <c r="U464" s="13"/>
      <c r="V464" s="13"/>
      <c r="W464" s="13"/>
      <c r="AN464" s="7" t="s">
        <v>70</v>
      </c>
      <c r="AO464" s="21">
        <f t="shared" si="21"/>
        <v>0</v>
      </c>
      <c r="AP464" s="7">
        <f t="shared" si="22"/>
        <v>73.58</v>
      </c>
      <c r="AQ464" s="31" t="str">
        <f t="shared" si="23"/>
        <v>Complete - No Adjustment</v>
      </c>
    </row>
    <row r="465" spans="1:61" x14ac:dyDescent="0.2">
      <c r="A465" s="46">
        <v>455</v>
      </c>
      <c r="B465" s="13" t="s">
        <v>266</v>
      </c>
      <c r="C465" s="13" t="s">
        <v>883</v>
      </c>
      <c r="D465" s="13" t="s">
        <v>884</v>
      </c>
      <c r="E465" s="13" t="s">
        <v>1635</v>
      </c>
      <c r="F465" s="13" t="s">
        <v>186</v>
      </c>
      <c r="G465" s="13" t="s">
        <v>111</v>
      </c>
      <c r="H465" s="16">
        <v>43949</v>
      </c>
      <c r="I465" s="16">
        <v>43955</v>
      </c>
      <c r="J465" s="22">
        <v>12.95</v>
      </c>
      <c r="K465" s="22">
        <v>12.95</v>
      </c>
      <c r="L465" s="22" t="s">
        <v>1636</v>
      </c>
      <c r="M465" s="26" t="s">
        <v>98</v>
      </c>
      <c r="N465" s="13" t="s">
        <v>230</v>
      </c>
      <c r="O465" s="13" t="s">
        <v>451</v>
      </c>
      <c r="P465" s="13" t="s">
        <v>60</v>
      </c>
      <c r="Q465" s="13" t="s">
        <v>41</v>
      </c>
      <c r="R465" s="13" t="s">
        <v>270</v>
      </c>
      <c r="S465" s="13" t="s">
        <v>1637</v>
      </c>
      <c r="T465" s="13" t="s">
        <v>1638</v>
      </c>
      <c r="U465" s="13"/>
      <c r="V465" s="13"/>
      <c r="W465" s="13"/>
      <c r="X465" s="14"/>
      <c r="AN465" s="7" t="s">
        <v>155</v>
      </c>
      <c r="AO465" s="21">
        <f t="shared" si="21"/>
        <v>0</v>
      </c>
      <c r="AP465" s="7">
        <f t="shared" si="22"/>
        <v>12.95</v>
      </c>
      <c r="AQ465" s="31" t="str">
        <f t="shared" si="23"/>
        <v>Complete - No Adjustment</v>
      </c>
      <c r="AS465" s="37"/>
      <c r="AT465" s="37"/>
      <c r="AU465" s="37"/>
      <c r="AV465" s="37"/>
      <c r="AW465" s="37"/>
      <c r="AX465" s="37"/>
      <c r="AY465" s="37"/>
      <c r="AZ465" s="37"/>
      <c r="BA465" s="37"/>
      <c r="BB465" s="37"/>
      <c r="BC465" s="37"/>
      <c r="BD465" s="37"/>
      <c r="BE465" s="37"/>
      <c r="BF465" s="37"/>
      <c r="BG465" s="37"/>
      <c r="BH465" s="37"/>
      <c r="BI465" s="37"/>
    </row>
    <row r="466" spans="1:61" x14ac:dyDescent="0.2">
      <c r="A466" s="46">
        <v>456</v>
      </c>
      <c r="B466" s="13" t="s">
        <v>266</v>
      </c>
      <c r="C466" s="13" t="s">
        <v>833</v>
      </c>
      <c r="D466" s="13" t="s">
        <v>834</v>
      </c>
      <c r="E466" s="13" t="s">
        <v>1639</v>
      </c>
      <c r="F466" s="13" t="s">
        <v>193</v>
      </c>
      <c r="G466" s="13" t="s">
        <v>111</v>
      </c>
      <c r="H466" s="16">
        <v>43970</v>
      </c>
      <c r="I466" s="16">
        <v>43972</v>
      </c>
      <c r="J466" s="22">
        <v>13.61</v>
      </c>
      <c r="K466" s="22">
        <v>13.61</v>
      </c>
      <c r="L466" s="22" t="s">
        <v>1640</v>
      </c>
      <c r="M466" s="26" t="s">
        <v>98</v>
      </c>
      <c r="N466" s="13" t="s">
        <v>230</v>
      </c>
      <c r="O466" s="13" t="s">
        <v>323</v>
      </c>
      <c r="P466" s="13" t="s">
        <v>60</v>
      </c>
      <c r="Q466" s="13" t="s">
        <v>41</v>
      </c>
      <c r="R466" s="13" t="s">
        <v>270</v>
      </c>
      <c r="S466" s="13" t="s">
        <v>1641</v>
      </c>
      <c r="T466" s="13" t="s">
        <v>1642</v>
      </c>
      <c r="U466" s="13"/>
      <c r="V466" s="13"/>
      <c r="W466" s="13"/>
      <c r="X466" s="14"/>
      <c r="AN466" s="7" t="s">
        <v>70</v>
      </c>
      <c r="AO466" s="21">
        <f t="shared" si="21"/>
        <v>0</v>
      </c>
      <c r="AP466" s="7">
        <f t="shared" si="22"/>
        <v>13.61</v>
      </c>
      <c r="AQ466" s="31" t="str">
        <f t="shared" si="23"/>
        <v>Complete - No Adjustment</v>
      </c>
      <c r="AS466" s="37"/>
      <c r="AT466" s="37"/>
      <c r="AU466" s="37"/>
      <c r="AV466" s="37"/>
      <c r="AW466" s="37"/>
      <c r="AX466" s="37"/>
      <c r="AY466" s="37"/>
      <c r="AZ466" s="37"/>
      <c r="BA466" s="37"/>
      <c r="BB466" s="37"/>
      <c r="BC466" s="37"/>
      <c r="BD466" s="37"/>
      <c r="BE466" s="37"/>
      <c r="BF466" s="37"/>
      <c r="BG466" s="37"/>
      <c r="BH466" s="37"/>
      <c r="BI466" s="37"/>
    </row>
    <row r="467" spans="1:61" x14ac:dyDescent="0.2">
      <c r="A467" s="46">
        <v>457</v>
      </c>
      <c r="B467" s="13" t="s">
        <v>266</v>
      </c>
      <c r="C467" s="13" t="s">
        <v>796</v>
      </c>
      <c r="D467" s="13" t="s">
        <v>819</v>
      </c>
      <c r="E467" s="13" t="s">
        <v>1643</v>
      </c>
      <c r="F467" s="13" t="s">
        <v>194</v>
      </c>
      <c r="G467" s="13" t="s">
        <v>111</v>
      </c>
      <c r="H467" s="16">
        <v>43949</v>
      </c>
      <c r="I467" s="16">
        <v>43964</v>
      </c>
      <c r="J467" s="22">
        <v>15</v>
      </c>
      <c r="K467" s="22">
        <v>7.5</v>
      </c>
      <c r="L467" s="22" t="s">
        <v>1644</v>
      </c>
      <c r="M467" s="26" t="s">
        <v>98</v>
      </c>
      <c r="N467" s="13" t="s">
        <v>230</v>
      </c>
      <c r="O467" s="13" t="s">
        <v>791</v>
      </c>
      <c r="P467" s="13" t="s">
        <v>60</v>
      </c>
      <c r="Q467" s="13" t="s">
        <v>41</v>
      </c>
      <c r="R467" s="13" t="s">
        <v>270</v>
      </c>
      <c r="S467" s="13" t="s">
        <v>1645</v>
      </c>
      <c r="T467" s="13" t="s">
        <v>1646</v>
      </c>
      <c r="U467" s="13"/>
      <c r="V467" s="13"/>
      <c r="W467" s="13"/>
      <c r="X467" s="14"/>
      <c r="AN467" s="7" t="s">
        <v>155</v>
      </c>
      <c r="AO467" s="21">
        <f t="shared" si="21"/>
        <v>0</v>
      </c>
      <c r="AP467" s="7">
        <f t="shared" si="22"/>
        <v>7.5</v>
      </c>
      <c r="AQ467" s="31" t="str">
        <f t="shared" si="23"/>
        <v>Complete - No Adjustment</v>
      </c>
      <c r="AS467" s="37"/>
      <c r="AT467" s="37"/>
      <c r="AU467" s="37"/>
      <c r="AV467" s="37"/>
      <c r="AW467" s="37"/>
      <c r="AX467" s="37"/>
      <c r="AY467" s="37"/>
      <c r="AZ467" s="37"/>
      <c r="BA467" s="37"/>
      <c r="BB467" s="37"/>
      <c r="BC467" s="37"/>
      <c r="BD467" s="37"/>
      <c r="BE467" s="37"/>
      <c r="BF467" s="37"/>
      <c r="BG467" s="37"/>
      <c r="BH467" s="37"/>
      <c r="BI467" s="37"/>
    </row>
    <row r="468" spans="1:61" x14ac:dyDescent="0.2">
      <c r="A468" s="46">
        <v>458</v>
      </c>
      <c r="B468" s="13" t="s">
        <v>266</v>
      </c>
      <c r="C468" s="13" t="s">
        <v>286</v>
      </c>
      <c r="D468" s="13" t="s">
        <v>285</v>
      </c>
      <c r="E468" s="13" t="s">
        <v>1647</v>
      </c>
      <c r="F468" s="13" t="s">
        <v>191</v>
      </c>
      <c r="G468" s="13" t="s">
        <v>111</v>
      </c>
      <c r="H468" s="16">
        <v>43962</v>
      </c>
      <c r="I468" s="16">
        <v>43965</v>
      </c>
      <c r="J468" s="22">
        <v>188.1</v>
      </c>
      <c r="K468" s="22">
        <v>188.1</v>
      </c>
      <c r="L468" s="22" t="s">
        <v>1648</v>
      </c>
      <c r="M468" s="26" t="s">
        <v>98</v>
      </c>
      <c r="N468" s="13" t="s">
        <v>230</v>
      </c>
      <c r="O468" s="13" t="s">
        <v>287</v>
      </c>
      <c r="P468" s="13" t="s">
        <v>60</v>
      </c>
      <c r="Q468" s="13" t="s">
        <v>62</v>
      </c>
      <c r="R468" s="13" t="s">
        <v>270</v>
      </c>
      <c r="S468" s="13" t="s">
        <v>1649</v>
      </c>
      <c r="T468" s="13" t="s">
        <v>1650</v>
      </c>
      <c r="U468" s="13"/>
      <c r="V468" s="13"/>
      <c r="W468" s="13"/>
      <c r="X468" s="14"/>
      <c r="AN468" s="7" t="s">
        <v>70</v>
      </c>
      <c r="AO468" s="21">
        <f t="shared" si="21"/>
        <v>0</v>
      </c>
      <c r="AP468" s="7">
        <f t="shared" si="22"/>
        <v>188.1</v>
      </c>
      <c r="AQ468" s="31" t="str">
        <f t="shared" si="23"/>
        <v>Complete - No Adjustment</v>
      </c>
      <c r="AS468" s="37"/>
      <c r="AT468" s="37"/>
      <c r="AU468" s="37"/>
      <c r="AV468" s="37"/>
      <c r="AW468" s="37"/>
      <c r="AX468" s="37"/>
      <c r="AY468" s="37"/>
      <c r="AZ468" s="37"/>
      <c r="BA468" s="37"/>
      <c r="BB468" s="37"/>
      <c r="BC468" s="37"/>
      <c r="BD468" s="37"/>
      <c r="BE468" s="37"/>
      <c r="BF468" s="37"/>
      <c r="BG468" s="37"/>
      <c r="BH468" s="37"/>
      <c r="BI468" s="37"/>
    </row>
    <row r="469" spans="1:61" x14ac:dyDescent="0.2">
      <c r="A469" s="46">
        <v>459</v>
      </c>
      <c r="B469" s="13" t="s">
        <v>266</v>
      </c>
      <c r="C469" s="13" t="s">
        <v>83</v>
      </c>
      <c r="D469" s="13" t="s">
        <v>102</v>
      </c>
      <c r="E469" s="13" t="s">
        <v>1651</v>
      </c>
      <c r="F469" s="13" t="s">
        <v>189</v>
      </c>
      <c r="G469" s="13" t="s">
        <v>111</v>
      </c>
      <c r="H469" s="16">
        <v>43957</v>
      </c>
      <c r="I469" s="16">
        <v>43962</v>
      </c>
      <c r="J469" s="22">
        <v>125</v>
      </c>
      <c r="K469" s="22">
        <v>125</v>
      </c>
      <c r="L469" s="22" t="s">
        <v>1652</v>
      </c>
      <c r="M469" s="26" t="s">
        <v>98</v>
      </c>
      <c r="N469" s="13" t="s">
        <v>230</v>
      </c>
      <c r="O469" s="13" t="s">
        <v>103</v>
      </c>
      <c r="P469" s="13" t="s">
        <v>60</v>
      </c>
      <c r="Q469" s="13" t="s">
        <v>46</v>
      </c>
      <c r="R469" s="13" t="s">
        <v>270</v>
      </c>
      <c r="S469" s="13" t="s">
        <v>1653</v>
      </c>
      <c r="T469" s="13" t="s">
        <v>1654</v>
      </c>
      <c r="U469" s="13"/>
      <c r="V469" s="13"/>
      <c r="W469" s="13"/>
      <c r="X469" s="14"/>
      <c r="AL469" s="14">
        <v>125</v>
      </c>
      <c r="AN469" s="7" t="s">
        <v>146</v>
      </c>
      <c r="AO469" s="21">
        <f t="shared" si="21"/>
        <v>125</v>
      </c>
      <c r="AP469" s="7">
        <f t="shared" si="22"/>
        <v>0</v>
      </c>
      <c r="AQ469" s="31" t="str">
        <f t="shared" si="23"/>
        <v>Complete - With Adjustment</v>
      </c>
      <c r="AS469" s="37"/>
      <c r="AT469" s="37"/>
      <c r="AU469" s="37"/>
      <c r="AV469" s="37"/>
      <c r="AW469" s="37"/>
      <c r="AX469" s="37"/>
      <c r="AY469" s="37"/>
      <c r="AZ469" s="37"/>
      <c r="BA469" s="37"/>
      <c r="BB469" s="37"/>
      <c r="BC469" s="37"/>
      <c r="BD469" s="37"/>
      <c r="BE469" s="37"/>
      <c r="BF469" s="37"/>
      <c r="BG469" s="37"/>
      <c r="BH469" s="37"/>
      <c r="BI469" s="37"/>
    </row>
    <row r="470" spans="1:61" x14ac:dyDescent="0.2">
      <c r="A470" s="46">
        <v>460</v>
      </c>
      <c r="B470" s="13" t="s">
        <v>266</v>
      </c>
      <c r="C470" s="13" t="s">
        <v>1655</v>
      </c>
      <c r="D470" s="13" t="s">
        <v>1656</v>
      </c>
      <c r="E470" s="13" t="s">
        <v>1657</v>
      </c>
      <c r="F470" s="13" t="s">
        <v>186</v>
      </c>
      <c r="G470" s="13" t="s">
        <v>111</v>
      </c>
      <c r="H470" s="16">
        <v>43951</v>
      </c>
      <c r="I470" s="16">
        <v>43955</v>
      </c>
      <c r="J470" s="22">
        <v>14.79</v>
      </c>
      <c r="K470" s="22">
        <v>14.79</v>
      </c>
      <c r="L470" s="22" t="s">
        <v>1658</v>
      </c>
      <c r="M470" s="26" t="s">
        <v>98</v>
      </c>
      <c r="N470" s="13" t="s">
        <v>230</v>
      </c>
      <c r="O470" s="13" t="s">
        <v>429</v>
      </c>
      <c r="P470" s="13" t="s">
        <v>60</v>
      </c>
      <c r="Q470" s="13" t="s">
        <v>46</v>
      </c>
      <c r="R470" s="13" t="s">
        <v>270</v>
      </c>
      <c r="S470" s="13" t="s">
        <v>1659</v>
      </c>
      <c r="T470" s="13" t="s">
        <v>1660</v>
      </c>
      <c r="U470" s="13"/>
      <c r="V470" s="13"/>
      <c r="W470" s="13"/>
      <c r="X470" s="14"/>
      <c r="AN470" s="7" t="s">
        <v>155</v>
      </c>
      <c r="AO470" s="21">
        <f t="shared" si="21"/>
        <v>0</v>
      </c>
      <c r="AP470" s="7">
        <f t="shared" si="22"/>
        <v>14.79</v>
      </c>
      <c r="AQ470" s="31" t="str">
        <f t="shared" si="23"/>
        <v>Complete - No Adjustment</v>
      </c>
      <c r="AS470" s="37"/>
      <c r="AT470" s="37"/>
      <c r="AU470" s="37"/>
      <c r="AV470" s="37"/>
      <c r="AW470" s="37"/>
      <c r="AX470" s="37"/>
      <c r="AY470" s="37"/>
      <c r="AZ470" s="37"/>
      <c r="BA470" s="37"/>
      <c r="BB470" s="37"/>
      <c r="BC470" s="37"/>
      <c r="BD470" s="37"/>
      <c r="BE470" s="37"/>
      <c r="BF470" s="37"/>
      <c r="BG470" s="37"/>
      <c r="BH470" s="37"/>
      <c r="BI470" s="37"/>
    </row>
    <row r="471" spans="1:61" x14ac:dyDescent="0.2">
      <c r="A471" s="46">
        <v>461</v>
      </c>
      <c r="B471" s="13" t="s">
        <v>266</v>
      </c>
      <c r="C471" s="13" t="s">
        <v>637</v>
      </c>
      <c r="D471" s="13" t="s">
        <v>636</v>
      </c>
      <c r="E471" s="13" t="s">
        <v>1661</v>
      </c>
      <c r="F471" s="13" t="s">
        <v>1662</v>
      </c>
      <c r="G471" s="13" t="s">
        <v>111</v>
      </c>
      <c r="H471" s="16">
        <v>43977</v>
      </c>
      <c r="I471" s="16">
        <v>43979</v>
      </c>
      <c r="J471" s="22">
        <v>56.03</v>
      </c>
      <c r="K471" s="22">
        <v>56.03</v>
      </c>
      <c r="L471" s="22" t="s">
        <v>1663</v>
      </c>
      <c r="M471" s="26" t="s">
        <v>98</v>
      </c>
      <c r="N471" s="13" t="s">
        <v>230</v>
      </c>
      <c r="O471" s="13" t="s">
        <v>533</v>
      </c>
      <c r="P471" s="13" t="s">
        <v>60</v>
      </c>
      <c r="Q471" s="13" t="s">
        <v>46</v>
      </c>
      <c r="R471" s="13" t="s">
        <v>270</v>
      </c>
      <c r="S471" s="13" t="s">
        <v>1664</v>
      </c>
      <c r="T471" s="13" t="s">
        <v>1665</v>
      </c>
      <c r="U471" s="13"/>
      <c r="V471" s="13"/>
      <c r="W471" s="13"/>
      <c r="X471" s="14"/>
      <c r="AI471" s="53">
        <v>56.03</v>
      </c>
      <c r="AN471" s="7" t="s">
        <v>145</v>
      </c>
      <c r="AO471" s="21">
        <f t="shared" si="21"/>
        <v>56.03</v>
      </c>
      <c r="AP471" s="7">
        <f t="shared" si="22"/>
        <v>0</v>
      </c>
      <c r="AQ471" s="31" t="str">
        <f t="shared" si="23"/>
        <v>Complete - With Adjustment</v>
      </c>
      <c r="AS471" s="37"/>
      <c r="AT471" s="37"/>
      <c r="AU471" s="37"/>
      <c r="AV471" s="37"/>
      <c r="AW471" s="37"/>
      <c r="AX471" s="37"/>
      <c r="AY471" s="37"/>
      <c r="AZ471" s="37"/>
      <c r="BA471" s="37"/>
      <c r="BB471" s="37"/>
      <c r="BC471" s="37"/>
      <c r="BD471" s="37"/>
      <c r="BE471" s="37"/>
      <c r="BF471" s="37"/>
      <c r="BG471" s="37"/>
      <c r="BH471" s="37"/>
      <c r="BI471" s="37"/>
    </row>
    <row r="472" spans="1:61" x14ac:dyDescent="0.2">
      <c r="A472" s="46">
        <v>462</v>
      </c>
      <c r="B472" s="13" t="s">
        <v>266</v>
      </c>
      <c r="C472" s="13" t="s">
        <v>637</v>
      </c>
      <c r="D472" s="13" t="s">
        <v>636</v>
      </c>
      <c r="E472" s="13" t="s">
        <v>1666</v>
      </c>
      <c r="F472" s="13" t="s">
        <v>186</v>
      </c>
      <c r="G472" s="13" t="s">
        <v>111</v>
      </c>
      <c r="H472" s="16">
        <v>43951</v>
      </c>
      <c r="I472" s="16">
        <v>43955</v>
      </c>
      <c r="J472" s="22">
        <v>63.85</v>
      </c>
      <c r="K472" s="22">
        <v>63.85</v>
      </c>
      <c r="L472" s="22" t="s">
        <v>1667</v>
      </c>
      <c r="M472" s="26" t="s">
        <v>98</v>
      </c>
      <c r="N472" s="13" t="s">
        <v>230</v>
      </c>
      <c r="O472" s="13" t="s">
        <v>533</v>
      </c>
      <c r="P472" s="13" t="s">
        <v>60</v>
      </c>
      <c r="Q472" s="13" t="s">
        <v>62</v>
      </c>
      <c r="R472" s="13" t="s">
        <v>270</v>
      </c>
      <c r="S472" s="13" t="s">
        <v>1668</v>
      </c>
      <c r="T472" s="13" t="s">
        <v>1669</v>
      </c>
      <c r="U472" s="13"/>
      <c r="V472" s="13"/>
      <c r="W472" s="13"/>
      <c r="X472" s="14"/>
      <c r="AN472" s="7" t="s">
        <v>155</v>
      </c>
      <c r="AO472" s="21">
        <f t="shared" si="21"/>
        <v>0</v>
      </c>
      <c r="AP472" s="7">
        <f t="shared" si="22"/>
        <v>63.85</v>
      </c>
      <c r="AQ472" s="31" t="str">
        <f t="shared" si="23"/>
        <v>Complete - No Adjustment</v>
      </c>
      <c r="AS472" s="37"/>
      <c r="AT472" s="37"/>
      <c r="AU472" s="37"/>
      <c r="AV472" s="37"/>
      <c r="AW472" s="37"/>
      <c r="AX472" s="37"/>
      <c r="AY472" s="37"/>
      <c r="AZ472" s="37"/>
      <c r="BA472" s="37"/>
      <c r="BB472" s="37"/>
      <c r="BC472" s="37"/>
      <c r="BD472" s="37"/>
      <c r="BE472" s="37"/>
      <c r="BF472" s="37"/>
      <c r="BG472" s="37"/>
      <c r="BH472" s="37"/>
      <c r="BI472" s="37"/>
    </row>
    <row r="473" spans="1:61" x14ac:dyDescent="0.2">
      <c r="A473" s="46">
        <v>463</v>
      </c>
      <c r="B473" s="13" t="s">
        <v>266</v>
      </c>
      <c r="C473" s="13" t="s">
        <v>518</v>
      </c>
      <c r="D473" s="13" t="s">
        <v>517</v>
      </c>
      <c r="E473" s="13" t="s">
        <v>1670</v>
      </c>
      <c r="F473" s="13" t="s">
        <v>195</v>
      </c>
      <c r="G473" s="13" t="s">
        <v>111</v>
      </c>
      <c r="H473" s="16">
        <v>43914</v>
      </c>
      <c r="I473" s="16">
        <v>43957</v>
      </c>
      <c r="J473" s="22">
        <v>131.35</v>
      </c>
      <c r="K473" s="22">
        <v>26.4</v>
      </c>
      <c r="L473" s="22" t="s">
        <v>1671</v>
      </c>
      <c r="M473" s="26" t="s">
        <v>98</v>
      </c>
      <c r="N473" s="13" t="s">
        <v>230</v>
      </c>
      <c r="O473" s="13" t="s">
        <v>519</v>
      </c>
      <c r="P473" s="13" t="s">
        <v>60</v>
      </c>
      <c r="Q473" s="13" t="s">
        <v>41</v>
      </c>
      <c r="R473" s="13" t="s">
        <v>270</v>
      </c>
      <c r="S473" s="13" t="s">
        <v>1672</v>
      </c>
      <c r="T473" s="13" t="s">
        <v>1673</v>
      </c>
      <c r="U473" s="13"/>
      <c r="V473" s="13"/>
      <c r="W473" s="13"/>
      <c r="X473" s="14"/>
      <c r="AI473" s="53">
        <v>26.4</v>
      </c>
      <c r="AN473" s="7" t="s">
        <v>145</v>
      </c>
      <c r="AO473" s="21">
        <f t="shared" si="21"/>
        <v>26.4</v>
      </c>
      <c r="AP473" s="7">
        <f t="shared" si="22"/>
        <v>0</v>
      </c>
      <c r="AQ473" s="31" t="str">
        <f t="shared" si="23"/>
        <v>Complete - With Adjustment</v>
      </c>
      <c r="AS473" s="37"/>
      <c r="AT473" s="37"/>
      <c r="AU473" s="37"/>
      <c r="AV473" s="37"/>
      <c r="AW473" s="37"/>
      <c r="AX473" s="37"/>
      <c r="AY473" s="37"/>
      <c r="AZ473" s="37"/>
      <c r="BA473" s="37"/>
      <c r="BB473" s="37"/>
      <c r="BC473" s="37"/>
      <c r="BD473" s="37"/>
      <c r="BE473" s="37"/>
      <c r="BF473" s="37"/>
      <c r="BG473" s="37"/>
      <c r="BH473" s="37"/>
      <c r="BI473" s="37"/>
    </row>
    <row r="474" spans="1:61" x14ac:dyDescent="0.2">
      <c r="A474" s="46">
        <v>464</v>
      </c>
      <c r="B474" s="13" t="s">
        <v>266</v>
      </c>
      <c r="C474" s="13" t="s">
        <v>518</v>
      </c>
      <c r="D474" s="13" t="s">
        <v>517</v>
      </c>
      <c r="E474" s="13" t="s">
        <v>1670</v>
      </c>
      <c r="F474" s="13" t="s">
        <v>195</v>
      </c>
      <c r="G474" s="13" t="s">
        <v>111</v>
      </c>
      <c r="H474" s="16">
        <v>43914</v>
      </c>
      <c r="I474" s="16">
        <v>43957</v>
      </c>
      <c r="J474" s="22">
        <v>131.35</v>
      </c>
      <c r="K474" s="22">
        <v>26.64</v>
      </c>
      <c r="L474" s="22" t="s">
        <v>1671</v>
      </c>
      <c r="M474" s="26" t="s">
        <v>98</v>
      </c>
      <c r="N474" s="13" t="s">
        <v>230</v>
      </c>
      <c r="O474" s="13" t="s">
        <v>519</v>
      </c>
      <c r="P474" s="13" t="s">
        <v>60</v>
      </c>
      <c r="Q474" s="13" t="s">
        <v>41</v>
      </c>
      <c r="R474" s="13" t="s">
        <v>270</v>
      </c>
      <c r="S474" s="13" t="s">
        <v>1672</v>
      </c>
      <c r="T474" s="13" t="s">
        <v>1674</v>
      </c>
      <c r="U474" s="13"/>
      <c r="V474" s="13"/>
      <c r="W474" s="13"/>
      <c r="X474" s="14"/>
      <c r="AN474" s="7" t="s">
        <v>155</v>
      </c>
      <c r="AO474" s="21">
        <f t="shared" si="21"/>
        <v>0</v>
      </c>
      <c r="AP474" s="7">
        <f t="shared" si="22"/>
        <v>26.64</v>
      </c>
      <c r="AQ474" s="31" t="str">
        <f t="shared" si="23"/>
        <v>Complete - No Adjustment</v>
      </c>
      <c r="AS474" s="37"/>
      <c r="AT474" s="37"/>
      <c r="AU474" s="37"/>
      <c r="AV474" s="37"/>
      <c r="AW474" s="37"/>
      <c r="AX474" s="37"/>
      <c r="AY474" s="37"/>
      <c r="AZ474" s="37"/>
      <c r="BA474" s="37"/>
      <c r="BB474" s="37"/>
      <c r="BC474" s="37"/>
      <c r="BD474" s="37"/>
      <c r="BE474" s="37"/>
      <c r="BF474" s="37"/>
      <c r="BG474" s="37"/>
      <c r="BH474" s="37"/>
      <c r="BI474" s="37"/>
    </row>
    <row r="475" spans="1:61" x14ac:dyDescent="0.2">
      <c r="A475" s="46">
        <v>465</v>
      </c>
      <c r="B475" s="13" t="s">
        <v>266</v>
      </c>
      <c r="C475" s="13" t="s">
        <v>518</v>
      </c>
      <c r="D475" s="13" t="s">
        <v>517</v>
      </c>
      <c r="E475" s="13" t="s">
        <v>1670</v>
      </c>
      <c r="F475" s="13" t="s">
        <v>195</v>
      </c>
      <c r="G475" s="13" t="s">
        <v>111</v>
      </c>
      <c r="H475" s="16">
        <v>43914</v>
      </c>
      <c r="I475" s="16">
        <v>43957</v>
      </c>
      <c r="J475" s="22">
        <v>131.35</v>
      </c>
      <c r="K475" s="22">
        <v>45.19</v>
      </c>
      <c r="L475" s="22" t="s">
        <v>1671</v>
      </c>
      <c r="M475" s="26" t="s">
        <v>98</v>
      </c>
      <c r="N475" s="13" t="s">
        <v>230</v>
      </c>
      <c r="O475" s="13" t="s">
        <v>519</v>
      </c>
      <c r="P475" s="13" t="s">
        <v>60</v>
      </c>
      <c r="Q475" s="13" t="s">
        <v>41</v>
      </c>
      <c r="R475" s="13" t="s">
        <v>270</v>
      </c>
      <c r="S475" s="13" t="s">
        <v>1672</v>
      </c>
      <c r="T475" s="13" t="s">
        <v>1675</v>
      </c>
      <c r="U475" s="13"/>
      <c r="V475" s="13"/>
      <c r="W475" s="13"/>
      <c r="X475" s="14"/>
      <c r="AN475" s="7" t="s">
        <v>70</v>
      </c>
      <c r="AO475" s="21">
        <f t="shared" si="21"/>
        <v>0</v>
      </c>
      <c r="AP475" s="7">
        <f t="shared" si="22"/>
        <v>45.19</v>
      </c>
      <c r="AQ475" s="31" t="str">
        <f t="shared" si="23"/>
        <v>Complete - No Adjustment</v>
      </c>
      <c r="AS475" s="37"/>
      <c r="AT475" s="37"/>
      <c r="AU475" s="37"/>
      <c r="AV475" s="37"/>
      <c r="AW475" s="37"/>
      <c r="AX475" s="37"/>
      <c r="AY475" s="37"/>
      <c r="AZ475" s="37"/>
      <c r="BA475" s="37"/>
      <c r="BB475" s="37"/>
      <c r="BC475" s="37"/>
      <c r="BD475" s="37"/>
      <c r="BE475" s="37"/>
      <c r="BF475" s="37"/>
      <c r="BG475" s="37"/>
      <c r="BH475" s="37"/>
      <c r="BI475" s="37"/>
    </row>
    <row r="476" spans="1:61" x14ac:dyDescent="0.2">
      <c r="A476" s="46">
        <v>466</v>
      </c>
      <c r="B476" s="13" t="s">
        <v>266</v>
      </c>
      <c r="C476" s="13" t="s">
        <v>518</v>
      </c>
      <c r="D476" s="13" t="s">
        <v>517</v>
      </c>
      <c r="E476" s="13" t="s">
        <v>1670</v>
      </c>
      <c r="F476" s="13" t="s">
        <v>195</v>
      </c>
      <c r="G476" s="13" t="s">
        <v>111</v>
      </c>
      <c r="H476" s="16">
        <v>43914</v>
      </c>
      <c r="I476" s="16">
        <v>43957</v>
      </c>
      <c r="J476" s="22">
        <v>131.35</v>
      </c>
      <c r="K476" s="22">
        <v>33.119999999999997</v>
      </c>
      <c r="L476" s="22" t="s">
        <v>1671</v>
      </c>
      <c r="M476" s="26" t="s">
        <v>98</v>
      </c>
      <c r="N476" s="13" t="s">
        <v>230</v>
      </c>
      <c r="O476" s="13" t="s">
        <v>519</v>
      </c>
      <c r="P476" s="13" t="s">
        <v>60</v>
      </c>
      <c r="Q476" s="13" t="s">
        <v>41</v>
      </c>
      <c r="R476" s="13" t="s">
        <v>270</v>
      </c>
      <c r="S476" s="13" t="s">
        <v>1672</v>
      </c>
      <c r="T476" s="13" t="s">
        <v>1676</v>
      </c>
      <c r="U476" s="13"/>
      <c r="V476" s="13"/>
      <c r="W476" s="13"/>
      <c r="X476" s="14"/>
      <c r="AN476" s="7" t="s">
        <v>155</v>
      </c>
      <c r="AO476" s="21">
        <f t="shared" si="21"/>
        <v>0</v>
      </c>
      <c r="AP476" s="7">
        <f t="shared" si="22"/>
        <v>33.119999999999997</v>
      </c>
      <c r="AQ476" s="31" t="str">
        <f t="shared" si="23"/>
        <v>Complete - No Adjustment</v>
      </c>
      <c r="AS476" s="37"/>
      <c r="AT476" s="37"/>
      <c r="AU476" s="37"/>
      <c r="AV476" s="37"/>
      <c r="AW476" s="37"/>
      <c r="AX476" s="37"/>
      <c r="AY476" s="37"/>
      <c r="AZ476" s="37"/>
      <c r="BA476" s="37"/>
      <c r="BB476" s="37"/>
      <c r="BC476" s="37"/>
      <c r="BD476" s="37"/>
      <c r="BE476" s="37"/>
      <c r="BF476" s="37"/>
      <c r="BG476" s="37"/>
      <c r="BH476" s="37"/>
      <c r="BI476" s="37"/>
    </row>
    <row r="477" spans="1:61" x14ac:dyDescent="0.2">
      <c r="A477" s="46">
        <v>467</v>
      </c>
      <c r="B477" s="13" t="s">
        <v>266</v>
      </c>
      <c r="C477" s="13" t="s">
        <v>313</v>
      </c>
      <c r="D477" s="13" t="s">
        <v>312</v>
      </c>
      <c r="E477" s="13" t="s">
        <v>1677</v>
      </c>
      <c r="F477" s="13" t="s">
        <v>200</v>
      </c>
      <c r="G477" s="13" t="s">
        <v>111</v>
      </c>
      <c r="H477" s="16">
        <v>43955</v>
      </c>
      <c r="I477" s="16">
        <v>43963</v>
      </c>
      <c r="J477" s="22">
        <v>1423.12</v>
      </c>
      <c r="K477" s="22">
        <v>29.24</v>
      </c>
      <c r="L477" s="22" t="s">
        <v>1678</v>
      </c>
      <c r="M477" s="26" t="s">
        <v>98</v>
      </c>
      <c r="N477" s="13" t="s">
        <v>230</v>
      </c>
      <c r="O477" s="13" t="s">
        <v>314</v>
      </c>
      <c r="P477" s="13" t="s">
        <v>60</v>
      </c>
      <c r="Q477" s="13" t="s">
        <v>41</v>
      </c>
      <c r="R477" s="13" t="s">
        <v>270</v>
      </c>
      <c r="S477" s="13" t="s">
        <v>1679</v>
      </c>
      <c r="T477" s="13" t="s">
        <v>1680</v>
      </c>
      <c r="U477" s="13"/>
      <c r="V477" s="13"/>
      <c r="W477" s="13"/>
      <c r="X477" s="14"/>
      <c r="AN477" s="7" t="s">
        <v>155</v>
      </c>
      <c r="AO477" s="21">
        <f t="shared" si="21"/>
        <v>0</v>
      </c>
      <c r="AP477" s="7">
        <f t="shared" si="22"/>
        <v>29.24</v>
      </c>
      <c r="AQ477" s="31" t="str">
        <f t="shared" si="23"/>
        <v>Complete - No Adjustment</v>
      </c>
      <c r="AS477" s="37"/>
      <c r="AT477" s="37"/>
      <c r="AU477" s="37"/>
      <c r="AV477" s="37"/>
      <c r="AW477" s="37"/>
      <c r="AX477" s="37"/>
      <c r="AY477" s="37"/>
      <c r="AZ477" s="37"/>
      <c r="BA477" s="37"/>
      <c r="BB477" s="37"/>
      <c r="BC477" s="37"/>
      <c r="BD477" s="37"/>
      <c r="BE477" s="37"/>
      <c r="BF477" s="37"/>
      <c r="BG477" s="37"/>
      <c r="BH477" s="37"/>
      <c r="BI477" s="37"/>
    </row>
    <row r="478" spans="1:61" x14ac:dyDescent="0.2">
      <c r="A478" s="46">
        <v>468</v>
      </c>
      <c r="B478" s="13" t="s">
        <v>266</v>
      </c>
      <c r="C478" s="13" t="s">
        <v>313</v>
      </c>
      <c r="D478" s="13" t="s">
        <v>312</v>
      </c>
      <c r="E478" s="13" t="s">
        <v>1677</v>
      </c>
      <c r="F478" s="13" t="s">
        <v>200</v>
      </c>
      <c r="G478" s="13" t="s">
        <v>111</v>
      </c>
      <c r="H478" s="16">
        <v>43955</v>
      </c>
      <c r="I478" s="16">
        <v>43963</v>
      </c>
      <c r="J478" s="22">
        <v>1423.12</v>
      </c>
      <c r="K478" s="22">
        <v>1301.92</v>
      </c>
      <c r="L478" s="22" t="s">
        <v>1678</v>
      </c>
      <c r="M478" s="26" t="s">
        <v>98</v>
      </c>
      <c r="N478" s="13" t="s">
        <v>230</v>
      </c>
      <c r="O478" s="13" t="s">
        <v>314</v>
      </c>
      <c r="P478" s="13" t="s">
        <v>60</v>
      </c>
      <c r="Q478" s="13" t="s">
        <v>104</v>
      </c>
      <c r="R478" s="13" t="s">
        <v>270</v>
      </c>
      <c r="S478" s="13" t="s">
        <v>1679</v>
      </c>
      <c r="T478" s="13" t="s">
        <v>1681</v>
      </c>
      <c r="U478" s="13"/>
      <c r="V478" s="13"/>
      <c r="W478" s="13"/>
      <c r="X478" s="14"/>
      <c r="AN478" s="7" t="s">
        <v>70</v>
      </c>
      <c r="AO478" s="21">
        <f t="shared" si="21"/>
        <v>0</v>
      </c>
      <c r="AP478" s="7">
        <f t="shared" si="22"/>
        <v>1301.92</v>
      </c>
      <c r="AQ478" s="31" t="str">
        <f t="shared" si="23"/>
        <v>Complete - No Adjustment</v>
      </c>
      <c r="AS478" s="37"/>
      <c r="AT478" s="37"/>
      <c r="AU478" s="37"/>
      <c r="AV478" s="37"/>
      <c r="AW478" s="37"/>
      <c r="AX478" s="37"/>
      <c r="AY478" s="37"/>
      <c r="AZ478" s="37"/>
      <c r="BA478" s="37"/>
      <c r="BB478" s="37"/>
      <c r="BC478" s="37"/>
      <c r="BD478" s="37"/>
      <c r="BE478" s="37"/>
      <c r="BF478" s="37"/>
      <c r="BG478" s="37"/>
      <c r="BH478" s="37"/>
      <c r="BI478" s="37"/>
    </row>
    <row r="479" spans="1:61" x14ac:dyDescent="0.2">
      <c r="A479" s="46">
        <v>469</v>
      </c>
      <c r="B479" s="13" t="s">
        <v>266</v>
      </c>
      <c r="C479" s="13" t="s">
        <v>313</v>
      </c>
      <c r="D479" s="13" t="s">
        <v>312</v>
      </c>
      <c r="E479" s="13" t="s">
        <v>1677</v>
      </c>
      <c r="F479" s="13" t="s">
        <v>200</v>
      </c>
      <c r="G479" s="13" t="s">
        <v>111</v>
      </c>
      <c r="H479" s="16">
        <v>43955</v>
      </c>
      <c r="I479" s="16">
        <v>43963</v>
      </c>
      <c r="J479" s="22">
        <v>1423.12</v>
      </c>
      <c r="K479" s="22">
        <v>34.369999999999997</v>
      </c>
      <c r="L479" s="22" t="s">
        <v>1678</v>
      </c>
      <c r="M479" s="26" t="s">
        <v>98</v>
      </c>
      <c r="N479" s="13" t="s">
        <v>230</v>
      </c>
      <c r="O479" s="13" t="s">
        <v>314</v>
      </c>
      <c r="P479" s="13" t="s">
        <v>60</v>
      </c>
      <c r="Q479" s="13" t="s">
        <v>41</v>
      </c>
      <c r="R479" s="13" t="s">
        <v>270</v>
      </c>
      <c r="S479" s="13" t="s">
        <v>1679</v>
      </c>
      <c r="T479" s="13" t="s">
        <v>1682</v>
      </c>
      <c r="U479" s="13"/>
      <c r="V479" s="13"/>
      <c r="W479" s="13"/>
      <c r="X479" s="14"/>
      <c r="AL479" s="14">
        <v>34.369999999999997</v>
      </c>
      <c r="AN479" s="7" t="s">
        <v>146</v>
      </c>
      <c r="AO479" s="21">
        <f t="shared" si="21"/>
        <v>34.369999999999997</v>
      </c>
      <c r="AP479" s="7">
        <f t="shared" si="22"/>
        <v>0</v>
      </c>
      <c r="AQ479" s="31" t="str">
        <f t="shared" si="23"/>
        <v>Complete - With Adjustment</v>
      </c>
      <c r="AS479" s="37"/>
      <c r="AT479" s="37"/>
      <c r="AU479" s="37"/>
      <c r="AV479" s="37"/>
      <c r="AW479" s="37"/>
      <c r="AX479" s="37"/>
      <c r="AY479" s="37"/>
      <c r="AZ479" s="37"/>
      <c r="BA479" s="37"/>
      <c r="BB479" s="37"/>
      <c r="BC479" s="37"/>
      <c r="BD479" s="37"/>
      <c r="BE479" s="37"/>
      <c r="BF479" s="37"/>
      <c r="BG479" s="37"/>
      <c r="BH479" s="37"/>
      <c r="BI479" s="37"/>
    </row>
    <row r="480" spans="1:61" x14ac:dyDescent="0.2">
      <c r="A480" s="46">
        <v>470</v>
      </c>
      <c r="B480" s="13" t="s">
        <v>266</v>
      </c>
      <c r="C480" s="13" t="s">
        <v>313</v>
      </c>
      <c r="D480" s="13" t="s">
        <v>312</v>
      </c>
      <c r="E480" s="13" t="s">
        <v>1677</v>
      </c>
      <c r="F480" s="13" t="s">
        <v>200</v>
      </c>
      <c r="G480" s="13" t="s">
        <v>111</v>
      </c>
      <c r="H480" s="16">
        <v>43955</v>
      </c>
      <c r="I480" s="16">
        <v>43963</v>
      </c>
      <c r="J480" s="22">
        <v>1423.12</v>
      </c>
      <c r="K480" s="22">
        <v>57.59</v>
      </c>
      <c r="L480" s="22" t="s">
        <v>1678</v>
      </c>
      <c r="M480" s="26" t="s">
        <v>98</v>
      </c>
      <c r="N480" s="13" t="s">
        <v>230</v>
      </c>
      <c r="O480" s="13" t="s">
        <v>314</v>
      </c>
      <c r="P480" s="13" t="s">
        <v>60</v>
      </c>
      <c r="Q480" s="13" t="s">
        <v>62</v>
      </c>
      <c r="R480" s="13" t="s">
        <v>270</v>
      </c>
      <c r="S480" s="13" t="s">
        <v>1679</v>
      </c>
      <c r="T480" s="13" t="s">
        <v>1683</v>
      </c>
      <c r="U480" s="13"/>
      <c r="V480" s="13"/>
      <c r="W480" s="13"/>
      <c r="X480" s="14"/>
      <c r="AN480" s="7" t="s">
        <v>70</v>
      </c>
      <c r="AO480" s="21">
        <f t="shared" si="21"/>
        <v>0</v>
      </c>
      <c r="AP480" s="7">
        <f t="shared" si="22"/>
        <v>57.59</v>
      </c>
      <c r="AQ480" s="31" t="str">
        <f t="shared" si="23"/>
        <v>Complete - No Adjustment</v>
      </c>
      <c r="AS480" s="37"/>
      <c r="AT480" s="37"/>
      <c r="AU480" s="37"/>
      <c r="AV480" s="37"/>
      <c r="AW480" s="37"/>
      <c r="AX480" s="37"/>
      <c r="AY480" s="37"/>
      <c r="AZ480" s="37"/>
      <c r="BA480" s="37"/>
      <c r="BB480" s="37"/>
      <c r="BC480" s="37"/>
      <c r="BD480" s="37"/>
      <c r="BE480" s="37"/>
      <c r="BF480" s="37"/>
      <c r="BG480" s="37"/>
      <c r="BH480" s="37"/>
      <c r="BI480" s="37"/>
    </row>
    <row r="481" spans="1:61" x14ac:dyDescent="0.2">
      <c r="A481" s="46">
        <v>471</v>
      </c>
      <c r="B481" s="13" t="s">
        <v>266</v>
      </c>
      <c r="C481" s="13" t="s">
        <v>721</v>
      </c>
      <c r="D481" s="13" t="s">
        <v>797</v>
      </c>
      <c r="E481" s="13" t="s">
        <v>1684</v>
      </c>
      <c r="F481" s="13" t="s">
        <v>190</v>
      </c>
      <c r="G481" s="13" t="s">
        <v>111</v>
      </c>
      <c r="H481" s="16">
        <v>43950</v>
      </c>
      <c r="I481" s="16">
        <v>43952</v>
      </c>
      <c r="J481" s="22">
        <v>36.36</v>
      </c>
      <c r="K481" s="22">
        <v>14.06</v>
      </c>
      <c r="L481" s="22" t="s">
        <v>1685</v>
      </c>
      <c r="M481" s="26" t="s">
        <v>98</v>
      </c>
      <c r="N481" s="13" t="s">
        <v>230</v>
      </c>
      <c r="O481" s="13" t="s">
        <v>277</v>
      </c>
      <c r="P481" s="13" t="s">
        <v>60</v>
      </c>
      <c r="Q481" s="13" t="s">
        <v>62</v>
      </c>
      <c r="R481" s="13" t="s">
        <v>270</v>
      </c>
      <c r="S481" s="13" t="s">
        <v>1686</v>
      </c>
      <c r="T481" s="13" t="s">
        <v>1687</v>
      </c>
      <c r="U481" s="13"/>
      <c r="V481" s="13"/>
      <c r="W481" s="13"/>
      <c r="X481" s="14"/>
      <c r="AL481" s="14">
        <v>14.06</v>
      </c>
      <c r="AN481" s="7" t="s">
        <v>146</v>
      </c>
      <c r="AO481" s="21">
        <f t="shared" si="21"/>
        <v>14.06</v>
      </c>
      <c r="AP481" s="7">
        <f t="shared" si="22"/>
        <v>0</v>
      </c>
      <c r="AQ481" s="31" t="str">
        <f t="shared" si="23"/>
        <v>Complete - With Adjustment</v>
      </c>
      <c r="AS481" s="37"/>
      <c r="AT481" s="37"/>
      <c r="AU481" s="37"/>
      <c r="AV481" s="37"/>
      <c r="AW481" s="37"/>
      <c r="AX481" s="37"/>
      <c r="AY481" s="37"/>
      <c r="AZ481" s="37"/>
      <c r="BA481" s="37"/>
      <c r="BB481" s="37"/>
      <c r="BC481" s="37"/>
      <c r="BD481" s="37"/>
      <c r="BE481" s="37"/>
      <c r="BF481" s="37"/>
      <c r="BG481" s="37"/>
      <c r="BH481" s="37"/>
      <c r="BI481" s="37"/>
    </row>
    <row r="482" spans="1:61" x14ac:dyDescent="0.2">
      <c r="A482" s="46">
        <v>472</v>
      </c>
      <c r="B482" s="13" t="s">
        <v>266</v>
      </c>
      <c r="C482" s="13" t="s">
        <v>721</v>
      </c>
      <c r="D482" s="13" t="s">
        <v>797</v>
      </c>
      <c r="E482" s="13" t="s">
        <v>1684</v>
      </c>
      <c r="F482" s="13" t="s">
        <v>190</v>
      </c>
      <c r="G482" s="13" t="s">
        <v>111</v>
      </c>
      <c r="H482" s="16">
        <v>43950</v>
      </c>
      <c r="I482" s="16">
        <v>43952</v>
      </c>
      <c r="J482" s="22">
        <v>36.36</v>
      </c>
      <c r="K482" s="22">
        <v>9.73</v>
      </c>
      <c r="L482" s="22" t="s">
        <v>1685</v>
      </c>
      <c r="M482" s="26" t="s">
        <v>98</v>
      </c>
      <c r="N482" s="13" t="s">
        <v>230</v>
      </c>
      <c r="O482" s="13" t="s">
        <v>277</v>
      </c>
      <c r="P482" s="13" t="s">
        <v>60</v>
      </c>
      <c r="Q482" s="13" t="s">
        <v>62</v>
      </c>
      <c r="R482" s="13" t="s">
        <v>270</v>
      </c>
      <c r="S482" s="13" t="s">
        <v>1686</v>
      </c>
      <c r="T482" s="13" t="s">
        <v>1687</v>
      </c>
      <c r="U482" s="13"/>
      <c r="V482" s="13"/>
      <c r="W482" s="13"/>
      <c r="X482" s="14"/>
      <c r="AL482" s="14">
        <v>9.73</v>
      </c>
      <c r="AN482" s="7" t="s">
        <v>146</v>
      </c>
      <c r="AO482" s="21">
        <f t="shared" si="21"/>
        <v>9.73</v>
      </c>
      <c r="AP482" s="7">
        <f t="shared" si="22"/>
        <v>0</v>
      </c>
      <c r="AQ482" s="31" t="str">
        <f t="shared" si="23"/>
        <v>Complete - With Adjustment</v>
      </c>
      <c r="AS482" s="37"/>
      <c r="AT482" s="37"/>
      <c r="AU482" s="37"/>
      <c r="AV482" s="37"/>
      <c r="AW482" s="37"/>
      <c r="AX482" s="37"/>
      <c r="AY482" s="37"/>
      <c r="AZ482" s="37"/>
      <c r="BA482" s="37"/>
      <c r="BB482" s="37"/>
      <c r="BC482" s="37"/>
      <c r="BD482" s="37"/>
      <c r="BE482" s="37"/>
      <c r="BF482" s="37"/>
      <c r="BG482" s="37"/>
      <c r="BH482" s="37"/>
      <c r="BI482" s="37"/>
    </row>
    <row r="483" spans="1:61" x14ac:dyDescent="0.2">
      <c r="A483" s="46">
        <v>473</v>
      </c>
      <c r="B483" s="13" t="s">
        <v>266</v>
      </c>
      <c r="C483" s="13" t="s">
        <v>721</v>
      </c>
      <c r="D483" s="13" t="s">
        <v>797</v>
      </c>
      <c r="E483" s="13" t="s">
        <v>1684</v>
      </c>
      <c r="F483" s="13" t="s">
        <v>190</v>
      </c>
      <c r="G483" s="13" t="s">
        <v>111</v>
      </c>
      <c r="H483" s="16">
        <v>43950</v>
      </c>
      <c r="I483" s="16">
        <v>43952</v>
      </c>
      <c r="J483" s="22">
        <v>36.36</v>
      </c>
      <c r="K483" s="22">
        <v>12.57</v>
      </c>
      <c r="L483" s="22" t="s">
        <v>1685</v>
      </c>
      <c r="M483" s="26" t="s">
        <v>98</v>
      </c>
      <c r="N483" s="13" t="s">
        <v>230</v>
      </c>
      <c r="O483" s="13" t="s">
        <v>277</v>
      </c>
      <c r="P483" s="13" t="s">
        <v>60</v>
      </c>
      <c r="Q483" s="13" t="s">
        <v>62</v>
      </c>
      <c r="R483" s="13" t="s">
        <v>270</v>
      </c>
      <c r="S483" s="13" t="s">
        <v>1686</v>
      </c>
      <c r="T483" s="13" t="s">
        <v>1687</v>
      </c>
      <c r="U483" s="13"/>
      <c r="V483" s="13"/>
      <c r="W483" s="13"/>
      <c r="X483" s="14"/>
      <c r="AN483" s="7" t="s">
        <v>70</v>
      </c>
      <c r="AO483" s="21">
        <f t="shared" si="21"/>
        <v>0</v>
      </c>
      <c r="AP483" s="7">
        <f t="shared" si="22"/>
        <v>12.57</v>
      </c>
      <c r="AQ483" s="31" t="str">
        <f t="shared" si="23"/>
        <v>Complete - No Adjustment</v>
      </c>
      <c r="AS483" s="37"/>
      <c r="AT483" s="37"/>
      <c r="AU483" s="37"/>
      <c r="AV483" s="37"/>
      <c r="AW483" s="37"/>
      <c r="AX483" s="37"/>
      <c r="AY483" s="37"/>
      <c r="AZ483" s="37"/>
      <c r="BA483" s="37"/>
      <c r="BB483" s="37"/>
      <c r="BC483" s="37"/>
      <c r="BD483" s="37"/>
      <c r="BE483" s="37"/>
      <c r="BF483" s="37"/>
      <c r="BG483" s="37"/>
      <c r="BH483" s="37"/>
      <c r="BI483" s="37"/>
    </row>
    <row r="484" spans="1:61" x14ac:dyDescent="0.2">
      <c r="A484" s="46">
        <v>474</v>
      </c>
      <c r="B484" s="13" t="s">
        <v>266</v>
      </c>
      <c r="C484" s="13" t="s">
        <v>742</v>
      </c>
      <c r="D484" s="13" t="s">
        <v>741</v>
      </c>
      <c r="E484" s="13" t="s">
        <v>1688</v>
      </c>
      <c r="F484" s="13" t="s">
        <v>198</v>
      </c>
      <c r="G484" s="13" t="s">
        <v>111</v>
      </c>
      <c r="H484" s="16">
        <v>43965</v>
      </c>
      <c r="I484" s="16">
        <v>43970</v>
      </c>
      <c r="J484" s="22">
        <v>10.48</v>
      </c>
      <c r="K484" s="22">
        <v>10.48</v>
      </c>
      <c r="L484" s="22" t="s">
        <v>1689</v>
      </c>
      <c r="M484" s="26" t="s">
        <v>98</v>
      </c>
      <c r="N484" s="13" t="s">
        <v>230</v>
      </c>
      <c r="O484" s="13" t="s">
        <v>288</v>
      </c>
      <c r="P484" s="13" t="s">
        <v>60</v>
      </c>
      <c r="Q484" s="13" t="s">
        <v>41</v>
      </c>
      <c r="R484" s="13" t="s">
        <v>270</v>
      </c>
      <c r="S484" s="13" t="s">
        <v>1690</v>
      </c>
      <c r="T484" s="13" t="s">
        <v>1691</v>
      </c>
      <c r="U484" s="13"/>
      <c r="V484" s="13"/>
      <c r="W484" s="13"/>
      <c r="X484" s="14"/>
      <c r="AN484" s="7" t="s">
        <v>155</v>
      </c>
      <c r="AO484" s="21">
        <f t="shared" si="21"/>
        <v>0</v>
      </c>
      <c r="AP484" s="7">
        <f t="shared" si="22"/>
        <v>10.48</v>
      </c>
      <c r="AQ484" s="31" t="str">
        <f t="shared" si="23"/>
        <v>Complete - No Adjustment</v>
      </c>
      <c r="AS484" s="37"/>
      <c r="AT484" s="37"/>
      <c r="AU484" s="37"/>
      <c r="AV484" s="37"/>
      <c r="AW484" s="37"/>
      <c r="AX484" s="37"/>
      <c r="AY484" s="37"/>
      <c r="AZ484" s="37"/>
      <c r="BA484" s="37"/>
      <c r="BB484" s="37"/>
      <c r="BC484" s="37"/>
      <c r="BD484" s="37"/>
      <c r="BE484" s="37"/>
      <c r="BF484" s="37"/>
      <c r="BG484" s="37"/>
      <c r="BH484" s="37"/>
      <c r="BI484" s="37"/>
    </row>
    <row r="485" spans="1:61" x14ac:dyDescent="0.2">
      <c r="A485" s="46">
        <v>475</v>
      </c>
      <c r="B485" s="13" t="s">
        <v>266</v>
      </c>
      <c r="C485" s="13" t="s">
        <v>742</v>
      </c>
      <c r="D485" s="13" t="s">
        <v>741</v>
      </c>
      <c r="E485" s="13" t="s">
        <v>1692</v>
      </c>
      <c r="F485" s="13" t="s">
        <v>196</v>
      </c>
      <c r="G485" s="13" t="s">
        <v>111</v>
      </c>
      <c r="H485" s="16">
        <v>43952</v>
      </c>
      <c r="I485" s="16">
        <v>43956</v>
      </c>
      <c r="J485" s="22">
        <v>11.24</v>
      </c>
      <c r="K485" s="22">
        <v>11.24</v>
      </c>
      <c r="L485" s="22" t="s">
        <v>1693</v>
      </c>
      <c r="M485" s="26" t="s">
        <v>98</v>
      </c>
      <c r="N485" s="13" t="s">
        <v>230</v>
      </c>
      <c r="O485" s="13" t="s">
        <v>288</v>
      </c>
      <c r="P485" s="13" t="s">
        <v>60</v>
      </c>
      <c r="Q485" s="13" t="s">
        <v>41</v>
      </c>
      <c r="R485" s="13" t="s">
        <v>270</v>
      </c>
      <c r="S485" s="13" t="s">
        <v>1694</v>
      </c>
      <c r="T485" s="13" t="s">
        <v>1695</v>
      </c>
      <c r="U485" s="13"/>
      <c r="V485" s="13"/>
      <c r="W485" s="13"/>
      <c r="X485" s="14"/>
      <c r="AN485" s="7" t="s">
        <v>155</v>
      </c>
      <c r="AO485" s="21">
        <f t="shared" si="21"/>
        <v>0</v>
      </c>
      <c r="AP485" s="7">
        <f t="shared" si="22"/>
        <v>11.24</v>
      </c>
      <c r="AQ485" s="31" t="str">
        <f t="shared" si="23"/>
        <v>Complete - No Adjustment</v>
      </c>
      <c r="AS485" s="37"/>
      <c r="AT485" s="37"/>
      <c r="AU485" s="37"/>
      <c r="AV485" s="37"/>
      <c r="AW485" s="37"/>
      <c r="AX485" s="37"/>
      <c r="AY485" s="37"/>
      <c r="AZ485" s="37"/>
      <c r="BA485" s="37"/>
      <c r="BB485" s="37"/>
      <c r="BC485" s="37"/>
      <c r="BD485" s="37"/>
      <c r="BE485" s="37"/>
      <c r="BF485" s="37"/>
      <c r="BG485" s="37"/>
      <c r="BH485" s="37"/>
      <c r="BI485" s="37"/>
    </row>
    <row r="486" spans="1:61" x14ac:dyDescent="0.2">
      <c r="A486" s="46">
        <v>476</v>
      </c>
      <c r="B486" s="13" t="s">
        <v>266</v>
      </c>
      <c r="C486" s="13" t="s">
        <v>742</v>
      </c>
      <c r="D486" s="13" t="s">
        <v>741</v>
      </c>
      <c r="E486" s="13" t="s">
        <v>1696</v>
      </c>
      <c r="F486" s="13" t="s">
        <v>189</v>
      </c>
      <c r="G486" s="13" t="s">
        <v>111</v>
      </c>
      <c r="H486" s="16">
        <v>43958</v>
      </c>
      <c r="I486" s="16">
        <v>43962</v>
      </c>
      <c r="J486" s="22">
        <v>14.07</v>
      </c>
      <c r="K486" s="22">
        <v>14.07</v>
      </c>
      <c r="L486" s="22" t="s">
        <v>1697</v>
      </c>
      <c r="M486" s="26" t="s">
        <v>98</v>
      </c>
      <c r="N486" s="13" t="s">
        <v>230</v>
      </c>
      <c r="O486" s="13" t="s">
        <v>288</v>
      </c>
      <c r="P486" s="13" t="s">
        <v>60</v>
      </c>
      <c r="Q486" s="13" t="s">
        <v>41</v>
      </c>
      <c r="R486" s="13" t="s">
        <v>270</v>
      </c>
      <c r="S486" s="13" t="s">
        <v>1698</v>
      </c>
      <c r="T486" s="13" t="s">
        <v>1699</v>
      </c>
      <c r="U486" s="13"/>
      <c r="V486" s="13"/>
      <c r="W486" s="13"/>
      <c r="X486" s="14"/>
      <c r="AN486" s="7" t="s">
        <v>155</v>
      </c>
      <c r="AO486" s="21">
        <f t="shared" si="21"/>
        <v>0</v>
      </c>
      <c r="AP486" s="7">
        <f t="shared" si="22"/>
        <v>14.07</v>
      </c>
      <c r="AQ486" s="31" t="str">
        <f t="shared" si="23"/>
        <v>Complete - No Adjustment</v>
      </c>
      <c r="AS486" s="37"/>
      <c r="AT486" s="37"/>
      <c r="AU486" s="37"/>
      <c r="AV486" s="37"/>
      <c r="AW486" s="37"/>
      <c r="AX486" s="37"/>
      <c r="AY486" s="37"/>
      <c r="AZ486" s="37"/>
      <c r="BA486" s="37"/>
      <c r="BB486" s="37"/>
      <c r="BC486" s="37"/>
      <c r="BD486" s="37"/>
      <c r="BE486" s="37"/>
      <c r="BF486" s="37"/>
      <c r="BG486" s="37"/>
      <c r="BH486" s="37"/>
      <c r="BI486" s="37"/>
    </row>
    <row r="487" spans="1:61" x14ac:dyDescent="0.2">
      <c r="A487" s="46">
        <v>477</v>
      </c>
      <c r="B487" s="13" t="s">
        <v>266</v>
      </c>
      <c r="C487" s="13" t="s">
        <v>742</v>
      </c>
      <c r="D487" s="13" t="s">
        <v>741</v>
      </c>
      <c r="E487" s="13" t="s">
        <v>1700</v>
      </c>
      <c r="F487" s="13" t="s">
        <v>188</v>
      </c>
      <c r="G487" s="13" t="s">
        <v>111</v>
      </c>
      <c r="H487" s="16">
        <v>43972</v>
      </c>
      <c r="I487" s="16">
        <v>43978</v>
      </c>
      <c r="J487" s="22">
        <v>14.07</v>
      </c>
      <c r="K487" s="22">
        <v>14.07</v>
      </c>
      <c r="L487" s="22" t="s">
        <v>1701</v>
      </c>
      <c r="M487" s="26" t="s">
        <v>98</v>
      </c>
      <c r="N487" s="13" t="s">
        <v>230</v>
      </c>
      <c r="O487" s="13" t="s">
        <v>288</v>
      </c>
      <c r="P487" s="13" t="s">
        <v>60</v>
      </c>
      <c r="Q487" s="13" t="s">
        <v>41</v>
      </c>
      <c r="R487" s="13" t="s">
        <v>270</v>
      </c>
      <c r="S487" s="13" t="s">
        <v>1702</v>
      </c>
      <c r="T487" s="13" t="s">
        <v>1703</v>
      </c>
      <c r="U487" s="13"/>
      <c r="V487" s="13"/>
      <c r="W487" s="13"/>
      <c r="X487" s="14"/>
      <c r="AN487" s="7" t="s">
        <v>155</v>
      </c>
      <c r="AO487" s="21">
        <f t="shared" si="21"/>
        <v>0</v>
      </c>
      <c r="AP487" s="7">
        <f t="shared" si="22"/>
        <v>14.07</v>
      </c>
      <c r="AQ487" s="31" t="str">
        <f t="shared" si="23"/>
        <v>Complete - No Adjustment</v>
      </c>
      <c r="AS487" s="37"/>
      <c r="AT487" s="37"/>
      <c r="AU487" s="37"/>
      <c r="AV487" s="37"/>
      <c r="AW487" s="37"/>
      <c r="AX487" s="37"/>
      <c r="AY487" s="37"/>
      <c r="AZ487" s="37"/>
      <c r="BA487" s="37"/>
      <c r="BB487" s="37"/>
      <c r="BC487" s="37"/>
      <c r="BD487" s="37"/>
      <c r="BE487" s="37"/>
      <c r="BF487" s="37"/>
      <c r="BG487" s="37"/>
      <c r="BH487" s="37"/>
      <c r="BI487" s="37"/>
    </row>
    <row r="488" spans="1:61" x14ac:dyDescent="0.2">
      <c r="A488" s="46">
        <v>478</v>
      </c>
      <c r="B488" s="13" t="s">
        <v>266</v>
      </c>
      <c r="C488" s="13" t="s">
        <v>77</v>
      </c>
      <c r="D488" s="13" t="s">
        <v>100</v>
      </c>
      <c r="E488" s="13" t="s">
        <v>1704</v>
      </c>
      <c r="F488" s="13" t="s">
        <v>184</v>
      </c>
      <c r="G488" s="13" t="s">
        <v>111</v>
      </c>
      <c r="H488" s="16">
        <v>43952</v>
      </c>
      <c r="I488" s="16">
        <v>43959</v>
      </c>
      <c r="J488" s="22">
        <v>465.33</v>
      </c>
      <c r="K488" s="22">
        <v>440</v>
      </c>
      <c r="L488" s="22" t="s">
        <v>1705</v>
      </c>
      <c r="M488" s="26" t="s">
        <v>98</v>
      </c>
      <c r="N488" s="13" t="s">
        <v>230</v>
      </c>
      <c r="O488" s="13" t="s">
        <v>78</v>
      </c>
      <c r="P488" s="13" t="s">
        <v>60</v>
      </c>
      <c r="Q488" s="13" t="s">
        <v>119</v>
      </c>
      <c r="R488" s="13" t="s">
        <v>270</v>
      </c>
      <c r="S488" s="13" t="s">
        <v>1706</v>
      </c>
      <c r="T488" s="13" t="s">
        <v>1707</v>
      </c>
      <c r="U488" s="13"/>
      <c r="V488" s="13"/>
      <c r="W488" s="13"/>
      <c r="X488" s="14"/>
      <c r="AN488" s="7" t="s">
        <v>70</v>
      </c>
      <c r="AO488" s="21">
        <f t="shared" ref="AO488:AO551" si="24">SUM(Y488:AL488)</f>
        <v>0</v>
      </c>
      <c r="AP488" s="7">
        <f t="shared" ref="AP488:AP551" si="25">K488-AO488</f>
        <v>440</v>
      </c>
      <c r="AQ488" s="31" t="str">
        <f t="shared" si="23"/>
        <v>Complete - No Adjustment</v>
      </c>
      <c r="AS488" s="37"/>
      <c r="AT488" s="37"/>
      <c r="AU488" s="37"/>
      <c r="AV488" s="37"/>
      <c r="AW488" s="37"/>
      <c r="AX488" s="37"/>
      <c r="AY488" s="37"/>
      <c r="AZ488" s="37"/>
      <c r="BA488" s="37"/>
      <c r="BB488" s="37"/>
      <c r="BC488" s="37"/>
      <c r="BD488" s="37"/>
      <c r="BE488" s="37"/>
      <c r="BF488" s="37"/>
      <c r="BG488" s="37"/>
      <c r="BH488" s="37"/>
      <c r="BI488" s="37"/>
    </row>
    <row r="489" spans="1:61" x14ac:dyDescent="0.2">
      <c r="A489" s="46">
        <v>479</v>
      </c>
      <c r="B489" s="13" t="s">
        <v>266</v>
      </c>
      <c r="C489" s="13" t="s">
        <v>77</v>
      </c>
      <c r="D489" s="13" t="s">
        <v>100</v>
      </c>
      <c r="E489" s="13" t="s">
        <v>1704</v>
      </c>
      <c r="F489" s="13" t="s">
        <v>184</v>
      </c>
      <c r="G489" s="13" t="s">
        <v>111</v>
      </c>
      <c r="H489" s="16">
        <v>43952</v>
      </c>
      <c r="I489" s="16">
        <v>43959</v>
      </c>
      <c r="J489" s="22">
        <v>465.33</v>
      </c>
      <c r="K489" s="22">
        <v>25.33</v>
      </c>
      <c r="L489" s="22" t="s">
        <v>1705</v>
      </c>
      <c r="M489" s="26" t="s">
        <v>98</v>
      </c>
      <c r="N489" s="13" t="s">
        <v>230</v>
      </c>
      <c r="O489" s="13" t="s">
        <v>78</v>
      </c>
      <c r="P489" s="13" t="s">
        <v>60</v>
      </c>
      <c r="Q489" s="13" t="s">
        <v>41</v>
      </c>
      <c r="R489" s="13" t="s">
        <v>270</v>
      </c>
      <c r="S489" s="13" t="s">
        <v>1706</v>
      </c>
      <c r="T489" s="13" t="s">
        <v>1708</v>
      </c>
      <c r="U489" s="13"/>
      <c r="V489" s="13"/>
      <c r="W489" s="13"/>
      <c r="X489" s="14"/>
      <c r="AN489" s="7" t="s">
        <v>155</v>
      </c>
      <c r="AO489" s="21">
        <f t="shared" si="24"/>
        <v>0</v>
      </c>
      <c r="AP489" s="7">
        <f t="shared" si="25"/>
        <v>25.33</v>
      </c>
      <c r="AQ489" s="31" t="str">
        <f t="shared" si="23"/>
        <v>Complete - No Adjustment</v>
      </c>
      <c r="AS489" s="37"/>
      <c r="AT489" s="37"/>
      <c r="AU489" s="37"/>
      <c r="AV489" s="37"/>
      <c r="AW489" s="37"/>
      <c r="AX489" s="37"/>
      <c r="AY489" s="37"/>
      <c r="AZ489" s="37"/>
      <c r="BA489" s="37"/>
      <c r="BB489" s="37"/>
      <c r="BC489" s="37"/>
      <c r="BD489" s="37"/>
      <c r="BE489" s="37"/>
      <c r="BF489" s="37"/>
      <c r="BG489" s="37"/>
      <c r="BH489" s="37"/>
      <c r="BI489" s="37"/>
    </row>
    <row r="490" spans="1:61" x14ac:dyDescent="0.2">
      <c r="A490" s="46">
        <v>480</v>
      </c>
      <c r="B490" s="13" t="s">
        <v>266</v>
      </c>
      <c r="C490" s="13" t="s">
        <v>319</v>
      </c>
      <c r="D490" s="13" t="s">
        <v>318</v>
      </c>
      <c r="E490" s="13" t="s">
        <v>1709</v>
      </c>
      <c r="F490" s="13" t="s">
        <v>185</v>
      </c>
      <c r="G490" s="13" t="s">
        <v>111</v>
      </c>
      <c r="H490" s="16">
        <v>43971</v>
      </c>
      <c r="I490" s="16">
        <v>43973</v>
      </c>
      <c r="J490" s="22">
        <v>33.659999999999997</v>
      </c>
      <c r="K490" s="22">
        <v>8.66</v>
      </c>
      <c r="L490" s="22" t="s">
        <v>1710</v>
      </c>
      <c r="M490" s="26" t="s">
        <v>98</v>
      </c>
      <c r="N490" s="13" t="s">
        <v>230</v>
      </c>
      <c r="O490" s="13" t="s">
        <v>320</v>
      </c>
      <c r="P490" s="13" t="s">
        <v>60</v>
      </c>
      <c r="Q490" s="13" t="s">
        <v>41</v>
      </c>
      <c r="R490" s="13" t="s">
        <v>270</v>
      </c>
      <c r="S490" s="13" t="s">
        <v>1711</v>
      </c>
      <c r="T490" s="13" t="s">
        <v>1712</v>
      </c>
      <c r="U490" s="13"/>
      <c r="V490" s="13"/>
      <c r="W490" s="13"/>
      <c r="X490" s="14"/>
      <c r="AL490" s="14">
        <v>8.66</v>
      </c>
      <c r="AN490" s="7" t="s">
        <v>146</v>
      </c>
      <c r="AO490" s="21">
        <f t="shared" si="24"/>
        <v>8.66</v>
      </c>
      <c r="AP490" s="7">
        <f t="shared" si="25"/>
        <v>0</v>
      </c>
      <c r="AQ490" s="31" t="str">
        <f t="shared" si="23"/>
        <v>Complete - With Adjustment</v>
      </c>
      <c r="AS490" s="37"/>
      <c r="AT490" s="37"/>
      <c r="AU490" s="37"/>
      <c r="AV490" s="37"/>
      <c r="AW490" s="37"/>
      <c r="AX490" s="37"/>
      <c r="AY490" s="37"/>
      <c r="AZ490" s="37"/>
      <c r="BA490" s="37"/>
      <c r="BB490" s="37"/>
      <c r="BC490" s="37"/>
      <c r="BD490" s="37"/>
      <c r="BE490" s="37"/>
      <c r="BF490" s="37"/>
      <c r="BG490" s="37"/>
      <c r="BH490" s="37"/>
      <c r="BI490" s="37"/>
    </row>
    <row r="491" spans="1:61" x14ac:dyDescent="0.2">
      <c r="A491" s="46">
        <v>481</v>
      </c>
      <c r="B491" s="13" t="s">
        <v>266</v>
      </c>
      <c r="C491" s="13" t="s">
        <v>319</v>
      </c>
      <c r="D491" s="13" t="s">
        <v>318</v>
      </c>
      <c r="E491" s="13" t="s">
        <v>1709</v>
      </c>
      <c r="F491" s="13" t="s">
        <v>185</v>
      </c>
      <c r="G491" s="13" t="s">
        <v>111</v>
      </c>
      <c r="H491" s="16">
        <v>43971</v>
      </c>
      <c r="I491" s="16">
        <v>43973</v>
      </c>
      <c r="J491" s="22">
        <v>33.659999999999997</v>
      </c>
      <c r="K491" s="22">
        <v>25</v>
      </c>
      <c r="L491" s="22" t="s">
        <v>1710</v>
      </c>
      <c r="M491" s="26" t="s">
        <v>98</v>
      </c>
      <c r="N491" s="13" t="s">
        <v>230</v>
      </c>
      <c r="O491" s="13" t="s">
        <v>320</v>
      </c>
      <c r="P491" s="13" t="s">
        <v>60</v>
      </c>
      <c r="Q491" s="13" t="s">
        <v>41</v>
      </c>
      <c r="R491" s="13" t="s">
        <v>270</v>
      </c>
      <c r="S491" s="13" t="s">
        <v>1711</v>
      </c>
      <c r="T491" s="13" t="s">
        <v>1713</v>
      </c>
      <c r="U491" s="13"/>
      <c r="V491" s="13"/>
      <c r="W491" s="13"/>
      <c r="X491" s="14"/>
      <c r="AN491" s="7" t="s">
        <v>70</v>
      </c>
      <c r="AO491" s="21">
        <f t="shared" si="24"/>
        <v>0</v>
      </c>
      <c r="AP491" s="7">
        <f t="shared" si="25"/>
        <v>25</v>
      </c>
      <c r="AQ491" s="31" t="str">
        <f t="shared" si="23"/>
        <v>Complete - No Adjustment</v>
      </c>
      <c r="AS491" s="37"/>
      <c r="AT491" s="37"/>
      <c r="AU491" s="37"/>
      <c r="AV491" s="37"/>
      <c r="AW491" s="37"/>
      <c r="AX491" s="37"/>
      <c r="AY491" s="37"/>
      <c r="AZ491" s="37"/>
      <c r="BA491" s="37"/>
      <c r="BB491" s="37"/>
      <c r="BC491" s="37"/>
      <c r="BD491" s="37"/>
      <c r="BE491" s="37"/>
      <c r="BF491" s="37"/>
      <c r="BG491" s="37"/>
      <c r="BH491" s="37"/>
      <c r="BI491" s="37"/>
    </row>
    <row r="492" spans="1:61" x14ac:dyDescent="0.2">
      <c r="A492" s="46">
        <v>482</v>
      </c>
      <c r="B492" s="13" t="s">
        <v>266</v>
      </c>
      <c r="C492" s="13" t="s">
        <v>521</v>
      </c>
      <c r="D492" s="13" t="s">
        <v>520</v>
      </c>
      <c r="E492" s="13" t="s">
        <v>1714</v>
      </c>
      <c r="F492" s="13" t="s">
        <v>190</v>
      </c>
      <c r="G492" s="13" t="s">
        <v>111</v>
      </c>
      <c r="H492" s="16">
        <v>43945</v>
      </c>
      <c r="I492" s="16">
        <v>43952</v>
      </c>
      <c r="J492" s="22">
        <v>3660.85</v>
      </c>
      <c r="K492" s="22">
        <v>22.99</v>
      </c>
      <c r="L492" s="22" t="s">
        <v>1715</v>
      </c>
      <c r="M492" s="26" t="s">
        <v>98</v>
      </c>
      <c r="N492" s="13" t="s">
        <v>230</v>
      </c>
      <c r="O492" s="13" t="s">
        <v>365</v>
      </c>
      <c r="P492" s="13" t="s">
        <v>60</v>
      </c>
      <c r="Q492" s="13" t="s">
        <v>41</v>
      </c>
      <c r="R492" s="13" t="s">
        <v>270</v>
      </c>
      <c r="S492" s="13" t="s">
        <v>1716</v>
      </c>
      <c r="T492" s="13" t="s">
        <v>1717</v>
      </c>
      <c r="U492" s="13"/>
      <c r="V492" s="13"/>
      <c r="W492" s="13"/>
      <c r="X492" s="14"/>
      <c r="AN492" s="7" t="s">
        <v>70</v>
      </c>
      <c r="AO492" s="21">
        <f t="shared" si="24"/>
        <v>0</v>
      </c>
      <c r="AP492" s="7">
        <f t="shared" si="25"/>
        <v>22.99</v>
      </c>
      <c r="AQ492" s="31" t="str">
        <f t="shared" si="23"/>
        <v>Complete - No Adjustment</v>
      </c>
      <c r="AS492" s="37"/>
      <c r="AT492" s="37"/>
      <c r="AU492" s="37"/>
      <c r="AV492" s="37"/>
      <c r="AW492" s="37"/>
      <c r="AX492" s="37"/>
      <c r="AY492" s="37"/>
      <c r="AZ492" s="37"/>
      <c r="BA492" s="37"/>
      <c r="BB492" s="37"/>
      <c r="BC492" s="37"/>
      <c r="BD492" s="37"/>
      <c r="BE492" s="37"/>
      <c r="BF492" s="37"/>
      <c r="BG492" s="37"/>
      <c r="BH492" s="37"/>
      <c r="BI492" s="37"/>
    </row>
    <row r="493" spans="1:61" x14ac:dyDescent="0.2">
      <c r="A493" s="46">
        <v>483</v>
      </c>
      <c r="B493" s="13" t="s">
        <v>266</v>
      </c>
      <c r="C493" s="13" t="s">
        <v>521</v>
      </c>
      <c r="D493" s="13" t="s">
        <v>520</v>
      </c>
      <c r="E493" s="13" t="s">
        <v>1714</v>
      </c>
      <c r="F493" s="13" t="s">
        <v>190</v>
      </c>
      <c r="G493" s="13" t="s">
        <v>111</v>
      </c>
      <c r="H493" s="16">
        <v>43945</v>
      </c>
      <c r="I493" s="16">
        <v>43952</v>
      </c>
      <c r="J493" s="22">
        <v>3660.85</v>
      </c>
      <c r="K493" s="22">
        <v>6.77</v>
      </c>
      <c r="L493" s="22" t="s">
        <v>1715</v>
      </c>
      <c r="M493" s="26" t="s">
        <v>98</v>
      </c>
      <c r="N493" s="13" t="s">
        <v>230</v>
      </c>
      <c r="O493" s="13" t="s">
        <v>365</v>
      </c>
      <c r="P493" s="13" t="s">
        <v>60</v>
      </c>
      <c r="Q493" s="13" t="s">
        <v>41</v>
      </c>
      <c r="R493" s="13" t="s">
        <v>270</v>
      </c>
      <c r="S493" s="13" t="s">
        <v>1716</v>
      </c>
      <c r="T493" s="13" t="s">
        <v>1718</v>
      </c>
      <c r="U493" s="13"/>
      <c r="V493" s="13"/>
      <c r="W493" s="13"/>
      <c r="X493" s="14"/>
      <c r="AN493" s="7" t="s">
        <v>70</v>
      </c>
      <c r="AO493" s="21">
        <f t="shared" si="24"/>
        <v>0</v>
      </c>
      <c r="AP493" s="7">
        <f t="shared" si="25"/>
        <v>6.77</v>
      </c>
      <c r="AQ493" s="31" t="str">
        <f t="shared" si="23"/>
        <v>Complete - No Adjustment</v>
      </c>
      <c r="AS493" s="37"/>
      <c r="AT493" s="37"/>
      <c r="AU493" s="37"/>
      <c r="AV493" s="37"/>
      <c r="AW493" s="37"/>
      <c r="AX493" s="37"/>
      <c r="AY493" s="37"/>
      <c r="AZ493" s="37"/>
      <c r="BA493" s="37"/>
      <c r="BB493" s="37"/>
      <c r="BC493" s="37"/>
      <c r="BD493" s="37"/>
      <c r="BE493" s="37"/>
      <c r="BF493" s="37"/>
      <c r="BG493" s="37"/>
      <c r="BH493" s="37"/>
      <c r="BI493" s="37"/>
    </row>
    <row r="494" spans="1:61" x14ac:dyDescent="0.2">
      <c r="A494" s="46">
        <v>484</v>
      </c>
      <c r="B494" s="13" t="s">
        <v>266</v>
      </c>
      <c r="C494" s="13" t="s">
        <v>521</v>
      </c>
      <c r="D494" s="13" t="s">
        <v>520</v>
      </c>
      <c r="E494" s="13" t="s">
        <v>1714</v>
      </c>
      <c r="F494" s="13" t="s">
        <v>190</v>
      </c>
      <c r="G494" s="13" t="s">
        <v>111</v>
      </c>
      <c r="H494" s="16">
        <v>43945</v>
      </c>
      <c r="I494" s="16">
        <v>43952</v>
      </c>
      <c r="J494" s="22">
        <v>3660.85</v>
      </c>
      <c r="K494" s="22">
        <v>30</v>
      </c>
      <c r="L494" s="22" t="s">
        <v>1715</v>
      </c>
      <c r="M494" s="26" t="s">
        <v>98</v>
      </c>
      <c r="N494" s="13" t="s">
        <v>230</v>
      </c>
      <c r="O494" s="13" t="s">
        <v>365</v>
      </c>
      <c r="P494" s="13" t="s">
        <v>60</v>
      </c>
      <c r="Q494" s="13" t="s">
        <v>44</v>
      </c>
      <c r="R494" s="13" t="s">
        <v>270</v>
      </c>
      <c r="S494" s="13" t="s">
        <v>1716</v>
      </c>
      <c r="T494" s="13" t="s">
        <v>1719</v>
      </c>
      <c r="U494" s="13"/>
      <c r="V494" s="13"/>
      <c r="W494" s="13"/>
      <c r="X494" s="14"/>
      <c r="AN494" s="7" t="s">
        <v>70</v>
      </c>
      <c r="AO494" s="21">
        <f t="shared" si="24"/>
        <v>0</v>
      </c>
      <c r="AP494" s="7">
        <f t="shared" si="25"/>
        <v>30</v>
      </c>
      <c r="AQ494" s="31" t="str">
        <f t="shared" si="23"/>
        <v>Complete - No Adjustment</v>
      </c>
      <c r="AS494" s="37"/>
      <c r="AT494" s="37"/>
      <c r="AU494" s="37"/>
      <c r="AV494" s="37"/>
      <c r="AW494" s="37"/>
      <c r="AX494" s="37"/>
      <c r="AY494" s="37"/>
      <c r="AZ494" s="37"/>
      <c r="BA494" s="37"/>
      <c r="BB494" s="37"/>
      <c r="BC494" s="37"/>
      <c r="BD494" s="37"/>
      <c r="BE494" s="37"/>
      <c r="BF494" s="37"/>
      <c r="BG494" s="37"/>
      <c r="BH494" s="37"/>
      <c r="BI494" s="37"/>
    </row>
    <row r="495" spans="1:61" x14ac:dyDescent="0.2">
      <c r="A495" s="46">
        <v>485</v>
      </c>
      <c r="B495" s="13" t="s">
        <v>266</v>
      </c>
      <c r="C495" s="13" t="s">
        <v>521</v>
      </c>
      <c r="D495" s="13" t="s">
        <v>520</v>
      </c>
      <c r="E495" s="13" t="s">
        <v>1714</v>
      </c>
      <c r="F495" s="13" t="s">
        <v>190</v>
      </c>
      <c r="G495" s="13" t="s">
        <v>111</v>
      </c>
      <c r="H495" s="16">
        <v>43945</v>
      </c>
      <c r="I495" s="16">
        <v>43952</v>
      </c>
      <c r="J495" s="22">
        <v>3660.85</v>
      </c>
      <c r="K495" s="22">
        <v>12.65</v>
      </c>
      <c r="L495" s="22" t="s">
        <v>1715</v>
      </c>
      <c r="M495" s="26" t="s">
        <v>98</v>
      </c>
      <c r="N495" s="13" t="s">
        <v>230</v>
      </c>
      <c r="O495" s="13" t="s">
        <v>365</v>
      </c>
      <c r="P495" s="13" t="s">
        <v>60</v>
      </c>
      <c r="Q495" s="13" t="s">
        <v>41</v>
      </c>
      <c r="R495" s="13" t="s">
        <v>270</v>
      </c>
      <c r="S495" s="13" t="s">
        <v>1716</v>
      </c>
      <c r="T495" s="13" t="s">
        <v>1718</v>
      </c>
      <c r="U495" s="13"/>
      <c r="V495" s="13"/>
      <c r="W495" s="13"/>
      <c r="X495" s="14"/>
      <c r="AN495" s="7" t="s">
        <v>70</v>
      </c>
      <c r="AO495" s="21">
        <f t="shared" si="24"/>
        <v>0</v>
      </c>
      <c r="AP495" s="7">
        <f t="shared" si="25"/>
        <v>12.65</v>
      </c>
      <c r="AQ495" s="31" t="str">
        <f t="shared" si="23"/>
        <v>Complete - No Adjustment</v>
      </c>
      <c r="AS495" s="37"/>
      <c r="AT495" s="37"/>
      <c r="AU495" s="37"/>
      <c r="AV495" s="37"/>
      <c r="AW495" s="37"/>
      <c r="AX495" s="37"/>
      <c r="AY495" s="37"/>
      <c r="AZ495" s="37"/>
      <c r="BA495" s="37"/>
      <c r="BB495" s="37"/>
      <c r="BC495" s="37"/>
      <c r="BD495" s="37"/>
      <c r="BE495" s="37"/>
      <c r="BF495" s="37"/>
      <c r="BG495" s="37"/>
      <c r="BH495" s="37"/>
      <c r="BI495" s="37"/>
    </row>
    <row r="496" spans="1:61" x14ac:dyDescent="0.2">
      <c r="A496" s="46">
        <v>486</v>
      </c>
      <c r="B496" s="13" t="s">
        <v>266</v>
      </c>
      <c r="C496" s="13" t="s">
        <v>521</v>
      </c>
      <c r="D496" s="13" t="s">
        <v>520</v>
      </c>
      <c r="E496" s="13" t="s">
        <v>1714</v>
      </c>
      <c r="F496" s="13" t="s">
        <v>190</v>
      </c>
      <c r="G496" s="13" t="s">
        <v>111</v>
      </c>
      <c r="H496" s="16">
        <v>43945</v>
      </c>
      <c r="I496" s="16">
        <v>43952</v>
      </c>
      <c r="J496" s="22">
        <v>3660.85</v>
      </c>
      <c r="K496" s="22">
        <v>277.98</v>
      </c>
      <c r="L496" s="22" t="s">
        <v>1715</v>
      </c>
      <c r="M496" s="26" t="s">
        <v>98</v>
      </c>
      <c r="N496" s="13" t="s">
        <v>230</v>
      </c>
      <c r="O496" s="13" t="s">
        <v>365</v>
      </c>
      <c r="P496" s="13" t="s">
        <v>60</v>
      </c>
      <c r="Q496" s="13" t="s">
        <v>44</v>
      </c>
      <c r="R496" s="13" t="s">
        <v>270</v>
      </c>
      <c r="S496" s="13" t="s">
        <v>1716</v>
      </c>
      <c r="T496" s="13" t="s">
        <v>1720</v>
      </c>
      <c r="U496" s="13"/>
      <c r="V496" s="13"/>
      <c r="W496" s="13"/>
      <c r="X496" s="14"/>
      <c r="AN496" s="7" t="s">
        <v>70</v>
      </c>
      <c r="AO496" s="21">
        <f t="shared" si="24"/>
        <v>0</v>
      </c>
      <c r="AP496" s="7">
        <f t="shared" si="25"/>
        <v>277.98</v>
      </c>
      <c r="AQ496" s="31" t="str">
        <f t="shared" si="23"/>
        <v>Complete - No Adjustment</v>
      </c>
      <c r="AS496" s="37"/>
      <c r="AT496" s="37"/>
      <c r="AU496" s="37"/>
      <c r="AV496" s="37"/>
      <c r="AW496" s="37"/>
      <c r="AX496" s="37"/>
      <c r="AY496" s="37"/>
      <c r="AZ496" s="37"/>
      <c r="BA496" s="37"/>
      <c r="BB496" s="37"/>
      <c r="BC496" s="37"/>
      <c r="BD496" s="37"/>
      <c r="BE496" s="37"/>
      <c r="BF496" s="37"/>
      <c r="BG496" s="37"/>
      <c r="BH496" s="37"/>
      <c r="BI496" s="37"/>
    </row>
    <row r="497" spans="1:61" x14ac:dyDescent="0.2">
      <c r="A497" s="46">
        <v>487</v>
      </c>
      <c r="B497" s="13" t="s">
        <v>266</v>
      </c>
      <c r="C497" s="13" t="s">
        <v>521</v>
      </c>
      <c r="D497" s="13" t="s">
        <v>520</v>
      </c>
      <c r="E497" s="13" t="s">
        <v>1714</v>
      </c>
      <c r="F497" s="13" t="s">
        <v>190</v>
      </c>
      <c r="G497" s="13" t="s">
        <v>111</v>
      </c>
      <c r="H497" s="16">
        <v>43945</v>
      </c>
      <c r="I497" s="16">
        <v>43952</v>
      </c>
      <c r="J497" s="22">
        <v>3660.85</v>
      </c>
      <c r="K497" s="22">
        <v>702.23</v>
      </c>
      <c r="L497" s="22" t="s">
        <v>1715</v>
      </c>
      <c r="M497" s="26" t="s">
        <v>98</v>
      </c>
      <c r="N497" s="13" t="s">
        <v>230</v>
      </c>
      <c r="O497" s="13" t="s">
        <v>365</v>
      </c>
      <c r="P497" s="13" t="s">
        <v>60</v>
      </c>
      <c r="Q497" s="13" t="s">
        <v>41</v>
      </c>
      <c r="R497" s="13" t="s">
        <v>270</v>
      </c>
      <c r="S497" s="13" t="s">
        <v>1716</v>
      </c>
      <c r="T497" s="13" t="s">
        <v>1721</v>
      </c>
      <c r="U497" s="13"/>
      <c r="V497" s="13"/>
      <c r="W497" s="13"/>
      <c r="X497" s="14"/>
      <c r="AB497" s="14">
        <f>(486.5-25*16)+65</f>
        <v>151.5</v>
      </c>
      <c r="AN497" s="7" t="s">
        <v>66</v>
      </c>
      <c r="AO497" s="21">
        <f t="shared" si="24"/>
        <v>151.5</v>
      </c>
      <c r="AP497" s="7">
        <f t="shared" si="25"/>
        <v>550.73</v>
      </c>
      <c r="AQ497" s="31" t="str">
        <f t="shared" si="23"/>
        <v>Complete - With Adjustment</v>
      </c>
      <c r="AS497" s="37"/>
      <c r="AT497" s="37"/>
      <c r="AU497" s="37"/>
      <c r="AV497" s="37"/>
      <c r="AW497" s="37"/>
      <c r="AX497" s="37"/>
      <c r="AY497" s="37"/>
      <c r="AZ497" s="37"/>
      <c r="BA497" s="37"/>
      <c r="BB497" s="37"/>
      <c r="BC497" s="37"/>
      <c r="BD497" s="37"/>
      <c r="BE497" s="37"/>
      <c r="BF497" s="37"/>
      <c r="BG497" s="37"/>
      <c r="BH497" s="37"/>
      <c r="BI497" s="37"/>
    </row>
    <row r="498" spans="1:61" x14ac:dyDescent="0.2">
      <c r="A498" s="46">
        <v>488</v>
      </c>
      <c r="B498" s="13" t="s">
        <v>266</v>
      </c>
      <c r="C498" s="13" t="s">
        <v>521</v>
      </c>
      <c r="D498" s="13" t="s">
        <v>520</v>
      </c>
      <c r="E498" s="13" t="s">
        <v>1714</v>
      </c>
      <c r="F498" s="13" t="s">
        <v>190</v>
      </c>
      <c r="G498" s="13" t="s">
        <v>111</v>
      </c>
      <c r="H498" s="16">
        <v>43945</v>
      </c>
      <c r="I498" s="16">
        <v>43952</v>
      </c>
      <c r="J498" s="22">
        <v>3660.85</v>
      </c>
      <c r="K498" s="22">
        <v>8.2799999999999994</v>
      </c>
      <c r="L498" s="22" t="s">
        <v>1715</v>
      </c>
      <c r="M498" s="26" t="s">
        <v>98</v>
      </c>
      <c r="N498" s="13" t="s">
        <v>230</v>
      </c>
      <c r="O498" s="13" t="s">
        <v>365</v>
      </c>
      <c r="P498" s="13" t="s">
        <v>60</v>
      </c>
      <c r="Q498" s="13" t="s">
        <v>41</v>
      </c>
      <c r="R498" s="13" t="s">
        <v>270</v>
      </c>
      <c r="S498" s="13" t="s">
        <v>1716</v>
      </c>
      <c r="T498" s="13" t="s">
        <v>1718</v>
      </c>
      <c r="U498" s="13"/>
      <c r="V498" s="13"/>
      <c r="W498" s="13"/>
      <c r="X498" s="14"/>
      <c r="AN498" s="7" t="s">
        <v>70</v>
      </c>
      <c r="AO498" s="21">
        <f t="shared" si="24"/>
        <v>0</v>
      </c>
      <c r="AP498" s="7">
        <f t="shared" si="25"/>
        <v>8.2799999999999994</v>
      </c>
      <c r="AQ498" s="31" t="str">
        <f t="shared" si="23"/>
        <v>Complete - No Adjustment</v>
      </c>
      <c r="AS498" s="37"/>
      <c r="AT498" s="37"/>
      <c r="AU498" s="37"/>
      <c r="AV498" s="37"/>
      <c r="AW498" s="37"/>
      <c r="AX498" s="37"/>
      <c r="AY498" s="37"/>
      <c r="AZ498" s="37"/>
      <c r="BA498" s="37"/>
      <c r="BB498" s="37"/>
      <c r="BC498" s="37"/>
      <c r="BD498" s="37"/>
      <c r="BE498" s="37"/>
      <c r="BF498" s="37"/>
      <c r="BG498" s="37"/>
      <c r="BH498" s="37"/>
      <c r="BI498" s="37"/>
    </row>
    <row r="499" spans="1:61" x14ac:dyDescent="0.2">
      <c r="A499" s="46">
        <v>489</v>
      </c>
      <c r="B499" s="13" t="s">
        <v>266</v>
      </c>
      <c r="C499" s="13" t="s">
        <v>521</v>
      </c>
      <c r="D499" s="13" t="s">
        <v>520</v>
      </c>
      <c r="E499" s="13" t="s">
        <v>1714</v>
      </c>
      <c r="F499" s="13" t="s">
        <v>190</v>
      </c>
      <c r="G499" s="13" t="s">
        <v>111</v>
      </c>
      <c r="H499" s="16">
        <v>43945</v>
      </c>
      <c r="I499" s="16">
        <v>43952</v>
      </c>
      <c r="J499" s="22">
        <v>3660.85</v>
      </c>
      <c r="K499" s="22">
        <v>48.44</v>
      </c>
      <c r="L499" s="22" t="s">
        <v>1715</v>
      </c>
      <c r="M499" s="26" t="s">
        <v>98</v>
      </c>
      <c r="N499" s="13" t="s">
        <v>230</v>
      </c>
      <c r="O499" s="13" t="s">
        <v>365</v>
      </c>
      <c r="P499" s="13" t="s">
        <v>60</v>
      </c>
      <c r="Q499" s="13" t="s">
        <v>41</v>
      </c>
      <c r="R499" s="13" t="s">
        <v>270</v>
      </c>
      <c r="S499" s="13" t="s">
        <v>1716</v>
      </c>
      <c r="T499" s="13" t="s">
        <v>1722</v>
      </c>
      <c r="U499" s="13"/>
      <c r="V499" s="13"/>
      <c r="W499" s="13"/>
      <c r="X499" s="14"/>
      <c r="AN499" s="7" t="s">
        <v>70</v>
      </c>
      <c r="AO499" s="21">
        <f t="shared" si="24"/>
        <v>0</v>
      </c>
      <c r="AP499" s="7">
        <f t="shared" si="25"/>
        <v>48.44</v>
      </c>
      <c r="AQ499" s="31" t="str">
        <f t="shared" si="23"/>
        <v>Complete - No Adjustment</v>
      </c>
      <c r="AS499" s="37"/>
      <c r="AT499" s="37"/>
      <c r="AU499" s="37"/>
      <c r="AV499" s="37"/>
      <c r="AW499" s="37"/>
      <c r="AX499" s="37"/>
      <c r="AY499" s="37"/>
      <c r="AZ499" s="37"/>
      <c r="BA499" s="37"/>
      <c r="BB499" s="37"/>
      <c r="BC499" s="37"/>
      <c r="BD499" s="37"/>
      <c r="BE499" s="37"/>
      <c r="BF499" s="37"/>
      <c r="BG499" s="37"/>
      <c r="BH499" s="37"/>
      <c r="BI499" s="37"/>
    </row>
    <row r="500" spans="1:61" x14ac:dyDescent="0.2">
      <c r="A500" s="46">
        <v>490</v>
      </c>
      <c r="B500" s="13" t="s">
        <v>266</v>
      </c>
      <c r="C500" s="13" t="s">
        <v>521</v>
      </c>
      <c r="D500" s="13" t="s">
        <v>520</v>
      </c>
      <c r="E500" s="13" t="s">
        <v>1714</v>
      </c>
      <c r="F500" s="13" t="s">
        <v>190</v>
      </c>
      <c r="G500" s="13" t="s">
        <v>111</v>
      </c>
      <c r="H500" s="16">
        <v>43945</v>
      </c>
      <c r="I500" s="16">
        <v>43952</v>
      </c>
      <c r="J500" s="22">
        <v>3660.85</v>
      </c>
      <c r="K500" s="22">
        <v>150</v>
      </c>
      <c r="L500" s="22" t="s">
        <v>1715</v>
      </c>
      <c r="M500" s="26" t="s">
        <v>98</v>
      </c>
      <c r="N500" s="13" t="s">
        <v>230</v>
      </c>
      <c r="O500" s="13" t="s">
        <v>365</v>
      </c>
      <c r="P500" s="13" t="s">
        <v>60</v>
      </c>
      <c r="Q500" s="13" t="s">
        <v>49</v>
      </c>
      <c r="R500" s="13" t="s">
        <v>270</v>
      </c>
      <c r="S500" s="13" t="s">
        <v>1716</v>
      </c>
      <c r="T500" s="13" t="s">
        <v>1723</v>
      </c>
      <c r="U500" s="13"/>
      <c r="V500" s="13"/>
      <c r="W500" s="13"/>
      <c r="X500" s="14"/>
      <c r="AN500" s="7" t="s">
        <v>70</v>
      </c>
      <c r="AO500" s="21">
        <f t="shared" si="24"/>
        <v>0</v>
      </c>
      <c r="AP500" s="7">
        <f t="shared" si="25"/>
        <v>150</v>
      </c>
      <c r="AQ500" s="31" t="str">
        <f t="shared" si="23"/>
        <v>Complete - No Adjustment</v>
      </c>
      <c r="AS500" s="37"/>
      <c r="AT500" s="37"/>
      <c r="AU500" s="37"/>
      <c r="AV500" s="37"/>
      <c r="AW500" s="37"/>
      <c r="AX500" s="37"/>
      <c r="AY500" s="37"/>
      <c r="AZ500" s="37"/>
      <c r="BA500" s="37"/>
      <c r="BB500" s="37"/>
      <c r="BC500" s="37"/>
      <c r="BD500" s="37"/>
      <c r="BE500" s="37"/>
      <c r="BF500" s="37"/>
      <c r="BG500" s="37"/>
      <c r="BH500" s="37"/>
      <c r="BI500" s="37"/>
    </row>
    <row r="501" spans="1:61" x14ac:dyDescent="0.2">
      <c r="A501" s="46">
        <v>491</v>
      </c>
      <c r="B501" s="13" t="s">
        <v>266</v>
      </c>
      <c r="C501" s="13" t="s">
        <v>521</v>
      </c>
      <c r="D501" s="13" t="s">
        <v>520</v>
      </c>
      <c r="E501" s="13" t="s">
        <v>1714</v>
      </c>
      <c r="F501" s="13" t="s">
        <v>190</v>
      </c>
      <c r="G501" s="13" t="s">
        <v>111</v>
      </c>
      <c r="H501" s="16">
        <v>43945</v>
      </c>
      <c r="I501" s="16">
        <v>43952</v>
      </c>
      <c r="J501" s="22">
        <v>3660.85</v>
      </c>
      <c r="K501" s="22">
        <v>85.37</v>
      </c>
      <c r="L501" s="22" t="s">
        <v>1715</v>
      </c>
      <c r="M501" s="26" t="s">
        <v>98</v>
      </c>
      <c r="N501" s="13" t="s">
        <v>230</v>
      </c>
      <c r="O501" s="13" t="s">
        <v>365</v>
      </c>
      <c r="P501" s="13" t="s">
        <v>60</v>
      </c>
      <c r="Q501" s="13" t="s">
        <v>41</v>
      </c>
      <c r="R501" s="13" t="s">
        <v>270</v>
      </c>
      <c r="S501" s="13" t="s">
        <v>1716</v>
      </c>
      <c r="T501" s="13" t="s">
        <v>1724</v>
      </c>
      <c r="U501" s="13"/>
      <c r="V501" s="13"/>
      <c r="W501" s="13"/>
      <c r="X501" s="14"/>
      <c r="AN501" s="7" t="s">
        <v>70</v>
      </c>
      <c r="AO501" s="21">
        <f t="shared" si="24"/>
        <v>0</v>
      </c>
      <c r="AP501" s="7">
        <f t="shared" si="25"/>
        <v>85.37</v>
      </c>
      <c r="AQ501" s="31" t="str">
        <f t="shared" si="23"/>
        <v>Complete - No Adjustment</v>
      </c>
      <c r="AS501" s="37"/>
      <c r="AT501" s="37"/>
      <c r="AU501" s="37"/>
      <c r="AV501" s="37"/>
      <c r="AW501" s="37"/>
      <c r="AX501" s="37"/>
      <c r="AY501" s="37"/>
      <c r="AZ501" s="37"/>
      <c r="BA501" s="37"/>
      <c r="BB501" s="37"/>
      <c r="BC501" s="37"/>
      <c r="BD501" s="37"/>
      <c r="BE501" s="37"/>
      <c r="BF501" s="37"/>
      <c r="BG501" s="37"/>
      <c r="BH501" s="37"/>
      <c r="BI501" s="37"/>
    </row>
    <row r="502" spans="1:61" x14ac:dyDescent="0.2">
      <c r="A502" s="46">
        <v>492</v>
      </c>
      <c r="B502" s="13" t="s">
        <v>266</v>
      </c>
      <c r="C502" s="13" t="s">
        <v>521</v>
      </c>
      <c r="D502" s="13" t="s">
        <v>520</v>
      </c>
      <c r="E502" s="13" t="s">
        <v>1714</v>
      </c>
      <c r="F502" s="13" t="s">
        <v>190</v>
      </c>
      <c r="G502" s="13" t="s">
        <v>111</v>
      </c>
      <c r="H502" s="16">
        <v>43945</v>
      </c>
      <c r="I502" s="16">
        <v>43952</v>
      </c>
      <c r="J502" s="22">
        <v>3660.85</v>
      </c>
      <c r="K502" s="22">
        <v>25</v>
      </c>
      <c r="L502" s="22" t="s">
        <v>1715</v>
      </c>
      <c r="M502" s="26" t="s">
        <v>97</v>
      </c>
      <c r="N502" s="13" t="s">
        <v>230</v>
      </c>
      <c r="O502" s="13" t="s">
        <v>365</v>
      </c>
      <c r="P502" s="13" t="s">
        <v>42</v>
      </c>
      <c r="Q502" s="13" t="s">
        <v>41</v>
      </c>
      <c r="R502" s="13" t="s">
        <v>270</v>
      </c>
      <c r="S502" s="13" t="s">
        <v>1716</v>
      </c>
      <c r="T502" s="13" t="s">
        <v>1725</v>
      </c>
      <c r="U502" s="13"/>
      <c r="V502" s="13"/>
      <c r="W502" s="13"/>
      <c r="X502" s="14"/>
      <c r="Y502" s="53">
        <v>25</v>
      </c>
      <c r="AN502" s="7" t="s">
        <v>8</v>
      </c>
      <c r="AO502" s="21">
        <f t="shared" si="24"/>
        <v>25</v>
      </c>
      <c r="AP502" s="7">
        <f t="shared" si="25"/>
        <v>0</v>
      </c>
      <c r="AQ502" s="31" t="str">
        <f t="shared" si="23"/>
        <v>Complete - With Adjustment</v>
      </c>
      <c r="AS502" s="37"/>
      <c r="AT502" s="37"/>
      <c r="AU502" s="37"/>
      <c r="AV502" s="37"/>
      <c r="AW502" s="37"/>
      <c r="AX502" s="37"/>
      <c r="AY502" s="37"/>
      <c r="AZ502" s="37"/>
      <c r="BA502" s="37"/>
      <c r="BB502" s="37"/>
      <c r="BC502" s="37"/>
      <c r="BD502" s="37"/>
      <c r="BE502" s="37"/>
      <c r="BF502" s="37"/>
      <c r="BG502" s="37"/>
      <c r="BH502" s="37"/>
      <c r="BI502" s="37"/>
    </row>
    <row r="503" spans="1:61" x14ac:dyDescent="0.2">
      <c r="A503" s="46">
        <v>493</v>
      </c>
      <c r="B503" s="13" t="s">
        <v>266</v>
      </c>
      <c r="C503" s="13" t="s">
        <v>521</v>
      </c>
      <c r="D503" s="13" t="s">
        <v>520</v>
      </c>
      <c r="E503" s="13" t="s">
        <v>1714</v>
      </c>
      <c r="F503" s="13" t="s">
        <v>190</v>
      </c>
      <c r="G503" s="13" t="s">
        <v>111</v>
      </c>
      <c r="H503" s="16">
        <v>43945</v>
      </c>
      <c r="I503" s="16">
        <v>43952</v>
      </c>
      <c r="J503" s="22">
        <v>3660.85</v>
      </c>
      <c r="K503" s="22">
        <v>286.48</v>
      </c>
      <c r="L503" s="22" t="s">
        <v>1715</v>
      </c>
      <c r="M503" s="26" t="s">
        <v>98</v>
      </c>
      <c r="N503" s="13" t="s">
        <v>230</v>
      </c>
      <c r="O503" s="13" t="s">
        <v>365</v>
      </c>
      <c r="P503" s="13" t="s">
        <v>60</v>
      </c>
      <c r="Q503" s="13" t="s">
        <v>41</v>
      </c>
      <c r="R503" s="13" t="s">
        <v>270</v>
      </c>
      <c r="S503" s="13" t="s">
        <v>1716</v>
      </c>
      <c r="T503" s="13" t="s">
        <v>1726</v>
      </c>
      <c r="U503" s="13"/>
      <c r="V503" s="13"/>
      <c r="W503" s="13"/>
      <c r="X503" s="14"/>
      <c r="AB503" s="14">
        <f>(286.48-25*4*1.0825*1.2)</f>
        <v>156.58000000000001</v>
      </c>
      <c r="AN503" s="7" t="s">
        <v>66</v>
      </c>
      <c r="AO503" s="21">
        <f t="shared" si="24"/>
        <v>156.58000000000001</v>
      </c>
      <c r="AP503" s="7">
        <f t="shared" si="25"/>
        <v>129.9</v>
      </c>
      <c r="AQ503" s="31" t="str">
        <f t="shared" si="23"/>
        <v>Complete - With Adjustment</v>
      </c>
      <c r="AS503" s="37"/>
      <c r="AT503" s="37"/>
      <c r="AU503" s="37"/>
      <c r="AV503" s="37"/>
      <c r="AW503" s="37"/>
      <c r="AX503" s="37"/>
      <c r="AY503" s="37"/>
      <c r="AZ503" s="37"/>
      <c r="BA503" s="37"/>
      <c r="BB503" s="37"/>
      <c r="BC503" s="37"/>
      <c r="BD503" s="37"/>
      <c r="BE503" s="37"/>
      <c r="BF503" s="37"/>
      <c r="BG503" s="37"/>
      <c r="BH503" s="37"/>
      <c r="BI503" s="37"/>
    </row>
    <row r="504" spans="1:61" x14ac:dyDescent="0.2">
      <c r="A504" s="46">
        <v>494</v>
      </c>
      <c r="B504" s="13" t="s">
        <v>266</v>
      </c>
      <c r="C504" s="13" t="s">
        <v>521</v>
      </c>
      <c r="D504" s="13" t="s">
        <v>520</v>
      </c>
      <c r="E504" s="13" t="s">
        <v>1714</v>
      </c>
      <c r="F504" s="13" t="s">
        <v>190</v>
      </c>
      <c r="G504" s="13" t="s">
        <v>111</v>
      </c>
      <c r="H504" s="16">
        <v>43945</v>
      </c>
      <c r="I504" s="16">
        <v>43952</v>
      </c>
      <c r="J504" s="22">
        <v>3660.85</v>
      </c>
      <c r="K504" s="22">
        <v>26.5</v>
      </c>
      <c r="L504" s="22" t="s">
        <v>1715</v>
      </c>
      <c r="M504" s="26" t="s">
        <v>97</v>
      </c>
      <c r="N504" s="13" t="s">
        <v>230</v>
      </c>
      <c r="O504" s="13" t="s">
        <v>365</v>
      </c>
      <c r="P504" s="13" t="s">
        <v>42</v>
      </c>
      <c r="Q504" s="13" t="s">
        <v>41</v>
      </c>
      <c r="R504" s="13" t="s">
        <v>270</v>
      </c>
      <c r="S504" s="13" t="s">
        <v>1716</v>
      </c>
      <c r="T504" s="13" t="s">
        <v>1727</v>
      </c>
      <c r="U504" s="13"/>
      <c r="V504" s="13"/>
      <c r="W504" s="13"/>
      <c r="X504" s="14"/>
      <c r="Y504" s="53">
        <v>26.5</v>
      </c>
      <c r="AN504" s="7" t="s">
        <v>8</v>
      </c>
      <c r="AO504" s="21">
        <f t="shared" si="24"/>
        <v>26.5</v>
      </c>
      <c r="AP504" s="7">
        <f t="shared" si="25"/>
        <v>0</v>
      </c>
      <c r="AQ504" s="31" t="str">
        <f t="shared" si="23"/>
        <v>Complete - With Adjustment</v>
      </c>
      <c r="AS504" s="37"/>
      <c r="AT504" s="37"/>
      <c r="AU504" s="37"/>
      <c r="AV504" s="37"/>
      <c r="AW504" s="37"/>
      <c r="AX504" s="37"/>
      <c r="AY504" s="37"/>
      <c r="AZ504" s="37"/>
      <c r="BA504" s="37"/>
      <c r="BB504" s="37"/>
      <c r="BC504" s="37"/>
      <c r="BD504" s="37"/>
      <c r="BE504" s="37"/>
      <c r="BF504" s="37"/>
      <c r="BG504" s="37"/>
      <c r="BH504" s="37"/>
      <c r="BI504" s="37"/>
    </row>
    <row r="505" spans="1:61" x14ac:dyDescent="0.2">
      <c r="A505" s="46">
        <v>495</v>
      </c>
      <c r="B505" s="13" t="s">
        <v>266</v>
      </c>
      <c r="C505" s="13" t="s">
        <v>521</v>
      </c>
      <c r="D505" s="13" t="s">
        <v>520</v>
      </c>
      <c r="E505" s="13" t="s">
        <v>1714</v>
      </c>
      <c r="F505" s="13" t="s">
        <v>190</v>
      </c>
      <c r="G505" s="13" t="s">
        <v>111</v>
      </c>
      <c r="H505" s="16">
        <v>43945</v>
      </c>
      <c r="I505" s="16">
        <v>43952</v>
      </c>
      <c r="J505" s="22">
        <v>3660.85</v>
      </c>
      <c r="K505" s="22">
        <v>20.100000000000001</v>
      </c>
      <c r="L505" s="22" t="s">
        <v>1715</v>
      </c>
      <c r="M505" s="26" t="s">
        <v>98</v>
      </c>
      <c r="N505" s="13" t="s">
        <v>230</v>
      </c>
      <c r="O505" s="13" t="s">
        <v>365</v>
      </c>
      <c r="P505" s="13" t="s">
        <v>60</v>
      </c>
      <c r="Q505" s="13" t="s">
        <v>41</v>
      </c>
      <c r="R505" s="13" t="s">
        <v>270</v>
      </c>
      <c r="S505" s="13" t="s">
        <v>1716</v>
      </c>
      <c r="T505" s="13" t="s">
        <v>1728</v>
      </c>
      <c r="U505" s="13"/>
      <c r="V505" s="13"/>
      <c r="W505" s="13"/>
      <c r="X505" s="14"/>
      <c r="AN505" s="7" t="s">
        <v>70</v>
      </c>
      <c r="AO505" s="21">
        <f t="shared" si="24"/>
        <v>0</v>
      </c>
      <c r="AP505" s="7">
        <f t="shared" si="25"/>
        <v>20.100000000000001</v>
      </c>
      <c r="AQ505" s="31" t="str">
        <f t="shared" si="23"/>
        <v>Complete - No Adjustment</v>
      </c>
      <c r="AS505" s="37"/>
      <c r="AT505" s="37"/>
      <c r="AU505" s="37"/>
      <c r="AV505" s="37"/>
      <c r="AW505" s="37"/>
      <c r="AX505" s="37"/>
      <c r="AY505" s="37"/>
      <c r="AZ505" s="37"/>
      <c r="BA505" s="37"/>
      <c r="BB505" s="37"/>
      <c r="BC505" s="37"/>
      <c r="BD505" s="37"/>
      <c r="BE505" s="37"/>
      <c r="BF505" s="37"/>
      <c r="BG505" s="37"/>
      <c r="BH505" s="37"/>
      <c r="BI505" s="37"/>
    </row>
    <row r="506" spans="1:61" x14ac:dyDescent="0.2">
      <c r="A506" s="46">
        <v>496</v>
      </c>
      <c r="B506" s="13" t="s">
        <v>266</v>
      </c>
      <c r="C506" s="13" t="s">
        <v>521</v>
      </c>
      <c r="D506" s="13" t="s">
        <v>520</v>
      </c>
      <c r="E506" s="13" t="s">
        <v>1714</v>
      </c>
      <c r="F506" s="13" t="s">
        <v>190</v>
      </c>
      <c r="G506" s="13" t="s">
        <v>111</v>
      </c>
      <c r="H506" s="16">
        <v>43945</v>
      </c>
      <c r="I506" s="16">
        <v>43952</v>
      </c>
      <c r="J506" s="22">
        <v>3660.85</v>
      </c>
      <c r="K506" s="22">
        <v>37.380000000000003</v>
      </c>
      <c r="L506" s="22" t="s">
        <v>1715</v>
      </c>
      <c r="M506" s="26" t="s">
        <v>98</v>
      </c>
      <c r="N506" s="13" t="s">
        <v>230</v>
      </c>
      <c r="O506" s="13" t="s">
        <v>365</v>
      </c>
      <c r="P506" s="13" t="s">
        <v>60</v>
      </c>
      <c r="Q506" s="13" t="s">
        <v>41</v>
      </c>
      <c r="R506" s="13" t="s">
        <v>270</v>
      </c>
      <c r="S506" s="13" t="s">
        <v>1716</v>
      </c>
      <c r="T506" s="13" t="s">
        <v>1729</v>
      </c>
      <c r="U506" s="13"/>
      <c r="V506" s="13"/>
      <c r="W506" s="13"/>
      <c r="X506" s="14"/>
      <c r="AN506" s="7" t="s">
        <v>70</v>
      </c>
      <c r="AO506" s="21">
        <f t="shared" si="24"/>
        <v>0</v>
      </c>
      <c r="AP506" s="7">
        <f t="shared" si="25"/>
        <v>37.380000000000003</v>
      </c>
      <c r="AQ506" s="31" t="str">
        <f t="shared" si="23"/>
        <v>Complete - No Adjustment</v>
      </c>
      <c r="AS506" s="37"/>
      <c r="AT506" s="37"/>
      <c r="AU506" s="37"/>
      <c r="AV506" s="37"/>
      <c r="AW506" s="37"/>
      <c r="AX506" s="37"/>
      <c r="AY506" s="37"/>
      <c r="AZ506" s="37"/>
      <c r="BA506" s="37"/>
      <c r="BB506" s="37"/>
      <c r="BC506" s="37"/>
      <c r="BD506" s="37"/>
      <c r="BE506" s="37"/>
      <c r="BF506" s="37"/>
      <c r="BG506" s="37"/>
      <c r="BH506" s="37"/>
      <c r="BI506" s="37"/>
    </row>
    <row r="507" spans="1:61" x14ac:dyDescent="0.2">
      <c r="A507" s="46">
        <v>497</v>
      </c>
      <c r="B507" s="13" t="s">
        <v>266</v>
      </c>
      <c r="C507" s="13" t="s">
        <v>521</v>
      </c>
      <c r="D507" s="13" t="s">
        <v>520</v>
      </c>
      <c r="E507" s="13" t="s">
        <v>1714</v>
      </c>
      <c r="F507" s="13" t="s">
        <v>190</v>
      </c>
      <c r="G507" s="13" t="s">
        <v>111</v>
      </c>
      <c r="H507" s="16">
        <v>43945</v>
      </c>
      <c r="I507" s="16">
        <v>43952</v>
      </c>
      <c r="J507" s="22">
        <v>3660.85</v>
      </c>
      <c r="K507" s="22">
        <v>74.430000000000007</v>
      </c>
      <c r="L507" s="22" t="s">
        <v>1715</v>
      </c>
      <c r="M507" s="26" t="s">
        <v>98</v>
      </c>
      <c r="N507" s="13" t="s">
        <v>230</v>
      </c>
      <c r="O507" s="13" t="s">
        <v>365</v>
      </c>
      <c r="P507" s="13" t="s">
        <v>60</v>
      </c>
      <c r="Q507" s="13" t="s">
        <v>41</v>
      </c>
      <c r="R507" s="13" t="s">
        <v>270</v>
      </c>
      <c r="S507" s="13" t="s">
        <v>1716</v>
      </c>
      <c r="T507" s="13" t="s">
        <v>1730</v>
      </c>
      <c r="U507" s="13"/>
      <c r="V507" s="13"/>
      <c r="W507" s="13"/>
      <c r="X507" s="14"/>
      <c r="AC507" s="53">
        <f>74.43-61.43*1.2</f>
        <v>0.71400000000001285</v>
      </c>
      <c r="AN507" s="7" t="s">
        <v>67</v>
      </c>
      <c r="AO507" s="21">
        <f t="shared" si="24"/>
        <v>0.71400000000001285</v>
      </c>
      <c r="AP507" s="7">
        <f t="shared" si="25"/>
        <v>73.715999999999994</v>
      </c>
      <c r="AQ507" s="31" t="str">
        <f t="shared" si="23"/>
        <v>Complete - With Adjustment</v>
      </c>
      <c r="AS507" s="37"/>
      <c r="AT507" s="37"/>
      <c r="AU507" s="37"/>
      <c r="AV507" s="37"/>
      <c r="AW507" s="37"/>
      <c r="AX507" s="37"/>
      <c r="AY507" s="37"/>
      <c r="AZ507" s="37"/>
      <c r="BA507" s="37"/>
      <c r="BB507" s="37"/>
      <c r="BC507" s="37"/>
      <c r="BD507" s="37"/>
      <c r="BE507" s="37"/>
      <c r="BF507" s="37"/>
      <c r="BG507" s="37"/>
      <c r="BH507" s="37"/>
      <c r="BI507" s="37"/>
    </row>
    <row r="508" spans="1:61" x14ac:dyDescent="0.2">
      <c r="A508" s="46">
        <v>498</v>
      </c>
      <c r="B508" s="13" t="s">
        <v>266</v>
      </c>
      <c r="C508" s="13" t="s">
        <v>521</v>
      </c>
      <c r="D508" s="13" t="s">
        <v>520</v>
      </c>
      <c r="E508" s="13" t="s">
        <v>1714</v>
      </c>
      <c r="F508" s="13" t="s">
        <v>190</v>
      </c>
      <c r="G508" s="13" t="s">
        <v>111</v>
      </c>
      <c r="H508" s="16">
        <v>43945</v>
      </c>
      <c r="I508" s="16">
        <v>43952</v>
      </c>
      <c r="J508" s="22">
        <v>3660.85</v>
      </c>
      <c r="K508" s="22">
        <v>38.979999999999997</v>
      </c>
      <c r="L508" s="22" t="s">
        <v>1715</v>
      </c>
      <c r="M508" s="26" t="s">
        <v>98</v>
      </c>
      <c r="N508" s="13" t="s">
        <v>230</v>
      </c>
      <c r="O508" s="13" t="s">
        <v>365</v>
      </c>
      <c r="P508" s="13" t="s">
        <v>60</v>
      </c>
      <c r="Q508" s="13" t="s">
        <v>41</v>
      </c>
      <c r="R508" s="13" t="s">
        <v>270</v>
      </c>
      <c r="S508" s="13" t="s">
        <v>1716</v>
      </c>
      <c r="T508" s="13" t="s">
        <v>1731</v>
      </c>
      <c r="U508" s="13"/>
      <c r="V508" s="13"/>
      <c r="W508" s="13"/>
      <c r="X508" s="14"/>
      <c r="AN508" s="7" t="s">
        <v>70</v>
      </c>
      <c r="AO508" s="21">
        <f t="shared" si="24"/>
        <v>0</v>
      </c>
      <c r="AP508" s="7">
        <f t="shared" si="25"/>
        <v>38.979999999999997</v>
      </c>
      <c r="AQ508" s="31" t="str">
        <f t="shared" si="23"/>
        <v>Complete - No Adjustment</v>
      </c>
      <c r="AS508" s="37"/>
      <c r="AT508" s="37"/>
      <c r="AU508" s="37"/>
      <c r="AV508" s="37"/>
      <c r="AW508" s="37"/>
      <c r="AX508" s="37"/>
      <c r="AY508" s="37"/>
      <c r="AZ508" s="37"/>
      <c r="BA508" s="37"/>
      <c r="BB508" s="37"/>
      <c r="BC508" s="37"/>
      <c r="BD508" s="37"/>
      <c r="BE508" s="37"/>
      <c r="BF508" s="37"/>
      <c r="BG508" s="37"/>
      <c r="BH508" s="37"/>
      <c r="BI508" s="37"/>
    </row>
    <row r="509" spans="1:61" x14ac:dyDescent="0.2">
      <c r="A509" s="46">
        <v>499</v>
      </c>
      <c r="B509" s="13" t="s">
        <v>266</v>
      </c>
      <c r="C509" s="13" t="s">
        <v>521</v>
      </c>
      <c r="D509" s="13" t="s">
        <v>520</v>
      </c>
      <c r="E509" s="13" t="s">
        <v>1714</v>
      </c>
      <c r="F509" s="13" t="s">
        <v>190</v>
      </c>
      <c r="G509" s="13" t="s">
        <v>111</v>
      </c>
      <c r="H509" s="16">
        <v>43945</v>
      </c>
      <c r="I509" s="16">
        <v>43952</v>
      </c>
      <c r="J509" s="22">
        <v>3660.85</v>
      </c>
      <c r="K509" s="22">
        <v>32.130000000000003</v>
      </c>
      <c r="L509" s="22" t="s">
        <v>1715</v>
      </c>
      <c r="M509" s="26" t="s">
        <v>98</v>
      </c>
      <c r="N509" s="13" t="s">
        <v>230</v>
      </c>
      <c r="O509" s="13" t="s">
        <v>365</v>
      </c>
      <c r="P509" s="13" t="s">
        <v>60</v>
      </c>
      <c r="Q509" s="13" t="s">
        <v>41</v>
      </c>
      <c r="R509" s="13" t="s">
        <v>270</v>
      </c>
      <c r="S509" s="13" t="s">
        <v>1716</v>
      </c>
      <c r="T509" s="13" t="s">
        <v>1732</v>
      </c>
      <c r="U509" s="13"/>
      <c r="V509" s="13"/>
      <c r="W509" s="13"/>
      <c r="X509" s="14"/>
      <c r="AN509" s="7" t="s">
        <v>70</v>
      </c>
      <c r="AO509" s="21">
        <f t="shared" si="24"/>
        <v>0</v>
      </c>
      <c r="AP509" s="7">
        <f t="shared" si="25"/>
        <v>32.130000000000003</v>
      </c>
      <c r="AQ509" s="31" t="str">
        <f t="shared" si="23"/>
        <v>Complete - No Adjustment</v>
      </c>
      <c r="AS509" s="37"/>
      <c r="AT509" s="37"/>
      <c r="AU509" s="37"/>
      <c r="AV509" s="37"/>
      <c r="AW509" s="37"/>
      <c r="AX509" s="37"/>
      <c r="AY509" s="37"/>
      <c r="AZ509" s="37"/>
      <c r="BA509" s="37"/>
      <c r="BB509" s="37"/>
      <c r="BC509" s="37"/>
      <c r="BD509" s="37"/>
      <c r="BE509" s="37"/>
      <c r="BF509" s="37"/>
      <c r="BG509" s="37"/>
      <c r="BH509" s="37"/>
      <c r="BI509" s="37"/>
    </row>
    <row r="510" spans="1:61" x14ac:dyDescent="0.2">
      <c r="A510" s="46">
        <v>500</v>
      </c>
      <c r="B510" s="13" t="s">
        <v>266</v>
      </c>
      <c r="C510" s="13" t="s">
        <v>521</v>
      </c>
      <c r="D510" s="13" t="s">
        <v>520</v>
      </c>
      <c r="E510" s="13" t="s">
        <v>1714</v>
      </c>
      <c r="F510" s="13" t="s">
        <v>190</v>
      </c>
      <c r="G510" s="13" t="s">
        <v>111</v>
      </c>
      <c r="H510" s="16">
        <v>43945</v>
      </c>
      <c r="I510" s="16">
        <v>43952</v>
      </c>
      <c r="J510" s="22">
        <v>3660.85</v>
      </c>
      <c r="K510" s="22">
        <v>537.94000000000005</v>
      </c>
      <c r="L510" s="22" t="s">
        <v>1715</v>
      </c>
      <c r="M510" s="26" t="s">
        <v>98</v>
      </c>
      <c r="N510" s="13" t="s">
        <v>230</v>
      </c>
      <c r="O510" s="13" t="s">
        <v>365</v>
      </c>
      <c r="P510" s="13" t="s">
        <v>60</v>
      </c>
      <c r="Q510" s="13" t="s">
        <v>45</v>
      </c>
      <c r="R510" s="13" t="s">
        <v>270</v>
      </c>
      <c r="S510" s="13" t="s">
        <v>1716</v>
      </c>
      <c r="T510" s="13" t="s">
        <v>1733</v>
      </c>
      <c r="U510" s="13"/>
      <c r="V510" s="13"/>
      <c r="W510" s="13"/>
      <c r="X510" s="14"/>
      <c r="AE510" s="53">
        <f>(225-150)*2</f>
        <v>150</v>
      </c>
      <c r="AN510" s="7" t="s">
        <v>68</v>
      </c>
      <c r="AO510" s="21">
        <f t="shared" si="24"/>
        <v>150</v>
      </c>
      <c r="AP510" s="7">
        <f t="shared" si="25"/>
        <v>387.94000000000005</v>
      </c>
      <c r="AQ510" s="31" t="str">
        <f t="shared" si="23"/>
        <v>Complete - With Adjustment</v>
      </c>
      <c r="AS510" s="37"/>
      <c r="AT510" s="37"/>
      <c r="AU510" s="37"/>
      <c r="AV510" s="37"/>
      <c r="AW510" s="37"/>
      <c r="AX510" s="37"/>
      <c r="AY510" s="37"/>
      <c r="AZ510" s="37"/>
      <c r="BA510" s="37"/>
      <c r="BB510" s="37"/>
      <c r="BC510" s="37"/>
      <c r="BD510" s="37"/>
      <c r="BE510" s="37"/>
      <c r="BF510" s="37"/>
      <c r="BG510" s="37"/>
      <c r="BH510" s="37"/>
      <c r="BI510" s="37"/>
    </row>
    <row r="511" spans="1:61" x14ac:dyDescent="0.2">
      <c r="A511" s="46">
        <v>501</v>
      </c>
      <c r="B511" s="13" t="s">
        <v>266</v>
      </c>
      <c r="C511" s="13" t="s">
        <v>521</v>
      </c>
      <c r="D511" s="13" t="s">
        <v>520</v>
      </c>
      <c r="E511" s="13" t="s">
        <v>1714</v>
      </c>
      <c r="F511" s="13" t="s">
        <v>190</v>
      </c>
      <c r="G511" s="13" t="s">
        <v>111</v>
      </c>
      <c r="H511" s="16">
        <v>43945</v>
      </c>
      <c r="I511" s="16">
        <v>43952</v>
      </c>
      <c r="J511" s="22">
        <v>3660.85</v>
      </c>
      <c r="K511" s="22">
        <v>39.33</v>
      </c>
      <c r="L511" s="22" t="s">
        <v>1715</v>
      </c>
      <c r="M511" s="26" t="s">
        <v>98</v>
      </c>
      <c r="N511" s="13" t="s">
        <v>230</v>
      </c>
      <c r="O511" s="13" t="s">
        <v>365</v>
      </c>
      <c r="P511" s="13" t="s">
        <v>60</v>
      </c>
      <c r="Q511" s="13" t="s">
        <v>41</v>
      </c>
      <c r="R511" s="13" t="s">
        <v>270</v>
      </c>
      <c r="S511" s="13" t="s">
        <v>1716</v>
      </c>
      <c r="T511" s="13" t="s">
        <v>1734</v>
      </c>
      <c r="U511" s="13"/>
      <c r="V511" s="13"/>
      <c r="W511" s="13"/>
      <c r="X511" s="14"/>
      <c r="AN511" s="7" t="s">
        <v>70</v>
      </c>
      <c r="AO511" s="21">
        <f t="shared" si="24"/>
        <v>0</v>
      </c>
      <c r="AP511" s="7">
        <f t="shared" si="25"/>
        <v>39.33</v>
      </c>
      <c r="AQ511" s="31" t="str">
        <f t="shared" si="23"/>
        <v>Complete - No Adjustment</v>
      </c>
      <c r="AS511" s="37"/>
      <c r="AT511" s="37"/>
      <c r="AU511" s="37"/>
      <c r="AV511" s="37"/>
      <c r="AW511" s="37"/>
      <c r="AX511" s="37"/>
      <c r="AY511" s="37"/>
      <c r="AZ511" s="37"/>
      <c r="BA511" s="37"/>
      <c r="BB511" s="37"/>
      <c r="BC511" s="37"/>
      <c r="BD511" s="37"/>
      <c r="BE511" s="37"/>
      <c r="BF511" s="37"/>
      <c r="BG511" s="37"/>
      <c r="BH511" s="37"/>
      <c r="BI511" s="37"/>
    </row>
    <row r="512" spans="1:61" x14ac:dyDescent="0.2">
      <c r="A512" s="46">
        <v>502</v>
      </c>
      <c r="B512" s="13" t="s">
        <v>266</v>
      </c>
      <c r="C512" s="13" t="s">
        <v>521</v>
      </c>
      <c r="D512" s="13" t="s">
        <v>520</v>
      </c>
      <c r="E512" s="13" t="s">
        <v>1714</v>
      </c>
      <c r="F512" s="13" t="s">
        <v>190</v>
      </c>
      <c r="G512" s="13" t="s">
        <v>111</v>
      </c>
      <c r="H512" s="16">
        <v>43945</v>
      </c>
      <c r="I512" s="16">
        <v>43952</v>
      </c>
      <c r="J512" s="22">
        <v>3660.85</v>
      </c>
      <c r="K512" s="22">
        <v>65.430000000000007</v>
      </c>
      <c r="L512" s="22" t="s">
        <v>1715</v>
      </c>
      <c r="M512" s="26" t="s">
        <v>98</v>
      </c>
      <c r="N512" s="13" t="s">
        <v>230</v>
      </c>
      <c r="O512" s="13" t="s">
        <v>365</v>
      </c>
      <c r="P512" s="13" t="s">
        <v>60</v>
      </c>
      <c r="Q512" s="13" t="s">
        <v>41</v>
      </c>
      <c r="R512" s="13" t="s">
        <v>270</v>
      </c>
      <c r="S512" s="13" t="s">
        <v>1716</v>
      </c>
      <c r="T512" s="13" t="s">
        <v>1734</v>
      </c>
      <c r="U512" s="13"/>
      <c r="V512" s="13"/>
      <c r="W512" s="13"/>
      <c r="X512" s="14"/>
      <c r="AN512" s="7" t="s">
        <v>70</v>
      </c>
      <c r="AO512" s="21">
        <f t="shared" si="24"/>
        <v>0</v>
      </c>
      <c r="AP512" s="7">
        <f t="shared" si="25"/>
        <v>65.430000000000007</v>
      </c>
      <c r="AQ512" s="31" t="str">
        <f t="shared" si="23"/>
        <v>Complete - No Adjustment</v>
      </c>
      <c r="AS512" s="37"/>
      <c r="AT512" s="37"/>
      <c r="AU512" s="37"/>
      <c r="AV512" s="37"/>
      <c r="AW512" s="37"/>
      <c r="AX512" s="37"/>
      <c r="AY512" s="37"/>
      <c r="AZ512" s="37"/>
      <c r="BA512" s="37"/>
      <c r="BB512" s="37"/>
      <c r="BC512" s="37"/>
      <c r="BD512" s="37"/>
      <c r="BE512" s="37"/>
      <c r="BF512" s="37"/>
      <c r="BG512" s="37"/>
      <c r="BH512" s="37"/>
      <c r="BI512" s="37"/>
    </row>
    <row r="513" spans="1:61" x14ac:dyDescent="0.2">
      <c r="A513" s="46">
        <v>503</v>
      </c>
      <c r="B513" s="13" t="s">
        <v>266</v>
      </c>
      <c r="C513" s="13" t="s">
        <v>521</v>
      </c>
      <c r="D513" s="13" t="s">
        <v>520</v>
      </c>
      <c r="E513" s="13" t="s">
        <v>1714</v>
      </c>
      <c r="F513" s="13" t="s">
        <v>190</v>
      </c>
      <c r="G513" s="13" t="s">
        <v>111</v>
      </c>
      <c r="H513" s="16">
        <v>43945</v>
      </c>
      <c r="I513" s="16">
        <v>43952</v>
      </c>
      <c r="J513" s="22">
        <v>3660.85</v>
      </c>
      <c r="K513" s="22">
        <v>70.150000000000006</v>
      </c>
      <c r="L513" s="22" t="s">
        <v>1715</v>
      </c>
      <c r="M513" s="26" t="s">
        <v>98</v>
      </c>
      <c r="N513" s="13" t="s">
        <v>230</v>
      </c>
      <c r="O513" s="13" t="s">
        <v>365</v>
      </c>
      <c r="P513" s="13" t="s">
        <v>60</v>
      </c>
      <c r="Q513" s="13" t="s">
        <v>44</v>
      </c>
      <c r="R513" s="13" t="s">
        <v>270</v>
      </c>
      <c r="S513" s="13" t="s">
        <v>1716</v>
      </c>
      <c r="T513" s="13" t="s">
        <v>1735</v>
      </c>
      <c r="U513" s="13"/>
      <c r="V513" s="13"/>
      <c r="W513" s="13"/>
      <c r="X513" s="14"/>
      <c r="AN513" s="7" t="s">
        <v>70</v>
      </c>
      <c r="AO513" s="21">
        <f t="shared" si="24"/>
        <v>0</v>
      </c>
      <c r="AP513" s="7">
        <f t="shared" si="25"/>
        <v>70.150000000000006</v>
      </c>
      <c r="AQ513" s="31" t="str">
        <f t="shared" si="23"/>
        <v>Complete - No Adjustment</v>
      </c>
      <c r="AS513" s="37"/>
      <c r="AT513" s="37"/>
      <c r="AU513" s="37"/>
      <c r="AV513" s="37"/>
      <c r="AW513" s="37"/>
      <c r="AX513" s="37"/>
      <c r="AY513" s="37"/>
      <c r="AZ513" s="37"/>
      <c r="BA513" s="37"/>
      <c r="BB513" s="37"/>
      <c r="BC513" s="37"/>
      <c r="BD513" s="37"/>
      <c r="BE513" s="37"/>
      <c r="BF513" s="37"/>
      <c r="BG513" s="37"/>
      <c r="BH513" s="37"/>
      <c r="BI513" s="37"/>
    </row>
    <row r="514" spans="1:61" x14ac:dyDescent="0.2">
      <c r="A514" s="46">
        <v>504</v>
      </c>
      <c r="B514" s="13" t="s">
        <v>266</v>
      </c>
      <c r="C514" s="13" t="s">
        <v>521</v>
      </c>
      <c r="D514" s="13" t="s">
        <v>520</v>
      </c>
      <c r="E514" s="13" t="s">
        <v>1714</v>
      </c>
      <c r="F514" s="13" t="s">
        <v>190</v>
      </c>
      <c r="G514" s="13" t="s">
        <v>111</v>
      </c>
      <c r="H514" s="16">
        <v>43945</v>
      </c>
      <c r="I514" s="16">
        <v>43952</v>
      </c>
      <c r="J514" s="22">
        <v>3660.85</v>
      </c>
      <c r="K514" s="22">
        <v>129.38</v>
      </c>
      <c r="L514" s="22" t="s">
        <v>1715</v>
      </c>
      <c r="M514" s="26" t="s">
        <v>98</v>
      </c>
      <c r="N514" s="13" t="s">
        <v>230</v>
      </c>
      <c r="O514" s="13" t="s">
        <v>365</v>
      </c>
      <c r="P514" s="13" t="s">
        <v>60</v>
      </c>
      <c r="Q514" s="13" t="s">
        <v>44</v>
      </c>
      <c r="R514" s="13" t="s">
        <v>270</v>
      </c>
      <c r="S514" s="13" t="s">
        <v>1716</v>
      </c>
      <c r="T514" s="13" t="s">
        <v>1736</v>
      </c>
      <c r="U514" s="13"/>
      <c r="V514" s="13"/>
      <c r="W514" s="13"/>
      <c r="X514" s="14"/>
      <c r="AN514" s="7" t="s">
        <v>70</v>
      </c>
      <c r="AO514" s="21">
        <f t="shared" si="24"/>
        <v>0</v>
      </c>
      <c r="AP514" s="7">
        <f t="shared" si="25"/>
        <v>129.38</v>
      </c>
      <c r="AQ514" s="31" t="str">
        <f t="shared" si="23"/>
        <v>Complete - No Adjustment</v>
      </c>
      <c r="AS514" s="37"/>
      <c r="AT514" s="37"/>
      <c r="AU514" s="37"/>
      <c r="AV514" s="37"/>
      <c r="AW514" s="37"/>
      <c r="AX514" s="37"/>
      <c r="AY514" s="37"/>
      <c r="AZ514" s="37"/>
      <c r="BA514" s="37"/>
      <c r="BB514" s="37"/>
      <c r="BC514" s="37"/>
      <c r="BD514" s="37"/>
      <c r="BE514" s="37"/>
      <c r="BF514" s="37"/>
      <c r="BG514" s="37"/>
      <c r="BH514" s="37"/>
      <c r="BI514" s="37"/>
    </row>
    <row r="515" spans="1:61" x14ac:dyDescent="0.2">
      <c r="A515" s="46">
        <v>505</v>
      </c>
      <c r="B515" s="13" t="s">
        <v>266</v>
      </c>
      <c r="C515" s="13" t="s">
        <v>521</v>
      </c>
      <c r="D515" s="13" t="s">
        <v>520</v>
      </c>
      <c r="E515" s="13" t="s">
        <v>1714</v>
      </c>
      <c r="F515" s="13" t="s">
        <v>190</v>
      </c>
      <c r="G515" s="13" t="s">
        <v>111</v>
      </c>
      <c r="H515" s="16">
        <v>43945</v>
      </c>
      <c r="I515" s="16">
        <v>43952</v>
      </c>
      <c r="J515" s="22">
        <v>3660.85</v>
      </c>
      <c r="K515" s="22">
        <v>11.91</v>
      </c>
      <c r="L515" s="22" t="s">
        <v>1715</v>
      </c>
      <c r="M515" s="26" t="s">
        <v>98</v>
      </c>
      <c r="N515" s="13" t="s">
        <v>230</v>
      </c>
      <c r="O515" s="13" t="s">
        <v>365</v>
      </c>
      <c r="P515" s="13" t="s">
        <v>60</v>
      </c>
      <c r="Q515" s="13" t="s">
        <v>44</v>
      </c>
      <c r="R515" s="13" t="s">
        <v>270</v>
      </c>
      <c r="S515" s="13" t="s">
        <v>1716</v>
      </c>
      <c r="T515" s="13" t="s">
        <v>1737</v>
      </c>
      <c r="U515" s="13"/>
      <c r="V515" s="13"/>
      <c r="W515" s="13"/>
      <c r="X515" s="14"/>
      <c r="AN515" s="7" t="s">
        <v>70</v>
      </c>
      <c r="AO515" s="21">
        <f t="shared" si="24"/>
        <v>0</v>
      </c>
      <c r="AP515" s="7">
        <f t="shared" si="25"/>
        <v>11.91</v>
      </c>
      <c r="AQ515" s="31" t="str">
        <f t="shared" si="23"/>
        <v>Complete - No Adjustment</v>
      </c>
      <c r="AS515" s="37"/>
      <c r="AT515" s="37"/>
      <c r="AU515" s="37"/>
      <c r="AV515" s="37"/>
      <c r="AW515" s="37"/>
      <c r="AX515" s="37"/>
      <c r="AY515" s="37"/>
      <c r="AZ515" s="37"/>
      <c r="BA515" s="37"/>
      <c r="BB515" s="37"/>
      <c r="BC515" s="37"/>
      <c r="BD515" s="37"/>
      <c r="BE515" s="37"/>
      <c r="BF515" s="37"/>
      <c r="BG515" s="37"/>
      <c r="BH515" s="37"/>
      <c r="BI515" s="37"/>
    </row>
    <row r="516" spans="1:61" x14ac:dyDescent="0.2">
      <c r="A516" s="46">
        <v>506</v>
      </c>
      <c r="B516" s="13" t="s">
        <v>266</v>
      </c>
      <c r="C516" s="13" t="s">
        <v>521</v>
      </c>
      <c r="D516" s="13" t="s">
        <v>520</v>
      </c>
      <c r="E516" s="13" t="s">
        <v>1714</v>
      </c>
      <c r="F516" s="13" t="s">
        <v>190</v>
      </c>
      <c r="G516" s="13" t="s">
        <v>111</v>
      </c>
      <c r="H516" s="16">
        <v>43945</v>
      </c>
      <c r="I516" s="16">
        <v>43952</v>
      </c>
      <c r="J516" s="22">
        <v>3660.85</v>
      </c>
      <c r="K516" s="22">
        <v>54.83</v>
      </c>
      <c r="L516" s="22" t="s">
        <v>1715</v>
      </c>
      <c r="M516" s="26" t="s">
        <v>98</v>
      </c>
      <c r="N516" s="13" t="s">
        <v>230</v>
      </c>
      <c r="O516" s="13" t="s">
        <v>365</v>
      </c>
      <c r="P516" s="13" t="s">
        <v>60</v>
      </c>
      <c r="Q516" s="13" t="s">
        <v>41</v>
      </c>
      <c r="R516" s="13" t="s">
        <v>270</v>
      </c>
      <c r="S516" s="13" t="s">
        <v>1716</v>
      </c>
      <c r="T516" s="13" t="s">
        <v>1738</v>
      </c>
      <c r="U516" s="13"/>
      <c r="V516" s="13"/>
      <c r="W516" s="13"/>
      <c r="X516" s="14"/>
      <c r="AL516" s="14">
        <v>54.83</v>
      </c>
      <c r="AN516" s="7" t="s">
        <v>146</v>
      </c>
      <c r="AO516" s="21">
        <f t="shared" si="24"/>
        <v>54.83</v>
      </c>
      <c r="AP516" s="7">
        <f t="shared" si="25"/>
        <v>0</v>
      </c>
      <c r="AQ516" s="31" t="str">
        <f t="shared" si="23"/>
        <v>Complete - With Adjustment</v>
      </c>
      <c r="AS516" s="37"/>
      <c r="AT516" s="37"/>
      <c r="AU516" s="37"/>
      <c r="AV516" s="37"/>
      <c r="AW516" s="37"/>
      <c r="AX516" s="37"/>
      <c r="AY516" s="37"/>
      <c r="AZ516" s="37"/>
      <c r="BA516" s="37"/>
      <c r="BB516" s="37"/>
      <c r="BC516" s="37"/>
      <c r="BD516" s="37"/>
      <c r="BE516" s="37"/>
      <c r="BF516" s="37"/>
      <c r="BG516" s="37"/>
      <c r="BH516" s="37"/>
      <c r="BI516" s="37"/>
    </row>
    <row r="517" spans="1:61" x14ac:dyDescent="0.2">
      <c r="A517" s="46">
        <v>507</v>
      </c>
      <c r="B517" s="13" t="s">
        <v>266</v>
      </c>
      <c r="C517" s="13" t="s">
        <v>521</v>
      </c>
      <c r="D517" s="13" t="s">
        <v>520</v>
      </c>
      <c r="E517" s="13" t="s">
        <v>1714</v>
      </c>
      <c r="F517" s="13" t="s">
        <v>190</v>
      </c>
      <c r="G517" s="13" t="s">
        <v>111</v>
      </c>
      <c r="H517" s="16">
        <v>43945</v>
      </c>
      <c r="I517" s="16">
        <v>43952</v>
      </c>
      <c r="J517" s="22">
        <v>3660.85</v>
      </c>
      <c r="K517" s="22">
        <v>124.95</v>
      </c>
      <c r="L517" s="22" t="s">
        <v>1715</v>
      </c>
      <c r="M517" s="26" t="s">
        <v>98</v>
      </c>
      <c r="N517" s="13" t="s">
        <v>230</v>
      </c>
      <c r="O517" s="13" t="s">
        <v>365</v>
      </c>
      <c r="P517" s="13" t="s">
        <v>60</v>
      </c>
      <c r="Q517" s="13" t="s">
        <v>41</v>
      </c>
      <c r="R517" s="13" t="s">
        <v>270</v>
      </c>
      <c r="S517" s="13" t="s">
        <v>1716</v>
      </c>
      <c r="T517" s="13" t="s">
        <v>1739</v>
      </c>
      <c r="U517" s="13"/>
      <c r="V517" s="13"/>
      <c r="W517" s="13"/>
      <c r="X517" s="14"/>
      <c r="AN517" s="7" t="s">
        <v>70</v>
      </c>
      <c r="AO517" s="21">
        <f t="shared" si="24"/>
        <v>0</v>
      </c>
      <c r="AP517" s="7">
        <f t="shared" si="25"/>
        <v>124.95</v>
      </c>
      <c r="AQ517" s="31" t="str">
        <f t="shared" ref="AQ517:AQ531" si="26">IF(AO517&lt;&gt;0,"Complete - With Adjustment","Complete - No Adjustment")</f>
        <v>Complete - No Adjustment</v>
      </c>
      <c r="AS517" s="37"/>
      <c r="AT517" s="37"/>
      <c r="AU517" s="37"/>
      <c r="AV517" s="37"/>
      <c r="AW517" s="37"/>
      <c r="AX517" s="37"/>
      <c r="AY517" s="37"/>
      <c r="AZ517" s="37"/>
      <c r="BA517" s="37"/>
      <c r="BB517" s="37"/>
      <c r="BC517" s="37"/>
      <c r="BD517" s="37"/>
      <c r="BE517" s="37"/>
      <c r="BF517" s="37"/>
      <c r="BG517" s="37"/>
      <c r="BH517" s="37"/>
      <c r="BI517" s="37"/>
    </row>
    <row r="518" spans="1:61" x14ac:dyDescent="0.2">
      <c r="A518" s="46">
        <v>508</v>
      </c>
      <c r="B518" s="13" t="s">
        <v>266</v>
      </c>
      <c r="C518" s="13" t="s">
        <v>521</v>
      </c>
      <c r="D518" s="13" t="s">
        <v>520</v>
      </c>
      <c r="E518" s="13" t="s">
        <v>1714</v>
      </c>
      <c r="F518" s="13" t="s">
        <v>190</v>
      </c>
      <c r="G518" s="13" t="s">
        <v>111</v>
      </c>
      <c r="H518" s="16">
        <v>43945</v>
      </c>
      <c r="I518" s="16">
        <v>43952</v>
      </c>
      <c r="J518" s="22">
        <v>3660.85</v>
      </c>
      <c r="K518" s="22">
        <v>32.07</v>
      </c>
      <c r="L518" s="22" t="s">
        <v>1715</v>
      </c>
      <c r="M518" s="26" t="s">
        <v>98</v>
      </c>
      <c r="N518" s="13" t="s">
        <v>230</v>
      </c>
      <c r="O518" s="13" t="s">
        <v>365</v>
      </c>
      <c r="P518" s="13" t="s">
        <v>60</v>
      </c>
      <c r="Q518" s="13" t="s">
        <v>41</v>
      </c>
      <c r="R518" s="13" t="s">
        <v>270</v>
      </c>
      <c r="S518" s="13" t="s">
        <v>1716</v>
      </c>
      <c r="T518" s="13" t="s">
        <v>1740</v>
      </c>
      <c r="U518" s="13"/>
      <c r="V518" s="13"/>
      <c r="W518" s="13"/>
      <c r="X518" s="14"/>
      <c r="AN518" s="7" t="s">
        <v>70</v>
      </c>
      <c r="AO518" s="21">
        <f t="shared" si="24"/>
        <v>0</v>
      </c>
      <c r="AP518" s="7">
        <f t="shared" si="25"/>
        <v>32.07</v>
      </c>
      <c r="AQ518" s="31" t="str">
        <f t="shared" si="26"/>
        <v>Complete - No Adjustment</v>
      </c>
      <c r="AS518" s="37"/>
      <c r="AT518" s="37"/>
      <c r="AU518" s="37"/>
      <c r="AV518" s="37"/>
      <c r="AW518" s="37"/>
      <c r="AX518" s="37"/>
      <c r="AY518" s="37"/>
      <c r="AZ518" s="37"/>
      <c r="BA518" s="37"/>
      <c r="BB518" s="37"/>
      <c r="BC518" s="37"/>
      <c r="BD518" s="37"/>
      <c r="BE518" s="37"/>
      <c r="BF518" s="37"/>
      <c r="BG518" s="37"/>
      <c r="BH518" s="37"/>
      <c r="BI518" s="37"/>
    </row>
    <row r="519" spans="1:61" x14ac:dyDescent="0.2">
      <c r="A519" s="46">
        <v>509</v>
      </c>
      <c r="B519" s="13" t="s">
        <v>266</v>
      </c>
      <c r="C519" s="13" t="s">
        <v>521</v>
      </c>
      <c r="D519" s="13" t="s">
        <v>520</v>
      </c>
      <c r="E519" s="13" t="s">
        <v>1714</v>
      </c>
      <c r="F519" s="13" t="s">
        <v>190</v>
      </c>
      <c r="G519" s="13" t="s">
        <v>111</v>
      </c>
      <c r="H519" s="16">
        <v>43945</v>
      </c>
      <c r="I519" s="16">
        <v>43952</v>
      </c>
      <c r="J519" s="22">
        <v>3660.85</v>
      </c>
      <c r="K519" s="22">
        <v>97.19</v>
      </c>
      <c r="L519" s="22" t="s">
        <v>1715</v>
      </c>
      <c r="M519" s="26" t="s">
        <v>98</v>
      </c>
      <c r="N519" s="13" t="s">
        <v>230</v>
      </c>
      <c r="O519" s="13" t="s">
        <v>365</v>
      </c>
      <c r="P519" s="13" t="s">
        <v>60</v>
      </c>
      <c r="Q519" s="13" t="s">
        <v>41</v>
      </c>
      <c r="R519" s="13" t="s">
        <v>270</v>
      </c>
      <c r="S519" s="13" t="s">
        <v>1716</v>
      </c>
      <c r="T519" s="13" t="s">
        <v>1741</v>
      </c>
      <c r="U519" s="13"/>
      <c r="V519" s="13"/>
      <c r="W519" s="13"/>
      <c r="X519" s="14"/>
      <c r="AN519" s="7" t="s">
        <v>70</v>
      </c>
      <c r="AO519" s="21">
        <f t="shared" si="24"/>
        <v>0</v>
      </c>
      <c r="AP519" s="7">
        <f t="shared" si="25"/>
        <v>97.19</v>
      </c>
      <c r="AQ519" s="31" t="str">
        <f t="shared" si="26"/>
        <v>Complete - No Adjustment</v>
      </c>
      <c r="AS519" s="37"/>
      <c r="AT519" s="37"/>
      <c r="AU519" s="37"/>
      <c r="AV519" s="37"/>
      <c r="AW519" s="37"/>
      <c r="AX519" s="37"/>
      <c r="AY519" s="37"/>
      <c r="AZ519" s="37"/>
      <c r="BA519" s="37"/>
      <c r="BB519" s="37"/>
      <c r="BC519" s="37"/>
      <c r="BD519" s="37"/>
      <c r="BE519" s="37"/>
      <c r="BF519" s="37"/>
      <c r="BG519" s="37"/>
      <c r="BH519" s="37"/>
      <c r="BI519" s="37"/>
    </row>
    <row r="520" spans="1:61" x14ac:dyDescent="0.2">
      <c r="A520" s="46">
        <v>510</v>
      </c>
      <c r="B520" s="13" t="s">
        <v>266</v>
      </c>
      <c r="C520" s="13" t="s">
        <v>521</v>
      </c>
      <c r="D520" s="13" t="s">
        <v>520</v>
      </c>
      <c r="E520" s="13" t="s">
        <v>1714</v>
      </c>
      <c r="F520" s="13" t="s">
        <v>190</v>
      </c>
      <c r="G520" s="13" t="s">
        <v>111</v>
      </c>
      <c r="H520" s="16">
        <v>43945</v>
      </c>
      <c r="I520" s="16">
        <v>43952</v>
      </c>
      <c r="J520" s="22">
        <v>3660.85</v>
      </c>
      <c r="K520" s="22">
        <v>220.35</v>
      </c>
      <c r="L520" s="22" t="s">
        <v>1715</v>
      </c>
      <c r="M520" s="26" t="s">
        <v>98</v>
      </c>
      <c r="N520" s="13" t="s">
        <v>230</v>
      </c>
      <c r="O520" s="13" t="s">
        <v>365</v>
      </c>
      <c r="P520" s="13" t="s">
        <v>60</v>
      </c>
      <c r="Q520" s="13" t="s">
        <v>45</v>
      </c>
      <c r="R520" s="13" t="s">
        <v>270</v>
      </c>
      <c r="S520" s="13" t="s">
        <v>1716</v>
      </c>
      <c r="T520" s="13" t="s">
        <v>1742</v>
      </c>
      <c r="U520" s="13"/>
      <c r="V520" s="13"/>
      <c r="W520" s="13"/>
      <c r="X520" s="14"/>
      <c r="AE520" s="53">
        <f>195-150</f>
        <v>45</v>
      </c>
      <c r="AN520" s="7" t="s">
        <v>68</v>
      </c>
      <c r="AO520" s="21">
        <f t="shared" si="24"/>
        <v>45</v>
      </c>
      <c r="AP520" s="7">
        <f t="shared" si="25"/>
        <v>175.35</v>
      </c>
      <c r="AQ520" s="31" t="str">
        <f t="shared" si="26"/>
        <v>Complete - With Adjustment</v>
      </c>
      <c r="AS520" s="37"/>
      <c r="AT520" s="37"/>
      <c r="AU520" s="37"/>
      <c r="AV520" s="37"/>
      <c r="AW520" s="37"/>
      <c r="AX520" s="37"/>
      <c r="AY520" s="37"/>
      <c r="AZ520" s="37"/>
      <c r="BA520" s="37"/>
      <c r="BB520" s="37"/>
      <c r="BC520" s="37"/>
      <c r="BD520" s="37"/>
      <c r="BE520" s="37"/>
      <c r="BF520" s="37"/>
      <c r="BG520" s="37"/>
      <c r="BH520" s="37"/>
      <c r="BI520" s="37"/>
    </row>
    <row r="521" spans="1:61" x14ac:dyDescent="0.2">
      <c r="A521" s="46">
        <v>511</v>
      </c>
      <c r="B521" s="13" t="s">
        <v>266</v>
      </c>
      <c r="C521" s="13" t="s">
        <v>521</v>
      </c>
      <c r="D521" s="13" t="s">
        <v>520</v>
      </c>
      <c r="E521" s="13" t="s">
        <v>1714</v>
      </c>
      <c r="F521" s="13" t="s">
        <v>190</v>
      </c>
      <c r="G521" s="13" t="s">
        <v>111</v>
      </c>
      <c r="H521" s="16">
        <v>43945</v>
      </c>
      <c r="I521" s="16">
        <v>43952</v>
      </c>
      <c r="J521" s="22">
        <v>3660.85</v>
      </c>
      <c r="K521" s="22">
        <v>42.5</v>
      </c>
      <c r="L521" s="22" t="s">
        <v>1715</v>
      </c>
      <c r="M521" s="26" t="s">
        <v>98</v>
      </c>
      <c r="N521" s="13" t="s">
        <v>230</v>
      </c>
      <c r="O521" s="13" t="s">
        <v>365</v>
      </c>
      <c r="P521" s="13" t="s">
        <v>60</v>
      </c>
      <c r="Q521" s="13" t="s">
        <v>44</v>
      </c>
      <c r="R521" s="13" t="s">
        <v>270</v>
      </c>
      <c r="S521" s="13" t="s">
        <v>1716</v>
      </c>
      <c r="T521" s="13" t="s">
        <v>1743</v>
      </c>
      <c r="U521" s="13"/>
      <c r="V521" s="13"/>
      <c r="W521" s="13"/>
      <c r="X521" s="14"/>
      <c r="AN521" s="7" t="s">
        <v>70</v>
      </c>
      <c r="AO521" s="21">
        <f t="shared" si="24"/>
        <v>0</v>
      </c>
      <c r="AP521" s="7">
        <f t="shared" si="25"/>
        <v>42.5</v>
      </c>
      <c r="AQ521" s="31" t="str">
        <f t="shared" si="26"/>
        <v>Complete - No Adjustment</v>
      </c>
      <c r="AS521" s="37"/>
      <c r="AT521" s="37"/>
      <c r="AU521" s="37"/>
      <c r="AV521" s="37"/>
      <c r="AW521" s="37"/>
      <c r="AX521" s="37"/>
      <c r="AY521" s="37"/>
      <c r="AZ521" s="37"/>
      <c r="BA521" s="37"/>
      <c r="BB521" s="37"/>
      <c r="BC521" s="37"/>
      <c r="BD521" s="37"/>
      <c r="BE521" s="37"/>
      <c r="BF521" s="37"/>
      <c r="BG521" s="37"/>
      <c r="BH521" s="37"/>
      <c r="BI521" s="37"/>
    </row>
    <row r="522" spans="1:61" x14ac:dyDescent="0.2">
      <c r="A522" s="46">
        <v>512</v>
      </c>
      <c r="B522" s="13" t="s">
        <v>266</v>
      </c>
      <c r="C522" s="13" t="s">
        <v>521</v>
      </c>
      <c r="D522" s="13" t="s">
        <v>520</v>
      </c>
      <c r="E522" s="13" t="s">
        <v>1714</v>
      </c>
      <c r="F522" s="13" t="s">
        <v>190</v>
      </c>
      <c r="G522" s="13" t="s">
        <v>111</v>
      </c>
      <c r="H522" s="16">
        <v>43945</v>
      </c>
      <c r="I522" s="16">
        <v>43952</v>
      </c>
      <c r="J522" s="22">
        <v>3660.85</v>
      </c>
      <c r="K522" s="22">
        <v>30.78</v>
      </c>
      <c r="L522" s="22" t="s">
        <v>1715</v>
      </c>
      <c r="M522" s="26" t="s">
        <v>98</v>
      </c>
      <c r="N522" s="13" t="s">
        <v>230</v>
      </c>
      <c r="O522" s="13" t="s">
        <v>365</v>
      </c>
      <c r="P522" s="13" t="s">
        <v>60</v>
      </c>
      <c r="Q522" s="13" t="s">
        <v>44</v>
      </c>
      <c r="R522" s="13" t="s">
        <v>270</v>
      </c>
      <c r="S522" s="13" t="s">
        <v>1716</v>
      </c>
      <c r="T522" s="13" t="s">
        <v>1744</v>
      </c>
      <c r="U522" s="13"/>
      <c r="V522" s="13"/>
      <c r="W522" s="13"/>
      <c r="X522" s="14"/>
      <c r="AN522" s="7" t="s">
        <v>70</v>
      </c>
      <c r="AO522" s="21">
        <f t="shared" si="24"/>
        <v>0</v>
      </c>
      <c r="AP522" s="7">
        <f t="shared" si="25"/>
        <v>30.78</v>
      </c>
      <c r="AQ522" s="31" t="str">
        <f t="shared" si="26"/>
        <v>Complete - No Adjustment</v>
      </c>
      <c r="AS522" s="37"/>
      <c r="AT522" s="37"/>
      <c r="AU522" s="37"/>
      <c r="AV522" s="37"/>
      <c r="AW522" s="37"/>
      <c r="AX522" s="37"/>
      <c r="AY522" s="37"/>
      <c r="AZ522" s="37"/>
      <c r="BA522" s="37"/>
      <c r="BB522" s="37"/>
      <c r="BC522" s="37"/>
      <c r="BD522" s="37"/>
      <c r="BE522" s="37"/>
      <c r="BF522" s="37"/>
      <c r="BG522" s="37"/>
      <c r="BH522" s="37"/>
      <c r="BI522" s="37"/>
    </row>
    <row r="523" spans="1:61" x14ac:dyDescent="0.2">
      <c r="A523" s="46">
        <v>513</v>
      </c>
      <c r="B523" s="13" t="s">
        <v>266</v>
      </c>
      <c r="C523" s="13" t="s">
        <v>521</v>
      </c>
      <c r="D523" s="13" t="s">
        <v>520</v>
      </c>
      <c r="E523" s="13" t="s">
        <v>1714</v>
      </c>
      <c r="F523" s="13" t="s">
        <v>190</v>
      </c>
      <c r="G523" s="13" t="s">
        <v>111</v>
      </c>
      <c r="H523" s="16">
        <v>43945</v>
      </c>
      <c r="I523" s="16">
        <v>43952</v>
      </c>
      <c r="J523" s="22">
        <v>3660.85</v>
      </c>
      <c r="K523" s="22">
        <v>22.92</v>
      </c>
      <c r="L523" s="22" t="s">
        <v>1715</v>
      </c>
      <c r="M523" s="26" t="s">
        <v>98</v>
      </c>
      <c r="N523" s="13" t="s">
        <v>230</v>
      </c>
      <c r="O523" s="13" t="s">
        <v>365</v>
      </c>
      <c r="P523" s="13" t="s">
        <v>60</v>
      </c>
      <c r="Q523" s="13" t="s">
        <v>41</v>
      </c>
      <c r="R523" s="13" t="s">
        <v>270</v>
      </c>
      <c r="S523" s="13" t="s">
        <v>1716</v>
      </c>
      <c r="T523" s="13" t="s">
        <v>1745</v>
      </c>
      <c r="U523" s="13"/>
      <c r="V523" s="13"/>
      <c r="W523" s="13"/>
      <c r="X523" s="14"/>
      <c r="AN523" s="7" t="s">
        <v>70</v>
      </c>
      <c r="AO523" s="21">
        <f t="shared" si="24"/>
        <v>0</v>
      </c>
      <c r="AP523" s="7">
        <f t="shared" si="25"/>
        <v>22.92</v>
      </c>
      <c r="AQ523" s="31" t="str">
        <f t="shared" si="26"/>
        <v>Complete - No Adjustment</v>
      </c>
      <c r="AS523" s="37"/>
      <c r="AT523" s="37"/>
      <c r="AU523" s="37"/>
      <c r="AV523" s="37"/>
      <c r="AW523" s="37"/>
      <c r="AX523" s="37"/>
      <c r="AY523" s="37"/>
      <c r="AZ523" s="37"/>
      <c r="BA523" s="37"/>
      <c r="BB523" s="37"/>
      <c r="BC523" s="37"/>
      <c r="BD523" s="37"/>
      <c r="BE523" s="37"/>
      <c r="BF523" s="37"/>
      <c r="BG523" s="37"/>
      <c r="BH523" s="37"/>
      <c r="BI523" s="37"/>
    </row>
    <row r="524" spans="1:61" x14ac:dyDescent="0.2">
      <c r="A524" s="46">
        <v>514</v>
      </c>
      <c r="B524" s="13" t="s">
        <v>266</v>
      </c>
      <c r="C524" s="13" t="s">
        <v>521</v>
      </c>
      <c r="D524" s="13" t="s">
        <v>520</v>
      </c>
      <c r="E524" s="13" t="s">
        <v>1714</v>
      </c>
      <c r="F524" s="13" t="s">
        <v>190</v>
      </c>
      <c r="G524" s="13" t="s">
        <v>111</v>
      </c>
      <c r="H524" s="16">
        <v>43945</v>
      </c>
      <c r="I524" s="16">
        <v>43952</v>
      </c>
      <c r="J524" s="22">
        <v>3660.85</v>
      </c>
      <c r="K524" s="22">
        <v>295.41000000000003</v>
      </c>
      <c r="L524" s="22" t="s">
        <v>1715</v>
      </c>
      <c r="M524" s="26" t="s">
        <v>98</v>
      </c>
      <c r="N524" s="13" t="s">
        <v>230</v>
      </c>
      <c r="O524" s="13" t="s">
        <v>365</v>
      </c>
      <c r="P524" s="13" t="s">
        <v>60</v>
      </c>
      <c r="Q524" s="13" t="s">
        <v>44</v>
      </c>
      <c r="R524" s="13" t="s">
        <v>270</v>
      </c>
      <c r="S524" s="13" t="s">
        <v>1716</v>
      </c>
      <c r="T524" s="13" t="s">
        <v>1746</v>
      </c>
      <c r="U524" s="13"/>
      <c r="V524" s="13"/>
      <c r="W524" s="13"/>
      <c r="X524" s="14"/>
      <c r="AN524" s="7" t="s">
        <v>1747</v>
      </c>
      <c r="AO524" s="21">
        <f t="shared" si="24"/>
        <v>0</v>
      </c>
      <c r="AP524" s="7">
        <f t="shared" si="25"/>
        <v>295.41000000000003</v>
      </c>
      <c r="AQ524" s="31" t="str">
        <f t="shared" si="26"/>
        <v>Complete - No Adjustment</v>
      </c>
      <c r="AS524" s="37"/>
      <c r="AT524" s="37"/>
      <c r="AU524" s="37"/>
      <c r="AV524" s="37"/>
      <c r="AW524" s="37"/>
      <c r="AX524" s="37"/>
      <c r="AY524" s="37"/>
      <c r="AZ524" s="37"/>
      <c r="BA524" s="37"/>
      <c r="BB524" s="37"/>
      <c r="BC524" s="37"/>
      <c r="BD524" s="37"/>
      <c r="BE524" s="37"/>
      <c r="BF524" s="37"/>
      <c r="BG524" s="37"/>
      <c r="BH524" s="37"/>
      <c r="BI524" s="37"/>
    </row>
    <row r="525" spans="1:61" x14ac:dyDescent="0.2">
      <c r="A525" s="46">
        <v>515</v>
      </c>
      <c r="B525" s="13" t="s">
        <v>266</v>
      </c>
      <c r="C525" s="13" t="s">
        <v>325</v>
      </c>
      <c r="D525" s="13" t="s">
        <v>324</v>
      </c>
      <c r="E525" s="13" t="s">
        <v>1748</v>
      </c>
      <c r="F525" s="13" t="s">
        <v>188</v>
      </c>
      <c r="G525" s="13" t="s">
        <v>111</v>
      </c>
      <c r="H525" s="16">
        <v>43973</v>
      </c>
      <c r="I525" s="16">
        <v>43978</v>
      </c>
      <c r="J525" s="22">
        <v>57.98</v>
      </c>
      <c r="K525" s="22">
        <v>12.55</v>
      </c>
      <c r="L525" s="22" t="s">
        <v>1749</v>
      </c>
      <c r="M525" s="26" t="s">
        <v>98</v>
      </c>
      <c r="N525" s="13" t="s">
        <v>230</v>
      </c>
      <c r="O525" s="13" t="s">
        <v>288</v>
      </c>
      <c r="P525" s="13" t="s">
        <v>60</v>
      </c>
      <c r="Q525" s="13" t="s">
        <v>41</v>
      </c>
      <c r="R525" s="13" t="s">
        <v>270</v>
      </c>
      <c r="S525" s="13" t="s">
        <v>1750</v>
      </c>
      <c r="T525" s="13" t="s">
        <v>1751</v>
      </c>
      <c r="U525" s="13"/>
      <c r="V525" s="13"/>
      <c r="W525" s="13"/>
      <c r="X525" s="14"/>
      <c r="AL525" s="14">
        <v>12.55</v>
      </c>
      <c r="AN525" s="7" t="s">
        <v>155</v>
      </c>
      <c r="AO525" s="21">
        <f t="shared" si="24"/>
        <v>12.55</v>
      </c>
      <c r="AP525" s="7">
        <f t="shared" si="25"/>
        <v>0</v>
      </c>
      <c r="AQ525" s="31" t="str">
        <f t="shared" si="26"/>
        <v>Complete - With Adjustment</v>
      </c>
      <c r="AS525" s="37"/>
      <c r="AT525" s="37"/>
      <c r="AU525" s="37"/>
      <c r="AV525" s="37"/>
      <c r="AW525" s="37"/>
      <c r="AX525" s="37"/>
      <c r="AY525" s="37"/>
      <c r="AZ525" s="37"/>
      <c r="BA525" s="37"/>
      <c r="BB525" s="37"/>
      <c r="BC525" s="37"/>
      <c r="BD525" s="37"/>
      <c r="BE525" s="37"/>
      <c r="BF525" s="37"/>
      <c r="BG525" s="37"/>
      <c r="BH525" s="37"/>
      <c r="BI525" s="37"/>
    </row>
    <row r="526" spans="1:61" x14ac:dyDescent="0.2">
      <c r="A526" s="46">
        <v>516</v>
      </c>
      <c r="B526" s="13" t="s">
        <v>266</v>
      </c>
      <c r="C526" s="13" t="s">
        <v>325</v>
      </c>
      <c r="D526" s="13" t="s">
        <v>324</v>
      </c>
      <c r="E526" s="13" t="s">
        <v>1748</v>
      </c>
      <c r="F526" s="13" t="s">
        <v>188</v>
      </c>
      <c r="G526" s="13" t="s">
        <v>111</v>
      </c>
      <c r="H526" s="16">
        <v>43973</v>
      </c>
      <c r="I526" s="16">
        <v>43978</v>
      </c>
      <c r="J526" s="22">
        <v>57.98</v>
      </c>
      <c r="K526" s="22">
        <v>18.23</v>
      </c>
      <c r="L526" s="22" t="s">
        <v>1749</v>
      </c>
      <c r="M526" s="26" t="s">
        <v>98</v>
      </c>
      <c r="N526" s="13" t="s">
        <v>230</v>
      </c>
      <c r="O526" s="13" t="s">
        <v>288</v>
      </c>
      <c r="P526" s="13" t="s">
        <v>60</v>
      </c>
      <c r="Q526" s="13" t="s">
        <v>41</v>
      </c>
      <c r="R526" s="13" t="s">
        <v>270</v>
      </c>
      <c r="S526" s="13" t="s">
        <v>1750</v>
      </c>
      <c r="T526" s="13" t="s">
        <v>1751</v>
      </c>
      <c r="U526" s="13"/>
      <c r="V526" s="13"/>
      <c r="W526" s="13"/>
      <c r="X526" s="14"/>
      <c r="AN526" s="7" t="s">
        <v>155</v>
      </c>
      <c r="AO526" s="21">
        <f t="shared" si="24"/>
        <v>0</v>
      </c>
      <c r="AP526" s="7">
        <f t="shared" si="25"/>
        <v>18.23</v>
      </c>
      <c r="AQ526" s="31" t="str">
        <f t="shared" si="26"/>
        <v>Complete - No Adjustment</v>
      </c>
      <c r="AS526" s="37"/>
      <c r="AT526" s="37"/>
      <c r="AU526" s="37"/>
      <c r="AV526" s="37"/>
      <c r="AW526" s="37"/>
      <c r="AX526" s="37"/>
      <c r="AY526" s="37"/>
      <c r="AZ526" s="37"/>
      <c r="BA526" s="37"/>
      <c r="BB526" s="37"/>
      <c r="BC526" s="37"/>
      <c r="BD526" s="37"/>
      <c r="BE526" s="37"/>
      <c r="BF526" s="37"/>
      <c r="BG526" s="37"/>
      <c r="BH526" s="37"/>
      <c r="BI526" s="37"/>
    </row>
    <row r="527" spans="1:61" x14ac:dyDescent="0.2">
      <c r="A527" s="46">
        <v>517</v>
      </c>
      <c r="B527" s="13" t="s">
        <v>266</v>
      </c>
      <c r="C527" s="13" t="s">
        <v>325</v>
      </c>
      <c r="D527" s="13" t="s">
        <v>324</v>
      </c>
      <c r="E527" s="13" t="s">
        <v>1748</v>
      </c>
      <c r="F527" s="13" t="s">
        <v>188</v>
      </c>
      <c r="G527" s="13" t="s">
        <v>111</v>
      </c>
      <c r="H527" s="16">
        <v>43973</v>
      </c>
      <c r="I527" s="16">
        <v>43978</v>
      </c>
      <c r="J527" s="22">
        <v>57.98</v>
      </c>
      <c r="K527" s="22">
        <v>10.81</v>
      </c>
      <c r="L527" s="22" t="s">
        <v>1749</v>
      </c>
      <c r="M527" s="26" t="s">
        <v>98</v>
      </c>
      <c r="N527" s="13" t="s">
        <v>230</v>
      </c>
      <c r="O527" s="13" t="s">
        <v>288</v>
      </c>
      <c r="P527" s="13" t="s">
        <v>60</v>
      </c>
      <c r="Q527" s="13" t="s">
        <v>41</v>
      </c>
      <c r="R527" s="13" t="s">
        <v>270</v>
      </c>
      <c r="S527" s="13" t="s">
        <v>1750</v>
      </c>
      <c r="T527" s="13" t="s">
        <v>1751</v>
      </c>
      <c r="U527" s="13"/>
      <c r="V527" s="13"/>
      <c r="W527" s="13"/>
      <c r="X527" s="14"/>
      <c r="AN527" s="7" t="s">
        <v>155</v>
      </c>
      <c r="AO527" s="21">
        <f t="shared" si="24"/>
        <v>0</v>
      </c>
      <c r="AP527" s="7">
        <f t="shared" si="25"/>
        <v>10.81</v>
      </c>
      <c r="AQ527" s="31" t="str">
        <f t="shared" si="26"/>
        <v>Complete - No Adjustment</v>
      </c>
      <c r="AS527" s="37"/>
      <c r="AT527" s="37"/>
      <c r="AU527" s="37"/>
      <c r="AV527" s="37"/>
      <c r="AW527" s="37"/>
      <c r="AX527" s="37"/>
      <c r="AY527" s="37"/>
      <c r="AZ527" s="37"/>
      <c r="BA527" s="37"/>
      <c r="BB527" s="37"/>
      <c r="BC527" s="37"/>
      <c r="BD527" s="37"/>
      <c r="BE527" s="37"/>
      <c r="BF527" s="37"/>
      <c r="BG527" s="37"/>
      <c r="BH527" s="37"/>
      <c r="BI527" s="37"/>
    </row>
    <row r="528" spans="1:61" x14ac:dyDescent="0.2">
      <c r="A528" s="46">
        <v>518</v>
      </c>
      <c r="B528" s="13" t="s">
        <v>266</v>
      </c>
      <c r="C528" s="13" t="s">
        <v>325</v>
      </c>
      <c r="D528" s="13" t="s">
        <v>324</v>
      </c>
      <c r="E528" s="13" t="s">
        <v>1748</v>
      </c>
      <c r="F528" s="13" t="s">
        <v>188</v>
      </c>
      <c r="G528" s="13" t="s">
        <v>111</v>
      </c>
      <c r="H528" s="16">
        <v>43973</v>
      </c>
      <c r="I528" s="16">
        <v>43978</v>
      </c>
      <c r="J528" s="22">
        <v>57.98</v>
      </c>
      <c r="K528" s="22">
        <v>16.39</v>
      </c>
      <c r="L528" s="22" t="s">
        <v>1749</v>
      </c>
      <c r="M528" s="26" t="s">
        <v>98</v>
      </c>
      <c r="N528" s="13" t="s">
        <v>230</v>
      </c>
      <c r="O528" s="13" t="s">
        <v>288</v>
      </c>
      <c r="P528" s="13" t="s">
        <v>60</v>
      </c>
      <c r="Q528" s="13" t="s">
        <v>41</v>
      </c>
      <c r="R528" s="13" t="s">
        <v>270</v>
      </c>
      <c r="S528" s="13" t="s">
        <v>1750</v>
      </c>
      <c r="T528" s="13" t="s">
        <v>1751</v>
      </c>
      <c r="U528" s="13"/>
      <c r="V528" s="13"/>
      <c r="W528" s="13"/>
      <c r="X528" s="14"/>
      <c r="AN528" s="7" t="s">
        <v>155</v>
      </c>
      <c r="AO528" s="21">
        <f t="shared" si="24"/>
        <v>0</v>
      </c>
      <c r="AP528" s="7">
        <f t="shared" si="25"/>
        <v>16.39</v>
      </c>
      <c r="AQ528" s="31" t="str">
        <f t="shared" si="26"/>
        <v>Complete - No Adjustment</v>
      </c>
      <c r="AS528" s="37"/>
      <c r="AT528" s="37"/>
      <c r="AU528" s="37"/>
      <c r="AV528" s="37"/>
      <c r="AW528" s="37"/>
      <c r="AX528" s="37"/>
      <c r="AY528" s="37"/>
      <c r="AZ528" s="37"/>
      <c r="BA528" s="37"/>
      <c r="BB528" s="37"/>
      <c r="BC528" s="37"/>
      <c r="BD528" s="37"/>
      <c r="BE528" s="37"/>
      <c r="BF528" s="37"/>
      <c r="BG528" s="37"/>
      <c r="BH528" s="37"/>
      <c r="BI528" s="37"/>
    </row>
    <row r="529" spans="1:61" x14ac:dyDescent="0.2">
      <c r="A529" s="46">
        <v>519</v>
      </c>
      <c r="B529" s="13" t="s">
        <v>266</v>
      </c>
      <c r="C529" s="13" t="s">
        <v>257</v>
      </c>
      <c r="D529" s="13" t="s">
        <v>256</v>
      </c>
      <c r="E529" s="13" t="s">
        <v>1752</v>
      </c>
      <c r="F529" s="13" t="s">
        <v>185</v>
      </c>
      <c r="G529" s="13" t="s">
        <v>111</v>
      </c>
      <c r="H529" s="16">
        <v>43938</v>
      </c>
      <c r="I529" s="16">
        <v>43973</v>
      </c>
      <c r="J529" s="22">
        <v>25</v>
      </c>
      <c r="K529" s="22">
        <v>6.25</v>
      </c>
      <c r="L529" s="22" t="s">
        <v>1753</v>
      </c>
      <c r="M529" s="26" t="s">
        <v>98</v>
      </c>
      <c r="N529" s="13" t="s">
        <v>230</v>
      </c>
      <c r="O529" s="13" t="s">
        <v>326</v>
      </c>
      <c r="P529" s="13" t="s">
        <v>60</v>
      </c>
      <c r="Q529" s="13" t="s">
        <v>41</v>
      </c>
      <c r="R529" s="13" t="s">
        <v>270</v>
      </c>
      <c r="S529" s="13" t="s">
        <v>1754</v>
      </c>
      <c r="T529" s="13" t="s">
        <v>1755</v>
      </c>
      <c r="U529" s="13"/>
      <c r="V529" s="13"/>
      <c r="W529" s="13"/>
      <c r="X529" s="14"/>
      <c r="AL529" s="14">
        <v>6.25</v>
      </c>
      <c r="AN529" s="7" t="s">
        <v>146</v>
      </c>
      <c r="AO529" s="21">
        <f t="shared" si="24"/>
        <v>6.25</v>
      </c>
      <c r="AP529" s="7">
        <f t="shared" si="25"/>
        <v>0</v>
      </c>
      <c r="AQ529" s="31" t="str">
        <f t="shared" si="26"/>
        <v>Complete - With Adjustment</v>
      </c>
      <c r="AS529" s="37"/>
      <c r="AT529" s="37"/>
      <c r="AU529" s="37"/>
      <c r="AV529" s="37"/>
      <c r="AW529" s="37"/>
      <c r="AX529" s="37"/>
      <c r="AY529" s="37"/>
      <c r="AZ529" s="37"/>
      <c r="BA529" s="37"/>
      <c r="BB529" s="37"/>
      <c r="BC529" s="37"/>
      <c r="BD529" s="37"/>
      <c r="BE529" s="37"/>
      <c r="BF529" s="37"/>
      <c r="BG529" s="37"/>
      <c r="BH529" s="37"/>
      <c r="BI529" s="37"/>
    </row>
    <row r="530" spans="1:61" x14ac:dyDescent="0.2">
      <c r="A530" s="46">
        <v>520</v>
      </c>
      <c r="B530" s="13" t="s">
        <v>266</v>
      </c>
      <c r="C530" s="13" t="s">
        <v>328</v>
      </c>
      <c r="D530" s="13" t="s">
        <v>327</v>
      </c>
      <c r="E530" s="13" t="s">
        <v>1756</v>
      </c>
      <c r="F530" s="13" t="s">
        <v>190</v>
      </c>
      <c r="G530" s="13" t="s">
        <v>111</v>
      </c>
      <c r="H530" s="16">
        <v>43950</v>
      </c>
      <c r="I530" s="16">
        <v>43952</v>
      </c>
      <c r="J530" s="22">
        <v>12.15</v>
      </c>
      <c r="K530" s="22">
        <v>12.15</v>
      </c>
      <c r="L530" s="22" t="s">
        <v>1757</v>
      </c>
      <c r="M530" s="26" t="s">
        <v>98</v>
      </c>
      <c r="N530" s="13" t="s">
        <v>230</v>
      </c>
      <c r="O530" s="13" t="s">
        <v>281</v>
      </c>
      <c r="P530" s="13" t="s">
        <v>60</v>
      </c>
      <c r="Q530" s="13" t="s">
        <v>41</v>
      </c>
      <c r="R530" s="13" t="s">
        <v>270</v>
      </c>
      <c r="S530" s="13" t="s">
        <v>1758</v>
      </c>
      <c r="T530" s="13" t="s">
        <v>1759</v>
      </c>
      <c r="U530" s="13"/>
      <c r="V530" s="13"/>
      <c r="W530" s="13"/>
      <c r="X530" s="14"/>
      <c r="AN530" s="7" t="s">
        <v>155</v>
      </c>
      <c r="AO530" s="21">
        <f t="shared" si="24"/>
        <v>0</v>
      </c>
      <c r="AP530" s="7">
        <f t="shared" si="25"/>
        <v>12.15</v>
      </c>
      <c r="AQ530" s="31" t="str">
        <f t="shared" si="26"/>
        <v>Complete - No Adjustment</v>
      </c>
      <c r="AS530" s="37"/>
      <c r="AT530" s="37"/>
      <c r="AU530" s="37"/>
      <c r="AV530" s="37"/>
      <c r="AW530" s="37"/>
      <c r="AX530" s="37"/>
      <c r="AY530" s="37"/>
      <c r="AZ530" s="37"/>
      <c r="BA530" s="37"/>
      <c r="BB530" s="37"/>
      <c r="BC530" s="37"/>
      <c r="BD530" s="37"/>
      <c r="BE530" s="37"/>
      <c r="BF530" s="37"/>
      <c r="BG530" s="37"/>
      <c r="BH530" s="37"/>
      <c r="BI530" s="37"/>
    </row>
    <row r="531" spans="1:61" x14ac:dyDescent="0.2">
      <c r="A531" s="46">
        <v>521</v>
      </c>
      <c r="B531" s="13" t="s">
        <v>266</v>
      </c>
      <c r="C531" s="13" t="s">
        <v>328</v>
      </c>
      <c r="D531" s="13" t="s">
        <v>327</v>
      </c>
      <c r="E531" s="13" t="s">
        <v>1760</v>
      </c>
      <c r="F531" s="13" t="s">
        <v>199</v>
      </c>
      <c r="G531" s="13" t="s">
        <v>111</v>
      </c>
      <c r="H531" s="16">
        <v>43964</v>
      </c>
      <c r="I531" s="16">
        <v>43966</v>
      </c>
      <c r="J531" s="22">
        <v>70.349999999999994</v>
      </c>
      <c r="K531" s="22">
        <v>70.349999999999994</v>
      </c>
      <c r="L531" s="22" t="s">
        <v>1761</v>
      </c>
      <c r="M531" s="26" t="s">
        <v>98</v>
      </c>
      <c r="N531" s="13" t="s">
        <v>230</v>
      </c>
      <c r="O531" s="13" t="s">
        <v>281</v>
      </c>
      <c r="P531" s="13" t="s">
        <v>60</v>
      </c>
      <c r="Q531" s="13" t="s">
        <v>104</v>
      </c>
      <c r="R531" s="13" t="s">
        <v>270</v>
      </c>
      <c r="S531" s="13" t="s">
        <v>1762</v>
      </c>
      <c r="T531" s="13" t="s">
        <v>1763</v>
      </c>
      <c r="U531" s="13"/>
      <c r="V531" s="13"/>
      <c r="W531" s="13"/>
      <c r="X531" s="14"/>
      <c r="AN531" s="7" t="s">
        <v>70</v>
      </c>
      <c r="AO531" s="21">
        <f t="shared" si="24"/>
        <v>0</v>
      </c>
      <c r="AP531" s="7">
        <f t="shared" si="25"/>
        <v>70.349999999999994</v>
      </c>
      <c r="AQ531" s="31" t="str">
        <f t="shared" si="26"/>
        <v>Complete - No Adjustment</v>
      </c>
      <c r="AS531" s="37"/>
      <c r="AT531" s="37"/>
      <c r="AU531" s="37"/>
      <c r="AV531" s="37"/>
      <c r="AW531" s="37"/>
      <c r="AX531" s="37"/>
      <c r="AY531" s="37"/>
      <c r="AZ531" s="37"/>
      <c r="BA531" s="37"/>
      <c r="BB531" s="37"/>
      <c r="BC531" s="37"/>
      <c r="BD531" s="37"/>
      <c r="BE531" s="37"/>
      <c r="BF531" s="37"/>
      <c r="BG531" s="37"/>
      <c r="BH531" s="37"/>
      <c r="BI531" s="37"/>
    </row>
    <row r="532" spans="1:61" x14ac:dyDescent="0.2">
      <c r="A532" s="46">
        <v>522</v>
      </c>
      <c r="B532" s="13" t="s">
        <v>266</v>
      </c>
      <c r="C532" s="13" t="s">
        <v>744</v>
      </c>
      <c r="D532" s="13" t="s">
        <v>743</v>
      </c>
      <c r="E532" s="13" t="s">
        <v>1110</v>
      </c>
      <c r="F532" s="13" t="s">
        <v>169</v>
      </c>
      <c r="G532" s="13" t="s">
        <v>111</v>
      </c>
      <c r="H532" s="16">
        <v>43930</v>
      </c>
      <c r="I532" s="16">
        <v>43952</v>
      </c>
      <c r="J532" s="22">
        <v>216.49</v>
      </c>
      <c r="K532" s="22">
        <v>-216.49</v>
      </c>
      <c r="L532" s="22" t="s">
        <v>1111</v>
      </c>
      <c r="M532" s="26" t="s">
        <v>98</v>
      </c>
      <c r="N532" s="13" t="s">
        <v>230</v>
      </c>
      <c r="O532" s="13" t="s">
        <v>717</v>
      </c>
      <c r="P532" s="13" t="s">
        <v>60</v>
      </c>
      <c r="Q532" s="13" t="s">
        <v>104</v>
      </c>
      <c r="R532" s="13" t="s">
        <v>270</v>
      </c>
      <c r="S532" s="13" t="s">
        <v>1112</v>
      </c>
      <c r="T532" s="13" t="s">
        <v>1113</v>
      </c>
      <c r="U532" s="13"/>
      <c r="V532" s="13"/>
      <c r="W532" s="13"/>
      <c r="X532" s="14"/>
      <c r="AN532" s="7" t="s">
        <v>70</v>
      </c>
      <c r="AO532" s="21">
        <f t="shared" si="24"/>
        <v>0</v>
      </c>
      <c r="AP532" s="7">
        <f t="shared" si="25"/>
        <v>-216.49</v>
      </c>
      <c r="AQ532" s="31" t="s">
        <v>4</v>
      </c>
      <c r="AS532" s="37"/>
      <c r="AT532" s="37"/>
      <c r="AU532" s="37"/>
      <c r="AV532" s="37"/>
      <c r="AW532" s="37"/>
      <c r="AX532" s="37"/>
      <c r="AY532" s="37"/>
      <c r="AZ532" s="37"/>
      <c r="BA532" s="37"/>
      <c r="BB532" s="37"/>
      <c r="BC532" s="37"/>
      <c r="BD532" s="37"/>
      <c r="BE532" s="37"/>
      <c r="BF532" s="37"/>
      <c r="BG532" s="37"/>
      <c r="BH532" s="37"/>
      <c r="BI532" s="37"/>
    </row>
    <row r="533" spans="1:61" x14ac:dyDescent="0.2">
      <c r="A533" s="46">
        <v>523</v>
      </c>
      <c r="B533" s="13" t="s">
        <v>266</v>
      </c>
      <c r="C533" s="13" t="s">
        <v>744</v>
      </c>
      <c r="D533" s="13" t="s">
        <v>743</v>
      </c>
      <c r="E533" s="13" t="s">
        <v>1110</v>
      </c>
      <c r="F533" s="13" t="s">
        <v>169</v>
      </c>
      <c r="G533" s="13" t="s">
        <v>111</v>
      </c>
      <c r="H533" s="16">
        <v>43930</v>
      </c>
      <c r="I533" s="16">
        <v>43952</v>
      </c>
      <c r="J533" s="22">
        <v>216.49</v>
      </c>
      <c r="K533" s="22">
        <v>216.49</v>
      </c>
      <c r="L533" s="22" t="s">
        <v>1111</v>
      </c>
      <c r="M533" s="26" t="s">
        <v>98</v>
      </c>
      <c r="N533" s="13" t="s">
        <v>230</v>
      </c>
      <c r="O533" s="13" t="s">
        <v>983</v>
      </c>
      <c r="P533" s="13" t="s">
        <v>406</v>
      </c>
      <c r="Q533" s="13" t="s">
        <v>62</v>
      </c>
      <c r="R533" s="13" t="s">
        <v>270</v>
      </c>
      <c r="S533" s="13" t="s">
        <v>1112</v>
      </c>
      <c r="T533" s="13" t="s">
        <v>1113</v>
      </c>
      <c r="U533" s="13" t="s">
        <v>986</v>
      </c>
      <c r="V533" s="13" t="s">
        <v>406</v>
      </c>
      <c r="W533" s="13" t="s">
        <v>117</v>
      </c>
      <c r="X533" s="14"/>
      <c r="AN533" s="7" t="s">
        <v>70</v>
      </c>
      <c r="AO533" s="21">
        <f t="shared" si="24"/>
        <v>0</v>
      </c>
      <c r="AP533" s="7">
        <f t="shared" si="25"/>
        <v>216.49</v>
      </c>
      <c r="AQ533" s="31" t="s">
        <v>4</v>
      </c>
      <c r="AS533" s="37"/>
      <c r="AT533" s="37"/>
      <c r="AU533" s="37"/>
      <c r="AV533" s="37"/>
      <c r="AW533" s="37"/>
      <c r="AX533" s="37"/>
      <c r="AY533" s="37"/>
      <c r="AZ533" s="37"/>
      <c r="BA533" s="37"/>
      <c r="BB533" s="37"/>
      <c r="BC533" s="37"/>
      <c r="BD533" s="37"/>
      <c r="BE533" s="37"/>
      <c r="BF533" s="37"/>
      <c r="BG533" s="37"/>
      <c r="BH533" s="37"/>
      <c r="BI533" s="37"/>
    </row>
    <row r="534" spans="1:61" x14ac:dyDescent="0.2">
      <c r="A534" s="46">
        <v>524</v>
      </c>
      <c r="B534" s="13" t="s">
        <v>266</v>
      </c>
      <c r="C534" s="13" t="s">
        <v>780</v>
      </c>
      <c r="D534" s="13" t="s">
        <v>798</v>
      </c>
      <c r="E534" s="13" t="s">
        <v>1764</v>
      </c>
      <c r="F534" s="13" t="s">
        <v>200</v>
      </c>
      <c r="G534" s="13" t="s">
        <v>111</v>
      </c>
      <c r="H534" s="16">
        <v>43959</v>
      </c>
      <c r="I534" s="16">
        <v>43963</v>
      </c>
      <c r="J534" s="22">
        <v>23.4</v>
      </c>
      <c r="K534" s="22">
        <v>23.4</v>
      </c>
      <c r="L534" s="22" t="s">
        <v>1765</v>
      </c>
      <c r="M534" s="26" t="s">
        <v>98</v>
      </c>
      <c r="N534" s="13" t="s">
        <v>230</v>
      </c>
      <c r="O534" s="13" t="s">
        <v>288</v>
      </c>
      <c r="P534" s="13" t="s">
        <v>60</v>
      </c>
      <c r="Q534" s="13" t="s">
        <v>41</v>
      </c>
      <c r="R534" s="13" t="s">
        <v>270</v>
      </c>
      <c r="S534" s="13" t="s">
        <v>1135</v>
      </c>
      <c r="T534" s="13" t="s">
        <v>1136</v>
      </c>
      <c r="U534" s="13"/>
      <c r="V534" s="13"/>
      <c r="W534" s="13"/>
      <c r="X534" s="14"/>
      <c r="AC534" s="53">
        <v>2.12</v>
      </c>
      <c r="AN534" s="7" t="s">
        <v>1132</v>
      </c>
      <c r="AO534" s="21">
        <f t="shared" si="24"/>
        <v>2.12</v>
      </c>
      <c r="AP534" s="7">
        <f t="shared" si="25"/>
        <v>21.279999999999998</v>
      </c>
      <c r="AQ534" s="31" t="str">
        <f t="shared" ref="AQ534:AQ597" si="27">IF(AO534&lt;&gt;0,"Complete - With Adjustment","Complete - No Adjustment")</f>
        <v>Complete - With Adjustment</v>
      </c>
      <c r="AS534" s="37"/>
      <c r="AT534" s="37"/>
      <c r="AU534" s="37"/>
      <c r="AV534" s="37"/>
      <c r="AW534" s="37"/>
      <c r="AX534" s="37"/>
      <c r="AY534" s="37"/>
      <c r="AZ534" s="37"/>
      <c r="BA534" s="37"/>
      <c r="BB534" s="37"/>
      <c r="BC534" s="37"/>
      <c r="BD534" s="37"/>
      <c r="BE534" s="37"/>
      <c r="BF534" s="37"/>
      <c r="BG534" s="37"/>
      <c r="BH534" s="37"/>
      <c r="BI534" s="37"/>
    </row>
    <row r="535" spans="1:61" x14ac:dyDescent="0.2">
      <c r="A535" s="46">
        <v>525</v>
      </c>
      <c r="B535" s="13" t="s">
        <v>266</v>
      </c>
      <c r="C535" s="13" t="s">
        <v>780</v>
      </c>
      <c r="D535" s="13" t="s">
        <v>798</v>
      </c>
      <c r="E535" s="13" t="s">
        <v>1766</v>
      </c>
      <c r="F535" s="13" t="s">
        <v>196</v>
      </c>
      <c r="G535" s="13" t="s">
        <v>111</v>
      </c>
      <c r="H535" s="16">
        <v>43952</v>
      </c>
      <c r="I535" s="16">
        <v>43956</v>
      </c>
      <c r="J535" s="22">
        <v>23.67</v>
      </c>
      <c r="K535" s="22">
        <v>23.67</v>
      </c>
      <c r="L535" s="22" t="s">
        <v>1767</v>
      </c>
      <c r="M535" s="26" t="s">
        <v>98</v>
      </c>
      <c r="N535" s="13" t="s">
        <v>230</v>
      </c>
      <c r="O535" s="13" t="s">
        <v>288</v>
      </c>
      <c r="P535" s="13" t="s">
        <v>60</v>
      </c>
      <c r="Q535" s="13" t="s">
        <v>41</v>
      </c>
      <c r="R535" s="13" t="s">
        <v>270</v>
      </c>
      <c r="S535" s="13" t="s">
        <v>1135</v>
      </c>
      <c r="T535" s="13" t="s">
        <v>1136</v>
      </c>
      <c r="U535" s="13"/>
      <c r="V535" s="13"/>
      <c r="W535" s="13"/>
      <c r="X535" s="14"/>
      <c r="AC535" s="53">
        <v>3.08</v>
      </c>
      <c r="AN535" s="7" t="s">
        <v>67</v>
      </c>
      <c r="AO535" s="21">
        <f t="shared" si="24"/>
        <v>3.08</v>
      </c>
      <c r="AP535" s="7">
        <f t="shared" si="25"/>
        <v>20.590000000000003</v>
      </c>
      <c r="AQ535" s="31" t="str">
        <f t="shared" si="27"/>
        <v>Complete - With Adjustment</v>
      </c>
      <c r="AS535" s="37"/>
      <c r="AT535" s="37"/>
      <c r="AU535" s="37"/>
      <c r="AV535" s="37"/>
      <c r="AW535" s="37"/>
      <c r="AX535" s="37"/>
      <c r="AY535" s="37"/>
      <c r="AZ535" s="37"/>
      <c r="BA535" s="37"/>
      <c r="BB535" s="37"/>
      <c r="BC535" s="37"/>
      <c r="BD535" s="37"/>
      <c r="BE535" s="37"/>
      <c r="BF535" s="37"/>
      <c r="BG535" s="37"/>
      <c r="BH535" s="37"/>
      <c r="BI535" s="37"/>
    </row>
    <row r="536" spans="1:61" x14ac:dyDescent="0.2">
      <c r="A536" s="46">
        <v>526</v>
      </c>
      <c r="B536" s="13" t="s">
        <v>266</v>
      </c>
      <c r="C536" s="13" t="s">
        <v>780</v>
      </c>
      <c r="D536" s="13" t="s">
        <v>798</v>
      </c>
      <c r="E536" s="13" t="s">
        <v>1768</v>
      </c>
      <c r="F536" s="13" t="s">
        <v>1662</v>
      </c>
      <c r="G536" s="13" t="s">
        <v>111</v>
      </c>
      <c r="H536" s="16">
        <v>43977</v>
      </c>
      <c r="I536" s="16">
        <v>43979</v>
      </c>
      <c r="J536" s="22">
        <v>23.73</v>
      </c>
      <c r="K536" s="22">
        <v>23.73</v>
      </c>
      <c r="L536" s="22" t="s">
        <v>1769</v>
      </c>
      <c r="M536" s="26" t="s">
        <v>98</v>
      </c>
      <c r="N536" s="13" t="s">
        <v>230</v>
      </c>
      <c r="O536" s="13" t="s">
        <v>288</v>
      </c>
      <c r="P536" s="13" t="s">
        <v>60</v>
      </c>
      <c r="Q536" s="13" t="s">
        <v>41</v>
      </c>
      <c r="R536" s="13" t="s">
        <v>270</v>
      </c>
      <c r="S536" s="13" t="s">
        <v>1135</v>
      </c>
      <c r="T536" s="13" t="s">
        <v>1136</v>
      </c>
      <c r="U536" s="13"/>
      <c r="V536" s="13"/>
      <c r="W536" s="13"/>
      <c r="X536" s="14"/>
      <c r="AL536" s="14">
        <v>23.73</v>
      </c>
      <c r="AN536" s="7" t="s">
        <v>146</v>
      </c>
      <c r="AO536" s="21">
        <f t="shared" si="24"/>
        <v>23.73</v>
      </c>
      <c r="AP536" s="7">
        <f t="shared" si="25"/>
        <v>0</v>
      </c>
      <c r="AQ536" s="31" t="str">
        <f t="shared" si="27"/>
        <v>Complete - With Adjustment</v>
      </c>
      <c r="AS536" s="37"/>
      <c r="AT536" s="37"/>
      <c r="AU536" s="37"/>
      <c r="AV536" s="37"/>
      <c r="AW536" s="37"/>
      <c r="AX536" s="37"/>
      <c r="AY536" s="37"/>
      <c r="AZ536" s="37"/>
      <c r="BA536" s="37"/>
      <c r="BB536" s="37"/>
      <c r="BC536" s="37"/>
      <c r="BD536" s="37"/>
      <c r="BE536" s="37"/>
      <c r="BF536" s="37"/>
      <c r="BG536" s="37"/>
      <c r="BH536" s="37"/>
      <c r="BI536" s="37"/>
    </row>
    <row r="537" spans="1:61" x14ac:dyDescent="0.2">
      <c r="A537" s="46">
        <v>527</v>
      </c>
      <c r="B537" s="13" t="s">
        <v>266</v>
      </c>
      <c r="C537" s="13" t="s">
        <v>780</v>
      </c>
      <c r="D537" s="13" t="s">
        <v>798</v>
      </c>
      <c r="E537" s="13" t="s">
        <v>1770</v>
      </c>
      <c r="F537" s="13" t="s">
        <v>198</v>
      </c>
      <c r="G537" s="13" t="s">
        <v>111</v>
      </c>
      <c r="H537" s="16">
        <v>43966</v>
      </c>
      <c r="I537" s="16">
        <v>43970</v>
      </c>
      <c r="J537" s="22">
        <v>28.43</v>
      </c>
      <c r="K537" s="22">
        <v>28.43</v>
      </c>
      <c r="L537" s="22" t="s">
        <v>1771</v>
      </c>
      <c r="M537" s="26" t="s">
        <v>98</v>
      </c>
      <c r="N537" s="13" t="s">
        <v>230</v>
      </c>
      <c r="O537" s="13" t="s">
        <v>288</v>
      </c>
      <c r="P537" s="13" t="s">
        <v>60</v>
      </c>
      <c r="Q537" s="13" t="s">
        <v>41</v>
      </c>
      <c r="R537" s="13" t="s">
        <v>270</v>
      </c>
      <c r="S537" s="13" t="s">
        <v>1130</v>
      </c>
      <c r="T537" s="13" t="s">
        <v>1131</v>
      </c>
      <c r="U537" s="13"/>
      <c r="V537" s="13"/>
      <c r="W537" s="13"/>
      <c r="X537" s="14"/>
      <c r="AN537" s="7" t="s">
        <v>155</v>
      </c>
      <c r="AO537" s="21">
        <f t="shared" si="24"/>
        <v>0</v>
      </c>
      <c r="AP537" s="7">
        <f t="shared" si="25"/>
        <v>28.43</v>
      </c>
      <c r="AQ537" s="31" t="str">
        <f t="shared" si="27"/>
        <v>Complete - No Adjustment</v>
      </c>
      <c r="AS537" s="37"/>
      <c r="AT537" s="37"/>
      <c r="AU537" s="37"/>
      <c r="AV537" s="37"/>
      <c r="AW537" s="37"/>
      <c r="AX537" s="37"/>
      <c r="AY537" s="37"/>
      <c r="AZ537" s="37"/>
      <c r="BA537" s="37"/>
      <c r="BB537" s="37"/>
      <c r="BC537" s="37"/>
      <c r="BD537" s="37"/>
      <c r="BE537" s="37"/>
      <c r="BF537" s="37"/>
      <c r="BG537" s="37"/>
      <c r="BH537" s="37"/>
      <c r="BI537" s="37"/>
    </row>
    <row r="538" spans="1:61" x14ac:dyDescent="0.2">
      <c r="A538" s="46">
        <v>528</v>
      </c>
      <c r="B538" s="13" t="s">
        <v>266</v>
      </c>
      <c r="C538" s="13" t="s">
        <v>352</v>
      </c>
      <c r="D538" s="13" t="s">
        <v>351</v>
      </c>
      <c r="E538" s="13" t="s">
        <v>1772</v>
      </c>
      <c r="F538" s="13" t="s">
        <v>186</v>
      </c>
      <c r="G538" s="13" t="s">
        <v>111</v>
      </c>
      <c r="H538" s="16">
        <v>43936</v>
      </c>
      <c r="I538" s="16">
        <v>43955</v>
      </c>
      <c r="J538" s="22">
        <v>38.22</v>
      </c>
      <c r="K538" s="22">
        <v>14.02</v>
      </c>
      <c r="L538" s="22" t="s">
        <v>1773</v>
      </c>
      <c r="M538" s="26" t="s">
        <v>98</v>
      </c>
      <c r="N538" s="13" t="s">
        <v>230</v>
      </c>
      <c r="O538" s="13" t="s">
        <v>271</v>
      </c>
      <c r="P538" s="13" t="s">
        <v>60</v>
      </c>
      <c r="Q538" s="13" t="s">
        <v>41</v>
      </c>
      <c r="R538" s="13" t="s">
        <v>270</v>
      </c>
      <c r="S538" s="13" t="s">
        <v>1774</v>
      </c>
      <c r="T538" s="13" t="s">
        <v>1775</v>
      </c>
      <c r="U538" s="13"/>
      <c r="V538" s="13"/>
      <c r="W538" s="13"/>
      <c r="X538" s="14"/>
      <c r="AN538" s="7" t="s">
        <v>155</v>
      </c>
      <c r="AO538" s="21">
        <f t="shared" si="24"/>
        <v>0</v>
      </c>
      <c r="AP538" s="7">
        <f t="shared" si="25"/>
        <v>14.02</v>
      </c>
      <c r="AQ538" s="31" t="str">
        <f t="shared" si="27"/>
        <v>Complete - No Adjustment</v>
      </c>
      <c r="AS538" s="37"/>
      <c r="AT538" s="37"/>
      <c r="AU538" s="37"/>
      <c r="AV538" s="37"/>
      <c r="AW538" s="37"/>
      <c r="AX538" s="37"/>
      <c r="AY538" s="37"/>
      <c r="AZ538" s="37"/>
      <c r="BA538" s="37"/>
      <c r="BB538" s="37"/>
      <c r="BC538" s="37"/>
      <c r="BD538" s="37"/>
      <c r="BE538" s="37"/>
      <c r="BF538" s="37"/>
      <c r="BG538" s="37"/>
      <c r="BH538" s="37"/>
      <c r="BI538" s="37"/>
    </row>
    <row r="539" spans="1:61" x14ac:dyDescent="0.2">
      <c r="A539" s="46">
        <v>529</v>
      </c>
      <c r="B539" s="13" t="s">
        <v>266</v>
      </c>
      <c r="C539" s="13" t="s">
        <v>352</v>
      </c>
      <c r="D539" s="13" t="s">
        <v>351</v>
      </c>
      <c r="E539" s="13" t="s">
        <v>1772</v>
      </c>
      <c r="F539" s="13" t="s">
        <v>186</v>
      </c>
      <c r="G539" s="13" t="s">
        <v>111</v>
      </c>
      <c r="H539" s="16">
        <v>43936</v>
      </c>
      <c r="I539" s="16">
        <v>43955</v>
      </c>
      <c r="J539" s="22">
        <v>38.22</v>
      </c>
      <c r="K539" s="22">
        <v>24.2</v>
      </c>
      <c r="L539" s="22" t="s">
        <v>1773</v>
      </c>
      <c r="M539" s="26" t="s">
        <v>98</v>
      </c>
      <c r="N539" s="13" t="s">
        <v>230</v>
      </c>
      <c r="O539" s="13" t="s">
        <v>271</v>
      </c>
      <c r="P539" s="13" t="s">
        <v>60</v>
      </c>
      <c r="Q539" s="13" t="s">
        <v>41</v>
      </c>
      <c r="R539" s="13" t="s">
        <v>270</v>
      </c>
      <c r="S539" s="13" t="s">
        <v>1774</v>
      </c>
      <c r="T539" s="13" t="s">
        <v>1776</v>
      </c>
      <c r="U539" s="13"/>
      <c r="V539" s="13"/>
      <c r="W539" s="13"/>
      <c r="X539" s="14"/>
      <c r="AI539" s="53">
        <v>24.2</v>
      </c>
      <c r="AN539" s="7" t="s">
        <v>145</v>
      </c>
      <c r="AO539" s="21">
        <f t="shared" si="24"/>
        <v>24.2</v>
      </c>
      <c r="AP539" s="7">
        <f t="shared" si="25"/>
        <v>0</v>
      </c>
      <c r="AQ539" s="31" t="str">
        <f t="shared" si="27"/>
        <v>Complete - With Adjustment</v>
      </c>
      <c r="AS539" s="37"/>
      <c r="AT539" s="37"/>
      <c r="AU539" s="37"/>
      <c r="AV539" s="37"/>
      <c r="AW539" s="37"/>
      <c r="AX539" s="37"/>
      <c r="AY539" s="37"/>
      <c r="AZ539" s="37"/>
      <c r="BA539" s="37"/>
      <c r="BB539" s="37"/>
      <c r="BC539" s="37"/>
      <c r="BD539" s="37"/>
      <c r="BE539" s="37"/>
      <c r="BF539" s="37"/>
      <c r="BG539" s="37"/>
      <c r="BH539" s="37"/>
      <c r="BI539" s="37"/>
    </row>
    <row r="540" spans="1:61" x14ac:dyDescent="0.2">
      <c r="A540" s="46">
        <v>530</v>
      </c>
      <c r="B540" s="13" t="s">
        <v>266</v>
      </c>
      <c r="C540" s="13" t="s">
        <v>359</v>
      </c>
      <c r="D540" s="13" t="s">
        <v>358</v>
      </c>
      <c r="E540" s="13" t="s">
        <v>1777</v>
      </c>
      <c r="F540" s="13" t="s">
        <v>196</v>
      </c>
      <c r="G540" s="13" t="s">
        <v>111</v>
      </c>
      <c r="H540" s="16">
        <v>43865</v>
      </c>
      <c r="I540" s="16">
        <v>43956</v>
      </c>
      <c r="J540" s="22">
        <v>770.52</v>
      </c>
      <c r="K540" s="22">
        <v>33</v>
      </c>
      <c r="L540" s="22" t="s">
        <v>1778</v>
      </c>
      <c r="M540" s="26" t="s">
        <v>98</v>
      </c>
      <c r="N540" s="13" t="s">
        <v>230</v>
      </c>
      <c r="O540" s="13" t="s">
        <v>277</v>
      </c>
      <c r="P540" s="13" t="s">
        <v>60</v>
      </c>
      <c r="Q540" s="13" t="s">
        <v>44</v>
      </c>
      <c r="R540" s="13" t="s">
        <v>270</v>
      </c>
      <c r="S540" s="13" t="s">
        <v>1779</v>
      </c>
      <c r="T540" s="13" t="s">
        <v>1780</v>
      </c>
      <c r="U540" s="13"/>
      <c r="V540" s="13"/>
      <c r="W540" s="13"/>
      <c r="X540" s="14"/>
      <c r="AN540" s="7" t="s">
        <v>70</v>
      </c>
      <c r="AO540" s="21">
        <f t="shared" si="24"/>
        <v>0</v>
      </c>
      <c r="AP540" s="7">
        <f t="shared" si="25"/>
        <v>33</v>
      </c>
      <c r="AQ540" s="31" t="str">
        <f t="shared" si="27"/>
        <v>Complete - No Adjustment</v>
      </c>
      <c r="AS540" s="37"/>
      <c r="AT540" s="37"/>
      <c r="AU540" s="37"/>
      <c r="AV540" s="37"/>
      <c r="AW540" s="37"/>
      <c r="AX540" s="37"/>
      <c r="AY540" s="37"/>
      <c r="AZ540" s="37"/>
      <c r="BA540" s="37"/>
      <c r="BB540" s="37"/>
      <c r="BC540" s="37"/>
      <c r="BD540" s="37"/>
      <c r="BE540" s="37"/>
      <c r="BF540" s="37"/>
      <c r="BG540" s="37"/>
      <c r="BH540" s="37"/>
      <c r="BI540" s="37"/>
    </row>
    <row r="541" spans="1:61" x14ac:dyDescent="0.2">
      <c r="A541" s="46">
        <v>531</v>
      </c>
      <c r="B541" s="13" t="s">
        <v>266</v>
      </c>
      <c r="C541" s="13" t="s">
        <v>359</v>
      </c>
      <c r="D541" s="13" t="s">
        <v>358</v>
      </c>
      <c r="E541" s="13" t="s">
        <v>1777</v>
      </c>
      <c r="F541" s="13" t="s">
        <v>196</v>
      </c>
      <c r="G541" s="13" t="s">
        <v>111</v>
      </c>
      <c r="H541" s="16">
        <v>43865</v>
      </c>
      <c r="I541" s="16">
        <v>43956</v>
      </c>
      <c r="J541" s="22">
        <v>770.52</v>
      </c>
      <c r="K541" s="22">
        <v>514.80999999999995</v>
      </c>
      <c r="L541" s="22" t="s">
        <v>1778</v>
      </c>
      <c r="M541" s="26" t="s">
        <v>98</v>
      </c>
      <c r="N541" s="13" t="s">
        <v>230</v>
      </c>
      <c r="O541" s="13" t="s">
        <v>277</v>
      </c>
      <c r="P541" s="13" t="s">
        <v>60</v>
      </c>
      <c r="Q541" s="13" t="s">
        <v>44</v>
      </c>
      <c r="R541" s="13" t="s">
        <v>270</v>
      </c>
      <c r="S541" s="13" t="s">
        <v>1779</v>
      </c>
      <c r="T541" s="13" t="s">
        <v>1781</v>
      </c>
      <c r="U541" s="13"/>
      <c r="V541" s="13"/>
      <c r="W541" s="13"/>
      <c r="X541" s="14"/>
      <c r="AN541" s="7" t="s">
        <v>70</v>
      </c>
      <c r="AO541" s="21">
        <f t="shared" si="24"/>
        <v>0</v>
      </c>
      <c r="AP541" s="7">
        <f t="shared" si="25"/>
        <v>514.80999999999995</v>
      </c>
      <c r="AQ541" s="31" t="str">
        <f t="shared" si="27"/>
        <v>Complete - No Adjustment</v>
      </c>
      <c r="AS541" s="37"/>
      <c r="AT541" s="37"/>
      <c r="AU541" s="37"/>
      <c r="AV541" s="37"/>
      <c r="AW541" s="37"/>
      <c r="AX541" s="37"/>
      <c r="AY541" s="37"/>
      <c r="AZ541" s="37"/>
      <c r="BA541" s="37"/>
      <c r="BB541" s="37"/>
      <c r="BC541" s="37"/>
      <c r="BD541" s="37"/>
      <c r="BE541" s="37"/>
      <c r="BF541" s="37"/>
      <c r="BG541" s="37"/>
      <c r="BH541" s="37"/>
      <c r="BI541" s="37"/>
    </row>
    <row r="542" spans="1:61" x14ac:dyDescent="0.2">
      <c r="A542" s="46">
        <v>532</v>
      </c>
      <c r="B542" s="13" t="s">
        <v>266</v>
      </c>
      <c r="C542" s="13" t="s">
        <v>359</v>
      </c>
      <c r="D542" s="13" t="s">
        <v>358</v>
      </c>
      <c r="E542" s="13" t="s">
        <v>1777</v>
      </c>
      <c r="F542" s="13" t="s">
        <v>196</v>
      </c>
      <c r="G542" s="13" t="s">
        <v>111</v>
      </c>
      <c r="H542" s="16">
        <v>43865</v>
      </c>
      <c r="I542" s="16">
        <v>43956</v>
      </c>
      <c r="J542" s="22">
        <v>770.52</v>
      </c>
      <c r="K542" s="22">
        <v>137.83000000000001</v>
      </c>
      <c r="L542" s="22" t="s">
        <v>1778</v>
      </c>
      <c r="M542" s="26" t="s">
        <v>98</v>
      </c>
      <c r="N542" s="13" t="s">
        <v>230</v>
      </c>
      <c r="O542" s="13" t="s">
        <v>277</v>
      </c>
      <c r="P542" s="13" t="s">
        <v>60</v>
      </c>
      <c r="Q542" s="13" t="s">
        <v>45</v>
      </c>
      <c r="R542" s="13" t="s">
        <v>270</v>
      </c>
      <c r="S542" s="13" t="s">
        <v>1779</v>
      </c>
      <c r="T542" s="13" t="s">
        <v>1782</v>
      </c>
      <c r="U542" s="13"/>
      <c r="V542" s="13"/>
      <c r="W542" s="13"/>
      <c r="X542" s="14"/>
      <c r="AN542" s="7" t="s">
        <v>70</v>
      </c>
      <c r="AO542" s="21">
        <f t="shared" si="24"/>
        <v>0</v>
      </c>
      <c r="AP542" s="7">
        <f t="shared" si="25"/>
        <v>137.83000000000001</v>
      </c>
      <c r="AQ542" s="31" t="str">
        <f t="shared" si="27"/>
        <v>Complete - No Adjustment</v>
      </c>
      <c r="AS542" s="37"/>
      <c r="AT542" s="37"/>
      <c r="AU542" s="37"/>
      <c r="AV542" s="37"/>
      <c r="AW542" s="37"/>
      <c r="AX542" s="37"/>
      <c r="AY542" s="37"/>
      <c r="AZ542" s="37"/>
      <c r="BA542" s="37"/>
      <c r="BB542" s="37"/>
      <c r="BC542" s="37"/>
      <c r="BD542" s="37"/>
      <c r="BE542" s="37"/>
      <c r="BF542" s="37"/>
      <c r="BG542" s="37"/>
      <c r="BH542" s="37"/>
      <c r="BI542" s="37"/>
    </row>
    <row r="543" spans="1:61" x14ac:dyDescent="0.2">
      <c r="A543" s="46">
        <v>533</v>
      </c>
      <c r="B543" s="13" t="s">
        <v>266</v>
      </c>
      <c r="C543" s="13" t="s">
        <v>359</v>
      </c>
      <c r="D543" s="13" t="s">
        <v>358</v>
      </c>
      <c r="E543" s="13" t="s">
        <v>1777</v>
      </c>
      <c r="F543" s="13" t="s">
        <v>196</v>
      </c>
      <c r="G543" s="13" t="s">
        <v>111</v>
      </c>
      <c r="H543" s="16">
        <v>43865</v>
      </c>
      <c r="I543" s="16">
        <v>43956</v>
      </c>
      <c r="J543" s="22">
        <v>770.52</v>
      </c>
      <c r="K543" s="22">
        <v>7</v>
      </c>
      <c r="L543" s="22" t="s">
        <v>1778</v>
      </c>
      <c r="M543" s="26" t="s">
        <v>97</v>
      </c>
      <c r="N543" s="13" t="s">
        <v>230</v>
      </c>
      <c r="O543" s="13" t="s">
        <v>277</v>
      </c>
      <c r="P543" s="13" t="s">
        <v>42</v>
      </c>
      <c r="Q543" s="13" t="s">
        <v>41</v>
      </c>
      <c r="R543" s="13" t="s">
        <v>270</v>
      </c>
      <c r="S543" s="13" t="s">
        <v>1779</v>
      </c>
      <c r="T543" s="13" t="s">
        <v>1783</v>
      </c>
      <c r="U543" s="13"/>
      <c r="V543" s="13"/>
      <c r="W543" s="13"/>
      <c r="X543" s="14"/>
      <c r="Y543" s="53">
        <v>7</v>
      </c>
      <c r="AN543" s="7" t="s">
        <v>8</v>
      </c>
      <c r="AO543" s="21">
        <f t="shared" si="24"/>
        <v>7</v>
      </c>
      <c r="AP543" s="7">
        <f t="shared" si="25"/>
        <v>0</v>
      </c>
      <c r="AQ543" s="31" t="str">
        <f t="shared" si="27"/>
        <v>Complete - With Adjustment</v>
      </c>
      <c r="AS543" s="37"/>
      <c r="AT543" s="37"/>
      <c r="AU543" s="37"/>
      <c r="AV543" s="37"/>
      <c r="AW543" s="37"/>
      <c r="AX543" s="37"/>
      <c r="AY543" s="37"/>
      <c r="AZ543" s="37"/>
      <c r="BA543" s="37"/>
      <c r="BB543" s="37"/>
      <c r="BC543" s="37"/>
      <c r="BD543" s="37"/>
      <c r="BE543" s="37"/>
      <c r="BF543" s="37"/>
      <c r="BG543" s="37"/>
      <c r="BH543" s="37"/>
      <c r="BI543" s="37"/>
    </row>
    <row r="544" spans="1:61" x14ac:dyDescent="0.2">
      <c r="A544" s="46">
        <v>534</v>
      </c>
      <c r="B544" s="13" t="s">
        <v>266</v>
      </c>
      <c r="C544" s="13" t="s">
        <v>359</v>
      </c>
      <c r="D544" s="13" t="s">
        <v>358</v>
      </c>
      <c r="E544" s="13" t="s">
        <v>1777</v>
      </c>
      <c r="F544" s="13" t="s">
        <v>196</v>
      </c>
      <c r="G544" s="13" t="s">
        <v>111</v>
      </c>
      <c r="H544" s="16">
        <v>43865</v>
      </c>
      <c r="I544" s="16">
        <v>43956</v>
      </c>
      <c r="J544" s="22">
        <v>770.52</v>
      </c>
      <c r="K544" s="22">
        <v>21.05</v>
      </c>
      <c r="L544" s="22" t="s">
        <v>1778</v>
      </c>
      <c r="M544" s="26" t="s">
        <v>98</v>
      </c>
      <c r="N544" s="13" t="s">
        <v>230</v>
      </c>
      <c r="O544" s="13" t="s">
        <v>277</v>
      </c>
      <c r="P544" s="13" t="s">
        <v>60</v>
      </c>
      <c r="Q544" s="13" t="s">
        <v>44</v>
      </c>
      <c r="R544" s="13" t="s">
        <v>270</v>
      </c>
      <c r="S544" s="13" t="s">
        <v>1779</v>
      </c>
      <c r="T544" s="13" t="s">
        <v>1784</v>
      </c>
      <c r="U544" s="13"/>
      <c r="V544" s="13"/>
      <c r="W544" s="13"/>
      <c r="X544" s="14"/>
      <c r="AN544" s="7" t="s">
        <v>70</v>
      </c>
      <c r="AO544" s="21">
        <f t="shared" si="24"/>
        <v>0</v>
      </c>
      <c r="AP544" s="7">
        <f t="shared" si="25"/>
        <v>21.05</v>
      </c>
      <c r="AQ544" s="31" t="str">
        <f t="shared" si="27"/>
        <v>Complete - No Adjustment</v>
      </c>
      <c r="AS544" s="37"/>
      <c r="AT544" s="37"/>
      <c r="AU544" s="37"/>
      <c r="AV544" s="37"/>
      <c r="AW544" s="37"/>
      <c r="AX544" s="37"/>
      <c r="AY544" s="37"/>
      <c r="AZ544" s="37"/>
      <c r="BA544" s="37"/>
      <c r="BB544" s="37"/>
      <c r="BC544" s="37"/>
      <c r="BD544" s="37"/>
      <c r="BE544" s="37"/>
      <c r="BF544" s="37"/>
      <c r="BG544" s="37"/>
      <c r="BH544" s="37"/>
      <c r="BI544" s="37"/>
    </row>
    <row r="545" spans="1:61" x14ac:dyDescent="0.2">
      <c r="A545" s="46">
        <v>535</v>
      </c>
      <c r="B545" s="13" t="s">
        <v>266</v>
      </c>
      <c r="C545" s="13" t="s">
        <v>359</v>
      </c>
      <c r="D545" s="13" t="s">
        <v>358</v>
      </c>
      <c r="E545" s="13" t="s">
        <v>1777</v>
      </c>
      <c r="F545" s="13" t="s">
        <v>196</v>
      </c>
      <c r="G545" s="13" t="s">
        <v>111</v>
      </c>
      <c r="H545" s="16">
        <v>43865</v>
      </c>
      <c r="I545" s="16">
        <v>43956</v>
      </c>
      <c r="J545" s="22">
        <v>770.52</v>
      </c>
      <c r="K545" s="22">
        <v>35.229999999999997</v>
      </c>
      <c r="L545" s="22" t="s">
        <v>1778</v>
      </c>
      <c r="M545" s="26" t="s">
        <v>98</v>
      </c>
      <c r="N545" s="13" t="s">
        <v>230</v>
      </c>
      <c r="O545" s="13" t="s">
        <v>277</v>
      </c>
      <c r="P545" s="13" t="s">
        <v>60</v>
      </c>
      <c r="Q545" s="13" t="s">
        <v>41</v>
      </c>
      <c r="R545" s="13" t="s">
        <v>270</v>
      </c>
      <c r="S545" s="13" t="s">
        <v>1779</v>
      </c>
      <c r="T545" s="13" t="s">
        <v>1785</v>
      </c>
      <c r="U545" s="13"/>
      <c r="V545" s="13"/>
      <c r="W545" s="13"/>
      <c r="X545" s="14"/>
      <c r="AC545" s="53">
        <f>(35.23-29.23*1.2)</f>
        <v>0.15399999999999636</v>
      </c>
      <c r="AN545" s="7" t="s">
        <v>67</v>
      </c>
      <c r="AO545" s="21">
        <f t="shared" si="24"/>
        <v>0.15399999999999636</v>
      </c>
      <c r="AP545" s="7">
        <f t="shared" si="25"/>
        <v>35.076000000000001</v>
      </c>
      <c r="AQ545" s="31" t="str">
        <f t="shared" si="27"/>
        <v>Complete - With Adjustment</v>
      </c>
      <c r="AS545" s="37"/>
      <c r="AT545" s="37"/>
      <c r="AU545" s="37"/>
      <c r="AV545" s="37"/>
      <c r="AW545" s="37"/>
      <c r="AX545" s="37"/>
      <c r="AY545" s="37"/>
      <c r="AZ545" s="37"/>
      <c r="BA545" s="37"/>
      <c r="BB545" s="37"/>
      <c r="BC545" s="37"/>
      <c r="BD545" s="37"/>
      <c r="BE545" s="37"/>
      <c r="BF545" s="37"/>
      <c r="BG545" s="37"/>
      <c r="BH545" s="37"/>
      <c r="BI545" s="37"/>
    </row>
    <row r="546" spans="1:61" x14ac:dyDescent="0.2">
      <c r="A546" s="46">
        <v>536</v>
      </c>
      <c r="B546" s="13" t="s">
        <v>266</v>
      </c>
      <c r="C546" s="13" t="s">
        <v>359</v>
      </c>
      <c r="D546" s="13" t="s">
        <v>358</v>
      </c>
      <c r="E546" s="13" t="s">
        <v>1777</v>
      </c>
      <c r="F546" s="13" t="s">
        <v>196</v>
      </c>
      <c r="G546" s="13" t="s">
        <v>111</v>
      </c>
      <c r="H546" s="16">
        <v>43865</v>
      </c>
      <c r="I546" s="16">
        <v>43956</v>
      </c>
      <c r="J546" s="22">
        <v>770.52</v>
      </c>
      <c r="K546" s="22">
        <v>21.6</v>
      </c>
      <c r="L546" s="22" t="s">
        <v>1778</v>
      </c>
      <c r="M546" s="26" t="s">
        <v>98</v>
      </c>
      <c r="N546" s="13" t="s">
        <v>230</v>
      </c>
      <c r="O546" s="13" t="s">
        <v>277</v>
      </c>
      <c r="P546" s="13" t="s">
        <v>60</v>
      </c>
      <c r="Q546" s="13" t="s">
        <v>41</v>
      </c>
      <c r="R546" s="13" t="s">
        <v>270</v>
      </c>
      <c r="S546" s="13" t="s">
        <v>1779</v>
      </c>
      <c r="T546" s="13" t="s">
        <v>1786</v>
      </c>
      <c r="U546" s="13"/>
      <c r="V546" s="13"/>
      <c r="W546" s="13"/>
      <c r="X546" s="14"/>
      <c r="Y546" s="53">
        <v>0.7</v>
      </c>
      <c r="AN546" s="7" t="s">
        <v>8</v>
      </c>
      <c r="AO546" s="21">
        <f t="shared" si="24"/>
        <v>0.7</v>
      </c>
      <c r="AP546" s="7">
        <f t="shared" si="25"/>
        <v>20.900000000000002</v>
      </c>
      <c r="AQ546" s="31" t="str">
        <f t="shared" si="27"/>
        <v>Complete - With Adjustment</v>
      </c>
      <c r="AS546" s="37"/>
      <c r="AT546" s="37"/>
      <c r="AU546" s="37"/>
      <c r="AV546" s="37"/>
      <c r="AW546" s="37"/>
      <c r="AX546" s="37"/>
      <c r="AY546" s="37"/>
      <c r="AZ546" s="37"/>
      <c r="BA546" s="37"/>
      <c r="BB546" s="37"/>
      <c r="BC546" s="37"/>
      <c r="BD546" s="37"/>
      <c r="BE546" s="37"/>
      <c r="BF546" s="37"/>
      <c r="BG546" s="37"/>
      <c r="BH546" s="37"/>
      <c r="BI546" s="37"/>
    </row>
    <row r="547" spans="1:61" x14ac:dyDescent="0.2">
      <c r="A547" s="46">
        <v>537</v>
      </c>
      <c r="B547" s="13" t="s">
        <v>266</v>
      </c>
      <c r="C547" s="13" t="s">
        <v>364</v>
      </c>
      <c r="D547" s="13" t="s">
        <v>363</v>
      </c>
      <c r="E547" s="13" t="s">
        <v>1787</v>
      </c>
      <c r="F547" s="13" t="s">
        <v>191</v>
      </c>
      <c r="G547" s="13" t="s">
        <v>111</v>
      </c>
      <c r="H547" s="16">
        <v>43895</v>
      </c>
      <c r="I547" s="16">
        <v>43965</v>
      </c>
      <c r="J547" s="22">
        <v>218.78</v>
      </c>
      <c r="K547" s="22">
        <v>21.55</v>
      </c>
      <c r="L547" s="22" t="s">
        <v>1788</v>
      </c>
      <c r="M547" s="26" t="s">
        <v>98</v>
      </c>
      <c r="N547" s="13" t="s">
        <v>230</v>
      </c>
      <c r="O547" s="13" t="s">
        <v>365</v>
      </c>
      <c r="P547" s="13" t="s">
        <v>60</v>
      </c>
      <c r="Q547" s="13" t="s">
        <v>74</v>
      </c>
      <c r="R547" s="13" t="s">
        <v>270</v>
      </c>
      <c r="S547" s="13" t="s">
        <v>1789</v>
      </c>
      <c r="T547" s="13" t="s">
        <v>1790</v>
      </c>
      <c r="U547" s="13"/>
      <c r="V547" s="13"/>
      <c r="W547" s="13"/>
      <c r="X547" s="14"/>
      <c r="AL547" s="14">
        <v>21.55</v>
      </c>
      <c r="AN547" s="7" t="s">
        <v>146</v>
      </c>
      <c r="AO547" s="21">
        <f t="shared" si="24"/>
        <v>21.55</v>
      </c>
      <c r="AP547" s="7">
        <f t="shared" si="25"/>
        <v>0</v>
      </c>
      <c r="AQ547" s="31" t="str">
        <f t="shared" si="27"/>
        <v>Complete - With Adjustment</v>
      </c>
      <c r="AS547" s="37"/>
      <c r="AT547" s="37"/>
      <c r="AU547" s="37"/>
      <c r="AV547" s="37"/>
      <c r="AW547" s="37"/>
      <c r="AX547" s="37"/>
      <c r="AY547" s="37"/>
      <c r="AZ547" s="37"/>
      <c r="BA547" s="37"/>
      <c r="BB547" s="37"/>
      <c r="BC547" s="37"/>
      <c r="BD547" s="37"/>
      <c r="BE547" s="37"/>
      <c r="BF547" s="37"/>
      <c r="BG547" s="37"/>
      <c r="BH547" s="37"/>
      <c r="BI547" s="37"/>
    </row>
    <row r="548" spans="1:61" x14ac:dyDescent="0.2">
      <c r="A548" s="46">
        <v>538</v>
      </c>
      <c r="B548" s="13" t="s">
        <v>266</v>
      </c>
      <c r="C548" s="13" t="s">
        <v>250</v>
      </c>
      <c r="D548" s="13" t="s">
        <v>249</v>
      </c>
      <c r="E548" s="13" t="s">
        <v>1791</v>
      </c>
      <c r="F548" s="13" t="s">
        <v>185</v>
      </c>
      <c r="G548" s="13" t="s">
        <v>111</v>
      </c>
      <c r="H548" s="16">
        <v>43970</v>
      </c>
      <c r="I548" s="16">
        <v>43973</v>
      </c>
      <c r="J548" s="22">
        <v>15</v>
      </c>
      <c r="K548" s="22">
        <v>7.5</v>
      </c>
      <c r="L548" s="22" t="s">
        <v>1792</v>
      </c>
      <c r="M548" s="26" t="s">
        <v>98</v>
      </c>
      <c r="N548" s="13" t="s">
        <v>230</v>
      </c>
      <c r="O548" s="13" t="s">
        <v>326</v>
      </c>
      <c r="P548" s="13" t="s">
        <v>60</v>
      </c>
      <c r="Q548" s="13" t="s">
        <v>41</v>
      </c>
      <c r="R548" s="13" t="s">
        <v>270</v>
      </c>
      <c r="S548" s="13" t="s">
        <v>1793</v>
      </c>
      <c r="T548" s="13" t="s">
        <v>1794</v>
      </c>
      <c r="U548" s="13"/>
      <c r="V548" s="13"/>
      <c r="W548" s="13"/>
      <c r="X548" s="14"/>
      <c r="AL548" s="14">
        <v>7.5</v>
      </c>
      <c r="AN548" s="7" t="s">
        <v>146</v>
      </c>
      <c r="AO548" s="21">
        <f t="shared" si="24"/>
        <v>7.5</v>
      </c>
      <c r="AP548" s="7">
        <f t="shared" si="25"/>
        <v>0</v>
      </c>
      <c r="AQ548" s="31" t="str">
        <f t="shared" si="27"/>
        <v>Complete - With Adjustment</v>
      </c>
      <c r="AS548" s="37"/>
      <c r="AT548" s="37"/>
      <c r="AU548" s="37"/>
      <c r="AV548" s="37"/>
      <c r="AW548" s="37"/>
      <c r="AX548" s="37"/>
      <c r="AY548" s="37"/>
      <c r="AZ548" s="37"/>
      <c r="BA548" s="37"/>
      <c r="BB548" s="37"/>
      <c r="BC548" s="37"/>
      <c r="BD548" s="37"/>
      <c r="BE548" s="37"/>
      <c r="BF548" s="37"/>
      <c r="BG548" s="37"/>
      <c r="BH548" s="37"/>
      <c r="BI548" s="37"/>
    </row>
    <row r="549" spans="1:61" x14ac:dyDescent="0.2">
      <c r="A549" s="46">
        <v>539</v>
      </c>
      <c r="B549" s="13" t="s">
        <v>266</v>
      </c>
      <c r="C549" s="13" t="s">
        <v>250</v>
      </c>
      <c r="D549" s="13" t="s">
        <v>249</v>
      </c>
      <c r="E549" s="13" t="s">
        <v>1795</v>
      </c>
      <c r="F549" s="13" t="s">
        <v>196</v>
      </c>
      <c r="G549" s="13" t="s">
        <v>111</v>
      </c>
      <c r="H549" s="16">
        <v>43951</v>
      </c>
      <c r="I549" s="16">
        <v>43956</v>
      </c>
      <c r="J549" s="22">
        <v>350</v>
      </c>
      <c r="K549" s="22">
        <v>175</v>
      </c>
      <c r="L549" s="22" t="s">
        <v>1796</v>
      </c>
      <c r="M549" s="26" t="s">
        <v>97</v>
      </c>
      <c r="N549" s="13" t="s">
        <v>230</v>
      </c>
      <c r="O549" s="13" t="s">
        <v>326</v>
      </c>
      <c r="P549" s="13" t="s">
        <v>42</v>
      </c>
      <c r="Q549" s="13" t="s">
        <v>63</v>
      </c>
      <c r="R549" s="13" t="s">
        <v>270</v>
      </c>
      <c r="S549" s="13" t="s">
        <v>1797</v>
      </c>
      <c r="T549" s="13" t="s">
        <v>1798</v>
      </c>
      <c r="U549" s="13"/>
      <c r="V549" s="13"/>
      <c r="W549" s="13"/>
      <c r="X549" s="14"/>
      <c r="AH549" s="14">
        <v>175</v>
      </c>
      <c r="AN549" s="7" t="s">
        <v>16</v>
      </c>
      <c r="AO549" s="21">
        <f t="shared" si="24"/>
        <v>175</v>
      </c>
      <c r="AP549" s="7">
        <f t="shared" si="25"/>
        <v>0</v>
      </c>
      <c r="AQ549" s="31" t="str">
        <f t="shared" si="27"/>
        <v>Complete - With Adjustment</v>
      </c>
      <c r="AS549" s="37"/>
      <c r="AT549" s="37"/>
      <c r="AU549" s="37"/>
      <c r="AV549" s="37"/>
      <c r="AW549" s="37"/>
      <c r="AX549" s="37"/>
      <c r="AY549" s="37"/>
      <c r="AZ549" s="37"/>
      <c r="BA549" s="37"/>
      <c r="BB549" s="37"/>
      <c r="BC549" s="37"/>
      <c r="BD549" s="37"/>
      <c r="BE549" s="37"/>
      <c r="BF549" s="37"/>
      <c r="BG549" s="37"/>
      <c r="BH549" s="37"/>
      <c r="BI549" s="37"/>
    </row>
    <row r="550" spans="1:61" x14ac:dyDescent="0.2">
      <c r="A550" s="46">
        <v>540</v>
      </c>
      <c r="B550" s="13" t="s">
        <v>266</v>
      </c>
      <c r="C550" s="13" t="s">
        <v>672</v>
      </c>
      <c r="D550" s="13" t="s">
        <v>671</v>
      </c>
      <c r="E550" s="13" t="s">
        <v>1799</v>
      </c>
      <c r="F550" s="13" t="s">
        <v>190</v>
      </c>
      <c r="G550" s="13" t="s">
        <v>111</v>
      </c>
      <c r="H550" s="16">
        <v>43949</v>
      </c>
      <c r="I550" s="16">
        <v>43952</v>
      </c>
      <c r="J550" s="22">
        <v>15</v>
      </c>
      <c r="K550" s="22">
        <v>15</v>
      </c>
      <c r="L550" s="22" t="s">
        <v>1800</v>
      </c>
      <c r="M550" s="26" t="s">
        <v>98</v>
      </c>
      <c r="N550" s="13" t="s">
        <v>230</v>
      </c>
      <c r="O550" s="13" t="s">
        <v>673</v>
      </c>
      <c r="P550" s="13" t="s">
        <v>60</v>
      </c>
      <c r="Q550" s="13" t="s">
        <v>46</v>
      </c>
      <c r="R550" s="13" t="s">
        <v>270</v>
      </c>
      <c r="S550" s="13" t="s">
        <v>1189</v>
      </c>
      <c r="T550" s="13" t="s">
        <v>1162</v>
      </c>
      <c r="U550" s="13"/>
      <c r="V550" s="13"/>
      <c r="W550" s="13"/>
      <c r="X550" s="14"/>
      <c r="AL550" s="14">
        <v>15</v>
      </c>
      <c r="AN550" s="7" t="s">
        <v>146</v>
      </c>
      <c r="AO550" s="21">
        <f t="shared" si="24"/>
        <v>15</v>
      </c>
      <c r="AP550" s="7">
        <f t="shared" si="25"/>
        <v>0</v>
      </c>
      <c r="AQ550" s="31" t="str">
        <f t="shared" si="27"/>
        <v>Complete - With Adjustment</v>
      </c>
      <c r="AS550" s="37"/>
      <c r="AT550" s="37"/>
      <c r="AU550" s="37"/>
      <c r="AV550" s="37"/>
      <c r="AW550" s="37"/>
      <c r="AX550" s="37"/>
      <c r="AY550" s="37"/>
      <c r="AZ550" s="37"/>
      <c r="BA550" s="37"/>
      <c r="BB550" s="37"/>
      <c r="BC550" s="37"/>
      <c r="BD550" s="37"/>
      <c r="BE550" s="37"/>
      <c r="BF550" s="37"/>
      <c r="BG550" s="37"/>
      <c r="BH550" s="37"/>
      <c r="BI550" s="37"/>
    </row>
    <row r="551" spans="1:61" x14ac:dyDescent="0.2">
      <c r="A551" s="46">
        <v>541</v>
      </c>
      <c r="B551" s="13" t="s">
        <v>266</v>
      </c>
      <c r="C551" s="13" t="s">
        <v>371</v>
      </c>
      <c r="D551" s="13" t="s">
        <v>370</v>
      </c>
      <c r="E551" s="13" t="s">
        <v>1801</v>
      </c>
      <c r="F551" s="13" t="s">
        <v>194</v>
      </c>
      <c r="G551" s="13" t="s">
        <v>111</v>
      </c>
      <c r="H551" s="16">
        <v>43963</v>
      </c>
      <c r="I551" s="16">
        <v>43964</v>
      </c>
      <c r="J551" s="22">
        <v>253.5</v>
      </c>
      <c r="K551" s="22">
        <v>7.24</v>
      </c>
      <c r="L551" s="22" t="s">
        <v>1802</v>
      </c>
      <c r="M551" s="26" t="s">
        <v>98</v>
      </c>
      <c r="N551" s="13" t="s">
        <v>230</v>
      </c>
      <c r="O551" s="13" t="s">
        <v>269</v>
      </c>
      <c r="P551" s="13" t="s">
        <v>60</v>
      </c>
      <c r="Q551" s="13" t="s">
        <v>41</v>
      </c>
      <c r="R551" s="13" t="s">
        <v>270</v>
      </c>
      <c r="S551" s="13" t="s">
        <v>1803</v>
      </c>
      <c r="T551" s="13" t="s">
        <v>1804</v>
      </c>
      <c r="U551" s="13"/>
      <c r="V551" s="13"/>
      <c r="W551" s="13"/>
      <c r="X551" s="14"/>
      <c r="AN551" s="7" t="s">
        <v>70</v>
      </c>
      <c r="AO551" s="21">
        <f t="shared" si="24"/>
        <v>0</v>
      </c>
      <c r="AP551" s="7">
        <f t="shared" si="25"/>
        <v>7.24</v>
      </c>
      <c r="AQ551" s="31" t="str">
        <f t="shared" si="27"/>
        <v>Complete - No Adjustment</v>
      </c>
      <c r="AS551" s="37"/>
      <c r="AT551" s="37"/>
      <c r="AU551" s="37"/>
      <c r="AV551" s="37"/>
      <c r="AW551" s="37"/>
      <c r="AX551" s="37"/>
      <c r="AY551" s="37"/>
      <c r="AZ551" s="37"/>
      <c r="BA551" s="37"/>
      <c r="BB551" s="37"/>
      <c r="BC551" s="37"/>
      <c r="BD551" s="37"/>
      <c r="BE551" s="37"/>
      <c r="BF551" s="37"/>
      <c r="BG551" s="37"/>
      <c r="BH551" s="37"/>
      <c r="BI551" s="37"/>
    </row>
    <row r="552" spans="1:61" x14ac:dyDescent="0.2">
      <c r="A552" s="46">
        <v>542</v>
      </c>
      <c r="B552" s="13" t="s">
        <v>266</v>
      </c>
      <c r="C552" s="13" t="s">
        <v>371</v>
      </c>
      <c r="D552" s="13" t="s">
        <v>370</v>
      </c>
      <c r="E552" s="13" t="s">
        <v>1801</v>
      </c>
      <c r="F552" s="13" t="s">
        <v>194</v>
      </c>
      <c r="G552" s="13" t="s">
        <v>111</v>
      </c>
      <c r="H552" s="16">
        <v>43963</v>
      </c>
      <c r="I552" s="16">
        <v>43964</v>
      </c>
      <c r="J552" s="22">
        <v>253.5</v>
      </c>
      <c r="K552" s="22">
        <v>10.14</v>
      </c>
      <c r="L552" s="22" t="s">
        <v>1802</v>
      </c>
      <c r="M552" s="26" t="s">
        <v>98</v>
      </c>
      <c r="N552" s="13" t="s">
        <v>230</v>
      </c>
      <c r="O552" s="13" t="s">
        <v>269</v>
      </c>
      <c r="P552" s="13" t="s">
        <v>60</v>
      </c>
      <c r="Q552" s="13" t="s">
        <v>41</v>
      </c>
      <c r="R552" s="13" t="s">
        <v>270</v>
      </c>
      <c r="S552" s="13" t="s">
        <v>1803</v>
      </c>
      <c r="T552" s="13" t="s">
        <v>1805</v>
      </c>
      <c r="U552" s="13"/>
      <c r="V552" s="13"/>
      <c r="W552" s="13"/>
      <c r="X552" s="14"/>
      <c r="AN552" s="7" t="s">
        <v>70</v>
      </c>
      <c r="AO552" s="21">
        <f t="shared" ref="AO552:AO615" si="28">SUM(Y552:AL552)</f>
        <v>0</v>
      </c>
      <c r="AP552" s="7">
        <f t="shared" ref="AP552:AP615" si="29">K552-AO552</f>
        <v>10.14</v>
      </c>
      <c r="AQ552" s="31" t="str">
        <f t="shared" si="27"/>
        <v>Complete - No Adjustment</v>
      </c>
      <c r="AS552" s="37"/>
      <c r="AT552" s="37"/>
      <c r="AU552" s="37"/>
      <c r="AV552" s="37"/>
      <c r="AW552" s="37"/>
      <c r="AX552" s="37"/>
      <c r="AY552" s="37"/>
      <c r="AZ552" s="37"/>
      <c r="BA552" s="37"/>
      <c r="BB552" s="37"/>
      <c r="BC552" s="37"/>
      <c r="BD552" s="37"/>
      <c r="BE552" s="37"/>
      <c r="BF552" s="37"/>
      <c r="BG552" s="37"/>
      <c r="BH552" s="37"/>
      <c r="BI552" s="37"/>
    </row>
    <row r="553" spans="1:61" x14ac:dyDescent="0.2">
      <c r="A553" s="46">
        <v>543</v>
      </c>
      <c r="B553" s="13" t="s">
        <v>266</v>
      </c>
      <c r="C553" s="13" t="s">
        <v>371</v>
      </c>
      <c r="D553" s="13" t="s">
        <v>370</v>
      </c>
      <c r="E553" s="13" t="s">
        <v>1801</v>
      </c>
      <c r="F553" s="13" t="s">
        <v>194</v>
      </c>
      <c r="G553" s="13" t="s">
        <v>111</v>
      </c>
      <c r="H553" s="16">
        <v>43963</v>
      </c>
      <c r="I553" s="16">
        <v>43964</v>
      </c>
      <c r="J553" s="22">
        <v>253.5</v>
      </c>
      <c r="K553" s="22">
        <v>26.11</v>
      </c>
      <c r="L553" s="22" t="s">
        <v>1802</v>
      </c>
      <c r="M553" s="26" t="s">
        <v>98</v>
      </c>
      <c r="N553" s="13" t="s">
        <v>230</v>
      </c>
      <c r="O553" s="13" t="s">
        <v>269</v>
      </c>
      <c r="P553" s="13" t="s">
        <v>60</v>
      </c>
      <c r="Q553" s="13" t="s">
        <v>41</v>
      </c>
      <c r="R553" s="13" t="s">
        <v>270</v>
      </c>
      <c r="S553" s="13" t="s">
        <v>1803</v>
      </c>
      <c r="T553" s="13" t="s">
        <v>1806</v>
      </c>
      <c r="U553" s="13"/>
      <c r="V553" s="13"/>
      <c r="W553" s="13"/>
      <c r="X553" s="14"/>
      <c r="AN553" s="7" t="s">
        <v>70</v>
      </c>
      <c r="AO553" s="21">
        <f t="shared" si="28"/>
        <v>0</v>
      </c>
      <c r="AP553" s="7">
        <f t="shared" si="29"/>
        <v>26.11</v>
      </c>
      <c r="AQ553" s="31" t="str">
        <f t="shared" si="27"/>
        <v>Complete - No Adjustment</v>
      </c>
      <c r="AS553" s="37"/>
      <c r="AT553" s="37"/>
      <c r="AU553" s="37"/>
      <c r="AV553" s="37"/>
      <c r="AW553" s="37"/>
      <c r="AX553" s="37"/>
      <c r="AY553" s="37"/>
      <c r="AZ553" s="37"/>
      <c r="BA553" s="37"/>
      <c r="BB553" s="37"/>
      <c r="BC553" s="37"/>
      <c r="BD553" s="37"/>
      <c r="BE553" s="37"/>
      <c r="BF553" s="37"/>
      <c r="BG553" s="37"/>
      <c r="BH553" s="37"/>
      <c r="BI553" s="37"/>
    </row>
    <row r="554" spans="1:61" x14ac:dyDescent="0.2">
      <c r="A554" s="46">
        <v>544</v>
      </c>
      <c r="B554" s="13" t="s">
        <v>266</v>
      </c>
      <c r="C554" s="13" t="s">
        <v>371</v>
      </c>
      <c r="D554" s="13" t="s">
        <v>370</v>
      </c>
      <c r="E554" s="13" t="s">
        <v>1801</v>
      </c>
      <c r="F554" s="13" t="s">
        <v>194</v>
      </c>
      <c r="G554" s="13" t="s">
        <v>111</v>
      </c>
      <c r="H554" s="16">
        <v>43963</v>
      </c>
      <c r="I554" s="16">
        <v>43964</v>
      </c>
      <c r="J554" s="22">
        <v>253.5</v>
      </c>
      <c r="K554" s="22">
        <v>13.88</v>
      </c>
      <c r="L554" s="22" t="s">
        <v>1802</v>
      </c>
      <c r="M554" s="26" t="s">
        <v>98</v>
      </c>
      <c r="N554" s="13" t="s">
        <v>230</v>
      </c>
      <c r="O554" s="13" t="s">
        <v>269</v>
      </c>
      <c r="P554" s="13" t="s">
        <v>60</v>
      </c>
      <c r="Q554" s="13" t="s">
        <v>41</v>
      </c>
      <c r="R554" s="13" t="s">
        <v>270</v>
      </c>
      <c r="S554" s="13" t="s">
        <v>1803</v>
      </c>
      <c r="T554" s="13" t="s">
        <v>1807</v>
      </c>
      <c r="U554" s="13"/>
      <c r="V554" s="13"/>
      <c r="W554" s="13"/>
      <c r="X554" s="14"/>
      <c r="AN554" s="7" t="s">
        <v>70</v>
      </c>
      <c r="AO554" s="21">
        <f t="shared" si="28"/>
        <v>0</v>
      </c>
      <c r="AP554" s="7">
        <f t="shared" si="29"/>
        <v>13.88</v>
      </c>
      <c r="AQ554" s="31" t="str">
        <f t="shared" si="27"/>
        <v>Complete - No Adjustment</v>
      </c>
      <c r="AS554" s="37"/>
      <c r="AT554" s="37"/>
      <c r="AU554" s="37"/>
      <c r="AV554" s="37"/>
      <c r="AW554" s="37"/>
      <c r="AX554" s="37"/>
      <c r="AY554" s="37"/>
      <c r="AZ554" s="37"/>
      <c r="BA554" s="37"/>
      <c r="BB554" s="37"/>
      <c r="BC554" s="37"/>
      <c r="BD554" s="37"/>
      <c r="BE554" s="37"/>
      <c r="BF554" s="37"/>
      <c r="BG554" s="37"/>
      <c r="BH554" s="37"/>
      <c r="BI554" s="37"/>
    </row>
    <row r="555" spans="1:61" x14ac:dyDescent="0.2">
      <c r="A555" s="46">
        <v>545</v>
      </c>
      <c r="B555" s="13" t="s">
        <v>266</v>
      </c>
      <c r="C555" s="13" t="s">
        <v>371</v>
      </c>
      <c r="D555" s="13" t="s">
        <v>370</v>
      </c>
      <c r="E555" s="13" t="s">
        <v>1801</v>
      </c>
      <c r="F555" s="13" t="s">
        <v>194</v>
      </c>
      <c r="G555" s="13" t="s">
        <v>111</v>
      </c>
      <c r="H555" s="16">
        <v>43963</v>
      </c>
      <c r="I555" s="16">
        <v>43964</v>
      </c>
      <c r="J555" s="22">
        <v>253.5</v>
      </c>
      <c r="K555" s="22">
        <v>110</v>
      </c>
      <c r="L555" s="22" t="s">
        <v>1802</v>
      </c>
      <c r="M555" s="26" t="s">
        <v>98</v>
      </c>
      <c r="N555" s="13" t="s">
        <v>230</v>
      </c>
      <c r="O555" s="13" t="s">
        <v>269</v>
      </c>
      <c r="P555" s="13" t="s">
        <v>60</v>
      </c>
      <c r="Q555" s="13" t="s">
        <v>74</v>
      </c>
      <c r="R555" s="13" t="s">
        <v>270</v>
      </c>
      <c r="S555" s="13" t="s">
        <v>1803</v>
      </c>
      <c r="T555" s="13" t="s">
        <v>1808</v>
      </c>
      <c r="U555" s="13"/>
      <c r="V555" s="13"/>
      <c r="W555" s="13"/>
      <c r="X555" s="14"/>
      <c r="AN555" s="7" t="s">
        <v>70</v>
      </c>
      <c r="AO555" s="21">
        <f t="shared" si="28"/>
        <v>0</v>
      </c>
      <c r="AP555" s="7">
        <f t="shared" si="29"/>
        <v>110</v>
      </c>
      <c r="AQ555" s="31" t="str">
        <f t="shared" si="27"/>
        <v>Complete - No Adjustment</v>
      </c>
      <c r="AS555" s="37"/>
      <c r="AT555" s="37"/>
      <c r="AU555" s="37"/>
      <c r="AV555" s="37"/>
      <c r="AW555" s="37"/>
      <c r="AX555" s="37"/>
      <c r="AY555" s="37"/>
      <c r="AZ555" s="37"/>
      <c r="BA555" s="37"/>
      <c r="BB555" s="37"/>
      <c r="BC555" s="37"/>
      <c r="BD555" s="37"/>
      <c r="BE555" s="37"/>
      <c r="BF555" s="37"/>
      <c r="BG555" s="37"/>
      <c r="BH555" s="37"/>
      <c r="BI555" s="37"/>
    </row>
    <row r="556" spans="1:61" x14ac:dyDescent="0.2">
      <c r="A556" s="46">
        <v>546</v>
      </c>
      <c r="B556" s="13" t="s">
        <v>266</v>
      </c>
      <c r="C556" s="13" t="s">
        <v>371</v>
      </c>
      <c r="D556" s="13" t="s">
        <v>370</v>
      </c>
      <c r="E556" s="13" t="s">
        <v>1801</v>
      </c>
      <c r="F556" s="13" t="s">
        <v>194</v>
      </c>
      <c r="G556" s="13" t="s">
        <v>111</v>
      </c>
      <c r="H556" s="16">
        <v>43963</v>
      </c>
      <c r="I556" s="16">
        <v>43964</v>
      </c>
      <c r="J556" s="22">
        <v>253.5</v>
      </c>
      <c r="K556" s="22">
        <v>14.61</v>
      </c>
      <c r="L556" s="22" t="s">
        <v>1802</v>
      </c>
      <c r="M556" s="26" t="s">
        <v>98</v>
      </c>
      <c r="N556" s="13" t="s">
        <v>230</v>
      </c>
      <c r="O556" s="13" t="s">
        <v>269</v>
      </c>
      <c r="P556" s="13" t="s">
        <v>60</v>
      </c>
      <c r="Q556" s="13" t="s">
        <v>41</v>
      </c>
      <c r="R556" s="13" t="s">
        <v>270</v>
      </c>
      <c r="S556" s="13" t="s">
        <v>1803</v>
      </c>
      <c r="T556" s="13" t="s">
        <v>1809</v>
      </c>
      <c r="U556" s="13"/>
      <c r="V556" s="13"/>
      <c r="W556" s="13"/>
      <c r="X556" s="14"/>
      <c r="AN556" s="7" t="s">
        <v>70</v>
      </c>
      <c r="AO556" s="21">
        <f t="shared" si="28"/>
        <v>0</v>
      </c>
      <c r="AP556" s="7">
        <f t="shared" si="29"/>
        <v>14.61</v>
      </c>
      <c r="AQ556" s="31" t="str">
        <f t="shared" si="27"/>
        <v>Complete - No Adjustment</v>
      </c>
      <c r="AS556" s="37"/>
      <c r="AT556" s="37"/>
      <c r="AU556" s="37"/>
      <c r="AV556" s="37"/>
      <c r="AW556" s="37"/>
      <c r="AX556" s="37"/>
      <c r="AY556" s="37"/>
      <c r="AZ556" s="37"/>
      <c r="BA556" s="37"/>
      <c r="BB556" s="37"/>
      <c r="BC556" s="37"/>
      <c r="BD556" s="37"/>
      <c r="BE556" s="37"/>
      <c r="BF556" s="37"/>
      <c r="BG556" s="37"/>
      <c r="BH556" s="37"/>
      <c r="BI556" s="37"/>
    </row>
    <row r="557" spans="1:61" x14ac:dyDescent="0.2">
      <c r="A557" s="46">
        <v>547</v>
      </c>
      <c r="B557" s="13" t="s">
        <v>266</v>
      </c>
      <c r="C557" s="13" t="s">
        <v>371</v>
      </c>
      <c r="D557" s="13" t="s">
        <v>370</v>
      </c>
      <c r="E557" s="13" t="s">
        <v>1801</v>
      </c>
      <c r="F557" s="13" t="s">
        <v>194</v>
      </c>
      <c r="G557" s="13" t="s">
        <v>111</v>
      </c>
      <c r="H557" s="16">
        <v>43963</v>
      </c>
      <c r="I557" s="16">
        <v>43964</v>
      </c>
      <c r="J557" s="22">
        <v>253.5</v>
      </c>
      <c r="K557" s="22">
        <v>46.41</v>
      </c>
      <c r="L557" s="22" t="s">
        <v>1802</v>
      </c>
      <c r="M557" s="26" t="s">
        <v>98</v>
      </c>
      <c r="N557" s="13" t="s">
        <v>230</v>
      </c>
      <c r="O557" s="13" t="s">
        <v>269</v>
      </c>
      <c r="P557" s="13" t="s">
        <v>60</v>
      </c>
      <c r="Q557" s="13" t="s">
        <v>41</v>
      </c>
      <c r="R557" s="13" t="s">
        <v>270</v>
      </c>
      <c r="S557" s="13" t="s">
        <v>1803</v>
      </c>
      <c r="T557" s="13" t="s">
        <v>1810</v>
      </c>
      <c r="U557" s="13"/>
      <c r="V557" s="13"/>
      <c r="W557" s="13"/>
      <c r="X557" s="14"/>
      <c r="AI557" s="53">
        <v>46.41</v>
      </c>
      <c r="AN557" s="7" t="s">
        <v>145</v>
      </c>
      <c r="AO557" s="21">
        <f t="shared" si="28"/>
        <v>46.41</v>
      </c>
      <c r="AP557" s="7">
        <f t="shared" si="29"/>
        <v>0</v>
      </c>
      <c r="AQ557" s="31" t="str">
        <f t="shared" si="27"/>
        <v>Complete - With Adjustment</v>
      </c>
      <c r="AS557" s="37"/>
      <c r="AT557" s="37"/>
      <c r="AU557" s="37"/>
      <c r="AV557" s="37"/>
      <c r="AW557" s="37"/>
      <c r="AX557" s="37"/>
      <c r="AY557" s="37"/>
      <c r="AZ557" s="37"/>
      <c r="BA557" s="37"/>
      <c r="BB557" s="37"/>
      <c r="BC557" s="37"/>
      <c r="BD557" s="37"/>
      <c r="BE557" s="37"/>
      <c r="BF557" s="37"/>
      <c r="BG557" s="37"/>
      <c r="BH557" s="37"/>
      <c r="BI557" s="37"/>
    </row>
    <row r="558" spans="1:61" x14ac:dyDescent="0.2">
      <c r="A558" s="46">
        <v>548</v>
      </c>
      <c r="B558" s="13" t="s">
        <v>266</v>
      </c>
      <c r="C558" s="13" t="s">
        <v>371</v>
      </c>
      <c r="D558" s="13" t="s">
        <v>370</v>
      </c>
      <c r="E558" s="13" t="s">
        <v>1801</v>
      </c>
      <c r="F558" s="13" t="s">
        <v>194</v>
      </c>
      <c r="G558" s="13" t="s">
        <v>111</v>
      </c>
      <c r="H558" s="16">
        <v>43963</v>
      </c>
      <c r="I558" s="16">
        <v>43964</v>
      </c>
      <c r="J558" s="22">
        <v>253.5</v>
      </c>
      <c r="K558" s="22">
        <v>25.11</v>
      </c>
      <c r="L558" s="22" t="s">
        <v>1802</v>
      </c>
      <c r="M558" s="26" t="s">
        <v>98</v>
      </c>
      <c r="N558" s="13" t="s">
        <v>230</v>
      </c>
      <c r="O558" s="13" t="s">
        <v>269</v>
      </c>
      <c r="P558" s="13" t="s">
        <v>60</v>
      </c>
      <c r="Q558" s="13" t="s">
        <v>41</v>
      </c>
      <c r="R558" s="13" t="s">
        <v>270</v>
      </c>
      <c r="S558" s="13" t="s">
        <v>1803</v>
      </c>
      <c r="T558" s="13" t="s">
        <v>1811</v>
      </c>
      <c r="U558" s="13"/>
      <c r="V558" s="13"/>
      <c r="W558" s="13"/>
      <c r="X558" s="14"/>
      <c r="AN558" s="7" t="s">
        <v>155</v>
      </c>
      <c r="AO558" s="21">
        <f t="shared" si="28"/>
        <v>0</v>
      </c>
      <c r="AP558" s="7">
        <f t="shared" si="29"/>
        <v>25.11</v>
      </c>
      <c r="AQ558" s="31" t="str">
        <f t="shared" si="27"/>
        <v>Complete - No Adjustment</v>
      </c>
      <c r="AS558" s="37"/>
      <c r="AT558" s="37"/>
      <c r="AU558" s="37"/>
      <c r="AV558" s="37"/>
      <c r="AW558" s="37"/>
      <c r="AX558" s="37"/>
      <c r="AY558" s="37"/>
      <c r="AZ558" s="37"/>
      <c r="BA558" s="37"/>
      <c r="BB558" s="37"/>
      <c r="BC558" s="37"/>
      <c r="BD558" s="37"/>
      <c r="BE558" s="37"/>
      <c r="BF558" s="37"/>
      <c r="BG558" s="37"/>
      <c r="BH558" s="37"/>
      <c r="BI558" s="37"/>
    </row>
    <row r="559" spans="1:61" x14ac:dyDescent="0.2">
      <c r="A559" s="46">
        <v>549</v>
      </c>
      <c r="B559" s="13" t="s">
        <v>266</v>
      </c>
      <c r="C559" s="13" t="s">
        <v>650</v>
      </c>
      <c r="D559" s="13" t="s">
        <v>649</v>
      </c>
      <c r="E559" s="13" t="s">
        <v>1812</v>
      </c>
      <c r="F559" s="13" t="s">
        <v>194</v>
      </c>
      <c r="G559" s="13" t="s">
        <v>111</v>
      </c>
      <c r="H559" s="16">
        <v>43956</v>
      </c>
      <c r="I559" s="16">
        <v>43964</v>
      </c>
      <c r="J559" s="22">
        <v>41.39</v>
      </c>
      <c r="K559" s="22">
        <v>20.49</v>
      </c>
      <c r="L559" s="22" t="s">
        <v>1813</v>
      </c>
      <c r="M559" s="26" t="s">
        <v>98</v>
      </c>
      <c r="N559" s="13" t="s">
        <v>230</v>
      </c>
      <c r="O559" s="13" t="s">
        <v>317</v>
      </c>
      <c r="P559" s="13" t="s">
        <v>60</v>
      </c>
      <c r="Q559" s="13" t="s">
        <v>41</v>
      </c>
      <c r="R559" s="13" t="s">
        <v>270</v>
      </c>
      <c r="S559" s="13" t="s">
        <v>1814</v>
      </c>
      <c r="T559" s="13" t="s">
        <v>1815</v>
      </c>
      <c r="U559" s="13"/>
      <c r="V559" s="13"/>
      <c r="W559" s="13"/>
      <c r="X559" s="14"/>
      <c r="AC559" s="53">
        <v>2</v>
      </c>
      <c r="AN559" s="7" t="s">
        <v>67</v>
      </c>
      <c r="AO559" s="21">
        <f t="shared" si="28"/>
        <v>2</v>
      </c>
      <c r="AP559" s="7">
        <f t="shared" si="29"/>
        <v>18.489999999999998</v>
      </c>
      <c r="AQ559" s="31" t="str">
        <f t="shared" si="27"/>
        <v>Complete - With Adjustment</v>
      </c>
      <c r="AS559" s="37"/>
      <c r="AT559" s="37"/>
      <c r="AU559" s="37"/>
      <c r="AV559" s="37"/>
      <c r="AW559" s="37"/>
      <c r="AX559" s="37"/>
      <c r="AY559" s="37"/>
      <c r="AZ559" s="37"/>
      <c r="BA559" s="37"/>
      <c r="BB559" s="37"/>
      <c r="BC559" s="37"/>
      <c r="BD559" s="37"/>
      <c r="BE559" s="37"/>
      <c r="BF559" s="37"/>
      <c r="BG559" s="37"/>
      <c r="BH559" s="37"/>
      <c r="BI559" s="37"/>
    </row>
    <row r="560" spans="1:61" x14ac:dyDescent="0.2">
      <c r="A560" s="46">
        <v>550</v>
      </c>
      <c r="B560" s="13" t="s">
        <v>266</v>
      </c>
      <c r="C560" s="13" t="s">
        <v>650</v>
      </c>
      <c r="D560" s="13" t="s">
        <v>649</v>
      </c>
      <c r="E560" s="13" t="s">
        <v>1812</v>
      </c>
      <c r="F560" s="13" t="s">
        <v>194</v>
      </c>
      <c r="G560" s="13" t="s">
        <v>111</v>
      </c>
      <c r="H560" s="16">
        <v>43956</v>
      </c>
      <c r="I560" s="16">
        <v>43964</v>
      </c>
      <c r="J560" s="22">
        <v>41.39</v>
      </c>
      <c r="K560" s="22">
        <v>20.9</v>
      </c>
      <c r="L560" s="22" t="s">
        <v>1813</v>
      </c>
      <c r="M560" s="26" t="s">
        <v>98</v>
      </c>
      <c r="N560" s="13" t="s">
        <v>230</v>
      </c>
      <c r="O560" s="13" t="s">
        <v>317</v>
      </c>
      <c r="P560" s="13" t="s">
        <v>60</v>
      </c>
      <c r="Q560" s="13" t="s">
        <v>41</v>
      </c>
      <c r="R560" s="13" t="s">
        <v>270</v>
      </c>
      <c r="S560" s="13" t="s">
        <v>1814</v>
      </c>
      <c r="T560" s="13" t="s">
        <v>781</v>
      </c>
      <c r="U560" s="13"/>
      <c r="V560" s="13"/>
      <c r="W560" s="13"/>
      <c r="X560" s="14"/>
      <c r="AN560" s="7" t="s">
        <v>70</v>
      </c>
      <c r="AO560" s="21">
        <f t="shared" si="28"/>
        <v>0</v>
      </c>
      <c r="AP560" s="7">
        <f t="shared" si="29"/>
        <v>20.9</v>
      </c>
      <c r="AQ560" s="31" t="str">
        <f t="shared" si="27"/>
        <v>Complete - No Adjustment</v>
      </c>
      <c r="AS560" s="37"/>
      <c r="AT560" s="37"/>
      <c r="AU560" s="37"/>
      <c r="AV560" s="37"/>
      <c r="AW560" s="37"/>
      <c r="AX560" s="37"/>
      <c r="AY560" s="37"/>
      <c r="AZ560" s="37"/>
      <c r="BA560" s="37"/>
      <c r="BB560" s="37"/>
      <c r="BC560" s="37"/>
      <c r="BD560" s="37"/>
      <c r="BE560" s="37"/>
      <c r="BF560" s="37"/>
      <c r="BG560" s="37"/>
      <c r="BH560" s="37"/>
      <c r="BI560" s="37"/>
    </row>
    <row r="561" spans="1:61" x14ac:dyDescent="0.2">
      <c r="A561" s="46">
        <v>551</v>
      </c>
      <c r="B561" s="13" t="s">
        <v>266</v>
      </c>
      <c r="C561" s="13" t="s">
        <v>532</v>
      </c>
      <c r="D561" s="13" t="s">
        <v>531</v>
      </c>
      <c r="E561" s="13" t="s">
        <v>1816</v>
      </c>
      <c r="F561" s="13" t="s">
        <v>189</v>
      </c>
      <c r="G561" s="13" t="s">
        <v>111</v>
      </c>
      <c r="H561" s="16">
        <v>43959</v>
      </c>
      <c r="I561" s="16">
        <v>43962</v>
      </c>
      <c r="J561" s="22">
        <v>15</v>
      </c>
      <c r="K561" s="22">
        <v>15</v>
      </c>
      <c r="L561" s="22" t="s">
        <v>1817</v>
      </c>
      <c r="M561" s="26" t="s">
        <v>98</v>
      </c>
      <c r="N561" s="13" t="s">
        <v>230</v>
      </c>
      <c r="O561" s="13" t="s">
        <v>533</v>
      </c>
      <c r="P561" s="13" t="s">
        <v>60</v>
      </c>
      <c r="Q561" s="13" t="s">
        <v>46</v>
      </c>
      <c r="R561" s="13" t="s">
        <v>270</v>
      </c>
      <c r="S561" s="13" t="s">
        <v>1189</v>
      </c>
      <c r="T561" s="13" t="s">
        <v>1190</v>
      </c>
      <c r="U561" s="13"/>
      <c r="V561" s="13"/>
      <c r="W561" s="13"/>
      <c r="X561" s="14"/>
      <c r="AL561" s="14">
        <v>15</v>
      </c>
      <c r="AN561" s="7" t="s">
        <v>155</v>
      </c>
      <c r="AO561" s="21">
        <f t="shared" si="28"/>
        <v>15</v>
      </c>
      <c r="AP561" s="7">
        <f t="shared" si="29"/>
        <v>0</v>
      </c>
      <c r="AQ561" s="31" t="str">
        <f t="shared" si="27"/>
        <v>Complete - With Adjustment</v>
      </c>
      <c r="AS561" s="37"/>
      <c r="AT561" s="37"/>
      <c r="AU561" s="37"/>
      <c r="AV561" s="37"/>
      <c r="AW561" s="37"/>
      <c r="AX561" s="37"/>
      <c r="AY561" s="37"/>
      <c r="AZ561" s="37"/>
      <c r="BA561" s="37"/>
      <c r="BB561" s="37"/>
      <c r="BC561" s="37"/>
      <c r="BD561" s="37"/>
      <c r="BE561" s="37"/>
      <c r="BF561" s="37"/>
      <c r="BG561" s="37"/>
      <c r="BH561" s="37"/>
      <c r="BI561" s="37"/>
    </row>
    <row r="562" spans="1:61" x14ac:dyDescent="0.2">
      <c r="A562" s="46">
        <v>552</v>
      </c>
      <c r="B562" s="13" t="s">
        <v>266</v>
      </c>
      <c r="C562" s="13" t="s">
        <v>532</v>
      </c>
      <c r="D562" s="13" t="s">
        <v>531</v>
      </c>
      <c r="E562" s="13" t="s">
        <v>1818</v>
      </c>
      <c r="F562" s="13" t="s">
        <v>198</v>
      </c>
      <c r="G562" s="13" t="s">
        <v>111</v>
      </c>
      <c r="H562" s="16">
        <v>43969</v>
      </c>
      <c r="I562" s="16">
        <v>43970</v>
      </c>
      <c r="J562" s="22">
        <v>340</v>
      </c>
      <c r="K562" s="22">
        <v>340</v>
      </c>
      <c r="L562" s="22" t="s">
        <v>1819</v>
      </c>
      <c r="M562" s="26" t="s">
        <v>98</v>
      </c>
      <c r="N562" s="13" t="s">
        <v>230</v>
      </c>
      <c r="O562" s="13" t="s">
        <v>533</v>
      </c>
      <c r="P562" s="13" t="s">
        <v>60</v>
      </c>
      <c r="Q562" s="13" t="s">
        <v>59</v>
      </c>
      <c r="R562" s="13" t="s">
        <v>270</v>
      </c>
      <c r="S562" s="13" t="s">
        <v>1820</v>
      </c>
      <c r="T562" s="13" t="s">
        <v>1821</v>
      </c>
      <c r="U562" s="13"/>
      <c r="V562" s="13"/>
      <c r="W562" s="13"/>
      <c r="X562" s="14"/>
      <c r="AN562" s="7" t="s">
        <v>70</v>
      </c>
      <c r="AO562" s="21">
        <f t="shared" si="28"/>
        <v>0</v>
      </c>
      <c r="AP562" s="7">
        <f t="shared" si="29"/>
        <v>340</v>
      </c>
      <c r="AQ562" s="31" t="str">
        <f t="shared" si="27"/>
        <v>Complete - No Adjustment</v>
      </c>
      <c r="AS562" s="37"/>
      <c r="AT562" s="37"/>
      <c r="AU562" s="37"/>
      <c r="AV562" s="37"/>
      <c r="AW562" s="37"/>
      <c r="AX562" s="37"/>
      <c r="AY562" s="37"/>
      <c r="AZ562" s="37"/>
      <c r="BA562" s="37"/>
      <c r="BB562" s="37"/>
      <c r="BC562" s="37"/>
      <c r="BD562" s="37"/>
      <c r="BE562" s="37"/>
      <c r="BF562" s="37"/>
      <c r="BG562" s="37"/>
      <c r="BH562" s="37"/>
      <c r="BI562" s="37"/>
    </row>
    <row r="563" spans="1:61" x14ac:dyDescent="0.2">
      <c r="A563" s="46">
        <v>553</v>
      </c>
      <c r="B563" s="13" t="s">
        <v>266</v>
      </c>
      <c r="C563" s="13" t="s">
        <v>537</v>
      </c>
      <c r="D563" s="13" t="s">
        <v>536</v>
      </c>
      <c r="E563" s="13" t="s">
        <v>1822</v>
      </c>
      <c r="F563" s="13" t="s">
        <v>196</v>
      </c>
      <c r="G563" s="13" t="s">
        <v>111</v>
      </c>
      <c r="H563" s="16">
        <v>43942</v>
      </c>
      <c r="I563" s="16">
        <v>43956</v>
      </c>
      <c r="J563" s="22">
        <v>51.77</v>
      </c>
      <c r="K563" s="22">
        <v>51.77</v>
      </c>
      <c r="L563" s="22" t="s">
        <v>1823</v>
      </c>
      <c r="M563" s="26" t="s">
        <v>98</v>
      </c>
      <c r="N563" s="13" t="s">
        <v>230</v>
      </c>
      <c r="O563" s="13" t="s">
        <v>298</v>
      </c>
      <c r="P563" s="13" t="s">
        <v>60</v>
      </c>
      <c r="Q563" s="13" t="s">
        <v>41</v>
      </c>
      <c r="R563" s="13" t="s">
        <v>270</v>
      </c>
      <c r="S563" s="13" t="s">
        <v>1824</v>
      </c>
      <c r="T563" s="13" t="s">
        <v>1825</v>
      </c>
      <c r="U563" s="13"/>
      <c r="V563" s="13"/>
      <c r="W563" s="13"/>
      <c r="X563" s="14"/>
      <c r="AL563" s="14">
        <v>51.77</v>
      </c>
      <c r="AN563" s="7" t="s">
        <v>167</v>
      </c>
      <c r="AO563" s="21">
        <f t="shared" si="28"/>
        <v>51.77</v>
      </c>
      <c r="AP563" s="7">
        <f t="shared" si="29"/>
        <v>0</v>
      </c>
      <c r="AQ563" s="31" t="str">
        <f t="shared" si="27"/>
        <v>Complete - With Adjustment</v>
      </c>
      <c r="AS563" s="37"/>
      <c r="AT563" s="37"/>
      <c r="AU563" s="37"/>
      <c r="AV563" s="37"/>
      <c r="AW563" s="37"/>
      <c r="AX563" s="37"/>
      <c r="AY563" s="37"/>
      <c r="AZ563" s="37"/>
      <c r="BA563" s="37"/>
      <c r="BB563" s="37"/>
      <c r="BC563" s="37"/>
      <c r="BD563" s="37"/>
      <c r="BE563" s="37"/>
      <c r="BF563" s="37"/>
      <c r="BG563" s="37"/>
      <c r="BH563" s="37"/>
      <c r="BI563" s="37"/>
    </row>
    <row r="564" spans="1:61" x14ac:dyDescent="0.2">
      <c r="A564" s="46">
        <v>554</v>
      </c>
      <c r="B564" s="13" t="s">
        <v>266</v>
      </c>
      <c r="C564" s="13" t="s">
        <v>380</v>
      </c>
      <c r="D564" s="13" t="s">
        <v>379</v>
      </c>
      <c r="E564" s="13" t="s">
        <v>1620</v>
      </c>
      <c r="F564" s="13" t="s">
        <v>198</v>
      </c>
      <c r="G564" s="13" t="s">
        <v>111</v>
      </c>
      <c r="H564" s="16">
        <v>43962</v>
      </c>
      <c r="I564" s="16">
        <v>43970</v>
      </c>
      <c r="J564" s="22">
        <v>1421.66</v>
      </c>
      <c r="K564" s="22">
        <v>709.04</v>
      </c>
      <c r="L564" s="22"/>
      <c r="M564" s="26" t="s">
        <v>98</v>
      </c>
      <c r="N564" s="13" t="s">
        <v>230</v>
      </c>
      <c r="O564" s="13" t="s">
        <v>277</v>
      </c>
      <c r="P564" s="13" t="s">
        <v>60</v>
      </c>
      <c r="Q564" s="13" t="s">
        <v>104</v>
      </c>
      <c r="R564" s="13" t="s">
        <v>270</v>
      </c>
      <c r="S564" s="13" t="s">
        <v>1621</v>
      </c>
      <c r="T564" s="13" t="s">
        <v>1622</v>
      </c>
      <c r="U564" s="13"/>
      <c r="V564" s="13"/>
      <c r="W564" s="13"/>
      <c r="X564" s="14"/>
      <c r="AL564" s="14">
        <v>709.04</v>
      </c>
      <c r="AN564" s="7" t="s">
        <v>155</v>
      </c>
      <c r="AO564" s="21">
        <f t="shared" si="28"/>
        <v>709.04</v>
      </c>
      <c r="AP564" s="7">
        <f t="shared" si="29"/>
        <v>0</v>
      </c>
      <c r="AQ564" s="31" t="str">
        <f t="shared" si="27"/>
        <v>Complete - With Adjustment</v>
      </c>
      <c r="AS564" s="37"/>
      <c r="AT564" s="37"/>
      <c r="AU564" s="37"/>
      <c r="AV564" s="37"/>
      <c r="AW564" s="37"/>
      <c r="AX564" s="37"/>
      <c r="AY564" s="37"/>
      <c r="AZ564" s="37"/>
      <c r="BA564" s="37"/>
      <c r="BB564" s="37"/>
      <c r="BC564" s="37"/>
      <c r="BD564" s="37"/>
      <c r="BE564" s="37"/>
      <c r="BF564" s="37"/>
      <c r="BG564" s="37"/>
      <c r="BH564" s="37"/>
      <c r="BI564" s="37"/>
    </row>
    <row r="565" spans="1:61" x14ac:dyDescent="0.2">
      <c r="A565" s="46">
        <v>555</v>
      </c>
      <c r="B565" s="13" t="s">
        <v>266</v>
      </c>
      <c r="C565" s="13" t="s">
        <v>380</v>
      </c>
      <c r="D565" s="13" t="s">
        <v>379</v>
      </c>
      <c r="E565" s="13" t="s">
        <v>1620</v>
      </c>
      <c r="F565" s="13" t="s">
        <v>198</v>
      </c>
      <c r="G565" s="13" t="s">
        <v>111</v>
      </c>
      <c r="H565" s="16">
        <v>43962</v>
      </c>
      <c r="I565" s="16">
        <v>43970</v>
      </c>
      <c r="J565" s="22">
        <v>1421.66</v>
      </c>
      <c r="K565" s="22">
        <v>158.62</v>
      </c>
      <c r="L565" s="22"/>
      <c r="M565" s="26" t="s">
        <v>97</v>
      </c>
      <c r="N565" s="13" t="s">
        <v>230</v>
      </c>
      <c r="O565" s="13" t="s">
        <v>277</v>
      </c>
      <c r="P565" s="13" t="s">
        <v>42</v>
      </c>
      <c r="Q565" s="13" t="s">
        <v>57</v>
      </c>
      <c r="R565" s="13" t="s">
        <v>270</v>
      </c>
      <c r="S565" s="13" t="s">
        <v>1621</v>
      </c>
      <c r="T565" s="13" t="s">
        <v>1623</v>
      </c>
      <c r="U565" s="13"/>
      <c r="V565" s="13"/>
      <c r="W565" s="13"/>
      <c r="X565" s="14"/>
      <c r="AL565" s="14">
        <v>158.62</v>
      </c>
      <c r="AN565" s="7" t="s">
        <v>146</v>
      </c>
      <c r="AO565" s="21">
        <f t="shared" si="28"/>
        <v>158.62</v>
      </c>
      <c r="AP565" s="7">
        <f t="shared" si="29"/>
        <v>0</v>
      </c>
      <c r="AQ565" s="31" t="str">
        <f t="shared" si="27"/>
        <v>Complete - With Adjustment</v>
      </c>
      <c r="AS565" s="37"/>
      <c r="AT565" s="37"/>
      <c r="AU565" s="37"/>
      <c r="AV565" s="37"/>
      <c r="AW565" s="37"/>
      <c r="AX565" s="37"/>
      <c r="AY565" s="37"/>
      <c r="AZ565" s="37"/>
      <c r="BA565" s="37"/>
      <c r="BB565" s="37"/>
      <c r="BC565" s="37"/>
      <c r="BD565" s="37"/>
      <c r="BE565" s="37"/>
      <c r="BF565" s="37"/>
      <c r="BG565" s="37"/>
      <c r="BH565" s="37"/>
      <c r="BI565" s="37"/>
    </row>
    <row r="566" spans="1:61" x14ac:dyDescent="0.2">
      <c r="A566" s="46">
        <v>556</v>
      </c>
      <c r="B566" s="13" t="s">
        <v>266</v>
      </c>
      <c r="C566" s="13" t="s">
        <v>380</v>
      </c>
      <c r="D566" s="13" t="s">
        <v>379</v>
      </c>
      <c r="E566" s="13" t="s">
        <v>1620</v>
      </c>
      <c r="F566" s="13" t="s">
        <v>198</v>
      </c>
      <c r="G566" s="13" t="s">
        <v>111</v>
      </c>
      <c r="H566" s="16">
        <v>43962</v>
      </c>
      <c r="I566" s="16">
        <v>43970</v>
      </c>
      <c r="J566" s="22">
        <v>1421.66</v>
      </c>
      <c r="K566" s="22">
        <v>335</v>
      </c>
      <c r="L566" s="22"/>
      <c r="M566" s="26" t="s">
        <v>97</v>
      </c>
      <c r="N566" s="13" t="s">
        <v>230</v>
      </c>
      <c r="O566" s="13" t="s">
        <v>277</v>
      </c>
      <c r="P566" s="13" t="s">
        <v>42</v>
      </c>
      <c r="Q566" s="13" t="s">
        <v>59</v>
      </c>
      <c r="R566" s="13" t="s">
        <v>270</v>
      </c>
      <c r="S566" s="13" t="s">
        <v>1621</v>
      </c>
      <c r="T566" s="13" t="s">
        <v>1624</v>
      </c>
      <c r="U566" s="13"/>
      <c r="V566" s="13"/>
      <c r="W566" s="13"/>
      <c r="X566" s="14"/>
      <c r="AL566" s="14">
        <v>335</v>
      </c>
      <c r="AN566" s="7" t="s">
        <v>70</v>
      </c>
      <c r="AO566" s="21">
        <f t="shared" si="28"/>
        <v>335</v>
      </c>
      <c r="AP566" s="7">
        <f t="shared" si="29"/>
        <v>0</v>
      </c>
      <c r="AQ566" s="31" t="str">
        <f t="shared" si="27"/>
        <v>Complete - With Adjustment</v>
      </c>
      <c r="AS566" s="37"/>
      <c r="AT566" s="37"/>
      <c r="AU566" s="37"/>
      <c r="AV566" s="37"/>
      <c r="AW566" s="37"/>
      <c r="AX566" s="37"/>
      <c r="AY566" s="37"/>
      <c r="AZ566" s="37"/>
      <c r="BA566" s="37"/>
      <c r="BB566" s="37"/>
      <c r="BC566" s="37"/>
      <c r="BD566" s="37"/>
      <c r="BE566" s="37"/>
      <c r="BF566" s="37"/>
      <c r="BG566" s="37"/>
      <c r="BH566" s="37"/>
      <c r="BI566" s="37"/>
    </row>
    <row r="567" spans="1:61" x14ac:dyDescent="0.2">
      <c r="A567" s="46">
        <v>557</v>
      </c>
      <c r="B567" s="13" t="s">
        <v>266</v>
      </c>
      <c r="C567" s="13" t="s">
        <v>380</v>
      </c>
      <c r="D567" s="13" t="s">
        <v>379</v>
      </c>
      <c r="E567" s="13" t="s">
        <v>1620</v>
      </c>
      <c r="F567" s="13" t="s">
        <v>198</v>
      </c>
      <c r="G567" s="13" t="s">
        <v>111</v>
      </c>
      <c r="H567" s="16">
        <v>43962</v>
      </c>
      <c r="I567" s="16">
        <v>43970</v>
      </c>
      <c r="J567" s="22">
        <v>1421.66</v>
      </c>
      <c r="K567" s="22">
        <v>219</v>
      </c>
      <c r="L567" s="22"/>
      <c r="M567" s="26" t="s">
        <v>97</v>
      </c>
      <c r="N567" s="13" t="s">
        <v>230</v>
      </c>
      <c r="O567" s="13" t="s">
        <v>277</v>
      </c>
      <c r="P567" s="13" t="s">
        <v>42</v>
      </c>
      <c r="Q567" s="13" t="s">
        <v>59</v>
      </c>
      <c r="R567" s="13" t="s">
        <v>270</v>
      </c>
      <c r="S567" s="13" t="s">
        <v>1621</v>
      </c>
      <c r="T567" s="13" t="s">
        <v>1625</v>
      </c>
      <c r="U567" s="13"/>
      <c r="V567" s="13"/>
      <c r="W567" s="13"/>
      <c r="X567" s="14"/>
      <c r="AL567" s="14">
        <v>219</v>
      </c>
      <c r="AN567" s="7" t="s">
        <v>70</v>
      </c>
      <c r="AO567" s="21">
        <f t="shared" si="28"/>
        <v>219</v>
      </c>
      <c r="AP567" s="7">
        <f t="shared" si="29"/>
        <v>0</v>
      </c>
      <c r="AQ567" s="31" t="str">
        <f t="shared" si="27"/>
        <v>Complete - With Adjustment</v>
      </c>
      <c r="AS567" s="37"/>
      <c r="AT567" s="37"/>
      <c r="AU567" s="37"/>
      <c r="AV567" s="37"/>
      <c r="AW567" s="37"/>
      <c r="AX567" s="37"/>
      <c r="AY567" s="37"/>
      <c r="AZ567" s="37"/>
      <c r="BA567" s="37"/>
      <c r="BB567" s="37"/>
      <c r="BC567" s="37"/>
      <c r="BD567" s="37"/>
      <c r="BE567" s="37"/>
      <c r="BF567" s="37"/>
      <c r="BG567" s="37"/>
      <c r="BH567" s="37"/>
      <c r="BI567" s="37"/>
    </row>
    <row r="568" spans="1:61" x14ac:dyDescent="0.2">
      <c r="A568" s="46">
        <v>558</v>
      </c>
      <c r="B568" s="13" t="s">
        <v>266</v>
      </c>
      <c r="C568" s="13" t="s">
        <v>391</v>
      </c>
      <c r="D568" s="13" t="s">
        <v>390</v>
      </c>
      <c r="E568" s="13" t="s">
        <v>1826</v>
      </c>
      <c r="F568" s="13" t="s">
        <v>192</v>
      </c>
      <c r="G568" s="13" t="s">
        <v>111</v>
      </c>
      <c r="H568" s="16">
        <v>43952</v>
      </c>
      <c r="I568" s="16">
        <v>43958</v>
      </c>
      <c r="J568" s="22">
        <v>600</v>
      </c>
      <c r="K568" s="22">
        <v>600</v>
      </c>
      <c r="L568" s="22" t="s">
        <v>1827</v>
      </c>
      <c r="M568" s="26" t="s">
        <v>98</v>
      </c>
      <c r="N568" s="13" t="s">
        <v>230</v>
      </c>
      <c r="O568" s="13" t="s">
        <v>271</v>
      </c>
      <c r="P568" s="13" t="s">
        <v>60</v>
      </c>
      <c r="Q568" s="13" t="s">
        <v>62</v>
      </c>
      <c r="R568" s="13" t="s">
        <v>270</v>
      </c>
      <c r="S568" s="13" t="s">
        <v>1828</v>
      </c>
      <c r="T568" s="13" t="s">
        <v>1829</v>
      </c>
      <c r="U568" s="13"/>
      <c r="V568" s="13"/>
      <c r="W568" s="13"/>
      <c r="X568" s="14"/>
      <c r="AN568" s="7" t="s">
        <v>70</v>
      </c>
      <c r="AO568" s="21">
        <f t="shared" si="28"/>
        <v>0</v>
      </c>
      <c r="AP568" s="7">
        <f t="shared" si="29"/>
        <v>600</v>
      </c>
      <c r="AQ568" s="31" t="str">
        <f t="shared" si="27"/>
        <v>Complete - No Adjustment</v>
      </c>
      <c r="AS568" s="37"/>
      <c r="AT568" s="37"/>
      <c r="AU568" s="37"/>
      <c r="AV568" s="37"/>
      <c r="AW568" s="37"/>
      <c r="AX568" s="37"/>
      <c r="AY568" s="37"/>
      <c r="AZ568" s="37"/>
      <c r="BA568" s="37"/>
      <c r="BB568" s="37"/>
      <c r="BC568" s="37"/>
      <c r="BD568" s="37"/>
      <c r="BE568" s="37"/>
      <c r="BF568" s="37"/>
      <c r="BG568" s="37"/>
      <c r="BH568" s="37"/>
      <c r="BI568" s="37"/>
    </row>
    <row r="569" spans="1:61" x14ac:dyDescent="0.2">
      <c r="A569" s="46">
        <v>559</v>
      </c>
      <c r="B569" s="13" t="s">
        <v>266</v>
      </c>
      <c r="C569" s="13" t="s">
        <v>1830</v>
      </c>
      <c r="D569" s="13" t="s">
        <v>1831</v>
      </c>
      <c r="E569" s="13" t="s">
        <v>1832</v>
      </c>
      <c r="F569" s="13" t="s">
        <v>196</v>
      </c>
      <c r="G569" s="13" t="s">
        <v>111</v>
      </c>
      <c r="H569" s="16">
        <v>43950</v>
      </c>
      <c r="I569" s="16">
        <v>43956</v>
      </c>
      <c r="J569" s="22">
        <v>15</v>
      </c>
      <c r="K569" s="22">
        <v>15</v>
      </c>
      <c r="L569" s="22" t="s">
        <v>1833</v>
      </c>
      <c r="M569" s="26" t="s">
        <v>98</v>
      </c>
      <c r="N569" s="13" t="s">
        <v>230</v>
      </c>
      <c r="O569" s="13" t="s">
        <v>426</v>
      </c>
      <c r="P569" s="13" t="s">
        <v>60</v>
      </c>
      <c r="Q569" s="13" t="s">
        <v>41</v>
      </c>
      <c r="R569" s="13" t="s">
        <v>270</v>
      </c>
      <c r="S569" s="13" t="s">
        <v>1834</v>
      </c>
      <c r="T569" s="13" t="s">
        <v>1835</v>
      </c>
      <c r="U569" s="13"/>
      <c r="V569" s="13"/>
      <c r="W569" s="13"/>
      <c r="X569" s="14"/>
      <c r="AL569" s="14">
        <v>15</v>
      </c>
      <c r="AN569" s="7" t="s">
        <v>146</v>
      </c>
      <c r="AO569" s="21">
        <f t="shared" si="28"/>
        <v>15</v>
      </c>
      <c r="AP569" s="7">
        <f t="shared" si="29"/>
        <v>0</v>
      </c>
      <c r="AQ569" s="31" t="str">
        <f t="shared" si="27"/>
        <v>Complete - With Adjustment</v>
      </c>
      <c r="AS569" s="37"/>
      <c r="AT569" s="37"/>
      <c r="AU569" s="37"/>
      <c r="AV569" s="37"/>
      <c r="AW569" s="37"/>
      <c r="AX569" s="37"/>
      <c r="AY569" s="37"/>
      <c r="AZ569" s="37"/>
      <c r="BA569" s="37"/>
      <c r="BB569" s="37"/>
      <c r="BC569" s="37"/>
      <c r="BD569" s="37"/>
      <c r="BE569" s="37"/>
      <c r="BF569" s="37"/>
      <c r="BG569" s="37"/>
      <c r="BH569" s="37"/>
      <c r="BI569" s="37"/>
    </row>
    <row r="570" spans="1:61" x14ac:dyDescent="0.2">
      <c r="A570" s="46">
        <v>560</v>
      </c>
      <c r="B570" s="13" t="s">
        <v>266</v>
      </c>
      <c r="C570" s="13" t="s">
        <v>401</v>
      </c>
      <c r="D570" s="13" t="s">
        <v>400</v>
      </c>
      <c r="E570" s="13" t="s">
        <v>1626</v>
      </c>
      <c r="F570" s="13" t="s">
        <v>198</v>
      </c>
      <c r="G570" s="13" t="s">
        <v>111</v>
      </c>
      <c r="H570" s="16">
        <v>43969</v>
      </c>
      <c r="I570" s="16">
        <v>43970</v>
      </c>
      <c r="J570" s="22">
        <v>104.25</v>
      </c>
      <c r="K570" s="22">
        <v>104.25</v>
      </c>
      <c r="L570" s="22"/>
      <c r="M570" s="26" t="s">
        <v>97</v>
      </c>
      <c r="N570" s="13" t="s">
        <v>230</v>
      </c>
      <c r="O570" s="13" t="s">
        <v>402</v>
      </c>
      <c r="P570" s="13" t="s">
        <v>42</v>
      </c>
      <c r="Q570" s="13" t="s">
        <v>540</v>
      </c>
      <c r="R570" s="13" t="s">
        <v>270</v>
      </c>
      <c r="S570" s="13" t="s">
        <v>1627</v>
      </c>
      <c r="T570" s="13" t="s">
        <v>1628</v>
      </c>
      <c r="U570" s="13"/>
      <c r="V570" s="13"/>
      <c r="W570" s="13"/>
      <c r="X570" s="14"/>
      <c r="Z570" s="22">
        <v>104.25</v>
      </c>
      <c r="AN570" s="7" t="s">
        <v>39</v>
      </c>
      <c r="AO570" s="21">
        <f t="shared" si="28"/>
        <v>104.25</v>
      </c>
      <c r="AP570" s="7">
        <f t="shared" si="29"/>
        <v>0</v>
      </c>
      <c r="AQ570" s="31" t="str">
        <f t="shared" si="27"/>
        <v>Complete - With Adjustment</v>
      </c>
      <c r="AS570" s="37"/>
      <c r="AT570" s="37"/>
      <c r="AU570" s="37"/>
      <c r="AV570" s="37"/>
      <c r="AW570" s="37"/>
      <c r="AX570" s="37"/>
      <c r="AY570" s="37"/>
      <c r="AZ570" s="37"/>
      <c r="BA570" s="37"/>
      <c r="BB570" s="37"/>
      <c r="BC570" s="37"/>
      <c r="BD570" s="37"/>
      <c r="BE570" s="37"/>
      <c r="BF570" s="37"/>
      <c r="BG570" s="37"/>
      <c r="BH570" s="37"/>
      <c r="BI570" s="37"/>
    </row>
    <row r="571" spans="1:61" x14ac:dyDescent="0.2">
      <c r="A571" s="46">
        <v>561</v>
      </c>
      <c r="B571" s="13" t="s">
        <v>266</v>
      </c>
      <c r="C571" s="13" t="s">
        <v>401</v>
      </c>
      <c r="D571" s="13" t="s">
        <v>400</v>
      </c>
      <c r="E571" s="13" t="s">
        <v>1629</v>
      </c>
      <c r="F571" s="13" t="s">
        <v>187</v>
      </c>
      <c r="G571" s="13" t="s">
        <v>111</v>
      </c>
      <c r="H571" s="16">
        <v>43978</v>
      </c>
      <c r="I571" s="16">
        <v>43980</v>
      </c>
      <c r="J571" s="22">
        <v>2134.69</v>
      </c>
      <c r="K571" s="22">
        <v>2134.69</v>
      </c>
      <c r="L571" s="22"/>
      <c r="M571" s="26" t="s">
        <v>97</v>
      </c>
      <c r="N571" s="13" t="s">
        <v>230</v>
      </c>
      <c r="O571" s="13" t="s">
        <v>402</v>
      </c>
      <c r="P571" s="13" t="s">
        <v>42</v>
      </c>
      <c r="Q571" s="13" t="s">
        <v>540</v>
      </c>
      <c r="R571" s="13" t="s">
        <v>270</v>
      </c>
      <c r="S571" s="13" t="s">
        <v>1630</v>
      </c>
      <c r="T571" s="13" t="s">
        <v>1631</v>
      </c>
      <c r="U571" s="13"/>
      <c r="V571" s="13"/>
      <c r="W571" s="13"/>
      <c r="X571" s="14"/>
      <c r="Z571" s="22">
        <v>2134.69</v>
      </c>
      <c r="AN571" s="7" t="s">
        <v>39</v>
      </c>
      <c r="AO571" s="21">
        <f t="shared" si="28"/>
        <v>2134.69</v>
      </c>
      <c r="AP571" s="7">
        <f t="shared" si="29"/>
        <v>0</v>
      </c>
      <c r="AQ571" s="31" t="str">
        <f t="shared" si="27"/>
        <v>Complete - With Adjustment</v>
      </c>
      <c r="AS571" s="37"/>
      <c r="AT571" s="37"/>
      <c r="AU571" s="37"/>
      <c r="AV571" s="37"/>
      <c r="AW571" s="37"/>
      <c r="AX571" s="37"/>
      <c r="AY571" s="37"/>
      <c r="AZ571" s="37"/>
      <c r="BA571" s="37"/>
      <c r="BB571" s="37"/>
      <c r="BC571" s="37"/>
      <c r="BD571" s="37"/>
      <c r="BE571" s="37"/>
      <c r="BF571" s="37"/>
      <c r="BG571" s="37"/>
      <c r="BH571" s="37"/>
      <c r="BI571" s="37"/>
    </row>
    <row r="572" spans="1:61" x14ac:dyDescent="0.2">
      <c r="A572" s="46">
        <v>562</v>
      </c>
      <c r="B572" s="13" t="s">
        <v>266</v>
      </c>
      <c r="C572" s="13" t="s">
        <v>401</v>
      </c>
      <c r="D572" s="13" t="s">
        <v>400</v>
      </c>
      <c r="E572" s="13" t="s">
        <v>1632</v>
      </c>
      <c r="F572" s="13" t="s">
        <v>197</v>
      </c>
      <c r="G572" s="13" t="s">
        <v>111</v>
      </c>
      <c r="H572" s="16">
        <v>43970</v>
      </c>
      <c r="I572" s="16">
        <v>43971</v>
      </c>
      <c r="J572" s="22">
        <v>3200</v>
      </c>
      <c r="K572" s="22">
        <v>3200</v>
      </c>
      <c r="L572" s="22"/>
      <c r="M572" s="26" t="s">
        <v>97</v>
      </c>
      <c r="N572" s="13" t="s">
        <v>230</v>
      </c>
      <c r="O572" s="13" t="s">
        <v>402</v>
      </c>
      <c r="P572" s="13" t="s">
        <v>42</v>
      </c>
      <c r="Q572" s="13" t="s">
        <v>56</v>
      </c>
      <c r="R572" s="13" t="s">
        <v>270</v>
      </c>
      <c r="S572" s="13" t="s">
        <v>1633</v>
      </c>
      <c r="T572" s="13" t="s">
        <v>1634</v>
      </c>
      <c r="U572" s="13"/>
      <c r="V572" s="13"/>
      <c r="W572" s="13"/>
      <c r="X572" s="14"/>
      <c r="Z572" s="22">
        <v>3200</v>
      </c>
      <c r="AN572" s="7" t="s">
        <v>39</v>
      </c>
      <c r="AO572" s="21">
        <f t="shared" si="28"/>
        <v>3200</v>
      </c>
      <c r="AP572" s="7">
        <f t="shared" si="29"/>
        <v>0</v>
      </c>
      <c r="AQ572" s="31" t="str">
        <f t="shared" si="27"/>
        <v>Complete - With Adjustment</v>
      </c>
      <c r="AS572" s="37"/>
      <c r="AT572" s="37"/>
      <c r="AU572" s="37"/>
      <c r="AV572" s="37"/>
      <c r="AW572" s="37"/>
      <c r="AX572" s="37"/>
      <c r="AY572" s="37"/>
      <c r="AZ572" s="37"/>
      <c r="BA572" s="37"/>
      <c r="BB572" s="37"/>
      <c r="BC572" s="37"/>
      <c r="BD572" s="37"/>
      <c r="BE572" s="37"/>
      <c r="BF572" s="37"/>
      <c r="BG572" s="37"/>
      <c r="BH572" s="37"/>
      <c r="BI572" s="37"/>
    </row>
    <row r="573" spans="1:61" x14ac:dyDescent="0.2">
      <c r="A573" s="46">
        <v>563</v>
      </c>
      <c r="B573" s="13" t="s">
        <v>266</v>
      </c>
      <c r="C573" s="13" t="s">
        <v>150</v>
      </c>
      <c r="D573" s="13" t="s">
        <v>151</v>
      </c>
      <c r="E573" s="13" t="s">
        <v>1836</v>
      </c>
      <c r="F573" s="13" t="s">
        <v>185</v>
      </c>
      <c r="G573" s="13" t="s">
        <v>111</v>
      </c>
      <c r="H573" s="16">
        <v>43969</v>
      </c>
      <c r="I573" s="16">
        <v>43973</v>
      </c>
      <c r="J573" s="22">
        <v>15</v>
      </c>
      <c r="K573" s="22">
        <v>15</v>
      </c>
      <c r="L573" s="22" t="s">
        <v>1837</v>
      </c>
      <c r="M573" s="26" t="s">
        <v>98</v>
      </c>
      <c r="N573" s="13" t="s">
        <v>230</v>
      </c>
      <c r="O573" s="13" t="s">
        <v>383</v>
      </c>
      <c r="P573" s="13" t="s">
        <v>60</v>
      </c>
      <c r="Q573" s="13" t="s">
        <v>41</v>
      </c>
      <c r="R573" s="13" t="s">
        <v>270</v>
      </c>
      <c r="S573" s="13" t="s">
        <v>1201</v>
      </c>
      <c r="T573" s="13" t="s">
        <v>1202</v>
      </c>
      <c r="U573" s="13"/>
      <c r="V573" s="13"/>
      <c r="W573" s="13"/>
      <c r="X573" s="14"/>
      <c r="AN573" s="7" t="s">
        <v>155</v>
      </c>
      <c r="AO573" s="21">
        <f t="shared" si="28"/>
        <v>0</v>
      </c>
      <c r="AP573" s="7">
        <f t="shared" si="29"/>
        <v>15</v>
      </c>
      <c r="AQ573" s="31" t="str">
        <f t="shared" si="27"/>
        <v>Complete - No Adjustment</v>
      </c>
      <c r="AS573" s="37"/>
      <c r="AT573" s="37"/>
      <c r="AU573" s="37"/>
      <c r="AV573" s="37"/>
      <c r="AW573" s="37"/>
      <c r="AX573" s="37"/>
      <c r="AY573" s="37"/>
      <c r="AZ573" s="37"/>
      <c r="BA573" s="37"/>
      <c r="BB573" s="37"/>
      <c r="BC573" s="37"/>
      <c r="BD573" s="37"/>
      <c r="BE573" s="37"/>
      <c r="BF573" s="37"/>
      <c r="BG573" s="37"/>
      <c r="BH573" s="37"/>
      <c r="BI573" s="37"/>
    </row>
    <row r="574" spans="1:61" x14ac:dyDescent="0.2">
      <c r="A574" s="46">
        <v>564</v>
      </c>
      <c r="B574" s="13" t="s">
        <v>266</v>
      </c>
      <c r="C574" s="13" t="s">
        <v>701</v>
      </c>
      <c r="D574" s="13" t="s">
        <v>840</v>
      </c>
      <c r="E574" s="13" t="s">
        <v>1838</v>
      </c>
      <c r="F574" s="13" t="s">
        <v>188</v>
      </c>
      <c r="G574" s="13" t="s">
        <v>111</v>
      </c>
      <c r="H574" s="16">
        <v>43964</v>
      </c>
      <c r="I574" s="16">
        <v>43978</v>
      </c>
      <c r="J574" s="22">
        <v>28.64</v>
      </c>
      <c r="K574" s="22">
        <v>7.75</v>
      </c>
      <c r="L574" s="22" t="s">
        <v>1839</v>
      </c>
      <c r="M574" s="26" t="s">
        <v>98</v>
      </c>
      <c r="N574" s="13" t="s">
        <v>230</v>
      </c>
      <c r="O574" s="13" t="s">
        <v>289</v>
      </c>
      <c r="P574" s="13" t="s">
        <v>60</v>
      </c>
      <c r="Q574" s="13" t="s">
        <v>74</v>
      </c>
      <c r="R574" s="13" t="s">
        <v>270</v>
      </c>
      <c r="S574" s="13" t="s">
        <v>1840</v>
      </c>
      <c r="T574" s="13" t="s">
        <v>1841</v>
      </c>
      <c r="U574" s="13"/>
      <c r="V574" s="13"/>
      <c r="W574" s="13"/>
      <c r="X574" s="14"/>
      <c r="AN574" s="7" t="s">
        <v>70</v>
      </c>
      <c r="AO574" s="21">
        <f t="shared" si="28"/>
        <v>0</v>
      </c>
      <c r="AP574" s="7">
        <f t="shared" si="29"/>
        <v>7.75</v>
      </c>
      <c r="AQ574" s="31" t="str">
        <f t="shared" si="27"/>
        <v>Complete - No Adjustment</v>
      </c>
      <c r="AS574" s="37"/>
      <c r="AT574" s="37"/>
      <c r="AU574" s="37"/>
      <c r="AV574" s="37"/>
      <c r="AW574" s="37"/>
      <c r="AX574" s="37"/>
      <c r="AY574" s="37"/>
      <c r="AZ574" s="37"/>
      <c r="BA574" s="37"/>
      <c r="BB574" s="37"/>
      <c r="BC574" s="37"/>
      <c r="BD574" s="37"/>
      <c r="BE574" s="37"/>
      <c r="BF574" s="37"/>
      <c r="BG574" s="37"/>
      <c r="BH574" s="37"/>
      <c r="BI574" s="37"/>
    </row>
    <row r="575" spans="1:61" x14ac:dyDescent="0.2">
      <c r="A575" s="46">
        <v>565</v>
      </c>
      <c r="B575" s="13" t="s">
        <v>266</v>
      </c>
      <c r="C575" s="13" t="s">
        <v>701</v>
      </c>
      <c r="D575" s="13" t="s">
        <v>840</v>
      </c>
      <c r="E575" s="13" t="s">
        <v>1838</v>
      </c>
      <c r="F575" s="13" t="s">
        <v>188</v>
      </c>
      <c r="G575" s="13" t="s">
        <v>111</v>
      </c>
      <c r="H575" s="16">
        <v>43964</v>
      </c>
      <c r="I575" s="16">
        <v>43978</v>
      </c>
      <c r="J575" s="22">
        <v>28.64</v>
      </c>
      <c r="K575" s="22">
        <v>7.75</v>
      </c>
      <c r="L575" s="22" t="s">
        <v>1839</v>
      </c>
      <c r="M575" s="26" t="s">
        <v>98</v>
      </c>
      <c r="N575" s="13" t="s">
        <v>230</v>
      </c>
      <c r="O575" s="13" t="s">
        <v>289</v>
      </c>
      <c r="P575" s="13" t="s">
        <v>60</v>
      </c>
      <c r="Q575" s="13" t="s">
        <v>74</v>
      </c>
      <c r="R575" s="13" t="s">
        <v>270</v>
      </c>
      <c r="S575" s="13" t="s">
        <v>1840</v>
      </c>
      <c r="T575" s="13" t="s">
        <v>1842</v>
      </c>
      <c r="U575" s="13"/>
      <c r="V575" s="13"/>
      <c r="W575" s="13"/>
      <c r="X575" s="14"/>
      <c r="AN575" s="7" t="s">
        <v>70</v>
      </c>
      <c r="AO575" s="21">
        <f t="shared" si="28"/>
        <v>0</v>
      </c>
      <c r="AP575" s="7">
        <f t="shared" si="29"/>
        <v>7.75</v>
      </c>
      <c r="AQ575" s="31" t="str">
        <f t="shared" si="27"/>
        <v>Complete - No Adjustment</v>
      </c>
      <c r="AS575" s="37"/>
      <c r="AT575" s="37"/>
      <c r="AU575" s="37"/>
      <c r="AV575" s="37"/>
      <c r="AW575" s="37"/>
      <c r="AX575" s="37"/>
      <c r="AY575" s="37"/>
      <c r="AZ575" s="37"/>
      <c r="BA575" s="37"/>
      <c r="BB575" s="37"/>
      <c r="BC575" s="37"/>
      <c r="BD575" s="37"/>
      <c r="BE575" s="37"/>
      <c r="BF575" s="37"/>
      <c r="BG575" s="37"/>
      <c r="BH575" s="37"/>
      <c r="BI575" s="37"/>
    </row>
    <row r="576" spans="1:61" x14ac:dyDescent="0.2">
      <c r="A576" s="46">
        <v>566</v>
      </c>
      <c r="B576" s="13" t="s">
        <v>266</v>
      </c>
      <c r="C576" s="13" t="s">
        <v>701</v>
      </c>
      <c r="D576" s="13" t="s">
        <v>840</v>
      </c>
      <c r="E576" s="13" t="s">
        <v>1838</v>
      </c>
      <c r="F576" s="13" t="s">
        <v>188</v>
      </c>
      <c r="G576" s="13" t="s">
        <v>111</v>
      </c>
      <c r="H576" s="16">
        <v>43964</v>
      </c>
      <c r="I576" s="16">
        <v>43978</v>
      </c>
      <c r="J576" s="22">
        <v>28.64</v>
      </c>
      <c r="K576" s="22">
        <v>7.75</v>
      </c>
      <c r="L576" s="22" t="s">
        <v>1839</v>
      </c>
      <c r="M576" s="26" t="s">
        <v>98</v>
      </c>
      <c r="N576" s="13" t="s">
        <v>230</v>
      </c>
      <c r="O576" s="13" t="s">
        <v>289</v>
      </c>
      <c r="P576" s="13" t="s">
        <v>60</v>
      </c>
      <c r="Q576" s="13" t="s">
        <v>74</v>
      </c>
      <c r="R576" s="13" t="s">
        <v>270</v>
      </c>
      <c r="S576" s="13" t="s">
        <v>1840</v>
      </c>
      <c r="T576" s="13" t="s">
        <v>1843</v>
      </c>
      <c r="U576" s="13"/>
      <c r="V576" s="13"/>
      <c r="W576" s="13"/>
      <c r="X576" s="14"/>
      <c r="AN576" s="7" t="s">
        <v>70</v>
      </c>
      <c r="AO576" s="21">
        <f t="shared" si="28"/>
        <v>0</v>
      </c>
      <c r="AP576" s="7">
        <f t="shared" si="29"/>
        <v>7.75</v>
      </c>
      <c r="AQ576" s="31" t="str">
        <f t="shared" si="27"/>
        <v>Complete - No Adjustment</v>
      </c>
      <c r="AS576" s="37"/>
      <c r="AT576" s="37"/>
      <c r="AU576" s="37"/>
      <c r="AV576" s="37"/>
      <c r="AW576" s="37"/>
      <c r="AX576" s="37"/>
      <c r="AY576" s="37"/>
      <c r="AZ576" s="37"/>
      <c r="BA576" s="37"/>
      <c r="BB576" s="37"/>
      <c r="BC576" s="37"/>
      <c r="BD576" s="37"/>
      <c r="BE576" s="37"/>
      <c r="BF576" s="37"/>
      <c r="BG576" s="37"/>
      <c r="BH576" s="37"/>
      <c r="BI576" s="37"/>
    </row>
    <row r="577" spans="1:61" x14ac:dyDescent="0.2">
      <c r="A577" s="46">
        <v>567</v>
      </c>
      <c r="B577" s="13" t="s">
        <v>266</v>
      </c>
      <c r="C577" s="13" t="s">
        <v>701</v>
      </c>
      <c r="D577" s="13" t="s">
        <v>840</v>
      </c>
      <c r="E577" s="13" t="s">
        <v>1838</v>
      </c>
      <c r="F577" s="13" t="s">
        <v>188</v>
      </c>
      <c r="G577" s="13" t="s">
        <v>111</v>
      </c>
      <c r="H577" s="16">
        <v>43964</v>
      </c>
      <c r="I577" s="16">
        <v>43978</v>
      </c>
      <c r="J577" s="22">
        <v>28.64</v>
      </c>
      <c r="K577" s="22">
        <v>5.39</v>
      </c>
      <c r="L577" s="22" t="s">
        <v>1839</v>
      </c>
      <c r="M577" s="26" t="s">
        <v>98</v>
      </c>
      <c r="N577" s="13" t="s">
        <v>230</v>
      </c>
      <c r="O577" s="13" t="s">
        <v>289</v>
      </c>
      <c r="P577" s="13" t="s">
        <v>60</v>
      </c>
      <c r="Q577" s="13" t="s">
        <v>74</v>
      </c>
      <c r="R577" s="13" t="s">
        <v>270</v>
      </c>
      <c r="S577" s="13" t="s">
        <v>1840</v>
      </c>
      <c r="T577" s="13" t="s">
        <v>1844</v>
      </c>
      <c r="U577" s="13"/>
      <c r="V577" s="13"/>
      <c r="W577" s="13"/>
      <c r="X577" s="14"/>
      <c r="AN577" s="7" t="s">
        <v>70</v>
      </c>
      <c r="AO577" s="21">
        <f t="shared" si="28"/>
        <v>0</v>
      </c>
      <c r="AP577" s="7">
        <f t="shared" si="29"/>
        <v>5.39</v>
      </c>
      <c r="AQ577" s="31" t="str">
        <f t="shared" si="27"/>
        <v>Complete - No Adjustment</v>
      </c>
      <c r="AS577" s="37"/>
      <c r="AT577" s="37"/>
      <c r="AU577" s="37"/>
      <c r="AV577" s="37"/>
      <c r="AW577" s="37"/>
      <c r="AX577" s="37"/>
      <c r="AY577" s="37"/>
      <c r="AZ577" s="37"/>
      <c r="BA577" s="37"/>
      <c r="BB577" s="37"/>
      <c r="BC577" s="37"/>
      <c r="BD577" s="37"/>
      <c r="BE577" s="37"/>
      <c r="BF577" s="37"/>
      <c r="BG577" s="37"/>
      <c r="BH577" s="37"/>
      <c r="BI577" s="37"/>
    </row>
    <row r="578" spans="1:61" x14ac:dyDescent="0.2">
      <c r="A578" s="46">
        <v>568</v>
      </c>
      <c r="B578" s="13" t="s">
        <v>266</v>
      </c>
      <c r="C578" s="13" t="s">
        <v>396</v>
      </c>
      <c r="D578" s="13" t="s">
        <v>655</v>
      </c>
      <c r="E578" s="13" t="s">
        <v>1845</v>
      </c>
      <c r="F578" s="13" t="s">
        <v>190</v>
      </c>
      <c r="G578" s="13" t="s">
        <v>111</v>
      </c>
      <c r="H578" s="16">
        <v>43949</v>
      </c>
      <c r="I578" s="16">
        <v>43952</v>
      </c>
      <c r="J578" s="22">
        <v>200</v>
      </c>
      <c r="K578" s="22">
        <v>200</v>
      </c>
      <c r="L578" s="22" t="s">
        <v>1846</v>
      </c>
      <c r="M578" s="26" t="s">
        <v>98</v>
      </c>
      <c r="N578" s="13" t="s">
        <v>230</v>
      </c>
      <c r="O578" s="13" t="s">
        <v>397</v>
      </c>
      <c r="P578" s="13" t="s">
        <v>60</v>
      </c>
      <c r="Q578" s="13" t="s">
        <v>56</v>
      </c>
      <c r="R578" s="13" t="s">
        <v>270</v>
      </c>
      <c r="S578" s="13" t="s">
        <v>1847</v>
      </c>
      <c r="T578" s="13" t="s">
        <v>1848</v>
      </c>
      <c r="U578" s="13"/>
      <c r="V578" s="13"/>
      <c r="W578" s="13"/>
      <c r="X578" s="14"/>
      <c r="AN578" s="7" t="s">
        <v>70</v>
      </c>
      <c r="AO578" s="21">
        <f t="shared" si="28"/>
        <v>0</v>
      </c>
      <c r="AP578" s="7">
        <f t="shared" si="29"/>
        <v>200</v>
      </c>
      <c r="AQ578" s="31" t="str">
        <f t="shared" si="27"/>
        <v>Complete - No Adjustment</v>
      </c>
      <c r="AS578" s="37"/>
      <c r="AT578" s="37"/>
      <c r="AU578" s="37"/>
      <c r="AV578" s="37"/>
      <c r="AW578" s="37"/>
      <c r="AX578" s="37"/>
      <c r="AY578" s="37"/>
      <c r="AZ578" s="37"/>
      <c r="BA578" s="37"/>
      <c r="BB578" s="37"/>
      <c r="BC578" s="37"/>
      <c r="BD578" s="37"/>
      <c r="BE578" s="37"/>
      <c r="BF578" s="37"/>
      <c r="BG578" s="37"/>
      <c r="BH578" s="37"/>
      <c r="BI578" s="37"/>
    </row>
    <row r="579" spans="1:61" x14ac:dyDescent="0.2">
      <c r="A579" s="46">
        <v>569</v>
      </c>
      <c r="B579" s="13" t="s">
        <v>266</v>
      </c>
      <c r="C579" s="13" t="s">
        <v>408</v>
      </c>
      <c r="D579" s="13" t="s">
        <v>407</v>
      </c>
      <c r="E579" s="13" t="s">
        <v>1849</v>
      </c>
      <c r="F579" s="13" t="s">
        <v>200</v>
      </c>
      <c r="G579" s="13" t="s">
        <v>111</v>
      </c>
      <c r="H579" s="16">
        <v>43903</v>
      </c>
      <c r="I579" s="16">
        <v>43963</v>
      </c>
      <c r="J579" s="22">
        <v>546.38</v>
      </c>
      <c r="K579" s="22">
        <v>249.54</v>
      </c>
      <c r="L579" s="22" t="s">
        <v>1850</v>
      </c>
      <c r="M579" s="26" t="s">
        <v>98</v>
      </c>
      <c r="N579" s="13" t="s">
        <v>230</v>
      </c>
      <c r="O579" s="13" t="s">
        <v>342</v>
      </c>
      <c r="P579" s="13" t="s">
        <v>60</v>
      </c>
      <c r="Q579" s="13" t="s">
        <v>41</v>
      </c>
      <c r="R579" s="13" t="s">
        <v>270</v>
      </c>
      <c r="S579" s="13" t="s">
        <v>1851</v>
      </c>
      <c r="T579" s="13" t="s">
        <v>1852</v>
      </c>
      <c r="U579" s="13"/>
      <c r="V579" s="13"/>
      <c r="W579" s="13"/>
      <c r="X579" s="14"/>
      <c r="AL579" s="14">
        <v>249.54</v>
      </c>
      <c r="AN579" s="7" t="s">
        <v>146</v>
      </c>
      <c r="AO579" s="21">
        <f t="shared" si="28"/>
        <v>249.54</v>
      </c>
      <c r="AP579" s="7">
        <f t="shared" si="29"/>
        <v>0</v>
      </c>
      <c r="AQ579" s="31" t="str">
        <f t="shared" si="27"/>
        <v>Complete - With Adjustment</v>
      </c>
      <c r="AS579" s="37"/>
      <c r="AT579" s="37"/>
      <c r="AU579" s="37"/>
      <c r="AV579" s="37"/>
      <c r="AW579" s="37"/>
      <c r="AX579" s="37"/>
      <c r="AY579" s="37"/>
      <c r="AZ579" s="37"/>
      <c r="BA579" s="37"/>
      <c r="BB579" s="37"/>
      <c r="BC579" s="37"/>
      <c r="BD579" s="37"/>
      <c r="BE579" s="37"/>
      <c r="BF579" s="37"/>
      <c r="BG579" s="37"/>
      <c r="BH579" s="37"/>
      <c r="BI579" s="37"/>
    </row>
    <row r="580" spans="1:61" x14ac:dyDescent="0.2">
      <c r="A580" s="46">
        <v>570</v>
      </c>
      <c r="B580" s="13" t="s">
        <v>266</v>
      </c>
      <c r="C580" s="13" t="s">
        <v>408</v>
      </c>
      <c r="D580" s="13" t="s">
        <v>407</v>
      </c>
      <c r="E580" s="13" t="s">
        <v>1849</v>
      </c>
      <c r="F580" s="13" t="s">
        <v>200</v>
      </c>
      <c r="G580" s="13" t="s">
        <v>111</v>
      </c>
      <c r="H580" s="16">
        <v>43903</v>
      </c>
      <c r="I580" s="16">
        <v>43963</v>
      </c>
      <c r="J580" s="22">
        <v>546.38</v>
      </c>
      <c r="K580" s="22">
        <v>85</v>
      </c>
      <c r="L580" s="22" t="s">
        <v>1850</v>
      </c>
      <c r="M580" s="26" t="s">
        <v>98</v>
      </c>
      <c r="N580" s="13" t="s">
        <v>230</v>
      </c>
      <c r="O580" s="13" t="s">
        <v>342</v>
      </c>
      <c r="P580" s="13" t="s">
        <v>60</v>
      </c>
      <c r="Q580" s="13" t="s">
        <v>46</v>
      </c>
      <c r="R580" s="13" t="s">
        <v>270</v>
      </c>
      <c r="S580" s="13" t="s">
        <v>1851</v>
      </c>
      <c r="T580" s="13" t="s">
        <v>1853</v>
      </c>
      <c r="U580" s="13"/>
      <c r="V580" s="13"/>
      <c r="W580" s="13"/>
      <c r="X580" s="14"/>
      <c r="AN580" s="7" t="s">
        <v>70</v>
      </c>
      <c r="AO580" s="21">
        <f t="shared" si="28"/>
        <v>0</v>
      </c>
      <c r="AP580" s="7">
        <f t="shared" si="29"/>
        <v>85</v>
      </c>
      <c r="AQ580" s="31" t="str">
        <f t="shared" si="27"/>
        <v>Complete - No Adjustment</v>
      </c>
      <c r="AS580" s="37"/>
      <c r="AT580" s="37"/>
      <c r="AU580" s="37"/>
      <c r="AV580" s="37"/>
      <c r="AW580" s="37"/>
      <c r="AX580" s="37"/>
      <c r="AY580" s="37"/>
      <c r="AZ580" s="37"/>
      <c r="BA580" s="37"/>
      <c r="BB580" s="37"/>
      <c r="BC580" s="37"/>
      <c r="BD580" s="37"/>
      <c r="BE580" s="37"/>
      <c r="BF580" s="37"/>
      <c r="BG580" s="37"/>
      <c r="BH580" s="37"/>
      <c r="BI580" s="37"/>
    </row>
    <row r="581" spans="1:61" x14ac:dyDescent="0.2">
      <c r="A581" s="46">
        <v>571</v>
      </c>
      <c r="B581" s="13" t="s">
        <v>266</v>
      </c>
      <c r="C581" s="13" t="s">
        <v>408</v>
      </c>
      <c r="D581" s="13" t="s">
        <v>407</v>
      </c>
      <c r="E581" s="13" t="s">
        <v>1849</v>
      </c>
      <c r="F581" s="13" t="s">
        <v>200</v>
      </c>
      <c r="G581" s="13" t="s">
        <v>111</v>
      </c>
      <c r="H581" s="16">
        <v>43903</v>
      </c>
      <c r="I581" s="16">
        <v>43963</v>
      </c>
      <c r="J581" s="22">
        <v>546.38</v>
      </c>
      <c r="K581" s="22">
        <v>84.39</v>
      </c>
      <c r="L581" s="22" t="s">
        <v>1850</v>
      </c>
      <c r="M581" s="26" t="s">
        <v>98</v>
      </c>
      <c r="N581" s="13" t="s">
        <v>230</v>
      </c>
      <c r="O581" s="13" t="s">
        <v>342</v>
      </c>
      <c r="P581" s="13" t="s">
        <v>60</v>
      </c>
      <c r="Q581" s="13" t="s">
        <v>104</v>
      </c>
      <c r="R581" s="13" t="s">
        <v>270</v>
      </c>
      <c r="S581" s="13" t="s">
        <v>1851</v>
      </c>
      <c r="T581" s="13" t="s">
        <v>1854</v>
      </c>
      <c r="U581" s="13"/>
      <c r="V581" s="13"/>
      <c r="W581" s="13"/>
      <c r="X581" s="14"/>
      <c r="AN581" s="7" t="s">
        <v>155</v>
      </c>
      <c r="AO581" s="21">
        <f t="shared" si="28"/>
        <v>0</v>
      </c>
      <c r="AP581" s="7">
        <f t="shared" si="29"/>
        <v>84.39</v>
      </c>
      <c r="AQ581" s="31" t="str">
        <f t="shared" si="27"/>
        <v>Complete - No Adjustment</v>
      </c>
      <c r="AS581" s="37"/>
      <c r="AT581" s="37"/>
      <c r="AU581" s="37"/>
      <c r="AV581" s="37"/>
      <c r="AW581" s="37"/>
      <c r="AX581" s="37"/>
      <c r="AY581" s="37"/>
      <c r="AZ581" s="37"/>
      <c r="BA581" s="37"/>
      <c r="BB581" s="37"/>
      <c r="BC581" s="37"/>
      <c r="BD581" s="37"/>
      <c r="BE581" s="37"/>
      <c r="BF581" s="37"/>
      <c r="BG581" s="37"/>
      <c r="BH581" s="37"/>
      <c r="BI581" s="37"/>
    </row>
    <row r="582" spans="1:61" x14ac:dyDescent="0.2">
      <c r="A582" s="46">
        <v>572</v>
      </c>
      <c r="B582" s="13" t="s">
        <v>266</v>
      </c>
      <c r="C582" s="13" t="s">
        <v>408</v>
      </c>
      <c r="D582" s="13" t="s">
        <v>407</v>
      </c>
      <c r="E582" s="13" t="s">
        <v>1849</v>
      </c>
      <c r="F582" s="13" t="s">
        <v>200</v>
      </c>
      <c r="G582" s="13" t="s">
        <v>111</v>
      </c>
      <c r="H582" s="16">
        <v>43903</v>
      </c>
      <c r="I582" s="16">
        <v>43963</v>
      </c>
      <c r="J582" s="22">
        <v>546.38</v>
      </c>
      <c r="K582" s="22">
        <v>127.45</v>
      </c>
      <c r="L582" s="22" t="s">
        <v>1850</v>
      </c>
      <c r="M582" s="26" t="s">
        <v>98</v>
      </c>
      <c r="N582" s="13" t="s">
        <v>230</v>
      </c>
      <c r="O582" s="13" t="s">
        <v>342</v>
      </c>
      <c r="P582" s="13" t="s">
        <v>60</v>
      </c>
      <c r="Q582" s="13" t="s">
        <v>74</v>
      </c>
      <c r="R582" s="13" t="s">
        <v>270</v>
      </c>
      <c r="S582" s="13" t="s">
        <v>1851</v>
      </c>
      <c r="T582" s="13" t="s">
        <v>1855</v>
      </c>
      <c r="U582" s="13"/>
      <c r="V582" s="13"/>
      <c r="W582" s="13"/>
      <c r="X582" s="14"/>
      <c r="AN582" s="7" t="s">
        <v>70</v>
      </c>
      <c r="AO582" s="21">
        <f t="shared" si="28"/>
        <v>0</v>
      </c>
      <c r="AP582" s="7">
        <f t="shared" si="29"/>
        <v>127.45</v>
      </c>
      <c r="AQ582" s="31" t="str">
        <f t="shared" si="27"/>
        <v>Complete - No Adjustment</v>
      </c>
      <c r="AS582" s="37"/>
      <c r="AT582" s="37"/>
      <c r="AU582" s="37"/>
      <c r="AV582" s="37"/>
      <c r="AW582" s="37"/>
      <c r="AX582" s="37"/>
      <c r="AY582" s="37"/>
      <c r="AZ582" s="37"/>
      <c r="BA582" s="37"/>
      <c r="BB582" s="37"/>
      <c r="BC582" s="37"/>
      <c r="BD582" s="37"/>
      <c r="BE582" s="37"/>
      <c r="BF582" s="37"/>
      <c r="BG582" s="37"/>
      <c r="BH582" s="37"/>
      <c r="BI582" s="37"/>
    </row>
    <row r="583" spans="1:61" x14ac:dyDescent="0.2">
      <c r="A583" s="46">
        <v>573</v>
      </c>
      <c r="B583" s="13" t="s">
        <v>266</v>
      </c>
      <c r="C583" s="13" t="s">
        <v>1228</v>
      </c>
      <c r="D583" s="13" t="s">
        <v>1229</v>
      </c>
      <c r="E583" s="13" t="s">
        <v>1856</v>
      </c>
      <c r="F583" s="13" t="s">
        <v>198</v>
      </c>
      <c r="G583" s="13" t="s">
        <v>111</v>
      </c>
      <c r="H583" s="16">
        <v>43963</v>
      </c>
      <c r="I583" s="16">
        <v>43970</v>
      </c>
      <c r="J583" s="22">
        <v>15</v>
      </c>
      <c r="K583" s="22">
        <v>15</v>
      </c>
      <c r="L583" s="22" t="s">
        <v>1857</v>
      </c>
      <c r="M583" s="26" t="s">
        <v>98</v>
      </c>
      <c r="N583" s="13" t="s">
        <v>230</v>
      </c>
      <c r="O583" s="13" t="s">
        <v>545</v>
      </c>
      <c r="P583" s="13" t="s">
        <v>60</v>
      </c>
      <c r="Q583" s="13" t="s">
        <v>46</v>
      </c>
      <c r="R583" s="13" t="s">
        <v>270</v>
      </c>
      <c r="S583" s="13" t="s">
        <v>1858</v>
      </c>
      <c r="T583" s="13" t="s">
        <v>1859</v>
      </c>
      <c r="U583" s="13"/>
      <c r="V583" s="13"/>
      <c r="W583" s="13"/>
      <c r="X583" s="14"/>
      <c r="AN583" s="7" t="s">
        <v>155</v>
      </c>
      <c r="AO583" s="21">
        <f t="shared" si="28"/>
        <v>0</v>
      </c>
      <c r="AP583" s="7">
        <f t="shared" si="29"/>
        <v>15</v>
      </c>
      <c r="AQ583" s="31" t="str">
        <f t="shared" si="27"/>
        <v>Complete - No Adjustment</v>
      </c>
      <c r="AS583" s="37"/>
      <c r="AT583" s="37"/>
      <c r="AU583" s="37"/>
      <c r="AV583" s="37"/>
      <c r="AW583" s="37"/>
      <c r="AX583" s="37"/>
      <c r="AY583" s="37"/>
      <c r="AZ583" s="37"/>
      <c r="BA583" s="37"/>
      <c r="BB583" s="37"/>
      <c r="BC583" s="37"/>
      <c r="BD583" s="37"/>
      <c r="BE583" s="37"/>
      <c r="BF583" s="37"/>
      <c r="BG583" s="37"/>
      <c r="BH583" s="37"/>
      <c r="BI583" s="37"/>
    </row>
    <row r="584" spans="1:61" x14ac:dyDescent="0.2">
      <c r="A584" s="46">
        <v>574</v>
      </c>
      <c r="B584" s="13" t="s">
        <v>266</v>
      </c>
      <c r="C584" s="13" t="s">
        <v>1860</v>
      </c>
      <c r="D584" s="13" t="s">
        <v>1861</v>
      </c>
      <c r="E584" s="13" t="s">
        <v>1862</v>
      </c>
      <c r="F584" s="13" t="s">
        <v>195</v>
      </c>
      <c r="G584" s="13" t="s">
        <v>111</v>
      </c>
      <c r="H584" s="16">
        <v>43955</v>
      </c>
      <c r="I584" s="16">
        <v>43957</v>
      </c>
      <c r="J584" s="22">
        <v>112.59</v>
      </c>
      <c r="K584" s="22">
        <v>73.66</v>
      </c>
      <c r="L584" s="22" t="s">
        <v>1863</v>
      </c>
      <c r="M584" s="26" t="s">
        <v>98</v>
      </c>
      <c r="N584" s="13" t="s">
        <v>230</v>
      </c>
      <c r="O584" s="13" t="s">
        <v>277</v>
      </c>
      <c r="P584" s="13" t="s">
        <v>60</v>
      </c>
      <c r="Q584" s="13" t="s">
        <v>62</v>
      </c>
      <c r="R584" s="13" t="s">
        <v>270</v>
      </c>
      <c r="S584" s="13" t="s">
        <v>1864</v>
      </c>
      <c r="T584" s="13" t="s">
        <v>1865</v>
      </c>
      <c r="U584" s="13"/>
      <c r="V584" s="13"/>
      <c r="W584" s="13"/>
      <c r="X584" s="14"/>
      <c r="AN584" s="7" t="s">
        <v>155</v>
      </c>
      <c r="AO584" s="21">
        <f t="shared" si="28"/>
        <v>0</v>
      </c>
      <c r="AP584" s="7">
        <f t="shared" si="29"/>
        <v>73.66</v>
      </c>
      <c r="AQ584" s="31" t="str">
        <f t="shared" si="27"/>
        <v>Complete - No Adjustment</v>
      </c>
      <c r="AS584" s="37"/>
      <c r="AT584" s="37"/>
      <c r="AU584" s="37"/>
      <c r="AV584" s="37"/>
      <c r="AW584" s="37"/>
      <c r="AX584" s="37"/>
      <c r="AY584" s="37"/>
      <c r="AZ584" s="37"/>
      <c r="BA584" s="37"/>
      <c r="BB584" s="37"/>
      <c r="BC584" s="37"/>
      <c r="BD584" s="37"/>
      <c r="BE584" s="37"/>
      <c r="BF584" s="37"/>
      <c r="BG584" s="37"/>
      <c r="BH584" s="37"/>
      <c r="BI584" s="37"/>
    </row>
    <row r="585" spans="1:61" x14ac:dyDescent="0.2">
      <c r="A585" s="46">
        <v>575</v>
      </c>
      <c r="B585" s="13" t="s">
        <v>266</v>
      </c>
      <c r="C585" s="13" t="s">
        <v>1860</v>
      </c>
      <c r="D585" s="13" t="s">
        <v>1861</v>
      </c>
      <c r="E585" s="13" t="s">
        <v>1862</v>
      </c>
      <c r="F585" s="13" t="s">
        <v>195</v>
      </c>
      <c r="G585" s="13" t="s">
        <v>111</v>
      </c>
      <c r="H585" s="16">
        <v>43955</v>
      </c>
      <c r="I585" s="16">
        <v>43957</v>
      </c>
      <c r="J585" s="22">
        <v>112.59</v>
      </c>
      <c r="K585" s="22">
        <v>38.93</v>
      </c>
      <c r="L585" s="22" t="s">
        <v>1863</v>
      </c>
      <c r="M585" s="26" t="s">
        <v>98</v>
      </c>
      <c r="N585" s="13" t="s">
        <v>230</v>
      </c>
      <c r="O585" s="13" t="s">
        <v>277</v>
      </c>
      <c r="P585" s="13" t="s">
        <v>60</v>
      </c>
      <c r="Q585" s="13" t="s">
        <v>62</v>
      </c>
      <c r="R585" s="13" t="s">
        <v>270</v>
      </c>
      <c r="S585" s="13" t="s">
        <v>1864</v>
      </c>
      <c r="T585" s="13" t="s">
        <v>1865</v>
      </c>
      <c r="U585" s="13"/>
      <c r="V585" s="13"/>
      <c r="W585" s="13"/>
      <c r="X585" s="14"/>
      <c r="AN585" s="7" t="s">
        <v>155</v>
      </c>
      <c r="AO585" s="21">
        <f t="shared" si="28"/>
        <v>0</v>
      </c>
      <c r="AP585" s="7">
        <f t="shared" si="29"/>
        <v>38.93</v>
      </c>
      <c r="AQ585" s="31" t="str">
        <f t="shared" si="27"/>
        <v>Complete - No Adjustment</v>
      </c>
      <c r="AS585" s="37"/>
      <c r="AT585" s="37"/>
      <c r="AU585" s="37"/>
      <c r="AV585" s="37"/>
      <c r="AW585" s="37"/>
      <c r="AX585" s="37"/>
      <c r="AY585" s="37"/>
      <c r="AZ585" s="37"/>
      <c r="BA585" s="37"/>
      <c r="BB585" s="37"/>
      <c r="BC585" s="37"/>
      <c r="BD585" s="37"/>
      <c r="BE585" s="37"/>
      <c r="BF585" s="37"/>
      <c r="BG585" s="37"/>
      <c r="BH585" s="37"/>
      <c r="BI585" s="37"/>
    </row>
    <row r="586" spans="1:61" x14ac:dyDescent="0.2">
      <c r="A586" s="46">
        <v>576</v>
      </c>
      <c r="B586" s="13" t="s">
        <v>266</v>
      </c>
      <c r="C586" s="13" t="s">
        <v>414</v>
      </c>
      <c r="D586" s="13" t="s">
        <v>413</v>
      </c>
      <c r="E586" s="13" t="s">
        <v>1866</v>
      </c>
      <c r="F586" s="13" t="s">
        <v>196</v>
      </c>
      <c r="G586" s="13" t="s">
        <v>111</v>
      </c>
      <c r="H586" s="16">
        <v>43924</v>
      </c>
      <c r="I586" s="16">
        <v>43956</v>
      </c>
      <c r="J586" s="22">
        <v>124.22</v>
      </c>
      <c r="K586" s="22">
        <v>24.25</v>
      </c>
      <c r="L586" s="22" t="s">
        <v>1867</v>
      </c>
      <c r="M586" s="26" t="s">
        <v>98</v>
      </c>
      <c r="N586" s="13" t="s">
        <v>230</v>
      </c>
      <c r="O586" s="13" t="s">
        <v>317</v>
      </c>
      <c r="P586" s="13" t="s">
        <v>60</v>
      </c>
      <c r="Q586" s="13" t="s">
        <v>41</v>
      </c>
      <c r="R586" s="13" t="s">
        <v>270</v>
      </c>
      <c r="S586" s="13" t="s">
        <v>1868</v>
      </c>
      <c r="T586" s="13" t="s">
        <v>1869</v>
      </c>
      <c r="U586" s="13"/>
      <c r="V586" s="13"/>
      <c r="W586" s="13"/>
      <c r="X586" s="14"/>
      <c r="AC586" s="53">
        <f>(24.25-18.38*1.2)</f>
        <v>2.1940000000000026</v>
      </c>
      <c r="AN586" s="7" t="s">
        <v>67</v>
      </c>
      <c r="AO586" s="21">
        <f t="shared" si="28"/>
        <v>2.1940000000000026</v>
      </c>
      <c r="AP586" s="7">
        <f t="shared" si="29"/>
        <v>22.055999999999997</v>
      </c>
      <c r="AQ586" s="31" t="str">
        <f t="shared" si="27"/>
        <v>Complete - With Adjustment</v>
      </c>
      <c r="AS586" s="37"/>
      <c r="AT586" s="37"/>
      <c r="AU586" s="37"/>
      <c r="AV586" s="37"/>
      <c r="AW586" s="37"/>
      <c r="AX586" s="37"/>
      <c r="AY586" s="37"/>
      <c r="AZ586" s="37"/>
      <c r="BA586" s="37"/>
      <c r="BB586" s="37"/>
      <c r="BC586" s="37"/>
      <c r="BD586" s="37"/>
      <c r="BE586" s="37"/>
      <c r="BF586" s="37"/>
      <c r="BG586" s="37"/>
      <c r="BH586" s="37"/>
      <c r="BI586" s="37"/>
    </row>
    <row r="587" spans="1:61" x14ac:dyDescent="0.2">
      <c r="A587" s="46">
        <v>577</v>
      </c>
      <c r="B587" s="13" t="s">
        <v>266</v>
      </c>
      <c r="C587" s="13" t="s">
        <v>414</v>
      </c>
      <c r="D587" s="13" t="s">
        <v>413</v>
      </c>
      <c r="E587" s="13" t="s">
        <v>1866</v>
      </c>
      <c r="F587" s="13" t="s">
        <v>196</v>
      </c>
      <c r="G587" s="13" t="s">
        <v>111</v>
      </c>
      <c r="H587" s="16">
        <v>43924</v>
      </c>
      <c r="I587" s="16">
        <v>43956</v>
      </c>
      <c r="J587" s="22">
        <v>124.22</v>
      </c>
      <c r="K587" s="22">
        <v>22.1</v>
      </c>
      <c r="L587" s="22" t="s">
        <v>1867</v>
      </c>
      <c r="M587" s="26" t="s">
        <v>98</v>
      </c>
      <c r="N587" s="13" t="s">
        <v>230</v>
      </c>
      <c r="O587" s="13" t="s">
        <v>317</v>
      </c>
      <c r="P587" s="13" t="s">
        <v>60</v>
      </c>
      <c r="Q587" s="13" t="s">
        <v>41</v>
      </c>
      <c r="R587" s="13" t="s">
        <v>270</v>
      </c>
      <c r="S587" s="13" t="s">
        <v>1868</v>
      </c>
      <c r="T587" s="13" t="s">
        <v>1870</v>
      </c>
      <c r="U587" s="13"/>
      <c r="V587" s="13"/>
      <c r="W587" s="13"/>
      <c r="X587" s="14"/>
      <c r="AL587" s="14">
        <v>22.1</v>
      </c>
      <c r="AN587" s="7" t="s">
        <v>146</v>
      </c>
      <c r="AO587" s="21">
        <f t="shared" si="28"/>
        <v>22.1</v>
      </c>
      <c r="AP587" s="7">
        <f t="shared" si="29"/>
        <v>0</v>
      </c>
      <c r="AQ587" s="31" t="str">
        <f t="shared" si="27"/>
        <v>Complete - With Adjustment</v>
      </c>
      <c r="AS587" s="37"/>
      <c r="AT587" s="37"/>
      <c r="AU587" s="37"/>
      <c r="AV587" s="37"/>
      <c r="AW587" s="37"/>
      <c r="AX587" s="37"/>
      <c r="AY587" s="37"/>
      <c r="AZ587" s="37"/>
      <c r="BA587" s="37"/>
      <c r="BB587" s="37"/>
      <c r="BC587" s="37"/>
      <c r="BD587" s="37"/>
      <c r="BE587" s="37"/>
      <c r="BF587" s="37"/>
      <c r="BG587" s="37"/>
      <c r="BH587" s="37"/>
      <c r="BI587" s="37"/>
    </row>
    <row r="588" spans="1:61" x14ac:dyDescent="0.2">
      <c r="A588" s="46">
        <v>578</v>
      </c>
      <c r="B588" s="13" t="s">
        <v>266</v>
      </c>
      <c r="C588" s="13" t="s">
        <v>414</v>
      </c>
      <c r="D588" s="13" t="s">
        <v>413</v>
      </c>
      <c r="E588" s="13" t="s">
        <v>1866</v>
      </c>
      <c r="F588" s="13" t="s">
        <v>196</v>
      </c>
      <c r="G588" s="13" t="s">
        <v>111</v>
      </c>
      <c r="H588" s="16">
        <v>43924</v>
      </c>
      <c r="I588" s="16">
        <v>43956</v>
      </c>
      <c r="J588" s="22">
        <v>124.22</v>
      </c>
      <c r="K588" s="22">
        <v>36.79</v>
      </c>
      <c r="L588" s="22" t="s">
        <v>1867</v>
      </c>
      <c r="M588" s="26" t="s">
        <v>98</v>
      </c>
      <c r="N588" s="13" t="s">
        <v>230</v>
      </c>
      <c r="O588" s="13" t="s">
        <v>317</v>
      </c>
      <c r="P588" s="13" t="s">
        <v>60</v>
      </c>
      <c r="Q588" s="13" t="s">
        <v>62</v>
      </c>
      <c r="R588" s="13" t="s">
        <v>270</v>
      </c>
      <c r="S588" s="13" t="s">
        <v>1868</v>
      </c>
      <c r="T588" s="13" t="s">
        <v>1871</v>
      </c>
      <c r="U588" s="13"/>
      <c r="V588" s="13"/>
      <c r="W588" s="13"/>
      <c r="X588" s="14"/>
      <c r="AN588" s="7" t="s">
        <v>70</v>
      </c>
      <c r="AO588" s="21">
        <f t="shared" si="28"/>
        <v>0</v>
      </c>
      <c r="AP588" s="7">
        <f t="shared" si="29"/>
        <v>36.79</v>
      </c>
      <c r="AQ588" s="31" t="str">
        <f t="shared" si="27"/>
        <v>Complete - No Adjustment</v>
      </c>
      <c r="AS588" s="37"/>
      <c r="AT588" s="37"/>
      <c r="AU588" s="37"/>
      <c r="AV588" s="37"/>
      <c r="AW588" s="37"/>
      <c r="AX588" s="37"/>
      <c r="AY588" s="37"/>
      <c r="AZ588" s="37"/>
      <c r="BA588" s="37"/>
      <c r="BB588" s="37"/>
      <c r="BC588" s="37"/>
      <c r="BD588" s="37"/>
      <c r="BE588" s="37"/>
      <c r="BF588" s="37"/>
      <c r="BG588" s="37"/>
      <c r="BH588" s="37"/>
      <c r="BI588" s="37"/>
    </row>
    <row r="589" spans="1:61" x14ac:dyDescent="0.2">
      <c r="A589" s="46">
        <v>579</v>
      </c>
      <c r="B589" s="13" t="s">
        <v>266</v>
      </c>
      <c r="C589" s="13" t="s">
        <v>414</v>
      </c>
      <c r="D589" s="13" t="s">
        <v>413</v>
      </c>
      <c r="E589" s="13" t="s">
        <v>1866</v>
      </c>
      <c r="F589" s="13" t="s">
        <v>196</v>
      </c>
      <c r="G589" s="13" t="s">
        <v>111</v>
      </c>
      <c r="H589" s="16">
        <v>43924</v>
      </c>
      <c r="I589" s="16">
        <v>43956</v>
      </c>
      <c r="J589" s="22">
        <v>124.22</v>
      </c>
      <c r="K589" s="22">
        <v>41.08</v>
      </c>
      <c r="L589" s="22" t="s">
        <v>1867</v>
      </c>
      <c r="M589" s="26" t="s">
        <v>98</v>
      </c>
      <c r="N589" s="13" t="s">
        <v>230</v>
      </c>
      <c r="O589" s="13" t="s">
        <v>317</v>
      </c>
      <c r="P589" s="13" t="s">
        <v>60</v>
      </c>
      <c r="Q589" s="13" t="s">
        <v>62</v>
      </c>
      <c r="R589" s="13" t="s">
        <v>270</v>
      </c>
      <c r="S589" s="13" t="s">
        <v>1868</v>
      </c>
      <c r="T589" s="13" t="s">
        <v>1872</v>
      </c>
      <c r="U589" s="13"/>
      <c r="V589" s="13"/>
      <c r="W589" s="13"/>
      <c r="X589" s="14"/>
      <c r="AN589" s="7" t="s">
        <v>70</v>
      </c>
      <c r="AO589" s="21">
        <f t="shared" si="28"/>
        <v>0</v>
      </c>
      <c r="AP589" s="7">
        <f t="shared" si="29"/>
        <v>41.08</v>
      </c>
      <c r="AQ589" s="31" t="str">
        <f t="shared" si="27"/>
        <v>Complete - No Adjustment</v>
      </c>
      <c r="AS589" s="37"/>
      <c r="AT589" s="37"/>
      <c r="AU589" s="37"/>
      <c r="AV589" s="37"/>
      <c r="AW589" s="37"/>
      <c r="AX589" s="37"/>
      <c r="AY589" s="37"/>
      <c r="AZ589" s="37"/>
      <c r="BA589" s="37"/>
      <c r="BB589" s="37"/>
      <c r="BC589" s="37"/>
      <c r="BD589" s="37"/>
      <c r="BE589" s="37"/>
      <c r="BF589" s="37"/>
      <c r="BG589" s="37"/>
      <c r="BH589" s="37"/>
      <c r="BI589" s="37"/>
    </row>
    <row r="590" spans="1:61" x14ac:dyDescent="0.2">
      <c r="A590" s="46">
        <v>580</v>
      </c>
      <c r="B590" s="13" t="s">
        <v>266</v>
      </c>
      <c r="C590" s="13" t="s">
        <v>769</v>
      </c>
      <c r="D590" s="13" t="s">
        <v>768</v>
      </c>
      <c r="E590" s="13" t="s">
        <v>1873</v>
      </c>
      <c r="F590" s="13" t="s">
        <v>190</v>
      </c>
      <c r="G590" s="13" t="s">
        <v>111</v>
      </c>
      <c r="H590" s="16">
        <v>43948</v>
      </c>
      <c r="I590" s="16">
        <v>43952</v>
      </c>
      <c r="J590" s="22">
        <v>59.53</v>
      </c>
      <c r="K590" s="22">
        <v>59.53</v>
      </c>
      <c r="L590" s="22" t="s">
        <v>1874</v>
      </c>
      <c r="M590" s="26" t="s">
        <v>98</v>
      </c>
      <c r="N590" s="13" t="s">
        <v>230</v>
      </c>
      <c r="O590" s="13" t="s">
        <v>983</v>
      </c>
      <c r="P590" s="13" t="s">
        <v>406</v>
      </c>
      <c r="Q590" s="13" t="s">
        <v>57</v>
      </c>
      <c r="R590" s="13" t="s">
        <v>270</v>
      </c>
      <c r="S590" s="13" t="s">
        <v>1875</v>
      </c>
      <c r="T590" s="13" t="s">
        <v>1876</v>
      </c>
      <c r="U590" s="13" t="s">
        <v>986</v>
      </c>
      <c r="V590" s="13" t="s">
        <v>406</v>
      </c>
      <c r="W590" s="13" t="s">
        <v>58</v>
      </c>
      <c r="X590" s="14"/>
      <c r="AN590" s="7" t="s">
        <v>155</v>
      </c>
      <c r="AO590" s="21">
        <f t="shared" si="28"/>
        <v>0</v>
      </c>
      <c r="AP590" s="7">
        <f t="shared" si="29"/>
        <v>59.53</v>
      </c>
      <c r="AQ590" s="31" t="str">
        <f t="shared" si="27"/>
        <v>Complete - No Adjustment</v>
      </c>
      <c r="AS590" s="37"/>
      <c r="AT590" s="37"/>
      <c r="AU590" s="37"/>
      <c r="AV590" s="37"/>
      <c r="AW590" s="37"/>
      <c r="AX590" s="37"/>
      <c r="AY590" s="37"/>
      <c r="AZ590" s="37"/>
      <c r="BA590" s="37"/>
      <c r="BB590" s="37"/>
      <c r="BC590" s="37"/>
      <c r="BD590" s="37"/>
      <c r="BE590" s="37"/>
      <c r="BF590" s="37"/>
      <c r="BG590" s="37"/>
      <c r="BH590" s="37"/>
      <c r="BI590" s="37"/>
    </row>
    <row r="591" spans="1:61" x14ac:dyDescent="0.2">
      <c r="A591" s="46">
        <v>581</v>
      </c>
      <c r="B591" s="13" t="s">
        <v>266</v>
      </c>
      <c r="C591" s="13" t="s">
        <v>418</v>
      </c>
      <c r="D591" s="13" t="s">
        <v>417</v>
      </c>
      <c r="E591" s="13" t="s">
        <v>1877</v>
      </c>
      <c r="F591" s="13" t="s">
        <v>200</v>
      </c>
      <c r="G591" s="13" t="s">
        <v>111</v>
      </c>
      <c r="H591" s="16">
        <v>43956</v>
      </c>
      <c r="I591" s="16">
        <v>43963</v>
      </c>
      <c r="J591" s="22">
        <v>10.77</v>
      </c>
      <c r="K591" s="22">
        <v>10.77</v>
      </c>
      <c r="L591" s="22" t="s">
        <v>1878</v>
      </c>
      <c r="M591" s="26" t="s">
        <v>98</v>
      </c>
      <c r="N591" s="13" t="s">
        <v>230</v>
      </c>
      <c r="O591" s="13" t="s">
        <v>303</v>
      </c>
      <c r="P591" s="13" t="s">
        <v>60</v>
      </c>
      <c r="Q591" s="13" t="s">
        <v>41</v>
      </c>
      <c r="R591" s="13" t="s">
        <v>270</v>
      </c>
      <c r="S591" s="13" t="s">
        <v>1879</v>
      </c>
      <c r="T591" s="13" t="s">
        <v>1880</v>
      </c>
      <c r="U591" s="13"/>
      <c r="V591" s="13"/>
      <c r="W591" s="13"/>
      <c r="X591" s="14"/>
      <c r="AN591" s="7" t="s">
        <v>155</v>
      </c>
      <c r="AO591" s="21">
        <f t="shared" si="28"/>
        <v>0</v>
      </c>
      <c r="AP591" s="7">
        <f t="shared" si="29"/>
        <v>10.77</v>
      </c>
      <c r="AQ591" s="31" t="str">
        <f t="shared" si="27"/>
        <v>Complete - No Adjustment</v>
      </c>
      <c r="AS591" s="37"/>
      <c r="AT591" s="37"/>
      <c r="AU591" s="37"/>
      <c r="AV591" s="37"/>
      <c r="AW591" s="37"/>
      <c r="AX591" s="37"/>
      <c r="AY591" s="37"/>
      <c r="AZ591" s="37"/>
      <c r="BA591" s="37"/>
      <c r="BB591" s="37"/>
      <c r="BC591" s="37"/>
      <c r="BD591" s="37"/>
      <c r="BE591" s="37"/>
      <c r="BF591" s="37"/>
      <c r="BG591" s="37"/>
      <c r="BH591" s="37"/>
      <c r="BI591" s="37"/>
    </row>
    <row r="592" spans="1:61" x14ac:dyDescent="0.2">
      <c r="A592" s="46">
        <v>582</v>
      </c>
      <c r="B592" s="13" t="s">
        <v>266</v>
      </c>
      <c r="C592" s="13" t="s">
        <v>1335</v>
      </c>
      <c r="D592" s="13" t="s">
        <v>1336</v>
      </c>
      <c r="E592" s="13" t="s">
        <v>1881</v>
      </c>
      <c r="F592" s="13" t="s">
        <v>186</v>
      </c>
      <c r="G592" s="13" t="s">
        <v>111</v>
      </c>
      <c r="H592" s="16">
        <v>43949</v>
      </c>
      <c r="I592" s="16">
        <v>43955</v>
      </c>
      <c r="J592" s="22">
        <v>11.31</v>
      </c>
      <c r="K592" s="22">
        <v>11.31</v>
      </c>
      <c r="L592" s="22" t="s">
        <v>1882</v>
      </c>
      <c r="M592" s="26" t="s">
        <v>98</v>
      </c>
      <c r="N592" s="13" t="s">
        <v>230</v>
      </c>
      <c r="O592" s="13" t="s">
        <v>429</v>
      </c>
      <c r="P592" s="13" t="s">
        <v>60</v>
      </c>
      <c r="Q592" s="13" t="s">
        <v>41</v>
      </c>
      <c r="R592" s="13" t="s">
        <v>270</v>
      </c>
      <c r="S592" s="13" t="s">
        <v>1883</v>
      </c>
      <c r="T592" s="13" t="s">
        <v>1884</v>
      </c>
      <c r="U592" s="13"/>
      <c r="V592" s="13"/>
      <c r="W592" s="13"/>
      <c r="X592" s="14"/>
      <c r="AL592" s="14">
        <v>11.31</v>
      </c>
      <c r="AN592" s="7" t="s">
        <v>146</v>
      </c>
      <c r="AO592" s="21">
        <f t="shared" si="28"/>
        <v>11.31</v>
      </c>
      <c r="AP592" s="7">
        <f t="shared" si="29"/>
        <v>0</v>
      </c>
      <c r="AQ592" s="31" t="str">
        <f t="shared" si="27"/>
        <v>Complete - With Adjustment</v>
      </c>
      <c r="AS592" s="37"/>
      <c r="AT592" s="37"/>
      <c r="AU592" s="37"/>
      <c r="AV592" s="37"/>
      <c r="AW592" s="37"/>
      <c r="AX592" s="37"/>
      <c r="AY592" s="37"/>
      <c r="AZ592" s="37"/>
      <c r="BA592" s="37"/>
      <c r="BB592" s="37"/>
      <c r="BC592" s="37"/>
      <c r="BD592" s="37"/>
      <c r="BE592" s="37"/>
      <c r="BF592" s="37"/>
      <c r="BG592" s="37"/>
      <c r="BH592" s="37"/>
      <c r="BI592" s="37"/>
    </row>
    <row r="593" spans="1:61" x14ac:dyDescent="0.2">
      <c r="A593" s="46">
        <v>583</v>
      </c>
      <c r="B593" s="13" t="s">
        <v>266</v>
      </c>
      <c r="C593" s="13" t="s">
        <v>427</v>
      </c>
      <c r="D593" s="13" t="s">
        <v>811</v>
      </c>
      <c r="E593" s="13" t="s">
        <v>1885</v>
      </c>
      <c r="F593" s="13" t="s">
        <v>193</v>
      </c>
      <c r="G593" s="13" t="s">
        <v>111</v>
      </c>
      <c r="H593" s="16">
        <v>43969</v>
      </c>
      <c r="I593" s="16">
        <v>43972</v>
      </c>
      <c r="J593" s="22">
        <v>14.88</v>
      </c>
      <c r="K593" s="22">
        <v>14.88</v>
      </c>
      <c r="L593" s="22" t="s">
        <v>1886</v>
      </c>
      <c r="M593" s="26" t="s">
        <v>98</v>
      </c>
      <c r="N593" s="13" t="s">
        <v>230</v>
      </c>
      <c r="O593" s="13" t="s">
        <v>320</v>
      </c>
      <c r="P593" s="13" t="s">
        <v>60</v>
      </c>
      <c r="Q593" s="13" t="s">
        <v>41</v>
      </c>
      <c r="R593" s="13" t="s">
        <v>270</v>
      </c>
      <c r="S593" s="13" t="s">
        <v>1887</v>
      </c>
      <c r="T593" s="13" t="s">
        <v>1888</v>
      </c>
      <c r="U593" s="13"/>
      <c r="V593" s="13"/>
      <c r="W593" s="13"/>
      <c r="X593" s="14"/>
      <c r="AL593" s="14">
        <v>14.88</v>
      </c>
      <c r="AN593" s="7" t="s">
        <v>146</v>
      </c>
      <c r="AO593" s="21">
        <f t="shared" si="28"/>
        <v>14.88</v>
      </c>
      <c r="AP593" s="7">
        <f t="shared" si="29"/>
        <v>0</v>
      </c>
      <c r="AQ593" s="31" t="str">
        <f t="shared" si="27"/>
        <v>Complete - With Adjustment</v>
      </c>
      <c r="AS593" s="37"/>
      <c r="AT593" s="37"/>
      <c r="AU593" s="37"/>
      <c r="AV593" s="37"/>
      <c r="AW593" s="37"/>
      <c r="AX593" s="37"/>
      <c r="AY593" s="37"/>
      <c r="AZ593" s="37"/>
      <c r="BA593" s="37"/>
      <c r="BB593" s="37"/>
      <c r="BC593" s="37"/>
      <c r="BD593" s="37"/>
      <c r="BE593" s="37"/>
      <c r="BF593" s="37"/>
      <c r="BG593" s="37"/>
      <c r="BH593" s="37"/>
      <c r="BI593" s="37"/>
    </row>
    <row r="594" spans="1:61" x14ac:dyDescent="0.2">
      <c r="A594" s="46">
        <v>584</v>
      </c>
      <c r="B594" s="13" t="s">
        <v>266</v>
      </c>
      <c r="C594" s="13" t="s">
        <v>710</v>
      </c>
      <c r="D594" s="13" t="s">
        <v>709</v>
      </c>
      <c r="E594" s="13" t="s">
        <v>1889</v>
      </c>
      <c r="F594" s="13" t="s">
        <v>200</v>
      </c>
      <c r="G594" s="13" t="s">
        <v>111</v>
      </c>
      <c r="H594" s="16">
        <v>43959</v>
      </c>
      <c r="I594" s="16">
        <v>43963</v>
      </c>
      <c r="J594" s="22">
        <v>53.22</v>
      </c>
      <c r="K594" s="22">
        <v>20.56</v>
      </c>
      <c r="L594" s="22" t="s">
        <v>1890</v>
      </c>
      <c r="M594" s="26" t="s">
        <v>98</v>
      </c>
      <c r="N594" s="13" t="s">
        <v>230</v>
      </c>
      <c r="O594" s="13" t="s">
        <v>288</v>
      </c>
      <c r="P594" s="13" t="s">
        <v>60</v>
      </c>
      <c r="Q594" s="13" t="s">
        <v>41</v>
      </c>
      <c r="R594" s="13" t="s">
        <v>270</v>
      </c>
      <c r="S594" s="13" t="s">
        <v>1891</v>
      </c>
      <c r="T594" s="13" t="s">
        <v>1892</v>
      </c>
      <c r="U594" s="13"/>
      <c r="V594" s="13"/>
      <c r="W594" s="13"/>
      <c r="X594" s="14"/>
      <c r="AN594" s="7" t="s">
        <v>70</v>
      </c>
      <c r="AO594" s="21">
        <f t="shared" si="28"/>
        <v>0</v>
      </c>
      <c r="AP594" s="7">
        <f t="shared" si="29"/>
        <v>20.56</v>
      </c>
      <c r="AQ594" s="31" t="str">
        <f t="shared" si="27"/>
        <v>Complete - No Adjustment</v>
      </c>
      <c r="AS594" s="37"/>
      <c r="AT594" s="37"/>
      <c r="AU594" s="37"/>
      <c r="AV594" s="37"/>
      <c r="AW594" s="37"/>
      <c r="AX594" s="37"/>
      <c r="AY594" s="37"/>
      <c r="AZ594" s="37"/>
      <c r="BA594" s="37"/>
      <c r="BB594" s="37"/>
      <c r="BC594" s="37"/>
      <c r="BD594" s="37"/>
      <c r="BE594" s="37"/>
      <c r="BF594" s="37"/>
      <c r="BG594" s="37"/>
      <c r="BH594" s="37"/>
      <c r="BI594" s="37"/>
    </row>
    <row r="595" spans="1:61" x14ac:dyDescent="0.2">
      <c r="A595" s="46">
        <v>585</v>
      </c>
      <c r="B595" s="13" t="s">
        <v>266</v>
      </c>
      <c r="C595" s="13" t="s">
        <v>710</v>
      </c>
      <c r="D595" s="13" t="s">
        <v>709</v>
      </c>
      <c r="E595" s="13" t="s">
        <v>1889</v>
      </c>
      <c r="F595" s="13" t="s">
        <v>200</v>
      </c>
      <c r="G595" s="13" t="s">
        <v>111</v>
      </c>
      <c r="H595" s="16">
        <v>43959</v>
      </c>
      <c r="I595" s="16">
        <v>43963</v>
      </c>
      <c r="J595" s="22">
        <v>53.22</v>
      </c>
      <c r="K595" s="22">
        <v>13.16</v>
      </c>
      <c r="L595" s="22" t="s">
        <v>1890</v>
      </c>
      <c r="M595" s="26" t="s">
        <v>98</v>
      </c>
      <c r="N595" s="13" t="s">
        <v>230</v>
      </c>
      <c r="O595" s="13" t="s">
        <v>288</v>
      </c>
      <c r="P595" s="13" t="s">
        <v>60</v>
      </c>
      <c r="Q595" s="13" t="s">
        <v>41</v>
      </c>
      <c r="R595" s="13" t="s">
        <v>270</v>
      </c>
      <c r="S595" s="13" t="s">
        <v>1891</v>
      </c>
      <c r="T595" s="13" t="s">
        <v>1893</v>
      </c>
      <c r="U595" s="13"/>
      <c r="V595" s="13"/>
      <c r="W595" s="13"/>
      <c r="X595" s="14"/>
      <c r="AN595" s="7" t="s">
        <v>155</v>
      </c>
      <c r="AO595" s="21">
        <f t="shared" si="28"/>
        <v>0</v>
      </c>
      <c r="AP595" s="7">
        <f t="shared" si="29"/>
        <v>13.16</v>
      </c>
      <c r="AQ595" s="31" t="str">
        <f t="shared" si="27"/>
        <v>Complete - No Adjustment</v>
      </c>
      <c r="AS595" s="37"/>
      <c r="AT595" s="37"/>
      <c r="AU595" s="37"/>
      <c r="AV595" s="37"/>
      <c r="AW595" s="37"/>
      <c r="AX595" s="37"/>
      <c r="AY595" s="37"/>
      <c r="AZ595" s="37"/>
      <c r="BA595" s="37"/>
      <c r="BB595" s="37"/>
      <c r="BC595" s="37"/>
      <c r="BD595" s="37"/>
      <c r="BE595" s="37"/>
      <c r="BF595" s="37"/>
      <c r="BG595" s="37"/>
      <c r="BH595" s="37"/>
      <c r="BI595" s="37"/>
    </row>
    <row r="596" spans="1:61" x14ac:dyDescent="0.2">
      <c r="A596" s="46">
        <v>586</v>
      </c>
      <c r="B596" s="13" t="s">
        <v>266</v>
      </c>
      <c r="C596" s="13" t="s">
        <v>710</v>
      </c>
      <c r="D596" s="13" t="s">
        <v>709</v>
      </c>
      <c r="E596" s="13" t="s">
        <v>1889</v>
      </c>
      <c r="F596" s="13" t="s">
        <v>200</v>
      </c>
      <c r="G596" s="13" t="s">
        <v>111</v>
      </c>
      <c r="H596" s="16">
        <v>43959</v>
      </c>
      <c r="I596" s="16">
        <v>43963</v>
      </c>
      <c r="J596" s="22">
        <v>53.22</v>
      </c>
      <c r="K596" s="22">
        <v>19.5</v>
      </c>
      <c r="L596" s="22" t="s">
        <v>1890</v>
      </c>
      <c r="M596" s="26" t="s">
        <v>98</v>
      </c>
      <c r="N596" s="13" t="s">
        <v>230</v>
      </c>
      <c r="O596" s="13" t="s">
        <v>288</v>
      </c>
      <c r="P596" s="13" t="s">
        <v>60</v>
      </c>
      <c r="Q596" s="13" t="s">
        <v>41</v>
      </c>
      <c r="R596" s="13" t="s">
        <v>270</v>
      </c>
      <c r="S596" s="13" t="s">
        <v>1891</v>
      </c>
      <c r="T596" s="13" t="s">
        <v>1894</v>
      </c>
      <c r="U596" s="13"/>
      <c r="V596" s="13"/>
      <c r="W596" s="13"/>
      <c r="X596" s="14"/>
      <c r="AN596" s="7" t="s">
        <v>155</v>
      </c>
      <c r="AO596" s="21">
        <f t="shared" si="28"/>
        <v>0</v>
      </c>
      <c r="AP596" s="7">
        <f t="shared" si="29"/>
        <v>19.5</v>
      </c>
      <c r="AQ596" s="31" t="str">
        <f t="shared" si="27"/>
        <v>Complete - No Adjustment</v>
      </c>
      <c r="AS596" s="37"/>
      <c r="AT596" s="37"/>
      <c r="AU596" s="37"/>
      <c r="AV596" s="37"/>
      <c r="AW596" s="37"/>
      <c r="AX596" s="37"/>
      <c r="AY596" s="37"/>
      <c r="AZ596" s="37"/>
      <c r="BA596" s="37"/>
      <c r="BB596" s="37"/>
      <c r="BC596" s="37"/>
      <c r="BD596" s="37"/>
      <c r="BE596" s="37"/>
      <c r="BF596" s="37"/>
      <c r="BG596" s="37"/>
      <c r="BH596" s="37"/>
      <c r="BI596" s="37"/>
    </row>
    <row r="597" spans="1:61" x14ac:dyDescent="0.2">
      <c r="A597" s="46">
        <v>587</v>
      </c>
      <c r="B597" s="13" t="s">
        <v>266</v>
      </c>
      <c r="C597" s="13" t="s">
        <v>431</v>
      </c>
      <c r="D597" s="13" t="s">
        <v>430</v>
      </c>
      <c r="E597" s="13" t="s">
        <v>1895</v>
      </c>
      <c r="F597" s="13" t="s">
        <v>196</v>
      </c>
      <c r="G597" s="13" t="s">
        <v>111</v>
      </c>
      <c r="H597" s="16">
        <v>43952</v>
      </c>
      <c r="I597" s="16">
        <v>43956</v>
      </c>
      <c r="J597" s="22">
        <v>767.05</v>
      </c>
      <c r="K597" s="22">
        <v>440</v>
      </c>
      <c r="L597" s="22" t="s">
        <v>1896</v>
      </c>
      <c r="M597" s="26" t="s">
        <v>98</v>
      </c>
      <c r="N597" s="13" t="s">
        <v>230</v>
      </c>
      <c r="O597" s="13" t="s">
        <v>78</v>
      </c>
      <c r="P597" s="13" t="s">
        <v>60</v>
      </c>
      <c r="Q597" s="13" t="s">
        <v>59</v>
      </c>
      <c r="R597" s="13" t="s">
        <v>270</v>
      </c>
      <c r="S597" s="13" t="s">
        <v>1897</v>
      </c>
      <c r="T597" s="13" t="s">
        <v>1898</v>
      </c>
      <c r="U597" s="13"/>
      <c r="V597" s="13"/>
      <c r="W597" s="13"/>
      <c r="X597" s="14"/>
      <c r="AN597" s="7" t="s">
        <v>70</v>
      </c>
      <c r="AO597" s="21">
        <f t="shared" si="28"/>
        <v>0</v>
      </c>
      <c r="AP597" s="7">
        <f t="shared" si="29"/>
        <v>440</v>
      </c>
      <c r="AQ597" s="31" t="str">
        <f t="shared" si="27"/>
        <v>Complete - No Adjustment</v>
      </c>
      <c r="AS597" s="37"/>
      <c r="AT597" s="37"/>
      <c r="AU597" s="37"/>
      <c r="AV597" s="37"/>
      <c r="AW597" s="37"/>
      <c r="AX597" s="37"/>
      <c r="AY597" s="37"/>
      <c r="AZ597" s="37"/>
      <c r="BA597" s="37"/>
      <c r="BB597" s="37"/>
      <c r="BC597" s="37"/>
      <c r="BD597" s="37"/>
      <c r="BE597" s="37"/>
      <c r="BF597" s="37"/>
      <c r="BG597" s="37"/>
      <c r="BH597" s="37"/>
      <c r="BI597" s="37"/>
    </row>
    <row r="598" spans="1:61" x14ac:dyDescent="0.2">
      <c r="A598" s="46">
        <v>588</v>
      </c>
      <c r="B598" s="13" t="s">
        <v>266</v>
      </c>
      <c r="C598" s="13" t="s">
        <v>431</v>
      </c>
      <c r="D598" s="13" t="s">
        <v>430</v>
      </c>
      <c r="E598" s="13" t="s">
        <v>1895</v>
      </c>
      <c r="F598" s="13" t="s">
        <v>196</v>
      </c>
      <c r="G598" s="13" t="s">
        <v>111</v>
      </c>
      <c r="H598" s="16">
        <v>43952</v>
      </c>
      <c r="I598" s="16">
        <v>43956</v>
      </c>
      <c r="J598" s="22">
        <v>767.05</v>
      </c>
      <c r="K598" s="22">
        <v>147.5</v>
      </c>
      <c r="L598" s="22" t="s">
        <v>1896</v>
      </c>
      <c r="M598" s="26" t="s">
        <v>98</v>
      </c>
      <c r="N598" s="13" t="s">
        <v>230</v>
      </c>
      <c r="O598" s="13" t="s">
        <v>78</v>
      </c>
      <c r="P598" s="13" t="s">
        <v>60</v>
      </c>
      <c r="Q598" s="13" t="s">
        <v>56</v>
      </c>
      <c r="R598" s="13" t="s">
        <v>270</v>
      </c>
      <c r="S598" s="13" t="s">
        <v>1897</v>
      </c>
      <c r="T598" s="13" t="s">
        <v>1899</v>
      </c>
      <c r="U598" s="13"/>
      <c r="V598" s="13"/>
      <c r="W598" s="13"/>
      <c r="X598" s="14"/>
      <c r="AN598" s="7" t="s">
        <v>70</v>
      </c>
      <c r="AO598" s="21">
        <f t="shared" si="28"/>
        <v>0</v>
      </c>
      <c r="AP598" s="7">
        <f t="shared" si="29"/>
        <v>147.5</v>
      </c>
      <c r="AQ598" s="31" t="str">
        <f t="shared" ref="AQ598:AQ661" si="30">IF(AO598&lt;&gt;0,"Complete - With Adjustment","Complete - No Adjustment")</f>
        <v>Complete - No Adjustment</v>
      </c>
      <c r="AS598" s="37"/>
      <c r="AT598" s="37"/>
      <c r="AU598" s="37"/>
      <c r="AV598" s="37"/>
      <c r="AW598" s="37"/>
      <c r="AX598" s="37"/>
      <c r="AY598" s="37"/>
      <c r="AZ598" s="37"/>
      <c r="BA598" s="37"/>
      <c r="BB598" s="37"/>
      <c r="BC598" s="37"/>
      <c r="BD598" s="37"/>
      <c r="BE598" s="37"/>
      <c r="BF598" s="37"/>
      <c r="BG598" s="37"/>
      <c r="BH598" s="37"/>
      <c r="BI598" s="37"/>
    </row>
    <row r="599" spans="1:61" x14ac:dyDescent="0.2">
      <c r="A599" s="46">
        <v>589</v>
      </c>
      <c r="B599" s="13" t="s">
        <v>266</v>
      </c>
      <c r="C599" s="13" t="s">
        <v>431</v>
      </c>
      <c r="D599" s="13" t="s">
        <v>430</v>
      </c>
      <c r="E599" s="13" t="s">
        <v>1895</v>
      </c>
      <c r="F599" s="13" t="s">
        <v>196</v>
      </c>
      <c r="G599" s="13" t="s">
        <v>111</v>
      </c>
      <c r="H599" s="16">
        <v>43952</v>
      </c>
      <c r="I599" s="16">
        <v>43956</v>
      </c>
      <c r="J599" s="22">
        <v>767.05</v>
      </c>
      <c r="K599" s="22">
        <v>7.57</v>
      </c>
      <c r="L599" s="22" t="s">
        <v>1896</v>
      </c>
      <c r="M599" s="26" t="s">
        <v>98</v>
      </c>
      <c r="N599" s="13" t="s">
        <v>230</v>
      </c>
      <c r="O599" s="13" t="s">
        <v>78</v>
      </c>
      <c r="P599" s="13" t="s">
        <v>60</v>
      </c>
      <c r="Q599" s="13" t="s">
        <v>41</v>
      </c>
      <c r="R599" s="13" t="s">
        <v>270</v>
      </c>
      <c r="S599" s="13" t="s">
        <v>1897</v>
      </c>
      <c r="T599" s="13" t="s">
        <v>1900</v>
      </c>
      <c r="U599" s="13"/>
      <c r="V599" s="13"/>
      <c r="W599" s="13"/>
      <c r="X599" s="14"/>
      <c r="AN599" s="7" t="s">
        <v>70</v>
      </c>
      <c r="AO599" s="21">
        <f t="shared" si="28"/>
        <v>0</v>
      </c>
      <c r="AP599" s="7">
        <f t="shared" si="29"/>
        <v>7.57</v>
      </c>
      <c r="AQ599" s="31" t="str">
        <f t="shared" si="30"/>
        <v>Complete - No Adjustment</v>
      </c>
      <c r="AS599" s="37"/>
      <c r="AT599" s="37"/>
      <c r="AU599" s="37"/>
      <c r="AV599" s="37"/>
      <c r="AW599" s="37"/>
      <c r="AX599" s="37"/>
      <c r="AY599" s="37"/>
      <c r="AZ599" s="37"/>
      <c r="BA599" s="37"/>
      <c r="BB599" s="37"/>
      <c r="BC599" s="37"/>
      <c r="BD599" s="37"/>
      <c r="BE599" s="37"/>
      <c r="BF599" s="37"/>
      <c r="BG599" s="37"/>
      <c r="BH599" s="37"/>
      <c r="BI599" s="37"/>
    </row>
    <row r="600" spans="1:61" x14ac:dyDescent="0.2">
      <c r="A600" s="46">
        <v>590</v>
      </c>
      <c r="B600" s="13" t="s">
        <v>266</v>
      </c>
      <c r="C600" s="13" t="s">
        <v>431</v>
      </c>
      <c r="D600" s="13" t="s">
        <v>430</v>
      </c>
      <c r="E600" s="13" t="s">
        <v>1895</v>
      </c>
      <c r="F600" s="13" t="s">
        <v>196</v>
      </c>
      <c r="G600" s="13" t="s">
        <v>111</v>
      </c>
      <c r="H600" s="16">
        <v>43952</v>
      </c>
      <c r="I600" s="16">
        <v>43956</v>
      </c>
      <c r="J600" s="22">
        <v>767.05</v>
      </c>
      <c r="K600" s="22">
        <v>171.98</v>
      </c>
      <c r="L600" s="22" t="s">
        <v>1896</v>
      </c>
      <c r="M600" s="26" t="s">
        <v>98</v>
      </c>
      <c r="N600" s="13" t="s">
        <v>230</v>
      </c>
      <c r="O600" s="13" t="s">
        <v>78</v>
      </c>
      <c r="P600" s="13" t="s">
        <v>60</v>
      </c>
      <c r="Q600" s="13" t="s">
        <v>44</v>
      </c>
      <c r="R600" s="13" t="s">
        <v>270</v>
      </c>
      <c r="S600" s="13" t="s">
        <v>1897</v>
      </c>
      <c r="T600" s="13" t="s">
        <v>1901</v>
      </c>
      <c r="U600" s="13"/>
      <c r="V600" s="13"/>
      <c r="W600" s="13"/>
      <c r="X600" s="14"/>
      <c r="AN600" s="7" t="s">
        <v>70</v>
      </c>
      <c r="AO600" s="21">
        <f t="shared" si="28"/>
        <v>0</v>
      </c>
      <c r="AP600" s="7">
        <f t="shared" si="29"/>
        <v>171.98</v>
      </c>
      <c r="AQ600" s="31" t="str">
        <f t="shared" si="30"/>
        <v>Complete - No Adjustment</v>
      </c>
      <c r="AS600" s="37"/>
      <c r="AT600" s="37"/>
      <c r="AU600" s="37"/>
      <c r="AV600" s="37"/>
      <c r="AW600" s="37"/>
      <c r="AX600" s="37"/>
      <c r="AY600" s="37"/>
      <c r="AZ600" s="37"/>
      <c r="BA600" s="37"/>
      <c r="BB600" s="37"/>
      <c r="BC600" s="37"/>
      <c r="BD600" s="37"/>
      <c r="BE600" s="37"/>
      <c r="BF600" s="37"/>
      <c r="BG600" s="37"/>
      <c r="BH600" s="37"/>
      <c r="BI600" s="37"/>
    </row>
    <row r="601" spans="1:61" x14ac:dyDescent="0.2">
      <c r="A601" s="46">
        <v>591</v>
      </c>
      <c r="B601" s="13" t="s">
        <v>266</v>
      </c>
      <c r="C601" s="13" t="s">
        <v>843</v>
      </c>
      <c r="D601" s="13" t="s">
        <v>844</v>
      </c>
      <c r="E601" s="13" t="s">
        <v>1902</v>
      </c>
      <c r="F601" s="13" t="s">
        <v>184</v>
      </c>
      <c r="G601" s="13" t="s">
        <v>111</v>
      </c>
      <c r="H601" s="16">
        <v>43955</v>
      </c>
      <c r="I601" s="16">
        <v>43959</v>
      </c>
      <c r="J601" s="22">
        <v>99</v>
      </c>
      <c r="K601" s="22">
        <v>99</v>
      </c>
      <c r="L601" s="22" t="s">
        <v>1903</v>
      </c>
      <c r="M601" s="26" t="s">
        <v>98</v>
      </c>
      <c r="N601" s="13" t="s">
        <v>230</v>
      </c>
      <c r="O601" s="13" t="s">
        <v>397</v>
      </c>
      <c r="P601" s="13" t="s">
        <v>60</v>
      </c>
      <c r="Q601" s="13" t="s">
        <v>109</v>
      </c>
      <c r="R601" s="13" t="s">
        <v>270</v>
      </c>
      <c r="S601" s="13" t="s">
        <v>1904</v>
      </c>
      <c r="T601" s="13" t="s">
        <v>1905</v>
      </c>
      <c r="U601" s="13"/>
      <c r="V601" s="13"/>
      <c r="W601" s="13"/>
      <c r="X601" s="14"/>
      <c r="AN601" s="7" t="s">
        <v>70</v>
      </c>
      <c r="AO601" s="21">
        <f t="shared" si="28"/>
        <v>0</v>
      </c>
      <c r="AP601" s="7">
        <f t="shared" si="29"/>
        <v>99</v>
      </c>
      <c r="AQ601" s="31" t="str">
        <f t="shared" si="30"/>
        <v>Complete - No Adjustment</v>
      </c>
      <c r="AS601" s="37"/>
      <c r="AT601" s="37"/>
      <c r="AU601" s="37"/>
      <c r="AV601" s="37"/>
      <c r="AW601" s="37"/>
      <c r="AX601" s="37"/>
      <c r="AY601" s="37"/>
      <c r="AZ601" s="37"/>
      <c r="BA601" s="37"/>
      <c r="BB601" s="37"/>
      <c r="BC601" s="37"/>
      <c r="BD601" s="37"/>
      <c r="BE601" s="37"/>
      <c r="BF601" s="37"/>
      <c r="BG601" s="37"/>
      <c r="BH601" s="37"/>
      <c r="BI601" s="37"/>
    </row>
    <row r="602" spans="1:61" x14ac:dyDescent="0.2">
      <c r="A602" s="46">
        <v>592</v>
      </c>
      <c r="B602" s="13" t="s">
        <v>266</v>
      </c>
      <c r="C602" s="13" t="s">
        <v>437</v>
      </c>
      <c r="D602" s="13" t="s">
        <v>436</v>
      </c>
      <c r="E602" s="13" t="s">
        <v>1906</v>
      </c>
      <c r="F602" s="13" t="s">
        <v>196</v>
      </c>
      <c r="G602" s="13" t="s">
        <v>111</v>
      </c>
      <c r="H602" s="16">
        <v>43951</v>
      </c>
      <c r="I602" s="16">
        <v>43956</v>
      </c>
      <c r="J602" s="22">
        <v>141.47999999999999</v>
      </c>
      <c r="K602" s="22">
        <v>19.52</v>
      </c>
      <c r="L602" s="22" t="s">
        <v>1907</v>
      </c>
      <c r="M602" s="26" t="s">
        <v>98</v>
      </c>
      <c r="N602" s="13" t="s">
        <v>230</v>
      </c>
      <c r="O602" s="13" t="s">
        <v>288</v>
      </c>
      <c r="P602" s="13" t="s">
        <v>60</v>
      </c>
      <c r="Q602" s="13" t="s">
        <v>41</v>
      </c>
      <c r="R602" s="13" t="s">
        <v>270</v>
      </c>
      <c r="S602" s="13" t="s">
        <v>1908</v>
      </c>
      <c r="T602" s="13" t="s">
        <v>1909</v>
      </c>
      <c r="U602" s="13"/>
      <c r="V602" s="13"/>
      <c r="W602" s="13"/>
      <c r="X602" s="14"/>
      <c r="AN602" s="7" t="s">
        <v>155</v>
      </c>
      <c r="AO602" s="21">
        <f t="shared" si="28"/>
        <v>0</v>
      </c>
      <c r="AP602" s="7">
        <f t="shared" si="29"/>
        <v>19.52</v>
      </c>
      <c r="AQ602" s="31" t="str">
        <f t="shared" si="30"/>
        <v>Complete - No Adjustment</v>
      </c>
      <c r="AS602" s="37"/>
      <c r="AT602" s="37"/>
      <c r="AU602" s="37"/>
      <c r="AV602" s="37"/>
      <c r="AW602" s="37"/>
      <c r="AX602" s="37"/>
      <c r="AY602" s="37"/>
      <c r="AZ602" s="37"/>
      <c r="BA602" s="37"/>
      <c r="BB602" s="37"/>
      <c r="BC602" s="37"/>
      <c r="BD602" s="37"/>
      <c r="BE602" s="37"/>
      <c r="BF602" s="37"/>
      <c r="BG602" s="37"/>
      <c r="BH602" s="37"/>
      <c r="BI602" s="37"/>
    </row>
    <row r="603" spans="1:61" x14ac:dyDescent="0.2">
      <c r="A603" s="46">
        <v>593</v>
      </c>
      <c r="B603" s="13" t="s">
        <v>266</v>
      </c>
      <c r="C603" s="13" t="s">
        <v>437</v>
      </c>
      <c r="D603" s="13" t="s">
        <v>436</v>
      </c>
      <c r="E603" s="13" t="s">
        <v>1906</v>
      </c>
      <c r="F603" s="13" t="s">
        <v>196</v>
      </c>
      <c r="G603" s="13" t="s">
        <v>111</v>
      </c>
      <c r="H603" s="16">
        <v>43951</v>
      </c>
      <c r="I603" s="16">
        <v>43956</v>
      </c>
      <c r="J603" s="22">
        <v>141.47999999999999</v>
      </c>
      <c r="K603" s="22">
        <v>12.5</v>
      </c>
      <c r="L603" s="22" t="s">
        <v>1907</v>
      </c>
      <c r="M603" s="26" t="s">
        <v>98</v>
      </c>
      <c r="N603" s="13" t="s">
        <v>230</v>
      </c>
      <c r="O603" s="13" t="s">
        <v>288</v>
      </c>
      <c r="P603" s="13" t="s">
        <v>60</v>
      </c>
      <c r="Q603" s="13" t="s">
        <v>41</v>
      </c>
      <c r="R603" s="13" t="s">
        <v>270</v>
      </c>
      <c r="S603" s="13" t="s">
        <v>1908</v>
      </c>
      <c r="T603" s="13" t="s">
        <v>1909</v>
      </c>
      <c r="U603" s="13"/>
      <c r="V603" s="13"/>
      <c r="W603" s="13"/>
      <c r="X603" s="14"/>
      <c r="AN603" s="7" t="s">
        <v>155</v>
      </c>
      <c r="AO603" s="21">
        <f t="shared" si="28"/>
        <v>0</v>
      </c>
      <c r="AP603" s="7">
        <f t="shared" si="29"/>
        <v>12.5</v>
      </c>
      <c r="AQ603" s="31" t="str">
        <f t="shared" si="30"/>
        <v>Complete - No Adjustment</v>
      </c>
      <c r="AS603" s="37"/>
      <c r="AT603" s="37"/>
      <c r="AU603" s="37"/>
      <c r="AV603" s="37"/>
      <c r="AW603" s="37"/>
      <c r="AX603" s="37"/>
      <c r="AY603" s="37"/>
      <c r="AZ603" s="37"/>
      <c r="BA603" s="37"/>
      <c r="BB603" s="37"/>
      <c r="BC603" s="37"/>
      <c r="BD603" s="37"/>
      <c r="BE603" s="37"/>
      <c r="BF603" s="37"/>
      <c r="BG603" s="37"/>
      <c r="BH603" s="37"/>
      <c r="BI603" s="37"/>
    </row>
    <row r="604" spans="1:61" x14ac:dyDescent="0.2">
      <c r="A604" s="46">
        <v>594</v>
      </c>
      <c r="B604" s="13" t="s">
        <v>266</v>
      </c>
      <c r="C604" s="13" t="s">
        <v>437</v>
      </c>
      <c r="D604" s="13" t="s">
        <v>436</v>
      </c>
      <c r="E604" s="13" t="s">
        <v>1906</v>
      </c>
      <c r="F604" s="13" t="s">
        <v>196</v>
      </c>
      <c r="G604" s="13" t="s">
        <v>111</v>
      </c>
      <c r="H604" s="16">
        <v>43951</v>
      </c>
      <c r="I604" s="16">
        <v>43956</v>
      </c>
      <c r="J604" s="22">
        <v>141.47999999999999</v>
      </c>
      <c r="K604" s="22">
        <v>25.83</v>
      </c>
      <c r="L604" s="22" t="s">
        <v>1907</v>
      </c>
      <c r="M604" s="26" t="s">
        <v>98</v>
      </c>
      <c r="N604" s="13" t="s">
        <v>230</v>
      </c>
      <c r="O604" s="13" t="s">
        <v>288</v>
      </c>
      <c r="P604" s="13" t="s">
        <v>60</v>
      </c>
      <c r="Q604" s="13" t="s">
        <v>41</v>
      </c>
      <c r="R604" s="13" t="s">
        <v>270</v>
      </c>
      <c r="S604" s="13" t="s">
        <v>1908</v>
      </c>
      <c r="T604" s="13" t="s">
        <v>1909</v>
      </c>
      <c r="U604" s="13"/>
      <c r="V604" s="13"/>
      <c r="W604" s="13"/>
      <c r="X604" s="14"/>
      <c r="AN604" s="7" t="s">
        <v>155</v>
      </c>
      <c r="AO604" s="21">
        <f t="shared" si="28"/>
        <v>0</v>
      </c>
      <c r="AP604" s="7">
        <f t="shared" si="29"/>
        <v>25.83</v>
      </c>
      <c r="AQ604" s="31" t="str">
        <f t="shared" si="30"/>
        <v>Complete - No Adjustment</v>
      </c>
      <c r="AS604" s="37"/>
      <c r="AT604" s="37"/>
      <c r="AU604" s="37"/>
      <c r="AV604" s="37"/>
      <c r="AW604" s="37"/>
      <c r="AX604" s="37"/>
      <c r="AY604" s="37"/>
      <c r="AZ604" s="37"/>
      <c r="BA604" s="37"/>
      <c r="BB604" s="37"/>
      <c r="BC604" s="37"/>
      <c r="BD604" s="37"/>
      <c r="BE604" s="37"/>
      <c r="BF604" s="37"/>
      <c r="BG604" s="37"/>
      <c r="BH604" s="37"/>
      <c r="BI604" s="37"/>
    </row>
    <row r="605" spans="1:61" x14ac:dyDescent="0.2">
      <c r="A605" s="46">
        <v>595</v>
      </c>
      <c r="B605" s="13" t="s">
        <v>266</v>
      </c>
      <c r="C605" s="13" t="s">
        <v>437</v>
      </c>
      <c r="D605" s="13" t="s">
        <v>436</v>
      </c>
      <c r="E605" s="13" t="s">
        <v>1906</v>
      </c>
      <c r="F605" s="13" t="s">
        <v>196</v>
      </c>
      <c r="G605" s="13" t="s">
        <v>111</v>
      </c>
      <c r="H605" s="16">
        <v>43951</v>
      </c>
      <c r="I605" s="16">
        <v>43956</v>
      </c>
      <c r="J605" s="22">
        <v>141.47999999999999</v>
      </c>
      <c r="K605" s="22">
        <v>20.3</v>
      </c>
      <c r="L605" s="22" t="s">
        <v>1907</v>
      </c>
      <c r="M605" s="26" t="s">
        <v>98</v>
      </c>
      <c r="N605" s="13" t="s">
        <v>230</v>
      </c>
      <c r="O605" s="13" t="s">
        <v>288</v>
      </c>
      <c r="P605" s="13" t="s">
        <v>60</v>
      </c>
      <c r="Q605" s="13" t="s">
        <v>41</v>
      </c>
      <c r="R605" s="13" t="s">
        <v>270</v>
      </c>
      <c r="S605" s="13" t="s">
        <v>1908</v>
      </c>
      <c r="T605" s="13" t="s">
        <v>1909</v>
      </c>
      <c r="U605" s="13"/>
      <c r="V605" s="13"/>
      <c r="W605" s="13"/>
      <c r="X605" s="14"/>
      <c r="AN605" s="7" t="s">
        <v>155</v>
      </c>
      <c r="AO605" s="21">
        <f t="shared" si="28"/>
        <v>0</v>
      </c>
      <c r="AP605" s="7">
        <f t="shared" si="29"/>
        <v>20.3</v>
      </c>
      <c r="AQ605" s="31" t="str">
        <f t="shared" si="30"/>
        <v>Complete - No Adjustment</v>
      </c>
      <c r="AS605" s="37"/>
      <c r="AT605" s="37"/>
      <c r="AU605" s="37"/>
      <c r="AV605" s="37"/>
      <c r="AW605" s="37"/>
      <c r="AX605" s="37"/>
      <c r="AY605" s="37"/>
      <c r="AZ605" s="37"/>
      <c r="BA605" s="37"/>
      <c r="BB605" s="37"/>
      <c r="BC605" s="37"/>
      <c r="BD605" s="37"/>
      <c r="BE605" s="37"/>
      <c r="BF605" s="37"/>
      <c r="BG605" s="37"/>
      <c r="BH605" s="37"/>
      <c r="BI605" s="37"/>
    </row>
    <row r="606" spans="1:61" x14ac:dyDescent="0.2">
      <c r="A606" s="46">
        <v>596</v>
      </c>
      <c r="B606" s="13" t="s">
        <v>266</v>
      </c>
      <c r="C606" s="13" t="s">
        <v>437</v>
      </c>
      <c r="D606" s="13" t="s">
        <v>436</v>
      </c>
      <c r="E606" s="13" t="s">
        <v>1906</v>
      </c>
      <c r="F606" s="13" t="s">
        <v>196</v>
      </c>
      <c r="G606" s="13" t="s">
        <v>111</v>
      </c>
      <c r="H606" s="16">
        <v>43951</v>
      </c>
      <c r="I606" s="16">
        <v>43956</v>
      </c>
      <c r="J606" s="22">
        <v>141.47999999999999</v>
      </c>
      <c r="K606" s="22">
        <v>20.3</v>
      </c>
      <c r="L606" s="22" t="s">
        <v>1907</v>
      </c>
      <c r="M606" s="26" t="s">
        <v>98</v>
      </c>
      <c r="N606" s="13" t="s">
        <v>230</v>
      </c>
      <c r="O606" s="13" t="s">
        <v>288</v>
      </c>
      <c r="P606" s="13" t="s">
        <v>60</v>
      </c>
      <c r="Q606" s="13" t="s">
        <v>41</v>
      </c>
      <c r="R606" s="13" t="s">
        <v>270</v>
      </c>
      <c r="S606" s="13" t="s">
        <v>1908</v>
      </c>
      <c r="T606" s="13" t="s">
        <v>1910</v>
      </c>
      <c r="U606" s="13"/>
      <c r="V606" s="13"/>
      <c r="W606" s="13"/>
      <c r="X606" s="14"/>
      <c r="AN606" s="7" t="s">
        <v>155</v>
      </c>
      <c r="AO606" s="21">
        <f t="shared" si="28"/>
        <v>0</v>
      </c>
      <c r="AP606" s="7">
        <f t="shared" si="29"/>
        <v>20.3</v>
      </c>
      <c r="AQ606" s="31" t="str">
        <f t="shared" si="30"/>
        <v>Complete - No Adjustment</v>
      </c>
      <c r="AS606" s="37"/>
      <c r="AT606" s="37"/>
      <c r="AU606" s="37"/>
      <c r="AV606" s="37"/>
      <c r="AW606" s="37"/>
      <c r="AX606" s="37"/>
      <c r="AY606" s="37"/>
      <c r="AZ606" s="37"/>
      <c r="BA606" s="37"/>
      <c r="BB606" s="37"/>
      <c r="BC606" s="37"/>
      <c r="BD606" s="37"/>
      <c r="BE606" s="37"/>
      <c r="BF606" s="37"/>
      <c r="BG606" s="37"/>
      <c r="BH606" s="37"/>
      <c r="BI606" s="37"/>
    </row>
    <row r="607" spans="1:61" x14ac:dyDescent="0.2">
      <c r="A607" s="46">
        <v>597</v>
      </c>
      <c r="B607" s="13" t="s">
        <v>266</v>
      </c>
      <c r="C607" s="13" t="s">
        <v>437</v>
      </c>
      <c r="D607" s="13" t="s">
        <v>436</v>
      </c>
      <c r="E607" s="13" t="s">
        <v>1906</v>
      </c>
      <c r="F607" s="13" t="s">
        <v>196</v>
      </c>
      <c r="G607" s="13" t="s">
        <v>111</v>
      </c>
      <c r="H607" s="16">
        <v>43951</v>
      </c>
      <c r="I607" s="16">
        <v>43956</v>
      </c>
      <c r="J607" s="22">
        <v>141.47999999999999</v>
      </c>
      <c r="K607" s="22">
        <v>24.21</v>
      </c>
      <c r="L607" s="22" t="s">
        <v>1907</v>
      </c>
      <c r="M607" s="26" t="s">
        <v>98</v>
      </c>
      <c r="N607" s="13" t="s">
        <v>230</v>
      </c>
      <c r="O607" s="13" t="s">
        <v>288</v>
      </c>
      <c r="P607" s="13" t="s">
        <v>60</v>
      </c>
      <c r="Q607" s="13" t="s">
        <v>41</v>
      </c>
      <c r="R607" s="13" t="s">
        <v>270</v>
      </c>
      <c r="S607" s="13" t="s">
        <v>1908</v>
      </c>
      <c r="T607" s="13" t="s">
        <v>1910</v>
      </c>
      <c r="U607" s="13"/>
      <c r="V607" s="13"/>
      <c r="W607" s="13"/>
      <c r="X607" s="14"/>
      <c r="AL607" s="14">
        <v>24.21</v>
      </c>
      <c r="AN607" s="7" t="s">
        <v>167</v>
      </c>
      <c r="AO607" s="21">
        <f t="shared" si="28"/>
        <v>24.21</v>
      </c>
      <c r="AP607" s="7">
        <f t="shared" si="29"/>
        <v>0</v>
      </c>
      <c r="AQ607" s="31" t="str">
        <f t="shared" si="30"/>
        <v>Complete - With Adjustment</v>
      </c>
      <c r="AS607" s="37"/>
      <c r="AT607" s="37"/>
      <c r="AU607" s="37"/>
      <c r="AV607" s="37"/>
      <c r="AW607" s="37"/>
      <c r="AX607" s="37"/>
      <c r="AY607" s="37"/>
      <c r="AZ607" s="37"/>
      <c r="BA607" s="37"/>
      <c r="BB607" s="37"/>
      <c r="BC607" s="37"/>
      <c r="BD607" s="37"/>
      <c r="BE607" s="37"/>
      <c r="BF607" s="37"/>
      <c r="BG607" s="37"/>
      <c r="BH607" s="37"/>
      <c r="BI607" s="37"/>
    </row>
    <row r="608" spans="1:61" x14ac:dyDescent="0.2">
      <c r="A608" s="46">
        <v>598</v>
      </c>
      <c r="B608" s="13" t="s">
        <v>266</v>
      </c>
      <c r="C608" s="13" t="s">
        <v>437</v>
      </c>
      <c r="D608" s="13" t="s">
        <v>436</v>
      </c>
      <c r="E608" s="13" t="s">
        <v>1906</v>
      </c>
      <c r="F608" s="13" t="s">
        <v>196</v>
      </c>
      <c r="G608" s="13" t="s">
        <v>111</v>
      </c>
      <c r="H608" s="16">
        <v>43951</v>
      </c>
      <c r="I608" s="16">
        <v>43956</v>
      </c>
      <c r="J608" s="22">
        <v>141.47999999999999</v>
      </c>
      <c r="K608" s="22">
        <v>18.82</v>
      </c>
      <c r="L608" s="22" t="s">
        <v>1907</v>
      </c>
      <c r="M608" s="26" t="s">
        <v>98</v>
      </c>
      <c r="N608" s="13" t="s">
        <v>230</v>
      </c>
      <c r="O608" s="13" t="s">
        <v>288</v>
      </c>
      <c r="P608" s="13" t="s">
        <v>60</v>
      </c>
      <c r="Q608" s="13" t="s">
        <v>41</v>
      </c>
      <c r="R608" s="13" t="s">
        <v>270</v>
      </c>
      <c r="S608" s="13" t="s">
        <v>1908</v>
      </c>
      <c r="T608" s="13" t="s">
        <v>1910</v>
      </c>
      <c r="U608" s="13"/>
      <c r="V608" s="13"/>
      <c r="W608" s="13"/>
      <c r="X608" s="14"/>
      <c r="AN608" s="7" t="s">
        <v>155</v>
      </c>
      <c r="AO608" s="21">
        <f t="shared" si="28"/>
        <v>0</v>
      </c>
      <c r="AP608" s="7">
        <f t="shared" si="29"/>
        <v>18.82</v>
      </c>
      <c r="AQ608" s="31" t="str">
        <f t="shared" si="30"/>
        <v>Complete - No Adjustment</v>
      </c>
      <c r="AS608" s="37"/>
      <c r="AT608" s="37"/>
      <c r="AU608" s="37"/>
      <c r="AV608" s="37"/>
      <c r="AW608" s="37"/>
      <c r="AX608" s="37"/>
      <c r="AY608" s="37"/>
      <c r="AZ608" s="37"/>
      <c r="BA608" s="37"/>
      <c r="BB608" s="37"/>
      <c r="BC608" s="37"/>
      <c r="BD608" s="37"/>
      <c r="BE608" s="37"/>
      <c r="BF608" s="37"/>
      <c r="BG608" s="37"/>
      <c r="BH608" s="37"/>
      <c r="BI608" s="37"/>
    </row>
    <row r="609" spans="1:61" x14ac:dyDescent="0.2">
      <c r="A609" s="46">
        <v>599</v>
      </c>
      <c r="B609" s="13" t="s">
        <v>266</v>
      </c>
      <c r="C609" s="13" t="s">
        <v>439</v>
      </c>
      <c r="D609" s="13" t="s">
        <v>438</v>
      </c>
      <c r="E609" s="13" t="s">
        <v>1911</v>
      </c>
      <c r="F609" s="13" t="s">
        <v>197</v>
      </c>
      <c r="G609" s="13" t="s">
        <v>111</v>
      </c>
      <c r="H609" s="16">
        <v>43969</v>
      </c>
      <c r="I609" s="16">
        <v>43971</v>
      </c>
      <c r="J609" s="22">
        <v>462.45</v>
      </c>
      <c r="K609" s="22">
        <v>73.91</v>
      </c>
      <c r="L609" s="22" t="s">
        <v>1912</v>
      </c>
      <c r="M609" s="26" t="s">
        <v>98</v>
      </c>
      <c r="N609" s="13" t="s">
        <v>230</v>
      </c>
      <c r="O609" s="13" t="s">
        <v>271</v>
      </c>
      <c r="P609" s="13" t="s">
        <v>60</v>
      </c>
      <c r="Q609" s="13" t="s">
        <v>46</v>
      </c>
      <c r="R609" s="13" t="s">
        <v>270</v>
      </c>
      <c r="S609" s="13" t="s">
        <v>1913</v>
      </c>
      <c r="T609" s="13" t="s">
        <v>1914</v>
      </c>
      <c r="U609" s="13"/>
      <c r="V609" s="13"/>
      <c r="W609" s="13"/>
      <c r="X609" s="14"/>
      <c r="AL609" s="14">
        <v>73.91</v>
      </c>
      <c r="AN609" s="7" t="s">
        <v>146</v>
      </c>
      <c r="AO609" s="21">
        <f t="shared" si="28"/>
        <v>73.91</v>
      </c>
      <c r="AP609" s="7">
        <f t="shared" si="29"/>
        <v>0</v>
      </c>
      <c r="AQ609" s="31" t="str">
        <f t="shared" si="30"/>
        <v>Complete - With Adjustment</v>
      </c>
      <c r="AS609" s="37"/>
      <c r="AT609" s="37"/>
      <c r="AU609" s="37"/>
      <c r="AV609" s="37"/>
      <c r="AW609" s="37"/>
      <c r="AX609" s="37"/>
      <c r="AY609" s="37"/>
      <c r="AZ609" s="37"/>
      <c r="BA609" s="37"/>
      <c r="BB609" s="37"/>
      <c r="BC609" s="37"/>
      <c r="BD609" s="37"/>
      <c r="BE609" s="37"/>
      <c r="BF609" s="37"/>
      <c r="BG609" s="37"/>
      <c r="BH609" s="37"/>
      <c r="BI609" s="37"/>
    </row>
    <row r="610" spans="1:61" x14ac:dyDescent="0.2">
      <c r="A610" s="46">
        <v>600</v>
      </c>
      <c r="B610" s="13" t="s">
        <v>266</v>
      </c>
      <c r="C610" s="13" t="s">
        <v>439</v>
      </c>
      <c r="D610" s="13" t="s">
        <v>438</v>
      </c>
      <c r="E610" s="13" t="s">
        <v>1911</v>
      </c>
      <c r="F610" s="13" t="s">
        <v>197</v>
      </c>
      <c r="G610" s="13" t="s">
        <v>111</v>
      </c>
      <c r="H610" s="16">
        <v>43969</v>
      </c>
      <c r="I610" s="16">
        <v>43971</v>
      </c>
      <c r="J610" s="22">
        <v>462.45</v>
      </c>
      <c r="K610" s="22">
        <v>72.459999999999994</v>
      </c>
      <c r="L610" s="22" t="s">
        <v>1912</v>
      </c>
      <c r="M610" s="26" t="s">
        <v>98</v>
      </c>
      <c r="N610" s="13" t="s">
        <v>230</v>
      </c>
      <c r="O610" s="13" t="s">
        <v>271</v>
      </c>
      <c r="P610" s="13" t="s">
        <v>60</v>
      </c>
      <c r="Q610" s="13" t="s">
        <v>46</v>
      </c>
      <c r="R610" s="13" t="s">
        <v>270</v>
      </c>
      <c r="S610" s="13" t="s">
        <v>1913</v>
      </c>
      <c r="T610" s="13" t="s">
        <v>1915</v>
      </c>
      <c r="U610" s="13"/>
      <c r="V610" s="13"/>
      <c r="W610" s="13"/>
      <c r="X610" s="14"/>
      <c r="AL610" s="14">
        <v>72.459999999999994</v>
      </c>
      <c r="AN610" s="7" t="s">
        <v>146</v>
      </c>
      <c r="AO610" s="21">
        <f t="shared" si="28"/>
        <v>72.459999999999994</v>
      </c>
      <c r="AP610" s="7">
        <f t="shared" si="29"/>
        <v>0</v>
      </c>
      <c r="AQ610" s="31" t="str">
        <f t="shared" si="30"/>
        <v>Complete - With Adjustment</v>
      </c>
      <c r="AS610" s="37"/>
      <c r="AT610" s="37"/>
      <c r="AU610" s="37"/>
      <c r="AV610" s="37"/>
      <c r="AW610" s="37"/>
      <c r="AX610" s="37"/>
      <c r="AY610" s="37"/>
      <c r="AZ610" s="37"/>
      <c r="BA610" s="37"/>
      <c r="BB610" s="37"/>
      <c r="BC610" s="37"/>
      <c r="BD610" s="37"/>
      <c r="BE610" s="37"/>
      <c r="BF610" s="37"/>
      <c r="BG610" s="37"/>
      <c r="BH610" s="37"/>
      <c r="BI610" s="37"/>
    </row>
    <row r="611" spans="1:61" x14ac:dyDescent="0.2">
      <c r="A611" s="46">
        <v>601</v>
      </c>
      <c r="B611" s="13" t="s">
        <v>266</v>
      </c>
      <c r="C611" s="13" t="s">
        <v>439</v>
      </c>
      <c r="D611" s="13" t="s">
        <v>438</v>
      </c>
      <c r="E611" s="13" t="s">
        <v>1911</v>
      </c>
      <c r="F611" s="13" t="s">
        <v>197</v>
      </c>
      <c r="G611" s="13" t="s">
        <v>111</v>
      </c>
      <c r="H611" s="16">
        <v>43969</v>
      </c>
      <c r="I611" s="16">
        <v>43971</v>
      </c>
      <c r="J611" s="22">
        <v>462.45</v>
      </c>
      <c r="K611" s="22">
        <v>64.400000000000006</v>
      </c>
      <c r="L611" s="22" t="s">
        <v>1912</v>
      </c>
      <c r="M611" s="26" t="s">
        <v>98</v>
      </c>
      <c r="N611" s="13" t="s">
        <v>230</v>
      </c>
      <c r="O611" s="13" t="s">
        <v>271</v>
      </c>
      <c r="P611" s="13" t="s">
        <v>60</v>
      </c>
      <c r="Q611" s="13" t="s">
        <v>46</v>
      </c>
      <c r="R611" s="13" t="s">
        <v>270</v>
      </c>
      <c r="S611" s="13" t="s">
        <v>1913</v>
      </c>
      <c r="T611" s="13" t="s">
        <v>1916</v>
      </c>
      <c r="U611" s="13"/>
      <c r="V611" s="13"/>
      <c r="W611" s="13"/>
      <c r="X611" s="14"/>
      <c r="AL611" s="14">
        <v>64.400000000000006</v>
      </c>
      <c r="AN611" s="7" t="s">
        <v>146</v>
      </c>
      <c r="AO611" s="21">
        <f t="shared" si="28"/>
        <v>64.400000000000006</v>
      </c>
      <c r="AP611" s="7">
        <f t="shared" si="29"/>
        <v>0</v>
      </c>
      <c r="AQ611" s="31" t="str">
        <f t="shared" si="30"/>
        <v>Complete - With Adjustment</v>
      </c>
      <c r="AS611" s="37"/>
      <c r="AT611" s="37"/>
      <c r="AU611" s="37"/>
      <c r="AV611" s="37"/>
      <c r="AW611" s="37"/>
      <c r="AX611" s="37"/>
      <c r="AY611" s="37"/>
      <c r="AZ611" s="37"/>
      <c r="BA611" s="37"/>
      <c r="BB611" s="37"/>
      <c r="BC611" s="37"/>
      <c r="BD611" s="37"/>
      <c r="BE611" s="37"/>
      <c r="BF611" s="37"/>
      <c r="BG611" s="37"/>
      <c r="BH611" s="37"/>
      <c r="BI611" s="37"/>
    </row>
    <row r="612" spans="1:61" x14ac:dyDescent="0.2">
      <c r="A612" s="46">
        <v>602</v>
      </c>
      <c r="B612" s="13" t="s">
        <v>266</v>
      </c>
      <c r="C612" s="13" t="s">
        <v>439</v>
      </c>
      <c r="D612" s="13" t="s">
        <v>438</v>
      </c>
      <c r="E612" s="13" t="s">
        <v>1911</v>
      </c>
      <c r="F612" s="13" t="s">
        <v>197</v>
      </c>
      <c r="G612" s="13" t="s">
        <v>111</v>
      </c>
      <c r="H612" s="16">
        <v>43969</v>
      </c>
      <c r="I612" s="16">
        <v>43971</v>
      </c>
      <c r="J612" s="22">
        <v>462.45</v>
      </c>
      <c r="K612" s="22">
        <v>63.37</v>
      </c>
      <c r="L612" s="22" t="s">
        <v>1912</v>
      </c>
      <c r="M612" s="26" t="s">
        <v>98</v>
      </c>
      <c r="N612" s="13" t="s">
        <v>230</v>
      </c>
      <c r="O612" s="13" t="s">
        <v>271</v>
      </c>
      <c r="P612" s="13" t="s">
        <v>60</v>
      </c>
      <c r="Q612" s="13" t="s">
        <v>46</v>
      </c>
      <c r="R612" s="13" t="s">
        <v>270</v>
      </c>
      <c r="S612" s="13" t="s">
        <v>1913</v>
      </c>
      <c r="T612" s="13" t="s">
        <v>1917</v>
      </c>
      <c r="U612" s="13"/>
      <c r="V612" s="13"/>
      <c r="W612" s="13"/>
      <c r="X612" s="14"/>
      <c r="AL612" s="14">
        <v>63.37</v>
      </c>
      <c r="AN612" s="7" t="s">
        <v>146</v>
      </c>
      <c r="AO612" s="21">
        <f t="shared" si="28"/>
        <v>63.37</v>
      </c>
      <c r="AP612" s="7">
        <f t="shared" si="29"/>
        <v>0</v>
      </c>
      <c r="AQ612" s="31" t="str">
        <f t="shared" si="30"/>
        <v>Complete - With Adjustment</v>
      </c>
      <c r="AS612" s="37"/>
      <c r="AT612" s="37"/>
      <c r="AU612" s="37"/>
      <c r="AV612" s="37"/>
      <c r="AW612" s="37"/>
      <c r="AX612" s="37"/>
      <c r="AY612" s="37"/>
      <c r="AZ612" s="37"/>
      <c r="BA612" s="37"/>
      <c r="BB612" s="37"/>
      <c r="BC612" s="37"/>
      <c r="BD612" s="37"/>
      <c r="BE612" s="37"/>
      <c r="BF612" s="37"/>
      <c r="BG612" s="37"/>
      <c r="BH612" s="37"/>
      <c r="BI612" s="37"/>
    </row>
    <row r="613" spans="1:61" x14ac:dyDescent="0.2">
      <c r="A613" s="46">
        <v>603</v>
      </c>
      <c r="B613" s="13" t="s">
        <v>266</v>
      </c>
      <c r="C613" s="13" t="s">
        <v>439</v>
      </c>
      <c r="D613" s="13" t="s">
        <v>438</v>
      </c>
      <c r="E613" s="13" t="s">
        <v>1911</v>
      </c>
      <c r="F613" s="13" t="s">
        <v>197</v>
      </c>
      <c r="G613" s="13" t="s">
        <v>111</v>
      </c>
      <c r="H613" s="16">
        <v>43969</v>
      </c>
      <c r="I613" s="16">
        <v>43971</v>
      </c>
      <c r="J613" s="22">
        <v>462.45</v>
      </c>
      <c r="K613" s="22">
        <v>62.5</v>
      </c>
      <c r="L613" s="22" t="s">
        <v>1912</v>
      </c>
      <c r="M613" s="26" t="s">
        <v>98</v>
      </c>
      <c r="N613" s="13" t="s">
        <v>230</v>
      </c>
      <c r="O613" s="13" t="s">
        <v>271</v>
      </c>
      <c r="P613" s="13" t="s">
        <v>60</v>
      </c>
      <c r="Q613" s="13" t="s">
        <v>46</v>
      </c>
      <c r="R613" s="13" t="s">
        <v>270</v>
      </c>
      <c r="S613" s="13" t="s">
        <v>1913</v>
      </c>
      <c r="T613" s="13" t="s">
        <v>1918</v>
      </c>
      <c r="U613" s="13"/>
      <c r="V613" s="13"/>
      <c r="W613" s="13"/>
      <c r="X613" s="14"/>
      <c r="AL613" s="14">
        <v>62.5</v>
      </c>
      <c r="AN613" s="7" t="s">
        <v>146</v>
      </c>
      <c r="AO613" s="21">
        <f t="shared" si="28"/>
        <v>62.5</v>
      </c>
      <c r="AP613" s="7">
        <f t="shared" si="29"/>
        <v>0</v>
      </c>
      <c r="AQ613" s="31" t="str">
        <f t="shared" si="30"/>
        <v>Complete - With Adjustment</v>
      </c>
      <c r="AS613" s="37"/>
      <c r="AT613" s="37"/>
      <c r="AU613" s="37"/>
      <c r="AV613" s="37"/>
      <c r="AW613" s="37"/>
      <c r="AX613" s="37"/>
      <c r="AY613" s="37"/>
      <c r="AZ613" s="37"/>
      <c r="BA613" s="37"/>
      <c r="BB613" s="37"/>
      <c r="BC613" s="37"/>
      <c r="BD613" s="37"/>
      <c r="BE613" s="37"/>
      <c r="BF613" s="37"/>
      <c r="BG613" s="37"/>
      <c r="BH613" s="37"/>
      <c r="BI613" s="37"/>
    </row>
    <row r="614" spans="1:61" x14ac:dyDescent="0.2">
      <c r="A614" s="46">
        <v>604</v>
      </c>
      <c r="B614" s="13" t="s">
        <v>266</v>
      </c>
      <c r="C614" s="13" t="s">
        <v>439</v>
      </c>
      <c r="D614" s="13" t="s">
        <v>438</v>
      </c>
      <c r="E614" s="13" t="s">
        <v>1911</v>
      </c>
      <c r="F614" s="13" t="s">
        <v>197</v>
      </c>
      <c r="G614" s="13" t="s">
        <v>111</v>
      </c>
      <c r="H614" s="16">
        <v>43969</v>
      </c>
      <c r="I614" s="16">
        <v>43971</v>
      </c>
      <c r="J614" s="22">
        <v>462.45</v>
      </c>
      <c r="K614" s="22">
        <v>71.84</v>
      </c>
      <c r="L614" s="22" t="s">
        <v>1912</v>
      </c>
      <c r="M614" s="26" t="s">
        <v>98</v>
      </c>
      <c r="N614" s="13" t="s">
        <v>230</v>
      </c>
      <c r="O614" s="13" t="s">
        <v>271</v>
      </c>
      <c r="P614" s="13" t="s">
        <v>60</v>
      </c>
      <c r="Q614" s="13" t="s">
        <v>46</v>
      </c>
      <c r="R614" s="13" t="s">
        <v>270</v>
      </c>
      <c r="S614" s="13" t="s">
        <v>1913</v>
      </c>
      <c r="T614" s="13" t="s">
        <v>1919</v>
      </c>
      <c r="U614" s="13"/>
      <c r="V614" s="13"/>
      <c r="W614" s="13"/>
      <c r="X614" s="14"/>
      <c r="AL614" s="14">
        <v>71.84</v>
      </c>
      <c r="AN614" s="7" t="s">
        <v>146</v>
      </c>
      <c r="AO614" s="21">
        <f t="shared" si="28"/>
        <v>71.84</v>
      </c>
      <c r="AP614" s="7">
        <f t="shared" si="29"/>
        <v>0</v>
      </c>
      <c r="AQ614" s="31" t="str">
        <f t="shared" si="30"/>
        <v>Complete - With Adjustment</v>
      </c>
      <c r="AS614" s="37"/>
      <c r="AT614" s="37"/>
      <c r="AU614" s="37"/>
      <c r="AV614" s="37"/>
      <c r="AW614" s="37"/>
      <c r="AX614" s="37"/>
      <c r="AY614" s="37"/>
      <c r="AZ614" s="37"/>
      <c r="BA614" s="37"/>
      <c r="BB614" s="37"/>
      <c r="BC614" s="37"/>
      <c r="BD614" s="37"/>
      <c r="BE614" s="37"/>
      <c r="BF614" s="37"/>
      <c r="BG614" s="37"/>
      <c r="BH614" s="37"/>
      <c r="BI614" s="37"/>
    </row>
    <row r="615" spans="1:61" x14ac:dyDescent="0.2">
      <c r="A615" s="46">
        <v>605</v>
      </c>
      <c r="B615" s="13" t="s">
        <v>266</v>
      </c>
      <c r="C615" s="13" t="s">
        <v>439</v>
      </c>
      <c r="D615" s="13" t="s">
        <v>438</v>
      </c>
      <c r="E615" s="13" t="s">
        <v>1911</v>
      </c>
      <c r="F615" s="13" t="s">
        <v>197</v>
      </c>
      <c r="G615" s="13" t="s">
        <v>111</v>
      </c>
      <c r="H615" s="16">
        <v>43969</v>
      </c>
      <c r="I615" s="16">
        <v>43971</v>
      </c>
      <c r="J615" s="22">
        <v>462.45</v>
      </c>
      <c r="K615" s="22">
        <v>53.97</v>
      </c>
      <c r="L615" s="22" t="s">
        <v>1912</v>
      </c>
      <c r="M615" s="26" t="s">
        <v>98</v>
      </c>
      <c r="N615" s="13" t="s">
        <v>230</v>
      </c>
      <c r="O615" s="13" t="s">
        <v>271</v>
      </c>
      <c r="P615" s="13" t="s">
        <v>60</v>
      </c>
      <c r="Q615" s="13" t="s">
        <v>46</v>
      </c>
      <c r="R615" s="13" t="s">
        <v>270</v>
      </c>
      <c r="S615" s="13" t="s">
        <v>1913</v>
      </c>
      <c r="T615" s="13" t="s">
        <v>1920</v>
      </c>
      <c r="U615" s="13"/>
      <c r="V615" s="13"/>
      <c r="W615" s="13"/>
      <c r="X615" s="14"/>
      <c r="AN615" s="7" t="s">
        <v>70</v>
      </c>
      <c r="AO615" s="21">
        <f t="shared" si="28"/>
        <v>0</v>
      </c>
      <c r="AP615" s="7">
        <f t="shared" si="29"/>
        <v>53.97</v>
      </c>
      <c r="AQ615" s="31" t="str">
        <f t="shared" si="30"/>
        <v>Complete - No Adjustment</v>
      </c>
      <c r="AS615" s="37"/>
      <c r="AT615" s="37"/>
      <c r="AU615" s="37"/>
      <c r="AV615" s="37"/>
      <c r="AW615" s="37"/>
      <c r="AX615" s="37"/>
      <c r="AY615" s="37"/>
      <c r="AZ615" s="37"/>
      <c r="BA615" s="37"/>
      <c r="BB615" s="37"/>
      <c r="BC615" s="37"/>
      <c r="BD615" s="37"/>
      <c r="BE615" s="37"/>
      <c r="BF615" s="37"/>
      <c r="BG615" s="37"/>
      <c r="BH615" s="37"/>
      <c r="BI615" s="37"/>
    </row>
    <row r="616" spans="1:61" x14ac:dyDescent="0.2">
      <c r="A616" s="46">
        <v>606</v>
      </c>
      <c r="B616" s="13" t="s">
        <v>266</v>
      </c>
      <c r="C616" s="13" t="s">
        <v>443</v>
      </c>
      <c r="D616" s="13" t="s">
        <v>442</v>
      </c>
      <c r="E616" s="13" t="s">
        <v>1921</v>
      </c>
      <c r="F616" s="13" t="s">
        <v>193</v>
      </c>
      <c r="G616" s="13" t="s">
        <v>111</v>
      </c>
      <c r="H616" s="16">
        <v>43970</v>
      </c>
      <c r="I616" s="16">
        <v>43972</v>
      </c>
      <c r="J616" s="22">
        <v>31.13</v>
      </c>
      <c r="K616" s="22">
        <v>17.73</v>
      </c>
      <c r="L616" s="22" t="s">
        <v>1922</v>
      </c>
      <c r="M616" s="26" t="s">
        <v>98</v>
      </c>
      <c r="N616" s="13" t="s">
        <v>230</v>
      </c>
      <c r="O616" s="13" t="s">
        <v>444</v>
      </c>
      <c r="P616" s="13" t="s">
        <v>60</v>
      </c>
      <c r="Q616" s="13" t="s">
        <v>62</v>
      </c>
      <c r="R616" s="13" t="s">
        <v>270</v>
      </c>
      <c r="S616" s="13" t="s">
        <v>1923</v>
      </c>
      <c r="T616" s="13" t="s">
        <v>1924</v>
      </c>
      <c r="U616" s="13"/>
      <c r="V616" s="13"/>
      <c r="W616" s="13"/>
      <c r="X616" s="14"/>
      <c r="AN616" s="7" t="s">
        <v>155</v>
      </c>
      <c r="AO616" s="21">
        <f t="shared" ref="AO616:AO679" si="31">SUM(Y616:AL616)</f>
        <v>0</v>
      </c>
      <c r="AP616" s="7">
        <f t="shared" ref="AP616:AP679" si="32">K616-AO616</f>
        <v>17.73</v>
      </c>
      <c r="AQ616" s="31" t="str">
        <f t="shared" si="30"/>
        <v>Complete - No Adjustment</v>
      </c>
      <c r="AS616" s="37"/>
      <c r="AT616" s="37"/>
      <c r="AU616" s="37"/>
      <c r="AV616" s="37"/>
      <c r="AW616" s="37"/>
      <c r="AX616" s="37"/>
      <c r="AY616" s="37"/>
      <c r="AZ616" s="37"/>
      <c r="BA616" s="37"/>
      <c r="BB616" s="37"/>
      <c r="BC616" s="37"/>
      <c r="BD616" s="37"/>
      <c r="BE616" s="37"/>
      <c r="BF616" s="37"/>
      <c r="BG616" s="37"/>
      <c r="BH616" s="37"/>
      <c r="BI616" s="37"/>
    </row>
    <row r="617" spans="1:61" x14ac:dyDescent="0.2">
      <c r="A617" s="46">
        <v>607</v>
      </c>
      <c r="B617" s="13" t="s">
        <v>266</v>
      </c>
      <c r="C617" s="13" t="s">
        <v>443</v>
      </c>
      <c r="D617" s="13" t="s">
        <v>442</v>
      </c>
      <c r="E617" s="13" t="s">
        <v>1921</v>
      </c>
      <c r="F617" s="13" t="s">
        <v>193</v>
      </c>
      <c r="G617" s="13" t="s">
        <v>111</v>
      </c>
      <c r="H617" s="16">
        <v>43970</v>
      </c>
      <c r="I617" s="16">
        <v>43972</v>
      </c>
      <c r="J617" s="22">
        <v>31.13</v>
      </c>
      <c r="K617" s="22">
        <v>13.4</v>
      </c>
      <c r="L617" s="22" t="s">
        <v>1922</v>
      </c>
      <c r="M617" s="26" t="s">
        <v>98</v>
      </c>
      <c r="N617" s="13" t="s">
        <v>230</v>
      </c>
      <c r="O617" s="13" t="s">
        <v>444</v>
      </c>
      <c r="P617" s="13" t="s">
        <v>60</v>
      </c>
      <c r="Q617" s="13" t="s">
        <v>41</v>
      </c>
      <c r="R617" s="13" t="s">
        <v>270</v>
      </c>
      <c r="S617" s="13" t="s">
        <v>1923</v>
      </c>
      <c r="T617" s="13" t="s">
        <v>1388</v>
      </c>
      <c r="U617" s="13"/>
      <c r="V617" s="13"/>
      <c r="W617" s="13"/>
      <c r="X617" s="14"/>
      <c r="AN617" s="7" t="s">
        <v>155</v>
      </c>
      <c r="AO617" s="21">
        <f t="shared" si="31"/>
        <v>0</v>
      </c>
      <c r="AP617" s="7">
        <f t="shared" si="32"/>
        <v>13.4</v>
      </c>
      <c r="AQ617" s="31" t="str">
        <f t="shared" si="30"/>
        <v>Complete - No Adjustment</v>
      </c>
      <c r="AS617" s="37"/>
      <c r="AT617" s="37"/>
      <c r="AU617" s="37"/>
      <c r="AV617" s="37"/>
      <c r="AW617" s="37"/>
      <c r="AX617" s="37"/>
      <c r="AY617" s="37"/>
      <c r="AZ617" s="37"/>
      <c r="BA617" s="37"/>
      <c r="BB617" s="37"/>
      <c r="BC617" s="37"/>
      <c r="BD617" s="37"/>
      <c r="BE617" s="37"/>
      <c r="BF617" s="37"/>
      <c r="BG617" s="37"/>
      <c r="BH617" s="37"/>
      <c r="BI617" s="37"/>
    </row>
    <row r="618" spans="1:61" x14ac:dyDescent="0.2">
      <c r="A618" s="46">
        <v>608</v>
      </c>
      <c r="B618" s="13" t="s">
        <v>266</v>
      </c>
      <c r="C618" s="13" t="s">
        <v>678</v>
      </c>
      <c r="D618" s="13" t="s">
        <v>677</v>
      </c>
      <c r="E618" s="13" t="s">
        <v>1925</v>
      </c>
      <c r="F618" s="13" t="s">
        <v>198</v>
      </c>
      <c r="G618" s="13" t="s">
        <v>111</v>
      </c>
      <c r="H618" s="16">
        <v>43964</v>
      </c>
      <c r="I618" s="16">
        <v>43970</v>
      </c>
      <c r="J618" s="22">
        <v>517.46</v>
      </c>
      <c r="K618" s="22">
        <v>470</v>
      </c>
      <c r="L618" s="22" t="s">
        <v>1926</v>
      </c>
      <c r="M618" s="26" t="s">
        <v>98</v>
      </c>
      <c r="N618" s="13" t="s">
        <v>230</v>
      </c>
      <c r="O618" s="13" t="s">
        <v>78</v>
      </c>
      <c r="P618" s="13" t="s">
        <v>60</v>
      </c>
      <c r="Q618" s="13" t="s">
        <v>48</v>
      </c>
      <c r="R618" s="13" t="s">
        <v>270</v>
      </c>
      <c r="S618" s="13" t="s">
        <v>1927</v>
      </c>
      <c r="T618" s="13" t="s">
        <v>1928</v>
      </c>
      <c r="U618" s="13"/>
      <c r="V618" s="13"/>
      <c r="W618" s="13"/>
      <c r="X618" s="14"/>
      <c r="AN618" s="7" t="s">
        <v>70</v>
      </c>
      <c r="AO618" s="21">
        <f t="shared" si="31"/>
        <v>0</v>
      </c>
      <c r="AP618" s="7">
        <f t="shared" si="32"/>
        <v>470</v>
      </c>
      <c r="AQ618" s="31" t="str">
        <f t="shared" si="30"/>
        <v>Complete - No Adjustment</v>
      </c>
      <c r="AS618" s="37"/>
      <c r="AT618" s="37"/>
      <c r="AU618" s="37"/>
      <c r="AV618" s="37"/>
      <c r="AW618" s="37"/>
      <c r="AX618" s="37"/>
      <c r="AY618" s="37"/>
      <c r="AZ618" s="37"/>
      <c r="BA618" s="37"/>
      <c r="BB618" s="37"/>
      <c r="BC618" s="37"/>
      <c r="BD618" s="37"/>
      <c r="BE618" s="37"/>
      <c r="BF618" s="37"/>
      <c r="BG618" s="37"/>
      <c r="BH618" s="37"/>
      <c r="BI618" s="37"/>
    </row>
    <row r="619" spans="1:61" x14ac:dyDescent="0.2">
      <c r="A619" s="46">
        <v>609</v>
      </c>
      <c r="B619" s="13" t="s">
        <v>266</v>
      </c>
      <c r="C619" s="13" t="s">
        <v>678</v>
      </c>
      <c r="D619" s="13" t="s">
        <v>677</v>
      </c>
      <c r="E619" s="13" t="s">
        <v>1925</v>
      </c>
      <c r="F619" s="13" t="s">
        <v>198</v>
      </c>
      <c r="G619" s="13" t="s">
        <v>111</v>
      </c>
      <c r="H619" s="16">
        <v>43964</v>
      </c>
      <c r="I619" s="16">
        <v>43970</v>
      </c>
      <c r="J619" s="22">
        <v>517.46</v>
      </c>
      <c r="K619" s="22">
        <v>12.45</v>
      </c>
      <c r="L619" s="22" t="s">
        <v>1926</v>
      </c>
      <c r="M619" s="26" t="s">
        <v>98</v>
      </c>
      <c r="N619" s="13" t="s">
        <v>230</v>
      </c>
      <c r="O619" s="13" t="s">
        <v>78</v>
      </c>
      <c r="P619" s="13" t="s">
        <v>60</v>
      </c>
      <c r="Q619" s="13" t="s">
        <v>41</v>
      </c>
      <c r="R619" s="13" t="s">
        <v>270</v>
      </c>
      <c r="S619" s="13" t="s">
        <v>1927</v>
      </c>
      <c r="T619" s="13" t="s">
        <v>1929</v>
      </c>
      <c r="U619" s="13"/>
      <c r="V619" s="13"/>
      <c r="W619" s="13"/>
      <c r="X619" s="14"/>
      <c r="AN619" s="7" t="s">
        <v>155</v>
      </c>
      <c r="AO619" s="21">
        <f t="shared" si="31"/>
        <v>0</v>
      </c>
      <c r="AP619" s="7">
        <f t="shared" si="32"/>
        <v>12.45</v>
      </c>
      <c r="AQ619" s="31" t="str">
        <f t="shared" si="30"/>
        <v>Complete - No Adjustment</v>
      </c>
      <c r="AS619" s="37"/>
      <c r="AT619" s="37"/>
      <c r="AU619" s="37"/>
      <c r="AV619" s="37"/>
      <c r="AW619" s="37"/>
      <c r="AX619" s="37"/>
      <c r="AY619" s="37"/>
      <c r="AZ619" s="37"/>
      <c r="BA619" s="37"/>
      <c r="BB619" s="37"/>
      <c r="BC619" s="37"/>
      <c r="BD619" s="37"/>
      <c r="BE619" s="37"/>
      <c r="BF619" s="37"/>
      <c r="BG619" s="37"/>
      <c r="BH619" s="37"/>
      <c r="BI619" s="37"/>
    </row>
    <row r="620" spans="1:61" x14ac:dyDescent="0.2">
      <c r="A620" s="46">
        <v>610</v>
      </c>
      <c r="B620" s="13" t="s">
        <v>266</v>
      </c>
      <c r="C620" s="13" t="s">
        <v>678</v>
      </c>
      <c r="D620" s="13" t="s">
        <v>677</v>
      </c>
      <c r="E620" s="13" t="s">
        <v>1925</v>
      </c>
      <c r="F620" s="13" t="s">
        <v>198</v>
      </c>
      <c r="G620" s="13" t="s">
        <v>111</v>
      </c>
      <c r="H620" s="16">
        <v>43964</v>
      </c>
      <c r="I620" s="16">
        <v>43970</v>
      </c>
      <c r="J620" s="22">
        <v>517.46</v>
      </c>
      <c r="K620" s="22">
        <v>35.01</v>
      </c>
      <c r="L620" s="22" t="s">
        <v>1926</v>
      </c>
      <c r="M620" s="26" t="s">
        <v>98</v>
      </c>
      <c r="N620" s="13" t="s">
        <v>230</v>
      </c>
      <c r="O620" s="13" t="s">
        <v>78</v>
      </c>
      <c r="P620" s="13" t="s">
        <v>60</v>
      </c>
      <c r="Q620" s="13" t="s">
        <v>48</v>
      </c>
      <c r="R620" s="13" t="s">
        <v>270</v>
      </c>
      <c r="S620" s="13" t="s">
        <v>1927</v>
      </c>
      <c r="T620" s="13" t="s">
        <v>1930</v>
      </c>
      <c r="U620" s="13"/>
      <c r="V620" s="13"/>
      <c r="W620" s="13"/>
      <c r="X620" s="14"/>
      <c r="AN620" s="7" t="s">
        <v>70</v>
      </c>
      <c r="AO620" s="21">
        <f t="shared" si="31"/>
        <v>0</v>
      </c>
      <c r="AP620" s="7">
        <f t="shared" si="32"/>
        <v>35.01</v>
      </c>
      <c r="AQ620" s="31" t="str">
        <f t="shared" si="30"/>
        <v>Complete - No Adjustment</v>
      </c>
      <c r="AS620" s="37"/>
      <c r="AT620" s="37"/>
      <c r="AU620" s="37"/>
      <c r="AV620" s="37"/>
      <c r="AW620" s="37"/>
      <c r="AX620" s="37"/>
      <c r="AY620" s="37"/>
      <c r="AZ620" s="37"/>
      <c r="BA620" s="37"/>
      <c r="BB620" s="37"/>
      <c r="BC620" s="37"/>
      <c r="BD620" s="37"/>
      <c r="BE620" s="37"/>
      <c r="BF620" s="37"/>
      <c r="BG620" s="37"/>
      <c r="BH620" s="37"/>
      <c r="BI620" s="37"/>
    </row>
    <row r="621" spans="1:61" x14ac:dyDescent="0.2">
      <c r="A621" s="46">
        <v>611</v>
      </c>
      <c r="B621" s="13" t="s">
        <v>266</v>
      </c>
      <c r="C621" s="13" t="s">
        <v>561</v>
      </c>
      <c r="D621" s="13" t="s">
        <v>560</v>
      </c>
      <c r="E621" s="13" t="s">
        <v>1931</v>
      </c>
      <c r="F621" s="13" t="s">
        <v>199</v>
      </c>
      <c r="G621" s="13" t="s">
        <v>111</v>
      </c>
      <c r="H621" s="16">
        <v>43964</v>
      </c>
      <c r="I621" s="16">
        <v>43966</v>
      </c>
      <c r="J621" s="22">
        <v>37.64</v>
      </c>
      <c r="K621" s="22">
        <v>16.239999999999998</v>
      </c>
      <c r="L621" s="22" t="s">
        <v>1932</v>
      </c>
      <c r="M621" s="26" t="s">
        <v>98</v>
      </c>
      <c r="N621" s="13" t="s">
        <v>230</v>
      </c>
      <c r="O621" s="13" t="s">
        <v>281</v>
      </c>
      <c r="P621" s="13" t="s">
        <v>60</v>
      </c>
      <c r="Q621" s="13" t="s">
        <v>41</v>
      </c>
      <c r="R621" s="13" t="s">
        <v>270</v>
      </c>
      <c r="S621" s="13" t="s">
        <v>1933</v>
      </c>
      <c r="T621" s="13" t="s">
        <v>1934</v>
      </c>
      <c r="U621" s="13"/>
      <c r="V621" s="13"/>
      <c r="W621" s="13"/>
      <c r="X621" s="14"/>
      <c r="AL621" s="14">
        <v>16.239999999999998</v>
      </c>
      <c r="AN621" s="7" t="s">
        <v>167</v>
      </c>
      <c r="AO621" s="21">
        <f t="shared" si="31"/>
        <v>16.239999999999998</v>
      </c>
      <c r="AP621" s="7">
        <f t="shared" si="32"/>
        <v>0</v>
      </c>
      <c r="AQ621" s="31" t="str">
        <f t="shared" si="30"/>
        <v>Complete - With Adjustment</v>
      </c>
      <c r="AS621" s="37"/>
      <c r="AT621" s="37"/>
      <c r="AU621" s="37"/>
      <c r="AV621" s="37"/>
      <c r="AW621" s="37"/>
      <c r="AX621" s="37"/>
      <c r="AY621" s="37"/>
      <c r="AZ621" s="37"/>
      <c r="BA621" s="37"/>
      <c r="BB621" s="37"/>
      <c r="BC621" s="37"/>
      <c r="BD621" s="37"/>
      <c r="BE621" s="37"/>
      <c r="BF621" s="37"/>
      <c r="BG621" s="37"/>
      <c r="BH621" s="37"/>
      <c r="BI621" s="37"/>
    </row>
    <row r="622" spans="1:61" x14ac:dyDescent="0.2">
      <c r="A622" s="46">
        <v>612</v>
      </c>
      <c r="B622" s="13" t="s">
        <v>266</v>
      </c>
      <c r="C622" s="13" t="s">
        <v>561</v>
      </c>
      <c r="D622" s="13" t="s">
        <v>560</v>
      </c>
      <c r="E622" s="13" t="s">
        <v>1931</v>
      </c>
      <c r="F622" s="13" t="s">
        <v>199</v>
      </c>
      <c r="G622" s="13" t="s">
        <v>111</v>
      </c>
      <c r="H622" s="16">
        <v>43964</v>
      </c>
      <c r="I622" s="16">
        <v>43966</v>
      </c>
      <c r="J622" s="22">
        <v>37.64</v>
      </c>
      <c r="K622" s="22">
        <v>21.4</v>
      </c>
      <c r="L622" s="22" t="s">
        <v>1932</v>
      </c>
      <c r="M622" s="26" t="s">
        <v>98</v>
      </c>
      <c r="N622" s="13" t="s">
        <v>230</v>
      </c>
      <c r="O622" s="13" t="s">
        <v>281</v>
      </c>
      <c r="P622" s="13" t="s">
        <v>60</v>
      </c>
      <c r="Q622" s="13" t="s">
        <v>41</v>
      </c>
      <c r="R622" s="13" t="s">
        <v>270</v>
      </c>
      <c r="S622" s="13" t="s">
        <v>1933</v>
      </c>
      <c r="T622" s="13" t="s">
        <v>1934</v>
      </c>
      <c r="U622" s="13"/>
      <c r="V622" s="13"/>
      <c r="W622" s="13"/>
      <c r="X622" s="14"/>
      <c r="AN622" s="7" t="s">
        <v>155</v>
      </c>
      <c r="AO622" s="21">
        <f t="shared" si="31"/>
        <v>0</v>
      </c>
      <c r="AP622" s="7">
        <f t="shared" si="32"/>
        <v>21.4</v>
      </c>
      <c r="AQ622" s="31" t="str">
        <f t="shared" si="30"/>
        <v>Complete - No Adjustment</v>
      </c>
      <c r="AS622" s="37"/>
      <c r="AT622" s="37"/>
      <c r="AU622" s="37"/>
      <c r="AV622" s="37"/>
      <c r="AW622" s="37"/>
      <c r="AX622" s="37"/>
      <c r="AY622" s="37"/>
      <c r="AZ622" s="37"/>
      <c r="BA622" s="37"/>
      <c r="BB622" s="37"/>
      <c r="BC622" s="37"/>
      <c r="BD622" s="37"/>
      <c r="BE622" s="37"/>
      <c r="BF622" s="37"/>
      <c r="BG622" s="37"/>
      <c r="BH622" s="37"/>
      <c r="BI622" s="37"/>
    </row>
    <row r="623" spans="1:61" x14ac:dyDescent="0.2">
      <c r="A623" s="46">
        <v>613</v>
      </c>
      <c r="B623" s="13" t="s">
        <v>266</v>
      </c>
      <c r="C623" s="13" t="s">
        <v>446</v>
      </c>
      <c r="D623" s="13" t="s">
        <v>445</v>
      </c>
      <c r="E623" s="13" t="s">
        <v>1935</v>
      </c>
      <c r="F623" s="13" t="s">
        <v>198</v>
      </c>
      <c r="G623" s="13" t="s">
        <v>111</v>
      </c>
      <c r="H623" s="16">
        <v>43966</v>
      </c>
      <c r="I623" s="16">
        <v>43970</v>
      </c>
      <c r="J623" s="22">
        <v>21.27</v>
      </c>
      <c r="K623" s="22">
        <v>21.27</v>
      </c>
      <c r="L623" s="22" t="s">
        <v>1936</v>
      </c>
      <c r="M623" s="26" t="s">
        <v>98</v>
      </c>
      <c r="N623" s="13" t="s">
        <v>230</v>
      </c>
      <c r="O623" s="13" t="s">
        <v>293</v>
      </c>
      <c r="P623" s="13" t="s">
        <v>60</v>
      </c>
      <c r="Q623" s="13" t="s">
        <v>79</v>
      </c>
      <c r="R623" s="13" t="s">
        <v>270</v>
      </c>
      <c r="S623" s="13" t="s">
        <v>1411</v>
      </c>
      <c r="T623" s="13" t="s">
        <v>812</v>
      </c>
      <c r="U623" s="13"/>
      <c r="V623" s="13"/>
      <c r="W623" s="13"/>
      <c r="X623" s="14"/>
      <c r="AN623" s="7" t="s">
        <v>70</v>
      </c>
      <c r="AO623" s="21">
        <f t="shared" si="31"/>
        <v>0</v>
      </c>
      <c r="AP623" s="7">
        <f t="shared" si="32"/>
        <v>21.27</v>
      </c>
      <c r="AQ623" s="31" t="str">
        <f t="shared" si="30"/>
        <v>Complete - No Adjustment</v>
      </c>
      <c r="AS623" s="37"/>
      <c r="AT623" s="37"/>
      <c r="AU623" s="37"/>
      <c r="AV623" s="37"/>
      <c r="AW623" s="37"/>
      <c r="AX623" s="37"/>
      <c r="AY623" s="37"/>
      <c r="AZ623" s="37"/>
      <c r="BA623" s="37"/>
      <c r="BB623" s="37"/>
      <c r="BC623" s="37"/>
      <c r="BD623" s="37"/>
      <c r="BE623" s="37"/>
      <c r="BF623" s="37"/>
      <c r="BG623" s="37"/>
      <c r="BH623" s="37"/>
      <c r="BI623" s="37"/>
    </row>
    <row r="624" spans="1:61" x14ac:dyDescent="0.2">
      <c r="A624" s="46">
        <v>614</v>
      </c>
      <c r="B624" s="13" t="s">
        <v>266</v>
      </c>
      <c r="C624" s="13" t="s">
        <v>563</v>
      </c>
      <c r="D624" s="13" t="s">
        <v>562</v>
      </c>
      <c r="E624" s="13" t="s">
        <v>1937</v>
      </c>
      <c r="F624" s="13" t="s">
        <v>1938</v>
      </c>
      <c r="G624" s="13" t="s">
        <v>111</v>
      </c>
      <c r="H624" s="16">
        <v>43965</v>
      </c>
      <c r="I624" s="16">
        <v>43969</v>
      </c>
      <c r="J624" s="22">
        <v>75</v>
      </c>
      <c r="K624" s="22">
        <v>75</v>
      </c>
      <c r="L624" s="22" t="s">
        <v>1939</v>
      </c>
      <c r="M624" s="26" t="s">
        <v>98</v>
      </c>
      <c r="N624" s="13" t="s">
        <v>230</v>
      </c>
      <c r="O624" s="13" t="s">
        <v>484</v>
      </c>
      <c r="P624" s="13" t="s">
        <v>60</v>
      </c>
      <c r="Q624" s="13" t="s">
        <v>59</v>
      </c>
      <c r="R624" s="13" t="s">
        <v>270</v>
      </c>
      <c r="S624" s="13" t="s">
        <v>1940</v>
      </c>
      <c r="T624" s="13" t="s">
        <v>1941</v>
      </c>
      <c r="U624" s="13"/>
      <c r="V624" s="13"/>
      <c r="W624" s="13"/>
      <c r="X624" s="14"/>
      <c r="AN624" s="7" t="s">
        <v>70</v>
      </c>
      <c r="AO624" s="21">
        <f t="shared" si="31"/>
        <v>0</v>
      </c>
      <c r="AP624" s="7">
        <f t="shared" si="32"/>
        <v>75</v>
      </c>
      <c r="AQ624" s="31" t="str">
        <f t="shared" si="30"/>
        <v>Complete - No Adjustment</v>
      </c>
      <c r="AS624" s="37"/>
      <c r="AT624" s="37"/>
      <c r="AU624" s="37"/>
      <c r="AV624" s="37"/>
      <c r="AW624" s="37"/>
      <c r="AX624" s="37"/>
      <c r="AY624" s="37"/>
      <c r="AZ624" s="37"/>
      <c r="BA624" s="37"/>
      <c r="BB624" s="37"/>
      <c r="BC624" s="37"/>
      <c r="BD624" s="37"/>
      <c r="BE624" s="37"/>
      <c r="BF624" s="37"/>
      <c r="BG624" s="37"/>
      <c r="BH624" s="37"/>
      <c r="BI624" s="37"/>
    </row>
    <row r="625" spans="1:61" x14ac:dyDescent="0.2">
      <c r="A625" s="46">
        <v>615</v>
      </c>
      <c r="B625" s="13" t="s">
        <v>266</v>
      </c>
      <c r="C625" s="13" t="s">
        <v>450</v>
      </c>
      <c r="D625" s="13" t="s">
        <v>449</v>
      </c>
      <c r="E625" s="13" t="s">
        <v>1942</v>
      </c>
      <c r="F625" s="13" t="s">
        <v>186</v>
      </c>
      <c r="G625" s="13" t="s">
        <v>111</v>
      </c>
      <c r="H625" s="16">
        <v>43924</v>
      </c>
      <c r="I625" s="16">
        <v>43955</v>
      </c>
      <c r="J625" s="22">
        <v>90.48</v>
      </c>
      <c r="K625" s="22">
        <v>10.49</v>
      </c>
      <c r="L625" s="22" t="s">
        <v>1943</v>
      </c>
      <c r="M625" s="26" t="s">
        <v>98</v>
      </c>
      <c r="N625" s="13" t="s">
        <v>230</v>
      </c>
      <c r="O625" s="13" t="s">
        <v>451</v>
      </c>
      <c r="P625" s="13" t="s">
        <v>60</v>
      </c>
      <c r="Q625" s="13" t="s">
        <v>41</v>
      </c>
      <c r="R625" s="13" t="s">
        <v>270</v>
      </c>
      <c r="S625" s="13" t="s">
        <v>1944</v>
      </c>
      <c r="T625" s="13" t="s">
        <v>1945</v>
      </c>
      <c r="U625" s="13"/>
      <c r="V625" s="13"/>
      <c r="W625" s="13"/>
      <c r="X625" s="14"/>
      <c r="AL625" s="14">
        <v>10.49</v>
      </c>
      <c r="AN625" s="7" t="s">
        <v>146</v>
      </c>
      <c r="AO625" s="21">
        <f t="shared" si="31"/>
        <v>10.49</v>
      </c>
      <c r="AP625" s="7">
        <f t="shared" si="32"/>
        <v>0</v>
      </c>
      <c r="AQ625" s="31" t="str">
        <f t="shared" si="30"/>
        <v>Complete - With Adjustment</v>
      </c>
      <c r="AS625" s="37"/>
      <c r="AT625" s="37"/>
      <c r="AU625" s="37"/>
      <c r="AV625" s="37"/>
      <c r="AW625" s="37"/>
      <c r="AX625" s="37"/>
      <c r="AY625" s="37"/>
      <c r="AZ625" s="37"/>
      <c r="BA625" s="37"/>
      <c r="BB625" s="37"/>
      <c r="BC625" s="37"/>
      <c r="BD625" s="37"/>
      <c r="BE625" s="37"/>
      <c r="BF625" s="37"/>
      <c r="BG625" s="37"/>
      <c r="BH625" s="37"/>
      <c r="BI625" s="37"/>
    </row>
    <row r="626" spans="1:61" x14ac:dyDescent="0.2">
      <c r="A626" s="46">
        <v>616</v>
      </c>
      <c r="B626" s="13" t="s">
        <v>266</v>
      </c>
      <c r="C626" s="13" t="s">
        <v>450</v>
      </c>
      <c r="D626" s="13" t="s">
        <v>449</v>
      </c>
      <c r="E626" s="13" t="s">
        <v>1942</v>
      </c>
      <c r="F626" s="13" t="s">
        <v>186</v>
      </c>
      <c r="G626" s="13" t="s">
        <v>111</v>
      </c>
      <c r="H626" s="16">
        <v>43924</v>
      </c>
      <c r="I626" s="16">
        <v>43955</v>
      </c>
      <c r="J626" s="22">
        <v>90.48</v>
      </c>
      <c r="K626" s="22">
        <v>79.989999999999995</v>
      </c>
      <c r="L626" s="22" t="s">
        <v>1943</v>
      </c>
      <c r="M626" s="26" t="s">
        <v>98</v>
      </c>
      <c r="N626" s="13" t="s">
        <v>230</v>
      </c>
      <c r="O626" s="13" t="s">
        <v>451</v>
      </c>
      <c r="P626" s="13" t="s">
        <v>60</v>
      </c>
      <c r="Q626" s="13" t="s">
        <v>62</v>
      </c>
      <c r="R626" s="13" t="s">
        <v>270</v>
      </c>
      <c r="S626" s="13" t="s">
        <v>1944</v>
      </c>
      <c r="T626" s="13" t="s">
        <v>1946</v>
      </c>
      <c r="U626" s="13"/>
      <c r="V626" s="13"/>
      <c r="W626" s="13"/>
      <c r="X626" s="14"/>
      <c r="AN626" s="7" t="s">
        <v>70</v>
      </c>
      <c r="AO626" s="21">
        <f t="shared" si="31"/>
        <v>0</v>
      </c>
      <c r="AP626" s="7">
        <f t="shared" si="32"/>
        <v>79.989999999999995</v>
      </c>
      <c r="AQ626" s="31" t="str">
        <f t="shared" si="30"/>
        <v>Complete - No Adjustment</v>
      </c>
      <c r="AS626" s="37"/>
      <c r="AT626" s="37"/>
      <c r="AU626" s="37"/>
      <c r="AV626" s="37"/>
      <c r="AW626" s="37"/>
      <c r="AX626" s="37"/>
      <c r="AY626" s="37"/>
      <c r="AZ626" s="37"/>
      <c r="BA626" s="37"/>
      <c r="BB626" s="37"/>
      <c r="BC626" s="37"/>
      <c r="BD626" s="37"/>
      <c r="BE626" s="37"/>
      <c r="BF626" s="37"/>
      <c r="BG626" s="37"/>
      <c r="BH626" s="37"/>
      <c r="BI626" s="37"/>
    </row>
    <row r="627" spans="1:61" x14ac:dyDescent="0.2">
      <c r="A627" s="46">
        <v>617</v>
      </c>
      <c r="B627" s="13" t="s">
        <v>266</v>
      </c>
      <c r="C627" s="13" t="s">
        <v>253</v>
      </c>
      <c r="D627" s="13" t="s">
        <v>252</v>
      </c>
      <c r="E627" s="13" t="s">
        <v>1947</v>
      </c>
      <c r="F627" s="13" t="s">
        <v>184</v>
      </c>
      <c r="G627" s="13" t="s">
        <v>111</v>
      </c>
      <c r="H627" s="16">
        <v>43958</v>
      </c>
      <c r="I627" s="16">
        <v>43959</v>
      </c>
      <c r="J627" s="22">
        <v>1084.18</v>
      </c>
      <c r="K627" s="22">
        <v>136.16</v>
      </c>
      <c r="L627" s="22" t="s">
        <v>1948</v>
      </c>
      <c r="M627" s="26" t="s">
        <v>98</v>
      </c>
      <c r="N627" s="13" t="s">
        <v>230</v>
      </c>
      <c r="O627" s="13" t="s">
        <v>375</v>
      </c>
      <c r="P627" s="13" t="s">
        <v>60</v>
      </c>
      <c r="Q627" s="13" t="s">
        <v>104</v>
      </c>
      <c r="R627" s="13" t="s">
        <v>270</v>
      </c>
      <c r="S627" s="13" t="s">
        <v>1949</v>
      </c>
      <c r="T627" s="13" t="s">
        <v>1950</v>
      </c>
      <c r="U627" s="13"/>
      <c r="V627" s="13"/>
      <c r="W627" s="13"/>
      <c r="X627" s="14"/>
      <c r="AN627" s="7" t="s">
        <v>155</v>
      </c>
      <c r="AO627" s="21">
        <f t="shared" si="31"/>
        <v>0</v>
      </c>
      <c r="AP627" s="7">
        <f t="shared" si="32"/>
        <v>136.16</v>
      </c>
      <c r="AQ627" s="31" t="str">
        <f t="shared" si="30"/>
        <v>Complete - No Adjustment</v>
      </c>
      <c r="AS627" s="37"/>
      <c r="AT627" s="37"/>
      <c r="AU627" s="37"/>
      <c r="AV627" s="37"/>
      <c r="AW627" s="37"/>
      <c r="AX627" s="37"/>
      <c r="AY627" s="37"/>
      <c r="AZ627" s="37"/>
      <c r="BA627" s="37"/>
      <c r="BB627" s="37"/>
      <c r="BC627" s="37"/>
      <c r="BD627" s="37"/>
      <c r="BE627" s="37"/>
      <c r="BF627" s="37"/>
      <c r="BG627" s="37"/>
      <c r="BH627" s="37"/>
      <c r="BI627" s="37"/>
    </row>
    <row r="628" spans="1:61" x14ac:dyDescent="0.2">
      <c r="A628" s="46">
        <v>618</v>
      </c>
      <c r="B628" s="13" t="s">
        <v>266</v>
      </c>
      <c r="C628" s="13" t="s">
        <v>253</v>
      </c>
      <c r="D628" s="13" t="s">
        <v>252</v>
      </c>
      <c r="E628" s="13" t="s">
        <v>1947</v>
      </c>
      <c r="F628" s="13" t="s">
        <v>184</v>
      </c>
      <c r="G628" s="13" t="s">
        <v>111</v>
      </c>
      <c r="H628" s="16">
        <v>43958</v>
      </c>
      <c r="I628" s="16">
        <v>43959</v>
      </c>
      <c r="J628" s="22">
        <v>1084.18</v>
      </c>
      <c r="K628" s="22">
        <v>135.57</v>
      </c>
      <c r="L628" s="22" t="s">
        <v>1948</v>
      </c>
      <c r="M628" s="26" t="s">
        <v>98</v>
      </c>
      <c r="N628" s="13" t="s">
        <v>230</v>
      </c>
      <c r="O628" s="13" t="s">
        <v>326</v>
      </c>
      <c r="P628" s="13" t="s">
        <v>60</v>
      </c>
      <c r="Q628" s="13" t="s">
        <v>46</v>
      </c>
      <c r="R628" s="13" t="s">
        <v>270</v>
      </c>
      <c r="S628" s="13" t="s">
        <v>1949</v>
      </c>
      <c r="T628" s="13" t="s">
        <v>1951</v>
      </c>
      <c r="U628" s="13"/>
      <c r="V628" s="13"/>
      <c r="W628" s="13"/>
      <c r="X628" s="14"/>
      <c r="AI628" s="53">
        <v>135.57</v>
      </c>
      <c r="AN628" s="7" t="s">
        <v>145</v>
      </c>
      <c r="AO628" s="21">
        <f t="shared" si="31"/>
        <v>135.57</v>
      </c>
      <c r="AP628" s="7">
        <f t="shared" si="32"/>
        <v>0</v>
      </c>
      <c r="AQ628" s="31" t="str">
        <f t="shared" si="30"/>
        <v>Complete - With Adjustment</v>
      </c>
      <c r="AS628" s="37"/>
      <c r="AT628" s="37"/>
      <c r="AU628" s="37"/>
      <c r="AV628" s="37"/>
      <c r="AW628" s="37"/>
      <c r="AX628" s="37"/>
      <c r="AY628" s="37"/>
      <c r="AZ628" s="37"/>
      <c r="BA628" s="37"/>
      <c r="BB628" s="37"/>
      <c r="BC628" s="37"/>
      <c r="BD628" s="37"/>
      <c r="BE628" s="37"/>
      <c r="BF628" s="37"/>
      <c r="BG628" s="37"/>
      <c r="BH628" s="37"/>
      <c r="BI628" s="37"/>
    </row>
    <row r="629" spans="1:61" x14ac:dyDescent="0.2">
      <c r="A629" s="46">
        <v>619</v>
      </c>
      <c r="B629" s="13" t="s">
        <v>266</v>
      </c>
      <c r="C629" s="13" t="s">
        <v>253</v>
      </c>
      <c r="D629" s="13" t="s">
        <v>252</v>
      </c>
      <c r="E629" s="13" t="s">
        <v>1947</v>
      </c>
      <c r="F629" s="13" t="s">
        <v>184</v>
      </c>
      <c r="G629" s="13" t="s">
        <v>111</v>
      </c>
      <c r="H629" s="16">
        <v>43958</v>
      </c>
      <c r="I629" s="16">
        <v>43959</v>
      </c>
      <c r="J629" s="22">
        <v>1084.18</v>
      </c>
      <c r="K629" s="22">
        <v>97.33</v>
      </c>
      <c r="L629" s="22" t="s">
        <v>1948</v>
      </c>
      <c r="M629" s="26" t="s">
        <v>97</v>
      </c>
      <c r="N629" s="13" t="s">
        <v>230</v>
      </c>
      <c r="O629" s="13" t="s">
        <v>326</v>
      </c>
      <c r="P629" s="13" t="s">
        <v>42</v>
      </c>
      <c r="Q629" s="13" t="s">
        <v>57</v>
      </c>
      <c r="R629" s="13" t="s">
        <v>270</v>
      </c>
      <c r="S629" s="13" t="s">
        <v>1949</v>
      </c>
      <c r="T629" s="13" t="s">
        <v>1952</v>
      </c>
      <c r="U629" s="13"/>
      <c r="V629" s="13"/>
      <c r="W629" s="13"/>
      <c r="X629" s="14"/>
      <c r="AN629" s="7" t="s">
        <v>70</v>
      </c>
      <c r="AO629" s="21">
        <f t="shared" si="31"/>
        <v>0</v>
      </c>
      <c r="AP629" s="7">
        <f t="shared" si="32"/>
        <v>97.33</v>
      </c>
      <c r="AQ629" s="31" t="str">
        <f t="shared" si="30"/>
        <v>Complete - No Adjustment</v>
      </c>
      <c r="AS629" s="37"/>
      <c r="AT629" s="37"/>
      <c r="AU629" s="37"/>
      <c r="AV629" s="37"/>
      <c r="AW629" s="37"/>
      <c r="AX629" s="37"/>
      <c r="AY629" s="37"/>
      <c r="AZ629" s="37"/>
      <c r="BA629" s="37"/>
      <c r="BB629" s="37"/>
      <c r="BC629" s="37"/>
      <c r="BD629" s="37"/>
      <c r="BE629" s="37"/>
      <c r="BF629" s="37"/>
      <c r="BG629" s="37"/>
      <c r="BH629" s="37"/>
      <c r="BI629" s="37"/>
    </row>
    <row r="630" spans="1:61" x14ac:dyDescent="0.2">
      <c r="A630" s="46">
        <v>620</v>
      </c>
      <c r="B630" s="13" t="s">
        <v>266</v>
      </c>
      <c r="C630" s="13" t="s">
        <v>253</v>
      </c>
      <c r="D630" s="13" t="s">
        <v>252</v>
      </c>
      <c r="E630" s="13" t="s">
        <v>1947</v>
      </c>
      <c r="F630" s="13" t="s">
        <v>184</v>
      </c>
      <c r="G630" s="13" t="s">
        <v>111</v>
      </c>
      <c r="H630" s="16">
        <v>43958</v>
      </c>
      <c r="I630" s="16">
        <v>43959</v>
      </c>
      <c r="J630" s="22">
        <v>1084.18</v>
      </c>
      <c r="K630" s="22">
        <v>107.46</v>
      </c>
      <c r="L630" s="22" t="s">
        <v>1948</v>
      </c>
      <c r="M630" s="26" t="s">
        <v>98</v>
      </c>
      <c r="N630" s="13" t="s">
        <v>230</v>
      </c>
      <c r="O630" s="13" t="s">
        <v>444</v>
      </c>
      <c r="P630" s="13" t="s">
        <v>60</v>
      </c>
      <c r="Q630" s="13" t="s">
        <v>41</v>
      </c>
      <c r="R630" s="13" t="s">
        <v>270</v>
      </c>
      <c r="S630" s="13" t="s">
        <v>1949</v>
      </c>
      <c r="T630" s="13" t="s">
        <v>773</v>
      </c>
      <c r="U630" s="13"/>
      <c r="V630" s="13"/>
      <c r="W630" s="13"/>
      <c r="X630" s="14"/>
      <c r="AN630" s="7" t="s">
        <v>70</v>
      </c>
      <c r="AO630" s="21">
        <f t="shared" si="31"/>
        <v>0</v>
      </c>
      <c r="AP630" s="7">
        <f t="shared" si="32"/>
        <v>107.46</v>
      </c>
      <c r="AQ630" s="31" t="str">
        <f t="shared" si="30"/>
        <v>Complete - No Adjustment</v>
      </c>
      <c r="AS630" s="37"/>
      <c r="AT630" s="37"/>
      <c r="AU630" s="37"/>
      <c r="AV630" s="37"/>
      <c r="AW630" s="37"/>
      <c r="AX630" s="37"/>
      <c r="AY630" s="37"/>
      <c r="AZ630" s="37"/>
      <c r="BA630" s="37"/>
      <c r="BB630" s="37"/>
      <c r="BC630" s="37"/>
      <c r="BD630" s="37"/>
      <c r="BE630" s="37"/>
      <c r="BF630" s="37"/>
      <c r="BG630" s="37"/>
      <c r="BH630" s="37"/>
      <c r="BI630" s="37"/>
    </row>
    <row r="631" spans="1:61" x14ac:dyDescent="0.2">
      <c r="A631" s="46">
        <v>621</v>
      </c>
      <c r="B631" s="13" t="s">
        <v>266</v>
      </c>
      <c r="C631" s="13" t="s">
        <v>253</v>
      </c>
      <c r="D631" s="13" t="s">
        <v>252</v>
      </c>
      <c r="E631" s="13" t="s">
        <v>1947</v>
      </c>
      <c r="F631" s="13" t="s">
        <v>184</v>
      </c>
      <c r="G631" s="13" t="s">
        <v>111</v>
      </c>
      <c r="H631" s="16">
        <v>43958</v>
      </c>
      <c r="I631" s="16">
        <v>43959</v>
      </c>
      <c r="J631" s="22">
        <v>1084.18</v>
      </c>
      <c r="K631" s="22">
        <v>95.04</v>
      </c>
      <c r="L631" s="22" t="s">
        <v>1948</v>
      </c>
      <c r="M631" s="26" t="s">
        <v>98</v>
      </c>
      <c r="N631" s="13" t="s">
        <v>230</v>
      </c>
      <c r="O631" s="13" t="s">
        <v>375</v>
      </c>
      <c r="P631" s="13" t="s">
        <v>60</v>
      </c>
      <c r="Q631" s="13" t="s">
        <v>41</v>
      </c>
      <c r="R631" s="13" t="s">
        <v>270</v>
      </c>
      <c r="S631" s="13" t="s">
        <v>1949</v>
      </c>
      <c r="T631" s="13" t="s">
        <v>773</v>
      </c>
      <c r="U631" s="13"/>
      <c r="V631" s="13"/>
      <c r="W631" s="13"/>
      <c r="X631" s="14"/>
      <c r="AN631" s="7" t="s">
        <v>70</v>
      </c>
      <c r="AO631" s="21">
        <f t="shared" si="31"/>
        <v>0</v>
      </c>
      <c r="AP631" s="7">
        <f t="shared" si="32"/>
        <v>95.04</v>
      </c>
      <c r="AQ631" s="31" t="str">
        <f t="shared" si="30"/>
        <v>Complete - No Adjustment</v>
      </c>
      <c r="AS631" s="37"/>
      <c r="AT631" s="37"/>
      <c r="AU631" s="37"/>
      <c r="AV631" s="37"/>
      <c r="AW631" s="37"/>
      <c r="AX631" s="37"/>
      <c r="AY631" s="37"/>
      <c r="AZ631" s="37"/>
      <c r="BA631" s="37"/>
      <c r="BB631" s="37"/>
      <c r="BC631" s="37"/>
      <c r="BD631" s="37"/>
      <c r="BE631" s="37"/>
      <c r="BF631" s="37"/>
      <c r="BG631" s="37"/>
      <c r="BH631" s="37"/>
      <c r="BI631" s="37"/>
    </row>
    <row r="632" spans="1:61" x14ac:dyDescent="0.2">
      <c r="A632" s="46">
        <v>622</v>
      </c>
      <c r="B632" s="13" t="s">
        <v>266</v>
      </c>
      <c r="C632" s="13" t="s">
        <v>253</v>
      </c>
      <c r="D632" s="13" t="s">
        <v>252</v>
      </c>
      <c r="E632" s="13" t="s">
        <v>1947</v>
      </c>
      <c r="F632" s="13" t="s">
        <v>184</v>
      </c>
      <c r="G632" s="13" t="s">
        <v>111</v>
      </c>
      <c r="H632" s="16">
        <v>43958</v>
      </c>
      <c r="I632" s="16">
        <v>43959</v>
      </c>
      <c r="J632" s="22">
        <v>1084.18</v>
      </c>
      <c r="K632" s="22">
        <v>86.6</v>
      </c>
      <c r="L632" s="22" t="s">
        <v>1948</v>
      </c>
      <c r="M632" s="26" t="s">
        <v>98</v>
      </c>
      <c r="N632" s="13" t="s">
        <v>230</v>
      </c>
      <c r="O632" s="13" t="s">
        <v>444</v>
      </c>
      <c r="P632" s="13" t="s">
        <v>60</v>
      </c>
      <c r="Q632" s="13" t="s">
        <v>46</v>
      </c>
      <c r="R632" s="13" t="s">
        <v>270</v>
      </c>
      <c r="S632" s="13" t="s">
        <v>1949</v>
      </c>
      <c r="T632" s="13" t="s">
        <v>1953</v>
      </c>
      <c r="U632" s="13"/>
      <c r="V632" s="13"/>
      <c r="W632" s="13"/>
      <c r="X632" s="14"/>
      <c r="AI632" s="53">
        <v>86.6</v>
      </c>
      <c r="AN632" s="7" t="s">
        <v>145</v>
      </c>
      <c r="AO632" s="21">
        <f t="shared" si="31"/>
        <v>86.6</v>
      </c>
      <c r="AP632" s="7">
        <f t="shared" si="32"/>
        <v>0</v>
      </c>
      <c r="AQ632" s="31" t="str">
        <f t="shared" si="30"/>
        <v>Complete - With Adjustment</v>
      </c>
      <c r="AS632" s="37"/>
      <c r="AT632" s="37"/>
      <c r="AU632" s="37"/>
      <c r="AV632" s="37"/>
      <c r="AW632" s="37"/>
      <c r="AX632" s="37"/>
      <c r="AY632" s="37"/>
      <c r="AZ632" s="37"/>
      <c r="BA632" s="37"/>
      <c r="BB632" s="37"/>
      <c r="BC632" s="37"/>
      <c r="BD632" s="37"/>
      <c r="BE632" s="37"/>
      <c r="BF632" s="37"/>
      <c r="BG632" s="37"/>
      <c r="BH632" s="37"/>
      <c r="BI632" s="37"/>
    </row>
    <row r="633" spans="1:61" x14ac:dyDescent="0.2">
      <c r="A633" s="46">
        <v>623</v>
      </c>
      <c r="B633" s="13" t="s">
        <v>266</v>
      </c>
      <c r="C633" s="13" t="s">
        <v>253</v>
      </c>
      <c r="D633" s="13" t="s">
        <v>252</v>
      </c>
      <c r="E633" s="13" t="s">
        <v>1947</v>
      </c>
      <c r="F633" s="13" t="s">
        <v>184</v>
      </c>
      <c r="G633" s="13" t="s">
        <v>111</v>
      </c>
      <c r="H633" s="16">
        <v>43958</v>
      </c>
      <c r="I633" s="16">
        <v>43959</v>
      </c>
      <c r="J633" s="22">
        <v>1084.18</v>
      </c>
      <c r="K633" s="22">
        <v>211.11</v>
      </c>
      <c r="L633" s="22" t="s">
        <v>1948</v>
      </c>
      <c r="M633" s="26" t="s">
        <v>97</v>
      </c>
      <c r="N633" s="13" t="s">
        <v>230</v>
      </c>
      <c r="O633" s="13" t="s">
        <v>326</v>
      </c>
      <c r="P633" s="13" t="s">
        <v>42</v>
      </c>
      <c r="Q633" s="13" t="s">
        <v>57</v>
      </c>
      <c r="R633" s="13" t="s">
        <v>270</v>
      </c>
      <c r="S633" s="13" t="s">
        <v>1949</v>
      </c>
      <c r="T633" s="13" t="s">
        <v>1954</v>
      </c>
      <c r="U633" s="13"/>
      <c r="V633" s="13"/>
      <c r="W633" s="13"/>
      <c r="X633" s="14"/>
      <c r="AN633" s="7" t="s">
        <v>70</v>
      </c>
      <c r="AO633" s="21">
        <f t="shared" si="31"/>
        <v>0</v>
      </c>
      <c r="AP633" s="7">
        <f t="shared" si="32"/>
        <v>211.11</v>
      </c>
      <c r="AQ633" s="31" t="str">
        <f t="shared" si="30"/>
        <v>Complete - No Adjustment</v>
      </c>
      <c r="AS633" s="37"/>
      <c r="AT633" s="37"/>
      <c r="AU633" s="37"/>
      <c r="AV633" s="37"/>
      <c r="AW633" s="37"/>
      <c r="AX633" s="37"/>
      <c r="AY633" s="37"/>
      <c r="AZ633" s="37"/>
      <c r="BA633" s="37"/>
      <c r="BB633" s="37"/>
      <c r="BC633" s="37"/>
      <c r="BD633" s="37"/>
      <c r="BE633" s="37"/>
      <c r="BF633" s="37"/>
      <c r="BG633" s="37"/>
      <c r="BH633" s="37"/>
      <c r="BI633" s="37"/>
    </row>
    <row r="634" spans="1:61" x14ac:dyDescent="0.2">
      <c r="A634" s="46">
        <v>624</v>
      </c>
      <c r="B634" s="13" t="s">
        <v>266</v>
      </c>
      <c r="C634" s="13" t="s">
        <v>253</v>
      </c>
      <c r="D634" s="13" t="s">
        <v>252</v>
      </c>
      <c r="E634" s="13" t="s">
        <v>1947</v>
      </c>
      <c r="F634" s="13" t="s">
        <v>184</v>
      </c>
      <c r="G634" s="13" t="s">
        <v>111</v>
      </c>
      <c r="H634" s="16">
        <v>43958</v>
      </c>
      <c r="I634" s="16">
        <v>43959</v>
      </c>
      <c r="J634" s="22">
        <v>1084.18</v>
      </c>
      <c r="K634" s="22">
        <v>107.45</v>
      </c>
      <c r="L634" s="22" t="s">
        <v>1948</v>
      </c>
      <c r="M634" s="26" t="s">
        <v>98</v>
      </c>
      <c r="N634" s="13" t="s">
        <v>230</v>
      </c>
      <c r="O634" s="13" t="s">
        <v>320</v>
      </c>
      <c r="P634" s="13" t="s">
        <v>60</v>
      </c>
      <c r="Q634" s="13" t="s">
        <v>41</v>
      </c>
      <c r="R634" s="13" t="s">
        <v>270</v>
      </c>
      <c r="S634" s="13" t="s">
        <v>1949</v>
      </c>
      <c r="T634" s="13" t="s">
        <v>773</v>
      </c>
      <c r="U634" s="13"/>
      <c r="V634" s="13"/>
      <c r="W634" s="13"/>
      <c r="X634" s="14"/>
      <c r="AN634" s="7" t="s">
        <v>70</v>
      </c>
      <c r="AO634" s="21">
        <f t="shared" si="31"/>
        <v>0</v>
      </c>
      <c r="AP634" s="7">
        <f t="shared" si="32"/>
        <v>107.45</v>
      </c>
      <c r="AQ634" s="31" t="str">
        <f t="shared" si="30"/>
        <v>Complete - No Adjustment</v>
      </c>
      <c r="AS634" s="37"/>
      <c r="AT634" s="37"/>
      <c r="AU634" s="37"/>
      <c r="AV634" s="37"/>
      <c r="AW634" s="37"/>
      <c r="AX634" s="37"/>
      <c r="AY634" s="37"/>
      <c r="AZ634" s="37"/>
      <c r="BA634" s="37"/>
      <c r="BB634" s="37"/>
      <c r="BC634" s="37"/>
      <c r="BD634" s="37"/>
      <c r="BE634" s="37"/>
      <c r="BF634" s="37"/>
      <c r="BG634" s="37"/>
      <c r="BH634" s="37"/>
      <c r="BI634" s="37"/>
    </row>
    <row r="635" spans="1:61" x14ac:dyDescent="0.2">
      <c r="A635" s="46">
        <v>625</v>
      </c>
      <c r="B635" s="13" t="s">
        <v>266</v>
      </c>
      <c r="C635" s="13" t="s">
        <v>253</v>
      </c>
      <c r="D635" s="13" t="s">
        <v>252</v>
      </c>
      <c r="E635" s="13" t="s">
        <v>1947</v>
      </c>
      <c r="F635" s="13" t="s">
        <v>184</v>
      </c>
      <c r="G635" s="13" t="s">
        <v>111</v>
      </c>
      <c r="H635" s="16">
        <v>43958</v>
      </c>
      <c r="I635" s="16">
        <v>43959</v>
      </c>
      <c r="J635" s="22">
        <v>1084.18</v>
      </c>
      <c r="K635" s="22">
        <v>107.46</v>
      </c>
      <c r="L635" s="22" t="s">
        <v>1948</v>
      </c>
      <c r="M635" s="26" t="s">
        <v>98</v>
      </c>
      <c r="N635" s="13" t="s">
        <v>230</v>
      </c>
      <c r="O635" s="13" t="s">
        <v>383</v>
      </c>
      <c r="P635" s="13" t="s">
        <v>60</v>
      </c>
      <c r="Q635" s="13" t="s">
        <v>41</v>
      </c>
      <c r="R635" s="13" t="s">
        <v>270</v>
      </c>
      <c r="S635" s="13" t="s">
        <v>1949</v>
      </c>
      <c r="T635" s="13" t="s">
        <v>773</v>
      </c>
      <c r="U635" s="13"/>
      <c r="V635" s="13"/>
      <c r="W635" s="13"/>
      <c r="X635" s="14"/>
      <c r="AN635" s="7" t="s">
        <v>70</v>
      </c>
      <c r="AO635" s="21">
        <f t="shared" si="31"/>
        <v>0</v>
      </c>
      <c r="AP635" s="7">
        <f t="shared" si="32"/>
        <v>107.46</v>
      </c>
      <c r="AQ635" s="31" t="str">
        <f t="shared" si="30"/>
        <v>Complete - No Adjustment</v>
      </c>
      <c r="AS635" s="37"/>
      <c r="AT635" s="37"/>
      <c r="AU635" s="37"/>
      <c r="AV635" s="37"/>
      <c r="AW635" s="37"/>
      <c r="AX635" s="37"/>
      <c r="AY635" s="37"/>
      <c r="AZ635" s="37"/>
      <c r="BA635" s="37"/>
      <c r="BB635" s="37"/>
      <c r="BC635" s="37"/>
      <c r="BD635" s="37"/>
      <c r="BE635" s="37"/>
      <c r="BF635" s="37"/>
      <c r="BG635" s="37"/>
      <c r="BH635" s="37"/>
      <c r="BI635" s="37"/>
    </row>
    <row r="636" spans="1:61" x14ac:dyDescent="0.2">
      <c r="A636" s="46">
        <v>626</v>
      </c>
      <c r="B636" s="13" t="s">
        <v>266</v>
      </c>
      <c r="C636" s="13" t="s">
        <v>458</v>
      </c>
      <c r="D636" s="13" t="s">
        <v>457</v>
      </c>
      <c r="E636" s="13" t="s">
        <v>1955</v>
      </c>
      <c r="F636" s="13" t="s">
        <v>200</v>
      </c>
      <c r="G636" s="13" t="s">
        <v>111</v>
      </c>
      <c r="H636" s="16">
        <v>43959</v>
      </c>
      <c r="I636" s="16">
        <v>43963</v>
      </c>
      <c r="J636" s="22">
        <v>19.46</v>
      </c>
      <c r="K636" s="22">
        <v>19.46</v>
      </c>
      <c r="L636" s="22" t="s">
        <v>1956</v>
      </c>
      <c r="M636" s="26" t="s">
        <v>98</v>
      </c>
      <c r="N636" s="13" t="s">
        <v>230</v>
      </c>
      <c r="O636" s="13" t="s">
        <v>281</v>
      </c>
      <c r="P636" s="13" t="s">
        <v>60</v>
      </c>
      <c r="Q636" s="13" t="s">
        <v>41</v>
      </c>
      <c r="R636" s="13" t="s">
        <v>270</v>
      </c>
      <c r="S636" s="13" t="s">
        <v>1436</v>
      </c>
      <c r="T636" s="13" t="s">
        <v>1437</v>
      </c>
      <c r="U636" s="13"/>
      <c r="V636" s="13"/>
      <c r="W636" s="13"/>
      <c r="X636" s="14"/>
      <c r="AN636" s="7" t="s">
        <v>155</v>
      </c>
      <c r="AO636" s="21">
        <f t="shared" si="31"/>
        <v>0</v>
      </c>
      <c r="AP636" s="7">
        <f t="shared" si="32"/>
        <v>19.46</v>
      </c>
      <c r="AQ636" s="31" t="str">
        <f t="shared" si="30"/>
        <v>Complete - No Adjustment</v>
      </c>
      <c r="AS636" s="37"/>
      <c r="AT636" s="37"/>
      <c r="AU636" s="37"/>
      <c r="AV636" s="37"/>
      <c r="AW636" s="37"/>
      <c r="AX636" s="37"/>
      <c r="AY636" s="37"/>
      <c r="AZ636" s="37"/>
      <c r="BA636" s="37"/>
      <c r="BB636" s="37"/>
      <c r="BC636" s="37"/>
      <c r="BD636" s="37"/>
      <c r="BE636" s="37"/>
      <c r="BF636" s="37"/>
      <c r="BG636" s="37"/>
      <c r="BH636" s="37"/>
      <c r="BI636" s="37"/>
    </row>
    <row r="637" spans="1:61" x14ac:dyDescent="0.2">
      <c r="A637" s="46">
        <v>627</v>
      </c>
      <c r="B637" s="13" t="s">
        <v>266</v>
      </c>
      <c r="C637" s="13" t="s">
        <v>458</v>
      </c>
      <c r="D637" s="13" t="s">
        <v>457</v>
      </c>
      <c r="E637" s="13" t="s">
        <v>1957</v>
      </c>
      <c r="F637" s="13" t="s">
        <v>191</v>
      </c>
      <c r="G637" s="13" t="s">
        <v>111</v>
      </c>
      <c r="H637" s="16">
        <v>43963</v>
      </c>
      <c r="I637" s="16">
        <v>43965</v>
      </c>
      <c r="J637" s="22">
        <v>70.349999999999994</v>
      </c>
      <c r="K637" s="22">
        <v>70.349999999999994</v>
      </c>
      <c r="L637" s="22" t="s">
        <v>1958</v>
      </c>
      <c r="M637" s="26" t="s">
        <v>98</v>
      </c>
      <c r="N637" s="13" t="s">
        <v>230</v>
      </c>
      <c r="O637" s="13" t="s">
        <v>281</v>
      </c>
      <c r="P637" s="13" t="s">
        <v>60</v>
      </c>
      <c r="Q637" s="13" t="s">
        <v>104</v>
      </c>
      <c r="R637" s="13" t="s">
        <v>270</v>
      </c>
      <c r="S637" s="13" t="s">
        <v>1959</v>
      </c>
      <c r="T637" s="13" t="s">
        <v>1960</v>
      </c>
      <c r="U637" s="13"/>
      <c r="V637" s="13"/>
      <c r="W637" s="13"/>
      <c r="X637" s="14"/>
      <c r="AN637" s="7" t="s">
        <v>155</v>
      </c>
      <c r="AO637" s="21">
        <f t="shared" si="31"/>
        <v>0</v>
      </c>
      <c r="AP637" s="7">
        <f t="shared" si="32"/>
        <v>70.349999999999994</v>
      </c>
      <c r="AQ637" s="31" t="str">
        <f t="shared" si="30"/>
        <v>Complete - No Adjustment</v>
      </c>
      <c r="AS637" s="37"/>
      <c r="AT637" s="37"/>
      <c r="AU637" s="37"/>
      <c r="AV637" s="37"/>
      <c r="AW637" s="37"/>
      <c r="AX637" s="37"/>
      <c r="AY637" s="37"/>
      <c r="AZ637" s="37"/>
      <c r="BA637" s="37"/>
      <c r="BB637" s="37"/>
      <c r="BC637" s="37"/>
      <c r="BD637" s="37"/>
      <c r="BE637" s="37"/>
      <c r="BF637" s="37"/>
      <c r="BG637" s="37"/>
      <c r="BH637" s="37"/>
      <c r="BI637" s="37"/>
    </row>
    <row r="638" spans="1:61" x14ac:dyDescent="0.2">
      <c r="A638" s="46">
        <v>628</v>
      </c>
      <c r="B638" s="13" t="s">
        <v>266</v>
      </c>
      <c r="C638" s="13" t="s">
        <v>620</v>
      </c>
      <c r="D638" s="13" t="s">
        <v>619</v>
      </c>
      <c r="E638" s="13" t="s">
        <v>1961</v>
      </c>
      <c r="F638" s="13" t="s">
        <v>193</v>
      </c>
      <c r="G638" s="13" t="s">
        <v>111</v>
      </c>
      <c r="H638" s="16">
        <v>43970</v>
      </c>
      <c r="I638" s="16">
        <v>43972</v>
      </c>
      <c r="J638" s="22">
        <v>13.46</v>
      </c>
      <c r="K638" s="22">
        <v>13.46</v>
      </c>
      <c r="L638" s="22" t="s">
        <v>1962</v>
      </c>
      <c r="M638" s="26" t="s">
        <v>98</v>
      </c>
      <c r="N638" s="13" t="s">
        <v>230</v>
      </c>
      <c r="O638" s="13" t="s">
        <v>320</v>
      </c>
      <c r="P638" s="13" t="s">
        <v>60</v>
      </c>
      <c r="Q638" s="13" t="s">
        <v>41</v>
      </c>
      <c r="R638" s="13" t="s">
        <v>270</v>
      </c>
      <c r="S638" s="13" t="s">
        <v>1963</v>
      </c>
      <c r="T638" s="13" t="s">
        <v>1964</v>
      </c>
      <c r="U638" s="13"/>
      <c r="V638" s="13"/>
      <c r="W638" s="13"/>
      <c r="X638" s="14"/>
      <c r="AL638" s="14">
        <v>13.46</v>
      </c>
      <c r="AN638" s="7" t="s">
        <v>146</v>
      </c>
      <c r="AO638" s="21">
        <f t="shared" si="31"/>
        <v>13.46</v>
      </c>
      <c r="AP638" s="7">
        <f t="shared" si="32"/>
        <v>0</v>
      </c>
      <c r="AQ638" s="31" t="str">
        <f t="shared" si="30"/>
        <v>Complete - With Adjustment</v>
      </c>
      <c r="AS638" s="37"/>
      <c r="AT638" s="37"/>
      <c r="AU638" s="37"/>
      <c r="AV638" s="37"/>
      <c r="AW638" s="37"/>
      <c r="AX638" s="37"/>
      <c r="AY638" s="37"/>
      <c r="AZ638" s="37"/>
      <c r="BA638" s="37"/>
      <c r="BB638" s="37"/>
      <c r="BC638" s="37"/>
      <c r="BD638" s="37"/>
      <c r="BE638" s="37"/>
      <c r="BF638" s="37"/>
      <c r="BG638" s="37"/>
      <c r="BH638" s="37"/>
      <c r="BI638" s="37"/>
    </row>
    <row r="639" spans="1:61" x14ac:dyDescent="0.2">
      <c r="A639" s="46">
        <v>629</v>
      </c>
      <c r="B639" s="13" t="s">
        <v>266</v>
      </c>
      <c r="C639" s="13" t="s">
        <v>462</v>
      </c>
      <c r="D639" s="13" t="s">
        <v>461</v>
      </c>
      <c r="E639" s="13" t="s">
        <v>1965</v>
      </c>
      <c r="F639" s="13" t="s">
        <v>186</v>
      </c>
      <c r="G639" s="13" t="s">
        <v>111</v>
      </c>
      <c r="H639" s="16">
        <v>43949</v>
      </c>
      <c r="I639" s="16">
        <v>43955</v>
      </c>
      <c r="J639" s="22">
        <v>9.73</v>
      </c>
      <c r="K639" s="22">
        <v>9.73</v>
      </c>
      <c r="L639" s="22" t="s">
        <v>1966</v>
      </c>
      <c r="M639" s="26" t="s">
        <v>98</v>
      </c>
      <c r="N639" s="13" t="s">
        <v>230</v>
      </c>
      <c r="O639" s="13" t="s">
        <v>288</v>
      </c>
      <c r="P639" s="13" t="s">
        <v>60</v>
      </c>
      <c r="Q639" s="13" t="s">
        <v>41</v>
      </c>
      <c r="R639" s="13" t="s">
        <v>270</v>
      </c>
      <c r="S639" s="13" t="s">
        <v>1967</v>
      </c>
      <c r="T639" s="13" t="s">
        <v>1968</v>
      </c>
      <c r="U639" s="13"/>
      <c r="V639" s="13"/>
      <c r="W639" s="13"/>
      <c r="X639" s="14"/>
      <c r="AN639" s="7" t="s">
        <v>155</v>
      </c>
      <c r="AO639" s="21">
        <f t="shared" si="31"/>
        <v>0</v>
      </c>
      <c r="AP639" s="7">
        <f t="shared" si="32"/>
        <v>9.73</v>
      </c>
      <c r="AQ639" s="31" t="str">
        <f t="shared" si="30"/>
        <v>Complete - No Adjustment</v>
      </c>
      <c r="AS639" s="37"/>
      <c r="AT639" s="37"/>
      <c r="AU639" s="37"/>
      <c r="AV639" s="37"/>
      <c r="AW639" s="37"/>
      <c r="AX639" s="37"/>
      <c r="AY639" s="37"/>
      <c r="AZ639" s="37"/>
      <c r="BA639" s="37"/>
      <c r="BB639" s="37"/>
      <c r="BC639" s="37"/>
      <c r="BD639" s="37"/>
      <c r="BE639" s="37"/>
      <c r="BF639" s="37"/>
      <c r="BG639" s="37"/>
      <c r="BH639" s="37"/>
      <c r="BI639" s="37"/>
    </row>
    <row r="640" spans="1:61" x14ac:dyDescent="0.2">
      <c r="A640" s="46">
        <v>630</v>
      </c>
      <c r="B640" s="13" t="s">
        <v>266</v>
      </c>
      <c r="C640" s="13" t="s">
        <v>462</v>
      </c>
      <c r="D640" s="13" t="s">
        <v>461</v>
      </c>
      <c r="E640" s="13" t="s">
        <v>1969</v>
      </c>
      <c r="F640" s="13" t="s">
        <v>194</v>
      </c>
      <c r="G640" s="13" t="s">
        <v>111</v>
      </c>
      <c r="H640" s="16">
        <v>43963</v>
      </c>
      <c r="I640" s="16">
        <v>43964</v>
      </c>
      <c r="J640" s="22">
        <v>19.239999999999998</v>
      </c>
      <c r="K640" s="22">
        <v>19.239999999999998</v>
      </c>
      <c r="L640" s="22" t="s">
        <v>1970</v>
      </c>
      <c r="M640" s="26" t="s">
        <v>98</v>
      </c>
      <c r="N640" s="13" t="s">
        <v>230</v>
      </c>
      <c r="O640" s="13" t="s">
        <v>288</v>
      </c>
      <c r="P640" s="13" t="s">
        <v>60</v>
      </c>
      <c r="Q640" s="13" t="s">
        <v>41</v>
      </c>
      <c r="R640" s="13" t="s">
        <v>270</v>
      </c>
      <c r="S640" s="13" t="s">
        <v>1971</v>
      </c>
      <c r="T640" s="13" t="s">
        <v>1972</v>
      </c>
      <c r="U640" s="13"/>
      <c r="V640" s="13"/>
      <c r="W640" s="13"/>
      <c r="X640" s="14"/>
      <c r="AN640" s="7" t="s">
        <v>155</v>
      </c>
      <c r="AO640" s="21">
        <f t="shared" si="31"/>
        <v>0</v>
      </c>
      <c r="AP640" s="7">
        <f t="shared" si="32"/>
        <v>19.239999999999998</v>
      </c>
      <c r="AQ640" s="31" t="str">
        <f t="shared" si="30"/>
        <v>Complete - No Adjustment</v>
      </c>
      <c r="AS640" s="37"/>
      <c r="AT640" s="37"/>
      <c r="AU640" s="37"/>
      <c r="AV640" s="37"/>
      <c r="AW640" s="37"/>
      <c r="AX640" s="37"/>
      <c r="AY640" s="37"/>
      <c r="AZ640" s="37"/>
      <c r="BA640" s="37"/>
      <c r="BB640" s="37"/>
      <c r="BC640" s="37"/>
      <c r="BD640" s="37"/>
      <c r="BE640" s="37"/>
      <c r="BF640" s="37"/>
      <c r="BG640" s="37"/>
      <c r="BH640" s="37"/>
      <c r="BI640" s="37"/>
    </row>
    <row r="641" spans="1:61" x14ac:dyDescent="0.2">
      <c r="A641" s="46">
        <v>631</v>
      </c>
      <c r="B641" s="13" t="s">
        <v>266</v>
      </c>
      <c r="C641" s="13" t="s">
        <v>462</v>
      </c>
      <c r="D641" s="13" t="s">
        <v>461</v>
      </c>
      <c r="E641" s="13" t="s">
        <v>1973</v>
      </c>
      <c r="F641" s="13" t="s">
        <v>195</v>
      </c>
      <c r="G641" s="13" t="s">
        <v>111</v>
      </c>
      <c r="H641" s="16">
        <v>43955</v>
      </c>
      <c r="I641" s="16">
        <v>43957</v>
      </c>
      <c r="J641" s="22">
        <v>20.16</v>
      </c>
      <c r="K641" s="22">
        <v>20.16</v>
      </c>
      <c r="L641" s="22" t="s">
        <v>1974</v>
      </c>
      <c r="M641" s="26" t="s">
        <v>98</v>
      </c>
      <c r="N641" s="13" t="s">
        <v>230</v>
      </c>
      <c r="O641" s="13" t="s">
        <v>288</v>
      </c>
      <c r="P641" s="13" t="s">
        <v>60</v>
      </c>
      <c r="Q641" s="13" t="s">
        <v>41</v>
      </c>
      <c r="R641" s="13" t="s">
        <v>270</v>
      </c>
      <c r="S641" s="13" t="s">
        <v>1458</v>
      </c>
      <c r="T641" s="13" t="s">
        <v>1459</v>
      </c>
      <c r="U641" s="13"/>
      <c r="V641" s="13"/>
      <c r="W641" s="13"/>
      <c r="X641" s="14"/>
      <c r="AN641" s="7" t="s">
        <v>155</v>
      </c>
      <c r="AO641" s="21">
        <f t="shared" si="31"/>
        <v>0</v>
      </c>
      <c r="AP641" s="7">
        <f t="shared" si="32"/>
        <v>20.16</v>
      </c>
      <c r="AQ641" s="31" t="str">
        <f t="shared" si="30"/>
        <v>Complete - No Adjustment</v>
      </c>
      <c r="AS641" s="37"/>
      <c r="AT641" s="37"/>
      <c r="AU641" s="37"/>
      <c r="AV641" s="37"/>
      <c r="AW641" s="37"/>
      <c r="AX641" s="37"/>
      <c r="AY641" s="37"/>
      <c r="AZ641" s="37"/>
      <c r="BA641" s="37"/>
      <c r="BB641" s="37"/>
      <c r="BC641" s="37"/>
      <c r="BD641" s="37"/>
      <c r="BE641" s="37"/>
      <c r="BF641" s="37"/>
      <c r="BG641" s="37"/>
      <c r="BH641" s="37"/>
      <c r="BI641" s="37"/>
    </row>
    <row r="642" spans="1:61" x14ac:dyDescent="0.2">
      <c r="A642" s="46">
        <v>632</v>
      </c>
      <c r="B642" s="13" t="s">
        <v>266</v>
      </c>
      <c r="C642" s="13" t="s">
        <v>569</v>
      </c>
      <c r="D642" s="13" t="s">
        <v>849</v>
      </c>
      <c r="E642" s="13" t="s">
        <v>1975</v>
      </c>
      <c r="F642" s="13" t="s">
        <v>185</v>
      </c>
      <c r="G642" s="13" t="s">
        <v>111</v>
      </c>
      <c r="H642" s="16">
        <v>43958</v>
      </c>
      <c r="I642" s="16">
        <v>43973</v>
      </c>
      <c r="J642" s="22">
        <v>150</v>
      </c>
      <c r="K642" s="22">
        <v>150</v>
      </c>
      <c r="L642" s="22" t="s">
        <v>1976</v>
      </c>
      <c r="M642" s="26" t="s">
        <v>98</v>
      </c>
      <c r="N642" s="13" t="s">
        <v>230</v>
      </c>
      <c r="O642" s="13" t="s">
        <v>298</v>
      </c>
      <c r="P642" s="13" t="s">
        <v>60</v>
      </c>
      <c r="Q642" s="13" t="s">
        <v>46</v>
      </c>
      <c r="R642" s="13" t="s">
        <v>270</v>
      </c>
      <c r="S642" s="13" t="s">
        <v>1977</v>
      </c>
      <c r="T642" s="13" t="s">
        <v>1978</v>
      </c>
      <c r="U642" s="13"/>
      <c r="V642" s="13"/>
      <c r="W642" s="13"/>
      <c r="X642" s="14"/>
      <c r="AN642" s="7" t="s">
        <v>70</v>
      </c>
      <c r="AO642" s="21">
        <f t="shared" si="31"/>
        <v>0</v>
      </c>
      <c r="AP642" s="7">
        <f t="shared" si="32"/>
        <v>150</v>
      </c>
      <c r="AQ642" s="31" t="str">
        <f t="shared" si="30"/>
        <v>Complete - No Adjustment</v>
      </c>
      <c r="AS642" s="37"/>
      <c r="AT642" s="37"/>
      <c r="AU642" s="37"/>
      <c r="AV642" s="37"/>
      <c r="AW642" s="37"/>
      <c r="AX642" s="37"/>
      <c r="AY642" s="37"/>
      <c r="AZ642" s="37"/>
      <c r="BA642" s="37"/>
      <c r="BB642" s="37"/>
      <c r="BC642" s="37"/>
      <c r="BD642" s="37"/>
      <c r="BE642" s="37"/>
      <c r="BF642" s="37"/>
      <c r="BG642" s="37"/>
      <c r="BH642" s="37"/>
      <c r="BI642" s="37"/>
    </row>
    <row r="643" spans="1:61" x14ac:dyDescent="0.2">
      <c r="A643" s="46">
        <v>633</v>
      </c>
      <c r="B643" s="13" t="s">
        <v>266</v>
      </c>
      <c r="C643" s="13" t="s">
        <v>157</v>
      </c>
      <c r="D643" s="13" t="s">
        <v>158</v>
      </c>
      <c r="E643" s="13" t="s">
        <v>1979</v>
      </c>
      <c r="F643" s="13" t="s">
        <v>194</v>
      </c>
      <c r="G643" s="13" t="s">
        <v>111</v>
      </c>
      <c r="H643" s="16">
        <v>43962</v>
      </c>
      <c r="I643" s="16">
        <v>43964</v>
      </c>
      <c r="J643" s="22">
        <v>1134.05</v>
      </c>
      <c r="K643" s="22">
        <v>75</v>
      </c>
      <c r="L643" s="22" t="s">
        <v>1980</v>
      </c>
      <c r="M643" s="26" t="s">
        <v>98</v>
      </c>
      <c r="N643" s="13" t="s">
        <v>230</v>
      </c>
      <c r="O643" s="13" t="s">
        <v>362</v>
      </c>
      <c r="P643" s="13" t="s">
        <v>60</v>
      </c>
      <c r="Q643" s="13" t="s">
        <v>59</v>
      </c>
      <c r="R643" s="13" t="s">
        <v>270</v>
      </c>
      <c r="S643" s="13" t="s">
        <v>1981</v>
      </c>
      <c r="T643" s="13" t="s">
        <v>1982</v>
      </c>
      <c r="U643" s="13"/>
      <c r="V643" s="13"/>
      <c r="W643" s="13"/>
      <c r="X643" s="14"/>
      <c r="AN643" s="7" t="s">
        <v>70</v>
      </c>
      <c r="AO643" s="21">
        <f t="shared" si="31"/>
        <v>0</v>
      </c>
      <c r="AP643" s="7">
        <f t="shared" si="32"/>
        <v>75</v>
      </c>
      <c r="AQ643" s="31" t="str">
        <f t="shared" si="30"/>
        <v>Complete - No Adjustment</v>
      </c>
      <c r="AS643" s="37"/>
      <c r="AT643" s="37"/>
      <c r="AU643" s="37"/>
      <c r="AV643" s="37"/>
      <c r="AW643" s="37"/>
      <c r="AX643" s="37"/>
      <c r="AY643" s="37"/>
      <c r="AZ643" s="37"/>
      <c r="BA643" s="37"/>
      <c r="BB643" s="37"/>
      <c r="BC643" s="37"/>
      <c r="BD643" s="37"/>
      <c r="BE643" s="37"/>
      <c r="BF643" s="37"/>
      <c r="BG643" s="37"/>
      <c r="BH643" s="37"/>
      <c r="BI643" s="37"/>
    </row>
    <row r="644" spans="1:61" x14ac:dyDescent="0.2">
      <c r="A644" s="46">
        <v>634</v>
      </c>
      <c r="B644" s="13" t="s">
        <v>266</v>
      </c>
      <c r="C644" s="13" t="s">
        <v>157</v>
      </c>
      <c r="D644" s="13" t="s">
        <v>158</v>
      </c>
      <c r="E644" s="13" t="s">
        <v>1979</v>
      </c>
      <c r="F644" s="13" t="s">
        <v>194</v>
      </c>
      <c r="G644" s="13" t="s">
        <v>111</v>
      </c>
      <c r="H644" s="16">
        <v>43962</v>
      </c>
      <c r="I644" s="16">
        <v>43964</v>
      </c>
      <c r="J644" s="22">
        <v>1134.05</v>
      </c>
      <c r="K644" s="22">
        <v>440</v>
      </c>
      <c r="L644" s="22" t="s">
        <v>1980</v>
      </c>
      <c r="M644" s="26" t="s">
        <v>98</v>
      </c>
      <c r="N644" s="13" t="s">
        <v>230</v>
      </c>
      <c r="O644" s="13" t="s">
        <v>362</v>
      </c>
      <c r="P644" s="13" t="s">
        <v>60</v>
      </c>
      <c r="Q644" s="13" t="s">
        <v>59</v>
      </c>
      <c r="R644" s="13" t="s">
        <v>270</v>
      </c>
      <c r="S644" s="13" t="s">
        <v>1981</v>
      </c>
      <c r="T644" s="13" t="s">
        <v>1983</v>
      </c>
      <c r="U644" s="13"/>
      <c r="V644" s="13"/>
      <c r="W644" s="13"/>
      <c r="X644" s="14"/>
      <c r="AN644" s="7" t="s">
        <v>70</v>
      </c>
      <c r="AO644" s="21">
        <f t="shared" si="31"/>
        <v>0</v>
      </c>
      <c r="AP644" s="7">
        <f t="shared" si="32"/>
        <v>440</v>
      </c>
      <c r="AQ644" s="31" t="str">
        <f t="shared" si="30"/>
        <v>Complete - No Adjustment</v>
      </c>
      <c r="AS644" s="37"/>
      <c r="AT644" s="37"/>
      <c r="AU644" s="37"/>
      <c r="AV644" s="37"/>
      <c r="AW644" s="37"/>
      <c r="AX644" s="37"/>
      <c r="AY644" s="37"/>
      <c r="AZ644" s="37"/>
      <c r="BA644" s="37"/>
      <c r="BB644" s="37"/>
      <c r="BC644" s="37"/>
      <c r="BD644" s="37"/>
      <c r="BE644" s="37"/>
      <c r="BF644" s="37"/>
      <c r="BG644" s="37"/>
      <c r="BH644" s="37"/>
      <c r="BI644" s="37"/>
    </row>
    <row r="645" spans="1:61" x14ac:dyDescent="0.2">
      <c r="A645" s="46">
        <v>635</v>
      </c>
      <c r="B645" s="13" t="s">
        <v>266</v>
      </c>
      <c r="C645" s="13" t="s">
        <v>157</v>
      </c>
      <c r="D645" s="13" t="s">
        <v>158</v>
      </c>
      <c r="E645" s="13" t="s">
        <v>1979</v>
      </c>
      <c r="F645" s="13" t="s">
        <v>194</v>
      </c>
      <c r="G645" s="13" t="s">
        <v>111</v>
      </c>
      <c r="H645" s="16">
        <v>43962</v>
      </c>
      <c r="I645" s="16">
        <v>43964</v>
      </c>
      <c r="J645" s="22">
        <v>1134.05</v>
      </c>
      <c r="K645" s="22">
        <v>85</v>
      </c>
      <c r="L645" s="22" t="s">
        <v>1980</v>
      </c>
      <c r="M645" s="26" t="s">
        <v>98</v>
      </c>
      <c r="N645" s="13" t="s">
        <v>230</v>
      </c>
      <c r="O645" s="13" t="s">
        <v>362</v>
      </c>
      <c r="P645" s="13" t="s">
        <v>60</v>
      </c>
      <c r="Q645" s="13" t="s">
        <v>59</v>
      </c>
      <c r="R645" s="13" t="s">
        <v>270</v>
      </c>
      <c r="S645" s="13" t="s">
        <v>1981</v>
      </c>
      <c r="T645" s="13" t="s">
        <v>1984</v>
      </c>
      <c r="U645" s="13"/>
      <c r="V645" s="13"/>
      <c r="W645" s="13"/>
      <c r="X645" s="14"/>
      <c r="AN645" s="7" t="s">
        <v>70</v>
      </c>
      <c r="AO645" s="21">
        <f t="shared" si="31"/>
        <v>0</v>
      </c>
      <c r="AP645" s="7">
        <f t="shared" si="32"/>
        <v>85</v>
      </c>
      <c r="AQ645" s="31" t="str">
        <f t="shared" si="30"/>
        <v>Complete - No Adjustment</v>
      </c>
      <c r="AS645" s="37"/>
      <c r="AT645" s="37"/>
      <c r="AU645" s="37"/>
      <c r="AV645" s="37"/>
      <c r="AW645" s="37"/>
      <c r="AX645" s="37"/>
      <c r="AY645" s="37"/>
      <c r="AZ645" s="37"/>
      <c r="BA645" s="37"/>
      <c r="BB645" s="37"/>
      <c r="BC645" s="37"/>
      <c r="BD645" s="37"/>
      <c r="BE645" s="37"/>
      <c r="BF645" s="37"/>
      <c r="BG645" s="37"/>
      <c r="BH645" s="37"/>
      <c r="BI645" s="37"/>
    </row>
    <row r="646" spans="1:61" x14ac:dyDescent="0.2">
      <c r="A646" s="46">
        <v>636</v>
      </c>
      <c r="B646" s="13" t="s">
        <v>266</v>
      </c>
      <c r="C646" s="13" t="s">
        <v>157</v>
      </c>
      <c r="D646" s="13" t="s">
        <v>158</v>
      </c>
      <c r="E646" s="13" t="s">
        <v>1979</v>
      </c>
      <c r="F646" s="13" t="s">
        <v>194</v>
      </c>
      <c r="G646" s="13" t="s">
        <v>111</v>
      </c>
      <c r="H646" s="16">
        <v>43962</v>
      </c>
      <c r="I646" s="16">
        <v>43964</v>
      </c>
      <c r="J646" s="22">
        <v>1134.05</v>
      </c>
      <c r="K646" s="22">
        <v>495</v>
      </c>
      <c r="L646" s="22" t="s">
        <v>1980</v>
      </c>
      <c r="M646" s="26" t="s">
        <v>98</v>
      </c>
      <c r="N646" s="13" t="s">
        <v>230</v>
      </c>
      <c r="O646" s="13" t="s">
        <v>362</v>
      </c>
      <c r="P646" s="13" t="s">
        <v>60</v>
      </c>
      <c r="Q646" s="13" t="s">
        <v>59</v>
      </c>
      <c r="R646" s="13" t="s">
        <v>270</v>
      </c>
      <c r="S646" s="13" t="s">
        <v>1981</v>
      </c>
      <c r="T646" s="13" t="s">
        <v>1985</v>
      </c>
      <c r="U646" s="13"/>
      <c r="V646" s="13"/>
      <c r="W646" s="13"/>
      <c r="X646" s="14"/>
      <c r="AN646" s="7" t="s">
        <v>70</v>
      </c>
      <c r="AO646" s="21">
        <f t="shared" si="31"/>
        <v>0</v>
      </c>
      <c r="AP646" s="7">
        <f t="shared" si="32"/>
        <v>495</v>
      </c>
      <c r="AQ646" s="31" t="str">
        <f t="shared" si="30"/>
        <v>Complete - No Adjustment</v>
      </c>
      <c r="AS646" s="37"/>
      <c r="AT646" s="37"/>
      <c r="AU646" s="37"/>
      <c r="AV646" s="37"/>
      <c r="AW646" s="37"/>
      <c r="AX646" s="37"/>
      <c r="AY646" s="37"/>
      <c r="AZ646" s="37"/>
      <c r="BA646" s="37"/>
      <c r="BB646" s="37"/>
      <c r="BC646" s="37"/>
      <c r="BD646" s="37"/>
      <c r="BE646" s="37"/>
      <c r="BF646" s="37"/>
      <c r="BG646" s="37"/>
      <c r="BH646" s="37"/>
      <c r="BI646" s="37"/>
    </row>
    <row r="647" spans="1:61" x14ac:dyDescent="0.2">
      <c r="A647" s="46">
        <v>637</v>
      </c>
      <c r="B647" s="13" t="s">
        <v>266</v>
      </c>
      <c r="C647" s="13" t="s">
        <v>157</v>
      </c>
      <c r="D647" s="13" t="s">
        <v>158</v>
      </c>
      <c r="E647" s="13" t="s">
        <v>1979</v>
      </c>
      <c r="F647" s="13" t="s">
        <v>194</v>
      </c>
      <c r="G647" s="13" t="s">
        <v>111</v>
      </c>
      <c r="H647" s="16">
        <v>43962</v>
      </c>
      <c r="I647" s="16">
        <v>43964</v>
      </c>
      <c r="J647" s="22">
        <v>1134.05</v>
      </c>
      <c r="K647" s="22">
        <v>39.049999999999997</v>
      </c>
      <c r="L647" s="22" t="s">
        <v>1980</v>
      </c>
      <c r="M647" s="26" t="s">
        <v>98</v>
      </c>
      <c r="N647" s="13" t="s">
        <v>230</v>
      </c>
      <c r="O647" s="13" t="s">
        <v>362</v>
      </c>
      <c r="P647" s="13" t="s">
        <v>60</v>
      </c>
      <c r="Q647" s="13" t="s">
        <v>59</v>
      </c>
      <c r="R647" s="13" t="s">
        <v>270</v>
      </c>
      <c r="S647" s="13" t="s">
        <v>1981</v>
      </c>
      <c r="T647" s="13" t="s">
        <v>1986</v>
      </c>
      <c r="U647" s="13"/>
      <c r="V647" s="13"/>
      <c r="W647" s="13"/>
      <c r="X647" s="14"/>
      <c r="AN647" s="7" t="s">
        <v>70</v>
      </c>
      <c r="AO647" s="21">
        <f t="shared" si="31"/>
        <v>0</v>
      </c>
      <c r="AP647" s="7">
        <f t="shared" si="32"/>
        <v>39.049999999999997</v>
      </c>
      <c r="AQ647" s="31" t="str">
        <f t="shared" si="30"/>
        <v>Complete - No Adjustment</v>
      </c>
      <c r="AS647" s="37"/>
      <c r="AT647" s="37"/>
      <c r="AU647" s="37"/>
      <c r="AV647" s="37"/>
      <c r="AW647" s="37"/>
      <c r="AX647" s="37"/>
      <c r="AY647" s="37"/>
      <c r="AZ647" s="37"/>
      <c r="BA647" s="37"/>
      <c r="BB647" s="37"/>
      <c r="BC647" s="37"/>
      <c r="BD647" s="37"/>
      <c r="BE647" s="37"/>
      <c r="BF647" s="37"/>
      <c r="BG647" s="37"/>
      <c r="BH647" s="37"/>
      <c r="BI647" s="37"/>
    </row>
    <row r="648" spans="1:61" x14ac:dyDescent="0.2">
      <c r="A648" s="46">
        <v>638</v>
      </c>
      <c r="B648" s="13" t="s">
        <v>266</v>
      </c>
      <c r="C648" s="13" t="s">
        <v>788</v>
      </c>
      <c r="D648" s="13" t="s">
        <v>787</v>
      </c>
      <c r="E648" s="13" t="s">
        <v>1987</v>
      </c>
      <c r="F648" s="13" t="s">
        <v>199</v>
      </c>
      <c r="G648" s="13" t="s">
        <v>111</v>
      </c>
      <c r="H648" s="16">
        <v>43964</v>
      </c>
      <c r="I648" s="16">
        <v>43966</v>
      </c>
      <c r="J648" s="22">
        <v>37.880000000000003</v>
      </c>
      <c r="K648" s="22">
        <v>37.880000000000003</v>
      </c>
      <c r="L648" s="22" t="s">
        <v>1988</v>
      </c>
      <c r="M648" s="26" t="s">
        <v>98</v>
      </c>
      <c r="N648" s="13" t="s">
        <v>230</v>
      </c>
      <c r="O648" s="13" t="s">
        <v>444</v>
      </c>
      <c r="P648" s="13" t="s">
        <v>60</v>
      </c>
      <c r="Q648" s="13" t="s">
        <v>104</v>
      </c>
      <c r="R648" s="13" t="s">
        <v>270</v>
      </c>
      <c r="S648" s="13" t="s">
        <v>1989</v>
      </c>
      <c r="T648" s="13" t="s">
        <v>1990</v>
      </c>
      <c r="U648" s="13"/>
      <c r="V648" s="13"/>
      <c r="W648" s="13"/>
      <c r="X648" s="14"/>
      <c r="AN648" s="7" t="s">
        <v>155</v>
      </c>
      <c r="AO648" s="21">
        <f t="shared" si="31"/>
        <v>0</v>
      </c>
      <c r="AP648" s="7">
        <f t="shared" si="32"/>
        <v>37.880000000000003</v>
      </c>
      <c r="AQ648" s="31" t="str">
        <f t="shared" si="30"/>
        <v>Complete - No Adjustment</v>
      </c>
      <c r="AS648" s="37"/>
      <c r="AT648" s="37"/>
      <c r="AU648" s="37"/>
      <c r="AV648" s="37"/>
      <c r="AW648" s="37"/>
      <c r="AX648" s="37"/>
      <c r="AY648" s="37"/>
      <c r="AZ648" s="37"/>
      <c r="BA648" s="37"/>
      <c r="BB648" s="37"/>
      <c r="BC648" s="37"/>
      <c r="BD648" s="37"/>
      <c r="BE648" s="37"/>
      <c r="BF648" s="37"/>
      <c r="BG648" s="37"/>
      <c r="BH648" s="37"/>
      <c r="BI648" s="37"/>
    </row>
    <row r="649" spans="1:61" x14ac:dyDescent="0.2">
      <c r="A649" s="46">
        <v>639</v>
      </c>
      <c r="B649" s="13" t="s">
        <v>266</v>
      </c>
      <c r="C649" s="13" t="s">
        <v>571</v>
      </c>
      <c r="D649" s="13" t="s">
        <v>570</v>
      </c>
      <c r="E649" s="13" t="s">
        <v>1991</v>
      </c>
      <c r="F649" s="13" t="s">
        <v>187</v>
      </c>
      <c r="G649" s="13" t="s">
        <v>111</v>
      </c>
      <c r="H649" s="16">
        <v>43944</v>
      </c>
      <c r="I649" s="16">
        <v>43980</v>
      </c>
      <c r="J649" s="22">
        <v>154</v>
      </c>
      <c r="K649" s="22">
        <v>154</v>
      </c>
      <c r="L649" s="22" t="s">
        <v>1992</v>
      </c>
      <c r="M649" s="26" t="s">
        <v>98</v>
      </c>
      <c r="N649" s="13" t="s">
        <v>230</v>
      </c>
      <c r="O649" s="13" t="s">
        <v>404</v>
      </c>
      <c r="P649" s="13" t="s">
        <v>60</v>
      </c>
      <c r="Q649" s="13" t="s">
        <v>59</v>
      </c>
      <c r="R649" s="13" t="s">
        <v>270</v>
      </c>
      <c r="S649" s="13" t="s">
        <v>1993</v>
      </c>
      <c r="T649" s="13" t="s">
        <v>1994</v>
      </c>
      <c r="U649" s="13"/>
      <c r="V649" s="13"/>
      <c r="W649" s="13"/>
      <c r="X649" s="14"/>
      <c r="AN649" s="7" t="s">
        <v>70</v>
      </c>
      <c r="AO649" s="21">
        <f t="shared" si="31"/>
        <v>0</v>
      </c>
      <c r="AP649" s="7">
        <f t="shared" si="32"/>
        <v>154</v>
      </c>
      <c r="AQ649" s="31" t="str">
        <f t="shared" si="30"/>
        <v>Complete - No Adjustment</v>
      </c>
      <c r="AS649" s="37"/>
      <c r="AT649" s="37"/>
      <c r="AU649" s="37"/>
      <c r="AV649" s="37"/>
      <c r="AW649" s="37"/>
      <c r="AX649" s="37"/>
      <c r="AY649" s="37"/>
      <c r="AZ649" s="37"/>
      <c r="BA649" s="37"/>
      <c r="BB649" s="37"/>
      <c r="BC649" s="37"/>
      <c r="BD649" s="37"/>
      <c r="BE649" s="37"/>
      <c r="BF649" s="37"/>
      <c r="BG649" s="37"/>
      <c r="BH649" s="37"/>
      <c r="BI649" s="37"/>
    </row>
    <row r="650" spans="1:61" x14ac:dyDescent="0.2">
      <c r="A650" s="46">
        <v>640</v>
      </c>
      <c r="B650" s="13" t="s">
        <v>266</v>
      </c>
      <c r="C650" s="13" t="s">
        <v>265</v>
      </c>
      <c r="D650" s="13" t="s">
        <v>264</v>
      </c>
      <c r="E650" s="13" t="s">
        <v>1995</v>
      </c>
      <c r="F650" s="13" t="s">
        <v>193</v>
      </c>
      <c r="G650" s="13" t="s">
        <v>111</v>
      </c>
      <c r="H650" s="16">
        <v>43696</v>
      </c>
      <c r="I650" s="16">
        <v>43972</v>
      </c>
      <c r="J650" s="22">
        <v>112</v>
      </c>
      <c r="K650" s="22">
        <v>72</v>
      </c>
      <c r="L650" s="22" t="s">
        <v>1996</v>
      </c>
      <c r="M650" s="26" t="s">
        <v>98</v>
      </c>
      <c r="N650" s="13" t="s">
        <v>230</v>
      </c>
      <c r="O650" s="13" t="s">
        <v>342</v>
      </c>
      <c r="P650" s="13" t="s">
        <v>60</v>
      </c>
      <c r="Q650" s="13" t="s">
        <v>46</v>
      </c>
      <c r="R650" s="13" t="s">
        <v>270</v>
      </c>
      <c r="S650" s="13" t="s">
        <v>1997</v>
      </c>
      <c r="T650" s="13" t="s">
        <v>1998</v>
      </c>
      <c r="U650" s="13"/>
      <c r="V650" s="13"/>
      <c r="W650" s="13"/>
      <c r="X650" s="14"/>
      <c r="AI650" s="53">
        <v>72</v>
      </c>
      <c r="AN650" s="7" t="s">
        <v>145</v>
      </c>
      <c r="AO650" s="21">
        <f t="shared" si="31"/>
        <v>72</v>
      </c>
      <c r="AP650" s="7">
        <f t="shared" si="32"/>
        <v>0</v>
      </c>
      <c r="AQ650" s="31" t="str">
        <f t="shared" si="30"/>
        <v>Complete - With Adjustment</v>
      </c>
      <c r="AS650" s="37"/>
      <c r="AT650" s="37"/>
      <c r="AU650" s="37"/>
      <c r="AV650" s="37"/>
      <c r="AW650" s="37"/>
      <c r="AX650" s="37"/>
      <c r="AY650" s="37"/>
      <c r="AZ650" s="37"/>
      <c r="BA650" s="37"/>
      <c r="BB650" s="37"/>
      <c r="BC650" s="37"/>
      <c r="BD650" s="37"/>
      <c r="BE650" s="37"/>
      <c r="BF650" s="37"/>
      <c r="BG650" s="37"/>
      <c r="BH650" s="37"/>
      <c r="BI650" s="37"/>
    </row>
    <row r="651" spans="1:61" x14ac:dyDescent="0.2">
      <c r="A651" s="46">
        <v>641</v>
      </c>
      <c r="B651" s="13" t="s">
        <v>266</v>
      </c>
      <c r="C651" s="13" t="s">
        <v>265</v>
      </c>
      <c r="D651" s="13" t="s">
        <v>264</v>
      </c>
      <c r="E651" s="13" t="s">
        <v>1995</v>
      </c>
      <c r="F651" s="13" t="s">
        <v>193</v>
      </c>
      <c r="G651" s="13" t="s">
        <v>111</v>
      </c>
      <c r="H651" s="16">
        <v>43696</v>
      </c>
      <c r="I651" s="16">
        <v>43972</v>
      </c>
      <c r="J651" s="22">
        <v>112</v>
      </c>
      <c r="K651" s="22">
        <v>40</v>
      </c>
      <c r="L651" s="22" t="s">
        <v>1996</v>
      </c>
      <c r="M651" s="26" t="s">
        <v>98</v>
      </c>
      <c r="N651" s="13" t="s">
        <v>230</v>
      </c>
      <c r="O651" s="13" t="s">
        <v>342</v>
      </c>
      <c r="P651" s="13" t="s">
        <v>60</v>
      </c>
      <c r="Q651" s="13" t="s">
        <v>41</v>
      </c>
      <c r="R651" s="13" t="s">
        <v>270</v>
      </c>
      <c r="S651" s="13" t="s">
        <v>1997</v>
      </c>
      <c r="T651" s="13" t="s">
        <v>1999</v>
      </c>
      <c r="U651" s="13"/>
      <c r="V651" s="13"/>
      <c r="W651" s="13"/>
      <c r="X651" s="14"/>
      <c r="AN651" s="7" t="s">
        <v>70</v>
      </c>
      <c r="AO651" s="21">
        <f t="shared" si="31"/>
        <v>0</v>
      </c>
      <c r="AP651" s="7">
        <f t="shared" si="32"/>
        <v>40</v>
      </c>
      <c r="AQ651" s="31" t="str">
        <f t="shared" si="30"/>
        <v>Complete - No Adjustment</v>
      </c>
      <c r="AS651" s="37"/>
      <c r="AT651" s="37"/>
      <c r="AU651" s="37"/>
      <c r="AV651" s="37"/>
      <c r="AW651" s="37"/>
      <c r="AX651" s="37"/>
      <c r="AY651" s="37"/>
      <c r="AZ651" s="37"/>
      <c r="BA651" s="37"/>
      <c r="BB651" s="37"/>
      <c r="BC651" s="37"/>
      <c r="BD651" s="37"/>
      <c r="BE651" s="37"/>
      <c r="BF651" s="37"/>
      <c r="BG651" s="37"/>
      <c r="BH651" s="37"/>
      <c r="BI651" s="37"/>
    </row>
    <row r="652" spans="1:61" x14ac:dyDescent="0.2">
      <c r="A652" s="46">
        <v>642</v>
      </c>
      <c r="B652" s="13" t="s">
        <v>266</v>
      </c>
      <c r="C652" s="13" t="s">
        <v>265</v>
      </c>
      <c r="D652" s="13" t="s">
        <v>264</v>
      </c>
      <c r="E652" s="13" t="s">
        <v>2000</v>
      </c>
      <c r="F652" s="13" t="s">
        <v>186</v>
      </c>
      <c r="G652" s="13" t="s">
        <v>111</v>
      </c>
      <c r="H652" s="16">
        <v>43696</v>
      </c>
      <c r="I652" s="16">
        <v>43955</v>
      </c>
      <c r="J652" s="22">
        <v>750.38</v>
      </c>
      <c r="K652" s="22">
        <v>82</v>
      </c>
      <c r="L652" s="22" t="s">
        <v>2001</v>
      </c>
      <c r="M652" s="26" t="s">
        <v>98</v>
      </c>
      <c r="N652" s="13" t="s">
        <v>230</v>
      </c>
      <c r="O652" s="13" t="s">
        <v>342</v>
      </c>
      <c r="P652" s="13" t="s">
        <v>60</v>
      </c>
      <c r="Q652" s="13" t="s">
        <v>46</v>
      </c>
      <c r="R652" s="13" t="s">
        <v>270</v>
      </c>
      <c r="S652" s="13" t="s">
        <v>2002</v>
      </c>
      <c r="T652" s="13" t="s">
        <v>2003</v>
      </c>
      <c r="U652" s="13"/>
      <c r="V652" s="13"/>
      <c r="W652" s="13"/>
      <c r="X652" s="14"/>
      <c r="AI652" s="53">
        <v>82</v>
      </c>
      <c r="AN652" s="7" t="s">
        <v>145</v>
      </c>
      <c r="AO652" s="21">
        <f t="shared" si="31"/>
        <v>82</v>
      </c>
      <c r="AP652" s="7">
        <f t="shared" si="32"/>
        <v>0</v>
      </c>
      <c r="AQ652" s="31" t="str">
        <f t="shared" si="30"/>
        <v>Complete - With Adjustment</v>
      </c>
      <c r="AS652" s="37"/>
      <c r="AT652" s="37"/>
      <c r="AU652" s="37"/>
      <c r="AV652" s="37"/>
      <c r="AW652" s="37"/>
      <c r="AX652" s="37"/>
      <c r="AY652" s="37"/>
      <c r="AZ652" s="37"/>
      <c r="BA652" s="37"/>
      <c r="BB652" s="37"/>
      <c r="BC652" s="37"/>
      <c r="BD652" s="37"/>
      <c r="BE652" s="37"/>
      <c r="BF652" s="37"/>
      <c r="BG652" s="37"/>
      <c r="BH652" s="37"/>
      <c r="BI652" s="37"/>
    </row>
    <row r="653" spans="1:61" x14ac:dyDescent="0.2">
      <c r="A653" s="46">
        <v>643</v>
      </c>
      <c r="B653" s="13" t="s">
        <v>266</v>
      </c>
      <c r="C653" s="13" t="s">
        <v>265</v>
      </c>
      <c r="D653" s="13" t="s">
        <v>264</v>
      </c>
      <c r="E653" s="13" t="s">
        <v>2000</v>
      </c>
      <c r="F653" s="13" t="s">
        <v>186</v>
      </c>
      <c r="G653" s="13" t="s">
        <v>111</v>
      </c>
      <c r="H653" s="16">
        <v>43696</v>
      </c>
      <c r="I653" s="16">
        <v>43955</v>
      </c>
      <c r="J653" s="22">
        <v>750.38</v>
      </c>
      <c r="K653" s="22">
        <v>40</v>
      </c>
      <c r="L653" s="22" t="s">
        <v>2001</v>
      </c>
      <c r="M653" s="26" t="s">
        <v>98</v>
      </c>
      <c r="N653" s="13" t="s">
        <v>230</v>
      </c>
      <c r="O653" s="13" t="s">
        <v>342</v>
      </c>
      <c r="P653" s="13" t="s">
        <v>60</v>
      </c>
      <c r="Q653" s="13" t="s">
        <v>41</v>
      </c>
      <c r="R653" s="13" t="s">
        <v>270</v>
      </c>
      <c r="S653" s="13" t="s">
        <v>2002</v>
      </c>
      <c r="T653" s="13" t="s">
        <v>2004</v>
      </c>
      <c r="U653" s="13"/>
      <c r="V653" s="13"/>
      <c r="W653" s="13"/>
      <c r="X653" s="14"/>
      <c r="AN653" s="7" t="s">
        <v>70</v>
      </c>
      <c r="AO653" s="21">
        <f t="shared" si="31"/>
        <v>0</v>
      </c>
      <c r="AP653" s="7">
        <f t="shared" si="32"/>
        <v>40</v>
      </c>
      <c r="AQ653" s="31" t="str">
        <f t="shared" si="30"/>
        <v>Complete - No Adjustment</v>
      </c>
      <c r="AS653" s="37"/>
      <c r="AT653" s="37"/>
      <c r="AU653" s="37"/>
      <c r="AV653" s="37"/>
      <c r="AW653" s="37"/>
      <c r="AX653" s="37"/>
      <c r="AY653" s="37"/>
      <c r="AZ653" s="37"/>
      <c r="BA653" s="37"/>
      <c r="BB653" s="37"/>
      <c r="BC653" s="37"/>
      <c r="BD653" s="37"/>
      <c r="BE653" s="37"/>
      <c r="BF653" s="37"/>
      <c r="BG653" s="37"/>
      <c r="BH653" s="37"/>
      <c r="BI653" s="37"/>
    </row>
    <row r="654" spans="1:61" x14ac:dyDescent="0.2">
      <c r="A654" s="46">
        <v>644</v>
      </c>
      <c r="B654" s="13" t="s">
        <v>266</v>
      </c>
      <c r="C654" s="13" t="s">
        <v>265</v>
      </c>
      <c r="D654" s="13" t="s">
        <v>264</v>
      </c>
      <c r="E654" s="13" t="s">
        <v>2000</v>
      </c>
      <c r="F654" s="13" t="s">
        <v>186</v>
      </c>
      <c r="G654" s="13" t="s">
        <v>111</v>
      </c>
      <c r="H654" s="16">
        <v>43696</v>
      </c>
      <c r="I654" s="16">
        <v>43955</v>
      </c>
      <c r="J654" s="22">
        <v>750.38</v>
      </c>
      <c r="K654" s="22">
        <v>292.26</v>
      </c>
      <c r="L654" s="22" t="s">
        <v>2001</v>
      </c>
      <c r="M654" s="26" t="s">
        <v>98</v>
      </c>
      <c r="N654" s="13" t="s">
        <v>230</v>
      </c>
      <c r="O654" s="13" t="s">
        <v>342</v>
      </c>
      <c r="P654" s="13" t="s">
        <v>60</v>
      </c>
      <c r="Q654" s="13" t="s">
        <v>65</v>
      </c>
      <c r="R654" s="13" t="s">
        <v>270</v>
      </c>
      <c r="S654" s="13" t="s">
        <v>2002</v>
      </c>
      <c r="T654" s="13" t="s">
        <v>2005</v>
      </c>
      <c r="U654" s="13"/>
      <c r="V654" s="13"/>
      <c r="W654" s="13"/>
      <c r="X654" s="14"/>
      <c r="AN654" s="7" t="s">
        <v>70</v>
      </c>
      <c r="AO654" s="21">
        <f t="shared" si="31"/>
        <v>0</v>
      </c>
      <c r="AP654" s="7">
        <f t="shared" si="32"/>
        <v>292.26</v>
      </c>
      <c r="AQ654" s="31" t="str">
        <f t="shared" si="30"/>
        <v>Complete - No Adjustment</v>
      </c>
      <c r="AS654" s="37"/>
      <c r="AT654" s="37"/>
      <c r="AU654" s="37"/>
      <c r="AV654" s="37"/>
      <c r="AW654" s="37"/>
      <c r="AX654" s="37"/>
      <c r="AY654" s="37"/>
      <c r="AZ654" s="37"/>
      <c r="BA654" s="37"/>
      <c r="BB654" s="37"/>
      <c r="BC654" s="37"/>
      <c r="BD654" s="37"/>
      <c r="BE654" s="37"/>
      <c r="BF654" s="37"/>
      <c r="BG654" s="37"/>
      <c r="BH654" s="37"/>
      <c r="BI654" s="37"/>
    </row>
    <row r="655" spans="1:61" x14ac:dyDescent="0.2">
      <c r="A655" s="46">
        <v>645</v>
      </c>
      <c r="B655" s="13" t="s">
        <v>266</v>
      </c>
      <c r="C655" s="13" t="s">
        <v>265</v>
      </c>
      <c r="D655" s="13" t="s">
        <v>264</v>
      </c>
      <c r="E655" s="13" t="s">
        <v>2000</v>
      </c>
      <c r="F655" s="13" t="s">
        <v>186</v>
      </c>
      <c r="G655" s="13" t="s">
        <v>111</v>
      </c>
      <c r="H655" s="16">
        <v>43696</v>
      </c>
      <c r="I655" s="16">
        <v>43955</v>
      </c>
      <c r="J655" s="22">
        <v>750.38</v>
      </c>
      <c r="K655" s="22">
        <v>269.58</v>
      </c>
      <c r="L655" s="22" t="s">
        <v>2001</v>
      </c>
      <c r="M655" s="26" t="s">
        <v>98</v>
      </c>
      <c r="N655" s="13" t="s">
        <v>230</v>
      </c>
      <c r="O655" s="13" t="s">
        <v>342</v>
      </c>
      <c r="P655" s="13" t="s">
        <v>60</v>
      </c>
      <c r="Q655" s="13" t="s">
        <v>62</v>
      </c>
      <c r="R655" s="13" t="s">
        <v>270</v>
      </c>
      <c r="S655" s="13" t="s">
        <v>2002</v>
      </c>
      <c r="T655" s="13" t="s">
        <v>2006</v>
      </c>
      <c r="U655" s="13"/>
      <c r="V655" s="13"/>
      <c r="W655" s="13"/>
      <c r="X655" s="14"/>
      <c r="AN655" s="7" t="s">
        <v>70</v>
      </c>
      <c r="AO655" s="21">
        <f t="shared" si="31"/>
        <v>0</v>
      </c>
      <c r="AP655" s="7">
        <f t="shared" si="32"/>
        <v>269.58</v>
      </c>
      <c r="AQ655" s="31" t="str">
        <f t="shared" si="30"/>
        <v>Complete - No Adjustment</v>
      </c>
      <c r="AS655" s="37"/>
      <c r="AT655" s="37"/>
      <c r="AU655" s="37"/>
      <c r="AV655" s="37"/>
      <c r="AW655" s="37"/>
      <c r="AX655" s="37"/>
      <c r="AY655" s="37"/>
      <c r="AZ655" s="37"/>
      <c r="BA655" s="37"/>
      <c r="BB655" s="37"/>
      <c r="BC655" s="37"/>
      <c r="BD655" s="37"/>
      <c r="BE655" s="37"/>
      <c r="BF655" s="37"/>
      <c r="BG655" s="37"/>
      <c r="BH655" s="37"/>
      <c r="BI655" s="37"/>
    </row>
    <row r="656" spans="1:61" x14ac:dyDescent="0.2">
      <c r="A656" s="46">
        <v>646</v>
      </c>
      <c r="B656" s="13" t="s">
        <v>266</v>
      </c>
      <c r="C656" s="13" t="s">
        <v>265</v>
      </c>
      <c r="D656" s="13" t="s">
        <v>264</v>
      </c>
      <c r="E656" s="13" t="s">
        <v>2000</v>
      </c>
      <c r="F656" s="13" t="s">
        <v>186</v>
      </c>
      <c r="G656" s="13" t="s">
        <v>111</v>
      </c>
      <c r="H656" s="16">
        <v>43696</v>
      </c>
      <c r="I656" s="16">
        <v>43955</v>
      </c>
      <c r="J656" s="22">
        <v>750.38</v>
      </c>
      <c r="K656" s="22">
        <v>66.540000000000006</v>
      </c>
      <c r="L656" s="22" t="s">
        <v>2001</v>
      </c>
      <c r="M656" s="26" t="s">
        <v>98</v>
      </c>
      <c r="N656" s="13" t="s">
        <v>230</v>
      </c>
      <c r="O656" s="13" t="s">
        <v>342</v>
      </c>
      <c r="P656" s="13" t="s">
        <v>60</v>
      </c>
      <c r="Q656" s="13" t="s">
        <v>62</v>
      </c>
      <c r="R656" s="13" t="s">
        <v>270</v>
      </c>
      <c r="S656" s="13" t="s">
        <v>2002</v>
      </c>
      <c r="T656" s="13" t="s">
        <v>2007</v>
      </c>
      <c r="U656" s="13"/>
      <c r="V656" s="13"/>
      <c r="W656" s="13"/>
      <c r="X656" s="14"/>
      <c r="AN656" s="7" t="s">
        <v>70</v>
      </c>
      <c r="AO656" s="21">
        <f t="shared" si="31"/>
        <v>0</v>
      </c>
      <c r="AP656" s="7">
        <f t="shared" si="32"/>
        <v>66.540000000000006</v>
      </c>
      <c r="AQ656" s="31" t="str">
        <f t="shared" si="30"/>
        <v>Complete - No Adjustment</v>
      </c>
      <c r="AS656" s="37"/>
      <c r="AT656" s="37"/>
      <c r="AU656" s="37"/>
      <c r="AV656" s="37"/>
      <c r="AW656" s="37"/>
      <c r="AX656" s="37"/>
      <c r="AY656" s="37"/>
      <c r="AZ656" s="37"/>
      <c r="BA656" s="37"/>
      <c r="BB656" s="37"/>
      <c r="BC656" s="37"/>
      <c r="BD656" s="37"/>
      <c r="BE656" s="37"/>
      <c r="BF656" s="37"/>
      <c r="BG656" s="37"/>
      <c r="BH656" s="37"/>
      <c r="BI656" s="37"/>
    </row>
    <row r="657" spans="1:61" x14ac:dyDescent="0.2">
      <c r="A657" s="46">
        <v>647</v>
      </c>
      <c r="B657" s="13" t="s">
        <v>266</v>
      </c>
      <c r="C657" s="13" t="s">
        <v>265</v>
      </c>
      <c r="D657" s="13" t="s">
        <v>264</v>
      </c>
      <c r="E657" s="13" t="s">
        <v>2008</v>
      </c>
      <c r="F657" s="13" t="s">
        <v>193</v>
      </c>
      <c r="G657" s="13" t="s">
        <v>111</v>
      </c>
      <c r="H657" s="16">
        <v>43755</v>
      </c>
      <c r="I657" s="16">
        <v>43972</v>
      </c>
      <c r="J657" s="22">
        <v>2216.02</v>
      </c>
      <c r="K657" s="22">
        <v>2216.02</v>
      </c>
      <c r="L657" s="22" t="s">
        <v>2009</v>
      </c>
      <c r="M657" s="26" t="s">
        <v>98</v>
      </c>
      <c r="N657" s="13" t="s">
        <v>230</v>
      </c>
      <c r="O657" s="13" t="s">
        <v>342</v>
      </c>
      <c r="P657" s="13" t="s">
        <v>60</v>
      </c>
      <c r="Q657" s="13" t="s">
        <v>56</v>
      </c>
      <c r="R657" s="13" t="s">
        <v>270</v>
      </c>
      <c r="S657" s="13" t="s">
        <v>2010</v>
      </c>
      <c r="T657" s="13" t="s">
        <v>2011</v>
      </c>
      <c r="U657" s="13"/>
      <c r="V657" s="13"/>
      <c r="W657" s="13"/>
      <c r="X657" s="14"/>
      <c r="AN657" s="7" t="s">
        <v>2012</v>
      </c>
      <c r="AO657" s="21">
        <f t="shared" si="31"/>
        <v>0</v>
      </c>
      <c r="AP657" s="7">
        <f t="shared" si="32"/>
        <v>2216.02</v>
      </c>
      <c r="AQ657" s="31" t="str">
        <f t="shared" si="30"/>
        <v>Complete - No Adjustment</v>
      </c>
      <c r="AS657" s="37"/>
      <c r="AT657" s="37"/>
      <c r="AU657" s="37"/>
      <c r="AV657" s="37"/>
      <c r="AW657" s="37"/>
      <c r="AX657" s="37"/>
      <c r="AY657" s="37"/>
      <c r="AZ657" s="37"/>
      <c r="BA657" s="37"/>
      <c r="BB657" s="37"/>
      <c r="BC657" s="37"/>
      <c r="BD657" s="37"/>
      <c r="BE657" s="37"/>
      <c r="BF657" s="37"/>
      <c r="BG657" s="37"/>
      <c r="BH657" s="37"/>
      <c r="BI657" s="37"/>
    </row>
    <row r="658" spans="1:61" x14ac:dyDescent="0.2">
      <c r="A658" s="46">
        <v>648</v>
      </c>
      <c r="B658" s="13" t="s">
        <v>266</v>
      </c>
      <c r="C658" s="13" t="s">
        <v>476</v>
      </c>
      <c r="D658" s="13" t="s">
        <v>475</v>
      </c>
      <c r="E658" s="13" t="s">
        <v>2013</v>
      </c>
      <c r="F658" s="13" t="s">
        <v>193</v>
      </c>
      <c r="G658" s="13" t="s">
        <v>111</v>
      </c>
      <c r="H658" s="16">
        <v>43969</v>
      </c>
      <c r="I658" s="16">
        <v>43972</v>
      </c>
      <c r="J658" s="22">
        <v>15</v>
      </c>
      <c r="K658" s="22">
        <v>15</v>
      </c>
      <c r="L658" s="22" t="s">
        <v>2014</v>
      </c>
      <c r="M658" s="26" t="s">
        <v>98</v>
      </c>
      <c r="N658" s="13" t="s">
        <v>230</v>
      </c>
      <c r="O658" s="13" t="s">
        <v>320</v>
      </c>
      <c r="P658" s="13" t="s">
        <v>60</v>
      </c>
      <c r="Q658" s="13" t="s">
        <v>41</v>
      </c>
      <c r="R658" s="13" t="s">
        <v>270</v>
      </c>
      <c r="S658" s="13" t="s">
        <v>2015</v>
      </c>
      <c r="T658" s="13" t="s">
        <v>2016</v>
      </c>
      <c r="U658" s="13"/>
      <c r="V658" s="13"/>
      <c r="W658" s="13"/>
      <c r="X658" s="14"/>
      <c r="AL658" s="14">
        <v>15</v>
      </c>
      <c r="AN658" s="7" t="s">
        <v>146</v>
      </c>
      <c r="AO658" s="21">
        <f t="shared" si="31"/>
        <v>15</v>
      </c>
      <c r="AP658" s="7">
        <f t="shared" si="32"/>
        <v>0</v>
      </c>
      <c r="AQ658" s="31" t="str">
        <f t="shared" si="30"/>
        <v>Complete - With Adjustment</v>
      </c>
      <c r="AS658" s="37"/>
      <c r="AT658" s="37"/>
      <c r="AU658" s="37"/>
      <c r="AV658" s="37"/>
      <c r="AW658" s="37"/>
      <c r="AX658" s="37"/>
      <c r="AY658" s="37"/>
      <c r="AZ658" s="37"/>
      <c r="BA658" s="37"/>
      <c r="BB658" s="37"/>
      <c r="BC658" s="37"/>
      <c r="BD658" s="37"/>
      <c r="BE658" s="37"/>
      <c r="BF658" s="37"/>
      <c r="BG658" s="37"/>
      <c r="BH658" s="37"/>
      <c r="BI658" s="37"/>
    </row>
    <row r="659" spans="1:61" x14ac:dyDescent="0.2">
      <c r="A659" s="46">
        <v>649</v>
      </c>
      <c r="B659" s="13" t="s">
        <v>266</v>
      </c>
      <c r="C659" s="13" t="s">
        <v>2017</v>
      </c>
      <c r="D659" s="13" t="s">
        <v>2018</v>
      </c>
      <c r="E659" s="13" t="s">
        <v>2019</v>
      </c>
      <c r="F659" s="13" t="s">
        <v>186</v>
      </c>
      <c r="G659" s="13" t="s">
        <v>111</v>
      </c>
      <c r="H659" s="16">
        <v>43951</v>
      </c>
      <c r="I659" s="16">
        <v>43955</v>
      </c>
      <c r="J659" s="22">
        <v>11.69</v>
      </c>
      <c r="K659" s="22">
        <v>11.69</v>
      </c>
      <c r="L659" s="22" t="s">
        <v>2020</v>
      </c>
      <c r="M659" s="26" t="s">
        <v>98</v>
      </c>
      <c r="N659" s="13" t="s">
        <v>230</v>
      </c>
      <c r="O659" s="13" t="s">
        <v>429</v>
      </c>
      <c r="P659" s="13" t="s">
        <v>60</v>
      </c>
      <c r="Q659" s="13" t="s">
        <v>46</v>
      </c>
      <c r="R659" s="13" t="s">
        <v>270</v>
      </c>
      <c r="S659" s="13" t="s">
        <v>2021</v>
      </c>
      <c r="T659" s="13" t="s">
        <v>2022</v>
      </c>
      <c r="U659" s="13"/>
      <c r="V659" s="13"/>
      <c r="W659" s="13"/>
      <c r="X659" s="14"/>
      <c r="AL659" s="14">
        <v>11.69</v>
      </c>
      <c r="AN659" s="7" t="s">
        <v>167</v>
      </c>
      <c r="AO659" s="21">
        <f t="shared" si="31"/>
        <v>11.69</v>
      </c>
      <c r="AP659" s="7">
        <f t="shared" si="32"/>
        <v>0</v>
      </c>
      <c r="AQ659" s="31" t="str">
        <f t="shared" si="30"/>
        <v>Complete - With Adjustment</v>
      </c>
      <c r="AS659" s="37"/>
      <c r="AT659" s="37"/>
      <c r="AU659" s="37"/>
      <c r="AV659" s="37"/>
      <c r="AW659" s="37"/>
      <c r="AX659" s="37"/>
      <c r="AY659" s="37"/>
      <c r="AZ659" s="37"/>
      <c r="BA659" s="37"/>
      <c r="BB659" s="37"/>
      <c r="BC659" s="37"/>
      <c r="BD659" s="37"/>
      <c r="BE659" s="37"/>
      <c r="BF659" s="37"/>
      <c r="BG659" s="37"/>
      <c r="BH659" s="37"/>
      <c r="BI659" s="37"/>
    </row>
    <row r="660" spans="1:61" x14ac:dyDescent="0.2">
      <c r="A660" s="46">
        <v>650</v>
      </c>
      <c r="B660" s="13" t="s">
        <v>266</v>
      </c>
      <c r="C660" s="13" t="s">
        <v>236</v>
      </c>
      <c r="D660" s="13" t="s">
        <v>235</v>
      </c>
      <c r="E660" s="13" t="s">
        <v>2023</v>
      </c>
      <c r="F660" s="13" t="s">
        <v>192</v>
      </c>
      <c r="G660" s="13" t="s">
        <v>111</v>
      </c>
      <c r="H660" s="16">
        <v>43956</v>
      </c>
      <c r="I660" s="16">
        <v>43958</v>
      </c>
      <c r="J660" s="22">
        <v>3.65</v>
      </c>
      <c r="K660" s="22">
        <v>0.91</v>
      </c>
      <c r="L660" s="22" t="s">
        <v>2024</v>
      </c>
      <c r="M660" s="26" t="s">
        <v>98</v>
      </c>
      <c r="N660" s="13" t="s">
        <v>230</v>
      </c>
      <c r="O660" s="13" t="s">
        <v>326</v>
      </c>
      <c r="P660" s="13" t="s">
        <v>60</v>
      </c>
      <c r="Q660" s="13" t="s">
        <v>74</v>
      </c>
      <c r="R660" s="13" t="s">
        <v>270</v>
      </c>
      <c r="S660" s="13" t="s">
        <v>2025</v>
      </c>
      <c r="T660" s="13" t="s">
        <v>2026</v>
      </c>
      <c r="U660" s="13"/>
      <c r="V660" s="13"/>
      <c r="W660" s="13"/>
      <c r="X660" s="14"/>
      <c r="AL660" s="14">
        <v>0.91</v>
      </c>
      <c r="AN660" s="7" t="s">
        <v>146</v>
      </c>
      <c r="AO660" s="21">
        <f t="shared" si="31"/>
        <v>0.91</v>
      </c>
      <c r="AP660" s="7">
        <f t="shared" si="32"/>
        <v>0</v>
      </c>
      <c r="AQ660" s="31" t="str">
        <f t="shared" si="30"/>
        <v>Complete - With Adjustment</v>
      </c>
      <c r="AS660" s="37"/>
      <c r="AT660" s="37"/>
      <c r="AU660" s="37"/>
      <c r="AV660" s="37"/>
      <c r="AW660" s="37"/>
      <c r="AX660" s="37"/>
      <c r="AY660" s="37"/>
      <c r="AZ660" s="37"/>
      <c r="BA660" s="37"/>
      <c r="BB660" s="37"/>
      <c r="BC660" s="37"/>
      <c r="BD660" s="37"/>
      <c r="BE660" s="37"/>
      <c r="BF660" s="37"/>
      <c r="BG660" s="37"/>
      <c r="BH660" s="37"/>
      <c r="BI660" s="37"/>
    </row>
    <row r="661" spans="1:61" x14ac:dyDescent="0.2">
      <c r="A661" s="46">
        <v>651</v>
      </c>
      <c r="B661" s="13" t="s">
        <v>266</v>
      </c>
      <c r="C661" s="13" t="s">
        <v>236</v>
      </c>
      <c r="D661" s="13" t="s">
        <v>235</v>
      </c>
      <c r="E661" s="13" t="s">
        <v>2027</v>
      </c>
      <c r="F661" s="13" t="s">
        <v>192</v>
      </c>
      <c r="G661" s="13" t="s">
        <v>111</v>
      </c>
      <c r="H661" s="16">
        <v>43956</v>
      </c>
      <c r="I661" s="16">
        <v>43958</v>
      </c>
      <c r="J661" s="22">
        <v>7.85</v>
      </c>
      <c r="K661" s="22">
        <v>1.96</v>
      </c>
      <c r="L661" s="22" t="s">
        <v>2028</v>
      </c>
      <c r="M661" s="26" t="s">
        <v>98</v>
      </c>
      <c r="N661" s="13" t="s">
        <v>230</v>
      </c>
      <c r="O661" s="13" t="s">
        <v>326</v>
      </c>
      <c r="P661" s="13" t="s">
        <v>60</v>
      </c>
      <c r="Q661" s="13" t="s">
        <v>74</v>
      </c>
      <c r="R661" s="13" t="s">
        <v>270</v>
      </c>
      <c r="S661" s="13" t="s">
        <v>2029</v>
      </c>
      <c r="T661" s="13" t="s">
        <v>2030</v>
      </c>
      <c r="U661" s="13"/>
      <c r="V661" s="13"/>
      <c r="W661" s="13"/>
      <c r="X661" s="14"/>
      <c r="AL661" s="14">
        <v>1.96</v>
      </c>
      <c r="AN661" s="7" t="s">
        <v>146</v>
      </c>
      <c r="AO661" s="21">
        <f t="shared" si="31"/>
        <v>1.96</v>
      </c>
      <c r="AP661" s="7">
        <f t="shared" si="32"/>
        <v>0</v>
      </c>
      <c r="AQ661" s="31" t="str">
        <f t="shared" si="30"/>
        <v>Complete - With Adjustment</v>
      </c>
      <c r="AS661" s="37"/>
      <c r="AT661" s="37"/>
      <c r="AU661" s="37"/>
      <c r="AV661" s="37"/>
      <c r="AW661" s="37"/>
      <c r="AX661" s="37"/>
      <c r="AY661" s="37"/>
      <c r="AZ661" s="37"/>
      <c r="BA661" s="37"/>
      <c r="BB661" s="37"/>
      <c r="BC661" s="37"/>
      <c r="BD661" s="37"/>
      <c r="BE661" s="37"/>
      <c r="BF661" s="37"/>
      <c r="BG661" s="37"/>
      <c r="BH661" s="37"/>
      <c r="BI661" s="37"/>
    </row>
    <row r="662" spans="1:61" x14ac:dyDescent="0.2">
      <c r="A662" s="46">
        <v>652</v>
      </c>
      <c r="B662" s="13" t="s">
        <v>266</v>
      </c>
      <c r="C662" s="13" t="s">
        <v>236</v>
      </c>
      <c r="D662" s="13" t="s">
        <v>235</v>
      </c>
      <c r="E662" s="13" t="s">
        <v>2031</v>
      </c>
      <c r="F662" s="13" t="s">
        <v>192</v>
      </c>
      <c r="G662" s="13" t="s">
        <v>111</v>
      </c>
      <c r="H662" s="16">
        <v>43956</v>
      </c>
      <c r="I662" s="16">
        <v>43958</v>
      </c>
      <c r="J662" s="22">
        <v>16.11</v>
      </c>
      <c r="K662" s="22">
        <v>4.03</v>
      </c>
      <c r="L662" s="22" t="s">
        <v>2032</v>
      </c>
      <c r="M662" s="26" t="s">
        <v>98</v>
      </c>
      <c r="N662" s="13" t="s">
        <v>230</v>
      </c>
      <c r="O662" s="13" t="s">
        <v>326</v>
      </c>
      <c r="P662" s="13" t="s">
        <v>60</v>
      </c>
      <c r="Q662" s="13" t="s">
        <v>74</v>
      </c>
      <c r="R662" s="13" t="s">
        <v>270</v>
      </c>
      <c r="S662" s="13" t="s">
        <v>2033</v>
      </c>
      <c r="T662" s="13" t="s">
        <v>2034</v>
      </c>
      <c r="U662" s="13"/>
      <c r="V662" s="13"/>
      <c r="W662" s="13"/>
      <c r="X662" s="14"/>
      <c r="AN662" s="7" t="s">
        <v>70</v>
      </c>
      <c r="AO662" s="21">
        <f t="shared" si="31"/>
        <v>0</v>
      </c>
      <c r="AP662" s="7">
        <f t="shared" si="32"/>
        <v>4.03</v>
      </c>
      <c r="AQ662" s="31" t="str">
        <f t="shared" ref="AQ662:AQ725" si="33">IF(AO662&lt;&gt;0,"Complete - With Adjustment","Complete - No Adjustment")</f>
        <v>Complete - No Adjustment</v>
      </c>
      <c r="AS662" s="37"/>
      <c r="AT662" s="37"/>
      <c r="AU662" s="37"/>
      <c r="AV662" s="37"/>
      <c r="AW662" s="37"/>
      <c r="AX662" s="37"/>
      <c r="AY662" s="37"/>
      <c r="AZ662" s="37"/>
      <c r="BA662" s="37"/>
      <c r="BB662" s="37"/>
      <c r="BC662" s="37"/>
      <c r="BD662" s="37"/>
      <c r="BE662" s="37"/>
      <c r="BF662" s="37"/>
      <c r="BG662" s="37"/>
      <c r="BH662" s="37"/>
      <c r="BI662" s="37"/>
    </row>
    <row r="663" spans="1:61" x14ac:dyDescent="0.2">
      <c r="A663" s="46">
        <v>653</v>
      </c>
      <c r="B663" s="13" t="s">
        <v>266</v>
      </c>
      <c r="C663" s="13" t="s">
        <v>488</v>
      </c>
      <c r="D663" s="13" t="s">
        <v>487</v>
      </c>
      <c r="E663" s="13" t="s">
        <v>2035</v>
      </c>
      <c r="F663" s="13" t="s">
        <v>187</v>
      </c>
      <c r="G663" s="13" t="s">
        <v>111</v>
      </c>
      <c r="H663" s="16">
        <v>43978</v>
      </c>
      <c r="I663" s="16">
        <v>43980</v>
      </c>
      <c r="J663" s="22">
        <v>26.79</v>
      </c>
      <c r="K663" s="22">
        <v>26.79</v>
      </c>
      <c r="L663" s="22" t="s">
        <v>2036</v>
      </c>
      <c r="M663" s="26" t="s">
        <v>98</v>
      </c>
      <c r="N663" s="13" t="s">
        <v>230</v>
      </c>
      <c r="O663" s="13" t="s">
        <v>277</v>
      </c>
      <c r="P663" s="13" t="s">
        <v>60</v>
      </c>
      <c r="Q663" s="13" t="s">
        <v>62</v>
      </c>
      <c r="R663" s="13" t="s">
        <v>270</v>
      </c>
      <c r="S663" s="13" t="s">
        <v>2037</v>
      </c>
      <c r="T663" s="13" t="s">
        <v>2038</v>
      </c>
      <c r="U663" s="13"/>
      <c r="V663" s="13"/>
      <c r="W663" s="13"/>
      <c r="X663" s="14"/>
      <c r="AN663" s="7" t="s">
        <v>70</v>
      </c>
      <c r="AO663" s="21">
        <f t="shared" si="31"/>
        <v>0</v>
      </c>
      <c r="AP663" s="7">
        <f t="shared" si="32"/>
        <v>26.79</v>
      </c>
      <c r="AQ663" s="31" t="str">
        <f t="shared" si="33"/>
        <v>Complete - No Adjustment</v>
      </c>
      <c r="AS663" s="37"/>
      <c r="AT663" s="37"/>
      <c r="AU663" s="37"/>
      <c r="AV663" s="37"/>
      <c r="AW663" s="37"/>
      <c r="AX663" s="37"/>
      <c r="AY663" s="37"/>
      <c r="AZ663" s="37"/>
      <c r="BA663" s="37"/>
      <c r="BB663" s="37"/>
      <c r="BC663" s="37"/>
      <c r="BD663" s="37"/>
      <c r="BE663" s="37"/>
      <c r="BF663" s="37"/>
      <c r="BG663" s="37"/>
      <c r="BH663" s="37"/>
      <c r="BI663" s="37"/>
    </row>
    <row r="664" spans="1:61" x14ac:dyDescent="0.2">
      <c r="A664" s="46">
        <v>654</v>
      </c>
      <c r="B664" s="13" t="s">
        <v>266</v>
      </c>
      <c r="C664" s="13" t="s">
        <v>504</v>
      </c>
      <c r="D664" s="13" t="s">
        <v>805</v>
      </c>
      <c r="E664" s="13" t="s">
        <v>2039</v>
      </c>
      <c r="F664" s="13" t="s">
        <v>1662</v>
      </c>
      <c r="G664" s="13" t="s">
        <v>111</v>
      </c>
      <c r="H664" s="16">
        <v>43970</v>
      </c>
      <c r="I664" s="16">
        <v>43979</v>
      </c>
      <c r="J664" s="22">
        <v>455.35</v>
      </c>
      <c r="K664" s="22">
        <v>16.91</v>
      </c>
      <c r="L664" s="22" t="s">
        <v>2040</v>
      </c>
      <c r="M664" s="26" t="s">
        <v>98</v>
      </c>
      <c r="N664" s="13" t="s">
        <v>230</v>
      </c>
      <c r="O664" s="13" t="s">
        <v>983</v>
      </c>
      <c r="P664" s="13" t="s">
        <v>406</v>
      </c>
      <c r="Q664" s="13" t="s">
        <v>57</v>
      </c>
      <c r="R664" s="13" t="s">
        <v>270</v>
      </c>
      <c r="S664" s="13" t="s">
        <v>2041</v>
      </c>
      <c r="T664" s="13" t="s">
        <v>2042</v>
      </c>
      <c r="U664" s="13" t="s">
        <v>986</v>
      </c>
      <c r="V664" s="13" t="s">
        <v>406</v>
      </c>
      <c r="W664" s="13" t="s">
        <v>58</v>
      </c>
      <c r="X664" s="14"/>
      <c r="AL664" s="14">
        <v>16.91</v>
      </c>
      <c r="AN664" s="7" t="s">
        <v>146</v>
      </c>
      <c r="AO664" s="21">
        <f t="shared" si="31"/>
        <v>16.91</v>
      </c>
      <c r="AP664" s="7">
        <f t="shared" si="32"/>
        <v>0</v>
      </c>
      <c r="AQ664" s="31" t="str">
        <f t="shared" si="33"/>
        <v>Complete - With Adjustment</v>
      </c>
      <c r="AS664" s="37"/>
      <c r="AT664" s="37"/>
      <c r="AU664" s="37"/>
      <c r="AV664" s="37"/>
      <c r="AW664" s="37"/>
      <c r="AX664" s="37"/>
      <c r="AY664" s="37"/>
      <c r="AZ664" s="37"/>
      <c r="BA664" s="37"/>
      <c r="BB664" s="37"/>
      <c r="BC664" s="37"/>
      <c r="BD664" s="37"/>
      <c r="BE664" s="37"/>
      <c r="BF664" s="37"/>
      <c r="BG664" s="37"/>
      <c r="BH664" s="37"/>
      <c r="BI664" s="37"/>
    </row>
    <row r="665" spans="1:61" x14ac:dyDescent="0.2">
      <c r="A665" s="46">
        <v>655</v>
      </c>
      <c r="B665" s="13" t="s">
        <v>266</v>
      </c>
      <c r="C665" s="13" t="s">
        <v>504</v>
      </c>
      <c r="D665" s="13" t="s">
        <v>805</v>
      </c>
      <c r="E665" s="13" t="s">
        <v>2039</v>
      </c>
      <c r="F665" s="13" t="s">
        <v>1662</v>
      </c>
      <c r="G665" s="13" t="s">
        <v>111</v>
      </c>
      <c r="H665" s="16">
        <v>43970</v>
      </c>
      <c r="I665" s="16">
        <v>43979</v>
      </c>
      <c r="J665" s="22">
        <v>455.35</v>
      </c>
      <c r="K665" s="22">
        <v>2</v>
      </c>
      <c r="L665" s="22" t="s">
        <v>2040</v>
      </c>
      <c r="M665" s="26" t="s">
        <v>98</v>
      </c>
      <c r="N665" s="13" t="s">
        <v>230</v>
      </c>
      <c r="O665" s="13" t="s">
        <v>983</v>
      </c>
      <c r="P665" s="13" t="s">
        <v>406</v>
      </c>
      <c r="Q665" s="13" t="s">
        <v>57</v>
      </c>
      <c r="R665" s="13" t="s">
        <v>270</v>
      </c>
      <c r="S665" s="13" t="s">
        <v>2041</v>
      </c>
      <c r="T665" s="13" t="s">
        <v>2043</v>
      </c>
      <c r="U665" s="13" t="s">
        <v>986</v>
      </c>
      <c r="V665" s="13" t="s">
        <v>406</v>
      </c>
      <c r="W665" s="13" t="s">
        <v>58</v>
      </c>
      <c r="X665" s="14"/>
      <c r="AL665" s="14">
        <v>2</v>
      </c>
      <c r="AN665" s="7" t="s">
        <v>146</v>
      </c>
      <c r="AO665" s="21">
        <f t="shared" si="31"/>
        <v>2</v>
      </c>
      <c r="AP665" s="7">
        <f t="shared" si="32"/>
        <v>0</v>
      </c>
      <c r="AQ665" s="31" t="str">
        <f t="shared" si="33"/>
        <v>Complete - With Adjustment</v>
      </c>
      <c r="AS665" s="37"/>
      <c r="AT665" s="37"/>
      <c r="AU665" s="37"/>
      <c r="AV665" s="37"/>
      <c r="AW665" s="37"/>
      <c r="AX665" s="37"/>
      <c r="AY665" s="37"/>
      <c r="AZ665" s="37"/>
      <c r="BA665" s="37"/>
      <c r="BB665" s="37"/>
      <c r="BC665" s="37"/>
      <c r="BD665" s="37"/>
      <c r="BE665" s="37"/>
      <c r="BF665" s="37"/>
      <c r="BG665" s="37"/>
      <c r="BH665" s="37"/>
      <c r="BI665" s="37"/>
    </row>
    <row r="666" spans="1:61" x14ac:dyDescent="0.2">
      <c r="A666" s="46">
        <v>656</v>
      </c>
      <c r="B666" s="13" t="s">
        <v>266</v>
      </c>
      <c r="C666" s="13" t="s">
        <v>504</v>
      </c>
      <c r="D666" s="13" t="s">
        <v>805</v>
      </c>
      <c r="E666" s="13" t="s">
        <v>2039</v>
      </c>
      <c r="F666" s="13" t="s">
        <v>1662</v>
      </c>
      <c r="G666" s="13" t="s">
        <v>111</v>
      </c>
      <c r="H666" s="16">
        <v>43970</v>
      </c>
      <c r="I666" s="16">
        <v>43979</v>
      </c>
      <c r="J666" s="22">
        <v>455.35</v>
      </c>
      <c r="K666" s="22">
        <v>16.309999999999999</v>
      </c>
      <c r="L666" s="22" t="s">
        <v>2040</v>
      </c>
      <c r="M666" s="26" t="s">
        <v>98</v>
      </c>
      <c r="N666" s="13" t="s">
        <v>230</v>
      </c>
      <c r="O666" s="13" t="s">
        <v>983</v>
      </c>
      <c r="P666" s="13" t="s">
        <v>406</v>
      </c>
      <c r="Q666" s="13" t="s">
        <v>57</v>
      </c>
      <c r="R666" s="13" t="s">
        <v>270</v>
      </c>
      <c r="S666" s="13" t="s">
        <v>2041</v>
      </c>
      <c r="T666" s="13" t="s">
        <v>2042</v>
      </c>
      <c r="U666" s="13" t="s">
        <v>986</v>
      </c>
      <c r="V666" s="13" t="s">
        <v>406</v>
      </c>
      <c r="W666" s="13" t="s">
        <v>58</v>
      </c>
      <c r="X666" s="14"/>
      <c r="AL666" s="14">
        <v>16.309999999999999</v>
      </c>
      <c r="AN666" s="7" t="s">
        <v>146</v>
      </c>
      <c r="AO666" s="21">
        <f t="shared" si="31"/>
        <v>16.309999999999999</v>
      </c>
      <c r="AP666" s="7">
        <f t="shared" si="32"/>
        <v>0</v>
      </c>
      <c r="AQ666" s="31" t="str">
        <f t="shared" si="33"/>
        <v>Complete - With Adjustment</v>
      </c>
      <c r="AS666" s="37"/>
      <c r="AT666" s="37"/>
      <c r="AU666" s="37"/>
      <c r="AV666" s="37"/>
      <c r="AW666" s="37"/>
      <c r="AX666" s="37"/>
      <c r="AY666" s="37"/>
      <c r="AZ666" s="37"/>
      <c r="BA666" s="37"/>
      <c r="BB666" s="37"/>
      <c r="BC666" s="37"/>
      <c r="BD666" s="37"/>
      <c r="BE666" s="37"/>
      <c r="BF666" s="37"/>
      <c r="BG666" s="37"/>
      <c r="BH666" s="37"/>
      <c r="BI666" s="37"/>
    </row>
    <row r="667" spans="1:61" x14ac:dyDescent="0.2">
      <c r="A667" s="46">
        <v>657</v>
      </c>
      <c r="B667" s="13" t="s">
        <v>266</v>
      </c>
      <c r="C667" s="13" t="s">
        <v>504</v>
      </c>
      <c r="D667" s="13" t="s">
        <v>805</v>
      </c>
      <c r="E667" s="13" t="s">
        <v>2039</v>
      </c>
      <c r="F667" s="13" t="s">
        <v>1662</v>
      </c>
      <c r="G667" s="13" t="s">
        <v>111</v>
      </c>
      <c r="H667" s="16">
        <v>43970</v>
      </c>
      <c r="I667" s="16">
        <v>43979</v>
      </c>
      <c r="J667" s="22">
        <v>455.35</v>
      </c>
      <c r="K667" s="22">
        <v>17.850000000000001</v>
      </c>
      <c r="L667" s="22" t="s">
        <v>2040</v>
      </c>
      <c r="M667" s="26" t="s">
        <v>98</v>
      </c>
      <c r="N667" s="13" t="s">
        <v>230</v>
      </c>
      <c r="O667" s="13" t="s">
        <v>983</v>
      </c>
      <c r="P667" s="13" t="s">
        <v>406</v>
      </c>
      <c r="Q667" s="13" t="s">
        <v>57</v>
      </c>
      <c r="R667" s="13" t="s">
        <v>270</v>
      </c>
      <c r="S667" s="13" t="s">
        <v>2041</v>
      </c>
      <c r="T667" s="13" t="s">
        <v>2042</v>
      </c>
      <c r="U667" s="13" t="s">
        <v>986</v>
      </c>
      <c r="V667" s="13" t="s">
        <v>406</v>
      </c>
      <c r="W667" s="13" t="s">
        <v>58</v>
      </c>
      <c r="X667" s="14"/>
      <c r="AL667" s="14">
        <v>17.850000000000001</v>
      </c>
      <c r="AN667" s="7" t="s">
        <v>146</v>
      </c>
      <c r="AO667" s="21">
        <f t="shared" si="31"/>
        <v>17.850000000000001</v>
      </c>
      <c r="AP667" s="7">
        <f t="shared" si="32"/>
        <v>0</v>
      </c>
      <c r="AQ667" s="31" t="str">
        <f t="shared" si="33"/>
        <v>Complete - With Adjustment</v>
      </c>
      <c r="AS667" s="37"/>
      <c r="AT667" s="37"/>
      <c r="AU667" s="37"/>
      <c r="AV667" s="37"/>
      <c r="AW667" s="37"/>
      <c r="AX667" s="37"/>
      <c r="AY667" s="37"/>
      <c r="AZ667" s="37"/>
      <c r="BA667" s="37"/>
      <c r="BB667" s="37"/>
      <c r="BC667" s="37"/>
      <c r="BD667" s="37"/>
      <c r="BE667" s="37"/>
      <c r="BF667" s="37"/>
      <c r="BG667" s="37"/>
      <c r="BH667" s="37"/>
      <c r="BI667" s="37"/>
    </row>
    <row r="668" spans="1:61" x14ac:dyDescent="0.2">
      <c r="A668" s="46">
        <v>658</v>
      </c>
      <c r="B668" s="13" t="s">
        <v>266</v>
      </c>
      <c r="C668" s="13" t="s">
        <v>504</v>
      </c>
      <c r="D668" s="13" t="s">
        <v>805</v>
      </c>
      <c r="E668" s="13" t="s">
        <v>2039</v>
      </c>
      <c r="F668" s="13" t="s">
        <v>1662</v>
      </c>
      <c r="G668" s="13" t="s">
        <v>111</v>
      </c>
      <c r="H668" s="16">
        <v>43970</v>
      </c>
      <c r="I668" s="16">
        <v>43979</v>
      </c>
      <c r="J668" s="22">
        <v>455.35</v>
      </c>
      <c r="K668" s="22">
        <v>18.04</v>
      </c>
      <c r="L668" s="22" t="s">
        <v>2040</v>
      </c>
      <c r="M668" s="26" t="s">
        <v>98</v>
      </c>
      <c r="N668" s="13" t="s">
        <v>230</v>
      </c>
      <c r="O668" s="13" t="s">
        <v>983</v>
      </c>
      <c r="P668" s="13" t="s">
        <v>406</v>
      </c>
      <c r="Q668" s="13" t="s">
        <v>57</v>
      </c>
      <c r="R668" s="13" t="s">
        <v>270</v>
      </c>
      <c r="S668" s="13" t="s">
        <v>2041</v>
      </c>
      <c r="T668" s="13" t="s">
        <v>2042</v>
      </c>
      <c r="U668" s="13" t="s">
        <v>986</v>
      </c>
      <c r="V668" s="13" t="s">
        <v>406</v>
      </c>
      <c r="W668" s="13" t="s">
        <v>58</v>
      </c>
      <c r="X668" s="14"/>
      <c r="AL668" s="14">
        <v>18.04</v>
      </c>
      <c r="AN668" s="7" t="s">
        <v>146</v>
      </c>
      <c r="AO668" s="21">
        <f t="shared" si="31"/>
        <v>18.04</v>
      </c>
      <c r="AP668" s="7">
        <f t="shared" si="32"/>
        <v>0</v>
      </c>
      <c r="AQ668" s="31" t="str">
        <f t="shared" si="33"/>
        <v>Complete - With Adjustment</v>
      </c>
      <c r="AS668" s="37"/>
      <c r="AT668" s="37"/>
      <c r="AU668" s="37"/>
      <c r="AV668" s="37"/>
      <c r="AW668" s="37"/>
      <c r="AX668" s="37"/>
      <c r="AY668" s="37"/>
      <c r="AZ668" s="37"/>
      <c r="BA668" s="37"/>
      <c r="BB668" s="37"/>
      <c r="BC668" s="37"/>
      <c r="BD668" s="37"/>
      <c r="BE668" s="37"/>
      <c r="BF668" s="37"/>
      <c r="BG668" s="37"/>
      <c r="BH668" s="37"/>
      <c r="BI668" s="37"/>
    </row>
    <row r="669" spans="1:61" x14ac:dyDescent="0.2">
      <c r="A669" s="46">
        <v>659</v>
      </c>
      <c r="B669" s="13" t="s">
        <v>266</v>
      </c>
      <c r="C669" s="13" t="s">
        <v>504</v>
      </c>
      <c r="D669" s="13" t="s">
        <v>805</v>
      </c>
      <c r="E669" s="13" t="s">
        <v>2039</v>
      </c>
      <c r="F669" s="13" t="s">
        <v>1662</v>
      </c>
      <c r="G669" s="13" t="s">
        <v>111</v>
      </c>
      <c r="H669" s="16">
        <v>43970</v>
      </c>
      <c r="I669" s="16">
        <v>43979</v>
      </c>
      <c r="J669" s="22">
        <v>455.35</v>
      </c>
      <c r="K669" s="22">
        <v>16.34</v>
      </c>
      <c r="L669" s="22" t="s">
        <v>2040</v>
      </c>
      <c r="M669" s="26" t="s">
        <v>98</v>
      </c>
      <c r="N669" s="13" t="s">
        <v>230</v>
      </c>
      <c r="O669" s="13" t="s">
        <v>983</v>
      </c>
      <c r="P669" s="13" t="s">
        <v>406</v>
      </c>
      <c r="Q669" s="13" t="s">
        <v>57</v>
      </c>
      <c r="R669" s="13" t="s">
        <v>270</v>
      </c>
      <c r="S669" s="13" t="s">
        <v>2041</v>
      </c>
      <c r="T669" s="13" t="s">
        <v>2042</v>
      </c>
      <c r="U669" s="13" t="s">
        <v>986</v>
      </c>
      <c r="V669" s="13" t="s">
        <v>406</v>
      </c>
      <c r="W669" s="13" t="s">
        <v>58</v>
      </c>
      <c r="X669" s="14"/>
      <c r="AL669" s="14">
        <v>16.34</v>
      </c>
      <c r="AN669" s="7" t="s">
        <v>146</v>
      </c>
      <c r="AO669" s="21">
        <f t="shared" si="31"/>
        <v>16.34</v>
      </c>
      <c r="AP669" s="7">
        <f t="shared" si="32"/>
        <v>0</v>
      </c>
      <c r="AQ669" s="31" t="str">
        <f t="shared" si="33"/>
        <v>Complete - With Adjustment</v>
      </c>
      <c r="AS669" s="37"/>
      <c r="AT669" s="37"/>
      <c r="AU669" s="37"/>
      <c r="AV669" s="37"/>
      <c r="AW669" s="37"/>
      <c r="AX669" s="37"/>
      <c r="AY669" s="37"/>
      <c r="AZ669" s="37"/>
      <c r="BA669" s="37"/>
      <c r="BB669" s="37"/>
      <c r="BC669" s="37"/>
      <c r="BD669" s="37"/>
      <c r="BE669" s="37"/>
      <c r="BF669" s="37"/>
      <c r="BG669" s="37"/>
      <c r="BH669" s="37"/>
      <c r="BI669" s="37"/>
    </row>
    <row r="670" spans="1:61" x14ac:dyDescent="0.2">
      <c r="A670" s="46">
        <v>660</v>
      </c>
      <c r="B670" s="13" t="s">
        <v>266</v>
      </c>
      <c r="C670" s="13" t="s">
        <v>504</v>
      </c>
      <c r="D670" s="13" t="s">
        <v>805</v>
      </c>
      <c r="E670" s="13" t="s">
        <v>2039</v>
      </c>
      <c r="F670" s="13" t="s">
        <v>1662</v>
      </c>
      <c r="G670" s="13" t="s">
        <v>111</v>
      </c>
      <c r="H670" s="16">
        <v>43970</v>
      </c>
      <c r="I670" s="16">
        <v>43979</v>
      </c>
      <c r="J670" s="22">
        <v>455.35</v>
      </c>
      <c r="K670" s="22">
        <v>14.06</v>
      </c>
      <c r="L670" s="22" t="s">
        <v>2040</v>
      </c>
      <c r="M670" s="26" t="s">
        <v>98</v>
      </c>
      <c r="N670" s="13" t="s">
        <v>230</v>
      </c>
      <c r="O670" s="13" t="s">
        <v>983</v>
      </c>
      <c r="P670" s="13" t="s">
        <v>406</v>
      </c>
      <c r="Q670" s="13" t="s">
        <v>57</v>
      </c>
      <c r="R670" s="13" t="s">
        <v>270</v>
      </c>
      <c r="S670" s="13" t="s">
        <v>2041</v>
      </c>
      <c r="T670" s="13" t="s">
        <v>2044</v>
      </c>
      <c r="U670" s="13" t="s">
        <v>986</v>
      </c>
      <c r="V670" s="13" t="s">
        <v>406</v>
      </c>
      <c r="W670" s="13" t="s">
        <v>58</v>
      </c>
      <c r="X670" s="14"/>
      <c r="AN670" s="7" t="s">
        <v>155</v>
      </c>
      <c r="AO670" s="21">
        <f t="shared" si="31"/>
        <v>0</v>
      </c>
      <c r="AP670" s="7">
        <f t="shared" si="32"/>
        <v>14.06</v>
      </c>
      <c r="AQ670" s="31" t="str">
        <f t="shared" si="33"/>
        <v>Complete - No Adjustment</v>
      </c>
      <c r="AS670" s="37"/>
      <c r="AT670" s="37"/>
      <c r="AU670" s="37"/>
      <c r="AV670" s="37"/>
      <c r="AW670" s="37"/>
      <c r="AX670" s="37"/>
      <c r="AY670" s="37"/>
      <c r="AZ670" s="37"/>
      <c r="BA670" s="37"/>
      <c r="BB670" s="37"/>
      <c r="BC670" s="37"/>
      <c r="BD670" s="37"/>
      <c r="BE670" s="37"/>
      <c r="BF670" s="37"/>
      <c r="BG670" s="37"/>
      <c r="BH670" s="37"/>
      <c r="BI670" s="37"/>
    </row>
    <row r="671" spans="1:61" x14ac:dyDescent="0.2">
      <c r="A671" s="46">
        <v>661</v>
      </c>
      <c r="B671" s="13" t="s">
        <v>266</v>
      </c>
      <c r="C671" s="13" t="s">
        <v>504</v>
      </c>
      <c r="D671" s="13" t="s">
        <v>805</v>
      </c>
      <c r="E671" s="13" t="s">
        <v>2039</v>
      </c>
      <c r="F671" s="13" t="s">
        <v>1662</v>
      </c>
      <c r="G671" s="13" t="s">
        <v>111</v>
      </c>
      <c r="H671" s="16">
        <v>43970</v>
      </c>
      <c r="I671" s="16">
        <v>43979</v>
      </c>
      <c r="J671" s="22">
        <v>455.35</v>
      </c>
      <c r="K671" s="22">
        <v>16.34</v>
      </c>
      <c r="L671" s="22" t="s">
        <v>2040</v>
      </c>
      <c r="M671" s="26" t="s">
        <v>98</v>
      </c>
      <c r="N671" s="13" t="s">
        <v>230</v>
      </c>
      <c r="O671" s="13" t="s">
        <v>983</v>
      </c>
      <c r="P671" s="13" t="s">
        <v>406</v>
      </c>
      <c r="Q671" s="13" t="s">
        <v>57</v>
      </c>
      <c r="R671" s="13" t="s">
        <v>270</v>
      </c>
      <c r="S671" s="13" t="s">
        <v>2041</v>
      </c>
      <c r="T671" s="13" t="s">
        <v>2042</v>
      </c>
      <c r="U671" s="13" t="s">
        <v>986</v>
      </c>
      <c r="V671" s="13" t="s">
        <v>406</v>
      </c>
      <c r="W671" s="13" t="s">
        <v>58</v>
      </c>
      <c r="X671" s="14"/>
      <c r="AL671" s="14">
        <v>16.34</v>
      </c>
      <c r="AN671" s="7" t="s">
        <v>146</v>
      </c>
      <c r="AO671" s="21">
        <f t="shared" si="31"/>
        <v>16.34</v>
      </c>
      <c r="AP671" s="7">
        <f t="shared" si="32"/>
        <v>0</v>
      </c>
      <c r="AQ671" s="31" t="str">
        <f t="shared" si="33"/>
        <v>Complete - With Adjustment</v>
      </c>
      <c r="AS671" s="37"/>
      <c r="AT671" s="37"/>
      <c r="AU671" s="37"/>
      <c r="AV671" s="37"/>
      <c r="AW671" s="37"/>
      <c r="AX671" s="37"/>
      <c r="AY671" s="37"/>
      <c r="AZ671" s="37"/>
      <c r="BA671" s="37"/>
      <c r="BB671" s="37"/>
      <c r="BC671" s="37"/>
      <c r="BD671" s="37"/>
      <c r="BE671" s="37"/>
      <c r="BF671" s="37"/>
      <c r="BG671" s="37"/>
      <c r="BH671" s="37"/>
      <c r="BI671" s="37"/>
    </row>
    <row r="672" spans="1:61" x14ac:dyDescent="0.2">
      <c r="A672" s="46">
        <v>662</v>
      </c>
      <c r="B672" s="13" t="s">
        <v>266</v>
      </c>
      <c r="C672" s="13" t="s">
        <v>504</v>
      </c>
      <c r="D672" s="13" t="s">
        <v>805</v>
      </c>
      <c r="E672" s="13" t="s">
        <v>2039</v>
      </c>
      <c r="F672" s="13" t="s">
        <v>1662</v>
      </c>
      <c r="G672" s="13" t="s">
        <v>111</v>
      </c>
      <c r="H672" s="16">
        <v>43970</v>
      </c>
      <c r="I672" s="16">
        <v>43979</v>
      </c>
      <c r="J672" s="22">
        <v>455.35</v>
      </c>
      <c r="K672" s="22">
        <v>17.850000000000001</v>
      </c>
      <c r="L672" s="22" t="s">
        <v>2040</v>
      </c>
      <c r="M672" s="26" t="s">
        <v>98</v>
      </c>
      <c r="N672" s="13" t="s">
        <v>230</v>
      </c>
      <c r="O672" s="13" t="s">
        <v>983</v>
      </c>
      <c r="P672" s="13" t="s">
        <v>406</v>
      </c>
      <c r="Q672" s="13" t="s">
        <v>57</v>
      </c>
      <c r="R672" s="13" t="s">
        <v>270</v>
      </c>
      <c r="S672" s="13" t="s">
        <v>2041</v>
      </c>
      <c r="T672" s="13" t="s">
        <v>2042</v>
      </c>
      <c r="U672" s="13" t="s">
        <v>986</v>
      </c>
      <c r="V672" s="13" t="s">
        <v>406</v>
      </c>
      <c r="W672" s="13" t="s">
        <v>58</v>
      </c>
      <c r="X672" s="14"/>
      <c r="AL672" s="14">
        <v>17.850000000000001</v>
      </c>
      <c r="AN672" s="7" t="s">
        <v>146</v>
      </c>
      <c r="AO672" s="21">
        <f t="shared" si="31"/>
        <v>17.850000000000001</v>
      </c>
      <c r="AP672" s="7">
        <f t="shared" si="32"/>
        <v>0</v>
      </c>
      <c r="AQ672" s="31" t="str">
        <f t="shared" si="33"/>
        <v>Complete - With Adjustment</v>
      </c>
      <c r="AS672" s="37"/>
      <c r="AT672" s="37"/>
      <c r="AU672" s="37"/>
      <c r="AV672" s="37"/>
      <c r="AW672" s="37"/>
      <c r="AX672" s="37"/>
      <c r="AY672" s="37"/>
      <c r="AZ672" s="37"/>
      <c r="BA672" s="37"/>
      <c r="BB672" s="37"/>
      <c r="BC672" s="37"/>
      <c r="BD672" s="37"/>
      <c r="BE672" s="37"/>
      <c r="BF672" s="37"/>
      <c r="BG672" s="37"/>
      <c r="BH672" s="37"/>
      <c r="BI672" s="37"/>
    </row>
    <row r="673" spans="1:61" x14ac:dyDescent="0.2">
      <c r="A673" s="46">
        <v>663</v>
      </c>
      <c r="B673" s="13" t="s">
        <v>266</v>
      </c>
      <c r="C673" s="13" t="s">
        <v>504</v>
      </c>
      <c r="D673" s="13" t="s">
        <v>805</v>
      </c>
      <c r="E673" s="13" t="s">
        <v>2039</v>
      </c>
      <c r="F673" s="13" t="s">
        <v>1662</v>
      </c>
      <c r="G673" s="13" t="s">
        <v>111</v>
      </c>
      <c r="H673" s="16">
        <v>43970</v>
      </c>
      <c r="I673" s="16">
        <v>43979</v>
      </c>
      <c r="J673" s="22">
        <v>455.35</v>
      </c>
      <c r="K673" s="22">
        <v>20.84</v>
      </c>
      <c r="L673" s="22" t="s">
        <v>2040</v>
      </c>
      <c r="M673" s="26" t="s">
        <v>98</v>
      </c>
      <c r="N673" s="13" t="s">
        <v>230</v>
      </c>
      <c r="O673" s="13" t="s">
        <v>983</v>
      </c>
      <c r="P673" s="13" t="s">
        <v>406</v>
      </c>
      <c r="Q673" s="13" t="s">
        <v>57</v>
      </c>
      <c r="R673" s="13" t="s">
        <v>270</v>
      </c>
      <c r="S673" s="13" t="s">
        <v>2041</v>
      </c>
      <c r="T673" s="13" t="s">
        <v>2042</v>
      </c>
      <c r="U673" s="13" t="s">
        <v>986</v>
      </c>
      <c r="V673" s="13" t="s">
        <v>406</v>
      </c>
      <c r="W673" s="13" t="s">
        <v>58</v>
      </c>
      <c r="X673" s="14"/>
      <c r="AL673" s="14">
        <v>20.84</v>
      </c>
      <c r="AN673" s="7" t="s">
        <v>146</v>
      </c>
      <c r="AO673" s="21">
        <f t="shared" si="31"/>
        <v>20.84</v>
      </c>
      <c r="AP673" s="7">
        <f t="shared" si="32"/>
        <v>0</v>
      </c>
      <c r="AQ673" s="31" t="str">
        <f t="shared" si="33"/>
        <v>Complete - With Adjustment</v>
      </c>
      <c r="AS673" s="37"/>
      <c r="AT673" s="37"/>
      <c r="AU673" s="37"/>
      <c r="AV673" s="37"/>
      <c r="AW673" s="37"/>
      <c r="AX673" s="37"/>
      <c r="AY673" s="37"/>
      <c r="AZ673" s="37"/>
      <c r="BA673" s="37"/>
      <c r="BB673" s="37"/>
      <c r="BC673" s="37"/>
      <c r="BD673" s="37"/>
      <c r="BE673" s="37"/>
      <c r="BF673" s="37"/>
      <c r="BG673" s="37"/>
      <c r="BH673" s="37"/>
      <c r="BI673" s="37"/>
    </row>
    <row r="674" spans="1:61" x14ac:dyDescent="0.2">
      <c r="A674" s="46">
        <v>664</v>
      </c>
      <c r="B674" s="13" t="s">
        <v>266</v>
      </c>
      <c r="C674" s="13" t="s">
        <v>504</v>
      </c>
      <c r="D674" s="13" t="s">
        <v>805</v>
      </c>
      <c r="E674" s="13" t="s">
        <v>2039</v>
      </c>
      <c r="F674" s="13" t="s">
        <v>1662</v>
      </c>
      <c r="G674" s="13" t="s">
        <v>111</v>
      </c>
      <c r="H674" s="16">
        <v>43970</v>
      </c>
      <c r="I674" s="16">
        <v>43979</v>
      </c>
      <c r="J674" s="22">
        <v>455.35</v>
      </c>
      <c r="K674" s="22">
        <v>16.899999999999999</v>
      </c>
      <c r="L674" s="22" t="s">
        <v>2040</v>
      </c>
      <c r="M674" s="26" t="s">
        <v>98</v>
      </c>
      <c r="N674" s="13" t="s">
        <v>230</v>
      </c>
      <c r="O674" s="13" t="s">
        <v>983</v>
      </c>
      <c r="P674" s="13" t="s">
        <v>406</v>
      </c>
      <c r="Q674" s="13" t="s">
        <v>57</v>
      </c>
      <c r="R674" s="13" t="s">
        <v>270</v>
      </c>
      <c r="S674" s="13" t="s">
        <v>2041</v>
      </c>
      <c r="T674" s="13" t="s">
        <v>2042</v>
      </c>
      <c r="U674" s="13" t="s">
        <v>986</v>
      </c>
      <c r="V674" s="13" t="s">
        <v>406</v>
      </c>
      <c r="W674" s="13" t="s">
        <v>58</v>
      </c>
      <c r="X674" s="14"/>
      <c r="AL674" s="14">
        <v>16.899999999999999</v>
      </c>
      <c r="AN674" s="7" t="s">
        <v>146</v>
      </c>
      <c r="AO674" s="21">
        <f t="shared" si="31"/>
        <v>16.899999999999999</v>
      </c>
      <c r="AP674" s="7">
        <f t="shared" si="32"/>
        <v>0</v>
      </c>
      <c r="AQ674" s="31" t="str">
        <f t="shared" si="33"/>
        <v>Complete - With Adjustment</v>
      </c>
      <c r="AS674" s="37"/>
      <c r="AT674" s="37"/>
      <c r="AU674" s="37"/>
      <c r="AV674" s="37"/>
      <c r="AW674" s="37"/>
      <c r="AX674" s="37"/>
      <c r="AY674" s="37"/>
      <c r="AZ674" s="37"/>
      <c r="BA674" s="37"/>
      <c r="BB674" s="37"/>
      <c r="BC674" s="37"/>
      <c r="BD674" s="37"/>
      <c r="BE674" s="37"/>
      <c r="BF674" s="37"/>
      <c r="BG674" s="37"/>
      <c r="BH674" s="37"/>
      <c r="BI674" s="37"/>
    </row>
    <row r="675" spans="1:61" x14ac:dyDescent="0.2">
      <c r="A675" s="46">
        <v>665</v>
      </c>
      <c r="B675" s="13" t="s">
        <v>266</v>
      </c>
      <c r="C675" s="13" t="s">
        <v>504</v>
      </c>
      <c r="D675" s="13" t="s">
        <v>805</v>
      </c>
      <c r="E675" s="13" t="s">
        <v>2039</v>
      </c>
      <c r="F675" s="13" t="s">
        <v>1662</v>
      </c>
      <c r="G675" s="13" t="s">
        <v>111</v>
      </c>
      <c r="H675" s="16">
        <v>43970</v>
      </c>
      <c r="I675" s="16">
        <v>43979</v>
      </c>
      <c r="J675" s="22">
        <v>455.35</v>
      </c>
      <c r="K675" s="22">
        <v>16.260000000000002</v>
      </c>
      <c r="L675" s="22" t="s">
        <v>2040</v>
      </c>
      <c r="M675" s="26" t="s">
        <v>98</v>
      </c>
      <c r="N675" s="13" t="s">
        <v>230</v>
      </c>
      <c r="O675" s="13" t="s">
        <v>983</v>
      </c>
      <c r="P675" s="13" t="s">
        <v>406</v>
      </c>
      <c r="Q675" s="13" t="s">
        <v>57</v>
      </c>
      <c r="R675" s="13" t="s">
        <v>270</v>
      </c>
      <c r="S675" s="13" t="s">
        <v>2041</v>
      </c>
      <c r="T675" s="13" t="s">
        <v>2042</v>
      </c>
      <c r="U675" s="13" t="s">
        <v>986</v>
      </c>
      <c r="V675" s="13" t="s">
        <v>406</v>
      </c>
      <c r="W675" s="13" t="s">
        <v>58</v>
      </c>
      <c r="X675" s="14"/>
      <c r="AL675" s="14">
        <v>16.25</v>
      </c>
      <c r="AN675" s="7" t="s">
        <v>146</v>
      </c>
      <c r="AO675" s="21">
        <f t="shared" si="31"/>
        <v>16.25</v>
      </c>
      <c r="AP675" s="7">
        <f t="shared" si="32"/>
        <v>1.0000000000001563E-2</v>
      </c>
      <c r="AQ675" s="31" t="str">
        <f t="shared" si="33"/>
        <v>Complete - With Adjustment</v>
      </c>
      <c r="AS675" s="37"/>
      <c r="AT675" s="37"/>
      <c r="AU675" s="37"/>
      <c r="AV675" s="37"/>
      <c r="AW675" s="37"/>
      <c r="AX675" s="37"/>
      <c r="AY675" s="37"/>
      <c r="AZ675" s="37"/>
      <c r="BA675" s="37"/>
      <c r="BB675" s="37"/>
      <c r="BC675" s="37"/>
      <c r="BD675" s="37"/>
      <c r="BE675" s="37"/>
      <c r="BF675" s="37"/>
      <c r="BG675" s="37"/>
      <c r="BH675" s="37"/>
      <c r="BI675" s="37"/>
    </row>
    <row r="676" spans="1:61" x14ac:dyDescent="0.2">
      <c r="A676" s="46">
        <v>666</v>
      </c>
      <c r="B676" s="13" t="s">
        <v>266</v>
      </c>
      <c r="C676" s="13" t="s">
        <v>504</v>
      </c>
      <c r="D676" s="13" t="s">
        <v>805</v>
      </c>
      <c r="E676" s="13" t="s">
        <v>2039</v>
      </c>
      <c r="F676" s="13" t="s">
        <v>1662</v>
      </c>
      <c r="G676" s="13" t="s">
        <v>111</v>
      </c>
      <c r="H676" s="16">
        <v>43970</v>
      </c>
      <c r="I676" s="16">
        <v>43979</v>
      </c>
      <c r="J676" s="22">
        <v>455.35</v>
      </c>
      <c r="K676" s="22">
        <v>17.350000000000001</v>
      </c>
      <c r="L676" s="22" t="s">
        <v>2040</v>
      </c>
      <c r="M676" s="26" t="s">
        <v>98</v>
      </c>
      <c r="N676" s="13" t="s">
        <v>230</v>
      </c>
      <c r="O676" s="13" t="s">
        <v>983</v>
      </c>
      <c r="P676" s="13" t="s">
        <v>406</v>
      </c>
      <c r="Q676" s="13" t="s">
        <v>57</v>
      </c>
      <c r="R676" s="13" t="s">
        <v>270</v>
      </c>
      <c r="S676" s="13" t="s">
        <v>2041</v>
      </c>
      <c r="T676" s="13" t="s">
        <v>2042</v>
      </c>
      <c r="U676" s="13" t="s">
        <v>986</v>
      </c>
      <c r="V676" s="13" t="s">
        <v>406</v>
      </c>
      <c r="W676" s="13" t="s">
        <v>58</v>
      </c>
      <c r="X676" s="14"/>
      <c r="AL676" s="14">
        <v>17.350000000000001</v>
      </c>
      <c r="AN676" s="7" t="s">
        <v>146</v>
      </c>
      <c r="AO676" s="21">
        <f t="shared" si="31"/>
        <v>17.350000000000001</v>
      </c>
      <c r="AP676" s="7">
        <f t="shared" si="32"/>
        <v>0</v>
      </c>
      <c r="AQ676" s="31" t="str">
        <f t="shared" si="33"/>
        <v>Complete - With Adjustment</v>
      </c>
      <c r="AS676" s="37"/>
      <c r="AT676" s="37"/>
      <c r="AU676" s="37"/>
      <c r="AV676" s="37"/>
      <c r="AW676" s="37"/>
      <c r="AX676" s="37"/>
      <c r="AY676" s="37"/>
      <c r="AZ676" s="37"/>
      <c r="BA676" s="37"/>
      <c r="BB676" s="37"/>
      <c r="BC676" s="37"/>
      <c r="BD676" s="37"/>
      <c r="BE676" s="37"/>
      <c r="BF676" s="37"/>
      <c r="BG676" s="37"/>
      <c r="BH676" s="37"/>
      <c r="BI676" s="37"/>
    </row>
    <row r="677" spans="1:61" x14ac:dyDescent="0.2">
      <c r="A677" s="46">
        <v>667</v>
      </c>
      <c r="B677" s="13" t="s">
        <v>266</v>
      </c>
      <c r="C677" s="13" t="s">
        <v>504</v>
      </c>
      <c r="D677" s="13" t="s">
        <v>805</v>
      </c>
      <c r="E677" s="13" t="s">
        <v>2039</v>
      </c>
      <c r="F677" s="13" t="s">
        <v>1662</v>
      </c>
      <c r="G677" s="13" t="s">
        <v>111</v>
      </c>
      <c r="H677" s="16">
        <v>43970</v>
      </c>
      <c r="I677" s="16">
        <v>43979</v>
      </c>
      <c r="J677" s="22">
        <v>455.35</v>
      </c>
      <c r="K677" s="22">
        <v>17.399999999999999</v>
      </c>
      <c r="L677" s="22" t="s">
        <v>2040</v>
      </c>
      <c r="M677" s="26" t="s">
        <v>98</v>
      </c>
      <c r="N677" s="13" t="s">
        <v>230</v>
      </c>
      <c r="O677" s="13" t="s">
        <v>983</v>
      </c>
      <c r="P677" s="13" t="s">
        <v>406</v>
      </c>
      <c r="Q677" s="13" t="s">
        <v>57</v>
      </c>
      <c r="R677" s="13" t="s">
        <v>270</v>
      </c>
      <c r="S677" s="13" t="s">
        <v>2041</v>
      </c>
      <c r="T677" s="13" t="s">
        <v>2042</v>
      </c>
      <c r="U677" s="13" t="s">
        <v>986</v>
      </c>
      <c r="V677" s="13" t="s">
        <v>406</v>
      </c>
      <c r="W677" s="13" t="s">
        <v>58</v>
      </c>
      <c r="X677" s="14"/>
      <c r="AL677" s="14">
        <v>17.04</v>
      </c>
      <c r="AN677" s="7" t="s">
        <v>146</v>
      </c>
      <c r="AO677" s="21">
        <f t="shared" si="31"/>
        <v>17.04</v>
      </c>
      <c r="AP677" s="7">
        <f t="shared" si="32"/>
        <v>0.35999999999999943</v>
      </c>
      <c r="AQ677" s="31" t="str">
        <f t="shared" si="33"/>
        <v>Complete - With Adjustment</v>
      </c>
      <c r="AS677" s="37"/>
      <c r="AT677" s="37"/>
      <c r="AU677" s="37"/>
      <c r="AV677" s="37"/>
      <c r="AW677" s="37"/>
      <c r="AX677" s="37"/>
      <c r="AY677" s="37"/>
      <c r="AZ677" s="37"/>
      <c r="BA677" s="37"/>
      <c r="BB677" s="37"/>
      <c r="BC677" s="37"/>
      <c r="BD677" s="37"/>
      <c r="BE677" s="37"/>
      <c r="BF677" s="37"/>
      <c r="BG677" s="37"/>
      <c r="BH677" s="37"/>
      <c r="BI677" s="37"/>
    </row>
    <row r="678" spans="1:61" x14ac:dyDescent="0.2">
      <c r="A678" s="46">
        <v>668</v>
      </c>
      <c r="B678" s="13" t="s">
        <v>266</v>
      </c>
      <c r="C678" s="13" t="s">
        <v>504</v>
      </c>
      <c r="D678" s="13" t="s">
        <v>805</v>
      </c>
      <c r="E678" s="13" t="s">
        <v>2039</v>
      </c>
      <c r="F678" s="13" t="s">
        <v>1662</v>
      </c>
      <c r="G678" s="13" t="s">
        <v>111</v>
      </c>
      <c r="H678" s="16">
        <v>43970</v>
      </c>
      <c r="I678" s="16">
        <v>43979</v>
      </c>
      <c r="J678" s="22">
        <v>455.35</v>
      </c>
      <c r="K678" s="22">
        <v>16.149999999999999</v>
      </c>
      <c r="L678" s="22" t="s">
        <v>2040</v>
      </c>
      <c r="M678" s="26" t="s">
        <v>98</v>
      </c>
      <c r="N678" s="13" t="s">
        <v>230</v>
      </c>
      <c r="O678" s="13" t="s">
        <v>983</v>
      </c>
      <c r="P678" s="13" t="s">
        <v>406</v>
      </c>
      <c r="Q678" s="13" t="s">
        <v>57</v>
      </c>
      <c r="R678" s="13" t="s">
        <v>270</v>
      </c>
      <c r="S678" s="13" t="s">
        <v>2041</v>
      </c>
      <c r="T678" s="13" t="s">
        <v>2042</v>
      </c>
      <c r="U678" s="13" t="s">
        <v>986</v>
      </c>
      <c r="V678" s="13" t="s">
        <v>406</v>
      </c>
      <c r="W678" s="13" t="s">
        <v>58</v>
      </c>
      <c r="X678" s="14"/>
      <c r="AL678" s="14">
        <v>16.149999999999999</v>
      </c>
      <c r="AN678" s="7" t="s">
        <v>146</v>
      </c>
      <c r="AO678" s="21">
        <f t="shared" si="31"/>
        <v>16.149999999999999</v>
      </c>
      <c r="AP678" s="7">
        <f t="shared" si="32"/>
        <v>0</v>
      </c>
      <c r="AQ678" s="31" t="str">
        <f t="shared" si="33"/>
        <v>Complete - With Adjustment</v>
      </c>
      <c r="AS678" s="37"/>
      <c r="AT678" s="37"/>
      <c r="AU678" s="37"/>
      <c r="AV678" s="37"/>
      <c r="AW678" s="37"/>
      <c r="AX678" s="37"/>
      <c r="AY678" s="37"/>
      <c r="AZ678" s="37"/>
      <c r="BA678" s="37"/>
      <c r="BB678" s="37"/>
      <c r="BC678" s="37"/>
      <c r="BD678" s="37"/>
      <c r="BE678" s="37"/>
      <c r="BF678" s="37"/>
      <c r="BG678" s="37"/>
      <c r="BH678" s="37"/>
      <c r="BI678" s="37"/>
    </row>
    <row r="679" spans="1:61" x14ac:dyDescent="0.2">
      <c r="A679" s="46">
        <v>669</v>
      </c>
      <c r="B679" s="13" t="s">
        <v>266</v>
      </c>
      <c r="C679" s="13" t="s">
        <v>504</v>
      </c>
      <c r="D679" s="13" t="s">
        <v>805</v>
      </c>
      <c r="E679" s="13" t="s">
        <v>2039</v>
      </c>
      <c r="F679" s="13" t="s">
        <v>1662</v>
      </c>
      <c r="G679" s="13" t="s">
        <v>111</v>
      </c>
      <c r="H679" s="16">
        <v>43970</v>
      </c>
      <c r="I679" s="16">
        <v>43979</v>
      </c>
      <c r="J679" s="22">
        <v>455.35</v>
      </c>
      <c r="K679" s="22">
        <v>16.34</v>
      </c>
      <c r="L679" s="22" t="s">
        <v>2040</v>
      </c>
      <c r="M679" s="26" t="s">
        <v>98</v>
      </c>
      <c r="N679" s="13" t="s">
        <v>230</v>
      </c>
      <c r="O679" s="13" t="s">
        <v>983</v>
      </c>
      <c r="P679" s="13" t="s">
        <v>406</v>
      </c>
      <c r="Q679" s="13" t="s">
        <v>57</v>
      </c>
      <c r="R679" s="13" t="s">
        <v>270</v>
      </c>
      <c r="S679" s="13" t="s">
        <v>2041</v>
      </c>
      <c r="T679" s="13" t="s">
        <v>2042</v>
      </c>
      <c r="U679" s="13" t="s">
        <v>986</v>
      </c>
      <c r="V679" s="13" t="s">
        <v>406</v>
      </c>
      <c r="W679" s="13" t="s">
        <v>58</v>
      </c>
      <c r="X679" s="14"/>
      <c r="AL679" s="14">
        <v>16.34</v>
      </c>
      <c r="AN679" s="7" t="s">
        <v>146</v>
      </c>
      <c r="AO679" s="21">
        <f t="shared" si="31"/>
        <v>16.34</v>
      </c>
      <c r="AP679" s="7">
        <f t="shared" si="32"/>
        <v>0</v>
      </c>
      <c r="AQ679" s="31" t="str">
        <f t="shared" si="33"/>
        <v>Complete - With Adjustment</v>
      </c>
      <c r="AS679" s="37"/>
      <c r="AT679" s="37"/>
      <c r="AU679" s="37"/>
      <c r="AV679" s="37"/>
      <c r="AW679" s="37"/>
      <c r="AX679" s="37"/>
      <c r="AY679" s="37"/>
      <c r="AZ679" s="37"/>
      <c r="BA679" s="37"/>
      <c r="BB679" s="37"/>
      <c r="BC679" s="37"/>
      <c r="BD679" s="37"/>
      <c r="BE679" s="37"/>
      <c r="BF679" s="37"/>
      <c r="BG679" s="37"/>
      <c r="BH679" s="37"/>
      <c r="BI679" s="37"/>
    </row>
    <row r="680" spans="1:61" x14ac:dyDescent="0.2">
      <c r="A680" s="46">
        <v>670</v>
      </c>
      <c r="B680" s="13" t="s">
        <v>266</v>
      </c>
      <c r="C680" s="13" t="s">
        <v>504</v>
      </c>
      <c r="D680" s="13" t="s">
        <v>805</v>
      </c>
      <c r="E680" s="13" t="s">
        <v>2039</v>
      </c>
      <c r="F680" s="13" t="s">
        <v>1662</v>
      </c>
      <c r="G680" s="13" t="s">
        <v>111</v>
      </c>
      <c r="H680" s="16">
        <v>43970</v>
      </c>
      <c r="I680" s="16">
        <v>43979</v>
      </c>
      <c r="J680" s="22">
        <v>455.35</v>
      </c>
      <c r="K680" s="22">
        <v>16.309999999999999</v>
      </c>
      <c r="L680" s="22" t="s">
        <v>2040</v>
      </c>
      <c r="M680" s="26" t="s">
        <v>98</v>
      </c>
      <c r="N680" s="13" t="s">
        <v>230</v>
      </c>
      <c r="O680" s="13" t="s">
        <v>983</v>
      </c>
      <c r="P680" s="13" t="s">
        <v>406</v>
      </c>
      <c r="Q680" s="13" t="s">
        <v>57</v>
      </c>
      <c r="R680" s="13" t="s">
        <v>270</v>
      </c>
      <c r="S680" s="13" t="s">
        <v>2041</v>
      </c>
      <c r="T680" s="13" t="s">
        <v>2042</v>
      </c>
      <c r="U680" s="13" t="s">
        <v>986</v>
      </c>
      <c r="V680" s="13" t="s">
        <v>406</v>
      </c>
      <c r="W680" s="13" t="s">
        <v>58</v>
      </c>
      <c r="X680" s="14"/>
      <c r="AL680" s="14">
        <v>16.309999999999999</v>
      </c>
      <c r="AN680" s="7" t="s">
        <v>146</v>
      </c>
      <c r="AO680" s="21">
        <f t="shared" ref="AO680:AO743" si="34">SUM(Y680:AL680)</f>
        <v>16.309999999999999</v>
      </c>
      <c r="AP680" s="7">
        <f t="shared" ref="AP680:AP743" si="35">K680-AO680</f>
        <v>0</v>
      </c>
      <c r="AQ680" s="31" t="str">
        <f t="shared" si="33"/>
        <v>Complete - With Adjustment</v>
      </c>
      <c r="AS680" s="37"/>
      <c r="AT680" s="37"/>
      <c r="AU680" s="37"/>
      <c r="AV680" s="37"/>
      <c r="AW680" s="37"/>
      <c r="AX680" s="37"/>
      <c r="AY680" s="37"/>
      <c r="AZ680" s="37"/>
      <c r="BA680" s="37"/>
      <c r="BB680" s="37"/>
      <c r="BC680" s="37"/>
      <c r="BD680" s="37"/>
      <c r="BE680" s="37"/>
      <c r="BF680" s="37"/>
      <c r="BG680" s="37"/>
      <c r="BH680" s="37"/>
      <c r="BI680" s="37"/>
    </row>
    <row r="681" spans="1:61" x14ac:dyDescent="0.2">
      <c r="A681" s="46">
        <v>671</v>
      </c>
      <c r="B681" s="13" t="s">
        <v>266</v>
      </c>
      <c r="C681" s="13" t="s">
        <v>504</v>
      </c>
      <c r="D681" s="13" t="s">
        <v>805</v>
      </c>
      <c r="E681" s="13" t="s">
        <v>2039</v>
      </c>
      <c r="F681" s="13" t="s">
        <v>1662</v>
      </c>
      <c r="G681" s="13" t="s">
        <v>111</v>
      </c>
      <c r="H681" s="16">
        <v>43970</v>
      </c>
      <c r="I681" s="16">
        <v>43979</v>
      </c>
      <c r="J681" s="22">
        <v>455.35</v>
      </c>
      <c r="K681" s="22">
        <v>16.149999999999999</v>
      </c>
      <c r="L681" s="22" t="s">
        <v>2040</v>
      </c>
      <c r="M681" s="26" t="s">
        <v>98</v>
      </c>
      <c r="N681" s="13" t="s">
        <v>230</v>
      </c>
      <c r="O681" s="13" t="s">
        <v>983</v>
      </c>
      <c r="P681" s="13" t="s">
        <v>406</v>
      </c>
      <c r="Q681" s="13" t="s">
        <v>57</v>
      </c>
      <c r="R681" s="13" t="s">
        <v>270</v>
      </c>
      <c r="S681" s="13" t="s">
        <v>2041</v>
      </c>
      <c r="T681" s="13" t="s">
        <v>2042</v>
      </c>
      <c r="U681" s="13" t="s">
        <v>986</v>
      </c>
      <c r="V681" s="13" t="s">
        <v>406</v>
      </c>
      <c r="W681" s="13" t="s">
        <v>58</v>
      </c>
      <c r="X681" s="14"/>
      <c r="AL681" s="14">
        <v>16.149999999999999</v>
      </c>
      <c r="AN681" s="7" t="s">
        <v>146</v>
      </c>
      <c r="AO681" s="21">
        <f t="shared" si="34"/>
        <v>16.149999999999999</v>
      </c>
      <c r="AP681" s="7">
        <f t="shared" si="35"/>
        <v>0</v>
      </c>
      <c r="AQ681" s="31" t="str">
        <f t="shared" si="33"/>
        <v>Complete - With Adjustment</v>
      </c>
      <c r="AS681" s="37"/>
      <c r="AT681" s="37"/>
      <c r="AU681" s="37"/>
      <c r="AV681" s="37"/>
      <c r="AW681" s="37"/>
      <c r="AX681" s="37"/>
      <c r="AY681" s="37"/>
      <c r="AZ681" s="37"/>
      <c r="BA681" s="37"/>
      <c r="BB681" s="37"/>
      <c r="BC681" s="37"/>
      <c r="BD681" s="37"/>
      <c r="BE681" s="37"/>
      <c r="BF681" s="37"/>
      <c r="BG681" s="37"/>
      <c r="BH681" s="37"/>
      <c r="BI681" s="37"/>
    </row>
    <row r="682" spans="1:61" x14ac:dyDescent="0.2">
      <c r="A682" s="46">
        <v>672</v>
      </c>
      <c r="B682" s="13" t="s">
        <v>266</v>
      </c>
      <c r="C682" s="13" t="s">
        <v>504</v>
      </c>
      <c r="D682" s="13" t="s">
        <v>805</v>
      </c>
      <c r="E682" s="13" t="s">
        <v>2039</v>
      </c>
      <c r="F682" s="13" t="s">
        <v>1662</v>
      </c>
      <c r="G682" s="13" t="s">
        <v>111</v>
      </c>
      <c r="H682" s="16">
        <v>43970</v>
      </c>
      <c r="I682" s="16">
        <v>43979</v>
      </c>
      <c r="J682" s="22">
        <v>455.35</v>
      </c>
      <c r="K682" s="22">
        <v>14.98</v>
      </c>
      <c r="L682" s="22" t="s">
        <v>2040</v>
      </c>
      <c r="M682" s="26" t="s">
        <v>98</v>
      </c>
      <c r="N682" s="13" t="s">
        <v>230</v>
      </c>
      <c r="O682" s="13" t="s">
        <v>983</v>
      </c>
      <c r="P682" s="13" t="s">
        <v>406</v>
      </c>
      <c r="Q682" s="13" t="s">
        <v>57</v>
      </c>
      <c r="R682" s="13" t="s">
        <v>270</v>
      </c>
      <c r="S682" s="13" t="s">
        <v>2041</v>
      </c>
      <c r="T682" s="13" t="s">
        <v>2042</v>
      </c>
      <c r="U682" s="13" t="s">
        <v>986</v>
      </c>
      <c r="V682" s="13" t="s">
        <v>406</v>
      </c>
      <c r="W682" s="13" t="s">
        <v>58</v>
      </c>
      <c r="X682" s="14"/>
      <c r="AL682" s="14">
        <v>14.98</v>
      </c>
      <c r="AN682" s="7" t="s">
        <v>146</v>
      </c>
      <c r="AO682" s="21">
        <f t="shared" si="34"/>
        <v>14.98</v>
      </c>
      <c r="AP682" s="7">
        <f t="shared" si="35"/>
        <v>0</v>
      </c>
      <c r="AQ682" s="31" t="str">
        <f t="shared" si="33"/>
        <v>Complete - With Adjustment</v>
      </c>
      <c r="AS682" s="37"/>
      <c r="AT682" s="37"/>
      <c r="AU682" s="37"/>
      <c r="AV682" s="37"/>
      <c r="AW682" s="37"/>
      <c r="AX682" s="37"/>
      <c r="AY682" s="37"/>
      <c r="AZ682" s="37"/>
      <c r="BA682" s="37"/>
      <c r="BB682" s="37"/>
      <c r="BC682" s="37"/>
      <c r="BD682" s="37"/>
      <c r="BE682" s="37"/>
      <c r="BF682" s="37"/>
      <c r="BG682" s="37"/>
      <c r="BH682" s="37"/>
      <c r="BI682" s="37"/>
    </row>
    <row r="683" spans="1:61" x14ac:dyDescent="0.2">
      <c r="A683" s="46">
        <v>673</v>
      </c>
      <c r="B683" s="13" t="s">
        <v>266</v>
      </c>
      <c r="C683" s="13" t="s">
        <v>504</v>
      </c>
      <c r="D683" s="13" t="s">
        <v>805</v>
      </c>
      <c r="E683" s="13" t="s">
        <v>2039</v>
      </c>
      <c r="F683" s="13" t="s">
        <v>1662</v>
      </c>
      <c r="G683" s="13" t="s">
        <v>111</v>
      </c>
      <c r="H683" s="16">
        <v>43970</v>
      </c>
      <c r="I683" s="16">
        <v>43979</v>
      </c>
      <c r="J683" s="22">
        <v>455.35</v>
      </c>
      <c r="K683" s="22">
        <v>17.04</v>
      </c>
      <c r="L683" s="22" t="s">
        <v>2040</v>
      </c>
      <c r="M683" s="26" t="s">
        <v>98</v>
      </c>
      <c r="N683" s="13" t="s">
        <v>230</v>
      </c>
      <c r="O683" s="13" t="s">
        <v>983</v>
      </c>
      <c r="P683" s="13" t="s">
        <v>406</v>
      </c>
      <c r="Q683" s="13" t="s">
        <v>57</v>
      </c>
      <c r="R683" s="13" t="s">
        <v>270</v>
      </c>
      <c r="S683" s="13" t="s">
        <v>2041</v>
      </c>
      <c r="T683" s="13" t="s">
        <v>2042</v>
      </c>
      <c r="U683" s="13" t="s">
        <v>986</v>
      </c>
      <c r="V683" s="13" t="s">
        <v>406</v>
      </c>
      <c r="W683" s="13" t="s">
        <v>58</v>
      </c>
      <c r="X683" s="14"/>
      <c r="AL683" s="14">
        <v>17.04</v>
      </c>
      <c r="AN683" s="7" t="s">
        <v>146</v>
      </c>
      <c r="AO683" s="21">
        <f t="shared" si="34"/>
        <v>17.04</v>
      </c>
      <c r="AP683" s="7">
        <f t="shared" si="35"/>
        <v>0</v>
      </c>
      <c r="AQ683" s="31" t="str">
        <f t="shared" si="33"/>
        <v>Complete - With Adjustment</v>
      </c>
      <c r="AS683" s="37"/>
      <c r="AT683" s="37"/>
      <c r="AU683" s="37"/>
      <c r="AV683" s="37"/>
      <c r="AW683" s="37"/>
      <c r="AX683" s="37"/>
      <c r="AY683" s="37"/>
      <c r="AZ683" s="37"/>
      <c r="BA683" s="37"/>
      <c r="BB683" s="37"/>
      <c r="BC683" s="37"/>
      <c r="BD683" s="37"/>
      <c r="BE683" s="37"/>
      <c r="BF683" s="37"/>
      <c r="BG683" s="37"/>
      <c r="BH683" s="37"/>
      <c r="BI683" s="37"/>
    </row>
    <row r="684" spans="1:61" x14ac:dyDescent="0.2">
      <c r="A684" s="46">
        <v>674</v>
      </c>
      <c r="B684" s="13" t="s">
        <v>266</v>
      </c>
      <c r="C684" s="13" t="s">
        <v>504</v>
      </c>
      <c r="D684" s="13" t="s">
        <v>805</v>
      </c>
      <c r="E684" s="13" t="s">
        <v>2039</v>
      </c>
      <c r="F684" s="13" t="s">
        <v>1662</v>
      </c>
      <c r="G684" s="13" t="s">
        <v>111</v>
      </c>
      <c r="H684" s="16">
        <v>43970</v>
      </c>
      <c r="I684" s="16">
        <v>43979</v>
      </c>
      <c r="J684" s="22">
        <v>455.35</v>
      </c>
      <c r="K684" s="22">
        <v>37.82</v>
      </c>
      <c r="L684" s="22" t="s">
        <v>2040</v>
      </c>
      <c r="M684" s="26" t="s">
        <v>98</v>
      </c>
      <c r="N684" s="13" t="s">
        <v>230</v>
      </c>
      <c r="O684" s="13" t="s">
        <v>484</v>
      </c>
      <c r="P684" s="13" t="s">
        <v>60</v>
      </c>
      <c r="Q684" s="13" t="s">
        <v>46</v>
      </c>
      <c r="R684" s="13" t="s">
        <v>270</v>
      </c>
      <c r="S684" s="13" t="s">
        <v>2041</v>
      </c>
      <c r="T684" s="13" t="s">
        <v>2045</v>
      </c>
      <c r="U684" s="13"/>
      <c r="V684" s="13"/>
      <c r="W684" s="13"/>
      <c r="X684" s="14"/>
      <c r="AI684" s="53">
        <v>37.82</v>
      </c>
      <c r="AN684" s="7" t="s">
        <v>145</v>
      </c>
      <c r="AO684" s="21">
        <f t="shared" si="34"/>
        <v>37.82</v>
      </c>
      <c r="AP684" s="7">
        <f t="shared" si="35"/>
        <v>0</v>
      </c>
      <c r="AQ684" s="31" t="str">
        <f t="shared" si="33"/>
        <v>Complete - With Adjustment</v>
      </c>
      <c r="AS684" s="37"/>
      <c r="AT684" s="37"/>
      <c r="AU684" s="37"/>
      <c r="AV684" s="37"/>
      <c r="AW684" s="37"/>
      <c r="AX684" s="37"/>
      <c r="AY684" s="37"/>
      <c r="AZ684" s="37"/>
      <c r="BA684" s="37"/>
      <c r="BB684" s="37"/>
      <c r="BC684" s="37"/>
      <c r="BD684" s="37"/>
      <c r="BE684" s="37"/>
      <c r="BF684" s="37"/>
      <c r="BG684" s="37"/>
      <c r="BH684" s="37"/>
      <c r="BI684" s="37"/>
    </row>
    <row r="685" spans="1:61" x14ac:dyDescent="0.2">
      <c r="A685" s="46">
        <v>675</v>
      </c>
      <c r="B685" s="13" t="s">
        <v>266</v>
      </c>
      <c r="C685" s="13" t="s">
        <v>504</v>
      </c>
      <c r="D685" s="13" t="s">
        <v>805</v>
      </c>
      <c r="E685" s="13" t="s">
        <v>2039</v>
      </c>
      <c r="F685" s="13" t="s">
        <v>1662</v>
      </c>
      <c r="G685" s="13" t="s">
        <v>111</v>
      </c>
      <c r="H685" s="16">
        <v>43970</v>
      </c>
      <c r="I685" s="16">
        <v>43979</v>
      </c>
      <c r="J685" s="22">
        <v>455.35</v>
      </c>
      <c r="K685" s="22">
        <v>25</v>
      </c>
      <c r="L685" s="22" t="s">
        <v>2040</v>
      </c>
      <c r="M685" s="26" t="s">
        <v>98</v>
      </c>
      <c r="N685" s="13" t="s">
        <v>230</v>
      </c>
      <c r="O685" s="13" t="s">
        <v>983</v>
      </c>
      <c r="P685" s="13" t="s">
        <v>406</v>
      </c>
      <c r="Q685" s="13" t="s">
        <v>57</v>
      </c>
      <c r="R685" s="13" t="s">
        <v>270</v>
      </c>
      <c r="S685" s="13" t="s">
        <v>2041</v>
      </c>
      <c r="T685" s="13" t="s">
        <v>2046</v>
      </c>
      <c r="U685" s="13" t="s">
        <v>986</v>
      </c>
      <c r="V685" s="13" t="s">
        <v>406</v>
      </c>
      <c r="W685" s="13" t="s">
        <v>58</v>
      </c>
      <c r="X685" s="14"/>
      <c r="AI685" s="53">
        <v>25</v>
      </c>
      <c r="AN685" s="7" t="s">
        <v>145</v>
      </c>
      <c r="AO685" s="21">
        <f t="shared" si="34"/>
        <v>25</v>
      </c>
      <c r="AP685" s="7">
        <f t="shared" si="35"/>
        <v>0</v>
      </c>
      <c r="AQ685" s="31" t="str">
        <f t="shared" si="33"/>
        <v>Complete - With Adjustment</v>
      </c>
      <c r="AS685" s="37"/>
      <c r="AT685" s="37"/>
      <c r="AU685" s="37"/>
      <c r="AV685" s="37"/>
      <c r="AW685" s="37"/>
      <c r="AX685" s="37"/>
      <c r="AY685" s="37"/>
      <c r="AZ685" s="37"/>
      <c r="BA685" s="37"/>
      <c r="BB685" s="37"/>
      <c r="BC685" s="37"/>
      <c r="BD685" s="37"/>
      <c r="BE685" s="37"/>
      <c r="BF685" s="37"/>
      <c r="BG685" s="37"/>
      <c r="BH685" s="37"/>
      <c r="BI685" s="37"/>
    </row>
    <row r="686" spans="1:61" x14ac:dyDescent="0.2">
      <c r="A686" s="46">
        <v>676</v>
      </c>
      <c r="B686" s="13" t="s">
        <v>266</v>
      </c>
      <c r="C686" s="13" t="s">
        <v>504</v>
      </c>
      <c r="D686" s="13" t="s">
        <v>805</v>
      </c>
      <c r="E686" s="13" t="s">
        <v>2039</v>
      </c>
      <c r="F686" s="13" t="s">
        <v>1662</v>
      </c>
      <c r="G686" s="13" t="s">
        <v>111</v>
      </c>
      <c r="H686" s="16">
        <v>43970</v>
      </c>
      <c r="I686" s="16">
        <v>43979</v>
      </c>
      <c r="J686" s="22">
        <v>455.35</v>
      </c>
      <c r="K686" s="22">
        <v>16</v>
      </c>
      <c r="L686" s="22" t="s">
        <v>2040</v>
      </c>
      <c r="M686" s="26" t="s">
        <v>98</v>
      </c>
      <c r="N686" s="13" t="s">
        <v>230</v>
      </c>
      <c r="O686" s="13" t="s">
        <v>983</v>
      </c>
      <c r="P686" s="13" t="s">
        <v>406</v>
      </c>
      <c r="Q686" s="13" t="s">
        <v>57</v>
      </c>
      <c r="R686" s="13" t="s">
        <v>270</v>
      </c>
      <c r="S686" s="13" t="s">
        <v>2041</v>
      </c>
      <c r="T686" s="13" t="s">
        <v>2042</v>
      </c>
      <c r="U686" s="13" t="s">
        <v>986</v>
      </c>
      <c r="V686" s="13" t="s">
        <v>406</v>
      </c>
      <c r="W686" s="13" t="s">
        <v>58</v>
      </c>
      <c r="X686" s="14"/>
      <c r="AL686" s="14">
        <v>16</v>
      </c>
      <c r="AN686" s="7" t="s">
        <v>146</v>
      </c>
      <c r="AO686" s="21">
        <f t="shared" si="34"/>
        <v>16</v>
      </c>
      <c r="AP686" s="7">
        <f t="shared" si="35"/>
        <v>0</v>
      </c>
      <c r="AQ686" s="31" t="str">
        <f t="shared" si="33"/>
        <v>Complete - With Adjustment</v>
      </c>
      <c r="AS686" s="37"/>
      <c r="AT686" s="37"/>
      <c r="AU686" s="37"/>
      <c r="AV686" s="37"/>
      <c r="AW686" s="37"/>
      <c r="AX686" s="37"/>
      <c r="AY686" s="37"/>
      <c r="AZ686" s="37"/>
      <c r="BA686" s="37"/>
      <c r="BB686" s="37"/>
      <c r="BC686" s="37"/>
      <c r="BD686" s="37"/>
      <c r="BE686" s="37"/>
      <c r="BF686" s="37"/>
      <c r="BG686" s="37"/>
      <c r="BH686" s="37"/>
      <c r="BI686" s="37"/>
    </row>
    <row r="687" spans="1:61" x14ac:dyDescent="0.2">
      <c r="A687" s="46">
        <v>677</v>
      </c>
      <c r="B687" s="13" t="s">
        <v>266</v>
      </c>
      <c r="C687" s="13" t="s">
        <v>504</v>
      </c>
      <c r="D687" s="13" t="s">
        <v>805</v>
      </c>
      <c r="E687" s="13" t="s">
        <v>2039</v>
      </c>
      <c r="F687" s="13" t="s">
        <v>1662</v>
      </c>
      <c r="G687" s="13" t="s">
        <v>111</v>
      </c>
      <c r="H687" s="16">
        <v>43970</v>
      </c>
      <c r="I687" s="16">
        <v>43979</v>
      </c>
      <c r="J687" s="22">
        <v>455.35</v>
      </c>
      <c r="K687" s="22">
        <v>23.33</v>
      </c>
      <c r="L687" s="22" t="s">
        <v>2040</v>
      </c>
      <c r="M687" s="26" t="s">
        <v>98</v>
      </c>
      <c r="N687" s="13" t="s">
        <v>230</v>
      </c>
      <c r="O687" s="13" t="s">
        <v>983</v>
      </c>
      <c r="P687" s="13" t="s">
        <v>406</v>
      </c>
      <c r="Q687" s="13" t="s">
        <v>57</v>
      </c>
      <c r="R687" s="13" t="s">
        <v>270</v>
      </c>
      <c r="S687" s="13" t="s">
        <v>2041</v>
      </c>
      <c r="T687" s="13" t="s">
        <v>2042</v>
      </c>
      <c r="U687" s="13" t="s">
        <v>986</v>
      </c>
      <c r="V687" s="13" t="s">
        <v>406</v>
      </c>
      <c r="W687" s="13" t="s">
        <v>58</v>
      </c>
      <c r="X687" s="14"/>
      <c r="AL687" s="14">
        <v>23.33</v>
      </c>
      <c r="AN687" s="7" t="s">
        <v>146</v>
      </c>
      <c r="AO687" s="21">
        <f t="shared" si="34"/>
        <v>23.33</v>
      </c>
      <c r="AP687" s="7">
        <f t="shared" si="35"/>
        <v>0</v>
      </c>
      <c r="AQ687" s="31" t="str">
        <f t="shared" si="33"/>
        <v>Complete - With Adjustment</v>
      </c>
      <c r="AS687" s="37"/>
      <c r="AT687" s="37"/>
      <c r="AU687" s="37"/>
      <c r="AV687" s="37"/>
      <c r="AW687" s="37"/>
      <c r="AX687" s="37"/>
      <c r="AY687" s="37"/>
      <c r="AZ687" s="37"/>
      <c r="BA687" s="37"/>
      <c r="BB687" s="37"/>
      <c r="BC687" s="37"/>
      <c r="BD687" s="37"/>
      <c r="BE687" s="37"/>
      <c r="BF687" s="37"/>
      <c r="BG687" s="37"/>
      <c r="BH687" s="37"/>
      <c r="BI687" s="37"/>
    </row>
    <row r="688" spans="1:61" x14ac:dyDescent="0.2">
      <c r="A688" s="46">
        <v>678</v>
      </c>
      <c r="B688" s="13" t="s">
        <v>266</v>
      </c>
      <c r="C688" s="13" t="s">
        <v>504</v>
      </c>
      <c r="D688" s="13" t="s">
        <v>805</v>
      </c>
      <c r="E688" s="13" t="s">
        <v>2039</v>
      </c>
      <c r="F688" s="13" t="s">
        <v>1662</v>
      </c>
      <c r="G688" s="13" t="s">
        <v>111</v>
      </c>
      <c r="H688" s="16">
        <v>43970</v>
      </c>
      <c r="I688" s="16">
        <v>43979</v>
      </c>
      <c r="J688" s="22">
        <v>455.35</v>
      </c>
      <c r="K688" s="22">
        <v>16.34</v>
      </c>
      <c r="L688" s="22" t="s">
        <v>2040</v>
      </c>
      <c r="M688" s="26" t="s">
        <v>98</v>
      </c>
      <c r="N688" s="13" t="s">
        <v>230</v>
      </c>
      <c r="O688" s="13" t="s">
        <v>983</v>
      </c>
      <c r="P688" s="13" t="s">
        <v>406</v>
      </c>
      <c r="Q688" s="13" t="s">
        <v>57</v>
      </c>
      <c r="R688" s="13" t="s">
        <v>270</v>
      </c>
      <c r="S688" s="13" t="s">
        <v>2041</v>
      </c>
      <c r="T688" s="13" t="s">
        <v>2042</v>
      </c>
      <c r="U688" s="13" t="s">
        <v>986</v>
      </c>
      <c r="V688" s="13" t="s">
        <v>406</v>
      </c>
      <c r="W688" s="13" t="s">
        <v>58</v>
      </c>
      <c r="X688" s="14"/>
      <c r="AL688" s="14">
        <v>16.34</v>
      </c>
      <c r="AN688" s="7" t="s">
        <v>146</v>
      </c>
      <c r="AO688" s="21">
        <f t="shared" si="34"/>
        <v>16.34</v>
      </c>
      <c r="AP688" s="7">
        <f t="shared" si="35"/>
        <v>0</v>
      </c>
      <c r="AQ688" s="31" t="str">
        <f t="shared" si="33"/>
        <v>Complete - With Adjustment</v>
      </c>
      <c r="AS688" s="37"/>
      <c r="AT688" s="37"/>
      <c r="AU688" s="37"/>
      <c r="AV688" s="37"/>
      <c r="AW688" s="37"/>
      <c r="AX688" s="37"/>
      <c r="AY688" s="37"/>
      <c r="AZ688" s="37"/>
      <c r="BA688" s="37"/>
      <c r="BB688" s="37"/>
      <c r="BC688" s="37"/>
      <c r="BD688" s="37"/>
      <c r="BE688" s="37"/>
      <c r="BF688" s="37"/>
      <c r="BG688" s="37"/>
      <c r="BH688" s="37"/>
      <c r="BI688" s="37"/>
    </row>
    <row r="689" spans="1:61" x14ac:dyDescent="0.2">
      <c r="A689" s="46">
        <v>679</v>
      </c>
      <c r="B689" s="13" t="s">
        <v>266</v>
      </c>
      <c r="C689" s="13" t="s">
        <v>504</v>
      </c>
      <c r="D689" s="13" t="s">
        <v>805</v>
      </c>
      <c r="E689" s="13" t="s">
        <v>2039</v>
      </c>
      <c r="F689" s="13" t="s">
        <v>1662</v>
      </c>
      <c r="G689" s="13" t="s">
        <v>111</v>
      </c>
      <c r="H689" s="16">
        <v>43970</v>
      </c>
      <c r="I689" s="16">
        <v>43979</v>
      </c>
      <c r="J689" s="22">
        <v>455.35</v>
      </c>
      <c r="K689" s="22">
        <v>15.44</v>
      </c>
      <c r="L689" s="22" t="s">
        <v>2040</v>
      </c>
      <c r="M689" s="26" t="s">
        <v>98</v>
      </c>
      <c r="N689" s="13" t="s">
        <v>230</v>
      </c>
      <c r="O689" s="13" t="s">
        <v>983</v>
      </c>
      <c r="P689" s="13" t="s">
        <v>406</v>
      </c>
      <c r="Q689" s="13" t="s">
        <v>57</v>
      </c>
      <c r="R689" s="13" t="s">
        <v>270</v>
      </c>
      <c r="S689" s="13" t="s">
        <v>2041</v>
      </c>
      <c r="T689" s="13" t="s">
        <v>2042</v>
      </c>
      <c r="U689" s="13" t="s">
        <v>986</v>
      </c>
      <c r="V689" s="13" t="s">
        <v>406</v>
      </c>
      <c r="W689" s="13" t="s">
        <v>58</v>
      </c>
      <c r="X689" s="14"/>
      <c r="AL689" s="14">
        <v>15.44</v>
      </c>
      <c r="AN689" s="7" t="s">
        <v>146</v>
      </c>
      <c r="AO689" s="21">
        <f t="shared" si="34"/>
        <v>15.44</v>
      </c>
      <c r="AP689" s="7">
        <f t="shared" si="35"/>
        <v>0</v>
      </c>
      <c r="AQ689" s="31" t="str">
        <f t="shared" si="33"/>
        <v>Complete - With Adjustment</v>
      </c>
      <c r="AS689" s="37"/>
      <c r="AT689" s="37"/>
      <c r="AU689" s="37"/>
      <c r="AV689" s="37"/>
      <c r="AW689" s="37"/>
      <c r="AX689" s="37"/>
      <c r="AY689" s="37"/>
      <c r="AZ689" s="37"/>
      <c r="BA689" s="37"/>
      <c r="BB689" s="37"/>
      <c r="BC689" s="37"/>
      <c r="BD689" s="37"/>
      <c r="BE689" s="37"/>
      <c r="BF689" s="37"/>
      <c r="BG689" s="37"/>
      <c r="BH689" s="37"/>
      <c r="BI689" s="37"/>
    </row>
    <row r="690" spans="1:61" x14ac:dyDescent="0.2">
      <c r="A690" s="46">
        <v>680</v>
      </c>
      <c r="B690" s="13" t="s">
        <v>266</v>
      </c>
      <c r="C690" s="13" t="s">
        <v>579</v>
      </c>
      <c r="D690" s="13" t="s">
        <v>578</v>
      </c>
      <c r="E690" s="13" t="s">
        <v>2047</v>
      </c>
      <c r="F690" s="13" t="s">
        <v>196</v>
      </c>
      <c r="G690" s="13" t="s">
        <v>111</v>
      </c>
      <c r="H690" s="16">
        <v>43949</v>
      </c>
      <c r="I690" s="16">
        <v>43956</v>
      </c>
      <c r="J690" s="22">
        <v>16.850000000000001</v>
      </c>
      <c r="K690" s="22">
        <v>8.43</v>
      </c>
      <c r="L690" s="22" t="s">
        <v>2048</v>
      </c>
      <c r="M690" s="26" t="s">
        <v>98</v>
      </c>
      <c r="N690" s="13" t="s">
        <v>230</v>
      </c>
      <c r="O690" s="13" t="s">
        <v>297</v>
      </c>
      <c r="P690" s="13" t="s">
        <v>60</v>
      </c>
      <c r="Q690" s="13" t="s">
        <v>41</v>
      </c>
      <c r="R690" s="13" t="s">
        <v>270</v>
      </c>
      <c r="S690" s="13" t="s">
        <v>2049</v>
      </c>
      <c r="T690" s="13" t="s">
        <v>2050</v>
      </c>
      <c r="U690" s="13"/>
      <c r="V690" s="13"/>
      <c r="W690" s="13"/>
      <c r="X690" s="14"/>
      <c r="AL690" s="14">
        <v>8.42</v>
      </c>
      <c r="AN690" s="7" t="s">
        <v>167</v>
      </c>
      <c r="AO690" s="21">
        <f t="shared" si="34"/>
        <v>8.42</v>
      </c>
      <c r="AP690" s="7">
        <f t="shared" si="35"/>
        <v>9.9999999999997868E-3</v>
      </c>
      <c r="AQ690" s="31" t="str">
        <f t="shared" si="33"/>
        <v>Complete - With Adjustment</v>
      </c>
      <c r="AS690" s="37"/>
      <c r="AT690" s="37"/>
      <c r="AU690" s="37"/>
      <c r="AV690" s="37"/>
      <c r="AW690" s="37"/>
      <c r="AX690" s="37"/>
      <c r="AY690" s="37"/>
      <c r="AZ690" s="37"/>
      <c r="BA690" s="37"/>
      <c r="BB690" s="37"/>
      <c r="BC690" s="37"/>
      <c r="BD690" s="37"/>
      <c r="BE690" s="37"/>
      <c r="BF690" s="37"/>
      <c r="BG690" s="37"/>
      <c r="BH690" s="37"/>
      <c r="BI690" s="37"/>
    </row>
    <row r="691" spans="1:61" x14ac:dyDescent="0.2">
      <c r="A691" s="46">
        <v>681</v>
      </c>
      <c r="B691" s="13" t="s">
        <v>266</v>
      </c>
      <c r="C691" s="13" t="s">
        <v>579</v>
      </c>
      <c r="D691" s="13" t="s">
        <v>578</v>
      </c>
      <c r="E691" s="13" t="s">
        <v>2047</v>
      </c>
      <c r="F691" s="13" t="s">
        <v>196</v>
      </c>
      <c r="G691" s="13" t="s">
        <v>111</v>
      </c>
      <c r="H691" s="16">
        <v>43949</v>
      </c>
      <c r="I691" s="16">
        <v>43956</v>
      </c>
      <c r="J691" s="22">
        <v>16.850000000000001</v>
      </c>
      <c r="K691" s="22">
        <v>8.42</v>
      </c>
      <c r="L691" s="22" t="s">
        <v>2048</v>
      </c>
      <c r="M691" s="26" t="s">
        <v>98</v>
      </c>
      <c r="N691" s="13" t="s">
        <v>230</v>
      </c>
      <c r="O691" s="13" t="s">
        <v>294</v>
      </c>
      <c r="P691" s="13" t="s">
        <v>60</v>
      </c>
      <c r="Q691" s="13" t="s">
        <v>41</v>
      </c>
      <c r="R691" s="13" t="s">
        <v>270</v>
      </c>
      <c r="S691" s="13" t="s">
        <v>2049</v>
      </c>
      <c r="T691" s="13" t="s">
        <v>2050</v>
      </c>
      <c r="U691" s="13"/>
      <c r="V691" s="13"/>
      <c r="W691" s="13"/>
      <c r="X691" s="14"/>
      <c r="AL691" s="14">
        <v>8.42</v>
      </c>
      <c r="AN691" s="7" t="s">
        <v>167</v>
      </c>
      <c r="AO691" s="21">
        <f t="shared" si="34"/>
        <v>8.42</v>
      </c>
      <c r="AP691" s="7">
        <f t="shared" si="35"/>
        <v>0</v>
      </c>
      <c r="AQ691" s="31" t="str">
        <f t="shared" si="33"/>
        <v>Complete - With Adjustment</v>
      </c>
      <c r="AS691" s="37"/>
      <c r="AT691" s="37"/>
      <c r="AU691" s="37"/>
      <c r="AV691" s="37"/>
      <c r="AW691" s="37"/>
      <c r="AX691" s="37"/>
      <c r="AY691" s="37"/>
      <c r="AZ691" s="37"/>
      <c r="BA691" s="37"/>
      <c r="BB691" s="37"/>
      <c r="BC691" s="37"/>
      <c r="BD691" s="37"/>
      <c r="BE691" s="37"/>
      <c r="BF691" s="37"/>
      <c r="BG691" s="37"/>
      <c r="BH691" s="37"/>
      <c r="BI691" s="37"/>
    </row>
    <row r="692" spans="1:61" x14ac:dyDescent="0.2">
      <c r="A692" s="46">
        <v>682</v>
      </c>
      <c r="B692" s="13" t="s">
        <v>266</v>
      </c>
      <c r="C692" s="13" t="s">
        <v>579</v>
      </c>
      <c r="D692" s="13" t="s">
        <v>578</v>
      </c>
      <c r="E692" s="13" t="s">
        <v>2051</v>
      </c>
      <c r="F692" s="13" t="s">
        <v>196</v>
      </c>
      <c r="G692" s="13" t="s">
        <v>111</v>
      </c>
      <c r="H692" s="16">
        <v>43953</v>
      </c>
      <c r="I692" s="16">
        <v>43956</v>
      </c>
      <c r="J692" s="22">
        <v>26.06</v>
      </c>
      <c r="K692" s="22">
        <v>13.03</v>
      </c>
      <c r="L692" s="22" t="s">
        <v>2052</v>
      </c>
      <c r="M692" s="26" t="s">
        <v>98</v>
      </c>
      <c r="N692" s="13" t="s">
        <v>230</v>
      </c>
      <c r="O692" s="13" t="s">
        <v>297</v>
      </c>
      <c r="P692" s="13" t="s">
        <v>60</v>
      </c>
      <c r="Q692" s="13" t="s">
        <v>104</v>
      </c>
      <c r="R692" s="13" t="s">
        <v>270</v>
      </c>
      <c r="S692" s="13" t="s">
        <v>2053</v>
      </c>
      <c r="T692" s="13" t="s">
        <v>2054</v>
      </c>
      <c r="U692" s="13"/>
      <c r="V692" s="13"/>
      <c r="W692" s="13"/>
      <c r="X692" s="14"/>
      <c r="AN692" s="7" t="s">
        <v>155</v>
      </c>
      <c r="AO692" s="21">
        <f t="shared" si="34"/>
        <v>0</v>
      </c>
      <c r="AP692" s="7">
        <f t="shared" si="35"/>
        <v>13.03</v>
      </c>
      <c r="AQ692" s="31" t="str">
        <f t="shared" si="33"/>
        <v>Complete - No Adjustment</v>
      </c>
      <c r="AS692" s="37"/>
      <c r="AT692" s="37"/>
      <c r="AU692" s="37"/>
      <c r="AV692" s="37"/>
      <c r="AW692" s="37"/>
      <c r="AX692" s="37"/>
      <c r="AY692" s="37"/>
      <c r="AZ692" s="37"/>
      <c r="BA692" s="37"/>
      <c r="BB692" s="37"/>
      <c r="BC692" s="37"/>
      <c r="BD692" s="37"/>
      <c r="BE692" s="37"/>
      <c r="BF692" s="37"/>
      <c r="BG692" s="37"/>
      <c r="BH692" s="37"/>
      <c r="BI692" s="37"/>
    </row>
    <row r="693" spans="1:61" x14ac:dyDescent="0.2">
      <c r="A693" s="46">
        <v>683</v>
      </c>
      <c r="B693" s="13" t="s">
        <v>266</v>
      </c>
      <c r="C693" s="13" t="s">
        <v>579</v>
      </c>
      <c r="D693" s="13" t="s">
        <v>578</v>
      </c>
      <c r="E693" s="13" t="s">
        <v>2051</v>
      </c>
      <c r="F693" s="13" t="s">
        <v>196</v>
      </c>
      <c r="G693" s="13" t="s">
        <v>111</v>
      </c>
      <c r="H693" s="16">
        <v>43953</v>
      </c>
      <c r="I693" s="16">
        <v>43956</v>
      </c>
      <c r="J693" s="22">
        <v>26.06</v>
      </c>
      <c r="K693" s="22">
        <v>13.03</v>
      </c>
      <c r="L693" s="22" t="s">
        <v>2052</v>
      </c>
      <c r="M693" s="26" t="s">
        <v>98</v>
      </c>
      <c r="N693" s="13" t="s">
        <v>230</v>
      </c>
      <c r="O693" s="13" t="s">
        <v>294</v>
      </c>
      <c r="P693" s="13" t="s">
        <v>60</v>
      </c>
      <c r="Q693" s="13" t="s">
        <v>104</v>
      </c>
      <c r="R693" s="13" t="s">
        <v>270</v>
      </c>
      <c r="S693" s="13" t="s">
        <v>2053</v>
      </c>
      <c r="T693" s="13" t="s">
        <v>2054</v>
      </c>
      <c r="U693" s="13"/>
      <c r="V693" s="13"/>
      <c r="W693" s="13"/>
      <c r="X693" s="14"/>
      <c r="AN693" s="7" t="s">
        <v>155</v>
      </c>
      <c r="AO693" s="21">
        <f t="shared" si="34"/>
        <v>0</v>
      </c>
      <c r="AP693" s="7">
        <f t="shared" si="35"/>
        <v>13.03</v>
      </c>
      <c r="AQ693" s="31" t="str">
        <f t="shared" si="33"/>
        <v>Complete - No Adjustment</v>
      </c>
      <c r="AS693" s="37"/>
      <c r="AT693" s="37"/>
      <c r="AU693" s="37"/>
      <c r="AV693" s="37"/>
      <c r="AW693" s="37"/>
      <c r="AX693" s="37"/>
      <c r="AY693" s="37"/>
      <c r="AZ693" s="37"/>
      <c r="BA693" s="37"/>
      <c r="BB693" s="37"/>
      <c r="BC693" s="37"/>
      <c r="BD693" s="37"/>
      <c r="BE693" s="37"/>
      <c r="BF693" s="37"/>
      <c r="BG693" s="37"/>
      <c r="BH693" s="37"/>
      <c r="BI693" s="37"/>
    </row>
    <row r="694" spans="1:61" x14ac:dyDescent="0.2">
      <c r="A694" s="46">
        <v>684</v>
      </c>
      <c r="B694" s="13" t="s">
        <v>266</v>
      </c>
      <c r="C694" s="13" t="s">
        <v>665</v>
      </c>
      <c r="D694" s="13" t="s">
        <v>664</v>
      </c>
      <c r="E694" s="13" t="s">
        <v>2055</v>
      </c>
      <c r="F694" s="13" t="s">
        <v>196</v>
      </c>
      <c r="G694" s="13" t="s">
        <v>111</v>
      </c>
      <c r="H694" s="16">
        <v>43952</v>
      </c>
      <c r="I694" s="16">
        <v>43956</v>
      </c>
      <c r="J694" s="22">
        <v>22.02</v>
      </c>
      <c r="K694" s="22">
        <v>22.02</v>
      </c>
      <c r="L694" s="22" t="s">
        <v>2056</v>
      </c>
      <c r="M694" s="26" t="s">
        <v>98</v>
      </c>
      <c r="N694" s="13" t="s">
        <v>230</v>
      </c>
      <c r="O694" s="13" t="s">
        <v>78</v>
      </c>
      <c r="P694" s="13" t="s">
        <v>60</v>
      </c>
      <c r="Q694" s="13" t="s">
        <v>41</v>
      </c>
      <c r="R694" s="13" t="s">
        <v>270</v>
      </c>
      <c r="S694" s="13" t="s">
        <v>2057</v>
      </c>
      <c r="T694" s="13" t="s">
        <v>2058</v>
      </c>
      <c r="U694" s="13"/>
      <c r="V694" s="13"/>
      <c r="W694" s="13"/>
      <c r="X694" s="14"/>
      <c r="AN694" s="7" t="s">
        <v>155</v>
      </c>
      <c r="AO694" s="21">
        <f t="shared" si="34"/>
        <v>0</v>
      </c>
      <c r="AP694" s="7">
        <f t="shared" si="35"/>
        <v>22.02</v>
      </c>
      <c r="AQ694" s="31" t="str">
        <f t="shared" si="33"/>
        <v>Complete - No Adjustment</v>
      </c>
      <c r="AS694" s="37"/>
      <c r="AT694" s="37"/>
      <c r="AU694" s="37"/>
      <c r="AV694" s="37"/>
      <c r="AW694" s="37"/>
      <c r="AX694" s="37"/>
      <c r="AY694" s="37"/>
      <c r="AZ694" s="37"/>
      <c r="BA694" s="37"/>
      <c r="BB694" s="37"/>
      <c r="BC694" s="37"/>
      <c r="BD694" s="37"/>
      <c r="BE694" s="37"/>
      <c r="BF694" s="37"/>
      <c r="BG694" s="37"/>
      <c r="BH694" s="37"/>
      <c r="BI694" s="37"/>
    </row>
    <row r="695" spans="1:61" x14ac:dyDescent="0.2">
      <c r="A695" s="46">
        <v>685</v>
      </c>
      <c r="B695" s="13" t="s">
        <v>266</v>
      </c>
      <c r="C695" s="13" t="s">
        <v>883</v>
      </c>
      <c r="D695" s="13" t="s">
        <v>884</v>
      </c>
      <c r="E695" s="13" t="s">
        <v>2080</v>
      </c>
      <c r="F695" s="13" t="s">
        <v>209</v>
      </c>
      <c r="G695" s="13" t="s">
        <v>111</v>
      </c>
      <c r="H695" s="16">
        <v>43992</v>
      </c>
      <c r="I695" s="16">
        <v>43993</v>
      </c>
      <c r="J695" s="22">
        <v>9.7100000000000009</v>
      </c>
      <c r="K695" s="22">
        <v>9.7100000000000009</v>
      </c>
      <c r="L695" s="22" t="s">
        <v>2081</v>
      </c>
      <c r="M695" s="26" t="s">
        <v>98</v>
      </c>
      <c r="N695" s="13" t="s">
        <v>230</v>
      </c>
      <c r="O695" s="13" t="s">
        <v>451</v>
      </c>
      <c r="P695" s="13" t="s">
        <v>60</v>
      </c>
      <c r="Q695" s="13" t="s">
        <v>41</v>
      </c>
      <c r="R695" s="13" t="s">
        <v>270</v>
      </c>
      <c r="S695" s="13" t="s">
        <v>1637</v>
      </c>
      <c r="T695" s="13" t="s">
        <v>1638</v>
      </c>
      <c r="U695" s="13"/>
      <c r="V695" s="13"/>
      <c r="W695" s="13"/>
      <c r="X695" s="14"/>
      <c r="AN695" s="7" t="s">
        <v>155</v>
      </c>
      <c r="AO695" s="21">
        <f t="shared" si="34"/>
        <v>0</v>
      </c>
      <c r="AP695" s="7">
        <f t="shared" si="35"/>
        <v>9.7100000000000009</v>
      </c>
      <c r="AQ695" s="31" t="str">
        <f t="shared" si="33"/>
        <v>Complete - No Adjustment</v>
      </c>
    </row>
    <row r="696" spans="1:61" x14ac:dyDescent="0.2">
      <c r="A696" s="46">
        <v>686</v>
      </c>
      <c r="B696" s="13" t="s">
        <v>266</v>
      </c>
      <c r="C696" s="13" t="s">
        <v>2082</v>
      </c>
      <c r="D696" s="13" t="s">
        <v>2083</v>
      </c>
      <c r="E696" s="13" t="s">
        <v>2084</v>
      </c>
      <c r="F696" s="13" t="s">
        <v>209</v>
      </c>
      <c r="G696" s="13" t="s">
        <v>111</v>
      </c>
      <c r="H696" s="16">
        <v>43991</v>
      </c>
      <c r="I696" s="16">
        <v>43993</v>
      </c>
      <c r="J696" s="22">
        <v>15</v>
      </c>
      <c r="K696" s="22">
        <v>15</v>
      </c>
      <c r="L696" s="22" t="s">
        <v>2085</v>
      </c>
      <c r="M696" s="26" t="s">
        <v>98</v>
      </c>
      <c r="N696" s="13" t="s">
        <v>230</v>
      </c>
      <c r="O696" s="13" t="s">
        <v>365</v>
      </c>
      <c r="P696" s="13" t="s">
        <v>60</v>
      </c>
      <c r="Q696" s="13" t="s">
        <v>41</v>
      </c>
      <c r="R696" s="13" t="s">
        <v>270</v>
      </c>
      <c r="S696" s="13" t="s">
        <v>2086</v>
      </c>
      <c r="T696" s="13" t="s">
        <v>2087</v>
      </c>
      <c r="U696" s="13"/>
      <c r="V696" s="13"/>
      <c r="W696" s="13"/>
      <c r="X696" s="14"/>
      <c r="AN696" s="7" t="s">
        <v>155</v>
      </c>
      <c r="AO696" s="21">
        <f t="shared" si="34"/>
        <v>0</v>
      </c>
      <c r="AP696" s="7">
        <f t="shared" si="35"/>
        <v>15</v>
      </c>
      <c r="AQ696" s="31" t="str">
        <f t="shared" si="33"/>
        <v>Complete - No Adjustment</v>
      </c>
    </row>
    <row r="697" spans="1:61" x14ac:dyDescent="0.2">
      <c r="A697" s="46">
        <v>687</v>
      </c>
      <c r="B697" s="13" t="s">
        <v>266</v>
      </c>
      <c r="C697" s="13" t="s">
        <v>691</v>
      </c>
      <c r="D697" s="13" t="s">
        <v>690</v>
      </c>
      <c r="E697" s="13" t="s">
        <v>2088</v>
      </c>
      <c r="F697" s="13" t="s">
        <v>214</v>
      </c>
      <c r="G697" s="13" t="s">
        <v>111</v>
      </c>
      <c r="H697" s="16">
        <v>43984</v>
      </c>
      <c r="I697" s="16">
        <v>43990</v>
      </c>
      <c r="J697" s="22">
        <v>10.48</v>
      </c>
      <c r="K697" s="22">
        <v>10.48</v>
      </c>
      <c r="L697" s="22" t="s">
        <v>2089</v>
      </c>
      <c r="M697" s="26" t="s">
        <v>98</v>
      </c>
      <c r="N697" s="13" t="s">
        <v>230</v>
      </c>
      <c r="O697" s="13" t="s">
        <v>292</v>
      </c>
      <c r="P697" s="13" t="s">
        <v>60</v>
      </c>
      <c r="Q697" s="13" t="s">
        <v>46</v>
      </c>
      <c r="R697" s="13" t="s">
        <v>270</v>
      </c>
      <c r="S697" s="13" t="s">
        <v>2090</v>
      </c>
      <c r="T697" s="13" t="s">
        <v>2091</v>
      </c>
      <c r="U697" s="13"/>
      <c r="V697" s="13"/>
      <c r="W697" s="13"/>
      <c r="X697" s="14"/>
      <c r="AN697" s="7" t="s">
        <v>155</v>
      </c>
      <c r="AO697" s="21">
        <f t="shared" si="34"/>
        <v>0</v>
      </c>
      <c r="AP697" s="7">
        <f t="shared" si="35"/>
        <v>10.48</v>
      </c>
      <c r="AQ697" s="31" t="str">
        <f t="shared" si="33"/>
        <v>Complete - No Adjustment</v>
      </c>
    </row>
    <row r="698" spans="1:61" x14ac:dyDescent="0.2">
      <c r="A698" s="46">
        <v>688</v>
      </c>
      <c r="B698" s="13" t="s">
        <v>266</v>
      </c>
      <c r="C698" s="13" t="s">
        <v>691</v>
      </c>
      <c r="D698" s="13" t="s">
        <v>690</v>
      </c>
      <c r="E698" s="13" t="s">
        <v>2092</v>
      </c>
      <c r="F698" s="13" t="s">
        <v>209</v>
      </c>
      <c r="G698" s="13" t="s">
        <v>111</v>
      </c>
      <c r="H698" s="16">
        <v>43991</v>
      </c>
      <c r="I698" s="16">
        <v>43993</v>
      </c>
      <c r="J698" s="22">
        <v>10.7</v>
      </c>
      <c r="K698" s="22">
        <v>10.7</v>
      </c>
      <c r="L698" s="22" t="s">
        <v>2093</v>
      </c>
      <c r="M698" s="26" t="s">
        <v>98</v>
      </c>
      <c r="N698" s="13" t="s">
        <v>230</v>
      </c>
      <c r="O698" s="13" t="s">
        <v>292</v>
      </c>
      <c r="P698" s="13" t="s">
        <v>60</v>
      </c>
      <c r="Q698" s="13" t="s">
        <v>41</v>
      </c>
      <c r="R698" s="13" t="s">
        <v>270</v>
      </c>
      <c r="S698" s="13" t="s">
        <v>2094</v>
      </c>
      <c r="T698" s="13" t="s">
        <v>2095</v>
      </c>
      <c r="U698" s="13"/>
      <c r="V698" s="13"/>
      <c r="W698" s="13"/>
      <c r="X698" s="14"/>
      <c r="AN698" s="7" t="s">
        <v>155</v>
      </c>
      <c r="AO698" s="21">
        <f t="shared" si="34"/>
        <v>0</v>
      </c>
      <c r="AP698" s="7">
        <f t="shared" si="35"/>
        <v>10.7</v>
      </c>
      <c r="AQ698" s="31" t="str">
        <f t="shared" si="33"/>
        <v>Complete - No Adjustment</v>
      </c>
    </row>
    <row r="699" spans="1:61" x14ac:dyDescent="0.2">
      <c r="A699" s="46">
        <v>689</v>
      </c>
      <c r="B699" s="13" t="s">
        <v>266</v>
      </c>
      <c r="C699" s="13" t="s">
        <v>833</v>
      </c>
      <c r="D699" s="13" t="s">
        <v>834</v>
      </c>
      <c r="E699" s="13" t="s">
        <v>2096</v>
      </c>
      <c r="F699" s="13" t="s">
        <v>218</v>
      </c>
      <c r="G699" s="13" t="s">
        <v>111</v>
      </c>
      <c r="H699" s="16">
        <v>43990</v>
      </c>
      <c r="I699" s="16">
        <v>43991</v>
      </c>
      <c r="J699" s="22">
        <v>12.98</v>
      </c>
      <c r="K699" s="22">
        <v>12.98</v>
      </c>
      <c r="L699" s="22" t="s">
        <v>2097</v>
      </c>
      <c r="M699" s="26" t="s">
        <v>98</v>
      </c>
      <c r="N699" s="13" t="s">
        <v>230</v>
      </c>
      <c r="O699" s="13" t="s">
        <v>323</v>
      </c>
      <c r="P699" s="13" t="s">
        <v>60</v>
      </c>
      <c r="Q699" s="13" t="s">
        <v>41</v>
      </c>
      <c r="R699" s="13" t="s">
        <v>270</v>
      </c>
      <c r="S699" s="13" t="s">
        <v>2098</v>
      </c>
      <c r="T699" s="13" t="s">
        <v>2099</v>
      </c>
      <c r="U699" s="13"/>
      <c r="V699" s="13"/>
      <c r="W699" s="13"/>
      <c r="X699" s="14"/>
      <c r="AN699" s="7" t="s">
        <v>70</v>
      </c>
      <c r="AO699" s="21">
        <f t="shared" si="34"/>
        <v>0</v>
      </c>
      <c r="AP699" s="7">
        <f t="shared" si="35"/>
        <v>12.98</v>
      </c>
      <c r="AQ699" s="31" t="str">
        <f t="shared" si="33"/>
        <v>Complete - No Adjustment</v>
      </c>
    </row>
    <row r="700" spans="1:61" x14ac:dyDescent="0.2">
      <c r="A700" s="46">
        <v>690</v>
      </c>
      <c r="B700" s="13" t="s">
        <v>266</v>
      </c>
      <c r="C700" s="13" t="s">
        <v>833</v>
      </c>
      <c r="D700" s="13" t="s">
        <v>834</v>
      </c>
      <c r="E700" s="13" t="s">
        <v>2100</v>
      </c>
      <c r="F700" s="13" t="s">
        <v>218</v>
      </c>
      <c r="G700" s="13" t="s">
        <v>111</v>
      </c>
      <c r="H700" s="16">
        <v>43990</v>
      </c>
      <c r="I700" s="16">
        <v>43991</v>
      </c>
      <c r="J700" s="22">
        <v>13.82</v>
      </c>
      <c r="K700" s="22">
        <v>13.82</v>
      </c>
      <c r="L700" s="22" t="s">
        <v>2101</v>
      </c>
      <c r="M700" s="26" t="s">
        <v>98</v>
      </c>
      <c r="N700" s="13" t="s">
        <v>230</v>
      </c>
      <c r="O700" s="13" t="s">
        <v>323</v>
      </c>
      <c r="P700" s="13" t="s">
        <v>60</v>
      </c>
      <c r="Q700" s="13" t="s">
        <v>41</v>
      </c>
      <c r="R700" s="13" t="s">
        <v>270</v>
      </c>
      <c r="S700" s="13" t="s">
        <v>2102</v>
      </c>
      <c r="T700" s="13" t="s">
        <v>2103</v>
      </c>
      <c r="U700" s="13"/>
      <c r="V700" s="13"/>
      <c r="W700" s="13"/>
      <c r="X700" s="14"/>
      <c r="AN700" s="7" t="s">
        <v>70</v>
      </c>
      <c r="AO700" s="21">
        <f t="shared" si="34"/>
        <v>0</v>
      </c>
      <c r="AP700" s="7">
        <f t="shared" si="35"/>
        <v>13.82</v>
      </c>
      <c r="AQ700" s="31" t="str">
        <f t="shared" si="33"/>
        <v>Complete - No Adjustment</v>
      </c>
    </row>
    <row r="701" spans="1:61" x14ac:dyDescent="0.2">
      <c r="A701" s="46">
        <v>691</v>
      </c>
      <c r="B701" s="13" t="s">
        <v>266</v>
      </c>
      <c r="C701" s="13" t="s">
        <v>833</v>
      </c>
      <c r="D701" s="13" t="s">
        <v>834</v>
      </c>
      <c r="E701" s="13" t="s">
        <v>2104</v>
      </c>
      <c r="F701" s="13" t="s">
        <v>213</v>
      </c>
      <c r="G701" s="13" t="s">
        <v>111</v>
      </c>
      <c r="H701" s="16">
        <v>43992</v>
      </c>
      <c r="I701" s="16">
        <v>43999</v>
      </c>
      <c r="J701" s="22">
        <v>15</v>
      </c>
      <c r="K701" s="22">
        <v>15</v>
      </c>
      <c r="L701" s="22" t="s">
        <v>2105</v>
      </c>
      <c r="M701" s="26" t="s">
        <v>98</v>
      </c>
      <c r="N701" s="13" t="s">
        <v>230</v>
      </c>
      <c r="O701" s="13" t="s">
        <v>323</v>
      </c>
      <c r="P701" s="13" t="s">
        <v>60</v>
      </c>
      <c r="Q701" s="13" t="s">
        <v>41</v>
      </c>
      <c r="R701" s="13" t="s">
        <v>270</v>
      </c>
      <c r="S701" s="13" t="s">
        <v>2106</v>
      </c>
      <c r="T701" s="13" t="s">
        <v>2107</v>
      </c>
      <c r="U701" s="13"/>
      <c r="V701" s="13"/>
      <c r="W701" s="13"/>
      <c r="X701" s="14"/>
      <c r="AL701" s="14">
        <v>15</v>
      </c>
      <c r="AN701" s="7" t="s">
        <v>167</v>
      </c>
      <c r="AO701" s="21">
        <f t="shared" si="34"/>
        <v>15</v>
      </c>
      <c r="AP701" s="7">
        <f t="shared" si="35"/>
        <v>0</v>
      </c>
      <c r="AQ701" s="31" t="str">
        <f t="shared" si="33"/>
        <v>Complete - With Adjustment</v>
      </c>
    </row>
    <row r="702" spans="1:61" x14ac:dyDescent="0.2">
      <c r="A702" s="46">
        <v>692</v>
      </c>
      <c r="B702" s="13" t="s">
        <v>266</v>
      </c>
      <c r="C702" s="13" t="s">
        <v>833</v>
      </c>
      <c r="D702" s="13" t="s">
        <v>834</v>
      </c>
      <c r="E702" s="13" t="s">
        <v>2108</v>
      </c>
      <c r="F702" s="13" t="s">
        <v>207</v>
      </c>
      <c r="G702" s="13" t="s">
        <v>111</v>
      </c>
      <c r="H702" s="16">
        <v>43986</v>
      </c>
      <c r="I702" s="16">
        <v>43987</v>
      </c>
      <c r="J702" s="22">
        <v>182.94</v>
      </c>
      <c r="K702" s="22">
        <v>182.94</v>
      </c>
      <c r="L702" s="22" t="s">
        <v>2109</v>
      </c>
      <c r="M702" s="26" t="s">
        <v>98</v>
      </c>
      <c r="N702" s="13" t="s">
        <v>230</v>
      </c>
      <c r="O702" s="13" t="s">
        <v>323</v>
      </c>
      <c r="P702" s="13" t="s">
        <v>60</v>
      </c>
      <c r="Q702" s="13" t="s">
        <v>56</v>
      </c>
      <c r="R702" s="13" t="s">
        <v>270</v>
      </c>
      <c r="S702" s="13" t="s">
        <v>2110</v>
      </c>
      <c r="T702" s="13" t="s">
        <v>2111</v>
      </c>
      <c r="U702" s="13"/>
      <c r="V702" s="13"/>
      <c r="W702" s="13"/>
      <c r="X702" s="14"/>
      <c r="AL702" s="14">
        <v>182.94</v>
      </c>
      <c r="AN702" s="7" t="s">
        <v>146</v>
      </c>
      <c r="AO702" s="21">
        <f t="shared" si="34"/>
        <v>182.94</v>
      </c>
      <c r="AP702" s="7">
        <f t="shared" si="35"/>
        <v>0</v>
      </c>
      <c r="AQ702" s="31" t="str">
        <f t="shared" si="33"/>
        <v>Complete - With Adjustment</v>
      </c>
    </row>
    <row r="703" spans="1:61" x14ac:dyDescent="0.2">
      <c r="A703" s="46">
        <v>693</v>
      </c>
      <c r="B703" s="13" t="s">
        <v>266</v>
      </c>
      <c r="C703" s="13" t="s">
        <v>279</v>
      </c>
      <c r="D703" s="13" t="s">
        <v>278</v>
      </c>
      <c r="E703" s="13" t="s">
        <v>2112</v>
      </c>
      <c r="F703" s="13" t="s">
        <v>201</v>
      </c>
      <c r="G703" s="13" t="s">
        <v>111</v>
      </c>
      <c r="H703" s="16">
        <v>43999</v>
      </c>
      <c r="I703" s="16">
        <v>44001</v>
      </c>
      <c r="J703" s="22">
        <v>195.81</v>
      </c>
      <c r="K703" s="22">
        <v>195.81</v>
      </c>
      <c r="L703" s="22" t="s">
        <v>2113</v>
      </c>
      <c r="M703" s="26" t="s">
        <v>98</v>
      </c>
      <c r="N703" s="13" t="s">
        <v>230</v>
      </c>
      <c r="O703" s="13" t="s">
        <v>280</v>
      </c>
      <c r="P703" s="13" t="s">
        <v>60</v>
      </c>
      <c r="Q703" s="13" t="s">
        <v>75</v>
      </c>
      <c r="R703" s="13" t="s">
        <v>270</v>
      </c>
      <c r="S703" s="13" t="s">
        <v>2114</v>
      </c>
      <c r="T703" s="13" t="s">
        <v>2115</v>
      </c>
      <c r="U703" s="13"/>
      <c r="V703" s="13"/>
      <c r="W703" s="13"/>
      <c r="X703" s="14"/>
      <c r="AN703" s="7" t="s">
        <v>70</v>
      </c>
      <c r="AO703" s="21">
        <f t="shared" si="34"/>
        <v>0</v>
      </c>
      <c r="AP703" s="7">
        <f t="shared" si="35"/>
        <v>195.81</v>
      </c>
      <c r="AQ703" s="31" t="str">
        <f t="shared" si="33"/>
        <v>Complete - No Adjustment</v>
      </c>
    </row>
    <row r="704" spans="1:61" x14ac:dyDescent="0.2">
      <c r="A704" s="46">
        <v>694</v>
      </c>
      <c r="B704" s="13" t="s">
        <v>266</v>
      </c>
      <c r="C704" s="13" t="s">
        <v>513</v>
      </c>
      <c r="D704" s="13" t="s">
        <v>512</v>
      </c>
      <c r="E704" s="13" t="s">
        <v>2116</v>
      </c>
      <c r="F704" s="13" t="s">
        <v>2117</v>
      </c>
      <c r="G704" s="13" t="s">
        <v>111</v>
      </c>
      <c r="H704" s="16">
        <v>43979</v>
      </c>
      <c r="I704" s="16">
        <v>44006</v>
      </c>
      <c r="J704" s="22">
        <v>506.48</v>
      </c>
      <c r="K704" s="22">
        <v>506.48</v>
      </c>
      <c r="L704" s="22" t="s">
        <v>2118</v>
      </c>
      <c r="M704" s="26" t="s">
        <v>98</v>
      </c>
      <c r="N704" s="13" t="s">
        <v>230</v>
      </c>
      <c r="O704" s="13" t="s">
        <v>514</v>
      </c>
      <c r="P704" s="13" t="s">
        <v>60</v>
      </c>
      <c r="Q704" s="13" t="s">
        <v>46</v>
      </c>
      <c r="R704" s="13" t="s">
        <v>270</v>
      </c>
      <c r="S704" s="13" t="s">
        <v>2119</v>
      </c>
      <c r="T704" s="13" t="s">
        <v>2120</v>
      </c>
      <c r="U704" s="13"/>
      <c r="V704" s="13"/>
      <c r="W704" s="13"/>
      <c r="X704" s="14"/>
      <c r="AN704" s="7" t="s">
        <v>70</v>
      </c>
      <c r="AO704" s="21">
        <f t="shared" si="34"/>
        <v>0</v>
      </c>
      <c r="AP704" s="7">
        <f t="shared" si="35"/>
        <v>506.48</v>
      </c>
      <c r="AQ704" s="31" t="str">
        <f t="shared" si="33"/>
        <v>Complete - No Adjustment</v>
      </c>
    </row>
    <row r="705" spans="1:43" x14ac:dyDescent="0.2">
      <c r="A705" s="46">
        <v>695</v>
      </c>
      <c r="B705" s="13" t="s">
        <v>266</v>
      </c>
      <c r="C705" s="13" t="s">
        <v>719</v>
      </c>
      <c r="D705" s="13" t="s">
        <v>2121</v>
      </c>
      <c r="E705" s="13" t="s">
        <v>2122</v>
      </c>
      <c r="F705" s="13" t="s">
        <v>219</v>
      </c>
      <c r="G705" s="13" t="s">
        <v>111</v>
      </c>
      <c r="H705" s="16">
        <v>43992</v>
      </c>
      <c r="I705" s="16">
        <v>43998</v>
      </c>
      <c r="J705" s="22">
        <v>15</v>
      </c>
      <c r="K705" s="22">
        <v>4.5</v>
      </c>
      <c r="L705" s="22" t="s">
        <v>2123</v>
      </c>
      <c r="M705" s="26" t="s">
        <v>97</v>
      </c>
      <c r="N705" s="13" t="s">
        <v>230</v>
      </c>
      <c r="O705" s="13" t="s">
        <v>50</v>
      </c>
      <c r="P705" s="13" t="s">
        <v>72</v>
      </c>
      <c r="Q705" s="13" t="s">
        <v>41</v>
      </c>
      <c r="R705" s="13" t="s">
        <v>270</v>
      </c>
      <c r="S705" s="13" t="s">
        <v>2124</v>
      </c>
      <c r="T705" s="13" t="s">
        <v>2125</v>
      </c>
      <c r="U705" s="13"/>
      <c r="V705" s="13"/>
      <c r="W705" s="13"/>
      <c r="X705" s="14"/>
      <c r="AN705" s="7" t="s">
        <v>155</v>
      </c>
      <c r="AO705" s="21">
        <f t="shared" si="34"/>
        <v>0</v>
      </c>
      <c r="AP705" s="7">
        <f t="shared" si="35"/>
        <v>4.5</v>
      </c>
      <c r="AQ705" s="31" t="str">
        <f t="shared" si="33"/>
        <v>Complete - No Adjustment</v>
      </c>
    </row>
    <row r="706" spans="1:43" x14ac:dyDescent="0.2">
      <c r="A706" s="46">
        <v>696</v>
      </c>
      <c r="B706" s="13" t="s">
        <v>266</v>
      </c>
      <c r="C706" s="13" t="s">
        <v>719</v>
      </c>
      <c r="D706" s="13" t="s">
        <v>2121</v>
      </c>
      <c r="E706" s="13" t="s">
        <v>2122</v>
      </c>
      <c r="F706" s="13" t="s">
        <v>219</v>
      </c>
      <c r="G706" s="13" t="s">
        <v>111</v>
      </c>
      <c r="H706" s="16">
        <v>43992</v>
      </c>
      <c r="I706" s="16">
        <v>43998</v>
      </c>
      <c r="J706" s="22">
        <v>15</v>
      </c>
      <c r="K706" s="22">
        <v>10.5</v>
      </c>
      <c r="L706" s="22" t="s">
        <v>2123</v>
      </c>
      <c r="M706" s="26" t="s">
        <v>98</v>
      </c>
      <c r="N706" s="13" t="s">
        <v>230</v>
      </c>
      <c r="O706" s="13" t="s">
        <v>559</v>
      </c>
      <c r="P706" s="13" t="s">
        <v>60</v>
      </c>
      <c r="Q706" s="13" t="s">
        <v>41</v>
      </c>
      <c r="R706" s="13" t="s">
        <v>270</v>
      </c>
      <c r="S706" s="13" t="s">
        <v>2124</v>
      </c>
      <c r="T706" s="13" t="s">
        <v>2125</v>
      </c>
      <c r="U706" s="13"/>
      <c r="V706" s="13"/>
      <c r="W706" s="13"/>
      <c r="X706" s="14"/>
      <c r="AN706" s="7" t="s">
        <v>155</v>
      </c>
      <c r="AO706" s="21">
        <f t="shared" si="34"/>
        <v>0</v>
      </c>
      <c r="AP706" s="7">
        <f t="shared" si="35"/>
        <v>10.5</v>
      </c>
      <c r="AQ706" s="31" t="str">
        <f t="shared" si="33"/>
        <v>Complete - No Adjustment</v>
      </c>
    </row>
    <row r="707" spans="1:43" x14ac:dyDescent="0.2">
      <c r="A707" s="46">
        <v>697</v>
      </c>
      <c r="B707" s="13" t="s">
        <v>266</v>
      </c>
      <c r="C707" s="13" t="s">
        <v>740</v>
      </c>
      <c r="D707" s="13" t="s">
        <v>739</v>
      </c>
      <c r="E707" s="13" t="s">
        <v>2126</v>
      </c>
      <c r="F707" s="13" t="s">
        <v>206</v>
      </c>
      <c r="G707" s="13" t="s">
        <v>111</v>
      </c>
      <c r="H707" s="16">
        <v>43991</v>
      </c>
      <c r="I707" s="16">
        <v>43992</v>
      </c>
      <c r="J707" s="22">
        <v>114</v>
      </c>
      <c r="K707" s="22">
        <v>14</v>
      </c>
      <c r="L707" s="22" t="s">
        <v>2127</v>
      </c>
      <c r="M707" s="26" t="s">
        <v>98</v>
      </c>
      <c r="N707" s="13" t="s">
        <v>230</v>
      </c>
      <c r="O707" s="13" t="s">
        <v>365</v>
      </c>
      <c r="P707" s="13" t="s">
        <v>60</v>
      </c>
      <c r="Q707" s="13" t="s">
        <v>41</v>
      </c>
      <c r="R707" s="13" t="s">
        <v>270</v>
      </c>
      <c r="S707" s="13" t="s">
        <v>2128</v>
      </c>
      <c r="T707" s="13" t="s">
        <v>2129</v>
      </c>
      <c r="U707" s="13"/>
      <c r="V707" s="13"/>
      <c r="W707" s="13"/>
      <c r="X707" s="14"/>
      <c r="AN707" s="7" t="s">
        <v>155</v>
      </c>
      <c r="AO707" s="21">
        <f t="shared" si="34"/>
        <v>0</v>
      </c>
      <c r="AP707" s="7">
        <f t="shared" si="35"/>
        <v>14</v>
      </c>
      <c r="AQ707" s="31" t="str">
        <f t="shared" si="33"/>
        <v>Complete - No Adjustment</v>
      </c>
    </row>
    <row r="708" spans="1:43" x14ac:dyDescent="0.2">
      <c r="A708" s="46">
        <v>698</v>
      </c>
      <c r="B708" s="13" t="s">
        <v>266</v>
      </c>
      <c r="C708" s="13" t="s">
        <v>740</v>
      </c>
      <c r="D708" s="13" t="s">
        <v>739</v>
      </c>
      <c r="E708" s="13" t="s">
        <v>2126</v>
      </c>
      <c r="F708" s="13" t="s">
        <v>206</v>
      </c>
      <c r="G708" s="13" t="s">
        <v>111</v>
      </c>
      <c r="H708" s="16">
        <v>43991</v>
      </c>
      <c r="I708" s="16">
        <v>43992</v>
      </c>
      <c r="J708" s="22">
        <v>114</v>
      </c>
      <c r="K708" s="22">
        <v>100</v>
      </c>
      <c r="L708" s="22" t="s">
        <v>2127</v>
      </c>
      <c r="M708" s="26" t="s">
        <v>98</v>
      </c>
      <c r="N708" s="13" t="s">
        <v>230</v>
      </c>
      <c r="O708" s="13" t="s">
        <v>365</v>
      </c>
      <c r="P708" s="13" t="s">
        <v>60</v>
      </c>
      <c r="Q708" s="13" t="s">
        <v>62</v>
      </c>
      <c r="R708" s="13" t="s">
        <v>270</v>
      </c>
      <c r="S708" s="13" t="s">
        <v>2128</v>
      </c>
      <c r="T708" s="13" t="s">
        <v>2130</v>
      </c>
      <c r="U708" s="13"/>
      <c r="V708" s="13"/>
      <c r="W708" s="13"/>
      <c r="X708" s="14"/>
      <c r="AN708" s="7" t="s">
        <v>155</v>
      </c>
      <c r="AO708" s="21">
        <f t="shared" si="34"/>
        <v>0</v>
      </c>
      <c r="AP708" s="7">
        <f t="shared" si="35"/>
        <v>100</v>
      </c>
      <c r="AQ708" s="31" t="str">
        <f t="shared" si="33"/>
        <v>Complete - No Adjustment</v>
      </c>
    </row>
    <row r="709" spans="1:43" x14ac:dyDescent="0.2">
      <c r="A709" s="46">
        <v>699</v>
      </c>
      <c r="B709" s="13" t="s">
        <v>266</v>
      </c>
      <c r="C709" s="13" t="s">
        <v>667</v>
      </c>
      <c r="D709" s="13" t="s">
        <v>666</v>
      </c>
      <c r="E709" s="13" t="s">
        <v>2131</v>
      </c>
      <c r="F709" s="13" t="s">
        <v>216</v>
      </c>
      <c r="G709" s="13" t="s">
        <v>111</v>
      </c>
      <c r="H709" s="16">
        <v>43982</v>
      </c>
      <c r="I709" s="16">
        <v>43985</v>
      </c>
      <c r="J709" s="22">
        <v>425</v>
      </c>
      <c r="K709" s="22">
        <v>425</v>
      </c>
      <c r="L709" s="22" t="s">
        <v>2132</v>
      </c>
      <c r="M709" s="26" t="s">
        <v>98</v>
      </c>
      <c r="N709" s="13" t="s">
        <v>230</v>
      </c>
      <c r="O709" s="13" t="s">
        <v>484</v>
      </c>
      <c r="P709" s="13" t="s">
        <v>60</v>
      </c>
      <c r="Q709" s="13" t="s">
        <v>59</v>
      </c>
      <c r="R709" s="13" t="s">
        <v>270</v>
      </c>
      <c r="S709" s="13" t="s">
        <v>2133</v>
      </c>
      <c r="T709" s="13" t="s">
        <v>2134</v>
      </c>
      <c r="U709" s="13"/>
      <c r="V709" s="13"/>
      <c r="W709" s="13"/>
      <c r="X709" s="14"/>
      <c r="AN709" s="7" t="s">
        <v>70</v>
      </c>
      <c r="AO709" s="21">
        <f t="shared" si="34"/>
        <v>0</v>
      </c>
      <c r="AP709" s="7">
        <f t="shared" si="35"/>
        <v>425</v>
      </c>
      <c r="AQ709" s="31" t="str">
        <f t="shared" si="33"/>
        <v>Complete - No Adjustment</v>
      </c>
    </row>
    <row r="710" spans="1:43" x14ac:dyDescent="0.2">
      <c r="A710" s="46">
        <v>700</v>
      </c>
      <c r="B710" s="13" t="s">
        <v>266</v>
      </c>
      <c r="C710" s="13" t="s">
        <v>667</v>
      </c>
      <c r="D710" s="13" t="s">
        <v>666</v>
      </c>
      <c r="E710" s="13" t="s">
        <v>2135</v>
      </c>
      <c r="F710" s="13" t="s">
        <v>216</v>
      </c>
      <c r="G710" s="13" t="s">
        <v>111</v>
      </c>
      <c r="H710" s="16">
        <v>43981</v>
      </c>
      <c r="I710" s="16">
        <v>43985</v>
      </c>
      <c r="J710" s="22">
        <v>440</v>
      </c>
      <c r="K710" s="22">
        <v>440</v>
      </c>
      <c r="L710" s="22" t="s">
        <v>2136</v>
      </c>
      <c r="M710" s="26" t="s">
        <v>98</v>
      </c>
      <c r="N710" s="13" t="s">
        <v>230</v>
      </c>
      <c r="O710" s="13" t="s">
        <v>484</v>
      </c>
      <c r="P710" s="13" t="s">
        <v>60</v>
      </c>
      <c r="Q710" s="13" t="s">
        <v>59</v>
      </c>
      <c r="R710" s="13" t="s">
        <v>270</v>
      </c>
      <c r="S710" s="13" t="s">
        <v>2137</v>
      </c>
      <c r="T710" s="13" t="s">
        <v>2138</v>
      </c>
      <c r="U710" s="13"/>
      <c r="V710" s="13"/>
      <c r="W710" s="13"/>
      <c r="X710" s="14"/>
      <c r="AN710" s="7" t="s">
        <v>70</v>
      </c>
      <c r="AO710" s="21">
        <f t="shared" si="34"/>
        <v>0</v>
      </c>
      <c r="AP710" s="7">
        <f t="shared" si="35"/>
        <v>440</v>
      </c>
      <c r="AQ710" s="31" t="str">
        <f t="shared" si="33"/>
        <v>Complete - No Adjustment</v>
      </c>
    </row>
    <row r="711" spans="1:43" x14ac:dyDescent="0.2">
      <c r="A711" s="46">
        <v>701</v>
      </c>
      <c r="B711" s="13" t="s">
        <v>266</v>
      </c>
      <c r="C711" s="13" t="s">
        <v>296</v>
      </c>
      <c r="D711" s="13" t="s">
        <v>295</v>
      </c>
      <c r="E711" s="13" t="s">
        <v>2139</v>
      </c>
      <c r="F711" s="13" t="s">
        <v>219</v>
      </c>
      <c r="G711" s="13" t="s">
        <v>111</v>
      </c>
      <c r="H711" s="16">
        <v>43994</v>
      </c>
      <c r="I711" s="16">
        <v>43998</v>
      </c>
      <c r="J711" s="22">
        <v>69.78</v>
      </c>
      <c r="K711" s="22">
        <v>59.28</v>
      </c>
      <c r="L711" s="22" t="s">
        <v>2140</v>
      </c>
      <c r="M711" s="26" t="s">
        <v>98</v>
      </c>
      <c r="N711" s="13" t="s">
        <v>230</v>
      </c>
      <c r="O711" s="13" t="s">
        <v>297</v>
      </c>
      <c r="P711" s="13" t="s">
        <v>60</v>
      </c>
      <c r="Q711" s="13" t="s">
        <v>62</v>
      </c>
      <c r="R711" s="13" t="s">
        <v>270</v>
      </c>
      <c r="S711" s="13" t="s">
        <v>2141</v>
      </c>
      <c r="T711" s="13" t="s">
        <v>2142</v>
      </c>
      <c r="U711" s="13"/>
      <c r="V711" s="13"/>
      <c r="W711" s="13"/>
      <c r="X711" s="14"/>
      <c r="AN711" s="7" t="s">
        <v>70</v>
      </c>
      <c r="AO711" s="21">
        <f t="shared" si="34"/>
        <v>0</v>
      </c>
      <c r="AP711" s="7">
        <f t="shared" si="35"/>
        <v>59.28</v>
      </c>
      <c r="AQ711" s="31" t="str">
        <f t="shared" si="33"/>
        <v>Complete - No Adjustment</v>
      </c>
    </row>
    <row r="712" spans="1:43" x14ac:dyDescent="0.2">
      <c r="A712" s="46">
        <v>702</v>
      </c>
      <c r="B712" s="13" t="s">
        <v>266</v>
      </c>
      <c r="C712" s="13" t="s">
        <v>296</v>
      </c>
      <c r="D712" s="13" t="s">
        <v>295</v>
      </c>
      <c r="E712" s="13" t="s">
        <v>2139</v>
      </c>
      <c r="F712" s="13" t="s">
        <v>219</v>
      </c>
      <c r="G712" s="13" t="s">
        <v>111</v>
      </c>
      <c r="H712" s="16">
        <v>43994</v>
      </c>
      <c r="I712" s="16">
        <v>43998</v>
      </c>
      <c r="J712" s="22">
        <v>69.78</v>
      </c>
      <c r="K712" s="22">
        <v>10.5</v>
      </c>
      <c r="L712" s="22" t="s">
        <v>2140</v>
      </c>
      <c r="M712" s="26" t="s">
        <v>98</v>
      </c>
      <c r="N712" s="13" t="s">
        <v>230</v>
      </c>
      <c r="O712" s="13" t="s">
        <v>297</v>
      </c>
      <c r="P712" s="13" t="s">
        <v>60</v>
      </c>
      <c r="Q712" s="13" t="s">
        <v>41</v>
      </c>
      <c r="R712" s="13" t="s">
        <v>270</v>
      </c>
      <c r="S712" s="13" t="s">
        <v>2141</v>
      </c>
      <c r="T712" s="13" t="s">
        <v>2143</v>
      </c>
      <c r="U712" s="13"/>
      <c r="V712" s="13"/>
      <c r="W712" s="13"/>
      <c r="X712" s="14"/>
      <c r="AN712" s="7" t="s">
        <v>70</v>
      </c>
      <c r="AO712" s="21">
        <f t="shared" si="34"/>
        <v>0</v>
      </c>
      <c r="AP712" s="7">
        <f t="shared" si="35"/>
        <v>10.5</v>
      </c>
      <c r="AQ712" s="31" t="str">
        <f t="shared" si="33"/>
        <v>Complete - No Adjustment</v>
      </c>
    </row>
    <row r="713" spans="1:43" x14ac:dyDescent="0.2">
      <c r="A713" s="46">
        <v>703</v>
      </c>
      <c r="B713" s="13" t="s">
        <v>266</v>
      </c>
      <c r="C713" s="13" t="s">
        <v>83</v>
      </c>
      <c r="D713" s="13" t="s">
        <v>102</v>
      </c>
      <c r="E713" s="13" t="s">
        <v>2144</v>
      </c>
      <c r="F713" s="13" t="s">
        <v>213</v>
      </c>
      <c r="G713" s="13" t="s">
        <v>111</v>
      </c>
      <c r="H713" s="16">
        <v>43992</v>
      </c>
      <c r="I713" s="16">
        <v>43999</v>
      </c>
      <c r="J713" s="22">
        <v>10.86</v>
      </c>
      <c r="K713" s="22">
        <v>10.86</v>
      </c>
      <c r="L713" s="22" t="s">
        <v>2145</v>
      </c>
      <c r="M713" s="26" t="s">
        <v>98</v>
      </c>
      <c r="N713" s="13" t="s">
        <v>230</v>
      </c>
      <c r="O713" s="13" t="s">
        <v>103</v>
      </c>
      <c r="P713" s="13" t="s">
        <v>60</v>
      </c>
      <c r="Q713" s="13" t="s">
        <v>41</v>
      </c>
      <c r="R713" s="13" t="s">
        <v>270</v>
      </c>
      <c r="S713" s="13" t="s">
        <v>2146</v>
      </c>
      <c r="T713" s="13" t="s">
        <v>2147</v>
      </c>
      <c r="U713" s="13"/>
      <c r="V713" s="13"/>
      <c r="W713" s="13"/>
      <c r="X713" s="14"/>
      <c r="AL713" s="22">
        <v>10.86</v>
      </c>
      <c r="AN713" s="7" t="s">
        <v>167</v>
      </c>
      <c r="AO713" s="21">
        <f t="shared" si="34"/>
        <v>10.86</v>
      </c>
      <c r="AP713" s="7">
        <f t="shared" si="35"/>
        <v>0</v>
      </c>
      <c r="AQ713" s="31" t="str">
        <f t="shared" si="33"/>
        <v>Complete - With Adjustment</v>
      </c>
    </row>
    <row r="714" spans="1:43" x14ac:dyDescent="0.2">
      <c r="A714" s="46">
        <v>704</v>
      </c>
      <c r="B714" s="13" t="s">
        <v>266</v>
      </c>
      <c r="C714" s="13" t="s">
        <v>302</v>
      </c>
      <c r="D714" s="13" t="s">
        <v>301</v>
      </c>
      <c r="E714" s="13" t="s">
        <v>2148</v>
      </c>
      <c r="F714" s="13" t="s">
        <v>219</v>
      </c>
      <c r="G714" s="13" t="s">
        <v>111</v>
      </c>
      <c r="H714" s="16">
        <v>43993</v>
      </c>
      <c r="I714" s="16">
        <v>43998</v>
      </c>
      <c r="J714" s="22">
        <v>75</v>
      </c>
      <c r="K714" s="22">
        <v>75</v>
      </c>
      <c r="L714" s="22" t="s">
        <v>2149</v>
      </c>
      <c r="M714" s="26" t="s">
        <v>98</v>
      </c>
      <c r="N714" s="13" t="s">
        <v>230</v>
      </c>
      <c r="O714" s="13" t="s">
        <v>303</v>
      </c>
      <c r="P714" s="13" t="s">
        <v>60</v>
      </c>
      <c r="Q714" s="13" t="s">
        <v>59</v>
      </c>
      <c r="R714" s="13" t="s">
        <v>270</v>
      </c>
      <c r="S714" s="13" t="s">
        <v>2150</v>
      </c>
      <c r="T714" s="13" t="s">
        <v>149</v>
      </c>
      <c r="U714" s="13"/>
      <c r="V714" s="13"/>
      <c r="W714" s="13"/>
      <c r="X714" s="14"/>
      <c r="AN714" s="7" t="s">
        <v>70</v>
      </c>
      <c r="AO714" s="21">
        <f t="shared" si="34"/>
        <v>0</v>
      </c>
      <c r="AP714" s="7">
        <f t="shared" si="35"/>
        <v>75</v>
      </c>
      <c r="AQ714" s="31" t="str">
        <f t="shared" si="33"/>
        <v>Complete - No Adjustment</v>
      </c>
    </row>
    <row r="715" spans="1:43" x14ac:dyDescent="0.2">
      <c r="A715" s="46">
        <v>705</v>
      </c>
      <c r="B715" s="13" t="s">
        <v>266</v>
      </c>
      <c r="C715" s="13" t="s">
        <v>757</v>
      </c>
      <c r="D715" s="13" t="s">
        <v>756</v>
      </c>
      <c r="E715" s="13" t="s">
        <v>2151</v>
      </c>
      <c r="F715" s="13" t="s">
        <v>213</v>
      </c>
      <c r="G715" s="13" t="s">
        <v>111</v>
      </c>
      <c r="H715" s="16">
        <v>43993</v>
      </c>
      <c r="I715" s="16">
        <v>43999</v>
      </c>
      <c r="J715" s="22">
        <v>258.29000000000002</v>
      </c>
      <c r="K715" s="22">
        <v>215.63</v>
      </c>
      <c r="L715" s="22" t="s">
        <v>2152</v>
      </c>
      <c r="M715" s="26" t="s">
        <v>98</v>
      </c>
      <c r="N715" s="13" t="s">
        <v>230</v>
      </c>
      <c r="O715" s="13" t="s">
        <v>292</v>
      </c>
      <c r="P715" s="13" t="s">
        <v>60</v>
      </c>
      <c r="Q715" s="13" t="s">
        <v>75</v>
      </c>
      <c r="R715" s="13" t="s">
        <v>270</v>
      </c>
      <c r="S715" s="13" t="s">
        <v>2153</v>
      </c>
      <c r="T715" s="13" t="s">
        <v>2154</v>
      </c>
      <c r="U715" s="13"/>
      <c r="V715" s="13"/>
      <c r="W715" s="13"/>
      <c r="X715" s="14"/>
      <c r="AN715" s="7" t="s">
        <v>70</v>
      </c>
      <c r="AO715" s="21">
        <f t="shared" si="34"/>
        <v>0</v>
      </c>
      <c r="AP715" s="7">
        <f t="shared" si="35"/>
        <v>215.63</v>
      </c>
      <c r="AQ715" s="31" t="str">
        <f t="shared" si="33"/>
        <v>Complete - No Adjustment</v>
      </c>
    </row>
    <row r="716" spans="1:43" x14ac:dyDescent="0.2">
      <c r="A716" s="46">
        <v>706</v>
      </c>
      <c r="B716" s="13" t="s">
        <v>266</v>
      </c>
      <c r="C716" s="13" t="s">
        <v>757</v>
      </c>
      <c r="D716" s="13" t="s">
        <v>756</v>
      </c>
      <c r="E716" s="13" t="s">
        <v>2151</v>
      </c>
      <c r="F716" s="13" t="s">
        <v>213</v>
      </c>
      <c r="G716" s="13" t="s">
        <v>111</v>
      </c>
      <c r="H716" s="16">
        <v>43993</v>
      </c>
      <c r="I716" s="16">
        <v>43999</v>
      </c>
      <c r="J716" s="22">
        <v>258.29000000000002</v>
      </c>
      <c r="K716" s="22">
        <v>14.7</v>
      </c>
      <c r="L716" s="22" t="s">
        <v>2152</v>
      </c>
      <c r="M716" s="26" t="s">
        <v>98</v>
      </c>
      <c r="N716" s="13" t="s">
        <v>230</v>
      </c>
      <c r="O716" s="13" t="s">
        <v>292</v>
      </c>
      <c r="P716" s="13" t="s">
        <v>60</v>
      </c>
      <c r="Q716" s="13" t="s">
        <v>41</v>
      </c>
      <c r="R716" s="13" t="s">
        <v>270</v>
      </c>
      <c r="S716" s="13" t="s">
        <v>2153</v>
      </c>
      <c r="T716" s="13" t="s">
        <v>2155</v>
      </c>
      <c r="U716" s="13"/>
      <c r="V716" s="13"/>
      <c r="W716" s="13"/>
      <c r="X716" s="14"/>
      <c r="AN716" s="7" t="s">
        <v>70</v>
      </c>
      <c r="AO716" s="21">
        <f t="shared" si="34"/>
        <v>0</v>
      </c>
      <c r="AP716" s="7">
        <f t="shared" si="35"/>
        <v>14.7</v>
      </c>
      <c r="AQ716" s="31" t="str">
        <f t="shared" si="33"/>
        <v>Complete - No Adjustment</v>
      </c>
    </row>
    <row r="717" spans="1:43" x14ac:dyDescent="0.2">
      <c r="A717" s="46">
        <v>707</v>
      </c>
      <c r="B717" s="13" t="s">
        <v>266</v>
      </c>
      <c r="C717" s="13" t="s">
        <v>757</v>
      </c>
      <c r="D717" s="13" t="s">
        <v>756</v>
      </c>
      <c r="E717" s="13" t="s">
        <v>2151</v>
      </c>
      <c r="F717" s="13" t="s">
        <v>213</v>
      </c>
      <c r="G717" s="13" t="s">
        <v>111</v>
      </c>
      <c r="H717" s="16">
        <v>43993</v>
      </c>
      <c r="I717" s="16">
        <v>43999</v>
      </c>
      <c r="J717" s="22">
        <v>258.29000000000002</v>
      </c>
      <c r="K717" s="22">
        <v>4.32</v>
      </c>
      <c r="L717" s="22" t="s">
        <v>2152</v>
      </c>
      <c r="M717" s="26" t="s">
        <v>98</v>
      </c>
      <c r="N717" s="13" t="s">
        <v>230</v>
      </c>
      <c r="O717" s="13" t="s">
        <v>292</v>
      </c>
      <c r="P717" s="13" t="s">
        <v>60</v>
      </c>
      <c r="Q717" s="13" t="s">
        <v>75</v>
      </c>
      <c r="R717" s="13" t="s">
        <v>270</v>
      </c>
      <c r="S717" s="13" t="s">
        <v>2153</v>
      </c>
      <c r="T717" s="13" t="s">
        <v>2156</v>
      </c>
      <c r="U717" s="13"/>
      <c r="V717" s="13"/>
      <c r="W717" s="13"/>
      <c r="X717" s="14"/>
      <c r="AN717" s="7" t="s">
        <v>70</v>
      </c>
      <c r="AO717" s="21">
        <f t="shared" si="34"/>
        <v>0</v>
      </c>
      <c r="AP717" s="7">
        <f t="shared" si="35"/>
        <v>4.32</v>
      </c>
      <c r="AQ717" s="31" t="str">
        <f t="shared" si="33"/>
        <v>Complete - No Adjustment</v>
      </c>
    </row>
    <row r="718" spans="1:43" x14ac:dyDescent="0.2">
      <c r="A718" s="46">
        <v>708</v>
      </c>
      <c r="B718" s="13" t="s">
        <v>266</v>
      </c>
      <c r="C718" s="13" t="s">
        <v>757</v>
      </c>
      <c r="D718" s="13" t="s">
        <v>756</v>
      </c>
      <c r="E718" s="13" t="s">
        <v>2151</v>
      </c>
      <c r="F718" s="13" t="s">
        <v>213</v>
      </c>
      <c r="G718" s="13" t="s">
        <v>111</v>
      </c>
      <c r="H718" s="16">
        <v>43993</v>
      </c>
      <c r="I718" s="16">
        <v>43999</v>
      </c>
      <c r="J718" s="22">
        <v>258.29000000000002</v>
      </c>
      <c r="K718" s="22">
        <v>4.32</v>
      </c>
      <c r="L718" s="22" t="s">
        <v>2152</v>
      </c>
      <c r="M718" s="26" t="s">
        <v>98</v>
      </c>
      <c r="N718" s="13" t="s">
        <v>230</v>
      </c>
      <c r="O718" s="13" t="s">
        <v>292</v>
      </c>
      <c r="P718" s="13" t="s">
        <v>60</v>
      </c>
      <c r="Q718" s="13" t="s">
        <v>75</v>
      </c>
      <c r="R718" s="13" t="s">
        <v>270</v>
      </c>
      <c r="S718" s="13" t="s">
        <v>2153</v>
      </c>
      <c r="T718" s="13" t="s">
        <v>2157</v>
      </c>
      <c r="U718" s="13"/>
      <c r="V718" s="13"/>
      <c r="W718" s="13"/>
      <c r="X718" s="14"/>
      <c r="AN718" s="7" t="s">
        <v>70</v>
      </c>
      <c r="AO718" s="21">
        <f t="shared" si="34"/>
        <v>0</v>
      </c>
      <c r="AP718" s="7">
        <f t="shared" si="35"/>
        <v>4.32</v>
      </c>
      <c r="AQ718" s="31" t="str">
        <f t="shared" si="33"/>
        <v>Complete - No Adjustment</v>
      </c>
    </row>
    <row r="719" spans="1:43" x14ac:dyDescent="0.2">
      <c r="A719" s="46">
        <v>709</v>
      </c>
      <c r="B719" s="13" t="s">
        <v>266</v>
      </c>
      <c r="C719" s="13" t="s">
        <v>757</v>
      </c>
      <c r="D719" s="13" t="s">
        <v>756</v>
      </c>
      <c r="E719" s="13" t="s">
        <v>2151</v>
      </c>
      <c r="F719" s="13" t="s">
        <v>213</v>
      </c>
      <c r="G719" s="13" t="s">
        <v>111</v>
      </c>
      <c r="H719" s="16">
        <v>43993</v>
      </c>
      <c r="I719" s="16">
        <v>43999</v>
      </c>
      <c r="J719" s="22">
        <v>258.29000000000002</v>
      </c>
      <c r="K719" s="22">
        <v>15</v>
      </c>
      <c r="L719" s="22" t="s">
        <v>2152</v>
      </c>
      <c r="M719" s="26" t="s">
        <v>98</v>
      </c>
      <c r="N719" s="13" t="s">
        <v>230</v>
      </c>
      <c r="O719" s="13" t="s">
        <v>292</v>
      </c>
      <c r="P719" s="13" t="s">
        <v>60</v>
      </c>
      <c r="Q719" s="13" t="s">
        <v>41</v>
      </c>
      <c r="R719" s="13" t="s">
        <v>270</v>
      </c>
      <c r="S719" s="13" t="s">
        <v>2153</v>
      </c>
      <c r="T719" s="13" t="s">
        <v>2158</v>
      </c>
      <c r="U719" s="13"/>
      <c r="V719" s="13"/>
      <c r="W719" s="13"/>
      <c r="X719" s="14"/>
      <c r="AN719" s="7" t="s">
        <v>70</v>
      </c>
      <c r="AO719" s="21">
        <f t="shared" si="34"/>
        <v>0</v>
      </c>
      <c r="AP719" s="7">
        <f t="shared" si="35"/>
        <v>15</v>
      </c>
      <c r="AQ719" s="31" t="str">
        <f t="shared" si="33"/>
        <v>Complete - No Adjustment</v>
      </c>
    </row>
    <row r="720" spans="1:43" x14ac:dyDescent="0.2">
      <c r="A720" s="46">
        <v>710</v>
      </c>
      <c r="B720" s="13" t="s">
        <v>266</v>
      </c>
      <c r="C720" s="13" t="s">
        <v>757</v>
      </c>
      <c r="D720" s="13" t="s">
        <v>756</v>
      </c>
      <c r="E720" s="13" t="s">
        <v>2151</v>
      </c>
      <c r="F720" s="13" t="s">
        <v>213</v>
      </c>
      <c r="G720" s="13" t="s">
        <v>111</v>
      </c>
      <c r="H720" s="16">
        <v>43993</v>
      </c>
      <c r="I720" s="16">
        <v>43999</v>
      </c>
      <c r="J720" s="22">
        <v>258.29000000000002</v>
      </c>
      <c r="K720" s="22">
        <v>4.32</v>
      </c>
      <c r="L720" s="22" t="s">
        <v>2152</v>
      </c>
      <c r="M720" s="26" t="s">
        <v>98</v>
      </c>
      <c r="N720" s="13" t="s">
        <v>230</v>
      </c>
      <c r="O720" s="13" t="s">
        <v>292</v>
      </c>
      <c r="P720" s="13" t="s">
        <v>60</v>
      </c>
      <c r="Q720" s="13" t="s">
        <v>75</v>
      </c>
      <c r="R720" s="13" t="s">
        <v>270</v>
      </c>
      <c r="S720" s="13" t="s">
        <v>2153</v>
      </c>
      <c r="T720" s="13" t="s">
        <v>2157</v>
      </c>
      <c r="U720" s="13"/>
      <c r="V720" s="13"/>
      <c r="W720" s="13"/>
      <c r="X720" s="14"/>
      <c r="AN720" s="7" t="s">
        <v>70</v>
      </c>
      <c r="AO720" s="21">
        <f t="shared" si="34"/>
        <v>0</v>
      </c>
      <c r="AP720" s="7">
        <f t="shared" si="35"/>
        <v>4.32</v>
      </c>
      <c r="AQ720" s="31" t="str">
        <f t="shared" si="33"/>
        <v>Complete - No Adjustment</v>
      </c>
    </row>
    <row r="721" spans="1:43" x14ac:dyDescent="0.2">
      <c r="A721" s="46">
        <v>711</v>
      </c>
      <c r="B721" s="13" t="s">
        <v>266</v>
      </c>
      <c r="C721" s="13" t="s">
        <v>518</v>
      </c>
      <c r="D721" s="13" t="s">
        <v>517</v>
      </c>
      <c r="E721" s="13" t="s">
        <v>2159</v>
      </c>
      <c r="F721" s="13" t="s">
        <v>202</v>
      </c>
      <c r="G721" s="13" t="s">
        <v>111</v>
      </c>
      <c r="H721" s="16">
        <v>43978</v>
      </c>
      <c r="I721" s="16">
        <v>43983</v>
      </c>
      <c r="J721" s="22">
        <v>220.97</v>
      </c>
      <c r="K721" s="22">
        <v>50.89</v>
      </c>
      <c r="L721" s="22" t="s">
        <v>2160</v>
      </c>
      <c r="M721" s="26" t="s">
        <v>98</v>
      </c>
      <c r="N721" s="13" t="s">
        <v>230</v>
      </c>
      <c r="O721" s="13" t="s">
        <v>519</v>
      </c>
      <c r="P721" s="13" t="s">
        <v>60</v>
      </c>
      <c r="Q721" s="13" t="s">
        <v>41</v>
      </c>
      <c r="R721" s="13" t="s">
        <v>270</v>
      </c>
      <c r="S721" s="13" t="s">
        <v>2161</v>
      </c>
      <c r="T721" s="13" t="s">
        <v>2162</v>
      </c>
      <c r="U721" s="13"/>
      <c r="V721" s="13"/>
      <c r="W721" s="13"/>
      <c r="X721" s="14"/>
      <c r="AN721" s="7" t="s">
        <v>155</v>
      </c>
      <c r="AO721" s="21">
        <f t="shared" si="34"/>
        <v>0</v>
      </c>
      <c r="AP721" s="7">
        <f t="shared" si="35"/>
        <v>50.89</v>
      </c>
      <c r="AQ721" s="31" t="str">
        <f t="shared" si="33"/>
        <v>Complete - No Adjustment</v>
      </c>
    </row>
    <row r="722" spans="1:43" x14ac:dyDescent="0.2">
      <c r="A722" s="46">
        <v>712</v>
      </c>
      <c r="B722" s="13" t="s">
        <v>266</v>
      </c>
      <c r="C722" s="13" t="s">
        <v>518</v>
      </c>
      <c r="D722" s="13" t="s">
        <v>517</v>
      </c>
      <c r="E722" s="13" t="s">
        <v>2159</v>
      </c>
      <c r="F722" s="13" t="s">
        <v>202</v>
      </c>
      <c r="G722" s="13" t="s">
        <v>111</v>
      </c>
      <c r="H722" s="16">
        <v>43978</v>
      </c>
      <c r="I722" s="16">
        <v>43983</v>
      </c>
      <c r="J722" s="22">
        <v>220.97</v>
      </c>
      <c r="K722" s="22">
        <v>47.61</v>
      </c>
      <c r="L722" s="22" t="s">
        <v>2160</v>
      </c>
      <c r="M722" s="26" t="s">
        <v>98</v>
      </c>
      <c r="N722" s="13" t="s">
        <v>230</v>
      </c>
      <c r="O722" s="13" t="s">
        <v>519</v>
      </c>
      <c r="P722" s="13" t="s">
        <v>60</v>
      </c>
      <c r="Q722" s="13" t="s">
        <v>41</v>
      </c>
      <c r="R722" s="13" t="s">
        <v>270</v>
      </c>
      <c r="S722" s="13" t="s">
        <v>2161</v>
      </c>
      <c r="T722" s="13" t="s">
        <v>2163</v>
      </c>
      <c r="U722" s="13"/>
      <c r="V722" s="13"/>
      <c r="W722" s="13"/>
      <c r="X722" s="14"/>
      <c r="AN722" s="7" t="s">
        <v>155</v>
      </c>
      <c r="AO722" s="21">
        <f t="shared" si="34"/>
        <v>0</v>
      </c>
      <c r="AP722" s="7">
        <f t="shared" si="35"/>
        <v>47.61</v>
      </c>
      <c r="AQ722" s="31" t="str">
        <f t="shared" si="33"/>
        <v>Complete - No Adjustment</v>
      </c>
    </row>
    <row r="723" spans="1:43" x14ac:dyDescent="0.2">
      <c r="A723" s="46">
        <v>713</v>
      </c>
      <c r="B723" s="13" t="s">
        <v>266</v>
      </c>
      <c r="C723" s="13" t="s">
        <v>518</v>
      </c>
      <c r="D723" s="13" t="s">
        <v>517</v>
      </c>
      <c r="E723" s="13" t="s">
        <v>2159</v>
      </c>
      <c r="F723" s="13" t="s">
        <v>202</v>
      </c>
      <c r="G723" s="13" t="s">
        <v>111</v>
      </c>
      <c r="H723" s="16">
        <v>43978</v>
      </c>
      <c r="I723" s="16">
        <v>43983</v>
      </c>
      <c r="J723" s="22">
        <v>220.97</v>
      </c>
      <c r="K723" s="22">
        <v>39.020000000000003</v>
      </c>
      <c r="L723" s="22" t="s">
        <v>2160</v>
      </c>
      <c r="M723" s="26" t="s">
        <v>98</v>
      </c>
      <c r="N723" s="13" t="s">
        <v>230</v>
      </c>
      <c r="O723" s="13" t="s">
        <v>519</v>
      </c>
      <c r="P723" s="13" t="s">
        <v>60</v>
      </c>
      <c r="Q723" s="13" t="s">
        <v>41</v>
      </c>
      <c r="R723" s="13" t="s">
        <v>270</v>
      </c>
      <c r="S723" s="13" t="s">
        <v>2161</v>
      </c>
      <c r="T723" s="13" t="s">
        <v>2163</v>
      </c>
      <c r="U723" s="13"/>
      <c r="V723" s="13"/>
      <c r="W723" s="13"/>
      <c r="X723" s="14"/>
      <c r="AC723" s="53">
        <v>3.23</v>
      </c>
      <c r="AN723" s="7" t="s">
        <v>1132</v>
      </c>
      <c r="AO723" s="21">
        <f t="shared" si="34"/>
        <v>3.23</v>
      </c>
      <c r="AP723" s="7">
        <f t="shared" si="35"/>
        <v>35.790000000000006</v>
      </c>
      <c r="AQ723" s="31" t="str">
        <f t="shared" si="33"/>
        <v>Complete - With Adjustment</v>
      </c>
    </row>
    <row r="724" spans="1:43" x14ac:dyDescent="0.2">
      <c r="A724" s="46">
        <v>714</v>
      </c>
      <c r="B724" s="13" t="s">
        <v>266</v>
      </c>
      <c r="C724" s="13" t="s">
        <v>518</v>
      </c>
      <c r="D724" s="13" t="s">
        <v>517</v>
      </c>
      <c r="E724" s="13" t="s">
        <v>2159</v>
      </c>
      <c r="F724" s="13" t="s">
        <v>202</v>
      </c>
      <c r="G724" s="13" t="s">
        <v>111</v>
      </c>
      <c r="H724" s="16">
        <v>43978</v>
      </c>
      <c r="I724" s="16">
        <v>43983</v>
      </c>
      <c r="J724" s="22">
        <v>220.97</v>
      </c>
      <c r="K724" s="22">
        <v>34.42</v>
      </c>
      <c r="L724" s="22" t="s">
        <v>2160</v>
      </c>
      <c r="M724" s="26" t="s">
        <v>98</v>
      </c>
      <c r="N724" s="13" t="s">
        <v>230</v>
      </c>
      <c r="O724" s="13" t="s">
        <v>519</v>
      </c>
      <c r="P724" s="13" t="s">
        <v>60</v>
      </c>
      <c r="Q724" s="13" t="s">
        <v>41</v>
      </c>
      <c r="R724" s="13" t="s">
        <v>270</v>
      </c>
      <c r="S724" s="13" t="s">
        <v>2161</v>
      </c>
      <c r="T724" s="13" t="s">
        <v>2164</v>
      </c>
      <c r="U724" s="13"/>
      <c r="V724" s="13"/>
      <c r="W724" s="13"/>
      <c r="X724" s="14"/>
      <c r="AC724" s="53">
        <v>2.42</v>
      </c>
      <c r="AN724" s="7" t="s">
        <v>1132</v>
      </c>
      <c r="AO724" s="21">
        <f t="shared" si="34"/>
        <v>2.42</v>
      </c>
      <c r="AP724" s="7">
        <f t="shared" si="35"/>
        <v>32</v>
      </c>
      <c r="AQ724" s="31" t="str">
        <f t="shared" si="33"/>
        <v>Complete - With Adjustment</v>
      </c>
    </row>
    <row r="725" spans="1:43" x14ac:dyDescent="0.2">
      <c r="A725" s="46">
        <v>715</v>
      </c>
      <c r="B725" s="13" t="s">
        <v>266</v>
      </c>
      <c r="C725" s="13" t="s">
        <v>518</v>
      </c>
      <c r="D725" s="13" t="s">
        <v>517</v>
      </c>
      <c r="E725" s="13" t="s">
        <v>2159</v>
      </c>
      <c r="F725" s="13" t="s">
        <v>202</v>
      </c>
      <c r="G725" s="13" t="s">
        <v>111</v>
      </c>
      <c r="H725" s="16">
        <v>43978</v>
      </c>
      <c r="I725" s="16">
        <v>43983</v>
      </c>
      <c r="J725" s="22">
        <v>220.97</v>
      </c>
      <c r="K725" s="22">
        <v>49.03</v>
      </c>
      <c r="L725" s="22" t="s">
        <v>2160</v>
      </c>
      <c r="M725" s="26" t="s">
        <v>98</v>
      </c>
      <c r="N725" s="13" t="s">
        <v>230</v>
      </c>
      <c r="O725" s="13" t="s">
        <v>519</v>
      </c>
      <c r="P725" s="13" t="s">
        <v>60</v>
      </c>
      <c r="Q725" s="13" t="s">
        <v>41</v>
      </c>
      <c r="R725" s="13" t="s">
        <v>270</v>
      </c>
      <c r="S725" s="13" t="s">
        <v>2161</v>
      </c>
      <c r="T725" s="13" t="s">
        <v>2165</v>
      </c>
      <c r="U725" s="13"/>
      <c r="V725" s="13"/>
      <c r="W725" s="13"/>
      <c r="X725" s="14"/>
      <c r="AN725" s="7" t="s">
        <v>155</v>
      </c>
      <c r="AO725" s="21">
        <f t="shared" si="34"/>
        <v>0</v>
      </c>
      <c r="AP725" s="7">
        <f t="shared" si="35"/>
        <v>49.03</v>
      </c>
      <c r="AQ725" s="31" t="str">
        <f t="shared" si="33"/>
        <v>Complete - No Adjustment</v>
      </c>
    </row>
    <row r="726" spans="1:43" x14ac:dyDescent="0.2">
      <c r="A726" s="46">
        <v>716</v>
      </c>
      <c r="B726" s="13" t="s">
        <v>266</v>
      </c>
      <c r="C726" s="13" t="s">
        <v>307</v>
      </c>
      <c r="D726" s="13" t="s">
        <v>306</v>
      </c>
      <c r="E726" s="13" t="s">
        <v>2166</v>
      </c>
      <c r="F726" s="13" t="s">
        <v>216</v>
      </c>
      <c r="G726" s="13" t="s">
        <v>111</v>
      </c>
      <c r="H726" s="16">
        <v>43984</v>
      </c>
      <c r="I726" s="16">
        <v>43985</v>
      </c>
      <c r="J726" s="22">
        <v>50</v>
      </c>
      <c r="K726" s="22">
        <v>50</v>
      </c>
      <c r="L726" s="22" t="s">
        <v>2167</v>
      </c>
      <c r="M726" s="26" t="s">
        <v>98</v>
      </c>
      <c r="N726" s="13" t="s">
        <v>230</v>
      </c>
      <c r="O726" s="13" t="s">
        <v>277</v>
      </c>
      <c r="P726" s="13" t="s">
        <v>60</v>
      </c>
      <c r="Q726" s="13" t="s">
        <v>62</v>
      </c>
      <c r="R726" s="13" t="s">
        <v>270</v>
      </c>
      <c r="S726" s="13" t="s">
        <v>2168</v>
      </c>
      <c r="T726" s="13" t="s">
        <v>2169</v>
      </c>
      <c r="U726" s="13"/>
      <c r="V726" s="13"/>
      <c r="W726" s="13"/>
      <c r="X726" s="14"/>
      <c r="AN726" s="7" t="s">
        <v>155</v>
      </c>
      <c r="AO726" s="21">
        <f t="shared" si="34"/>
        <v>0</v>
      </c>
      <c r="AP726" s="7">
        <f t="shared" si="35"/>
        <v>50</v>
      </c>
      <c r="AQ726" s="31" t="str">
        <f t="shared" ref="AQ726:AQ789" si="36">IF(AO726&lt;&gt;0,"Complete - With Adjustment","Complete - No Adjustment")</f>
        <v>Complete - No Adjustment</v>
      </c>
    </row>
    <row r="727" spans="1:43" x14ac:dyDescent="0.2">
      <c r="A727" s="46">
        <v>717</v>
      </c>
      <c r="B727" s="13" t="s">
        <v>266</v>
      </c>
      <c r="C727" s="13" t="s">
        <v>307</v>
      </c>
      <c r="D727" s="13" t="s">
        <v>306</v>
      </c>
      <c r="E727" s="13" t="s">
        <v>2170</v>
      </c>
      <c r="F727" s="13" t="s">
        <v>207</v>
      </c>
      <c r="G727" s="13" t="s">
        <v>111</v>
      </c>
      <c r="H727" s="16">
        <v>43979</v>
      </c>
      <c r="I727" s="16">
        <v>43987</v>
      </c>
      <c r="J727" s="22">
        <v>362.63</v>
      </c>
      <c r="K727" s="22">
        <v>362.63</v>
      </c>
      <c r="L727" s="22" t="s">
        <v>2171</v>
      </c>
      <c r="M727" s="26" t="s">
        <v>98</v>
      </c>
      <c r="N727" s="13" t="s">
        <v>230</v>
      </c>
      <c r="O727" s="13" t="s">
        <v>277</v>
      </c>
      <c r="P727" s="13" t="s">
        <v>60</v>
      </c>
      <c r="Q727" s="13" t="s">
        <v>62</v>
      </c>
      <c r="R727" s="13" t="s">
        <v>270</v>
      </c>
      <c r="S727" s="13" t="s">
        <v>2172</v>
      </c>
      <c r="T727" s="13" t="s">
        <v>2173</v>
      </c>
      <c r="U727" s="13"/>
      <c r="V727" s="13"/>
      <c r="W727" s="13"/>
      <c r="X727" s="14"/>
      <c r="AN727" s="7" t="s">
        <v>70</v>
      </c>
      <c r="AO727" s="21">
        <f t="shared" si="34"/>
        <v>0</v>
      </c>
      <c r="AP727" s="7">
        <f t="shared" si="35"/>
        <v>362.63</v>
      </c>
      <c r="AQ727" s="31" t="str">
        <f t="shared" si="36"/>
        <v>Complete - No Adjustment</v>
      </c>
    </row>
    <row r="728" spans="1:43" x14ac:dyDescent="0.2">
      <c r="A728" s="46">
        <v>718</v>
      </c>
      <c r="B728" s="13" t="s">
        <v>266</v>
      </c>
      <c r="C728" s="13" t="s">
        <v>307</v>
      </c>
      <c r="D728" s="13" t="s">
        <v>306</v>
      </c>
      <c r="E728" s="13" t="s">
        <v>2174</v>
      </c>
      <c r="F728" s="13" t="s">
        <v>213</v>
      </c>
      <c r="G728" s="13" t="s">
        <v>111</v>
      </c>
      <c r="H728" s="16">
        <v>43998</v>
      </c>
      <c r="I728" s="16">
        <v>43999</v>
      </c>
      <c r="J728" s="22">
        <v>545</v>
      </c>
      <c r="K728" s="22">
        <v>545</v>
      </c>
      <c r="L728" s="22" t="s">
        <v>2175</v>
      </c>
      <c r="M728" s="26" t="s">
        <v>98</v>
      </c>
      <c r="N728" s="13" t="s">
        <v>230</v>
      </c>
      <c r="O728" s="13" t="s">
        <v>277</v>
      </c>
      <c r="P728" s="13" t="s">
        <v>60</v>
      </c>
      <c r="Q728" s="13" t="s">
        <v>56</v>
      </c>
      <c r="R728" s="13" t="s">
        <v>270</v>
      </c>
      <c r="S728" s="13" t="s">
        <v>2176</v>
      </c>
      <c r="T728" s="13" t="s">
        <v>2177</v>
      </c>
      <c r="U728" s="13"/>
      <c r="V728" s="13"/>
      <c r="W728" s="13"/>
      <c r="X728" s="14"/>
      <c r="AN728" s="7" t="s">
        <v>70</v>
      </c>
      <c r="AO728" s="21">
        <f t="shared" si="34"/>
        <v>0</v>
      </c>
      <c r="AP728" s="7">
        <f t="shared" si="35"/>
        <v>545</v>
      </c>
      <c r="AQ728" s="31" t="str">
        <f t="shared" si="36"/>
        <v>Complete - No Adjustment</v>
      </c>
    </row>
    <row r="729" spans="1:43" x14ac:dyDescent="0.2">
      <c r="A729" s="46">
        <v>719</v>
      </c>
      <c r="B729" s="13" t="s">
        <v>266</v>
      </c>
      <c r="C729" s="13" t="s">
        <v>587</v>
      </c>
      <c r="D729" s="13" t="s">
        <v>586</v>
      </c>
      <c r="E729" s="13" t="s">
        <v>2178</v>
      </c>
      <c r="F729" s="13" t="s">
        <v>213</v>
      </c>
      <c r="G729" s="13" t="s">
        <v>111</v>
      </c>
      <c r="H729" s="16">
        <v>43991</v>
      </c>
      <c r="I729" s="16">
        <v>43999</v>
      </c>
      <c r="J729" s="22">
        <v>20.46</v>
      </c>
      <c r="K729" s="22">
        <v>20.46</v>
      </c>
      <c r="L729" s="22" t="s">
        <v>2179</v>
      </c>
      <c r="M729" s="26" t="s">
        <v>98</v>
      </c>
      <c r="N729" s="13" t="s">
        <v>230</v>
      </c>
      <c r="O729" s="13" t="s">
        <v>277</v>
      </c>
      <c r="P729" s="13" t="s">
        <v>60</v>
      </c>
      <c r="Q729" s="13" t="s">
        <v>41</v>
      </c>
      <c r="R729" s="13" t="s">
        <v>270</v>
      </c>
      <c r="S729" s="13" t="s">
        <v>2180</v>
      </c>
      <c r="T729" s="13" t="s">
        <v>2181</v>
      </c>
      <c r="U729" s="13"/>
      <c r="V729" s="13"/>
      <c r="W729" s="13"/>
      <c r="X729" s="14"/>
      <c r="AN729" s="7" t="s">
        <v>155</v>
      </c>
      <c r="AO729" s="21">
        <f t="shared" si="34"/>
        <v>0</v>
      </c>
      <c r="AP729" s="7">
        <f t="shared" si="35"/>
        <v>20.46</v>
      </c>
      <c r="AQ729" s="31" t="str">
        <f t="shared" si="36"/>
        <v>Complete - No Adjustment</v>
      </c>
    </row>
    <row r="730" spans="1:43" x14ac:dyDescent="0.2">
      <c r="A730" s="46">
        <v>720</v>
      </c>
      <c r="B730" s="13" t="s">
        <v>266</v>
      </c>
      <c r="C730" s="13" t="s">
        <v>313</v>
      </c>
      <c r="D730" s="13" t="s">
        <v>312</v>
      </c>
      <c r="E730" s="13" t="s">
        <v>2182</v>
      </c>
      <c r="F730" s="13" t="s">
        <v>208</v>
      </c>
      <c r="G730" s="13" t="s">
        <v>111</v>
      </c>
      <c r="H730" s="16">
        <v>43997</v>
      </c>
      <c r="I730" s="16">
        <v>44000</v>
      </c>
      <c r="J730" s="22">
        <v>800.39</v>
      </c>
      <c r="K730" s="22">
        <v>12.9</v>
      </c>
      <c r="L730" s="22" t="s">
        <v>2183</v>
      </c>
      <c r="M730" s="26" t="s">
        <v>98</v>
      </c>
      <c r="N730" s="13" t="s">
        <v>230</v>
      </c>
      <c r="O730" s="13" t="s">
        <v>314</v>
      </c>
      <c r="P730" s="13" t="s">
        <v>60</v>
      </c>
      <c r="Q730" s="13" t="s">
        <v>41</v>
      </c>
      <c r="R730" s="13" t="s">
        <v>270</v>
      </c>
      <c r="S730" s="13" t="s">
        <v>2184</v>
      </c>
      <c r="T730" s="13" t="s">
        <v>2185</v>
      </c>
      <c r="U730" s="13"/>
      <c r="V730" s="13"/>
      <c r="W730" s="13"/>
      <c r="X730" s="14"/>
      <c r="AL730" s="14">
        <v>12.9</v>
      </c>
      <c r="AN730" s="7" t="s">
        <v>167</v>
      </c>
      <c r="AO730" s="21">
        <f t="shared" si="34"/>
        <v>12.9</v>
      </c>
      <c r="AP730" s="7">
        <f t="shared" si="35"/>
        <v>0</v>
      </c>
      <c r="AQ730" s="31" t="str">
        <f t="shared" si="36"/>
        <v>Complete - With Adjustment</v>
      </c>
    </row>
    <row r="731" spans="1:43" x14ac:dyDescent="0.2">
      <c r="A731" s="46">
        <v>721</v>
      </c>
      <c r="B731" s="13" t="s">
        <v>266</v>
      </c>
      <c r="C731" s="13" t="s">
        <v>313</v>
      </c>
      <c r="D731" s="13" t="s">
        <v>312</v>
      </c>
      <c r="E731" s="13" t="s">
        <v>2182</v>
      </c>
      <c r="F731" s="13" t="s">
        <v>208</v>
      </c>
      <c r="G731" s="13" t="s">
        <v>111</v>
      </c>
      <c r="H731" s="16">
        <v>43997</v>
      </c>
      <c r="I731" s="16">
        <v>44000</v>
      </c>
      <c r="J731" s="22">
        <v>800.39</v>
      </c>
      <c r="K731" s="22">
        <v>12.9</v>
      </c>
      <c r="L731" s="22" t="s">
        <v>2183</v>
      </c>
      <c r="M731" s="26" t="s">
        <v>98</v>
      </c>
      <c r="N731" s="13" t="s">
        <v>230</v>
      </c>
      <c r="O731" s="13" t="s">
        <v>314</v>
      </c>
      <c r="P731" s="13" t="s">
        <v>60</v>
      </c>
      <c r="Q731" s="13" t="s">
        <v>41</v>
      </c>
      <c r="R731" s="13" t="s">
        <v>270</v>
      </c>
      <c r="S731" s="13" t="s">
        <v>2184</v>
      </c>
      <c r="T731" s="13" t="s">
        <v>2186</v>
      </c>
      <c r="U731" s="13"/>
      <c r="V731" s="13"/>
      <c r="W731" s="13"/>
      <c r="X731" s="14"/>
      <c r="AL731" s="14">
        <v>12.9</v>
      </c>
      <c r="AN731" s="7" t="s">
        <v>167</v>
      </c>
      <c r="AO731" s="21">
        <f t="shared" si="34"/>
        <v>12.9</v>
      </c>
      <c r="AP731" s="7">
        <f t="shared" si="35"/>
        <v>0</v>
      </c>
      <c r="AQ731" s="31" t="str">
        <f t="shared" si="36"/>
        <v>Complete - With Adjustment</v>
      </c>
    </row>
    <row r="732" spans="1:43" x14ac:dyDescent="0.2">
      <c r="A732" s="46">
        <v>722</v>
      </c>
      <c r="B732" s="13" t="s">
        <v>266</v>
      </c>
      <c r="C732" s="13" t="s">
        <v>313</v>
      </c>
      <c r="D732" s="13" t="s">
        <v>312</v>
      </c>
      <c r="E732" s="13" t="s">
        <v>2182</v>
      </c>
      <c r="F732" s="13" t="s">
        <v>208</v>
      </c>
      <c r="G732" s="13" t="s">
        <v>111</v>
      </c>
      <c r="H732" s="16">
        <v>43997</v>
      </c>
      <c r="I732" s="16">
        <v>44000</v>
      </c>
      <c r="J732" s="22">
        <v>800.39</v>
      </c>
      <c r="K732" s="22">
        <v>12.9</v>
      </c>
      <c r="L732" s="22" t="s">
        <v>2183</v>
      </c>
      <c r="M732" s="26" t="s">
        <v>98</v>
      </c>
      <c r="N732" s="13" t="s">
        <v>230</v>
      </c>
      <c r="O732" s="13" t="s">
        <v>314</v>
      </c>
      <c r="P732" s="13" t="s">
        <v>60</v>
      </c>
      <c r="Q732" s="13" t="s">
        <v>41</v>
      </c>
      <c r="R732" s="13" t="s">
        <v>270</v>
      </c>
      <c r="S732" s="13" t="s">
        <v>2184</v>
      </c>
      <c r="T732" s="13" t="s">
        <v>2186</v>
      </c>
      <c r="U732" s="13"/>
      <c r="V732" s="13"/>
      <c r="W732" s="13"/>
      <c r="X732" s="14"/>
      <c r="AL732" s="14">
        <v>12.9</v>
      </c>
      <c r="AN732" s="7" t="s">
        <v>167</v>
      </c>
      <c r="AO732" s="21">
        <f t="shared" si="34"/>
        <v>12.9</v>
      </c>
      <c r="AP732" s="7">
        <f t="shared" si="35"/>
        <v>0</v>
      </c>
      <c r="AQ732" s="31" t="str">
        <f t="shared" si="36"/>
        <v>Complete - With Adjustment</v>
      </c>
    </row>
    <row r="733" spans="1:43" x14ac:dyDescent="0.2">
      <c r="A733" s="46">
        <v>723</v>
      </c>
      <c r="B733" s="13" t="s">
        <v>266</v>
      </c>
      <c r="C733" s="13" t="s">
        <v>313</v>
      </c>
      <c r="D733" s="13" t="s">
        <v>312</v>
      </c>
      <c r="E733" s="13" t="s">
        <v>2182</v>
      </c>
      <c r="F733" s="13" t="s">
        <v>208</v>
      </c>
      <c r="G733" s="13" t="s">
        <v>111</v>
      </c>
      <c r="H733" s="16">
        <v>43997</v>
      </c>
      <c r="I733" s="16">
        <v>44000</v>
      </c>
      <c r="J733" s="22">
        <v>800.39</v>
      </c>
      <c r="K733" s="22">
        <v>14.23</v>
      </c>
      <c r="L733" s="22" t="s">
        <v>2183</v>
      </c>
      <c r="M733" s="26" t="s">
        <v>98</v>
      </c>
      <c r="N733" s="13" t="s">
        <v>230</v>
      </c>
      <c r="O733" s="13" t="s">
        <v>314</v>
      </c>
      <c r="P733" s="13" t="s">
        <v>60</v>
      </c>
      <c r="Q733" s="13" t="s">
        <v>41</v>
      </c>
      <c r="R733" s="13" t="s">
        <v>270</v>
      </c>
      <c r="S733" s="13" t="s">
        <v>2184</v>
      </c>
      <c r="T733" s="13" t="s">
        <v>2187</v>
      </c>
      <c r="U733" s="13"/>
      <c r="V733" s="13"/>
      <c r="W733" s="13"/>
      <c r="X733" s="14"/>
      <c r="AL733" s="14">
        <v>14.23</v>
      </c>
      <c r="AN733" s="7" t="s">
        <v>146</v>
      </c>
      <c r="AO733" s="21">
        <f t="shared" si="34"/>
        <v>14.23</v>
      </c>
      <c r="AP733" s="7">
        <f t="shared" si="35"/>
        <v>0</v>
      </c>
      <c r="AQ733" s="31" t="str">
        <f t="shared" si="36"/>
        <v>Complete - With Adjustment</v>
      </c>
    </row>
    <row r="734" spans="1:43" x14ac:dyDescent="0.2">
      <c r="A734" s="46">
        <v>724</v>
      </c>
      <c r="B734" s="13" t="s">
        <v>266</v>
      </c>
      <c r="C734" s="13" t="s">
        <v>313</v>
      </c>
      <c r="D734" s="13" t="s">
        <v>312</v>
      </c>
      <c r="E734" s="13" t="s">
        <v>2182</v>
      </c>
      <c r="F734" s="13" t="s">
        <v>208</v>
      </c>
      <c r="G734" s="13" t="s">
        <v>111</v>
      </c>
      <c r="H734" s="16">
        <v>43997</v>
      </c>
      <c r="I734" s="16">
        <v>44000</v>
      </c>
      <c r="J734" s="22">
        <v>800.39</v>
      </c>
      <c r="K734" s="22">
        <v>509.64</v>
      </c>
      <c r="L734" s="22" t="s">
        <v>2183</v>
      </c>
      <c r="M734" s="26" t="s">
        <v>98</v>
      </c>
      <c r="N734" s="13" t="s">
        <v>230</v>
      </c>
      <c r="O734" s="13" t="s">
        <v>314</v>
      </c>
      <c r="P734" s="13" t="s">
        <v>60</v>
      </c>
      <c r="Q734" s="13" t="s">
        <v>41</v>
      </c>
      <c r="R734" s="13" t="s">
        <v>270</v>
      </c>
      <c r="S734" s="13" t="s">
        <v>2184</v>
      </c>
      <c r="T734" s="13" t="s">
        <v>2188</v>
      </c>
      <c r="U734" s="13"/>
      <c r="V734" s="13"/>
      <c r="W734" s="13"/>
      <c r="X734" s="14"/>
      <c r="AN734" s="7" t="s">
        <v>70</v>
      </c>
      <c r="AO734" s="21">
        <f t="shared" si="34"/>
        <v>0</v>
      </c>
      <c r="AP734" s="7">
        <f t="shared" si="35"/>
        <v>509.64</v>
      </c>
      <c r="AQ734" s="31" t="str">
        <f t="shared" si="36"/>
        <v>Complete - No Adjustment</v>
      </c>
    </row>
    <row r="735" spans="1:43" x14ac:dyDescent="0.2">
      <c r="A735" s="46">
        <v>725</v>
      </c>
      <c r="B735" s="13" t="s">
        <v>266</v>
      </c>
      <c r="C735" s="13" t="s">
        <v>313</v>
      </c>
      <c r="D735" s="13" t="s">
        <v>312</v>
      </c>
      <c r="E735" s="13" t="s">
        <v>2182</v>
      </c>
      <c r="F735" s="13" t="s">
        <v>208</v>
      </c>
      <c r="G735" s="13" t="s">
        <v>111</v>
      </c>
      <c r="H735" s="16">
        <v>43997</v>
      </c>
      <c r="I735" s="16">
        <v>44000</v>
      </c>
      <c r="J735" s="22">
        <v>800.39</v>
      </c>
      <c r="K735" s="22">
        <v>128.80000000000001</v>
      </c>
      <c r="L735" s="22" t="s">
        <v>2183</v>
      </c>
      <c r="M735" s="26" t="s">
        <v>98</v>
      </c>
      <c r="N735" s="13" t="s">
        <v>230</v>
      </c>
      <c r="O735" s="13" t="s">
        <v>314</v>
      </c>
      <c r="P735" s="13" t="s">
        <v>60</v>
      </c>
      <c r="Q735" s="13" t="s">
        <v>44</v>
      </c>
      <c r="R735" s="13" t="s">
        <v>270</v>
      </c>
      <c r="S735" s="13" t="s">
        <v>2184</v>
      </c>
      <c r="T735" s="13" t="s">
        <v>2189</v>
      </c>
      <c r="U735" s="13"/>
      <c r="V735" s="13"/>
      <c r="W735" s="13"/>
      <c r="X735" s="14"/>
      <c r="AN735" s="7" t="s">
        <v>70</v>
      </c>
      <c r="AO735" s="21">
        <f t="shared" si="34"/>
        <v>0</v>
      </c>
      <c r="AP735" s="7">
        <f t="shared" si="35"/>
        <v>128.80000000000001</v>
      </c>
      <c r="AQ735" s="31" t="str">
        <f t="shared" si="36"/>
        <v>Complete - No Adjustment</v>
      </c>
    </row>
    <row r="736" spans="1:43" x14ac:dyDescent="0.2">
      <c r="A736" s="46">
        <v>726</v>
      </c>
      <c r="B736" s="13" t="s">
        <v>266</v>
      </c>
      <c r="C736" s="13" t="s">
        <v>313</v>
      </c>
      <c r="D736" s="13" t="s">
        <v>312</v>
      </c>
      <c r="E736" s="13" t="s">
        <v>2182</v>
      </c>
      <c r="F736" s="13" t="s">
        <v>208</v>
      </c>
      <c r="G736" s="13" t="s">
        <v>111</v>
      </c>
      <c r="H736" s="16">
        <v>43997</v>
      </c>
      <c r="I736" s="16">
        <v>44000</v>
      </c>
      <c r="J736" s="22">
        <v>800.39</v>
      </c>
      <c r="K736" s="22">
        <v>28.73</v>
      </c>
      <c r="L736" s="22" t="s">
        <v>2183</v>
      </c>
      <c r="M736" s="26" t="s">
        <v>98</v>
      </c>
      <c r="N736" s="13" t="s">
        <v>230</v>
      </c>
      <c r="O736" s="13" t="s">
        <v>314</v>
      </c>
      <c r="P736" s="13" t="s">
        <v>60</v>
      </c>
      <c r="Q736" s="13" t="s">
        <v>62</v>
      </c>
      <c r="R736" s="13" t="s">
        <v>270</v>
      </c>
      <c r="S736" s="13" t="s">
        <v>2184</v>
      </c>
      <c r="T736" s="13" t="s">
        <v>2190</v>
      </c>
      <c r="U736" s="13"/>
      <c r="V736" s="13"/>
      <c r="W736" s="13"/>
      <c r="X736" s="14"/>
      <c r="AN736" s="7" t="s">
        <v>70</v>
      </c>
      <c r="AO736" s="21">
        <f t="shared" si="34"/>
        <v>0</v>
      </c>
      <c r="AP736" s="7">
        <f t="shared" si="35"/>
        <v>28.73</v>
      </c>
      <c r="AQ736" s="31" t="str">
        <f t="shared" si="36"/>
        <v>Complete - No Adjustment</v>
      </c>
    </row>
    <row r="737" spans="1:43" x14ac:dyDescent="0.2">
      <c r="A737" s="46">
        <v>727</v>
      </c>
      <c r="B737" s="13" t="s">
        <v>266</v>
      </c>
      <c r="C737" s="13" t="s">
        <v>313</v>
      </c>
      <c r="D737" s="13" t="s">
        <v>312</v>
      </c>
      <c r="E737" s="13" t="s">
        <v>2182</v>
      </c>
      <c r="F737" s="13" t="s">
        <v>208</v>
      </c>
      <c r="G737" s="13" t="s">
        <v>111</v>
      </c>
      <c r="H737" s="16">
        <v>43997</v>
      </c>
      <c r="I737" s="16">
        <v>44000</v>
      </c>
      <c r="J737" s="22">
        <v>800.39</v>
      </c>
      <c r="K737" s="22">
        <v>58.45</v>
      </c>
      <c r="L737" s="22" t="s">
        <v>2183</v>
      </c>
      <c r="M737" s="26" t="s">
        <v>98</v>
      </c>
      <c r="N737" s="13" t="s">
        <v>230</v>
      </c>
      <c r="O737" s="13" t="s">
        <v>314</v>
      </c>
      <c r="P737" s="13" t="s">
        <v>60</v>
      </c>
      <c r="Q737" s="13" t="s">
        <v>41</v>
      </c>
      <c r="R737" s="13" t="s">
        <v>270</v>
      </c>
      <c r="S737" s="13" t="s">
        <v>2184</v>
      </c>
      <c r="T737" s="13" t="s">
        <v>2191</v>
      </c>
      <c r="U737" s="13"/>
      <c r="V737" s="13"/>
      <c r="W737" s="13"/>
      <c r="X737" s="14"/>
      <c r="AN737" s="7" t="s">
        <v>70</v>
      </c>
      <c r="AO737" s="21">
        <f t="shared" si="34"/>
        <v>0</v>
      </c>
      <c r="AP737" s="7">
        <f t="shared" si="35"/>
        <v>58.45</v>
      </c>
      <c r="AQ737" s="31" t="str">
        <f t="shared" si="36"/>
        <v>Complete - No Adjustment</v>
      </c>
    </row>
    <row r="738" spans="1:43" x14ac:dyDescent="0.2">
      <c r="A738" s="46">
        <v>728</v>
      </c>
      <c r="B738" s="13" t="s">
        <v>266</v>
      </c>
      <c r="C738" s="13" t="s">
        <v>313</v>
      </c>
      <c r="D738" s="13" t="s">
        <v>312</v>
      </c>
      <c r="E738" s="13" t="s">
        <v>2182</v>
      </c>
      <c r="F738" s="13" t="s">
        <v>208</v>
      </c>
      <c r="G738" s="13" t="s">
        <v>111</v>
      </c>
      <c r="H738" s="16">
        <v>43997</v>
      </c>
      <c r="I738" s="16">
        <v>44000</v>
      </c>
      <c r="J738" s="22">
        <v>800.39</v>
      </c>
      <c r="K738" s="22">
        <v>21.84</v>
      </c>
      <c r="L738" s="22" t="s">
        <v>2183</v>
      </c>
      <c r="M738" s="26" t="s">
        <v>98</v>
      </c>
      <c r="N738" s="13" t="s">
        <v>230</v>
      </c>
      <c r="O738" s="13" t="s">
        <v>314</v>
      </c>
      <c r="P738" s="13" t="s">
        <v>60</v>
      </c>
      <c r="Q738" s="13" t="s">
        <v>62</v>
      </c>
      <c r="R738" s="13" t="s">
        <v>270</v>
      </c>
      <c r="S738" s="13" t="s">
        <v>2184</v>
      </c>
      <c r="T738" s="13" t="s">
        <v>2192</v>
      </c>
      <c r="U738" s="13"/>
      <c r="V738" s="13"/>
      <c r="W738" s="13"/>
      <c r="X738" s="14"/>
      <c r="AN738" s="7" t="s">
        <v>70</v>
      </c>
      <c r="AO738" s="21">
        <f t="shared" si="34"/>
        <v>0</v>
      </c>
      <c r="AP738" s="7">
        <f t="shared" si="35"/>
        <v>21.84</v>
      </c>
      <c r="AQ738" s="31" t="str">
        <f t="shared" si="36"/>
        <v>Complete - No Adjustment</v>
      </c>
    </row>
    <row r="739" spans="1:43" x14ac:dyDescent="0.2">
      <c r="A739" s="46">
        <v>729</v>
      </c>
      <c r="B739" s="13" t="s">
        <v>266</v>
      </c>
      <c r="C739" s="13" t="s">
        <v>721</v>
      </c>
      <c r="D739" s="13" t="s">
        <v>797</v>
      </c>
      <c r="E739" s="13" t="s">
        <v>2193</v>
      </c>
      <c r="F739" s="13" t="s">
        <v>202</v>
      </c>
      <c r="G739" s="13" t="s">
        <v>111</v>
      </c>
      <c r="H739" s="16">
        <v>43980</v>
      </c>
      <c r="I739" s="16">
        <v>43983</v>
      </c>
      <c r="J739" s="22">
        <v>305</v>
      </c>
      <c r="K739" s="22">
        <v>305</v>
      </c>
      <c r="L739" s="22" t="s">
        <v>2194</v>
      </c>
      <c r="M739" s="26" t="s">
        <v>98</v>
      </c>
      <c r="N739" s="13" t="s">
        <v>230</v>
      </c>
      <c r="O739" s="13" t="s">
        <v>277</v>
      </c>
      <c r="P739" s="13" t="s">
        <v>60</v>
      </c>
      <c r="Q739" s="13" t="s">
        <v>59</v>
      </c>
      <c r="R739" s="13" t="s">
        <v>270</v>
      </c>
      <c r="S739" s="13" t="s">
        <v>2195</v>
      </c>
      <c r="T739" s="13" t="s">
        <v>2196</v>
      </c>
      <c r="U739" s="13"/>
      <c r="V739" s="13"/>
      <c r="W739" s="13"/>
      <c r="X739" s="14"/>
      <c r="AN739" s="7" t="s">
        <v>70</v>
      </c>
      <c r="AO739" s="21">
        <f t="shared" si="34"/>
        <v>0</v>
      </c>
      <c r="AP739" s="7">
        <f t="shared" si="35"/>
        <v>305</v>
      </c>
      <c r="AQ739" s="31" t="str">
        <f t="shared" si="36"/>
        <v>Complete - No Adjustment</v>
      </c>
    </row>
    <row r="740" spans="1:43" x14ac:dyDescent="0.2">
      <c r="A740" s="46">
        <v>730</v>
      </c>
      <c r="B740" s="13" t="s">
        <v>266</v>
      </c>
      <c r="C740" s="13" t="s">
        <v>742</v>
      </c>
      <c r="D740" s="13" t="s">
        <v>741</v>
      </c>
      <c r="E740" s="13" t="s">
        <v>2197</v>
      </c>
      <c r="F740" s="13" t="s">
        <v>212</v>
      </c>
      <c r="G740" s="13" t="s">
        <v>111</v>
      </c>
      <c r="H740" s="16">
        <v>43999</v>
      </c>
      <c r="I740" s="16">
        <v>44004</v>
      </c>
      <c r="J740" s="22">
        <v>11.13</v>
      </c>
      <c r="K740" s="22">
        <v>11.13</v>
      </c>
      <c r="L740" s="22" t="s">
        <v>2198</v>
      </c>
      <c r="M740" s="26" t="s">
        <v>98</v>
      </c>
      <c r="N740" s="13" t="s">
        <v>230</v>
      </c>
      <c r="O740" s="13" t="s">
        <v>288</v>
      </c>
      <c r="P740" s="13" t="s">
        <v>60</v>
      </c>
      <c r="Q740" s="13" t="s">
        <v>41</v>
      </c>
      <c r="R740" s="13" t="s">
        <v>270</v>
      </c>
      <c r="S740" s="13" t="s">
        <v>2199</v>
      </c>
      <c r="T740" s="13" t="s">
        <v>2200</v>
      </c>
      <c r="U740" s="13"/>
      <c r="V740" s="13"/>
      <c r="W740" s="13"/>
      <c r="X740" s="14"/>
      <c r="AN740" s="7" t="s">
        <v>155</v>
      </c>
      <c r="AO740" s="21">
        <f t="shared" si="34"/>
        <v>0</v>
      </c>
      <c r="AP740" s="7">
        <f t="shared" si="35"/>
        <v>11.13</v>
      </c>
      <c r="AQ740" s="31" t="str">
        <f t="shared" si="36"/>
        <v>Complete - No Adjustment</v>
      </c>
    </row>
    <row r="741" spans="1:43" x14ac:dyDescent="0.2">
      <c r="A741" s="46">
        <v>731</v>
      </c>
      <c r="B741" s="13" t="s">
        <v>266</v>
      </c>
      <c r="C741" s="13" t="s">
        <v>742</v>
      </c>
      <c r="D741" s="13" t="s">
        <v>741</v>
      </c>
      <c r="E741" s="13" t="s">
        <v>2201</v>
      </c>
      <c r="F741" s="13" t="s">
        <v>218</v>
      </c>
      <c r="G741" s="13" t="s">
        <v>111</v>
      </c>
      <c r="H741" s="16">
        <v>43987</v>
      </c>
      <c r="I741" s="16">
        <v>43991</v>
      </c>
      <c r="J741" s="22">
        <v>11.24</v>
      </c>
      <c r="K741" s="22">
        <v>11.24</v>
      </c>
      <c r="L741" s="22" t="s">
        <v>2202</v>
      </c>
      <c r="M741" s="26" t="s">
        <v>98</v>
      </c>
      <c r="N741" s="13" t="s">
        <v>230</v>
      </c>
      <c r="O741" s="13" t="s">
        <v>288</v>
      </c>
      <c r="P741" s="13" t="s">
        <v>60</v>
      </c>
      <c r="Q741" s="13" t="s">
        <v>41</v>
      </c>
      <c r="R741" s="13" t="s">
        <v>270</v>
      </c>
      <c r="S741" s="13" t="s">
        <v>1690</v>
      </c>
      <c r="T741" s="13" t="s">
        <v>1691</v>
      </c>
      <c r="U741" s="13"/>
      <c r="V741" s="13"/>
      <c r="W741" s="13"/>
      <c r="X741" s="14"/>
      <c r="AN741" s="7" t="s">
        <v>155</v>
      </c>
      <c r="AO741" s="21">
        <f t="shared" si="34"/>
        <v>0</v>
      </c>
      <c r="AP741" s="7">
        <f t="shared" si="35"/>
        <v>11.24</v>
      </c>
      <c r="AQ741" s="31" t="str">
        <f t="shared" si="36"/>
        <v>Complete - No Adjustment</v>
      </c>
    </row>
    <row r="742" spans="1:43" x14ac:dyDescent="0.2">
      <c r="A742" s="46">
        <v>732</v>
      </c>
      <c r="B742" s="13" t="s">
        <v>266</v>
      </c>
      <c r="C742" s="13" t="s">
        <v>742</v>
      </c>
      <c r="D742" s="13" t="s">
        <v>741</v>
      </c>
      <c r="E742" s="13" t="s">
        <v>2203</v>
      </c>
      <c r="F742" s="13" t="s">
        <v>202</v>
      </c>
      <c r="G742" s="13" t="s">
        <v>111</v>
      </c>
      <c r="H742" s="16">
        <v>43980</v>
      </c>
      <c r="I742" s="16">
        <v>43983</v>
      </c>
      <c r="J742" s="22">
        <v>14.07</v>
      </c>
      <c r="K742" s="22">
        <v>14.07</v>
      </c>
      <c r="L742" s="22" t="s">
        <v>2204</v>
      </c>
      <c r="M742" s="26" t="s">
        <v>98</v>
      </c>
      <c r="N742" s="13" t="s">
        <v>230</v>
      </c>
      <c r="O742" s="13" t="s">
        <v>288</v>
      </c>
      <c r="P742" s="13" t="s">
        <v>60</v>
      </c>
      <c r="Q742" s="13" t="s">
        <v>41</v>
      </c>
      <c r="R742" s="13" t="s">
        <v>270</v>
      </c>
      <c r="S742" s="13" t="s">
        <v>2205</v>
      </c>
      <c r="T742" s="13" t="s">
        <v>2206</v>
      </c>
      <c r="U742" s="13"/>
      <c r="V742" s="13"/>
      <c r="W742" s="13"/>
      <c r="X742" s="14"/>
      <c r="AN742" s="7" t="s">
        <v>155</v>
      </c>
      <c r="AO742" s="21">
        <f t="shared" si="34"/>
        <v>0</v>
      </c>
      <c r="AP742" s="7">
        <f t="shared" si="35"/>
        <v>14.07</v>
      </c>
      <c r="AQ742" s="31" t="str">
        <f t="shared" si="36"/>
        <v>Complete - No Adjustment</v>
      </c>
    </row>
    <row r="743" spans="1:43" x14ac:dyDescent="0.2">
      <c r="A743" s="46">
        <v>733</v>
      </c>
      <c r="B743" s="13" t="s">
        <v>266</v>
      </c>
      <c r="C743" s="13" t="s">
        <v>742</v>
      </c>
      <c r="D743" s="13" t="s">
        <v>741</v>
      </c>
      <c r="E743" s="13" t="s">
        <v>2207</v>
      </c>
      <c r="F743" s="13" t="s">
        <v>206</v>
      </c>
      <c r="G743" s="13" t="s">
        <v>111</v>
      </c>
      <c r="H743" s="16">
        <v>43991</v>
      </c>
      <c r="I743" s="16">
        <v>43992</v>
      </c>
      <c r="J743" s="22">
        <v>14.07</v>
      </c>
      <c r="K743" s="22">
        <v>14.07</v>
      </c>
      <c r="L743" s="22" t="s">
        <v>2208</v>
      </c>
      <c r="M743" s="26" t="s">
        <v>98</v>
      </c>
      <c r="N743" s="13" t="s">
        <v>230</v>
      </c>
      <c r="O743" s="13" t="s">
        <v>288</v>
      </c>
      <c r="P743" s="13" t="s">
        <v>60</v>
      </c>
      <c r="Q743" s="13" t="s">
        <v>41</v>
      </c>
      <c r="R743" s="13" t="s">
        <v>270</v>
      </c>
      <c r="S743" s="13" t="s">
        <v>2209</v>
      </c>
      <c r="T743" s="13" t="s">
        <v>2210</v>
      </c>
      <c r="U743" s="13"/>
      <c r="V743" s="13"/>
      <c r="W743" s="13"/>
      <c r="X743" s="14"/>
      <c r="AN743" s="7" t="s">
        <v>155</v>
      </c>
      <c r="AO743" s="21">
        <f t="shared" si="34"/>
        <v>0</v>
      </c>
      <c r="AP743" s="7">
        <f t="shared" si="35"/>
        <v>14.07</v>
      </c>
      <c r="AQ743" s="31" t="str">
        <f t="shared" si="36"/>
        <v>Complete - No Adjustment</v>
      </c>
    </row>
    <row r="744" spans="1:43" x14ac:dyDescent="0.2">
      <c r="A744" s="46">
        <v>734</v>
      </c>
      <c r="B744" s="13" t="s">
        <v>266</v>
      </c>
      <c r="C744" s="13" t="s">
        <v>77</v>
      </c>
      <c r="D744" s="13" t="s">
        <v>100</v>
      </c>
      <c r="E744" s="13" t="s">
        <v>2211</v>
      </c>
      <c r="F744" s="13" t="s">
        <v>219</v>
      </c>
      <c r="G744" s="13" t="s">
        <v>111</v>
      </c>
      <c r="H744" s="16">
        <v>43985</v>
      </c>
      <c r="I744" s="16">
        <v>43998</v>
      </c>
      <c r="J744" s="22">
        <v>275</v>
      </c>
      <c r="K744" s="22">
        <v>275</v>
      </c>
      <c r="L744" s="22" t="s">
        <v>2212</v>
      </c>
      <c r="M744" s="26" t="s">
        <v>98</v>
      </c>
      <c r="N744" s="13" t="s">
        <v>230</v>
      </c>
      <c r="O744" s="13" t="s">
        <v>78</v>
      </c>
      <c r="P744" s="13" t="s">
        <v>60</v>
      </c>
      <c r="Q744" s="13" t="s">
        <v>48</v>
      </c>
      <c r="R744" s="13" t="s">
        <v>270</v>
      </c>
      <c r="S744" s="13" t="s">
        <v>2213</v>
      </c>
      <c r="T744" s="13" t="s">
        <v>2214</v>
      </c>
      <c r="U744" s="13"/>
      <c r="V744" s="13"/>
      <c r="W744" s="13"/>
      <c r="X744" s="14"/>
      <c r="AN744" s="7" t="s">
        <v>2215</v>
      </c>
      <c r="AO744" s="21">
        <f t="shared" ref="AO744:AO807" si="37">SUM(Y744:AL744)</f>
        <v>0</v>
      </c>
      <c r="AP744" s="7">
        <f t="shared" ref="AP744:AP807" si="38">K744-AO744</f>
        <v>275</v>
      </c>
      <c r="AQ744" s="31" t="str">
        <f t="shared" si="36"/>
        <v>Complete - No Adjustment</v>
      </c>
    </row>
    <row r="745" spans="1:43" x14ac:dyDescent="0.2">
      <c r="A745" s="46">
        <v>735</v>
      </c>
      <c r="B745" s="13" t="s">
        <v>266</v>
      </c>
      <c r="C745" s="13" t="s">
        <v>77</v>
      </c>
      <c r="D745" s="13" t="s">
        <v>100</v>
      </c>
      <c r="E745" s="13" t="s">
        <v>2216</v>
      </c>
      <c r="F745" s="13" t="s">
        <v>219</v>
      </c>
      <c r="G745" s="13" t="s">
        <v>111</v>
      </c>
      <c r="H745" s="16">
        <v>43997</v>
      </c>
      <c r="I745" s="16">
        <v>43998</v>
      </c>
      <c r="J745" s="22">
        <v>1235</v>
      </c>
      <c r="K745" s="22">
        <v>550</v>
      </c>
      <c r="L745" s="22" t="s">
        <v>2217</v>
      </c>
      <c r="M745" s="26" t="s">
        <v>98</v>
      </c>
      <c r="N745" s="13" t="s">
        <v>230</v>
      </c>
      <c r="O745" s="13" t="s">
        <v>78</v>
      </c>
      <c r="P745" s="13" t="s">
        <v>60</v>
      </c>
      <c r="Q745" s="13" t="s">
        <v>56</v>
      </c>
      <c r="R745" s="13" t="s">
        <v>270</v>
      </c>
      <c r="S745" s="13" t="s">
        <v>2218</v>
      </c>
      <c r="T745" s="13" t="s">
        <v>2219</v>
      </c>
      <c r="U745" s="13"/>
      <c r="V745" s="13"/>
      <c r="W745" s="13"/>
      <c r="X745" s="14"/>
      <c r="AN745" s="7" t="s">
        <v>70</v>
      </c>
      <c r="AO745" s="21">
        <f t="shared" si="37"/>
        <v>0</v>
      </c>
      <c r="AP745" s="7">
        <f t="shared" si="38"/>
        <v>550</v>
      </c>
      <c r="AQ745" s="31" t="str">
        <f t="shared" si="36"/>
        <v>Complete - No Adjustment</v>
      </c>
    </row>
    <row r="746" spans="1:43" x14ac:dyDescent="0.2">
      <c r="A746" s="46">
        <v>736</v>
      </c>
      <c r="B746" s="13" t="s">
        <v>266</v>
      </c>
      <c r="C746" s="13" t="s">
        <v>77</v>
      </c>
      <c r="D746" s="13" t="s">
        <v>100</v>
      </c>
      <c r="E746" s="13" t="s">
        <v>2216</v>
      </c>
      <c r="F746" s="13" t="s">
        <v>219</v>
      </c>
      <c r="G746" s="13" t="s">
        <v>111</v>
      </c>
      <c r="H746" s="16">
        <v>43997</v>
      </c>
      <c r="I746" s="16">
        <v>43998</v>
      </c>
      <c r="J746" s="22">
        <v>1235</v>
      </c>
      <c r="K746" s="22">
        <v>400</v>
      </c>
      <c r="L746" s="22" t="s">
        <v>2217</v>
      </c>
      <c r="M746" s="26" t="s">
        <v>98</v>
      </c>
      <c r="N746" s="13" t="s">
        <v>230</v>
      </c>
      <c r="O746" s="13" t="s">
        <v>78</v>
      </c>
      <c r="P746" s="13" t="s">
        <v>60</v>
      </c>
      <c r="Q746" s="13" t="s">
        <v>48</v>
      </c>
      <c r="R746" s="13" t="s">
        <v>270</v>
      </c>
      <c r="S746" s="13" t="s">
        <v>2218</v>
      </c>
      <c r="T746" s="13" t="s">
        <v>2220</v>
      </c>
      <c r="U746" s="13"/>
      <c r="V746" s="13"/>
      <c r="W746" s="13"/>
      <c r="X746" s="14"/>
      <c r="AN746" s="7" t="s">
        <v>70</v>
      </c>
      <c r="AO746" s="21">
        <f t="shared" si="37"/>
        <v>0</v>
      </c>
      <c r="AP746" s="7">
        <f t="shared" si="38"/>
        <v>400</v>
      </c>
      <c r="AQ746" s="31" t="str">
        <f t="shared" si="36"/>
        <v>Complete - No Adjustment</v>
      </c>
    </row>
    <row r="747" spans="1:43" x14ac:dyDescent="0.2">
      <c r="A747" s="46">
        <v>737</v>
      </c>
      <c r="B747" s="13" t="s">
        <v>266</v>
      </c>
      <c r="C747" s="13" t="s">
        <v>77</v>
      </c>
      <c r="D747" s="13" t="s">
        <v>100</v>
      </c>
      <c r="E747" s="13" t="s">
        <v>2216</v>
      </c>
      <c r="F747" s="13" t="s">
        <v>219</v>
      </c>
      <c r="G747" s="13" t="s">
        <v>111</v>
      </c>
      <c r="H747" s="16">
        <v>43997</v>
      </c>
      <c r="I747" s="16">
        <v>43998</v>
      </c>
      <c r="J747" s="22">
        <v>1235</v>
      </c>
      <c r="K747" s="22">
        <v>285</v>
      </c>
      <c r="L747" s="22" t="s">
        <v>2217</v>
      </c>
      <c r="M747" s="26" t="s">
        <v>98</v>
      </c>
      <c r="N747" s="13" t="s">
        <v>230</v>
      </c>
      <c r="O747" s="13" t="s">
        <v>78</v>
      </c>
      <c r="P747" s="13" t="s">
        <v>60</v>
      </c>
      <c r="Q747" s="13" t="s">
        <v>119</v>
      </c>
      <c r="R747" s="13" t="s">
        <v>270</v>
      </c>
      <c r="S747" s="13" t="s">
        <v>2218</v>
      </c>
      <c r="T747" s="13" t="s">
        <v>2221</v>
      </c>
      <c r="U747" s="13"/>
      <c r="V747" s="13"/>
      <c r="W747" s="13"/>
      <c r="X747" s="14"/>
      <c r="AN747" s="7" t="s">
        <v>70</v>
      </c>
      <c r="AO747" s="21">
        <f t="shared" si="37"/>
        <v>0</v>
      </c>
      <c r="AP747" s="7">
        <f t="shared" si="38"/>
        <v>285</v>
      </c>
      <c r="AQ747" s="31" t="str">
        <f t="shared" si="36"/>
        <v>Complete - No Adjustment</v>
      </c>
    </row>
    <row r="748" spans="1:43" x14ac:dyDescent="0.2">
      <c r="A748" s="46">
        <v>738</v>
      </c>
      <c r="B748" s="13" t="s">
        <v>266</v>
      </c>
      <c r="C748" s="13" t="s">
        <v>669</v>
      </c>
      <c r="D748" s="13" t="s">
        <v>668</v>
      </c>
      <c r="E748" s="13" t="s">
        <v>2059</v>
      </c>
      <c r="F748" s="13" t="s">
        <v>2060</v>
      </c>
      <c r="G748" s="13" t="s">
        <v>111</v>
      </c>
      <c r="H748" s="16">
        <v>43901</v>
      </c>
      <c r="I748" s="16">
        <v>44008</v>
      </c>
      <c r="J748" s="22">
        <v>1737.62</v>
      </c>
      <c r="K748" s="22">
        <v>868.81</v>
      </c>
      <c r="L748" s="22"/>
      <c r="M748" s="26" t="s">
        <v>97</v>
      </c>
      <c r="N748" s="13" t="s">
        <v>230</v>
      </c>
      <c r="O748" s="13" t="s">
        <v>402</v>
      </c>
      <c r="P748" s="13" t="s">
        <v>42</v>
      </c>
      <c r="Q748" s="13" t="s">
        <v>54</v>
      </c>
      <c r="R748" s="13" t="s">
        <v>270</v>
      </c>
      <c r="S748" s="13" t="s">
        <v>2061</v>
      </c>
      <c r="T748" s="13" t="s">
        <v>2062</v>
      </c>
      <c r="U748" s="13"/>
      <c r="V748" s="13"/>
      <c r="W748" s="13"/>
      <c r="X748" s="14"/>
      <c r="Z748" s="14">
        <v>868.81</v>
      </c>
      <c r="AN748" s="7" t="s">
        <v>39</v>
      </c>
      <c r="AO748" s="21">
        <f t="shared" si="37"/>
        <v>868.81</v>
      </c>
      <c r="AP748" s="7">
        <f t="shared" si="38"/>
        <v>0</v>
      </c>
      <c r="AQ748" s="31" t="str">
        <f t="shared" si="36"/>
        <v>Complete - With Adjustment</v>
      </c>
    </row>
    <row r="749" spans="1:43" x14ac:dyDescent="0.2">
      <c r="A749" s="46">
        <v>739</v>
      </c>
      <c r="B749" s="13" t="s">
        <v>266</v>
      </c>
      <c r="C749" s="13" t="s">
        <v>669</v>
      </c>
      <c r="D749" s="13" t="s">
        <v>668</v>
      </c>
      <c r="E749" s="13" t="s">
        <v>2059</v>
      </c>
      <c r="F749" s="13" t="s">
        <v>2060</v>
      </c>
      <c r="G749" s="13" t="s">
        <v>111</v>
      </c>
      <c r="H749" s="16">
        <v>43901</v>
      </c>
      <c r="I749" s="16">
        <v>44008</v>
      </c>
      <c r="J749" s="22">
        <v>1737.62</v>
      </c>
      <c r="K749" s="22">
        <v>868.81</v>
      </c>
      <c r="L749" s="22"/>
      <c r="M749" s="26" t="s">
        <v>97</v>
      </c>
      <c r="N749" s="13" t="s">
        <v>230</v>
      </c>
      <c r="O749" s="13" t="s">
        <v>402</v>
      </c>
      <c r="P749" s="13" t="s">
        <v>42</v>
      </c>
      <c r="Q749" s="13" t="s">
        <v>44</v>
      </c>
      <c r="R749" s="13" t="s">
        <v>270</v>
      </c>
      <c r="S749" s="13" t="s">
        <v>2061</v>
      </c>
      <c r="T749" s="13" t="s">
        <v>2063</v>
      </c>
      <c r="U749" s="13"/>
      <c r="V749" s="13"/>
      <c r="W749" s="13"/>
      <c r="X749" s="14"/>
      <c r="Z749" s="14">
        <v>868.81</v>
      </c>
      <c r="AN749" s="7" t="s">
        <v>39</v>
      </c>
      <c r="AO749" s="21">
        <f t="shared" si="37"/>
        <v>868.81</v>
      </c>
      <c r="AP749" s="7">
        <f t="shared" si="38"/>
        <v>0</v>
      </c>
      <c r="AQ749" s="31" t="str">
        <f t="shared" si="36"/>
        <v>Complete - With Adjustment</v>
      </c>
    </row>
    <row r="750" spans="1:43" x14ac:dyDescent="0.2">
      <c r="A750" s="46">
        <v>740</v>
      </c>
      <c r="B750" s="13" t="s">
        <v>266</v>
      </c>
      <c r="C750" s="13" t="s">
        <v>591</v>
      </c>
      <c r="D750" s="13" t="s">
        <v>590</v>
      </c>
      <c r="E750" s="13" t="s">
        <v>2222</v>
      </c>
      <c r="F750" s="13" t="s">
        <v>2060</v>
      </c>
      <c r="G750" s="13" t="s">
        <v>111</v>
      </c>
      <c r="H750" s="16">
        <v>44005</v>
      </c>
      <c r="I750" s="16">
        <v>44008</v>
      </c>
      <c r="J750" s="22">
        <v>14.83</v>
      </c>
      <c r="K750" s="22">
        <v>14.83</v>
      </c>
      <c r="L750" s="22" t="s">
        <v>2223</v>
      </c>
      <c r="M750" s="26" t="s">
        <v>98</v>
      </c>
      <c r="N750" s="13" t="s">
        <v>230</v>
      </c>
      <c r="O750" s="13" t="s">
        <v>444</v>
      </c>
      <c r="P750" s="13" t="s">
        <v>60</v>
      </c>
      <c r="Q750" s="13" t="s">
        <v>41</v>
      </c>
      <c r="R750" s="13" t="s">
        <v>270</v>
      </c>
      <c r="S750" s="13" t="s">
        <v>2224</v>
      </c>
      <c r="T750" s="13" t="s">
        <v>2225</v>
      </c>
      <c r="U750" s="13"/>
      <c r="V750" s="13"/>
      <c r="W750" s="13"/>
      <c r="X750" s="14"/>
      <c r="AN750" s="7" t="s">
        <v>155</v>
      </c>
      <c r="AO750" s="21">
        <f t="shared" si="37"/>
        <v>0</v>
      </c>
      <c r="AP750" s="7">
        <f t="shared" si="38"/>
        <v>14.83</v>
      </c>
      <c r="AQ750" s="31" t="str">
        <f t="shared" si="36"/>
        <v>Complete - No Adjustment</v>
      </c>
    </row>
    <row r="751" spans="1:43" x14ac:dyDescent="0.2">
      <c r="A751" s="46">
        <v>741</v>
      </c>
      <c r="B751" s="13" t="s">
        <v>266</v>
      </c>
      <c r="C751" s="13" t="s">
        <v>591</v>
      </c>
      <c r="D751" s="13" t="s">
        <v>590</v>
      </c>
      <c r="E751" s="13" t="s">
        <v>2226</v>
      </c>
      <c r="F751" s="13" t="s">
        <v>207</v>
      </c>
      <c r="G751" s="13" t="s">
        <v>111</v>
      </c>
      <c r="H751" s="16">
        <v>43984</v>
      </c>
      <c r="I751" s="16">
        <v>43987</v>
      </c>
      <c r="J751" s="22">
        <v>83.97</v>
      </c>
      <c r="K751" s="22">
        <v>29.97</v>
      </c>
      <c r="L751" s="22" t="s">
        <v>2227</v>
      </c>
      <c r="M751" s="26" t="s">
        <v>98</v>
      </c>
      <c r="N751" s="13" t="s">
        <v>230</v>
      </c>
      <c r="O751" s="13" t="s">
        <v>444</v>
      </c>
      <c r="P751" s="13" t="s">
        <v>60</v>
      </c>
      <c r="Q751" s="13" t="s">
        <v>65</v>
      </c>
      <c r="R751" s="13" t="s">
        <v>270</v>
      </c>
      <c r="S751" s="13" t="s">
        <v>2228</v>
      </c>
      <c r="T751" s="13" t="s">
        <v>2229</v>
      </c>
      <c r="U751" s="13"/>
      <c r="V751" s="13"/>
      <c r="W751" s="13"/>
      <c r="X751" s="14"/>
      <c r="AL751" s="14">
        <v>29.97</v>
      </c>
      <c r="AN751" s="7" t="s">
        <v>167</v>
      </c>
      <c r="AO751" s="21">
        <f t="shared" si="37"/>
        <v>29.97</v>
      </c>
      <c r="AP751" s="7">
        <f t="shared" si="38"/>
        <v>0</v>
      </c>
      <c r="AQ751" s="31" t="str">
        <f t="shared" si="36"/>
        <v>Complete - With Adjustment</v>
      </c>
    </row>
    <row r="752" spans="1:43" x14ac:dyDescent="0.2">
      <c r="A752" s="46">
        <v>742</v>
      </c>
      <c r="B752" s="13" t="s">
        <v>266</v>
      </c>
      <c r="C752" s="13" t="s">
        <v>591</v>
      </c>
      <c r="D752" s="13" t="s">
        <v>590</v>
      </c>
      <c r="E752" s="13" t="s">
        <v>2226</v>
      </c>
      <c r="F752" s="13" t="s">
        <v>207</v>
      </c>
      <c r="G752" s="13" t="s">
        <v>111</v>
      </c>
      <c r="H752" s="16">
        <v>43984</v>
      </c>
      <c r="I752" s="16">
        <v>43987</v>
      </c>
      <c r="J752" s="22">
        <v>83.97</v>
      </c>
      <c r="K752" s="22">
        <v>27.48</v>
      </c>
      <c r="L752" s="22" t="s">
        <v>2227</v>
      </c>
      <c r="M752" s="26" t="s">
        <v>98</v>
      </c>
      <c r="N752" s="13" t="s">
        <v>230</v>
      </c>
      <c r="O752" s="13" t="s">
        <v>444</v>
      </c>
      <c r="P752" s="13" t="s">
        <v>60</v>
      </c>
      <c r="Q752" s="13" t="s">
        <v>62</v>
      </c>
      <c r="R752" s="13" t="s">
        <v>270</v>
      </c>
      <c r="S752" s="13" t="s">
        <v>2228</v>
      </c>
      <c r="T752" s="13" t="s">
        <v>2230</v>
      </c>
      <c r="U752" s="13"/>
      <c r="V752" s="13"/>
      <c r="W752" s="13"/>
      <c r="X752" s="14"/>
      <c r="AN752" s="7" t="s">
        <v>155</v>
      </c>
      <c r="AO752" s="21">
        <f t="shared" si="37"/>
        <v>0</v>
      </c>
      <c r="AP752" s="7">
        <f t="shared" si="38"/>
        <v>27.48</v>
      </c>
      <c r="AQ752" s="31" t="str">
        <f t="shared" si="36"/>
        <v>Complete - No Adjustment</v>
      </c>
    </row>
    <row r="753" spans="1:43" x14ac:dyDescent="0.2">
      <c r="A753" s="46">
        <v>743</v>
      </c>
      <c r="B753" s="13" t="s">
        <v>266</v>
      </c>
      <c r="C753" s="13" t="s">
        <v>591</v>
      </c>
      <c r="D753" s="13" t="s">
        <v>590</v>
      </c>
      <c r="E753" s="13" t="s">
        <v>2226</v>
      </c>
      <c r="F753" s="13" t="s">
        <v>207</v>
      </c>
      <c r="G753" s="13" t="s">
        <v>111</v>
      </c>
      <c r="H753" s="16">
        <v>43984</v>
      </c>
      <c r="I753" s="16">
        <v>43987</v>
      </c>
      <c r="J753" s="22">
        <v>83.97</v>
      </c>
      <c r="K753" s="22">
        <v>26.52</v>
      </c>
      <c r="L753" s="22" t="s">
        <v>2227</v>
      </c>
      <c r="M753" s="26" t="s">
        <v>98</v>
      </c>
      <c r="N753" s="13" t="s">
        <v>230</v>
      </c>
      <c r="O753" s="13" t="s">
        <v>444</v>
      </c>
      <c r="P753" s="13" t="s">
        <v>60</v>
      </c>
      <c r="Q753" s="13" t="s">
        <v>41</v>
      </c>
      <c r="R753" s="13" t="s">
        <v>270</v>
      </c>
      <c r="S753" s="13" t="s">
        <v>2228</v>
      </c>
      <c r="T753" s="13" t="s">
        <v>1388</v>
      </c>
      <c r="U753" s="13"/>
      <c r="V753" s="13"/>
      <c r="W753" s="13"/>
      <c r="X753" s="14"/>
      <c r="AN753" s="7" t="s">
        <v>155</v>
      </c>
      <c r="AO753" s="21">
        <f t="shared" si="37"/>
        <v>0</v>
      </c>
      <c r="AP753" s="7">
        <f t="shared" si="38"/>
        <v>26.52</v>
      </c>
      <c r="AQ753" s="31" t="str">
        <f t="shared" si="36"/>
        <v>Complete - No Adjustment</v>
      </c>
    </row>
    <row r="754" spans="1:43" x14ac:dyDescent="0.2">
      <c r="A754" s="46">
        <v>744</v>
      </c>
      <c r="B754" s="13" t="s">
        <v>266</v>
      </c>
      <c r="C754" s="13" t="s">
        <v>322</v>
      </c>
      <c r="D754" s="13" t="s">
        <v>321</v>
      </c>
      <c r="E754" s="13" t="s">
        <v>2231</v>
      </c>
      <c r="F754" s="13" t="s">
        <v>213</v>
      </c>
      <c r="G754" s="13" t="s">
        <v>111</v>
      </c>
      <c r="H754" s="16">
        <v>43998</v>
      </c>
      <c r="I754" s="16">
        <v>43999</v>
      </c>
      <c r="J754" s="22">
        <v>30</v>
      </c>
      <c r="K754" s="22">
        <v>30</v>
      </c>
      <c r="L754" s="22" t="s">
        <v>2232</v>
      </c>
      <c r="M754" s="26" t="s">
        <v>98</v>
      </c>
      <c r="N754" s="13" t="s">
        <v>230</v>
      </c>
      <c r="O754" s="13" t="s">
        <v>323</v>
      </c>
      <c r="P754" s="13" t="s">
        <v>60</v>
      </c>
      <c r="Q754" s="13" t="s">
        <v>41</v>
      </c>
      <c r="R754" s="13" t="s">
        <v>270</v>
      </c>
      <c r="S754" s="13" t="s">
        <v>2233</v>
      </c>
      <c r="T754" s="13" t="s">
        <v>2234</v>
      </c>
      <c r="U754" s="13"/>
      <c r="V754" s="13"/>
      <c r="W754" s="13"/>
      <c r="X754" s="14"/>
      <c r="AN754" s="7" t="s">
        <v>155</v>
      </c>
      <c r="AO754" s="21">
        <f t="shared" si="37"/>
        <v>0</v>
      </c>
      <c r="AP754" s="7">
        <f t="shared" si="38"/>
        <v>30</v>
      </c>
      <c r="AQ754" s="31" t="str">
        <f t="shared" si="36"/>
        <v>Complete - No Adjustment</v>
      </c>
    </row>
    <row r="755" spans="1:43" x14ac:dyDescent="0.2">
      <c r="A755" s="46">
        <v>745</v>
      </c>
      <c r="B755" s="13" t="s">
        <v>266</v>
      </c>
      <c r="C755" s="13" t="s">
        <v>325</v>
      </c>
      <c r="D755" s="13" t="s">
        <v>324</v>
      </c>
      <c r="E755" s="13" t="s">
        <v>2235</v>
      </c>
      <c r="F755" s="13" t="s">
        <v>212</v>
      </c>
      <c r="G755" s="13" t="s">
        <v>111</v>
      </c>
      <c r="H755" s="16">
        <v>43998</v>
      </c>
      <c r="I755" s="16">
        <v>44004</v>
      </c>
      <c r="J755" s="22">
        <v>91.3</v>
      </c>
      <c r="K755" s="22">
        <v>16.05</v>
      </c>
      <c r="L755" s="22" t="s">
        <v>2236</v>
      </c>
      <c r="M755" s="26" t="s">
        <v>98</v>
      </c>
      <c r="N755" s="13" t="s">
        <v>230</v>
      </c>
      <c r="O755" s="13" t="s">
        <v>288</v>
      </c>
      <c r="P755" s="13" t="s">
        <v>60</v>
      </c>
      <c r="Q755" s="13" t="s">
        <v>41</v>
      </c>
      <c r="R755" s="13" t="s">
        <v>270</v>
      </c>
      <c r="S755" s="13" t="s">
        <v>2237</v>
      </c>
      <c r="T755" s="13" t="s">
        <v>2238</v>
      </c>
      <c r="U755" s="13"/>
      <c r="V755" s="13"/>
      <c r="W755" s="13"/>
      <c r="X755" s="14"/>
      <c r="AL755" s="14">
        <v>16.05</v>
      </c>
      <c r="AN755" s="7" t="s">
        <v>167</v>
      </c>
      <c r="AO755" s="21">
        <f t="shared" si="37"/>
        <v>16.05</v>
      </c>
      <c r="AP755" s="7">
        <f t="shared" si="38"/>
        <v>0</v>
      </c>
      <c r="AQ755" s="31" t="str">
        <f t="shared" si="36"/>
        <v>Complete - With Adjustment</v>
      </c>
    </row>
    <row r="756" spans="1:43" x14ac:dyDescent="0.2">
      <c r="A756" s="46">
        <v>746</v>
      </c>
      <c r="B756" s="13" t="s">
        <v>266</v>
      </c>
      <c r="C756" s="13" t="s">
        <v>325</v>
      </c>
      <c r="D756" s="13" t="s">
        <v>324</v>
      </c>
      <c r="E756" s="13" t="s">
        <v>2235</v>
      </c>
      <c r="F756" s="13" t="s">
        <v>212</v>
      </c>
      <c r="G756" s="13" t="s">
        <v>111</v>
      </c>
      <c r="H756" s="16">
        <v>43998</v>
      </c>
      <c r="I756" s="16">
        <v>44004</v>
      </c>
      <c r="J756" s="22">
        <v>91.3</v>
      </c>
      <c r="K756" s="22">
        <v>18.399999999999999</v>
      </c>
      <c r="L756" s="22" t="s">
        <v>2236</v>
      </c>
      <c r="M756" s="26" t="s">
        <v>98</v>
      </c>
      <c r="N756" s="13" t="s">
        <v>230</v>
      </c>
      <c r="O756" s="13" t="s">
        <v>288</v>
      </c>
      <c r="P756" s="13" t="s">
        <v>60</v>
      </c>
      <c r="Q756" s="13" t="s">
        <v>41</v>
      </c>
      <c r="R756" s="13" t="s">
        <v>270</v>
      </c>
      <c r="S756" s="13" t="s">
        <v>2237</v>
      </c>
      <c r="T756" s="13" t="s">
        <v>2239</v>
      </c>
      <c r="U756" s="13"/>
      <c r="V756" s="13"/>
      <c r="W756" s="13"/>
      <c r="X756" s="14"/>
      <c r="AN756" s="7" t="s">
        <v>70</v>
      </c>
      <c r="AO756" s="21">
        <f t="shared" si="37"/>
        <v>0</v>
      </c>
      <c r="AP756" s="7">
        <f t="shared" si="38"/>
        <v>18.399999999999999</v>
      </c>
      <c r="AQ756" s="31" t="str">
        <f t="shared" si="36"/>
        <v>Complete - No Adjustment</v>
      </c>
    </row>
    <row r="757" spans="1:43" x14ac:dyDescent="0.2">
      <c r="A757" s="46">
        <v>747</v>
      </c>
      <c r="B757" s="13" t="s">
        <v>266</v>
      </c>
      <c r="C757" s="13" t="s">
        <v>325</v>
      </c>
      <c r="D757" s="13" t="s">
        <v>324</v>
      </c>
      <c r="E757" s="13" t="s">
        <v>2235</v>
      </c>
      <c r="F757" s="13" t="s">
        <v>212</v>
      </c>
      <c r="G757" s="13" t="s">
        <v>111</v>
      </c>
      <c r="H757" s="16">
        <v>43998</v>
      </c>
      <c r="I757" s="16">
        <v>44004</v>
      </c>
      <c r="J757" s="22">
        <v>91.3</v>
      </c>
      <c r="K757" s="22">
        <v>19.309999999999999</v>
      </c>
      <c r="L757" s="22" t="s">
        <v>2236</v>
      </c>
      <c r="M757" s="26" t="s">
        <v>98</v>
      </c>
      <c r="N757" s="13" t="s">
        <v>230</v>
      </c>
      <c r="O757" s="13" t="s">
        <v>288</v>
      </c>
      <c r="P757" s="13" t="s">
        <v>60</v>
      </c>
      <c r="Q757" s="13" t="s">
        <v>41</v>
      </c>
      <c r="R757" s="13" t="s">
        <v>270</v>
      </c>
      <c r="S757" s="13" t="s">
        <v>2237</v>
      </c>
      <c r="T757" s="13" t="s">
        <v>2240</v>
      </c>
      <c r="U757" s="13"/>
      <c r="V757" s="13"/>
      <c r="W757" s="13"/>
      <c r="X757" s="14"/>
      <c r="AL757" s="14">
        <v>19.309999999999999</v>
      </c>
      <c r="AN757" s="7" t="s">
        <v>146</v>
      </c>
      <c r="AO757" s="21">
        <f t="shared" si="37"/>
        <v>19.309999999999999</v>
      </c>
      <c r="AP757" s="7">
        <f t="shared" si="38"/>
        <v>0</v>
      </c>
      <c r="AQ757" s="31" t="str">
        <f t="shared" si="36"/>
        <v>Complete - With Adjustment</v>
      </c>
    </row>
    <row r="758" spans="1:43" x14ac:dyDescent="0.2">
      <c r="A758" s="46">
        <v>748</v>
      </c>
      <c r="B758" s="13" t="s">
        <v>266</v>
      </c>
      <c r="C758" s="13" t="s">
        <v>325</v>
      </c>
      <c r="D758" s="13" t="s">
        <v>324</v>
      </c>
      <c r="E758" s="13" t="s">
        <v>2235</v>
      </c>
      <c r="F758" s="13" t="s">
        <v>212</v>
      </c>
      <c r="G758" s="13" t="s">
        <v>111</v>
      </c>
      <c r="H758" s="16">
        <v>43998</v>
      </c>
      <c r="I758" s="16">
        <v>44004</v>
      </c>
      <c r="J758" s="22">
        <v>91.3</v>
      </c>
      <c r="K758" s="22">
        <v>19.309999999999999</v>
      </c>
      <c r="L758" s="22" t="s">
        <v>2236</v>
      </c>
      <c r="M758" s="26" t="s">
        <v>98</v>
      </c>
      <c r="N758" s="13" t="s">
        <v>230</v>
      </c>
      <c r="O758" s="13" t="s">
        <v>288</v>
      </c>
      <c r="P758" s="13" t="s">
        <v>60</v>
      </c>
      <c r="Q758" s="13" t="s">
        <v>41</v>
      </c>
      <c r="R758" s="13" t="s">
        <v>270</v>
      </c>
      <c r="S758" s="13" t="s">
        <v>2237</v>
      </c>
      <c r="T758" s="13" t="s">
        <v>2238</v>
      </c>
      <c r="U758" s="13"/>
      <c r="V758" s="13"/>
      <c r="W758" s="13"/>
      <c r="X758" s="14"/>
      <c r="AL758" s="14">
        <v>19.309999999999999</v>
      </c>
      <c r="AN758" s="7" t="s">
        <v>146</v>
      </c>
      <c r="AO758" s="21">
        <f t="shared" si="37"/>
        <v>19.309999999999999</v>
      </c>
      <c r="AP758" s="7">
        <f t="shared" si="38"/>
        <v>0</v>
      </c>
      <c r="AQ758" s="31" t="str">
        <f t="shared" si="36"/>
        <v>Complete - With Adjustment</v>
      </c>
    </row>
    <row r="759" spans="1:43" x14ac:dyDescent="0.2">
      <c r="A759" s="46">
        <v>749</v>
      </c>
      <c r="B759" s="13" t="s">
        <v>266</v>
      </c>
      <c r="C759" s="13" t="s">
        <v>325</v>
      </c>
      <c r="D759" s="13" t="s">
        <v>324</v>
      </c>
      <c r="E759" s="13" t="s">
        <v>2235</v>
      </c>
      <c r="F759" s="13" t="s">
        <v>212</v>
      </c>
      <c r="G759" s="13" t="s">
        <v>111</v>
      </c>
      <c r="H759" s="16">
        <v>43998</v>
      </c>
      <c r="I759" s="16">
        <v>44004</v>
      </c>
      <c r="J759" s="22">
        <v>91.3</v>
      </c>
      <c r="K759" s="22">
        <v>18.23</v>
      </c>
      <c r="L759" s="22" t="s">
        <v>2236</v>
      </c>
      <c r="M759" s="26" t="s">
        <v>98</v>
      </c>
      <c r="N759" s="13" t="s">
        <v>230</v>
      </c>
      <c r="O759" s="13" t="s">
        <v>288</v>
      </c>
      <c r="P759" s="13" t="s">
        <v>60</v>
      </c>
      <c r="Q759" s="13" t="s">
        <v>41</v>
      </c>
      <c r="R759" s="13" t="s">
        <v>270</v>
      </c>
      <c r="S759" s="13" t="s">
        <v>2237</v>
      </c>
      <c r="T759" s="13" t="s">
        <v>2238</v>
      </c>
      <c r="U759" s="13"/>
      <c r="V759" s="13"/>
      <c r="W759" s="13"/>
      <c r="X759" s="14"/>
      <c r="AL759" s="14">
        <v>18.23</v>
      </c>
      <c r="AN759" s="7" t="s">
        <v>146</v>
      </c>
      <c r="AO759" s="21">
        <f t="shared" si="37"/>
        <v>18.23</v>
      </c>
      <c r="AP759" s="7">
        <f t="shared" si="38"/>
        <v>0</v>
      </c>
      <c r="AQ759" s="31" t="str">
        <f t="shared" si="36"/>
        <v>Complete - With Adjustment</v>
      </c>
    </row>
    <row r="760" spans="1:43" x14ac:dyDescent="0.2">
      <c r="A760" s="46">
        <v>750</v>
      </c>
      <c r="B760" s="13" t="s">
        <v>266</v>
      </c>
      <c r="C760" s="13" t="s">
        <v>257</v>
      </c>
      <c r="D760" s="13" t="s">
        <v>256</v>
      </c>
      <c r="E760" s="13" t="s">
        <v>2241</v>
      </c>
      <c r="F760" s="13" t="s">
        <v>217</v>
      </c>
      <c r="G760" s="13" t="s">
        <v>111</v>
      </c>
      <c r="H760" s="16">
        <v>44006</v>
      </c>
      <c r="I760" s="16">
        <v>44007</v>
      </c>
      <c r="J760" s="22">
        <v>23.8</v>
      </c>
      <c r="K760" s="22">
        <v>3.26</v>
      </c>
      <c r="L760" s="22" t="s">
        <v>2242</v>
      </c>
      <c r="M760" s="26" t="s">
        <v>98</v>
      </c>
      <c r="N760" s="13" t="s">
        <v>230</v>
      </c>
      <c r="O760" s="13" t="s">
        <v>326</v>
      </c>
      <c r="P760" s="13" t="s">
        <v>60</v>
      </c>
      <c r="Q760" s="13" t="s">
        <v>41</v>
      </c>
      <c r="R760" s="13" t="s">
        <v>270</v>
      </c>
      <c r="S760" s="13" t="s">
        <v>2243</v>
      </c>
      <c r="T760" s="13" t="s">
        <v>2244</v>
      </c>
      <c r="U760" s="13"/>
      <c r="V760" s="13"/>
      <c r="W760" s="13"/>
      <c r="X760" s="14"/>
      <c r="AL760" s="22">
        <v>3.26</v>
      </c>
      <c r="AN760" s="7" t="s">
        <v>146</v>
      </c>
      <c r="AO760" s="21">
        <f t="shared" si="37"/>
        <v>3.26</v>
      </c>
      <c r="AP760" s="7">
        <f t="shared" si="38"/>
        <v>0</v>
      </c>
      <c r="AQ760" s="31" t="str">
        <f t="shared" si="36"/>
        <v>Complete - With Adjustment</v>
      </c>
    </row>
    <row r="761" spans="1:43" x14ac:dyDescent="0.2">
      <c r="A761" s="46">
        <v>751</v>
      </c>
      <c r="B761" s="13" t="s">
        <v>266</v>
      </c>
      <c r="C761" s="13" t="s">
        <v>257</v>
      </c>
      <c r="D761" s="13" t="s">
        <v>256</v>
      </c>
      <c r="E761" s="13" t="s">
        <v>2241</v>
      </c>
      <c r="F761" s="13" t="s">
        <v>217</v>
      </c>
      <c r="G761" s="13" t="s">
        <v>111</v>
      </c>
      <c r="H761" s="16">
        <v>44006</v>
      </c>
      <c r="I761" s="16">
        <v>44007</v>
      </c>
      <c r="J761" s="22">
        <v>23.8</v>
      </c>
      <c r="K761" s="22">
        <v>2.69</v>
      </c>
      <c r="L761" s="22" t="s">
        <v>2242</v>
      </c>
      <c r="M761" s="26" t="s">
        <v>98</v>
      </c>
      <c r="N761" s="13" t="s">
        <v>230</v>
      </c>
      <c r="O761" s="13" t="s">
        <v>326</v>
      </c>
      <c r="P761" s="13" t="s">
        <v>60</v>
      </c>
      <c r="Q761" s="13" t="s">
        <v>41</v>
      </c>
      <c r="R761" s="13" t="s">
        <v>270</v>
      </c>
      <c r="S761" s="13" t="s">
        <v>2243</v>
      </c>
      <c r="T761" s="13" t="s">
        <v>2245</v>
      </c>
      <c r="U761" s="13"/>
      <c r="V761" s="13"/>
      <c r="W761" s="13"/>
      <c r="X761" s="14"/>
      <c r="AL761" s="22">
        <v>2.69</v>
      </c>
      <c r="AN761" s="7" t="s">
        <v>146</v>
      </c>
      <c r="AO761" s="21">
        <f t="shared" si="37"/>
        <v>2.69</v>
      </c>
      <c r="AP761" s="7">
        <f t="shared" si="38"/>
        <v>0</v>
      </c>
      <c r="AQ761" s="31" t="str">
        <f t="shared" si="36"/>
        <v>Complete - With Adjustment</v>
      </c>
    </row>
    <row r="762" spans="1:43" x14ac:dyDescent="0.2">
      <c r="A762" s="46">
        <v>752</v>
      </c>
      <c r="B762" s="13" t="s">
        <v>266</v>
      </c>
      <c r="C762" s="13" t="s">
        <v>257</v>
      </c>
      <c r="D762" s="13" t="s">
        <v>256</v>
      </c>
      <c r="E762" s="13" t="s">
        <v>2246</v>
      </c>
      <c r="F762" s="13" t="s">
        <v>217</v>
      </c>
      <c r="G762" s="13" t="s">
        <v>111</v>
      </c>
      <c r="H762" s="16">
        <v>44006</v>
      </c>
      <c r="I762" s="16">
        <v>44007</v>
      </c>
      <c r="J762" s="22">
        <v>325.01</v>
      </c>
      <c r="K762" s="22">
        <v>243.76</v>
      </c>
      <c r="L762" s="22" t="s">
        <v>2247</v>
      </c>
      <c r="M762" s="26" t="s">
        <v>98</v>
      </c>
      <c r="N762" s="13" t="s">
        <v>230</v>
      </c>
      <c r="O762" s="13" t="s">
        <v>326</v>
      </c>
      <c r="P762" s="13" t="s">
        <v>60</v>
      </c>
      <c r="Q762" s="13" t="s">
        <v>174</v>
      </c>
      <c r="R762" s="13" t="s">
        <v>270</v>
      </c>
      <c r="S762" s="13" t="s">
        <v>2248</v>
      </c>
      <c r="T762" s="13" t="s">
        <v>2249</v>
      </c>
      <c r="U762" s="13"/>
      <c r="V762" s="13"/>
      <c r="W762" s="13"/>
      <c r="X762" s="14"/>
      <c r="AN762" s="7" t="s">
        <v>70</v>
      </c>
      <c r="AO762" s="21">
        <f t="shared" si="37"/>
        <v>0</v>
      </c>
      <c r="AP762" s="7">
        <f t="shared" si="38"/>
        <v>243.76</v>
      </c>
      <c r="AQ762" s="31" t="str">
        <f t="shared" si="36"/>
        <v>Complete - No Adjustment</v>
      </c>
    </row>
    <row r="763" spans="1:43" x14ac:dyDescent="0.2">
      <c r="A763" s="46">
        <v>753</v>
      </c>
      <c r="B763" s="13" t="s">
        <v>266</v>
      </c>
      <c r="C763" s="13" t="s">
        <v>2250</v>
      </c>
      <c r="D763" s="13" t="s">
        <v>2251</v>
      </c>
      <c r="E763" s="13" t="s">
        <v>2252</v>
      </c>
      <c r="F763" s="13" t="s">
        <v>213</v>
      </c>
      <c r="G763" s="13" t="s">
        <v>111</v>
      </c>
      <c r="H763" s="16">
        <v>43997</v>
      </c>
      <c r="I763" s="16">
        <v>43999</v>
      </c>
      <c r="J763" s="22">
        <v>15</v>
      </c>
      <c r="K763" s="22">
        <v>15</v>
      </c>
      <c r="L763" s="22" t="s">
        <v>2253</v>
      </c>
      <c r="M763" s="26" t="s">
        <v>98</v>
      </c>
      <c r="N763" s="13" t="s">
        <v>230</v>
      </c>
      <c r="O763" s="13" t="s">
        <v>365</v>
      </c>
      <c r="P763" s="13" t="s">
        <v>60</v>
      </c>
      <c r="Q763" s="13" t="s">
        <v>41</v>
      </c>
      <c r="R763" s="13" t="s">
        <v>270</v>
      </c>
      <c r="S763" s="13" t="s">
        <v>2254</v>
      </c>
      <c r="T763" s="13" t="s">
        <v>2255</v>
      </c>
      <c r="U763" s="13"/>
      <c r="V763" s="13"/>
      <c r="W763" s="13"/>
      <c r="X763" s="14"/>
      <c r="AN763" s="7" t="s">
        <v>155</v>
      </c>
      <c r="AO763" s="21">
        <f t="shared" si="37"/>
        <v>0</v>
      </c>
      <c r="AP763" s="7">
        <f t="shared" si="38"/>
        <v>15</v>
      </c>
      <c r="AQ763" s="31" t="str">
        <f t="shared" si="36"/>
        <v>Complete - No Adjustment</v>
      </c>
    </row>
    <row r="764" spans="1:43" x14ac:dyDescent="0.2">
      <c r="A764" s="46">
        <v>754</v>
      </c>
      <c r="B764" s="13" t="s">
        <v>266</v>
      </c>
      <c r="C764" s="13" t="s">
        <v>641</v>
      </c>
      <c r="D764" s="13" t="s">
        <v>640</v>
      </c>
      <c r="E764" s="13" t="s">
        <v>2256</v>
      </c>
      <c r="F764" s="13" t="s">
        <v>209</v>
      </c>
      <c r="G764" s="13" t="s">
        <v>111</v>
      </c>
      <c r="H764" s="16">
        <v>43991</v>
      </c>
      <c r="I764" s="16">
        <v>43993</v>
      </c>
      <c r="J764" s="22">
        <v>10.81</v>
      </c>
      <c r="K764" s="22">
        <v>10.81</v>
      </c>
      <c r="L764" s="22" t="s">
        <v>2257</v>
      </c>
      <c r="M764" s="26" t="s">
        <v>98</v>
      </c>
      <c r="N764" s="13" t="s">
        <v>230</v>
      </c>
      <c r="O764" s="13" t="s">
        <v>397</v>
      </c>
      <c r="P764" s="13" t="s">
        <v>60</v>
      </c>
      <c r="Q764" s="13" t="s">
        <v>41</v>
      </c>
      <c r="R764" s="13" t="s">
        <v>270</v>
      </c>
      <c r="S764" s="13" t="s">
        <v>2258</v>
      </c>
      <c r="T764" s="13" t="s">
        <v>2259</v>
      </c>
      <c r="U764" s="13"/>
      <c r="V764" s="13"/>
      <c r="W764" s="13"/>
      <c r="X764" s="14"/>
      <c r="AN764" s="7" t="s">
        <v>155</v>
      </c>
      <c r="AO764" s="21">
        <f t="shared" si="37"/>
        <v>0</v>
      </c>
      <c r="AP764" s="7">
        <f t="shared" si="38"/>
        <v>10.81</v>
      </c>
      <c r="AQ764" s="31" t="str">
        <f t="shared" si="36"/>
        <v>Complete - No Adjustment</v>
      </c>
    </row>
    <row r="765" spans="1:43" x14ac:dyDescent="0.2">
      <c r="A765" s="46">
        <v>755</v>
      </c>
      <c r="B765" s="13" t="s">
        <v>266</v>
      </c>
      <c r="C765" s="13" t="s">
        <v>330</v>
      </c>
      <c r="D765" s="13" t="s">
        <v>329</v>
      </c>
      <c r="E765" s="13" t="s">
        <v>2260</v>
      </c>
      <c r="F765" s="13" t="s">
        <v>204</v>
      </c>
      <c r="G765" s="13" t="s">
        <v>111</v>
      </c>
      <c r="H765" s="16">
        <v>43991</v>
      </c>
      <c r="I765" s="16">
        <v>43997</v>
      </c>
      <c r="J765" s="22">
        <v>15</v>
      </c>
      <c r="K765" s="22">
        <v>15</v>
      </c>
      <c r="L765" s="22" t="s">
        <v>2261</v>
      </c>
      <c r="M765" s="26" t="s">
        <v>98</v>
      </c>
      <c r="N765" s="13" t="s">
        <v>230</v>
      </c>
      <c r="O765" s="13" t="s">
        <v>269</v>
      </c>
      <c r="P765" s="13" t="s">
        <v>60</v>
      </c>
      <c r="Q765" s="13" t="s">
        <v>41</v>
      </c>
      <c r="R765" s="13" t="s">
        <v>270</v>
      </c>
      <c r="S765" s="13" t="s">
        <v>2262</v>
      </c>
      <c r="T765" s="13" t="s">
        <v>2263</v>
      </c>
      <c r="U765" s="13"/>
      <c r="V765" s="13"/>
      <c r="W765" s="13"/>
      <c r="X765" s="14"/>
      <c r="AN765" s="7" t="s">
        <v>155</v>
      </c>
      <c r="AO765" s="21">
        <f t="shared" si="37"/>
        <v>0</v>
      </c>
      <c r="AP765" s="7">
        <f t="shared" si="38"/>
        <v>15</v>
      </c>
      <c r="AQ765" s="31" t="str">
        <f t="shared" si="36"/>
        <v>Complete - No Adjustment</v>
      </c>
    </row>
    <row r="766" spans="1:43" x14ac:dyDescent="0.2">
      <c r="A766" s="46">
        <v>756</v>
      </c>
      <c r="B766" s="13" t="s">
        <v>266</v>
      </c>
      <c r="C766" s="13" t="s">
        <v>330</v>
      </c>
      <c r="D766" s="13" t="s">
        <v>329</v>
      </c>
      <c r="E766" s="13" t="s">
        <v>2264</v>
      </c>
      <c r="F766" s="13" t="s">
        <v>204</v>
      </c>
      <c r="G766" s="13" t="s">
        <v>111</v>
      </c>
      <c r="H766" s="16">
        <v>43992</v>
      </c>
      <c r="I766" s="16">
        <v>43997</v>
      </c>
      <c r="J766" s="22">
        <v>45</v>
      </c>
      <c r="K766" s="22">
        <v>45</v>
      </c>
      <c r="L766" s="22" t="s">
        <v>2265</v>
      </c>
      <c r="M766" s="26" t="s">
        <v>98</v>
      </c>
      <c r="N766" s="13" t="s">
        <v>230</v>
      </c>
      <c r="O766" s="13" t="s">
        <v>269</v>
      </c>
      <c r="P766" s="13" t="s">
        <v>60</v>
      </c>
      <c r="Q766" s="13" t="s">
        <v>46</v>
      </c>
      <c r="R766" s="13" t="s">
        <v>270</v>
      </c>
      <c r="S766" s="13" t="s">
        <v>2266</v>
      </c>
      <c r="T766" s="13" t="s">
        <v>2267</v>
      </c>
      <c r="U766" s="13"/>
      <c r="V766" s="13"/>
      <c r="W766" s="13"/>
      <c r="X766" s="14"/>
      <c r="AI766" s="53">
        <v>45</v>
      </c>
      <c r="AN766" s="7" t="s">
        <v>145</v>
      </c>
      <c r="AO766" s="21">
        <f t="shared" si="37"/>
        <v>45</v>
      </c>
      <c r="AP766" s="7">
        <f t="shared" si="38"/>
        <v>0</v>
      </c>
      <c r="AQ766" s="31" t="str">
        <f t="shared" si="36"/>
        <v>Complete - With Adjustment</v>
      </c>
    </row>
    <row r="767" spans="1:43" x14ac:dyDescent="0.2">
      <c r="A767" s="46">
        <v>757</v>
      </c>
      <c r="B767" s="13" t="s">
        <v>266</v>
      </c>
      <c r="C767" s="13" t="s">
        <v>232</v>
      </c>
      <c r="D767" s="13" t="s">
        <v>231</v>
      </c>
      <c r="E767" s="13" t="s">
        <v>2268</v>
      </c>
      <c r="F767" s="13" t="s">
        <v>215</v>
      </c>
      <c r="G767" s="13" t="s">
        <v>111</v>
      </c>
      <c r="H767" s="16">
        <v>44011</v>
      </c>
      <c r="I767" s="16">
        <v>44012</v>
      </c>
      <c r="J767" s="22">
        <v>9.5</v>
      </c>
      <c r="K767" s="22">
        <v>9.5</v>
      </c>
      <c r="L767" s="22" t="s">
        <v>2269</v>
      </c>
      <c r="M767" s="26" t="s">
        <v>98</v>
      </c>
      <c r="N767" s="13" t="s">
        <v>230</v>
      </c>
      <c r="O767" s="13" t="s">
        <v>311</v>
      </c>
      <c r="P767" s="13" t="s">
        <v>60</v>
      </c>
      <c r="Q767" s="13" t="s">
        <v>41</v>
      </c>
      <c r="R767" s="13" t="s">
        <v>270</v>
      </c>
      <c r="S767" s="13" t="s">
        <v>2270</v>
      </c>
      <c r="T767" s="13" t="s">
        <v>2271</v>
      </c>
      <c r="U767" s="13"/>
      <c r="V767" s="13"/>
      <c r="W767" s="13"/>
      <c r="X767" s="14"/>
      <c r="AN767" s="7" t="s">
        <v>70</v>
      </c>
      <c r="AO767" s="21">
        <f t="shared" si="37"/>
        <v>0</v>
      </c>
      <c r="AP767" s="7">
        <f t="shared" si="38"/>
        <v>9.5</v>
      </c>
      <c r="AQ767" s="31" t="str">
        <f t="shared" si="36"/>
        <v>Complete - No Adjustment</v>
      </c>
    </row>
    <row r="768" spans="1:43" x14ac:dyDescent="0.2">
      <c r="A768" s="46">
        <v>758</v>
      </c>
      <c r="B768" s="13" t="s">
        <v>266</v>
      </c>
      <c r="C768" s="13" t="s">
        <v>232</v>
      </c>
      <c r="D768" s="13" t="s">
        <v>231</v>
      </c>
      <c r="E768" s="13" t="s">
        <v>2272</v>
      </c>
      <c r="F768" s="13" t="s">
        <v>210</v>
      </c>
      <c r="G768" s="13" t="s">
        <v>111</v>
      </c>
      <c r="H768" s="16">
        <v>44004</v>
      </c>
      <c r="I768" s="16">
        <v>44005</v>
      </c>
      <c r="J768" s="22">
        <v>14.61</v>
      </c>
      <c r="K768" s="22">
        <v>5.98</v>
      </c>
      <c r="L768" s="22" t="s">
        <v>2273</v>
      </c>
      <c r="M768" s="26" t="s">
        <v>98</v>
      </c>
      <c r="N768" s="13" t="s">
        <v>230</v>
      </c>
      <c r="O768" s="13" t="s">
        <v>288</v>
      </c>
      <c r="P768" s="13" t="s">
        <v>60</v>
      </c>
      <c r="Q768" s="13" t="s">
        <v>62</v>
      </c>
      <c r="R768" s="13" t="s">
        <v>270</v>
      </c>
      <c r="S768" s="13" t="s">
        <v>2274</v>
      </c>
      <c r="T768" s="13" t="s">
        <v>2275</v>
      </c>
      <c r="U768" s="13"/>
      <c r="V768" s="13"/>
      <c r="W768" s="13"/>
      <c r="X768" s="14"/>
      <c r="AN768" s="7" t="s">
        <v>70</v>
      </c>
      <c r="AO768" s="21">
        <f t="shared" si="37"/>
        <v>0</v>
      </c>
      <c r="AP768" s="7">
        <f t="shared" si="38"/>
        <v>5.98</v>
      </c>
      <c r="AQ768" s="31" t="str">
        <f t="shared" si="36"/>
        <v>Complete - No Adjustment</v>
      </c>
    </row>
    <row r="769" spans="1:43" x14ac:dyDescent="0.2">
      <c r="A769" s="46">
        <v>759</v>
      </c>
      <c r="B769" s="13" t="s">
        <v>266</v>
      </c>
      <c r="C769" s="13" t="s">
        <v>232</v>
      </c>
      <c r="D769" s="13" t="s">
        <v>231</v>
      </c>
      <c r="E769" s="13" t="s">
        <v>2272</v>
      </c>
      <c r="F769" s="13" t="s">
        <v>210</v>
      </c>
      <c r="G769" s="13" t="s">
        <v>111</v>
      </c>
      <c r="H769" s="16">
        <v>44004</v>
      </c>
      <c r="I769" s="16">
        <v>44005</v>
      </c>
      <c r="J769" s="22">
        <v>14.61</v>
      </c>
      <c r="K769" s="22">
        <v>8.6300000000000008</v>
      </c>
      <c r="L769" s="22" t="s">
        <v>2273</v>
      </c>
      <c r="M769" s="26" t="s">
        <v>98</v>
      </c>
      <c r="N769" s="13" t="s">
        <v>230</v>
      </c>
      <c r="O769" s="13" t="s">
        <v>311</v>
      </c>
      <c r="P769" s="13" t="s">
        <v>60</v>
      </c>
      <c r="Q769" s="13" t="s">
        <v>41</v>
      </c>
      <c r="R769" s="13" t="s">
        <v>270</v>
      </c>
      <c r="S769" s="13" t="s">
        <v>2274</v>
      </c>
      <c r="T769" s="13" t="s">
        <v>2276</v>
      </c>
      <c r="U769" s="13"/>
      <c r="V769" s="13"/>
      <c r="W769" s="13"/>
      <c r="X769" s="14"/>
      <c r="AL769" s="14">
        <v>8.6300000000000008</v>
      </c>
      <c r="AN769" s="7" t="s">
        <v>155</v>
      </c>
      <c r="AO769" s="21">
        <f t="shared" si="37"/>
        <v>8.6300000000000008</v>
      </c>
      <c r="AP769" s="7">
        <f t="shared" si="38"/>
        <v>0</v>
      </c>
      <c r="AQ769" s="31" t="str">
        <f t="shared" si="36"/>
        <v>Complete - With Adjustment</v>
      </c>
    </row>
    <row r="770" spans="1:43" x14ac:dyDescent="0.2">
      <c r="A770" s="46">
        <v>760</v>
      </c>
      <c r="B770" s="13" t="s">
        <v>266</v>
      </c>
      <c r="C770" s="13" t="s">
        <v>670</v>
      </c>
      <c r="D770" s="13" t="s">
        <v>2277</v>
      </c>
      <c r="E770" s="13" t="s">
        <v>2278</v>
      </c>
      <c r="F770" s="13" t="s">
        <v>213</v>
      </c>
      <c r="G770" s="13" t="s">
        <v>111</v>
      </c>
      <c r="H770" s="16">
        <v>43991</v>
      </c>
      <c r="I770" s="16">
        <v>43999</v>
      </c>
      <c r="J770" s="22">
        <v>14.05</v>
      </c>
      <c r="K770" s="22">
        <v>14.05</v>
      </c>
      <c r="L770" s="22" t="s">
        <v>2279</v>
      </c>
      <c r="M770" s="26" t="s">
        <v>98</v>
      </c>
      <c r="N770" s="13" t="s">
        <v>230</v>
      </c>
      <c r="O770" s="13" t="s">
        <v>592</v>
      </c>
      <c r="P770" s="13" t="s">
        <v>60</v>
      </c>
      <c r="Q770" s="13" t="s">
        <v>41</v>
      </c>
      <c r="R770" s="13" t="s">
        <v>270</v>
      </c>
      <c r="S770" s="13" t="s">
        <v>2280</v>
      </c>
      <c r="T770" s="13" t="s">
        <v>2281</v>
      </c>
      <c r="U770" s="13"/>
      <c r="V770" s="13"/>
      <c r="W770" s="13"/>
      <c r="X770" s="14"/>
      <c r="AN770" s="7" t="s">
        <v>155</v>
      </c>
      <c r="AO770" s="21">
        <f t="shared" si="37"/>
        <v>0</v>
      </c>
      <c r="AP770" s="7">
        <f t="shared" si="38"/>
        <v>14.05</v>
      </c>
      <c r="AQ770" s="31" t="str">
        <f t="shared" si="36"/>
        <v>Complete - No Adjustment</v>
      </c>
    </row>
    <row r="771" spans="1:43" x14ac:dyDescent="0.2">
      <c r="A771" s="46">
        <v>761</v>
      </c>
      <c r="B771" s="13" t="s">
        <v>266</v>
      </c>
      <c r="C771" s="13" t="s">
        <v>333</v>
      </c>
      <c r="D771" s="13" t="s">
        <v>332</v>
      </c>
      <c r="E771" s="13" t="s">
        <v>2282</v>
      </c>
      <c r="F771" s="13" t="s">
        <v>208</v>
      </c>
      <c r="G771" s="13" t="s">
        <v>111</v>
      </c>
      <c r="H771" s="16">
        <v>43994</v>
      </c>
      <c r="I771" s="16">
        <v>44000</v>
      </c>
      <c r="J771" s="22">
        <v>49.78</v>
      </c>
      <c r="K771" s="22">
        <v>49.78</v>
      </c>
      <c r="L771" s="22" t="s">
        <v>2283</v>
      </c>
      <c r="M771" s="26" t="s">
        <v>98</v>
      </c>
      <c r="N771" s="13" t="s">
        <v>230</v>
      </c>
      <c r="O771" s="13" t="s">
        <v>334</v>
      </c>
      <c r="P771" s="13" t="s">
        <v>60</v>
      </c>
      <c r="Q771" s="13" t="s">
        <v>62</v>
      </c>
      <c r="R771" s="13" t="s">
        <v>270</v>
      </c>
      <c r="S771" s="13" t="s">
        <v>2284</v>
      </c>
      <c r="T771" s="13" t="s">
        <v>2285</v>
      </c>
      <c r="U771" s="13"/>
      <c r="V771" s="13"/>
      <c r="W771" s="13"/>
      <c r="X771" s="14"/>
      <c r="AN771" s="7" t="s">
        <v>70</v>
      </c>
      <c r="AO771" s="21">
        <f t="shared" si="37"/>
        <v>0</v>
      </c>
      <c r="AP771" s="7">
        <f t="shared" si="38"/>
        <v>49.78</v>
      </c>
      <c r="AQ771" s="31" t="str">
        <f t="shared" si="36"/>
        <v>Complete - No Adjustment</v>
      </c>
    </row>
    <row r="772" spans="1:43" x14ac:dyDescent="0.2">
      <c r="A772" s="46">
        <v>762</v>
      </c>
      <c r="B772" s="13" t="s">
        <v>266</v>
      </c>
      <c r="C772" s="13" t="s">
        <v>336</v>
      </c>
      <c r="D772" s="13" t="s">
        <v>335</v>
      </c>
      <c r="E772" s="13" t="s">
        <v>2286</v>
      </c>
      <c r="F772" s="13" t="s">
        <v>2117</v>
      </c>
      <c r="G772" s="13" t="s">
        <v>111</v>
      </c>
      <c r="H772" s="16">
        <v>44005</v>
      </c>
      <c r="I772" s="16">
        <v>44006</v>
      </c>
      <c r="J772" s="22">
        <v>405.67</v>
      </c>
      <c r="K772" s="22">
        <v>15.64</v>
      </c>
      <c r="L772" s="22" t="s">
        <v>2287</v>
      </c>
      <c r="M772" s="26" t="s">
        <v>98</v>
      </c>
      <c r="N772" s="13" t="s">
        <v>230</v>
      </c>
      <c r="O772" s="13" t="s">
        <v>271</v>
      </c>
      <c r="P772" s="13" t="s">
        <v>60</v>
      </c>
      <c r="Q772" s="13" t="s">
        <v>41</v>
      </c>
      <c r="R772" s="13" t="s">
        <v>270</v>
      </c>
      <c r="S772" s="13" t="s">
        <v>2288</v>
      </c>
      <c r="T772" s="13" t="s">
        <v>2289</v>
      </c>
      <c r="U772" s="13"/>
      <c r="V772" s="13"/>
      <c r="W772" s="13"/>
      <c r="X772" s="14"/>
      <c r="AN772" s="7" t="s">
        <v>155</v>
      </c>
      <c r="AO772" s="21">
        <f t="shared" si="37"/>
        <v>0</v>
      </c>
      <c r="AP772" s="7">
        <f t="shared" si="38"/>
        <v>15.64</v>
      </c>
      <c r="AQ772" s="31" t="str">
        <f t="shared" si="36"/>
        <v>Complete - No Adjustment</v>
      </c>
    </row>
    <row r="773" spans="1:43" x14ac:dyDescent="0.2">
      <c r="A773" s="46">
        <v>763</v>
      </c>
      <c r="B773" s="13" t="s">
        <v>266</v>
      </c>
      <c r="C773" s="13" t="s">
        <v>336</v>
      </c>
      <c r="D773" s="13" t="s">
        <v>335</v>
      </c>
      <c r="E773" s="13" t="s">
        <v>2286</v>
      </c>
      <c r="F773" s="13" t="s">
        <v>2117</v>
      </c>
      <c r="G773" s="13" t="s">
        <v>111</v>
      </c>
      <c r="H773" s="16">
        <v>44005</v>
      </c>
      <c r="I773" s="16">
        <v>44006</v>
      </c>
      <c r="J773" s="22">
        <v>405.67</v>
      </c>
      <c r="K773" s="22">
        <v>8.61</v>
      </c>
      <c r="L773" s="22" t="s">
        <v>2287</v>
      </c>
      <c r="M773" s="26" t="s">
        <v>98</v>
      </c>
      <c r="N773" s="13" t="s">
        <v>230</v>
      </c>
      <c r="O773" s="13" t="s">
        <v>271</v>
      </c>
      <c r="P773" s="13" t="s">
        <v>60</v>
      </c>
      <c r="Q773" s="13" t="s">
        <v>41</v>
      </c>
      <c r="R773" s="13" t="s">
        <v>270</v>
      </c>
      <c r="S773" s="13" t="s">
        <v>2288</v>
      </c>
      <c r="T773" s="13" t="s">
        <v>2290</v>
      </c>
      <c r="U773" s="13"/>
      <c r="V773" s="13"/>
      <c r="W773" s="13"/>
      <c r="X773" s="14"/>
      <c r="AN773" s="7" t="s">
        <v>155</v>
      </c>
      <c r="AO773" s="21">
        <f t="shared" si="37"/>
        <v>0</v>
      </c>
      <c r="AP773" s="7">
        <f t="shared" si="38"/>
        <v>8.61</v>
      </c>
      <c r="AQ773" s="31" t="str">
        <f t="shared" si="36"/>
        <v>Complete - No Adjustment</v>
      </c>
    </row>
    <row r="774" spans="1:43" x14ac:dyDescent="0.2">
      <c r="A774" s="46">
        <v>764</v>
      </c>
      <c r="B774" s="13" t="s">
        <v>266</v>
      </c>
      <c r="C774" s="13" t="s">
        <v>336</v>
      </c>
      <c r="D774" s="13" t="s">
        <v>335</v>
      </c>
      <c r="E774" s="13" t="s">
        <v>2286</v>
      </c>
      <c r="F774" s="13" t="s">
        <v>2117</v>
      </c>
      <c r="G774" s="13" t="s">
        <v>111</v>
      </c>
      <c r="H774" s="16">
        <v>44005</v>
      </c>
      <c r="I774" s="16">
        <v>44006</v>
      </c>
      <c r="J774" s="22">
        <v>405.67</v>
      </c>
      <c r="K774" s="22">
        <v>32.42</v>
      </c>
      <c r="L774" s="22" t="s">
        <v>2287</v>
      </c>
      <c r="M774" s="26" t="s">
        <v>98</v>
      </c>
      <c r="N774" s="13" t="s">
        <v>230</v>
      </c>
      <c r="O774" s="13" t="s">
        <v>271</v>
      </c>
      <c r="P774" s="13" t="s">
        <v>60</v>
      </c>
      <c r="Q774" s="13" t="s">
        <v>65</v>
      </c>
      <c r="R774" s="13" t="s">
        <v>270</v>
      </c>
      <c r="S774" s="13" t="s">
        <v>2288</v>
      </c>
      <c r="T774" s="13" t="s">
        <v>2291</v>
      </c>
      <c r="U774" s="13"/>
      <c r="V774" s="13"/>
      <c r="W774" s="13"/>
      <c r="X774" s="14"/>
      <c r="AN774" s="7" t="s">
        <v>70</v>
      </c>
      <c r="AO774" s="21">
        <f t="shared" si="37"/>
        <v>0</v>
      </c>
      <c r="AP774" s="7">
        <f t="shared" si="38"/>
        <v>32.42</v>
      </c>
      <c r="AQ774" s="31" t="str">
        <f t="shared" si="36"/>
        <v>Complete - No Adjustment</v>
      </c>
    </row>
    <row r="775" spans="1:43" x14ac:dyDescent="0.2">
      <c r="A775" s="46">
        <v>765</v>
      </c>
      <c r="B775" s="13" t="s">
        <v>266</v>
      </c>
      <c r="C775" s="13" t="s">
        <v>336</v>
      </c>
      <c r="D775" s="13" t="s">
        <v>335</v>
      </c>
      <c r="E775" s="13" t="s">
        <v>2286</v>
      </c>
      <c r="F775" s="13" t="s">
        <v>2117</v>
      </c>
      <c r="G775" s="13" t="s">
        <v>111</v>
      </c>
      <c r="H775" s="16">
        <v>44005</v>
      </c>
      <c r="I775" s="16">
        <v>44006</v>
      </c>
      <c r="J775" s="22">
        <v>405.67</v>
      </c>
      <c r="K775" s="22">
        <v>349</v>
      </c>
      <c r="L775" s="22" t="s">
        <v>2287</v>
      </c>
      <c r="M775" s="26" t="s">
        <v>98</v>
      </c>
      <c r="N775" s="13" t="s">
        <v>230</v>
      </c>
      <c r="O775" s="13" t="s">
        <v>271</v>
      </c>
      <c r="P775" s="13" t="s">
        <v>60</v>
      </c>
      <c r="Q775" s="13" t="s">
        <v>56</v>
      </c>
      <c r="R775" s="13" t="s">
        <v>270</v>
      </c>
      <c r="S775" s="13" t="s">
        <v>2288</v>
      </c>
      <c r="T775" s="13" t="s">
        <v>2292</v>
      </c>
      <c r="U775" s="13"/>
      <c r="V775" s="13"/>
      <c r="W775" s="13"/>
      <c r="X775" s="14"/>
      <c r="AN775" s="7" t="s">
        <v>70</v>
      </c>
      <c r="AO775" s="21">
        <f t="shared" si="37"/>
        <v>0</v>
      </c>
      <c r="AP775" s="7">
        <f t="shared" si="38"/>
        <v>349</v>
      </c>
      <c r="AQ775" s="31" t="str">
        <f t="shared" si="36"/>
        <v>Complete - No Adjustment</v>
      </c>
    </row>
    <row r="776" spans="1:43" x14ac:dyDescent="0.2">
      <c r="A776" s="46">
        <v>766</v>
      </c>
      <c r="B776" s="13" t="s">
        <v>266</v>
      </c>
      <c r="C776" s="13" t="s">
        <v>780</v>
      </c>
      <c r="D776" s="13" t="s">
        <v>798</v>
      </c>
      <c r="E776" s="13" t="s">
        <v>2293</v>
      </c>
      <c r="F776" s="13" t="s">
        <v>218</v>
      </c>
      <c r="G776" s="13" t="s">
        <v>111</v>
      </c>
      <c r="H776" s="16">
        <v>43987</v>
      </c>
      <c r="I776" s="16">
        <v>43991</v>
      </c>
      <c r="J776" s="22">
        <v>24.36</v>
      </c>
      <c r="K776" s="22">
        <v>24.36</v>
      </c>
      <c r="L776" s="22" t="s">
        <v>2294</v>
      </c>
      <c r="M776" s="26" t="s">
        <v>98</v>
      </c>
      <c r="N776" s="13" t="s">
        <v>230</v>
      </c>
      <c r="O776" s="13" t="s">
        <v>288</v>
      </c>
      <c r="P776" s="13" t="s">
        <v>60</v>
      </c>
      <c r="Q776" s="13" t="s">
        <v>41</v>
      </c>
      <c r="R776" s="13" t="s">
        <v>270</v>
      </c>
      <c r="S776" s="13" t="s">
        <v>2295</v>
      </c>
      <c r="T776" s="13" t="s">
        <v>2296</v>
      </c>
      <c r="U776" s="13"/>
      <c r="V776" s="13"/>
      <c r="W776" s="13"/>
      <c r="X776" s="14"/>
      <c r="AC776" s="53">
        <v>3.17</v>
      </c>
      <c r="AN776" s="7" t="s">
        <v>1132</v>
      </c>
      <c r="AO776" s="21">
        <f t="shared" si="37"/>
        <v>3.17</v>
      </c>
      <c r="AP776" s="7">
        <f t="shared" si="38"/>
        <v>21.189999999999998</v>
      </c>
      <c r="AQ776" s="31" t="str">
        <f t="shared" si="36"/>
        <v>Complete - With Adjustment</v>
      </c>
    </row>
    <row r="777" spans="1:43" x14ac:dyDescent="0.2">
      <c r="A777" s="46">
        <v>767</v>
      </c>
      <c r="B777" s="13" t="s">
        <v>266</v>
      </c>
      <c r="C777" s="13" t="s">
        <v>780</v>
      </c>
      <c r="D777" s="13" t="s">
        <v>798</v>
      </c>
      <c r="E777" s="13" t="s">
        <v>2297</v>
      </c>
      <c r="F777" s="13" t="s">
        <v>208</v>
      </c>
      <c r="G777" s="13" t="s">
        <v>111</v>
      </c>
      <c r="H777" s="16">
        <v>43998</v>
      </c>
      <c r="I777" s="16">
        <v>44000</v>
      </c>
      <c r="J777" s="22">
        <v>25.82</v>
      </c>
      <c r="K777" s="22">
        <v>25.82</v>
      </c>
      <c r="L777" s="22" t="s">
        <v>2298</v>
      </c>
      <c r="M777" s="26" t="s">
        <v>98</v>
      </c>
      <c r="N777" s="13" t="s">
        <v>230</v>
      </c>
      <c r="O777" s="13" t="s">
        <v>288</v>
      </c>
      <c r="P777" s="13" t="s">
        <v>60</v>
      </c>
      <c r="Q777" s="13" t="s">
        <v>41</v>
      </c>
      <c r="R777" s="13" t="s">
        <v>270</v>
      </c>
      <c r="S777" s="13" t="s">
        <v>1130</v>
      </c>
      <c r="T777" s="13" t="s">
        <v>1131</v>
      </c>
      <c r="U777" s="13"/>
      <c r="V777" s="13"/>
      <c r="W777" s="13"/>
      <c r="X777" s="14"/>
      <c r="AC777" s="53">
        <v>1.5</v>
      </c>
      <c r="AN777" s="7" t="s">
        <v>1132</v>
      </c>
      <c r="AO777" s="21">
        <f t="shared" si="37"/>
        <v>1.5</v>
      </c>
      <c r="AP777" s="7">
        <f t="shared" si="38"/>
        <v>24.32</v>
      </c>
      <c r="AQ777" s="31" t="str">
        <f t="shared" si="36"/>
        <v>Complete - With Adjustment</v>
      </c>
    </row>
    <row r="778" spans="1:43" x14ac:dyDescent="0.2">
      <c r="A778" s="46">
        <v>768</v>
      </c>
      <c r="B778" s="13" t="s">
        <v>266</v>
      </c>
      <c r="C778" s="13" t="s">
        <v>780</v>
      </c>
      <c r="D778" s="13" t="s">
        <v>798</v>
      </c>
      <c r="E778" s="13" t="s">
        <v>2299</v>
      </c>
      <c r="F778" s="13" t="s">
        <v>202</v>
      </c>
      <c r="G778" s="13" t="s">
        <v>111</v>
      </c>
      <c r="H778" s="16">
        <v>43980</v>
      </c>
      <c r="I778" s="16">
        <v>43983</v>
      </c>
      <c r="J778" s="22">
        <v>26.3</v>
      </c>
      <c r="K778" s="22">
        <v>26.3</v>
      </c>
      <c r="L778" s="22" t="s">
        <v>2300</v>
      </c>
      <c r="M778" s="26" t="s">
        <v>98</v>
      </c>
      <c r="N778" s="13" t="s">
        <v>230</v>
      </c>
      <c r="O778" s="13" t="s">
        <v>288</v>
      </c>
      <c r="P778" s="13" t="s">
        <v>60</v>
      </c>
      <c r="Q778" s="13" t="s">
        <v>41</v>
      </c>
      <c r="R778" s="13" t="s">
        <v>270</v>
      </c>
      <c r="S778" s="13" t="s">
        <v>1130</v>
      </c>
      <c r="T778" s="13" t="s">
        <v>1131</v>
      </c>
      <c r="U778" s="13"/>
      <c r="V778" s="13"/>
      <c r="W778" s="13"/>
      <c r="X778" s="14"/>
      <c r="AC778" s="53">
        <v>1.69</v>
      </c>
      <c r="AN778" s="7" t="s">
        <v>1132</v>
      </c>
      <c r="AO778" s="21">
        <f t="shared" si="37"/>
        <v>1.69</v>
      </c>
      <c r="AP778" s="7">
        <f t="shared" si="38"/>
        <v>24.61</v>
      </c>
      <c r="AQ778" s="31" t="str">
        <f t="shared" si="36"/>
        <v>Complete - With Adjustment</v>
      </c>
    </row>
    <row r="779" spans="1:43" x14ac:dyDescent="0.2">
      <c r="A779" s="46">
        <v>769</v>
      </c>
      <c r="B779" s="13" t="s">
        <v>266</v>
      </c>
      <c r="C779" s="13" t="s">
        <v>2301</v>
      </c>
      <c r="D779" s="13" t="s">
        <v>2302</v>
      </c>
      <c r="E779" s="13" t="s">
        <v>2303</v>
      </c>
      <c r="F779" s="13" t="s">
        <v>219</v>
      </c>
      <c r="G779" s="13" t="s">
        <v>111</v>
      </c>
      <c r="H779" s="16">
        <v>43991</v>
      </c>
      <c r="I779" s="16">
        <v>43998</v>
      </c>
      <c r="J779" s="22">
        <v>15</v>
      </c>
      <c r="K779" s="22">
        <v>15</v>
      </c>
      <c r="L779" s="22" t="s">
        <v>2304</v>
      </c>
      <c r="M779" s="26" t="s">
        <v>98</v>
      </c>
      <c r="N779" s="13" t="s">
        <v>230</v>
      </c>
      <c r="O779" s="13" t="s">
        <v>365</v>
      </c>
      <c r="P779" s="13" t="s">
        <v>60</v>
      </c>
      <c r="Q779" s="13" t="s">
        <v>41</v>
      </c>
      <c r="R779" s="13" t="s">
        <v>270</v>
      </c>
      <c r="S779" s="13" t="s">
        <v>2305</v>
      </c>
      <c r="T779" s="13" t="s">
        <v>2306</v>
      </c>
      <c r="U779" s="13"/>
      <c r="V779" s="13"/>
      <c r="W779" s="13"/>
      <c r="X779" s="14"/>
      <c r="AN779" s="7" t="s">
        <v>155</v>
      </c>
      <c r="AO779" s="21">
        <f t="shared" si="37"/>
        <v>0</v>
      </c>
      <c r="AP779" s="7">
        <f t="shared" si="38"/>
        <v>15</v>
      </c>
      <c r="AQ779" s="31" t="str">
        <f t="shared" si="36"/>
        <v>Complete - No Adjustment</v>
      </c>
    </row>
    <row r="780" spans="1:43" x14ac:dyDescent="0.2">
      <c r="A780" s="46">
        <v>770</v>
      </c>
      <c r="B780" s="13" t="s">
        <v>266</v>
      </c>
      <c r="C780" s="13" t="s">
        <v>646</v>
      </c>
      <c r="D780" s="13" t="s">
        <v>645</v>
      </c>
      <c r="E780" s="13" t="s">
        <v>2307</v>
      </c>
      <c r="F780" s="13" t="s">
        <v>206</v>
      </c>
      <c r="G780" s="13" t="s">
        <v>111</v>
      </c>
      <c r="H780" s="16">
        <v>43991</v>
      </c>
      <c r="I780" s="16">
        <v>43992</v>
      </c>
      <c r="J780" s="22">
        <v>14.45</v>
      </c>
      <c r="K780" s="22">
        <v>14.45</v>
      </c>
      <c r="L780" s="22" t="s">
        <v>2308</v>
      </c>
      <c r="M780" s="26" t="s">
        <v>98</v>
      </c>
      <c r="N780" s="13" t="s">
        <v>230</v>
      </c>
      <c r="O780" s="13" t="s">
        <v>484</v>
      </c>
      <c r="P780" s="13" t="s">
        <v>60</v>
      </c>
      <c r="Q780" s="13" t="s">
        <v>41</v>
      </c>
      <c r="R780" s="13" t="s">
        <v>270</v>
      </c>
      <c r="S780" s="13" t="s">
        <v>2309</v>
      </c>
      <c r="T780" s="13" t="s">
        <v>2310</v>
      </c>
      <c r="U780" s="13"/>
      <c r="V780" s="13"/>
      <c r="W780" s="13"/>
      <c r="X780" s="14"/>
      <c r="AN780" s="7" t="s">
        <v>155</v>
      </c>
      <c r="AO780" s="21">
        <f t="shared" si="37"/>
        <v>0</v>
      </c>
      <c r="AP780" s="7">
        <f t="shared" si="38"/>
        <v>14.45</v>
      </c>
      <c r="AQ780" s="31" t="str">
        <f t="shared" si="36"/>
        <v>Complete - No Adjustment</v>
      </c>
    </row>
    <row r="781" spans="1:43" x14ac:dyDescent="0.2">
      <c r="A781" s="46">
        <v>771</v>
      </c>
      <c r="B781" s="13" t="s">
        <v>266</v>
      </c>
      <c r="C781" s="13" t="s">
        <v>349</v>
      </c>
      <c r="D781" s="13" t="s">
        <v>348</v>
      </c>
      <c r="E781" s="13" t="s">
        <v>2311</v>
      </c>
      <c r="F781" s="13" t="s">
        <v>209</v>
      </c>
      <c r="G781" s="13" t="s">
        <v>111</v>
      </c>
      <c r="H781" s="16">
        <v>43992</v>
      </c>
      <c r="I781" s="16">
        <v>43993</v>
      </c>
      <c r="J781" s="22">
        <v>7.9</v>
      </c>
      <c r="K781" s="22">
        <v>7.9</v>
      </c>
      <c r="L781" s="22" t="s">
        <v>2312</v>
      </c>
      <c r="M781" s="26" t="s">
        <v>98</v>
      </c>
      <c r="N781" s="13" t="s">
        <v>230</v>
      </c>
      <c r="O781" s="13" t="s">
        <v>334</v>
      </c>
      <c r="P781" s="13" t="s">
        <v>60</v>
      </c>
      <c r="Q781" s="13" t="s">
        <v>46</v>
      </c>
      <c r="R781" s="13" t="s">
        <v>270</v>
      </c>
      <c r="S781" s="13" t="s">
        <v>2078</v>
      </c>
      <c r="T781" s="13" t="s">
        <v>2079</v>
      </c>
      <c r="U781" s="13"/>
      <c r="V781" s="13"/>
      <c r="W781" s="13"/>
      <c r="X781" s="14"/>
      <c r="AN781" s="7" t="s">
        <v>155</v>
      </c>
      <c r="AO781" s="21">
        <f t="shared" si="37"/>
        <v>0</v>
      </c>
      <c r="AP781" s="7">
        <f t="shared" si="38"/>
        <v>7.9</v>
      </c>
      <c r="AQ781" s="31" t="str">
        <f t="shared" si="36"/>
        <v>Complete - No Adjustment</v>
      </c>
    </row>
    <row r="782" spans="1:43" x14ac:dyDescent="0.2">
      <c r="A782" s="46">
        <v>772</v>
      </c>
      <c r="B782" s="13" t="s">
        <v>266</v>
      </c>
      <c r="C782" s="13" t="s">
        <v>350</v>
      </c>
      <c r="D782" s="13" t="s">
        <v>2313</v>
      </c>
      <c r="E782" s="13" t="s">
        <v>2314</v>
      </c>
      <c r="F782" s="13" t="s">
        <v>209</v>
      </c>
      <c r="G782" s="13" t="s">
        <v>111</v>
      </c>
      <c r="H782" s="16">
        <v>43991</v>
      </c>
      <c r="I782" s="16">
        <v>43993</v>
      </c>
      <c r="J782" s="22">
        <v>15</v>
      </c>
      <c r="K782" s="22">
        <v>15</v>
      </c>
      <c r="L782" s="22" t="s">
        <v>2315</v>
      </c>
      <c r="M782" s="26" t="s">
        <v>98</v>
      </c>
      <c r="N782" s="13" t="s">
        <v>230</v>
      </c>
      <c r="O782" s="13" t="s">
        <v>280</v>
      </c>
      <c r="P782" s="13" t="s">
        <v>60</v>
      </c>
      <c r="Q782" s="13" t="s">
        <v>46</v>
      </c>
      <c r="R782" s="13" t="s">
        <v>270</v>
      </c>
      <c r="S782" s="13" t="s">
        <v>2316</v>
      </c>
      <c r="T782" s="13" t="s">
        <v>2317</v>
      </c>
      <c r="U782" s="13"/>
      <c r="V782" s="13"/>
      <c r="W782" s="13"/>
      <c r="X782" s="14"/>
      <c r="AN782" s="7" t="s">
        <v>155</v>
      </c>
      <c r="AO782" s="21">
        <f t="shared" si="37"/>
        <v>0</v>
      </c>
      <c r="AP782" s="7">
        <f t="shared" si="38"/>
        <v>15</v>
      </c>
      <c r="AQ782" s="31" t="str">
        <f t="shared" si="36"/>
        <v>Complete - No Adjustment</v>
      </c>
    </row>
    <row r="783" spans="1:43" x14ac:dyDescent="0.2">
      <c r="A783" s="46">
        <v>773</v>
      </c>
      <c r="B783" s="13" t="s">
        <v>266</v>
      </c>
      <c r="C783" s="13" t="s">
        <v>2318</v>
      </c>
      <c r="D783" s="13" t="s">
        <v>2319</v>
      </c>
      <c r="E783" s="13" t="s">
        <v>2320</v>
      </c>
      <c r="F783" s="13" t="s">
        <v>201</v>
      </c>
      <c r="G783" s="13" t="s">
        <v>111</v>
      </c>
      <c r="H783" s="16">
        <v>43999</v>
      </c>
      <c r="I783" s="16">
        <v>44001</v>
      </c>
      <c r="J783" s="22">
        <v>505</v>
      </c>
      <c r="K783" s="22">
        <v>430</v>
      </c>
      <c r="L783" s="22" t="s">
        <v>2321</v>
      </c>
      <c r="M783" s="26" t="s">
        <v>98</v>
      </c>
      <c r="N783" s="13" t="s">
        <v>230</v>
      </c>
      <c r="O783" s="13" t="s">
        <v>484</v>
      </c>
      <c r="P783" s="13" t="s">
        <v>60</v>
      </c>
      <c r="Q783" s="13" t="s">
        <v>119</v>
      </c>
      <c r="R783" s="13" t="s">
        <v>270</v>
      </c>
      <c r="S783" s="13" t="s">
        <v>2322</v>
      </c>
      <c r="T783" s="13" t="s">
        <v>2323</v>
      </c>
      <c r="U783" s="13"/>
      <c r="V783" s="13"/>
      <c r="W783" s="13"/>
      <c r="X783" s="14"/>
      <c r="AN783" s="7" t="s">
        <v>70</v>
      </c>
      <c r="AO783" s="21">
        <f t="shared" si="37"/>
        <v>0</v>
      </c>
      <c r="AP783" s="7">
        <f t="shared" si="38"/>
        <v>430</v>
      </c>
      <c r="AQ783" s="31" t="str">
        <f t="shared" si="36"/>
        <v>Complete - No Adjustment</v>
      </c>
    </row>
    <row r="784" spans="1:43" x14ac:dyDescent="0.2">
      <c r="A784" s="46">
        <v>774</v>
      </c>
      <c r="B784" s="13" t="s">
        <v>266</v>
      </c>
      <c r="C784" s="13" t="s">
        <v>2318</v>
      </c>
      <c r="D784" s="13" t="s">
        <v>2319</v>
      </c>
      <c r="E784" s="13" t="s">
        <v>2320</v>
      </c>
      <c r="F784" s="13" t="s">
        <v>201</v>
      </c>
      <c r="G784" s="13" t="s">
        <v>111</v>
      </c>
      <c r="H784" s="16">
        <v>43999</v>
      </c>
      <c r="I784" s="16">
        <v>44001</v>
      </c>
      <c r="J784" s="22">
        <v>505</v>
      </c>
      <c r="K784" s="22">
        <v>75</v>
      </c>
      <c r="L784" s="22" t="s">
        <v>2321</v>
      </c>
      <c r="M784" s="26" t="s">
        <v>98</v>
      </c>
      <c r="N784" s="13" t="s">
        <v>230</v>
      </c>
      <c r="O784" s="13" t="s">
        <v>484</v>
      </c>
      <c r="P784" s="13" t="s">
        <v>60</v>
      </c>
      <c r="Q784" s="13" t="s">
        <v>59</v>
      </c>
      <c r="R784" s="13" t="s">
        <v>270</v>
      </c>
      <c r="S784" s="13" t="s">
        <v>2322</v>
      </c>
      <c r="T784" s="13" t="s">
        <v>2324</v>
      </c>
      <c r="U784" s="13"/>
      <c r="V784" s="13"/>
      <c r="W784" s="13"/>
      <c r="X784" s="14"/>
      <c r="AN784" s="7" t="s">
        <v>70</v>
      </c>
      <c r="AO784" s="21">
        <f t="shared" si="37"/>
        <v>0</v>
      </c>
      <c r="AP784" s="7">
        <f t="shared" si="38"/>
        <v>75</v>
      </c>
      <c r="AQ784" s="31" t="str">
        <f t="shared" si="36"/>
        <v>Complete - No Adjustment</v>
      </c>
    </row>
    <row r="785" spans="1:43" x14ac:dyDescent="0.2">
      <c r="A785" s="46">
        <v>775</v>
      </c>
      <c r="B785" s="13" t="s">
        <v>266</v>
      </c>
      <c r="C785" s="13" t="s">
        <v>352</v>
      </c>
      <c r="D785" s="13" t="s">
        <v>351</v>
      </c>
      <c r="E785" s="13" t="s">
        <v>2325</v>
      </c>
      <c r="F785" s="13" t="s">
        <v>210</v>
      </c>
      <c r="G785" s="13" t="s">
        <v>111</v>
      </c>
      <c r="H785" s="16">
        <v>43991</v>
      </c>
      <c r="I785" s="16">
        <v>44005</v>
      </c>
      <c r="J785" s="22">
        <v>14.06</v>
      </c>
      <c r="K785" s="22">
        <v>14.06</v>
      </c>
      <c r="L785" s="22" t="s">
        <v>2326</v>
      </c>
      <c r="M785" s="26" t="s">
        <v>98</v>
      </c>
      <c r="N785" s="13" t="s">
        <v>230</v>
      </c>
      <c r="O785" s="13" t="s">
        <v>271</v>
      </c>
      <c r="P785" s="13" t="s">
        <v>60</v>
      </c>
      <c r="Q785" s="13" t="s">
        <v>41</v>
      </c>
      <c r="R785" s="13" t="s">
        <v>270</v>
      </c>
      <c r="S785" s="13" t="s">
        <v>2327</v>
      </c>
      <c r="T785" s="13" t="s">
        <v>2328</v>
      </c>
      <c r="U785" s="13"/>
      <c r="V785" s="13"/>
      <c r="W785" s="13"/>
      <c r="X785" s="14"/>
      <c r="AN785" s="7" t="s">
        <v>155</v>
      </c>
      <c r="AO785" s="21">
        <f t="shared" si="37"/>
        <v>0</v>
      </c>
      <c r="AP785" s="7">
        <f t="shared" si="38"/>
        <v>14.06</v>
      </c>
      <c r="AQ785" s="31" t="str">
        <f t="shared" si="36"/>
        <v>Complete - No Adjustment</v>
      </c>
    </row>
    <row r="786" spans="1:43" x14ac:dyDescent="0.2">
      <c r="A786" s="46">
        <v>776</v>
      </c>
      <c r="B786" s="13" t="s">
        <v>266</v>
      </c>
      <c r="C786" s="13" t="s">
        <v>354</v>
      </c>
      <c r="D786" s="13" t="s">
        <v>353</v>
      </c>
      <c r="E786" s="13" t="s">
        <v>2064</v>
      </c>
      <c r="F786" s="13" t="s">
        <v>218</v>
      </c>
      <c r="G786" s="13" t="s">
        <v>111</v>
      </c>
      <c r="H786" s="16">
        <v>43985</v>
      </c>
      <c r="I786" s="16">
        <v>43991</v>
      </c>
      <c r="J786" s="22">
        <v>1209</v>
      </c>
      <c r="K786" s="22">
        <v>769</v>
      </c>
      <c r="L786" s="22"/>
      <c r="M786" s="26" t="s">
        <v>97</v>
      </c>
      <c r="N786" s="13" t="s">
        <v>230</v>
      </c>
      <c r="O786" s="13" t="s">
        <v>355</v>
      </c>
      <c r="P786" s="13" t="s">
        <v>42</v>
      </c>
      <c r="Q786" s="13" t="s">
        <v>59</v>
      </c>
      <c r="R786" s="13" t="s">
        <v>270</v>
      </c>
      <c r="S786" s="13" t="s">
        <v>2065</v>
      </c>
      <c r="T786" s="13" t="s">
        <v>2066</v>
      </c>
      <c r="U786" s="13"/>
      <c r="V786" s="13"/>
      <c r="W786" s="13"/>
      <c r="X786" s="14"/>
      <c r="AL786" s="14">
        <v>769</v>
      </c>
      <c r="AN786" s="7" t="s">
        <v>70</v>
      </c>
      <c r="AO786" s="21">
        <f t="shared" si="37"/>
        <v>769</v>
      </c>
      <c r="AP786" s="7">
        <f t="shared" si="38"/>
        <v>0</v>
      </c>
      <c r="AQ786" s="31" t="str">
        <f t="shared" si="36"/>
        <v>Complete - With Adjustment</v>
      </c>
    </row>
    <row r="787" spans="1:43" x14ac:dyDescent="0.2">
      <c r="A787" s="46">
        <v>777</v>
      </c>
      <c r="B787" s="13" t="s">
        <v>266</v>
      </c>
      <c r="C787" s="13" t="s">
        <v>354</v>
      </c>
      <c r="D787" s="13" t="s">
        <v>353</v>
      </c>
      <c r="E787" s="13" t="s">
        <v>2064</v>
      </c>
      <c r="F787" s="13" t="s">
        <v>218</v>
      </c>
      <c r="G787" s="13" t="s">
        <v>111</v>
      </c>
      <c r="H787" s="16">
        <v>43985</v>
      </c>
      <c r="I787" s="16">
        <v>43991</v>
      </c>
      <c r="J787" s="22">
        <v>1209</v>
      </c>
      <c r="K787" s="22">
        <v>440</v>
      </c>
      <c r="L787" s="22"/>
      <c r="M787" s="26" t="s">
        <v>97</v>
      </c>
      <c r="N787" s="13" t="s">
        <v>230</v>
      </c>
      <c r="O787" s="13" t="s">
        <v>355</v>
      </c>
      <c r="P787" s="13" t="s">
        <v>42</v>
      </c>
      <c r="Q787" s="13" t="s">
        <v>59</v>
      </c>
      <c r="R787" s="13" t="s">
        <v>270</v>
      </c>
      <c r="S787" s="13" t="s">
        <v>2065</v>
      </c>
      <c r="T787" s="13" t="s">
        <v>2067</v>
      </c>
      <c r="U787" s="13"/>
      <c r="V787" s="13"/>
      <c r="W787" s="13"/>
      <c r="X787" s="14"/>
      <c r="AL787" s="14">
        <v>440</v>
      </c>
      <c r="AN787" s="7" t="s">
        <v>70</v>
      </c>
      <c r="AO787" s="21">
        <f t="shared" si="37"/>
        <v>440</v>
      </c>
      <c r="AP787" s="7">
        <f t="shared" si="38"/>
        <v>0</v>
      </c>
      <c r="AQ787" s="31" t="str">
        <f t="shared" si="36"/>
        <v>Complete - With Adjustment</v>
      </c>
    </row>
    <row r="788" spans="1:43" x14ac:dyDescent="0.2">
      <c r="A788" s="46">
        <v>778</v>
      </c>
      <c r="B788" s="13" t="s">
        <v>266</v>
      </c>
      <c r="C788" s="13" t="s">
        <v>361</v>
      </c>
      <c r="D788" s="13" t="s">
        <v>360</v>
      </c>
      <c r="E788" s="13" t="s">
        <v>2329</v>
      </c>
      <c r="F788" s="13" t="s">
        <v>215</v>
      </c>
      <c r="G788" s="13" t="s">
        <v>111</v>
      </c>
      <c r="H788" s="16">
        <v>44011</v>
      </c>
      <c r="I788" s="16">
        <v>44012</v>
      </c>
      <c r="J788" s="22">
        <v>85</v>
      </c>
      <c r="K788" s="22">
        <v>85</v>
      </c>
      <c r="L788" s="22" t="s">
        <v>2330</v>
      </c>
      <c r="M788" s="26" t="s">
        <v>98</v>
      </c>
      <c r="N788" s="13" t="s">
        <v>230</v>
      </c>
      <c r="O788" s="13" t="s">
        <v>362</v>
      </c>
      <c r="P788" s="13" t="s">
        <v>60</v>
      </c>
      <c r="Q788" s="13" t="s">
        <v>59</v>
      </c>
      <c r="R788" s="13" t="s">
        <v>270</v>
      </c>
      <c r="S788" s="13" t="s">
        <v>2331</v>
      </c>
      <c r="T788" s="13" t="s">
        <v>2332</v>
      </c>
      <c r="U788" s="13"/>
      <c r="V788" s="13"/>
      <c r="W788" s="13"/>
      <c r="X788" s="14"/>
      <c r="AN788" s="7" t="s">
        <v>155</v>
      </c>
      <c r="AO788" s="21">
        <f t="shared" si="37"/>
        <v>0</v>
      </c>
      <c r="AP788" s="7">
        <f t="shared" si="38"/>
        <v>85</v>
      </c>
      <c r="AQ788" s="31" t="str">
        <f t="shared" si="36"/>
        <v>Complete - No Adjustment</v>
      </c>
    </row>
    <row r="789" spans="1:43" x14ac:dyDescent="0.2">
      <c r="A789" s="46">
        <v>779</v>
      </c>
      <c r="B789" s="13" t="s">
        <v>266</v>
      </c>
      <c r="C789" s="13" t="s">
        <v>364</v>
      </c>
      <c r="D789" s="13" t="s">
        <v>363</v>
      </c>
      <c r="E789" s="13" t="s">
        <v>2333</v>
      </c>
      <c r="F789" s="13" t="s">
        <v>213</v>
      </c>
      <c r="G789" s="13" t="s">
        <v>111</v>
      </c>
      <c r="H789" s="16">
        <v>43994</v>
      </c>
      <c r="I789" s="16">
        <v>43999</v>
      </c>
      <c r="J789" s="22">
        <v>8.8699999999999992</v>
      </c>
      <c r="K789" s="22">
        <v>8.8699999999999992</v>
      </c>
      <c r="L789" s="22" t="s">
        <v>2334</v>
      </c>
      <c r="M789" s="26" t="s">
        <v>98</v>
      </c>
      <c r="N789" s="13" t="s">
        <v>230</v>
      </c>
      <c r="O789" s="13" t="s">
        <v>365</v>
      </c>
      <c r="P789" s="13" t="s">
        <v>60</v>
      </c>
      <c r="Q789" s="13" t="s">
        <v>41</v>
      </c>
      <c r="R789" s="13" t="s">
        <v>270</v>
      </c>
      <c r="S789" s="13" t="s">
        <v>2335</v>
      </c>
      <c r="T789" s="13" t="s">
        <v>2336</v>
      </c>
      <c r="U789" s="13"/>
      <c r="V789" s="13"/>
      <c r="W789" s="13"/>
      <c r="X789" s="14"/>
      <c r="AN789" s="7" t="s">
        <v>155</v>
      </c>
      <c r="AO789" s="21">
        <f t="shared" si="37"/>
        <v>0</v>
      </c>
      <c r="AP789" s="7">
        <f t="shared" si="38"/>
        <v>8.8699999999999992</v>
      </c>
      <c r="AQ789" s="31" t="str">
        <f t="shared" si="36"/>
        <v>Complete - No Adjustment</v>
      </c>
    </row>
    <row r="790" spans="1:43" x14ac:dyDescent="0.2">
      <c r="A790" s="46">
        <v>780</v>
      </c>
      <c r="B790" s="13" t="s">
        <v>266</v>
      </c>
      <c r="C790" s="13" t="s">
        <v>524</v>
      </c>
      <c r="D790" s="13" t="s">
        <v>523</v>
      </c>
      <c r="E790" s="13" t="s">
        <v>2337</v>
      </c>
      <c r="F790" s="13" t="s">
        <v>210</v>
      </c>
      <c r="G790" s="13" t="s">
        <v>111</v>
      </c>
      <c r="H790" s="16">
        <v>43995</v>
      </c>
      <c r="I790" s="16">
        <v>44005</v>
      </c>
      <c r="J790" s="22">
        <v>15</v>
      </c>
      <c r="K790" s="22">
        <v>15</v>
      </c>
      <c r="L790" s="22" t="s">
        <v>2338</v>
      </c>
      <c r="M790" s="26" t="s">
        <v>98</v>
      </c>
      <c r="N790" s="13" t="s">
        <v>230</v>
      </c>
      <c r="O790" s="13" t="s">
        <v>404</v>
      </c>
      <c r="P790" s="13" t="s">
        <v>60</v>
      </c>
      <c r="Q790" s="13" t="s">
        <v>41</v>
      </c>
      <c r="R790" s="13" t="s">
        <v>270</v>
      </c>
      <c r="S790" s="13" t="s">
        <v>2339</v>
      </c>
      <c r="T790" s="13" t="s">
        <v>2340</v>
      </c>
      <c r="U790" s="13"/>
      <c r="V790" s="13"/>
      <c r="W790" s="13"/>
      <c r="X790" s="14"/>
      <c r="AL790" s="14">
        <v>15</v>
      </c>
      <c r="AN790" s="7" t="s">
        <v>167</v>
      </c>
      <c r="AO790" s="21">
        <f t="shared" si="37"/>
        <v>15</v>
      </c>
      <c r="AP790" s="7">
        <f t="shared" si="38"/>
        <v>0</v>
      </c>
      <c r="AQ790" s="31" t="str">
        <f t="shared" ref="AQ790:AQ853" si="39">IF(AO790&lt;&gt;0,"Complete - With Adjustment","Complete - No Adjustment")</f>
        <v>Complete - With Adjustment</v>
      </c>
    </row>
    <row r="791" spans="1:43" x14ac:dyDescent="0.2">
      <c r="A791" s="46">
        <v>781</v>
      </c>
      <c r="B791" s="13" t="s">
        <v>266</v>
      </c>
      <c r="C791" s="13" t="s">
        <v>526</v>
      </c>
      <c r="D791" s="13" t="s">
        <v>525</v>
      </c>
      <c r="E791" s="13" t="s">
        <v>2341</v>
      </c>
      <c r="F791" s="13" t="s">
        <v>207</v>
      </c>
      <c r="G791" s="13" t="s">
        <v>111</v>
      </c>
      <c r="H791" s="16">
        <v>43977</v>
      </c>
      <c r="I791" s="16">
        <v>43987</v>
      </c>
      <c r="J791" s="22">
        <v>548.75</v>
      </c>
      <c r="K791" s="22">
        <v>305</v>
      </c>
      <c r="L791" s="22" t="s">
        <v>2342</v>
      </c>
      <c r="M791" s="26" t="s">
        <v>98</v>
      </c>
      <c r="N791" s="13" t="s">
        <v>230</v>
      </c>
      <c r="O791" s="13" t="s">
        <v>277</v>
      </c>
      <c r="P791" s="13" t="s">
        <v>60</v>
      </c>
      <c r="Q791" s="13" t="s">
        <v>59</v>
      </c>
      <c r="R791" s="13" t="s">
        <v>270</v>
      </c>
      <c r="S791" s="13" t="s">
        <v>2343</v>
      </c>
      <c r="T791" s="13" t="s">
        <v>2344</v>
      </c>
      <c r="U791" s="13"/>
      <c r="V791" s="13"/>
      <c r="W791" s="13"/>
      <c r="X791" s="14"/>
      <c r="AN791" s="7" t="s">
        <v>70</v>
      </c>
      <c r="AO791" s="21">
        <f t="shared" si="37"/>
        <v>0</v>
      </c>
      <c r="AP791" s="7">
        <f t="shared" si="38"/>
        <v>305</v>
      </c>
      <c r="AQ791" s="31" t="str">
        <f t="shared" si="39"/>
        <v>Complete - No Adjustment</v>
      </c>
    </row>
    <row r="792" spans="1:43" x14ac:dyDescent="0.2">
      <c r="A792" s="46">
        <v>782</v>
      </c>
      <c r="B792" s="13" t="s">
        <v>266</v>
      </c>
      <c r="C792" s="13" t="s">
        <v>526</v>
      </c>
      <c r="D792" s="13" t="s">
        <v>525</v>
      </c>
      <c r="E792" s="13" t="s">
        <v>2341</v>
      </c>
      <c r="F792" s="13" t="s">
        <v>207</v>
      </c>
      <c r="G792" s="13" t="s">
        <v>111</v>
      </c>
      <c r="H792" s="16">
        <v>43977</v>
      </c>
      <c r="I792" s="16">
        <v>43987</v>
      </c>
      <c r="J792" s="22">
        <v>548.75</v>
      </c>
      <c r="K792" s="22">
        <v>28.6</v>
      </c>
      <c r="L792" s="22" t="s">
        <v>2342</v>
      </c>
      <c r="M792" s="26" t="s">
        <v>98</v>
      </c>
      <c r="N792" s="13" t="s">
        <v>230</v>
      </c>
      <c r="O792" s="13" t="s">
        <v>277</v>
      </c>
      <c r="P792" s="13" t="s">
        <v>60</v>
      </c>
      <c r="Q792" s="13" t="s">
        <v>62</v>
      </c>
      <c r="R792" s="13" t="s">
        <v>270</v>
      </c>
      <c r="S792" s="13" t="s">
        <v>2343</v>
      </c>
      <c r="T792" s="13" t="s">
        <v>2345</v>
      </c>
      <c r="U792" s="13"/>
      <c r="V792" s="13"/>
      <c r="W792" s="13"/>
      <c r="X792" s="14"/>
      <c r="AN792" s="7" t="s">
        <v>70</v>
      </c>
      <c r="AO792" s="21">
        <f t="shared" si="37"/>
        <v>0</v>
      </c>
      <c r="AP792" s="7">
        <f t="shared" si="38"/>
        <v>28.6</v>
      </c>
      <c r="AQ792" s="31" t="str">
        <f t="shared" si="39"/>
        <v>Complete - No Adjustment</v>
      </c>
    </row>
    <row r="793" spans="1:43" x14ac:dyDescent="0.2">
      <c r="A793" s="46">
        <v>783</v>
      </c>
      <c r="B793" s="13" t="s">
        <v>266</v>
      </c>
      <c r="C793" s="13" t="s">
        <v>526</v>
      </c>
      <c r="D793" s="13" t="s">
        <v>525</v>
      </c>
      <c r="E793" s="13" t="s">
        <v>2341</v>
      </c>
      <c r="F793" s="13" t="s">
        <v>207</v>
      </c>
      <c r="G793" s="13" t="s">
        <v>111</v>
      </c>
      <c r="H793" s="16">
        <v>43977</v>
      </c>
      <c r="I793" s="16">
        <v>43987</v>
      </c>
      <c r="J793" s="22">
        <v>548.75</v>
      </c>
      <c r="K793" s="22">
        <v>20</v>
      </c>
      <c r="L793" s="22" t="s">
        <v>2342</v>
      </c>
      <c r="M793" s="26" t="s">
        <v>98</v>
      </c>
      <c r="N793" s="13" t="s">
        <v>230</v>
      </c>
      <c r="O793" s="13" t="s">
        <v>277</v>
      </c>
      <c r="P793" s="13" t="s">
        <v>60</v>
      </c>
      <c r="Q793" s="13" t="s">
        <v>56</v>
      </c>
      <c r="R793" s="13" t="s">
        <v>270</v>
      </c>
      <c r="S793" s="13" t="s">
        <v>2343</v>
      </c>
      <c r="T793" s="13" t="s">
        <v>2346</v>
      </c>
      <c r="U793" s="13"/>
      <c r="V793" s="13"/>
      <c r="W793" s="13"/>
      <c r="X793" s="14"/>
      <c r="AL793" s="14">
        <v>20</v>
      </c>
      <c r="AN793" s="7" t="s">
        <v>146</v>
      </c>
      <c r="AO793" s="21">
        <f t="shared" si="37"/>
        <v>20</v>
      </c>
      <c r="AP793" s="7">
        <f t="shared" si="38"/>
        <v>0</v>
      </c>
      <c r="AQ793" s="31" t="str">
        <f t="shared" si="39"/>
        <v>Complete - With Adjustment</v>
      </c>
    </row>
    <row r="794" spans="1:43" x14ac:dyDescent="0.2">
      <c r="A794" s="46">
        <v>784</v>
      </c>
      <c r="B794" s="13" t="s">
        <v>266</v>
      </c>
      <c r="C794" s="13" t="s">
        <v>526</v>
      </c>
      <c r="D794" s="13" t="s">
        <v>525</v>
      </c>
      <c r="E794" s="13" t="s">
        <v>2341</v>
      </c>
      <c r="F794" s="13" t="s">
        <v>207</v>
      </c>
      <c r="G794" s="13" t="s">
        <v>111</v>
      </c>
      <c r="H794" s="16">
        <v>43977</v>
      </c>
      <c r="I794" s="16">
        <v>43987</v>
      </c>
      <c r="J794" s="22">
        <v>548.75</v>
      </c>
      <c r="K794" s="22">
        <v>122.63</v>
      </c>
      <c r="L794" s="22" t="s">
        <v>2342</v>
      </c>
      <c r="M794" s="26" t="s">
        <v>98</v>
      </c>
      <c r="N794" s="13" t="s">
        <v>230</v>
      </c>
      <c r="O794" s="13" t="s">
        <v>277</v>
      </c>
      <c r="P794" s="13" t="s">
        <v>60</v>
      </c>
      <c r="Q794" s="13" t="s">
        <v>41</v>
      </c>
      <c r="R794" s="13" t="s">
        <v>270</v>
      </c>
      <c r="S794" s="13" t="s">
        <v>2343</v>
      </c>
      <c r="T794" s="13" t="s">
        <v>2347</v>
      </c>
      <c r="U794" s="13"/>
      <c r="V794" s="13"/>
      <c r="W794" s="13"/>
      <c r="X794" s="14"/>
      <c r="AL794" s="14">
        <v>122.63</v>
      </c>
      <c r="AN794" s="7" t="s">
        <v>146</v>
      </c>
      <c r="AO794" s="21">
        <f t="shared" si="37"/>
        <v>122.63</v>
      </c>
      <c r="AP794" s="7">
        <f t="shared" si="38"/>
        <v>0</v>
      </c>
      <c r="AQ794" s="31" t="str">
        <f t="shared" si="39"/>
        <v>Complete - With Adjustment</v>
      </c>
    </row>
    <row r="795" spans="1:43" x14ac:dyDescent="0.2">
      <c r="A795" s="46">
        <v>785</v>
      </c>
      <c r="B795" s="13" t="s">
        <v>266</v>
      </c>
      <c r="C795" s="13" t="s">
        <v>526</v>
      </c>
      <c r="D795" s="13" t="s">
        <v>525</v>
      </c>
      <c r="E795" s="13" t="s">
        <v>2341</v>
      </c>
      <c r="F795" s="13" t="s">
        <v>207</v>
      </c>
      <c r="G795" s="13" t="s">
        <v>111</v>
      </c>
      <c r="H795" s="16">
        <v>43977</v>
      </c>
      <c r="I795" s="16">
        <v>43987</v>
      </c>
      <c r="J795" s="22">
        <v>548.75</v>
      </c>
      <c r="K795" s="22">
        <v>72.52</v>
      </c>
      <c r="L795" s="22" t="s">
        <v>2342</v>
      </c>
      <c r="M795" s="26" t="s">
        <v>98</v>
      </c>
      <c r="N795" s="13" t="s">
        <v>230</v>
      </c>
      <c r="O795" s="13" t="s">
        <v>277</v>
      </c>
      <c r="P795" s="13" t="s">
        <v>60</v>
      </c>
      <c r="Q795" s="13" t="s">
        <v>62</v>
      </c>
      <c r="R795" s="13" t="s">
        <v>270</v>
      </c>
      <c r="S795" s="13" t="s">
        <v>2343</v>
      </c>
      <c r="T795" s="13" t="s">
        <v>2348</v>
      </c>
      <c r="U795" s="13"/>
      <c r="V795" s="13"/>
      <c r="W795" s="13"/>
      <c r="X795" s="14"/>
      <c r="AN795" s="7" t="s">
        <v>155</v>
      </c>
      <c r="AO795" s="21">
        <f t="shared" si="37"/>
        <v>0</v>
      </c>
      <c r="AP795" s="7">
        <f t="shared" si="38"/>
        <v>72.52</v>
      </c>
      <c r="AQ795" s="31" t="str">
        <f t="shared" si="39"/>
        <v>Complete - No Adjustment</v>
      </c>
    </row>
    <row r="796" spans="1:43" x14ac:dyDescent="0.2">
      <c r="A796" s="46">
        <v>786</v>
      </c>
      <c r="B796" s="13" t="s">
        <v>266</v>
      </c>
      <c r="C796" s="13" t="s">
        <v>528</v>
      </c>
      <c r="D796" s="13" t="s">
        <v>527</v>
      </c>
      <c r="E796" s="13" t="s">
        <v>2349</v>
      </c>
      <c r="F796" s="13" t="s">
        <v>209</v>
      </c>
      <c r="G796" s="13" t="s">
        <v>111</v>
      </c>
      <c r="H796" s="16">
        <v>43991</v>
      </c>
      <c r="I796" s="16">
        <v>43993</v>
      </c>
      <c r="J796" s="22">
        <v>13.13</v>
      </c>
      <c r="K796" s="22">
        <v>13.13</v>
      </c>
      <c r="L796" s="22" t="s">
        <v>2350</v>
      </c>
      <c r="M796" s="26" t="s">
        <v>98</v>
      </c>
      <c r="N796" s="13" t="s">
        <v>230</v>
      </c>
      <c r="O796" s="13" t="s">
        <v>292</v>
      </c>
      <c r="P796" s="13" t="s">
        <v>60</v>
      </c>
      <c r="Q796" s="13" t="s">
        <v>41</v>
      </c>
      <c r="R796" s="13" t="s">
        <v>270</v>
      </c>
      <c r="S796" s="13" t="s">
        <v>2351</v>
      </c>
      <c r="T796" s="13" t="s">
        <v>2352</v>
      </c>
      <c r="U796" s="13"/>
      <c r="V796" s="13"/>
      <c r="W796" s="13"/>
      <c r="X796" s="14"/>
      <c r="AN796" s="7" t="s">
        <v>70</v>
      </c>
      <c r="AO796" s="21">
        <f t="shared" si="37"/>
        <v>0</v>
      </c>
      <c r="AP796" s="7">
        <f t="shared" si="38"/>
        <v>13.13</v>
      </c>
      <c r="AQ796" s="31" t="str">
        <f t="shared" si="39"/>
        <v>Complete - No Adjustment</v>
      </c>
    </row>
    <row r="797" spans="1:43" x14ac:dyDescent="0.2">
      <c r="A797" s="46">
        <v>787</v>
      </c>
      <c r="B797" s="13" t="s">
        <v>266</v>
      </c>
      <c r="C797" s="13" t="s">
        <v>694</v>
      </c>
      <c r="D797" s="13" t="s">
        <v>693</v>
      </c>
      <c r="E797" s="13" t="s">
        <v>2353</v>
      </c>
      <c r="F797" s="13" t="s">
        <v>211</v>
      </c>
      <c r="G797" s="13" t="s">
        <v>111</v>
      </c>
      <c r="H797" s="16">
        <v>43992</v>
      </c>
      <c r="I797" s="16">
        <v>43994</v>
      </c>
      <c r="J797" s="22">
        <v>73.44</v>
      </c>
      <c r="K797" s="22">
        <v>15</v>
      </c>
      <c r="L797" s="22" t="s">
        <v>2354</v>
      </c>
      <c r="M797" s="26" t="s">
        <v>98</v>
      </c>
      <c r="N797" s="13" t="s">
        <v>230</v>
      </c>
      <c r="O797" s="13" t="s">
        <v>277</v>
      </c>
      <c r="P797" s="13" t="s">
        <v>60</v>
      </c>
      <c r="Q797" s="13" t="s">
        <v>46</v>
      </c>
      <c r="R797" s="13" t="s">
        <v>270</v>
      </c>
      <c r="S797" s="13" t="s">
        <v>2355</v>
      </c>
      <c r="T797" s="13" t="s">
        <v>2079</v>
      </c>
      <c r="U797" s="13"/>
      <c r="V797" s="13"/>
      <c r="W797" s="13"/>
      <c r="X797" s="14"/>
      <c r="AN797" s="7" t="s">
        <v>155</v>
      </c>
      <c r="AO797" s="21">
        <f t="shared" si="37"/>
        <v>0</v>
      </c>
      <c r="AP797" s="7">
        <f t="shared" si="38"/>
        <v>15</v>
      </c>
      <c r="AQ797" s="31" t="str">
        <f t="shared" si="39"/>
        <v>Complete - No Adjustment</v>
      </c>
    </row>
    <row r="798" spans="1:43" x14ac:dyDescent="0.2">
      <c r="A798" s="46">
        <v>788</v>
      </c>
      <c r="B798" s="13" t="s">
        <v>266</v>
      </c>
      <c r="C798" s="13" t="s">
        <v>694</v>
      </c>
      <c r="D798" s="13" t="s">
        <v>693</v>
      </c>
      <c r="E798" s="13" t="s">
        <v>2353</v>
      </c>
      <c r="F798" s="13" t="s">
        <v>211</v>
      </c>
      <c r="G798" s="13" t="s">
        <v>111</v>
      </c>
      <c r="H798" s="16">
        <v>43992</v>
      </c>
      <c r="I798" s="16">
        <v>43994</v>
      </c>
      <c r="J798" s="22">
        <v>73.44</v>
      </c>
      <c r="K798" s="22">
        <v>58.44</v>
      </c>
      <c r="L798" s="22" t="s">
        <v>2354</v>
      </c>
      <c r="M798" s="26" t="s">
        <v>98</v>
      </c>
      <c r="N798" s="13" t="s">
        <v>230</v>
      </c>
      <c r="O798" s="13" t="s">
        <v>277</v>
      </c>
      <c r="P798" s="13" t="s">
        <v>60</v>
      </c>
      <c r="Q798" s="13" t="s">
        <v>62</v>
      </c>
      <c r="R798" s="13" t="s">
        <v>270</v>
      </c>
      <c r="S798" s="13" t="s">
        <v>2355</v>
      </c>
      <c r="T798" s="13" t="s">
        <v>2356</v>
      </c>
      <c r="U798" s="13"/>
      <c r="V798" s="13"/>
      <c r="W798" s="13"/>
      <c r="X798" s="14"/>
      <c r="AN798" s="7" t="s">
        <v>70</v>
      </c>
      <c r="AO798" s="21">
        <f t="shared" si="37"/>
        <v>0</v>
      </c>
      <c r="AP798" s="7">
        <f t="shared" si="38"/>
        <v>58.44</v>
      </c>
      <c r="AQ798" s="31" t="str">
        <f t="shared" si="39"/>
        <v>Complete - No Adjustment</v>
      </c>
    </row>
    <row r="799" spans="1:43" x14ac:dyDescent="0.2">
      <c r="A799" s="46">
        <v>789</v>
      </c>
      <c r="B799" s="13" t="s">
        <v>266</v>
      </c>
      <c r="C799" s="13" t="s">
        <v>2357</v>
      </c>
      <c r="D799" s="13" t="s">
        <v>2358</v>
      </c>
      <c r="E799" s="13" t="s">
        <v>2359</v>
      </c>
      <c r="F799" s="13" t="s">
        <v>211</v>
      </c>
      <c r="G799" s="13" t="s">
        <v>111</v>
      </c>
      <c r="H799" s="16">
        <v>43991</v>
      </c>
      <c r="I799" s="16">
        <v>43994</v>
      </c>
      <c r="J799" s="22">
        <v>8.9700000000000006</v>
      </c>
      <c r="K799" s="22">
        <v>8.9700000000000006</v>
      </c>
      <c r="L799" s="22" t="s">
        <v>2360</v>
      </c>
      <c r="M799" s="26" t="s">
        <v>98</v>
      </c>
      <c r="N799" s="13" t="s">
        <v>230</v>
      </c>
      <c r="O799" s="13" t="s">
        <v>397</v>
      </c>
      <c r="P799" s="13" t="s">
        <v>60</v>
      </c>
      <c r="Q799" s="13" t="s">
        <v>41</v>
      </c>
      <c r="R799" s="13" t="s">
        <v>270</v>
      </c>
      <c r="S799" s="13" t="s">
        <v>2361</v>
      </c>
      <c r="T799" s="13" t="s">
        <v>2362</v>
      </c>
      <c r="U799" s="13"/>
      <c r="V799" s="13"/>
      <c r="W799" s="13"/>
      <c r="X799" s="14"/>
      <c r="AN799" s="7" t="s">
        <v>155</v>
      </c>
      <c r="AO799" s="21">
        <f t="shared" si="37"/>
        <v>0</v>
      </c>
      <c r="AP799" s="7">
        <f t="shared" si="38"/>
        <v>8.9700000000000006</v>
      </c>
      <c r="AQ799" s="31" t="str">
        <f t="shared" si="39"/>
        <v>Complete - No Adjustment</v>
      </c>
    </row>
    <row r="800" spans="1:43" x14ac:dyDescent="0.2">
      <c r="A800" s="46">
        <v>790</v>
      </c>
      <c r="B800" s="13" t="s">
        <v>266</v>
      </c>
      <c r="C800" s="13" t="s">
        <v>696</v>
      </c>
      <c r="D800" s="13" t="s">
        <v>695</v>
      </c>
      <c r="E800" s="13" t="s">
        <v>2363</v>
      </c>
      <c r="F800" s="13" t="s">
        <v>208</v>
      </c>
      <c r="G800" s="13" t="s">
        <v>111</v>
      </c>
      <c r="H800" s="16">
        <v>43991</v>
      </c>
      <c r="I800" s="16">
        <v>44000</v>
      </c>
      <c r="J800" s="22">
        <v>13.63</v>
      </c>
      <c r="K800" s="22">
        <v>13.63</v>
      </c>
      <c r="L800" s="22" t="s">
        <v>2364</v>
      </c>
      <c r="M800" s="26" t="s">
        <v>98</v>
      </c>
      <c r="N800" s="13" t="s">
        <v>230</v>
      </c>
      <c r="O800" s="13" t="s">
        <v>365</v>
      </c>
      <c r="P800" s="13" t="s">
        <v>60</v>
      </c>
      <c r="Q800" s="13" t="s">
        <v>46</v>
      </c>
      <c r="R800" s="13" t="s">
        <v>270</v>
      </c>
      <c r="S800" s="13" t="s">
        <v>2365</v>
      </c>
      <c r="T800" s="13" t="s">
        <v>2366</v>
      </c>
      <c r="U800" s="13"/>
      <c r="V800" s="13"/>
      <c r="W800" s="13"/>
      <c r="X800" s="14"/>
      <c r="AN800" s="7" t="s">
        <v>155</v>
      </c>
      <c r="AO800" s="21">
        <f t="shared" si="37"/>
        <v>0</v>
      </c>
      <c r="AP800" s="7">
        <f t="shared" si="38"/>
        <v>13.63</v>
      </c>
      <c r="AQ800" s="31" t="str">
        <f t="shared" si="39"/>
        <v>Complete - No Adjustment</v>
      </c>
    </row>
    <row r="801" spans="1:43" x14ac:dyDescent="0.2">
      <c r="A801" s="46">
        <v>791</v>
      </c>
      <c r="B801" s="13" t="s">
        <v>266</v>
      </c>
      <c r="C801" s="13" t="s">
        <v>748</v>
      </c>
      <c r="D801" s="13" t="s">
        <v>747</v>
      </c>
      <c r="E801" s="13" t="s">
        <v>2367</v>
      </c>
      <c r="F801" s="13" t="s">
        <v>209</v>
      </c>
      <c r="G801" s="13" t="s">
        <v>111</v>
      </c>
      <c r="H801" s="16">
        <v>43991</v>
      </c>
      <c r="I801" s="16">
        <v>43993</v>
      </c>
      <c r="J801" s="22">
        <v>15</v>
      </c>
      <c r="K801" s="22">
        <v>15</v>
      </c>
      <c r="L801" s="22" t="s">
        <v>2368</v>
      </c>
      <c r="M801" s="26" t="s">
        <v>98</v>
      </c>
      <c r="N801" s="13" t="s">
        <v>230</v>
      </c>
      <c r="O801" s="13" t="s">
        <v>784</v>
      </c>
      <c r="P801" s="13" t="s">
        <v>60</v>
      </c>
      <c r="Q801" s="13" t="s">
        <v>41</v>
      </c>
      <c r="R801" s="13" t="s">
        <v>270</v>
      </c>
      <c r="S801" s="13" t="s">
        <v>2369</v>
      </c>
      <c r="T801" s="13" t="s">
        <v>2370</v>
      </c>
      <c r="U801" s="13"/>
      <c r="V801" s="13"/>
      <c r="W801" s="13"/>
      <c r="X801" s="14"/>
      <c r="AN801" s="7" t="s">
        <v>155</v>
      </c>
      <c r="AO801" s="21">
        <f t="shared" si="37"/>
        <v>0</v>
      </c>
      <c r="AP801" s="7">
        <f t="shared" si="38"/>
        <v>15</v>
      </c>
      <c r="AQ801" s="31" t="str">
        <f t="shared" si="39"/>
        <v>Complete - No Adjustment</v>
      </c>
    </row>
    <row r="802" spans="1:43" x14ac:dyDescent="0.2">
      <c r="A802" s="46">
        <v>792</v>
      </c>
      <c r="B802" s="13" t="s">
        <v>266</v>
      </c>
      <c r="C802" s="13" t="s">
        <v>368</v>
      </c>
      <c r="D802" s="13" t="s">
        <v>367</v>
      </c>
      <c r="E802" s="13" t="s">
        <v>2371</v>
      </c>
      <c r="F802" s="13" t="s">
        <v>215</v>
      </c>
      <c r="G802" s="13" t="s">
        <v>111</v>
      </c>
      <c r="H802" s="16">
        <v>44011</v>
      </c>
      <c r="I802" s="16">
        <v>44012</v>
      </c>
      <c r="J802" s="22">
        <v>1285</v>
      </c>
      <c r="K802" s="22">
        <v>285</v>
      </c>
      <c r="L802" s="22" t="s">
        <v>2372</v>
      </c>
      <c r="M802" s="26" t="s">
        <v>98</v>
      </c>
      <c r="N802" s="13" t="s">
        <v>230</v>
      </c>
      <c r="O802" s="13" t="s">
        <v>369</v>
      </c>
      <c r="P802" s="13" t="s">
        <v>60</v>
      </c>
      <c r="Q802" s="13" t="s">
        <v>59</v>
      </c>
      <c r="R802" s="13" t="s">
        <v>270</v>
      </c>
      <c r="S802" s="13" t="s">
        <v>2373</v>
      </c>
      <c r="T802" s="13" t="s">
        <v>2374</v>
      </c>
      <c r="U802" s="13"/>
      <c r="V802" s="13"/>
      <c r="W802" s="13"/>
      <c r="X802" s="14"/>
      <c r="AN802" s="7" t="s">
        <v>70</v>
      </c>
      <c r="AO802" s="21">
        <f t="shared" si="37"/>
        <v>0</v>
      </c>
      <c r="AP802" s="7">
        <f t="shared" si="38"/>
        <v>285</v>
      </c>
      <c r="AQ802" s="31" t="str">
        <f t="shared" si="39"/>
        <v>Complete - No Adjustment</v>
      </c>
    </row>
    <row r="803" spans="1:43" x14ac:dyDescent="0.2">
      <c r="A803" s="46">
        <v>793</v>
      </c>
      <c r="B803" s="13" t="s">
        <v>266</v>
      </c>
      <c r="C803" s="13" t="s">
        <v>368</v>
      </c>
      <c r="D803" s="13" t="s">
        <v>367</v>
      </c>
      <c r="E803" s="13" t="s">
        <v>2371</v>
      </c>
      <c r="F803" s="13" t="s">
        <v>215</v>
      </c>
      <c r="G803" s="13" t="s">
        <v>111</v>
      </c>
      <c r="H803" s="16">
        <v>44011</v>
      </c>
      <c r="I803" s="16">
        <v>44012</v>
      </c>
      <c r="J803" s="22">
        <v>1285</v>
      </c>
      <c r="K803" s="22">
        <v>1000</v>
      </c>
      <c r="L803" s="22" t="s">
        <v>2372</v>
      </c>
      <c r="M803" s="26" t="s">
        <v>98</v>
      </c>
      <c r="N803" s="13" t="s">
        <v>230</v>
      </c>
      <c r="O803" s="13" t="s">
        <v>369</v>
      </c>
      <c r="P803" s="13" t="s">
        <v>60</v>
      </c>
      <c r="Q803" s="13" t="s">
        <v>56</v>
      </c>
      <c r="R803" s="13" t="s">
        <v>270</v>
      </c>
      <c r="S803" s="13" t="s">
        <v>2373</v>
      </c>
      <c r="T803" s="13" t="s">
        <v>2375</v>
      </c>
      <c r="U803" s="13"/>
      <c r="V803" s="13"/>
      <c r="W803" s="13"/>
      <c r="X803" s="14"/>
      <c r="AN803" s="7" t="s">
        <v>70</v>
      </c>
      <c r="AO803" s="21">
        <f t="shared" si="37"/>
        <v>0</v>
      </c>
      <c r="AP803" s="7">
        <f t="shared" si="38"/>
        <v>1000</v>
      </c>
      <c r="AQ803" s="31" t="str">
        <f t="shared" si="39"/>
        <v>Complete - No Adjustment</v>
      </c>
    </row>
    <row r="804" spans="1:43" x14ac:dyDescent="0.2">
      <c r="A804" s="46">
        <v>794</v>
      </c>
      <c r="B804" s="13" t="s">
        <v>266</v>
      </c>
      <c r="C804" s="13" t="s">
        <v>250</v>
      </c>
      <c r="D804" s="13" t="s">
        <v>249</v>
      </c>
      <c r="E804" s="13" t="s">
        <v>2376</v>
      </c>
      <c r="F804" s="13" t="s">
        <v>209</v>
      </c>
      <c r="G804" s="13" t="s">
        <v>111</v>
      </c>
      <c r="H804" s="16">
        <v>43992</v>
      </c>
      <c r="I804" s="16">
        <v>43993</v>
      </c>
      <c r="J804" s="22">
        <v>15</v>
      </c>
      <c r="K804" s="22">
        <v>7.5</v>
      </c>
      <c r="L804" s="22" t="s">
        <v>2377</v>
      </c>
      <c r="M804" s="26" t="s">
        <v>98</v>
      </c>
      <c r="N804" s="13" t="s">
        <v>230</v>
      </c>
      <c r="O804" s="13" t="s">
        <v>326</v>
      </c>
      <c r="P804" s="13" t="s">
        <v>60</v>
      </c>
      <c r="Q804" s="13" t="s">
        <v>41</v>
      </c>
      <c r="R804" s="13" t="s">
        <v>270</v>
      </c>
      <c r="S804" s="13" t="s">
        <v>2378</v>
      </c>
      <c r="T804" s="13" t="s">
        <v>2379</v>
      </c>
      <c r="U804" s="13"/>
      <c r="V804" s="13"/>
      <c r="W804" s="13"/>
      <c r="X804" s="14"/>
      <c r="AN804" s="7" t="s">
        <v>70</v>
      </c>
      <c r="AO804" s="21">
        <f t="shared" si="37"/>
        <v>0</v>
      </c>
      <c r="AP804" s="7">
        <f t="shared" si="38"/>
        <v>7.5</v>
      </c>
      <c r="AQ804" s="31" t="str">
        <f t="shared" si="39"/>
        <v>Complete - No Adjustment</v>
      </c>
    </row>
    <row r="805" spans="1:43" x14ac:dyDescent="0.2">
      <c r="A805" s="46">
        <v>795</v>
      </c>
      <c r="B805" s="13" t="s">
        <v>266</v>
      </c>
      <c r="C805" s="13" t="s">
        <v>250</v>
      </c>
      <c r="D805" s="13" t="s">
        <v>249</v>
      </c>
      <c r="E805" s="13" t="s">
        <v>2380</v>
      </c>
      <c r="F805" s="13" t="s">
        <v>212</v>
      </c>
      <c r="G805" s="13" t="s">
        <v>111</v>
      </c>
      <c r="H805" s="16">
        <v>43999</v>
      </c>
      <c r="I805" s="16">
        <v>44004</v>
      </c>
      <c r="J805" s="22">
        <v>106</v>
      </c>
      <c r="K805" s="22">
        <v>53</v>
      </c>
      <c r="L805" s="22" t="s">
        <v>2381</v>
      </c>
      <c r="M805" s="26" t="s">
        <v>97</v>
      </c>
      <c r="N805" s="13" t="s">
        <v>230</v>
      </c>
      <c r="O805" s="13" t="s">
        <v>326</v>
      </c>
      <c r="P805" s="13" t="s">
        <v>42</v>
      </c>
      <c r="Q805" s="13" t="s">
        <v>114</v>
      </c>
      <c r="R805" s="13" t="s">
        <v>270</v>
      </c>
      <c r="S805" s="13" t="s">
        <v>2382</v>
      </c>
      <c r="T805" s="13" t="s">
        <v>2383</v>
      </c>
      <c r="U805" s="13"/>
      <c r="V805" s="13"/>
      <c r="W805" s="13"/>
      <c r="X805" s="14"/>
      <c r="AL805" s="14">
        <v>53</v>
      </c>
      <c r="AN805" s="7" t="s">
        <v>146</v>
      </c>
      <c r="AO805" s="21">
        <f t="shared" si="37"/>
        <v>53</v>
      </c>
      <c r="AP805" s="7">
        <f t="shared" si="38"/>
        <v>0</v>
      </c>
      <c r="AQ805" s="31" t="str">
        <f t="shared" si="39"/>
        <v>Complete - With Adjustment</v>
      </c>
    </row>
    <row r="806" spans="1:43" x14ac:dyDescent="0.2">
      <c r="A806" s="46">
        <v>796</v>
      </c>
      <c r="B806" s="13" t="s">
        <v>266</v>
      </c>
      <c r="C806" s="13" t="s">
        <v>2384</v>
      </c>
      <c r="D806" s="13" t="s">
        <v>2385</v>
      </c>
      <c r="E806" s="13" t="s">
        <v>2386</v>
      </c>
      <c r="F806" s="13" t="s">
        <v>210</v>
      </c>
      <c r="G806" s="13" t="s">
        <v>111</v>
      </c>
      <c r="H806" s="16">
        <v>44000</v>
      </c>
      <c r="I806" s="16">
        <v>44005</v>
      </c>
      <c r="J806" s="22">
        <v>15</v>
      </c>
      <c r="K806" s="22">
        <v>15</v>
      </c>
      <c r="L806" s="22" t="s">
        <v>2387</v>
      </c>
      <c r="M806" s="26" t="s">
        <v>98</v>
      </c>
      <c r="N806" s="13" t="s">
        <v>230</v>
      </c>
      <c r="O806" s="13" t="s">
        <v>362</v>
      </c>
      <c r="P806" s="13" t="s">
        <v>60</v>
      </c>
      <c r="Q806" s="13" t="s">
        <v>41</v>
      </c>
      <c r="R806" s="13" t="s">
        <v>270</v>
      </c>
      <c r="S806" s="13" t="s">
        <v>2388</v>
      </c>
      <c r="T806" s="13" t="s">
        <v>2389</v>
      </c>
      <c r="U806" s="13"/>
      <c r="V806" s="13"/>
      <c r="W806" s="13"/>
      <c r="X806" s="14"/>
      <c r="AN806" s="7" t="s">
        <v>155</v>
      </c>
      <c r="AO806" s="21">
        <f t="shared" si="37"/>
        <v>0</v>
      </c>
      <c r="AP806" s="7">
        <f t="shared" si="38"/>
        <v>15</v>
      </c>
      <c r="AQ806" s="31" t="str">
        <f t="shared" si="39"/>
        <v>Complete - No Adjustment</v>
      </c>
    </row>
    <row r="807" spans="1:43" x14ac:dyDescent="0.2">
      <c r="A807" s="46">
        <v>797</v>
      </c>
      <c r="B807" s="13" t="s">
        <v>266</v>
      </c>
      <c r="C807" s="13" t="s">
        <v>698</v>
      </c>
      <c r="D807" s="13" t="s">
        <v>697</v>
      </c>
      <c r="E807" s="13" t="s">
        <v>2390</v>
      </c>
      <c r="F807" s="13" t="s">
        <v>210</v>
      </c>
      <c r="G807" s="13" t="s">
        <v>111</v>
      </c>
      <c r="H807" s="16">
        <v>44000</v>
      </c>
      <c r="I807" s="16">
        <v>44005</v>
      </c>
      <c r="J807" s="22">
        <v>30</v>
      </c>
      <c r="K807" s="22">
        <v>15</v>
      </c>
      <c r="L807" s="22" t="s">
        <v>2391</v>
      </c>
      <c r="M807" s="26" t="s">
        <v>97</v>
      </c>
      <c r="N807" s="13" t="s">
        <v>230</v>
      </c>
      <c r="O807" s="13" t="s">
        <v>484</v>
      </c>
      <c r="P807" s="13" t="s">
        <v>42</v>
      </c>
      <c r="Q807" s="13" t="s">
        <v>54</v>
      </c>
      <c r="R807" s="13" t="s">
        <v>270</v>
      </c>
      <c r="S807" s="13" t="s">
        <v>2392</v>
      </c>
      <c r="T807" s="13" t="s">
        <v>2393</v>
      </c>
      <c r="U807" s="13"/>
      <c r="V807" s="13"/>
      <c r="W807" s="13"/>
      <c r="X807" s="14"/>
      <c r="AA807" s="54">
        <v>15</v>
      </c>
      <c r="AN807" s="7" t="s">
        <v>15</v>
      </c>
      <c r="AO807" s="21">
        <f t="shared" si="37"/>
        <v>15</v>
      </c>
      <c r="AP807" s="7">
        <f t="shared" si="38"/>
        <v>0</v>
      </c>
      <c r="AQ807" s="31" t="str">
        <f t="shared" si="39"/>
        <v>Complete - With Adjustment</v>
      </c>
    </row>
    <row r="808" spans="1:43" x14ac:dyDescent="0.2">
      <c r="A808" s="46">
        <v>798</v>
      </c>
      <c r="B808" s="13" t="s">
        <v>266</v>
      </c>
      <c r="C808" s="13" t="s">
        <v>698</v>
      </c>
      <c r="D808" s="13" t="s">
        <v>697</v>
      </c>
      <c r="E808" s="13" t="s">
        <v>2390</v>
      </c>
      <c r="F808" s="13" t="s">
        <v>210</v>
      </c>
      <c r="G808" s="13" t="s">
        <v>111</v>
      </c>
      <c r="H808" s="16">
        <v>44000</v>
      </c>
      <c r="I808" s="16">
        <v>44005</v>
      </c>
      <c r="J808" s="22">
        <v>30</v>
      </c>
      <c r="K808" s="22">
        <v>15</v>
      </c>
      <c r="L808" s="22" t="s">
        <v>2391</v>
      </c>
      <c r="M808" s="26" t="s">
        <v>97</v>
      </c>
      <c r="N808" s="13" t="s">
        <v>230</v>
      </c>
      <c r="O808" s="13" t="s">
        <v>484</v>
      </c>
      <c r="P808" s="13" t="s">
        <v>42</v>
      </c>
      <c r="Q808" s="13" t="s">
        <v>41</v>
      </c>
      <c r="R808" s="13" t="s">
        <v>270</v>
      </c>
      <c r="S808" s="13" t="s">
        <v>2392</v>
      </c>
      <c r="T808" s="13" t="s">
        <v>2394</v>
      </c>
      <c r="U808" s="13"/>
      <c r="V808" s="13"/>
      <c r="W808" s="13"/>
      <c r="X808" s="14"/>
      <c r="AI808" s="53">
        <v>15</v>
      </c>
      <c r="AN808" s="7" t="s">
        <v>145</v>
      </c>
      <c r="AO808" s="21">
        <f t="shared" ref="AO808:AO871" si="40">SUM(Y808:AL808)</f>
        <v>15</v>
      </c>
      <c r="AP808" s="7">
        <f t="shared" ref="AP808:AP871" si="41">K808-AO808</f>
        <v>0</v>
      </c>
      <c r="AQ808" s="31" t="str">
        <f t="shared" si="39"/>
        <v>Complete - With Adjustment</v>
      </c>
    </row>
    <row r="809" spans="1:43" x14ac:dyDescent="0.2">
      <c r="A809" s="46">
        <v>799</v>
      </c>
      <c r="B809" s="13" t="s">
        <v>266</v>
      </c>
      <c r="C809" s="13" t="s">
        <v>672</v>
      </c>
      <c r="D809" s="13" t="s">
        <v>671</v>
      </c>
      <c r="E809" s="13" t="s">
        <v>2395</v>
      </c>
      <c r="F809" s="13" t="s">
        <v>208</v>
      </c>
      <c r="G809" s="13" t="s">
        <v>111</v>
      </c>
      <c r="H809" s="16">
        <v>43991</v>
      </c>
      <c r="I809" s="16">
        <v>44000</v>
      </c>
      <c r="J809" s="22">
        <v>15</v>
      </c>
      <c r="K809" s="22">
        <v>15</v>
      </c>
      <c r="L809" s="22" t="s">
        <v>2396</v>
      </c>
      <c r="M809" s="26" t="s">
        <v>98</v>
      </c>
      <c r="N809" s="13" t="s">
        <v>230</v>
      </c>
      <c r="O809" s="13" t="s">
        <v>673</v>
      </c>
      <c r="P809" s="13" t="s">
        <v>60</v>
      </c>
      <c r="Q809" s="13" t="s">
        <v>46</v>
      </c>
      <c r="R809" s="13" t="s">
        <v>270</v>
      </c>
      <c r="S809" s="13" t="s">
        <v>2397</v>
      </c>
      <c r="T809" s="13" t="s">
        <v>2398</v>
      </c>
      <c r="U809" s="13"/>
      <c r="V809" s="13"/>
      <c r="W809" s="13"/>
      <c r="X809" s="14"/>
      <c r="AN809" s="7" t="s">
        <v>155</v>
      </c>
      <c r="AO809" s="21">
        <f t="shared" si="40"/>
        <v>0</v>
      </c>
      <c r="AP809" s="7">
        <f t="shared" si="41"/>
        <v>15</v>
      </c>
      <c r="AQ809" s="31" t="str">
        <f t="shared" si="39"/>
        <v>Complete - No Adjustment</v>
      </c>
    </row>
    <row r="810" spans="1:43" x14ac:dyDescent="0.2">
      <c r="A810" s="46">
        <v>800</v>
      </c>
      <c r="B810" s="13" t="s">
        <v>266</v>
      </c>
      <c r="C810" s="13" t="s">
        <v>672</v>
      </c>
      <c r="D810" s="13" t="s">
        <v>671</v>
      </c>
      <c r="E810" s="13" t="s">
        <v>2399</v>
      </c>
      <c r="F810" s="13" t="s">
        <v>212</v>
      </c>
      <c r="G810" s="13" t="s">
        <v>111</v>
      </c>
      <c r="H810" s="16">
        <v>44001</v>
      </c>
      <c r="I810" s="16">
        <v>44004</v>
      </c>
      <c r="J810" s="22">
        <v>43.03</v>
      </c>
      <c r="K810" s="22">
        <v>43.03</v>
      </c>
      <c r="L810" s="22" t="s">
        <v>2400</v>
      </c>
      <c r="M810" s="26" t="s">
        <v>98</v>
      </c>
      <c r="N810" s="13" t="s">
        <v>230</v>
      </c>
      <c r="O810" s="13" t="s">
        <v>673</v>
      </c>
      <c r="P810" s="13" t="s">
        <v>60</v>
      </c>
      <c r="Q810" s="13" t="s">
        <v>65</v>
      </c>
      <c r="R810" s="13" t="s">
        <v>270</v>
      </c>
      <c r="S810" s="13" t="s">
        <v>2401</v>
      </c>
      <c r="T810" s="13" t="s">
        <v>2402</v>
      </c>
      <c r="U810" s="13"/>
      <c r="V810" s="13"/>
      <c r="W810" s="13"/>
      <c r="X810" s="14"/>
      <c r="AN810" s="7" t="s">
        <v>70</v>
      </c>
      <c r="AO810" s="21">
        <f t="shared" si="40"/>
        <v>0</v>
      </c>
      <c r="AP810" s="7">
        <f t="shared" si="41"/>
        <v>43.03</v>
      </c>
      <c r="AQ810" s="31" t="str">
        <f t="shared" si="39"/>
        <v>Complete - No Adjustment</v>
      </c>
    </row>
    <row r="811" spans="1:43" x14ac:dyDescent="0.2">
      <c r="A811" s="46">
        <v>801</v>
      </c>
      <c r="B811" s="13" t="s">
        <v>266</v>
      </c>
      <c r="C811" s="13" t="s">
        <v>371</v>
      </c>
      <c r="D811" s="13" t="s">
        <v>370</v>
      </c>
      <c r="E811" s="13" t="s">
        <v>2403</v>
      </c>
      <c r="F811" s="13" t="s">
        <v>219</v>
      </c>
      <c r="G811" s="13" t="s">
        <v>111</v>
      </c>
      <c r="H811" s="16">
        <v>43994</v>
      </c>
      <c r="I811" s="16">
        <v>43998</v>
      </c>
      <c r="J811" s="22">
        <v>236.5</v>
      </c>
      <c r="K811" s="22">
        <v>15</v>
      </c>
      <c r="L811" s="22" t="s">
        <v>2404</v>
      </c>
      <c r="M811" s="26" t="s">
        <v>98</v>
      </c>
      <c r="N811" s="13" t="s">
        <v>230</v>
      </c>
      <c r="O811" s="13" t="s">
        <v>269</v>
      </c>
      <c r="P811" s="13" t="s">
        <v>60</v>
      </c>
      <c r="Q811" s="13" t="s">
        <v>41</v>
      </c>
      <c r="R811" s="13" t="s">
        <v>270</v>
      </c>
      <c r="S811" s="13" t="s">
        <v>2405</v>
      </c>
      <c r="T811" s="13" t="s">
        <v>2406</v>
      </c>
      <c r="U811" s="13"/>
      <c r="V811" s="13"/>
      <c r="W811" s="13"/>
      <c r="X811" s="14"/>
      <c r="AN811" s="7" t="s">
        <v>155</v>
      </c>
      <c r="AO811" s="21">
        <f t="shared" si="40"/>
        <v>0</v>
      </c>
      <c r="AP811" s="7">
        <f t="shared" si="41"/>
        <v>15</v>
      </c>
      <c r="AQ811" s="31" t="str">
        <f t="shared" si="39"/>
        <v>Complete - No Adjustment</v>
      </c>
    </row>
    <row r="812" spans="1:43" x14ac:dyDescent="0.2">
      <c r="A812" s="46">
        <v>802</v>
      </c>
      <c r="B812" s="13" t="s">
        <v>266</v>
      </c>
      <c r="C812" s="13" t="s">
        <v>371</v>
      </c>
      <c r="D812" s="13" t="s">
        <v>370</v>
      </c>
      <c r="E812" s="13" t="s">
        <v>2403</v>
      </c>
      <c r="F812" s="13" t="s">
        <v>219</v>
      </c>
      <c r="G812" s="13" t="s">
        <v>111</v>
      </c>
      <c r="H812" s="16">
        <v>43994</v>
      </c>
      <c r="I812" s="16">
        <v>43998</v>
      </c>
      <c r="J812" s="22">
        <v>236.5</v>
      </c>
      <c r="K812" s="22">
        <v>15.14</v>
      </c>
      <c r="L812" s="22" t="s">
        <v>2404</v>
      </c>
      <c r="M812" s="26" t="s">
        <v>98</v>
      </c>
      <c r="N812" s="13" t="s">
        <v>230</v>
      </c>
      <c r="O812" s="13" t="s">
        <v>269</v>
      </c>
      <c r="P812" s="13" t="s">
        <v>60</v>
      </c>
      <c r="Q812" s="13" t="s">
        <v>41</v>
      </c>
      <c r="R812" s="13" t="s">
        <v>270</v>
      </c>
      <c r="S812" s="13" t="s">
        <v>2405</v>
      </c>
      <c r="T812" s="13" t="s">
        <v>2407</v>
      </c>
      <c r="U812" s="13"/>
      <c r="V812" s="13"/>
      <c r="W812" s="13"/>
      <c r="X812" s="14"/>
      <c r="AN812" s="7" t="s">
        <v>155</v>
      </c>
      <c r="AO812" s="21">
        <f t="shared" si="40"/>
        <v>0</v>
      </c>
      <c r="AP812" s="7">
        <f t="shared" si="41"/>
        <v>15.14</v>
      </c>
      <c r="AQ812" s="31" t="str">
        <f t="shared" si="39"/>
        <v>Complete - No Adjustment</v>
      </c>
    </row>
    <row r="813" spans="1:43" x14ac:dyDescent="0.2">
      <c r="A813" s="46">
        <v>803</v>
      </c>
      <c r="B813" s="13" t="s">
        <v>266</v>
      </c>
      <c r="C813" s="13" t="s">
        <v>371</v>
      </c>
      <c r="D813" s="13" t="s">
        <v>370</v>
      </c>
      <c r="E813" s="13" t="s">
        <v>2403</v>
      </c>
      <c r="F813" s="13" t="s">
        <v>219</v>
      </c>
      <c r="G813" s="13" t="s">
        <v>111</v>
      </c>
      <c r="H813" s="16">
        <v>43994</v>
      </c>
      <c r="I813" s="16">
        <v>43998</v>
      </c>
      <c r="J813" s="22">
        <v>236.5</v>
      </c>
      <c r="K813" s="22">
        <v>96.36</v>
      </c>
      <c r="L813" s="22" t="s">
        <v>2404</v>
      </c>
      <c r="M813" s="26" t="s">
        <v>98</v>
      </c>
      <c r="N813" s="13" t="s">
        <v>230</v>
      </c>
      <c r="O813" s="13" t="s">
        <v>269</v>
      </c>
      <c r="P813" s="13" t="s">
        <v>60</v>
      </c>
      <c r="Q813" s="13" t="s">
        <v>41</v>
      </c>
      <c r="R813" s="13" t="s">
        <v>270</v>
      </c>
      <c r="S813" s="13" t="s">
        <v>2405</v>
      </c>
      <c r="T813" s="13" t="s">
        <v>2408</v>
      </c>
      <c r="U813" s="13"/>
      <c r="V813" s="13"/>
      <c r="W813" s="13"/>
      <c r="X813" s="14"/>
      <c r="AN813" s="7" t="s">
        <v>70</v>
      </c>
      <c r="AO813" s="21">
        <f t="shared" si="40"/>
        <v>0</v>
      </c>
      <c r="AP813" s="7">
        <f t="shared" si="41"/>
        <v>96.36</v>
      </c>
      <c r="AQ813" s="31" t="str">
        <f t="shared" si="39"/>
        <v>Complete - No Adjustment</v>
      </c>
    </row>
    <row r="814" spans="1:43" x14ac:dyDescent="0.2">
      <c r="A814" s="46">
        <v>804</v>
      </c>
      <c r="B814" s="13" t="s">
        <v>266</v>
      </c>
      <c r="C814" s="13" t="s">
        <v>371</v>
      </c>
      <c r="D814" s="13" t="s">
        <v>370</v>
      </c>
      <c r="E814" s="13" t="s">
        <v>2403</v>
      </c>
      <c r="F814" s="13" t="s">
        <v>219</v>
      </c>
      <c r="G814" s="13" t="s">
        <v>111</v>
      </c>
      <c r="H814" s="16">
        <v>43994</v>
      </c>
      <c r="I814" s="16">
        <v>43998</v>
      </c>
      <c r="J814" s="22">
        <v>236.5</v>
      </c>
      <c r="K814" s="22">
        <v>110</v>
      </c>
      <c r="L814" s="22" t="s">
        <v>2404</v>
      </c>
      <c r="M814" s="26" t="s">
        <v>98</v>
      </c>
      <c r="N814" s="13" t="s">
        <v>230</v>
      </c>
      <c r="O814" s="13" t="s">
        <v>269</v>
      </c>
      <c r="P814" s="13" t="s">
        <v>60</v>
      </c>
      <c r="Q814" s="13" t="s">
        <v>74</v>
      </c>
      <c r="R814" s="13" t="s">
        <v>270</v>
      </c>
      <c r="S814" s="13" t="s">
        <v>2405</v>
      </c>
      <c r="T814" s="13" t="s">
        <v>2409</v>
      </c>
      <c r="U814" s="13"/>
      <c r="V814" s="13"/>
      <c r="W814" s="13"/>
      <c r="X814" s="14"/>
      <c r="AN814" s="7" t="s">
        <v>70</v>
      </c>
      <c r="AO814" s="21">
        <f t="shared" si="40"/>
        <v>0</v>
      </c>
      <c r="AP814" s="7">
        <f t="shared" si="41"/>
        <v>110</v>
      </c>
      <c r="AQ814" s="31" t="str">
        <f t="shared" si="39"/>
        <v>Complete - No Adjustment</v>
      </c>
    </row>
    <row r="815" spans="1:43" x14ac:dyDescent="0.2">
      <c r="A815" s="46">
        <v>805</v>
      </c>
      <c r="B815" s="13" t="s">
        <v>266</v>
      </c>
      <c r="C815" s="13" t="s">
        <v>2410</v>
      </c>
      <c r="D815" s="13" t="s">
        <v>2411</v>
      </c>
      <c r="E815" s="13" t="s">
        <v>2412</v>
      </c>
      <c r="F815" s="13" t="s">
        <v>219</v>
      </c>
      <c r="G815" s="13" t="s">
        <v>111</v>
      </c>
      <c r="H815" s="16">
        <v>43991</v>
      </c>
      <c r="I815" s="16">
        <v>43998</v>
      </c>
      <c r="J815" s="22">
        <v>10.41</v>
      </c>
      <c r="K815" s="22">
        <v>10.41</v>
      </c>
      <c r="L815" s="22" t="s">
        <v>2413</v>
      </c>
      <c r="M815" s="26" t="s">
        <v>98</v>
      </c>
      <c r="N815" s="13" t="s">
        <v>230</v>
      </c>
      <c r="O815" s="13" t="s">
        <v>658</v>
      </c>
      <c r="P815" s="13" t="s">
        <v>60</v>
      </c>
      <c r="Q815" s="13" t="s">
        <v>601</v>
      </c>
      <c r="R815" s="13" t="s">
        <v>270</v>
      </c>
      <c r="S815" s="13" t="s">
        <v>2414</v>
      </c>
      <c r="T815" s="13" t="s">
        <v>2415</v>
      </c>
      <c r="U815" s="13"/>
      <c r="V815" s="13"/>
      <c r="W815" s="13"/>
      <c r="X815" s="14"/>
      <c r="AN815" s="7" t="s">
        <v>70</v>
      </c>
      <c r="AO815" s="21">
        <f t="shared" si="40"/>
        <v>0</v>
      </c>
      <c r="AP815" s="7">
        <f t="shared" si="41"/>
        <v>10.41</v>
      </c>
      <c r="AQ815" s="31" t="str">
        <f t="shared" si="39"/>
        <v>Complete - No Adjustment</v>
      </c>
    </row>
    <row r="816" spans="1:43" x14ac:dyDescent="0.2">
      <c r="A816" s="46">
        <v>806</v>
      </c>
      <c r="B816" s="13" t="s">
        <v>266</v>
      </c>
      <c r="C816" s="13" t="s">
        <v>2410</v>
      </c>
      <c r="D816" s="13" t="s">
        <v>2411</v>
      </c>
      <c r="E816" s="13" t="s">
        <v>2416</v>
      </c>
      <c r="F816" s="13" t="s">
        <v>205</v>
      </c>
      <c r="G816" s="13" t="s">
        <v>111</v>
      </c>
      <c r="H816" s="16">
        <v>43991</v>
      </c>
      <c r="I816" s="16">
        <v>44011</v>
      </c>
      <c r="J816" s="22">
        <v>12.54</v>
      </c>
      <c r="K816" s="22">
        <v>12.54</v>
      </c>
      <c r="L816" s="22" t="s">
        <v>2417</v>
      </c>
      <c r="M816" s="26" t="s">
        <v>98</v>
      </c>
      <c r="N816" s="13" t="s">
        <v>230</v>
      </c>
      <c r="O816" s="13" t="s">
        <v>658</v>
      </c>
      <c r="P816" s="13" t="s">
        <v>60</v>
      </c>
      <c r="Q816" s="13" t="s">
        <v>41</v>
      </c>
      <c r="R816" s="13" t="s">
        <v>270</v>
      </c>
      <c r="S816" s="13" t="s">
        <v>2180</v>
      </c>
      <c r="T816" s="13" t="s">
        <v>2181</v>
      </c>
      <c r="U816" s="13"/>
      <c r="V816" s="13"/>
      <c r="W816" s="13"/>
      <c r="X816" s="14"/>
      <c r="AN816" s="7" t="s">
        <v>155</v>
      </c>
      <c r="AO816" s="21">
        <f t="shared" si="40"/>
        <v>0</v>
      </c>
      <c r="AP816" s="7">
        <f t="shared" si="41"/>
        <v>12.54</v>
      </c>
      <c r="AQ816" s="31" t="str">
        <f t="shared" si="39"/>
        <v>Complete - No Adjustment</v>
      </c>
    </row>
    <row r="817" spans="1:43" x14ac:dyDescent="0.2">
      <c r="A817" s="46">
        <v>807</v>
      </c>
      <c r="B817" s="13" t="s">
        <v>266</v>
      </c>
      <c r="C817" s="13" t="s">
        <v>650</v>
      </c>
      <c r="D817" s="13" t="s">
        <v>649</v>
      </c>
      <c r="E817" s="13" t="s">
        <v>2418</v>
      </c>
      <c r="F817" s="13" t="s">
        <v>209</v>
      </c>
      <c r="G817" s="13" t="s">
        <v>111</v>
      </c>
      <c r="H817" s="16">
        <v>43991</v>
      </c>
      <c r="I817" s="16">
        <v>43993</v>
      </c>
      <c r="J817" s="22">
        <v>14.02</v>
      </c>
      <c r="K817" s="22">
        <v>14.02</v>
      </c>
      <c r="L817" s="22" t="s">
        <v>2419</v>
      </c>
      <c r="M817" s="26" t="s">
        <v>98</v>
      </c>
      <c r="N817" s="13" t="s">
        <v>230</v>
      </c>
      <c r="O817" s="13" t="s">
        <v>317</v>
      </c>
      <c r="P817" s="13" t="s">
        <v>60</v>
      </c>
      <c r="Q817" s="13" t="s">
        <v>41</v>
      </c>
      <c r="R817" s="13" t="s">
        <v>270</v>
      </c>
      <c r="S817" s="13" t="s">
        <v>2420</v>
      </c>
      <c r="T817" s="13" t="s">
        <v>2421</v>
      </c>
      <c r="U817" s="13"/>
      <c r="V817" s="13"/>
      <c r="W817" s="13"/>
      <c r="X817" s="14"/>
      <c r="AN817" s="7" t="s">
        <v>155</v>
      </c>
      <c r="AO817" s="21">
        <f t="shared" si="40"/>
        <v>0</v>
      </c>
      <c r="AP817" s="7">
        <f t="shared" si="41"/>
        <v>14.02</v>
      </c>
      <c r="AQ817" s="31" t="str">
        <f t="shared" si="39"/>
        <v>Complete - No Adjustment</v>
      </c>
    </row>
    <row r="818" spans="1:43" x14ac:dyDescent="0.2">
      <c r="A818" s="46">
        <v>808</v>
      </c>
      <c r="B818" s="13" t="s">
        <v>266</v>
      </c>
      <c r="C818" s="13" t="s">
        <v>650</v>
      </c>
      <c r="D818" s="13" t="s">
        <v>649</v>
      </c>
      <c r="E818" s="13" t="s">
        <v>2422</v>
      </c>
      <c r="F818" s="13" t="s">
        <v>214</v>
      </c>
      <c r="G818" s="13" t="s">
        <v>111</v>
      </c>
      <c r="H818" s="16">
        <v>43985</v>
      </c>
      <c r="I818" s="16">
        <v>43990</v>
      </c>
      <c r="J818" s="22">
        <v>30.2</v>
      </c>
      <c r="K818" s="22">
        <v>15.1</v>
      </c>
      <c r="L818" s="22" t="s">
        <v>2423</v>
      </c>
      <c r="M818" s="26" t="s">
        <v>98</v>
      </c>
      <c r="N818" s="13" t="s">
        <v>230</v>
      </c>
      <c r="O818" s="13" t="s">
        <v>317</v>
      </c>
      <c r="P818" s="13" t="s">
        <v>60</v>
      </c>
      <c r="Q818" s="13" t="s">
        <v>41</v>
      </c>
      <c r="R818" s="13" t="s">
        <v>270</v>
      </c>
      <c r="S818" s="13" t="s">
        <v>1814</v>
      </c>
      <c r="T818" s="13" t="s">
        <v>1815</v>
      </c>
      <c r="U818" s="13"/>
      <c r="V818" s="13"/>
      <c r="W818" s="13"/>
      <c r="X818" s="14"/>
      <c r="AN818" s="7" t="s">
        <v>70</v>
      </c>
      <c r="AO818" s="21">
        <f t="shared" si="40"/>
        <v>0</v>
      </c>
      <c r="AP818" s="7">
        <f t="shared" si="41"/>
        <v>15.1</v>
      </c>
      <c r="AQ818" s="31" t="str">
        <f t="shared" si="39"/>
        <v>Complete - No Adjustment</v>
      </c>
    </row>
    <row r="819" spans="1:43" x14ac:dyDescent="0.2">
      <c r="A819" s="46">
        <v>809</v>
      </c>
      <c r="B819" s="13" t="s">
        <v>266</v>
      </c>
      <c r="C819" s="13" t="s">
        <v>650</v>
      </c>
      <c r="D819" s="13" t="s">
        <v>649</v>
      </c>
      <c r="E819" s="13" t="s">
        <v>2422</v>
      </c>
      <c r="F819" s="13" t="s">
        <v>214</v>
      </c>
      <c r="G819" s="13" t="s">
        <v>111</v>
      </c>
      <c r="H819" s="16">
        <v>43985</v>
      </c>
      <c r="I819" s="16">
        <v>43990</v>
      </c>
      <c r="J819" s="22">
        <v>30.2</v>
      </c>
      <c r="K819" s="22">
        <v>15.1</v>
      </c>
      <c r="L819" s="22" t="s">
        <v>2423</v>
      </c>
      <c r="M819" s="26" t="s">
        <v>98</v>
      </c>
      <c r="N819" s="13" t="s">
        <v>230</v>
      </c>
      <c r="O819" s="13" t="s">
        <v>317</v>
      </c>
      <c r="P819" s="13" t="s">
        <v>60</v>
      </c>
      <c r="Q819" s="13" t="s">
        <v>41</v>
      </c>
      <c r="R819" s="13" t="s">
        <v>270</v>
      </c>
      <c r="S819" s="13" t="s">
        <v>1814</v>
      </c>
      <c r="T819" s="13" t="s">
        <v>1815</v>
      </c>
      <c r="U819" s="13"/>
      <c r="V819" s="13"/>
      <c r="W819" s="13"/>
      <c r="X819" s="14"/>
      <c r="AN819" s="7" t="s">
        <v>70</v>
      </c>
      <c r="AO819" s="21">
        <f t="shared" si="40"/>
        <v>0</v>
      </c>
      <c r="AP819" s="7">
        <f t="shared" si="41"/>
        <v>15.1</v>
      </c>
      <c r="AQ819" s="31" t="str">
        <f t="shared" si="39"/>
        <v>Complete - No Adjustment</v>
      </c>
    </row>
    <row r="820" spans="1:43" x14ac:dyDescent="0.2">
      <c r="A820" s="46">
        <v>810</v>
      </c>
      <c r="B820" s="13" t="s">
        <v>266</v>
      </c>
      <c r="C820" s="13" t="s">
        <v>377</v>
      </c>
      <c r="D820" s="13" t="s">
        <v>376</v>
      </c>
      <c r="E820" s="13" t="s">
        <v>2424</v>
      </c>
      <c r="F820" s="13" t="s">
        <v>208</v>
      </c>
      <c r="G820" s="13" t="s">
        <v>111</v>
      </c>
      <c r="H820" s="16">
        <v>43998</v>
      </c>
      <c r="I820" s="16">
        <v>44000</v>
      </c>
      <c r="J820" s="22">
        <v>32.46</v>
      </c>
      <c r="K820" s="22">
        <v>32.46</v>
      </c>
      <c r="L820" s="22" t="s">
        <v>2425</v>
      </c>
      <c r="M820" s="26" t="s">
        <v>98</v>
      </c>
      <c r="N820" s="13" t="s">
        <v>230</v>
      </c>
      <c r="O820" s="13" t="s">
        <v>280</v>
      </c>
      <c r="P820" s="13" t="s">
        <v>60</v>
      </c>
      <c r="Q820" s="13" t="s">
        <v>65</v>
      </c>
      <c r="R820" s="13" t="s">
        <v>270</v>
      </c>
      <c r="S820" s="13" t="s">
        <v>2426</v>
      </c>
      <c r="T820" s="13" t="s">
        <v>2427</v>
      </c>
      <c r="U820" s="13"/>
      <c r="V820" s="13"/>
      <c r="W820" s="13"/>
      <c r="X820" s="14"/>
      <c r="AN820" s="7" t="s">
        <v>70</v>
      </c>
      <c r="AO820" s="21">
        <f t="shared" si="40"/>
        <v>0</v>
      </c>
      <c r="AP820" s="7">
        <f t="shared" si="41"/>
        <v>32.46</v>
      </c>
      <c r="AQ820" s="31" t="str">
        <f t="shared" si="39"/>
        <v>Complete - No Adjustment</v>
      </c>
    </row>
    <row r="821" spans="1:43" x14ac:dyDescent="0.2">
      <c r="A821" s="46">
        <v>811</v>
      </c>
      <c r="B821" s="13" t="s">
        <v>266</v>
      </c>
      <c r="C821" s="13" t="s">
        <v>530</v>
      </c>
      <c r="D821" s="13" t="s">
        <v>529</v>
      </c>
      <c r="E821" s="13" t="s">
        <v>2428</v>
      </c>
      <c r="F821" s="13" t="s">
        <v>209</v>
      </c>
      <c r="G821" s="13" t="s">
        <v>111</v>
      </c>
      <c r="H821" s="16">
        <v>43992</v>
      </c>
      <c r="I821" s="16">
        <v>43993</v>
      </c>
      <c r="J821" s="22">
        <v>103</v>
      </c>
      <c r="K821" s="22">
        <v>103</v>
      </c>
      <c r="L821" s="22" t="s">
        <v>2429</v>
      </c>
      <c r="M821" s="26" t="s">
        <v>98</v>
      </c>
      <c r="N821" s="13" t="s">
        <v>230</v>
      </c>
      <c r="O821" s="13" t="s">
        <v>292</v>
      </c>
      <c r="P821" s="13" t="s">
        <v>60</v>
      </c>
      <c r="Q821" s="13" t="s">
        <v>48</v>
      </c>
      <c r="R821" s="13" t="s">
        <v>270</v>
      </c>
      <c r="S821" s="13" t="s">
        <v>2430</v>
      </c>
      <c r="T821" s="13" t="s">
        <v>2431</v>
      </c>
      <c r="U821" s="13"/>
      <c r="V821" s="13"/>
      <c r="W821" s="13"/>
      <c r="X821" s="14"/>
      <c r="AN821" s="7" t="s">
        <v>70</v>
      </c>
      <c r="AO821" s="21">
        <f t="shared" si="40"/>
        <v>0</v>
      </c>
      <c r="AP821" s="7">
        <f t="shared" si="41"/>
        <v>103</v>
      </c>
      <c r="AQ821" s="31" t="str">
        <f t="shared" si="39"/>
        <v>Complete - No Adjustment</v>
      </c>
    </row>
    <row r="822" spans="1:43" x14ac:dyDescent="0.2">
      <c r="A822" s="46">
        <v>812</v>
      </c>
      <c r="B822" s="13" t="s">
        <v>266</v>
      </c>
      <c r="C822" s="13" t="s">
        <v>530</v>
      </c>
      <c r="D822" s="13" t="s">
        <v>529</v>
      </c>
      <c r="E822" s="13" t="s">
        <v>2432</v>
      </c>
      <c r="F822" s="13" t="s">
        <v>208</v>
      </c>
      <c r="G822" s="13" t="s">
        <v>111</v>
      </c>
      <c r="H822" s="16">
        <v>43998</v>
      </c>
      <c r="I822" s="16">
        <v>44000</v>
      </c>
      <c r="J822" s="22">
        <v>4569.13</v>
      </c>
      <c r="K822" s="22">
        <v>4569.13</v>
      </c>
      <c r="L822" s="22" t="s">
        <v>2433</v>
      </c>
      <c r="M822" s="26" t="s">
        <v>98</v>
      </c>
      <c r="N822" s="13" t="s">
        <v>230</v>
      </c>
      <c r="O822" s="13" t="s">
        <v>292</v>
      </c>
      <c r="P822" s="13" t="s">
        <v>60</v>
      </c>
      <c r="Q822" s="13" t="s">
        <v>48</v>
      </c>
      <c r="R822" s="13" t="s">
        <v>270</v>
      </c>
      <c r="S822" s="13" t="s">
        <v>2434</v>
      </c>
      <c r="T822" s="13" t="s">
        <v>2435</v>
      </c>
      <c r="U822" s="13"/>
      <c r="V822" s="13"/>
      <c r="W822" s="13"/>
      <c r="X822" s="14"/>
      <c r="AN822" s="7" t="s">
        <v>70</v>
      </c>
      <c r="AO822" s="21">
        <f t="shared" si="40"/>
        <v>0</v>
      </c>
      <c r="AP822" s="7">
        <f t="shared" si="41"/>
        <v>4569.13</v>
      </c>
      <c r="AQ822" s="31" t="str">
        <f t="shared" si="39"/>
        <v>Complete - No Adjustment</v>
      </c>
    </row>
    <row r="823" spans="1:43" x14ac:dyDescent="0.2">
      <c r="A823" s="46">
        <v>813</v>
      </c>
      <c r="B823" s="13" t="s">
        <v>266</v>
      </c>
      <c r="C823" s="13" t="s">
        <v>532</v>
      </c>
      <c r="D823" s="13" t="s">
        <v>531</v>
      </c>
      <c r="E823" s="13" t="s">
        <v>2436</v>
      </c>
      <c r="F823" s="13" t="s">
        <v>206</v>
      </c>
      <c r="G823" s="13" t="s">
        <v>111</v>
      </c>
      <c r="H823" s="16">
        <v>43991</v>
      </c>
      <c r="I823" s="16">
        <v>43992</v>
      </c>
      <c r="J823" s="22">
        <v>14.78</v>
      </c>
      <c r="K823" s="22">
        <v>14.78</v>
      </c>
      <c r="L823" s="22" t="s">
        <v>2437</v>
      </c>
      <c r="M823" s="26" t="s">
        <v>98</v>
      </c>
      <c r="N823" s="13" t="s">
        <v>230</v>
      </c>
      <c r="O823" s="13" t="s">
        <v>533</v>
      </c>
      <c r="P823" s="13" t="s">
        <v>60</v>
      </c>
      <c r="Q823" s="13" t="s">
        <v>46</v>
      </c>
      <c r="R823" s="13" t="s">
        <v>270</v>
      </c>
      <c r="S823" s="13" t="s">
        <v>2438</v>
      </c>
      <c r="T823" s="13" t="s">
        <v>2439</v>
      </c>
      <c r="U823" s="13"/>
      <c r="V823" s="13"/>
      <c r="W823" s="13"/>
      <c r="X823" s="14"/>
      <c r="AN823" s="7" t="s">
        <v>155</v>
      </c>
      <c r="AO823" s="21">
        <f t="shared" si="40"/>
        <v>0</v>
      </c>
      <c r="AP823" s="7">
        <f t="shared" si="41"/>
        <v>14.78</v>
      </c>
      <c r="AQ823" s="31" t="str">
        <f t="shared" si="39"/>
        <v>Complete - No Adjustment</v>
      </c>
    </row>
    <row r="824" spans="1:43" x14ac:dyDescent="0.2">
      <c r="A824" s="46">
        <v>814</v>
      </c>
      <c r="B824" s="13" t="s">
        <v>266</v>
      </c>
      <c r="C824" s="13" t="s">
        <v>700</v>
      </c>
      <c r="D824" s="13" t="s">
        <v>699</v>
      </c>
      <c r="E824" s="13" t="s">
        <v>2440</v>
      </c>
      <c r="F824" s="13" t="s">
        <v>211</v>
      </c>
      <c r="G824" s="13" t="s">
        <v>111</v>
      </c>
      <c r="H824" s="16">
        <v>43991</v>
      </c>
      <c r="I824" s="16">
        <v>43994</v>
      </c>
      <c r="J824" s="22">
        <v>12.94</v>
      </c>
      <c r="K824" s="22">
        <v>12.94</v>
      </c>
      <c r="L824" s="22" t="s">
        <v>2441</v>
      </c>
      <c r="M824" s="26" t="s">
        <v>98</v>
      </c>
      <c r="N824" s="13" t="s">
        <v>230</v>
      </c>
      <c r="O824" s="13" t="s">
        <v>397</v>
      </c>
      <c r="P824" s="13" t="s">
        <v>60</v>
      </c>
      <c r="Q824" s="13" t="s">
        <v>41</v>
      </c>
      <c r="R824" s="13" t="s">
        <v>270</v>
      </c>
      <c r="S824" s="13" t="s">
        <v>2442</v>
      </c>
      <c r="T824" s="13" t="s">
        <v>2443</v>
      </c>
      <c r="U824" s="13"/>
      <c r="V824" s="13"/>
      <c r="W824" s="13"/>
      <c r="X824" s="14"/>
      <c r="AN824" s="7" t="s">
        <v>155</v>
      </c>
      <c r="AO824" s="21">
        <f t="shared" si="40"/>
        <v>0</v>
      </c>
      <c r="AP824" s="7">
        <f t="shared" si="41"/>
        <v>12.94</v>
      </c>
      <c r="AQ824" s="31" t="str">
        <f t="shared" si="39"/>
        <v>Complete - No Adjustment</v>
      </c>
    </row>
    <row r="825" spans="1:43" x14ac:dyDescent="0.2">
      <c r="A825" s="46">
        <v>815</v>
      </c>
      <c r="B825" s="13" t="s">
        <v>266</v>
      </c>
      <c r="C825" s="13" t="s">
        <v>2444</v>
      </c>
      <c r="D825" s="13" t="s">
        <v>2445</v>
      </c>
      <c r="E825" s="13" t="s">
        <v>2446</v>
      </c>
      <c r="F825" s="13" t="s">
        <v>211</v>
      </c>
      <c r="G825" s="13" t="s">
        <v>111</v>
      </c>
      <c r="H825" s="16">
        <v>43992</v>
      </c>
      <c r="I825" s="16">
        <v>43994</v>
      </c>
      <c r="J825" s="22">
        <v>15</v>
      </c>
      <c r="K825" s="22">
        <v>15</v>
      </c>
      <c r="L825" s="22" t="s">
        <v>2447</v>
      </c>
      <c r="M825" s="26" t="s">
        <v>98</v>
      </c>
      <c r="N825" s="13" t="s">
        <v>230</v>
      </c>
      <c r="O825" s="13" t="s">
        <v>514</v>
      </c>
      <c r="P825" s="13" t="s">
        <v>60</v>
      </c>
      <c r="Q825" s="13" t="s">
        <v>41</v>
      </c>
      <c r="R825" s="13" t="s">
        <v>270</v>
      </c>
      <c r="S825" s="13" t="s">
        <v>2448</v>
      </c>
      <c r="T825" s="13" t="s">
        <v>2449</v>
      </c>
      <c r="U825" s="13"/>
      <c r="V825" s="13"/>
      <c r="W825" s="13"/>
      <c r="X825" s="14"/>
      <c r="AN825" s="7" t="s">
        <v>155</v>
      </c>
      <c r="AO825" s="21">
        <f t="shared" si="40"/>
        <v>0</v>
      </c>
      <c r="AP825" s="7">
        <f t="shared" si="41"/>
        <v>15</v>
      </c>
      <c r="AQ825" s="31" t="str">
        <f t="shared" si="39"/>
        <v>Complete - No Adjustment</v>
      </c>
    </row>
    <row r="826" spans="1:43" x14ac:dyDescent="0.2">
      <c r="A826" s="46">
        <v>816</v>
      </c>
      <c r="B826" s="13" t="s">
        <v>266</v>
      </c>
      <c r="C826" s="13" t="s">
        <v>652</v>
      </c>
      <c r="D826" s="13" t="s">
        <v>651</v>
      </c>
      <c r="E826" s="13" t="s">
        <v>2450</v>
      </c>
      <c r="F826" s="13" t="s">
        <v>204</v>
      </c>
      <c r="G826" s="13" t="s">
        <v>111</v>
      </c>
      <c r="H826" s="16">
        <v>43993</v>
      </c>
      <c r="I826" s="16">
        <v>43997</v>
      </c>
      <c r="J826" s="22">
        <v>805</v>
      </c>
      <c r="K826" s="22">
        <v>465</v>
      </c>
      <c r="L826" s="22" t="s">
        <v>2451</v>
      </c>
      <c r="M826" s="26" t="s">
        <v>98</v>
      </c>
      <c r="N826" s="13" t="s">
        <v>230</v>
      </c>
      <c r="O826" s="13" t="s">
        <v>277</v>
      </c>
      <c r="P826" s="13" t="s">
        <v>60</v>
      </c>
      <c r="Q826" s="13" t="s">
        <v>59</v>
      </c>
      <c r="R826" s="13" t="s">
        <v>270</v>
      </c>
      <c r="S826" s="13" t="s">
        <v>2452</v>
      </c>
      <c r="T826" s="13" t="s">
        <v>2453</v>
      </c>
      <c r="U826" s="13"/>
      <c r="V826" s="13"/>
      <c r="W826" s="13"/>
      <c r="X826" s="14"/>
      <c r="AN826" s="7" t="s">
        <v>70</v>
      </c>
      <c r="AO826" s="21">
        <f t="shared" si="40"/>
        <v>0</v>
      </c>
      <c r="AP826" s="7">
        <f t="shared" si="41"/>
        <v>465</v>
      </c>
      <c r="AQ826" s="31" t="str">
        <f t="shared" si="39"/>
        <v>Complete - No Adjustment</v>
      </c>
    </row>
    <row r="827" spans="1:43" x14ac:dyDescent="0.2">
      <c r="A827" s="46">
        <v>817</v>
      </c>
      <c r="B827" s="13" t="s">
        <v>266</v>
      </c>
      <c r="C827" s="13" t="s">
        <v>652</v>
      </c>
      <c r="D827" s="13" t="s">
        <v>651</v>
      </c>
      <c r="E827" s="13" t="s">
        <v>2450</v>
      </c>
      <c r="F827" s="13" t="s">
        <v>204</v>
      </c>
      <c r="G827" s="13" t="s">
        <v>111</v>
      </c>
      <c r="H827" s="16">
        <v>43993</v>
      </c>
      <c r="I827" s="16">
        <v>43997</v>
      </c>
      <c r="J827" s="22">
        <v>805</v>
      </c>
      <c r="K827" s="22">
        <v>340</v>
      </c>
      <c r="L827" s="22" t="s">
        <v>2451</v>
      </c>
      <c r="M827" s="26" t="s">
        <v>98</v>
      </c>
      <c r="N827" s="13" t="s">
        <v>230</v>
      </c>
      <c r="O827" s="13" t="s">
        <v>277</v>
      </c>
      <c r="P827" s="13" t="s">
        <v>60</v>
      </c>
      <c r="Q827" s="13" t="s">
        <v>59</v>
      </c>
      <c r="R827" s="13" t="s">
        <v>270</v>
      </c>
      <c r="S827" s="13" t="s">
        <v>2452</v>
      </c>
      <c r="T827" s="13" t="s">
        <v>2454</v>
      </c>
      <c r="U827" s="13"/>
      <c r="V827" s="13"/>
      <c r="W827" s="13"/>
      <c r="X827" s="14"/>
      <c r="AN827" s="7" t="s">
        <v>70</v>
      </c>
      <c r="AO827" s="21">
        <f t="shared" si="40"/>
        <v>0</v>
      </c>
      <c r="AP827" s="7">
        <f t="shared" si="41"/>
        <v>340</v>
      </c>
      <c r="AQ827" s="31" t="str">
        <f t="shared" si="39"/>
        <v>Complete - No Adjustment</v>
      </c>
    </row>
    <row r="828" spans="1:43" x14ac:dyDescent="0.2">
      <c r="A828" s="46">
        <v>818</v>
      </c>
      <c r="B828" s="13" t="s">
        <v>266</v>
      </c>
      <c r="C828" s="13" t="s">
        <v>391</v>
      </c>
      <c r="D828" s="13" t="s">
        <v>390</v>
      </c>
      <c r="E828" s="13" t="s">
        <v>2455</v>
      </c>
      <c r="F828" s="13" t="s">
        <v>206</v>
      </c>
      <c r="G828" s="13" t="s">
        <v>111</v>
      </c>
      <c r="H828" s="16">
        <v>43990</v>
      </c>
      <c r="I828" s="16">
        <v>43992</v>
      </c>
      <c r="J828" s="22">
        <v>42.09</v>
      </c>
      <c r="K828" s="22">
        <v>14.03</v>
      </c>
      <c r="L828" s="22" t="s">
        <v>2456</v>
      </c>
      <c r="M828" s="26" t="s">
        <v>98</v>
      </c>
      <c r="N828" s="13" t="s">
        <v>230</v>
      </c>
      <c r="O828" s="13" t="s">
        <v>271</v>
      </c>
      <c r="P828" s="13" t="s">
        <v>60</v>
      </c>
      <c r="Q828" s="13" t="s">
        <v>62</v>
      </c>
      <c r="R828" s="13" t="s">
        <v>270</v>
      </c>
      <c r="S828" s="13" t="s">
        <v>2457</v>
      </c>
      <c r="T828" s="13" t="s">
        <v>2458</v>
      </c>
      <c r="U828" s="13"/>
      <c r="V828" s="13"/>
      <c r="W828" s="13"/>
      <c r="X828" s="14"/>
      <c r="AN828" s="7" t="s">
        <v>70</v>
      </c>
      <c r="AO828" s="21">
        <f t="shared" si="40"/>
        <v>0</v>
      </c>
      <c r="AP828" s="7">
        <f t="shared" si="41"/>
        <v>14.03</v>
      </c>
      <c r="AQ828" s="31" t="str">
        <f t="shared" si="39"/>
        <v>Complete - No Adjustment</v>
      </c>
    </row>
    <row r="829" spans="1:43" x14ac:dyDescent="0.2">
      <c r="A829" s="46">
        <v>819</v>
      </c>
      <c r="B829" s="13" t="s">
        <v>266</v>
      </c>
      <c r="C829" s="13" t="s">
        <v>391</v>
      </c>
      <c r="D829" s="13" t="s">
        <v>390</v>
      </c>
      <c r="E829" s="13" t="s">
        <v>2455</v>
      </c>
      <c r="F829" s="13" t="s">
        <v>206</v>
      </c>
      <c r="G829" s="13" t="s">
        <v>111</v>
      </c>
      <c r="H829" s="16">
        <v>43990</v>
      </c>
      <c r="I829" s="16">
        <v>43992</v>
      </c>
      <c r="J829" s="22">
        <v>42.09</v>
      </c>
      <c r="K829" s="22">
        <v>14.03</v>
      </c>
      <c r="L829" s="22" t="s">
        <v>2456</v>
      </c>
      <c r="M829" s="26" t="s">
        <v>98</v>
      </c>
      <c r="N829" s="13" t="s">
        <v>230</v>
      </c>
      <c r="O829" s="13" t="s">
        <v>271</v>
      </c>
      <c r="P829" s="13" t="s">
        <v>60</v>
      </c>
      <c r="Q829" s="13" t="s">
        <v>62</v>
      </c>
      <c r="R829" s="13" t="s">
        <v>270</v>
      </c>
      <c r="S829" s="13" t="s">
        <v>2457</v>
      </c>
      <c r="T829" s="13" t="s">
        <v>2459</v>
      </c>
      <c r="U829" s="13"/>
      <c r="V829" s="13"/>
      <c r="W829" s="13"/>
      <c r="X829" s="14"/>
      <c r="AN829" s="7" t="s">
        <v>70</v>
      </c>
      <c r="AO829" s="21">
        <f t="shared" si="40"/>
        <v>0</v>
      </c>
      <c r="AP829" s="7">
        <f t="shared" si="41"/>
        <v>14.03</v>
      </c>
      <c r="AQ829" s="31" t="str">
        <f t="shared" si="39"/>
        <v>Complete - No Adjustment</v>
      </c>
    </row>
    <row r="830" spans="1:43" x14ac:dyDescent="0.2">
      <c r="A830" s="46">
        <v>820</v>
      </c>
      <c r="B830" s="13" t="s">
        <v>266</v>
      </c>
      <c r="C830" s="13" t="s">
        <v>391</v>
      </c>
      <c r="D830" s="13" t="s">
        <v>390</v>
      </c>
      <c r="E830" s="13" t="s">
        <v>2455</v>
      </c>
      <c r="F830" s="13" t="s">
        <v>206</v>
      </c>
      <c r="G830" s="13" t="s">
        <v>111</v>
      </c>
      <c r="H830" s="16">
        <v>43990</v>
      </c>
      <c r="I830" s="16">
        <v>43992</v>
      </c>
      <c r="J830" s="22">
        <v>42.09</v>
      </c>
      <c r="K830" s="22">
        <v>14.03</v>
      </c>
      <c r="L830" s="22" t="s">
        <v>2456</v>
      </c>
      <c r="M830" s="26" t="s">
        <v>98</v>
      </c>
      <c r="N830" s="13" t="s">
        <v>230</v>
      </c>
      <c r="O830" s="13" t="s">
        <v>271</v>
      </c>
      <c r="P830" s="13" t="s">
        <v>60</v>
      </c>
      <c r="Q830" s="13" t="s">
        <v>62</v>
      </c>
      <c r="R830" s="13" t="s">
        <v>270</v>
      </c>
      <c r="S830" s="13" t="s">
        <v>2457</v>
      </c>
      <c r="T830" s="13" t="s">
        <v>2460</v>
      </c>
      <c r="U830" s="13"/>
      <c r="V830" s="13"/>
      <c r="W830" s="13"/>
      <c r="X830" s="14"/>
      <c r="AN830" s="7" t="s">
        <v>70</v>
      </c>
      <c r="AO830" s="21">
        <f t="shared" si="40"/>
        <v>0</v>
      </c>
      <c r="AP830" s="7">
        <f t="shared" si="41"/>
        <v>14.03</v>
      </c>
      <c r="AQ830" s="31" t="str">
        <f t="shared" si="39"/>
        <v>Complete - No Adjustment</v>
      </c>
    </row>
    <row r="831" spans="1:43" x14ac:dyDescent="0.2">
      <c r="A831" s="46">
        <v>821</v>
      </c>
      <c r="B831" s="13" t="s">
        <v>266</v>
      </c>
      <c r="C831" s="13" t="s">
        <v>393</v>
      </c>
      <c r="D831" s="13" t="s">
        <v>392</v>
      </c>
      <c r="E831" s="13" t="s">
        <v>2461</v>
      </c>
      <c r="F831" s="13" t="s">
        <v>215</v>
      </c>
      <c r="G831" s="13" t="s">
        <v>111</v>
      </c>
      <c r="H831" s="16">
        <v>44008</v>
      </c>
      <c r="I831" s="16">
        <v>44012</v>
      </c>
      <c r="J831" s="22">
        <v>12.85</v>
      </c>
      <c r="K831" s="22">
        <v>12.85</v>
      </c>
      <c r="L831" s="22" t="s">
        <v>2462</v>
      </c>
      <c r="M831" s="26" t="s">
        <v>98</v>
      </c>
      <c r="N831" s="13" t="s">
        <v>230</v>
      </c>
      <c r="O831" s="13" t="s">
        <v>272</v>
      </c>
      <c r="P831" s="13" t="s">
        <v>60</v>
      </c>
      <c r="Q831" s="13" t="s">
        <v>41</v>
      </c>
      <c r="R831" s="13" t="s">
        <v>270</v>
      </c>
      <c r="S831" s="13" t="s">
        <v>2463</v>
      </c>
      <c r="T831" s="13" t="s">
        <v>2464</v>
      </c>
      <c r="U831" s="13"/>
      <c r="V831" s="13"/>
      <c r="W831" s="13"/>
      <c r="X831" s="14"/>
      <c r="AN831" s="7" t="s">
        <v>155</v>
      </c>
      <c r="AO831" s="21">
        <f t="shared" si="40"/>
        <v>0</v>
      </c>
      <c r="AP831" s="7">
        <f t="shared" si="41"/>
        <v>12.85</v>
      </c>
      <c r="AQ831" s="31" t="str">
        <f t="shared" si="39"/>
        <v>Complete - No Adjustment</v>
      </c>
    </row>
    <row r="832" spans="1:43" x14ac:dyDescent="0.2">
      <c r="A832" s="46">
        <v>822</v>
      </c>
      <c r="B832" s="13" t="s">
        <v>266</v>
      </c>
      <c r="C832" s="13" t="s">
        <v>603</v>
      </c>
      <c r="D832" s="13" t="s">
        <v>602</v>
      </c>
      <c r="E832" s="13" t="s">
        <v>2465</v>
      </c>
      <c r="F832" s="13" t="s">
        <v>213</v>
      </c>
      <c r="G832" s="13" t="s">
        <v>111</v>
      </c>
      <c r="H832" s="16">
        <v>43992</v>
      </c>
      <c r="I832" s="16">
        <v>43999</v>
      </c>
      <c r="J832" s="22">
        <v>15</v>
      </c>
      <c r="K832" s="22">
        <v>15</v>
      </c>
      <c r="L832" s="22" t="s">
        <v>2466</v>
      </c>
      <c r="M832" s="26" t="s">
        <v>98</v>
      </c>
      <c r="N832" s="13" t="s">
        <v>230</v>
      </c>
      <c r="O832" s="13" t="s">
        <v>323</v>
      </c>
      <c r="P832" s="13" t="s">
        <v>60</v>
      </c>
      <c r="Q832" s="13" t="s">
        <v>41</v>
      </c>
      <c r="R832" s="13" t="s">
        <v>270</v>
      </c>
      <c r="S832" s="13" t="s">
        <v>2180</v>
      </c>
      <c r="T832" s="13" t="s">
        <v>2181</v>
      </c>
      <c r="U832" s="13"/>
      <c r="V832" s="13"/>
      <c r="W832" s="13"/>
      <c r="X832" s="14"/>
      <c r="AN832" s="7" t="s">
        <v>155</v>
      </c>
      <c r="AO832" s="21">
        <f t="shared" si="40"/>
        <v>0</v>
      </c>
      <c r="AP832" s="7">
        <f t="shared" si="41"/>
        <v>15</v>
      </c>
      <c r="AQ832" s="31" t="str">
        <f t="shared" si="39"/>
        <v>Complete - No Adjustment</v>
      </c>
    </row>
    <row r="833" spans="1:43" x14ac:dyDescent="0.2">
      <c r="A833" s="46">
        <v>823</v>
      </c>
      <c r="B833" s="13" t="s">
        <v>266</v>
      </c>
      <c r="C833" s="13" t="s">
        <v>395</v>
      </c>
      <c r="D833" s="13" t="s">
        <v>394</v>
      </c>
      <c r="E833" s="13" t="s">
        <v>2467</v>
      </c>
      <c r="F833" s="13" t="s">
        <v>209</v>
      </c>
      <c r="G833" s="13" t="s">
        <v>111</v>
      </c>
      <c r="H833" s="16">
        <v>43991</v>
      </c>
      <c r="I833" s="16">
        <v>43993</v>
      </c>
      <c r="J833" s="22">
        <v>58.53</v>
      </c>
      <c r="K833" s="22">
        <v>58.53</v>
      </c>
      <c r="L833" s="22" t="s">
        <v>2468</v>
      </c>
      <c r="M833" s="26" t="s">
        <v>98</v>
      </c>
      <c r="N833" s="13" t="s">
        <v>230</v>
      </c>
      <c r="O833" s="13" t="s">
        <v>288</v>
      </c>
      <c r="P833" s="13" t="s">
        <v>60</v>
      </c>
      <c r="Q833" s="13" t="s">
        <v>41</v>
      </c>
      <c r="R833" s="13" t="s">
        <v>270</v>
      </c>
      <c r="S833" s="13" t="s">
        <v>2469</v>
      </c>
      <c r="T833" s="13" t="s">
        <v>2470</v>
      </c>
      <c r="U833" s="13"/>
      <c r="V833" s="13"/>
      <c r="W833" s="13"/>
      <c r="X833" s="14"/>
      <c r="AL833" s="14">
        <v>58.53</v>
      </c>
      <c r="AN833" s="7" t="s">
        <v>146</v>
      </c>
      <c r="AO833" s="21">
        <f t="shared" si="40"/>
        <v>58.53</v>
      </c>
      <c r="AP833" s="7">
        <f t="shared" si="41"/>
        <v>0</v>
      </c>
      <c r="AQ833" s="31" t="str">
        <f t="shared" si="39"/>
        <v>Complete - With Adjustment</v>
      </c>
    </row>
    <row r="834" spans="1:43" x14ac:dyDescent="0.2">
      <c r="A834" s="46">
        <v>824</v>
      </c>
      <c r="B834" s="13" t="s">
        <v>266</v>
      </c>
      <c r="C834" s="13" t="s">
        <v>1830</v>
      </c>
      <c r="D834" s="13" t="s">
        <v>1831</v>
      </c>
      <c r="E834" s="13" t="s">
        <v>2471</v>
      </c>
      <c r="F834" s="13" t="s">
        <v>207</v>
      </c>
      <c r="G834" s="13" t="s">
        <v>111</v>
      </c>
      <c r="H834" s="16">
        <v>43978</v>
      </c>
      <c r="I834" s="16">
        <v>43987</v>
      </c>
      <c r="J834" s="22">
        <v>14.22</v>
      </c>
      <c r="K834" s="22">
        <v>14.22</v>
      </c>
      <c r="L834" s="22" t="s">
        <v>2472</v>
      </c>
      <c r="M834" s="26" t="s">
        <v>98</v>
      </c>
      <c r="N834" s="13" t="s">
        <v>230</v>
      </c>
      <c r="O834" s="13" t="s">
        <v>426</v>
      </c>
      <c r="P834" s="13" t="s">
        <v>60</v>
      </c>
      <c r="Q834" s="13" t="s">
        <v>123</v>
      </c>
      <c r="R834" s="13" t="s">
        <v>270</v>
      </c>
      <c r="S834" s="13" t="s">
        <v>2473</v>
      </c>
      <c r="T834" s="13" t="s">
        <v>2474</v>
      </c>
      <c r="U834" s="13"/>
      <c r="V834" s="13"/>
      <c r="W834" s="13"/>
      <c r="X834" s="14"/>
      <c r="AN834" s="7" t="s">
        <v>70</v>
      </c>
      <c r="AO834" s="21">
        <f t="shared" si="40"/>
        <v>0</v>
      </c>
      <c r="AP834" s="7">
        <f t="shared" si="41"/>
        <v>14.22</v>
      </c>
      <c r="AQ834" s="31" t="str">
        <f t="shared" si="39"/>
        <v>Complete - No Adjustment</v>
      </c>
    </row>
    <row r="835" spans="1:43" x14ac:dyDescent="0.2">
      <c r="A835" s="46">
        <v>825</v>
      </c>
      <c r="B835" s="13" t="s">
        <v>266</v>
      </c>
      <c r="C835" s="13" t="s">
        <v>1830</v>
      </c>
      <c r="D835" s="13" t="s">
        <v>1831</v>
      </c>
      <c r="E835" s="13" t="s">
        <v>2475</v>
      </c>
      <c r="F835" s="13" t="s">
        <v>207</v>
      </c>
      <c r="G835" s="13" t="s">
        <v>111</v>
      </c>
      <c r="H835" s="16">
        <v>43915</v>
      </c>
      <c r="I835" s="16">
        <v>43987</v>
      </c>
      <c r="J835" s="22">
        <v>17.989999999999998</v>
      </c>
      <c r="K835" s="22">
        <v>17.989999999999998</v>
      </c>
      <c r="L835" s="22" t="s">
        <v>2476</v>
      </c>
      <c r="M835" s="26" t="s">
        <v>98</v>
      </c>
      <c r="N835" s="13" t="s">
        <v>230</v>
      </c>
      <c r="O835" s="13" t="s">
        <v>426</v>
      </c>
      <c r="P835" s="13" t="s">
        <v>60</v>
      </c>
      <c r="Q835" s="13" t="s">
        <v>65</v>
      </c>
      <c r="R835" s="13" t="s">
        <v>270</v>
      </c>
      <c r="S835" s="13" t="s">
        <v>2477</v>
      </c>
      <c r="T835" s="13" t="s">
        <v>2478</v>
      </c>
      <c r="U835" s="13"/>
      <c r="V835" s="13"/>
      <c r="W835" s="13"/>
      <c r="X835" s="14"/>
      <c r="AN835" s="7" t="s">
        <v>70</v>
      </c>
      <c r="AO835" s="21">
        <f t="shared" si="40"/>
        <v>0</v>
      </c>
      <c r="AP835" s="7">
        <f t="shared" si="41"/>
        <v>17.989999999999998</v>
      </c>
      <c r="AQ835" s="31" t="str">
        <f t="shared" si="39"/>
        <v>Complete - No Adjustment</v>
      </c>
    </row>
    <row r="836" spans="1:43" x14ac:dyDescent="0.2">
      <c r="A836" s="46">
        <v>826</v>
      </c>
      <c r="B836" s="13" t="s">
        <v>266</v>
      </c>
      <c r="C836" s="13" t="s">
        <v>1830</v>
      </c>
      <c r="D836" s="13" t="s">
        <v>1831</v>
      </c>
      <c r="E836" s="13" t="s">
        <v>2479</v>
      </c>
      <c r="F836" s="13" t="s">
        <v>207</v>
      </c>
      <c r="G836" s="13" t="s">
        <v>111</v>
      </c>
      <c r="H836" s="16">
        <v>43980</v>
      </c>
      <c r="I836" s="16">
        <v>43987</v>
      </c>
      <c r="J836" s="22">
        <v>161.43</v>
      </c>
      <c r="K836" s="22">
        <v>161.43</v>
      </c>
      <c r="L836" s="22" t="s">
        <v>2480</v>
      </c>
      <c r="M836" s="26" t="s">
        <v>98</v>
      </c>
      <c r="N836" s="13" t="s">
        <v>230</v>
      </c>
      <c r="O836" s="13" t="s">
        <v>426</v>
      </c>
      <c r="P836" s="13" t="s">
        <v>60</v>
      </c>
      <c r="Q836" s="13" t="s">
        <v>123</v>
      </c>
      <c r="R836" s="13" t="s">
        <v>270</v>
      </c>
      <c r="S836" s="13" t="s">
        <v>2481</v>
      </c>
      <c r="T836" s="13" t="s">
        <v>2482</v>
      </c>
      <c r="U836" s="13"/>
      <c r="V836" s="13"/>
      <c r="W836" s="13"/>
      <c r="X836" s="14"/>
      <c r="AN836" s="7" t="s">
        <v>70</v>
      </c>
      <c r="AO836" s="21">
        <f t="shared" si="40"/>
        <v>0</v>
      </c>
      <c r="AP836" s="7">
        <f t="shared" si="41"/>
        <v>161.43</v>
      </c>
      <c r="AQ836" s="31" t="str">
        <f t="shared" si="39"/>
        <v>Complete - No Adjustment</v>
      </c>
    </row>
    <row r="837" spans="1:43" x14ac:dyDescent="0.2">
      <c r="A837" s="46">
        <v>827</v>
      </c>
      <c r="B837" s="13" t="s">
        <v>266</v>
      </c>
      <c r="C837" s="13" t="s">
        <v>401</v>
      </c>
      <c r="D837" s="13" t="s">
        <v>400</v>
      </c>
      <c r="E837" s="13" t="s">
        <v>2068</v>
      </c>
      <c r="F837" s="13" t="s">
        <v>212</v>
      </c>
      <c r="G837" s="13" t="s">
        <v>111</v>
      </c>
      <c r="H837" s="16">
        <v>44000</v>
      </c>
      <c r="I837" s="16">
        <v>44004</v>
      </c>
      <c r="J837" s="22">
        <v>46.54</v>
      </c>
      <c r="K837" s="22">
        <v>46.54</v>
      </c>
      <c r="L837" s="22"/>
      <c r="M837" s="26" t="s">
        <v>98</v>
      </c>
      <c r="N837" s="13" t="s">
        <v>230</v>
      </c>
      <c r="O837" s="13" t="s">
        <v>277</v>
      </c>
      <c r="P837" s="13" t="s">
        <v>60</v>
      </c>
      <c r="Q837" s="13" t="s">
        <v>62</v>
      </c>
      <c r="R837" s="13" t="s">
        <v>270</v>
      </c>
      <c r="S837" s="13" t="s">
        <v>2069</v>
      </c>
      <c r="T837" s="13" t="s">
        <v>2070</v>
      </c>
      <c r="U837" s="13"/>
      <c r="V837" s="13"/>
      <c r="W837" s="13"/>
      <c r="X837" s="14"/>
      <c r="AL837" s="14">
        <v>46.54</v>
      </c>
      <c r="AN837" s="7" t="s">
        <v>70</v>
      </c>
      <c r="AO837" s="21">
        <f t="shared" si="40"/>
        <v>46.54</v>
      </c>
      <c r="AP837" s="7">
        <f t="shared" si="41"/>
        <v>0</v>
      </c>
      <c r="AQ837" s="31" t="str">
        <f t="shared" si="39"/>
        <v>Complete - With Adjustment</v>
      </c>
    </row>
    <row r="838" spans="1:43" x14ac:dyDescent="0.2">
      <c r="A838" s="46">
        <v>828</v>
      </c>
      <c r="B838" s="13" t="s">
        <v>266</v>
      </c>
      <c r="C838" s="13" t="s">
        <v>401</v>
      </c>
      <c r="D838" s="13" t="s">
        <v>400</v>
      </c>
      <c r="E838" s="13" t="s">
        <v>2071</v>
      </c>
      <c r="F838" s="13" t="s">
        <v>219</v>
      </c>
      <c r="G838" s="13" t="s">
        <v>111</v>
      </c>
      <c r="H838" s="16">
        <v>43994</v>
      </c>
      <c r="I838" s="16">
        <v>43998</v>
      </c>
      <c r="J838" s="22">
        <v>59.53</v>
      </c>
      <c r="K838" s="22">
        <v>59.53</v>
      </c>
      <c r="L838" s="22"/>
      <c r="M838" s="26" t="s">
        <v>98</v>
      </c>
      <c r="N838" s="13" t="s">
        <v>230</v>
      </c>
      <c r="O838" s="13" t="s">
        <v>277</v>
      </c>
      <c r="P838" s="13" t="s">
        <v>60</v>
      </c>
      <c r="Q838" s="13" t="s">
        <v>62</v>
      </c>
      <c r="R838" s="13" t="s">
        <v>270</v>
      </c>
      <c r="S838" s="13" t="s">
        <v>2072</v>
      </c>
      <c r="T838" s="13" t="s">
        <v>2073</v>
      </c>
      <c r="U838" s="13"/>
      <c r="V838" s="13"/>
      <c r="W838" s="13"/>
      <c r="X838" s="14"/>
      <c r="AL838" s="14">
        <v>59.53</v>
      </c>
      <c r="AN838" s="7" t="s">
        <v>70</v>
      </c>
      <c r="AO838" s="21">
        <f t="shared" si="40"/>
        <v>59.53</v>
      </c>
      <c r="AP838" s="7">
        <f t="shared" si="41"/>
        <v>0</v>
      </c>
      <c r="AQ838" s="31" t="str">
        <f t="shared" si="39"/>
        <v>Complete - With Adjustment</v>
      </c>
    </row>
    <row r="839" spans="1:43" x14ac:dyDescent="0.2">
      <c r="A839" s="46">
        <v>829</v>
      </c>
      <c r="B839" s="13" t="s">
        <v>266</v>
      </c>
      <c r="C839" s="13" t="s">
        <v>401</v>
      </c>
      <c r="D839" s="13" t="s">
        <v>400</v>
      </c>
      <c r="E839" s="13" t="s">
        <v>2074</v>
      </c>
      <c r="F839" s="13" t="s">
        <v>203</v>
      </c>
      <c r="G839" s="13" t="s">
        <v>111</v>
      </c>
      <c r="H839" s="16">
        <v>43983</v>
      </c>
      <c r="I839" s="16">
        <v>43984</v>
      </c>
      <c r="J839" s="22">
        <v>234.45</v>
      </c>
      <c r="K839" s="22">
        <v>234.45</v>
      </c>
      <c r="L839" s="22"/>
      <c r="M839" s="26" t="s">
        <v>98</v>
      </c>
      <c r="N839" s="13" t="s">
        <v>230</v>
      </c>
      <c r="O839" s="13" t="s">
        <v>277</v>
      </c>
      <c r="P839" s="13" t="s">
        <v>60</v>
      </c>
      <c r="Q839" s="13" t="s">
        <v>62</v>
      </c>
      <c r="R839" s="13" t="s">
        <v>270</v>
      </c>
      <c r="S839" s="13" t="s">
        <v>2075</v>
      </c>
      <c r="T839" s="13" t="s">
        <v>2076</v>
      </c>
      <c r="U839" s="13"/>
      <c r="V839" s="13"/>
      <c r="W839" s="13"/>
      <c r="X839" s="14"/>
      <c r="AL839" s="14">
        <v>234.45</v>
      </c>
      <c r="AN839" s="7" t="s">
        <v>70</v>
      </c>
      <c r="AO839" s="21">
        <f t="shared" si="40"/>
        <v>234.45</v>
      </c>
      <c r="AP839" s="7">
        <f t="shared" si="41"/>
        <v>0</v>
      </c>
      <c r="AQ839" s="31" t="str">
        <f t="shared" si="39"/>
        <v>Complete - With Adjustment</v>
      </c>
    </row>
    <row r="840" spans="1:43" x14ac:dyDescent="0.2">
      <c r="A840" s="46">
        <v>830</v>
      </c>
      <c r="B840" s="13" t="s">
        <v>266</v>
      </c>
      <c r="C840" s="13" t="s">
        <v>2483</v>
      </c>
      <c r="D840" s="13" t="s">
        <v>2484</v>
      </c>
      <c r="E840" s="13" t="s">
        <v>2485</v>
      </c>
      <c r="F840" s="13" t="s">
        <v>213</v>
      </c>
      <c r="G840" s="13" t="s">
        <v>111</v>
      </c>
      <c r="H840" s="16">
        <v>43997</v>
      </c>
      <c r="I840" s="16">
        <v>43999</v>
      </c>
      <c r="J840" s="22">
        <v>10.050000000000001</v>
      </c>
      <c r="K840" s="22">
        <v>10.050000000000001</v>
      </c>
      <c r="L840" s="22" t="s">
        <v>2486</v>
      </c>
      <c r="M840" s="26" t="s">
        <v>98</v>
      </c>
      <c r="N840" s="13" t="s">
        <v>230</v>
      </c>
      <c r="O840" s="13" t="s">
        <v>365</v>
      </c>
      <c r="P840" s="13" t="s">
        <v>60</v>
      </c>
      <c r="Q840" s="13" t="s">
        <v>46</v>
      </c>
      <c r="R840" s="13" t="s">
        <v>270</v>
      </c>
      <c r="S840" s="13" t="s">
        <v>2487</v>
      </c>
      <c r="T840" s="13" t="s">
        <v>2488</v>
      </c>
      <c r="U840" s="13"/>
      <c r="V840" s="13"/>
      <c r="W840" s="13"/>
      <c r="X840" s="14"/>
      <c r="AN840" s="7" t="s">
        <v>155</v>
      </c>
      <c r="AO840" s="21">
        <f t="shared" si="40"/>
        <v>0</v>
      </c>
      <c r="AP840" s="7">
        <f t="shared" si="41"/>
        <v>10.050000000000001</v>
      </c>
      <c r="AQ840" s="31" t="str">
        <f t="shared" si="39"/>
        <v>Complete - No Adjustment</v>
      </c>
    </row>
    <row r="841" spans="1:43" x14ac:dyDescent="0.2">
      <c r="A841" s="46">
        <v>831</v>
      </c>
      <c r="B841" s="13" t="s">
        <v>266</v>
      </c>
      <c r="C841" s="13" t="s">
        <v>783</v>
      </c>
      <c r="D841" s="13" t="s">
        <v>782</v>
      </c>
      <c r="E841" s="13" t="s">
        <v>2489</v>
      </c>
      <c r="F841" s="13" t="s">
        <v>208</v>
      </c>
      <c r="G841" s="13" t="s">
        <v>111</v>
      </c>
      <c r="H841" s="16">
        <v>43998</v>
      </c>
      <c r="I841" s="16">
        <v>44000</v>
      </c>
      <c r="J841" s="22">
        <v>15</v>
      </c>
      <c r="K841" s="22">
        <v>15</v>
      </c>
      <c r="L841" s="22" t="s">
        <v>2490</v>
      </c>
      <c r="M841" s="26" t="s">
        <v>98</v>
      </c>
      <c r="N841" s="13" t="s">
        <v>230</v>
      </c>
      <c r="O841" s="13" t="s">
        <v>365</v>
      </c>
      <c r="P841" s="13" t="s">
        <v>60</v>
      </c>
      <c r="Q841" s="13" t="s">
        <v>41</v>
      </c>
      <c r="R841" s="13" t="s">
        <v>270</v>
      </c>
      <c r="S841" s="13" t="s">
        <v>2491</v>
      </c>
      <c r="T841" s="13" t="s">
        <v>2492</v>
      </c>
      <c r="U841" s="13"/>
      <c r="V841" s="13"/>
      <c r="W841" s="13"/>
      <c r="X841" s="14"/>
      <c r="AN841" s="7" t="s">
        <v>155</v>
      </c>
      <c r="AO841" s="21">
        <f t="shared" si="40"/>
        <v>0</v>
      </c>
      <c r="AP841" s="7">
        <f t="shared" si="41"/>
        <v>15</v>
      </c>
      <c r="AQ841" s="31" t="str">
        <f t="shared" si="39"/>
        <v>Complete - No Adjustment</v>
      </c>
    </row>
    <row r="842" spans="1:43" x14ac:dyDescent="0.2">
      <c r="A842" s="46">
        <v>832</v>
      </c>
      <c r="B842" s="13" t="s">
        <v>266</v>
      </c>
      <c r="C842" s="13" t="s">
        <v>765</v>
      </c>
      <c r="D842" s="13" t="s">
        <v>764</v>
      </c>
      <c r="E842" s="13" t="s">
        <v>2493</v>
      </c>
      <c r="F842" s="13" t="s">
        <v>206</v>
      </c>
      <c r="G842" s="13" t="s">
        <v>111</v>
      </c>
      <c r="H842" s="16">
        <v>43991</v>
      </c>
      <c r="I842" s="16">
        <v>43992</v>
      </c>
      <c r="J842" s="22">
        <v>15</v>
      </c>
      <c r="K842" s="22">
        <v>7.5</v>
      </c>
      <c r="L842" s="22" t="s">
        <v>2494</v>
      </c>
      <c r="M842" s="26" t="s">
        <v>98</v>
      </c>
      <c r="N842" s="13" t="s">
        <v>230</v>
      </c>
      <c r="O842" s="13" t="s">
        <v>533</v>
      </c>
      <c r="P842" s="13" t="s">
        <v>60</v>
      </c>
      <c r="Q842" s="13" t="s">
        <v>46</v>
      </c>
      <c r="R842" s="13" t="s">
        <v>270</v>
      </c>
      <c r="S842" s="13" t="s">
        <v>2495</v>
      </c>
      <c r="T842" s="13" t="s">
        <v>2496</v>
      </c>
      <c r="U842" s="13"/>
      <c r="V842" s="13"/>
      <c r="W842" s="13"/>
      <c r="X842" s="14"/>
      <c r="AL842" s="14">
        <v>7.5</v>
      </c>
      <c r="AN842" s="7" t="s">
        <v>167</v>
      </c>
      <c r="AO842" s="21">
        <f t="shared" si="40"/>
        <v>7.5</v>
      </c>
      <c r="AP842" s="7">
        <f t="shared" si="41"/>
        <v>0</v>
      </c>
      <c r="AQ842" s="31" t="str">
        <f t="shared" si="39"/>
        <v>Complete - With Adjustment</v>
      </c>
    </row>
    <row r="843" spans="1:43" x14ac:dyDescent="0.2">
      <c r="A843" s="46">
        <v>833</v>
      </c>
      <c r="B843" s="13" t="s">
        <v>266</v>
      </c>
      <c r="C843" s="13" t="s">
        <v>703</v>
      </c>
      <c r="D843" s="13" t="s">
        <v>702</v>
      </c>
      <c r="E843" s="13" t="s">
        <v>2497</v>
      </c>
      <c r="F843" s="13" t="s">
        <v>213</v>
      </c>
      <c r="G843" s="13" t="s">
        <v>111</v>
      </c>
      <c r="H843" s="16">
        <v>43997</v>
      </c>
      <c r="I843" s="16">
        <v>43999</v>
      </c>
      <c r="J843" s="22">
        <v>87.13</v>
      </c>
      <c r="K843" s="22">
        <v>31.59</v>
      </c>
      <c r="L843" s="22" t="s">
        <v>2498</v>
      </c>
      <c r="M843" s="26" t="s">
        <v>98</v>
      </c>
      <c r="N843" s="13" t="s">
        <v>230</v>
      </c>
      <c r="O843" s="13" t="s">
        <v>78</v>
      </c>
      <c r="P843" s="13" t="s">
        <v>60</v>
      </c>
      <c r="Q843" s="13" t="s">
        <v>41</v>
      </c>
      <c r="R843" s="13" t="s">
        <v>270</v>
      </c>
      <c r="S843" s="13" t="s">
        <v>2499</v>
      </c>
      <c r="T843" s="13" t="s">
        <v>2500</v>
      </c>
      <c r="U843" s="13"/>
      <c r="V843" s="13"/>
      <c r="W843" s="13"/>
      <c r="X843" s="14"/>
      <c r="AN843" s="7" t="s">
        <v>155</v>
      </c>
      <c r="AO843" s="21">
        <f t="shared" si="40"/>
        <v>0</v>
      </c>
      <c r="AP843" s="7">
        <f t="shared" si="41"/>
        <v>31.59</v>
      </c>
      <c r="AQ843" s="31" t="str">
        <f t="shared" si="39"/>
        <v>Complete - No Adjustment</v>
      </c>
    </row>
    <row r="844" spans="1:43" x14ac:dyDescent="0.2">
      <c r="A844" s="46">
        <v>834</v>
      </c>
      <c r="B844" s="13" t="s">
        <v>266</v>
      </c>
      <c r="C844" s="13" t="s">
        <v>703</v>
      </c>
      <c r="D844" s="13" t="s">
        <v>702</v>
      </c>
      <c r="E844" s="13" t="s">
        <v>2497</v>
      </c>
      <c r="F844" s="13" t="s">
        <v>213</v>
      </c>
      <c r="G844" s="13" t="s">
        <v>111</v>
      </c>
      <c r="H844" s="16">
        <v>43997</v>
      </c>
      <c r="I844" s="16">
        <v>43999</v>
      </c>
      <c r="J844" s="22">
        <v>87.13</v>
      </c>
      <c r="K844" s="22">
        <v>33.04</v>
      </c>
      <c r="L844" s="22" t="s">
        <v>2498</v>
      </c>
      <c r="M844" s="26" t="s">
        <v>98</v>
      </c>
      <c r="N844" s="13" t="s">
        <v>230</v>
      </c>
      <c r="O844" s="13" t="s">
        <v>78</v>
      </c>
      <c r="P844" s="13" t="s">
        <v>60</v>
      </c>
      <c r="Q844" s="13" t="s">
        <v>41</v>
      </c>
      <c r="R844" s="13" t="s">
        <v>270</v>
      </c>
      <c r="S844" s="13" t="s">
        <v>2499</v>
      </c>
      <c r="T844" s="13" t="s">
        <v>2501</v>
      </c>
      <c r="U844" s="13"/>
      <c r="V844" s="13"/>
      <c r="W844" s="13"/>
      <c r="X844" s="14"/>
      <c r="AC844" s="53">
        <f>33.04-25*1.0825*1.2</f>
        <v>0.56499999999999773</v>
      </c>
      <c r="AN844" s="7" t="s">
        <v>1132</v>
      </c>
      <c r="AO844" s="21">
        <f t="shared" si="40"/>
        <v>0.56499999999999773</v>
      </c>
      <c r="AP844" s="7">
        <f t="shared" si="41"/>
        <v>32.475000000000001</v>
      </c>
      <c r="AQ844" s="31" t="str">
        <f t="shared" si="39"/>
        <v>Complete - With Adjustment</v>
      </c>
    </row>
    <row r="845" spans="1:43" x14ac:dyDescent="0.2">
      <c r="A845" s="46">
        <v>835</v>
      </c>
      <c r="B845" s="13" t="s">
        <v>266</v>
      </c>
      <c r="C845" s="13" t="s">
        <v>703</v>
      </c>
      <c r="D845" s="13" t="s">
        <v>702</v>
      </c>
      <c r="E845" s="13" t="s">
        <v>2497</v>
      </c>
      <c r="F845" s="13" t="s">
        <v>213</v>
      </c>
      <c r="G845" s="13" t="s">
        <v>111</v>
      </c>
      <c r="H845" s="16">
        <v>43997</v>
      </c>
      <c r="I845" s="16">
        <v>43999</v>
      </c>
      <c r="J845" s="22">
        <v>87.13</v>
      </c>
      <c r="K845" s="22">
        <v>22.5</v>
      </c>
      <c r="L845" s="22" t="s">
        <v>2498</v>
      </c>
      <c r="M845" s="26" t="s">
        <v>97</v>
      </c>
      <c r="N845" s="13" t="s">
        <v>230</v>
      </c>
      <c r="O845" s="13" t="s">
        <v>78</v>
      </c>
      <c r="P845" s="13" t="s">
        <v>42</v>
      </c>
      <c r="Q845" s="13" t="s">
        <v>41</v>
      </c>
      <c r="R845" s="13" t="s">
        <v>270</v>
      </c>
      <c r="S845" s="13" t="s">
        <v>2499</v>
      </c>
      <c r="T845" s="13" t="s">
        <v>2502</v>
      </c>
      <c r="U845" s="13"/>
      <c r="V845" s="13"/>
      <c r="W845" s="13"/>
      <c r="X845" s="14"/>
      <c r="AI845" s="53">
        <v>22.5</v>
      </c>
      <c r="AN845" s="7" t="s">
        <v>145</v>
      </c>
      <c r="AO845" s="21">
        <f t="shared" si="40"/>
        <v>22.5</v>
      </c>
      <c r="AP845" s="7">
        <f t="shared" si="41"/>
        <v>0</v>
      </c>
      <c r="AQ845" s="31" t="str">
        <f t="shared" si="39"/>
        <v>Complete - With Adjustment</v>
      </c>
    </row>
    <row r="846" spans="1:43" x14ac:dyDescent="0.2">
      <c r="A846" s="46">
        <v>836</v>
      </c>
      <c r="B846" s="13" t="s">
        <v>266</v>
      </c>
      <c r="C846" s="13" t="s">
        <v>542</v>
      </c>
      <c r="D846" s="13" t="s">
        <v>541</v>
      </c>
      <c r="E846" s="13" t="s">
        <v>2503</v>
      </c>
      <c r="F846" s="13" t="s">
        <v>206</v>
      </c>
      <c r="G846" s="13" t="s">
        <v>111</v>
      </c>
      <c r="H846" s="16">
        <v>43990</v>
      </c>
      <c r="I846" s="16">
        <v>43992</v>
      </c>
      <c r="J846" s="22">
        <v>109.94</v>
      </c>
      <c r="K846" s="22">
        <v>109.94</v>
      </c>
      <c r="L846" s="22" t="s">
        <v>2504</v>
      </c>
      <c r="M846" s="26" t="s">
        <v>98</v>
      </c>
      <c r="N846" s="13" t="s">
        <v>230</v>
      </c>
      <c r="O846" s="13" t="s">
        <v>277</v>
      </c>
      <c r="P846" s="13" t="s">
        <v>60</v>
      </c>
      <c r="Q846" s="13" t="s">
        <v>62</v>
      </c>
      <c r="R846" s="13" t="s">
        <v>270</v>
      </c>
      <c r="S846" s="13" t="s">
        <v>2505</v>
      </c>
      <c r="T846" s="13" t="s">
        <v>2506</v>
      </c>
      <c r="U846" s="13"/>
      <c r="V846" s="13"/>
      <c r="W846" s="13"/>
      <c r="X846" s="14"/>
      <c r="AN846" s="7" t="s">
        <v>155</v>
      </c>
      <c r="AO846" s="21">
        <f t="shared" si="40"/>
        <v>0</v>
      </c>
      <c r="AP846" s="7">
        <f t="shared" si="41"/>
        <v>109.94</v>
      </c>
      <c r="AQ846" s="31" t="str">
        <f t="shared" si="39"/>
        <v>Complete - No Adjustment</v>
      </c>
    </row>
    <row r="847" spans="1:43" x14ac:dyDescent="0.2">
      <c r="A847" s="46">
        <v>837</v>
      </c>
      <c r="B847" s="13" t="s">
        <v>266</v>
      </c>
      <c r="C847" s="13" t="s">
        <v>410</v>
      </c>
      <c r="D847" s="13" t="s">
        <v>409</v>
      </c>
      <c r="E847" s="13" t="s">
        <v>2507</v>
      </c>
      <c r="F847" s="13" t="s">
        <v>209</v>
      </c>
      <c r="G847" s="13" t="s">
        <v>111</v>
      </c>
      <c r="H847" s="16">
        <v>43992</v>
      </c>
      <c r="I847" s="16">
        <v>43993</v>
      </c>
      <c r="J847" s="22">
        <v>30</v>
      </c>
      <c r="K847" s="22">
        <v>15</v>
      </c>
      <c r="L847" s="22" t="s">
        <v>2508</v>
      </c>
      <c r="M847" s="26" t="s">
        <v>98</v>
      </c>
      <c r="N847" s="13" t="s">
        <v>230</v>
      </c>
      <c r="O847" s="13" t="s">
        <v>292</v>
      </c>
      <c r="P847" s="13" t="s">
        <v>60</v>
      </c>
      <c r="Q847" s="13" t="s">
        <v>41</v>
      </c>
      <c r="R847" s="13" t="s">
        <v>270</v>
      </c>
      <c r="S847" s="13" t="s">
        <v>2509</v>
      </c>
      <c r="T847" s="13" t="s">
        <v>2510</v>
      </c>
      <c r="U847" s="13"/>
      <c r="V847" s="13"/>
      <c r="W847" s="13"/>
      <c r="X847" s="14"/>
      <c r="AN847" s="7" t="s">
        <v>155</v>
      </c>
      <c r="AO847" s="21">
        <f t="shared" si="40"/>
        <v>0</v>
      </c>
      <c r="AP847" s="7">
        <f t="shared" si="41"/>
        <v>15</v>
      </c>
      <c r="AQ847" s="31" t="str">
        <f t="shared" si="39"/>
        <v>Complete - No Adjustment</v>
      </c>
    </row>
    <row r="848" spans="1:43" x14ac:dyDescent="0.2">
      <c r="A848" s="46">
        <v>838</v>
      </c>
      <c r="B848" s="13" t="s">
        <v>266</v>
      </c>
      <c r="C848" s="13" t="s">
        <v>410</v>
      </c>
      <c r="D848" s="13" t="s">
        <v>409</v>
      </c>
      <c r="E848" s="13" t="s">
        <v>2507</v>
      </c>
      <c r="F848" s="13" t="s">
        <v>209</v>
      </c>
      <c r="G848" s="13" t="s">
        <v>111</v>
      </c>
      <c r="H848" s="16">
        <v>43992</v>
      </c>
      <c r="I848" s="16">
        <v>43993</v>
      </c>
      <c r="J848" s="22">
        <v>30</v>
      </c>
      <c r="K848" s="22">
        <v>15</v>
      </c>
      <c r="L848" s="22" t="s">
        <v>2508</v>
      </c>
      <c r="M848" s="26" t="s">
        <v>98</v>
      </c>
      <c r="N848" s="13" t="s">
        <v>230</v>
      </c>
      <c r="O848" s="13" t="s">
        <v>673</v>
      </c>
      <c r="P848" s="13" t="s">
        <v>60</v>
      </c>
      <c r="Q848" s="13" t="s">
        <v>41</v>
      </c>
      <c r="R848" s="13" t="s">
        <v>270</v>
      </c>
      <c r="S848" s="13" t="s">
        <v>2509</v>
      </c>
      <c r="T848" s="13" t="s">
        <v>2510</v>
      </c>
      <c r="U848" s="13"/>
      <c r="V848" s="13"/>
      <c r="W848" s="13"/>
      <c r="X848" s="14"/>
      <c r="AN848" s="7" t="s">
        <v>155</v>
      </c>
      <c r="AO848" s="21">
        <f t="shared" si="40"/>
        <v>0</v>
      </c>
      <c r="AP848" s="7">
        <f t="shared" si="41"/>
        <v>15</v>
      </c>
      <c r="AQ848" s="31" t="str">
        <f t="shared" si="39"/>
        <v>Complete - No Adjustment</v>
      </c>
    </row>
    <row r="849" spans="1:43" x14ac:dyDescent="0.2">
      <c r="A849" s="46">
        <v>839</v>
      </c>
      <c r="B849" s="13" t="s">
        <v>266</v>
      </c>
      <c r="C849" s="13" t="s">
        <v>412</v>
      </c>
      <c r="D849" s="13" t="s">
        <v>411</v>
      </c>
      <c r="E849" s="13" t="s">
        <v>2511</v>
      </c>
      <c r="F849" s="13" t="s">
        <v>202</v>
      </c>
      <c r="G849" s="13" t="s">
        <v>111</v>
      </c>
      <c r="H849" s="16">
        <v>43979</v>
      </c>
      <c r="I849" s="16">
        <v>43983</v>
      </c>
      <c r="J849" s="22">
        <v>63.3</v>
      </c>
      <c r="K849" s="22">
        <v>20.98</v>
      </c>
      <c r="L849" s="22" t="s">
        <v>2512</v>
      </c>
      <c r="M849" s="26" t="s">
        <v>98</v>
      </c>
      <c r="N849" s="13" t="s">
        <v>230</v>
      </c>
      <c r="O849" s="13" t="s">
        <v>288</v>
      </c>
      <c r="P849" s="13" t="s">
        <v>60</v>
      </c>
      <c r="Q849" s="13" t="s">
        <v>41</v>
      </c>
      <c r="R849" s="13" t="s">
        <v>270</v>
      </c>
      <c r="S849" s="13" t="s">
        <v>2513</v>
      </c>
      <c r="T849" s="13" t="s">
        <v>2514</v>
      </c>
      <c r="U849" s="13"/>
      <c r="V849" s="13"/>
      <c r="W849" s="13"/>
      <c r="X849" s="14"/>
      <c r="AC849" s="53">
        <f>20.98-16.98*1.2</f>
        <v>0.6039999999999992</v>
      </c>
      <c r="AN849" s="7" t="s">
        <v>67</v>
      </c>
      <c r="AO849" s="21">
        <f t="shared" si="40"/>
        <v>0.6039999999999992</v>
      </c>
      <c r="AP849" s="7">
        <f t="shared" si="41"/>
        <v>20.376000000000001</v>
      </c>
      <c r="AQ849" s="31" t="str">
        <f t="shared" si="39"/>
        <v>Complete - With Adjustment</v>
      </c>
    </row>
    <row r="850" spans="1:43" x14ac:dyDescent="0.2">
      <c r="A850" s="46">
        <v>840</v>
      </c>
      <c r="B850" s="13" t="s">
        <v>266</v>
      </c>
      <c r="C850" s="13" t="s">
        <v>412</v>
      </c>
      <c r="D850" s="13" t="s">
        <v>411</v>
      </c>
      <c r="E850" s="13" t="s">
        <v>2511</v>
      </c>
      <c r="F850" s="13" t="s">
        <v>202</v>
      </c>
      <c r="G850" s="13" t="s">
        <v>111</v>
      </c>
      <c r="H850" s="16">
        <v>43979</v>
      </c>
      <c r="I850" s="16">
        <v>43983</v>
      </c>
      <c r="J850" s="22">
        <v>63.3</v>
      </c>
      <c r="K850" s="22">
        <v>15.8</v>
      </c>
      <c r="L850" s="22" t="s">
        <v>2512</v>
      </c>
      <c r="M850" s="26" t="s">
        <v>98</v>
      </c>
      <c r="N850" s="13" t="s">
        <v>230</v>
      </c>
      <c r="O850" s="13" t="s">
        <v>288</v>
      </c>
      <c r="P850" s="13" t="s">
        <v>60</v>
      </c>
      <c r="Q850" s="13" t="s">
        <v>41</v>
      </c>
      <c r="R850" s="13" t="s">
        <v>270</v>
      </c>
      <c r="S850" s="13" t="s">
        <v>2513</v>
      </c>
      <c r="T850" s="13" t="s">
        <v>2514</v>
      </c>
      <c r="U850" s="13"/>
      <c r="V850" s="13"/>
      <c r="W850" s="13"/>
      <c r="X850" s="14"/>
      <c r="AN850" s="7" t="s">
        <v>70</v>
      </c>
      <c r="AO850" s="21">
        <f t="shared" si="40"/>
        <v>0</v>
      </c>
      <c r="AP850" s="7">
        <f t="shared" si="41"/>
        <v>15.8</v>
      </c>
      <c r="AQ850" s="31" t="str">
        <f t="shared" si="39"/>
        <v>Complete - No Adjustment</v>
      </c>
    </row>
    <row r="851" spans="1:43" x14ac:dyDescent="0.2">
      <c r="A851" s="46">
        <v>841</v>
      </c>
      <c r="B851" s="13" t="s">
        <v>266</v>
      </c>
      <c r="C851" s="13" t="s">
        <v>412</v>
      </c>
      <c r="D851" s="13" t="s">
        <v>411</v>
      </c>
      <c r="E851" s="13" t="s">
        <v>2511</v>
      </c>
      <c r="F851" s="13" t="s">
        <v>202</v>
      </c>
      <c r="G851" s="13" t="s">
        <v>111</v>
      </c>
      <c r="H851" s="16">
        <v>43979</v>
      </c>
      <c r="I851" s="16">
        <v>43983</v>
      </c>
      <c r="J851" s="22">
        <v>63.3</v>
      </c>
      <c r="K851" s="22">
        <v>13.53</v>
      </c>
      <c r="L851" s="22" t="s">
        <v>2512</v>
      </c>
      <c r="M851" s="26" t="s">
        <v>98</v>
      </c>
      <c r="N851" s="13" t="s">
        <v>230</v>
      </c>
      <c r="O851" s="13" t="s">
        <v>288</v>
      </c>
      <c r="P851" s="13" t="s">
        <v>60</v>
      </c>
      <c r="Q851" s="13" t="s">
        <v>41</v>
      </c>
      <c r="R851" s="13" t="s">
        <v>270</v>
      </c>
      <c r="S851" s="13" t="s">
        <v>2513</v>
      </c>
      <c r="T851" s="13" t="s">
        <v>2514</v>
      </c>
      <c r="U851" s="13"/>
      <c r="V851" s="13"/>
      <c r="W851" s="13"/>
      <c r="X851" s="14"/>
      <c r="AN851" s="7" t="s">
        <v>70</v>
      </c>
      <c r="AO851" s="21">
        <f t="shared" si="40"/>
        <v>0</v>
      </c>
      <c r="AP851" s="7">
        <f t="shared" si="41"/>
        <v>13.53</v>
      </c>
      <c r="AQ851" s="31" t="str">
        <f t="shared" si="39"/>
        <v>Complete - No Adjustment</v>
      </c>
    </row>
    <row r="852" spans="1:43" x14ac:dyDescent="0.2">
      <c r="A852" s="46">
        <v>842</v>
      </c>
      <c r="B852" s="13" t="s">
        <v>266</v>
      </c>
      <c r="C852" s="13" t="s">
        <v>412</v>
      </c>
      <c r="D852" s="13" t="s">
        <v>411</v>
      </c>
      <c r="E852" s="13" t="s">
        <v>2511</v>
      </c>
      <c r="F852" s="13" t="s">
        <v>202</v>
      </c>
      <c r="G852" s="13" t="s">
        <v>111</v>
      </c>
      <c r="H852" s="16">
        <v>43979</v>
      </c>
      <c r="I852" s="16">
        <v>43983</v>
      </c>
      <c r="J852" s="22">
        <v>63.3</v>
      </c>
      <c r="K852" s="22">
        <v>12.99</v>
      </c>
      <c r="L852" s="22" t="s">
        <v>2512</v>
      </c>
      <c r="M852" s="26" t="s">
        <v>98</v>
      </c>
      <c r="N852" s="13" t="s">
        <v>230</v>
      </c>
      <c r="O852" s="13" t="s">
        <v>288</v>
      </c>
      <c r="P852" s="13" t="s">
        <v>60</v>
      </c>
      <c r="Q852" s="13" t="s">
        <v>41</v>
      </c>
      <c r="R852" s="13" t="s">
        <v>270</v>
      </c>
      <c r="S852" s="13" t="s">
        <v>2513</v>
      </c>
      <c r="T852" s="13" t="s">
        <v>2514</v>
      </c>
      <c r="U852" s="13"/>
      <c r="V852" s="13"/>
      <c r="W852" s="13"/>
      <c r="X852" s="14"/>
      <c r="AN852" s="7" t="s">
        <v>70</v>
      </c>
      <c r="AO852" s="21">
        <f t="shared" si="40"/>
        <v>0</v>
      </c>
      <c r="AP852" s="7">
        <f t="shared" si="41"/>
        <v>12.99</v>
      </c>
      <c r="AQ852" s="31" t="str">
        <f t="shared" si="39"/>
        <v>Complete - No Adjustment</v>
      </c>
    </row>
    <row r="853" spans="1:43" x14ac:dyDescent="0.2">
      <c r="A853" s="46">
        <v>843</v>
      </c>
      <c r="B853" s="13" t="s">
        <v>266</v>
      </c>
      <c r="C853" s="13" t="s">
        <v>676</v>
      </c>
      <c r="D853" s="13" t="s">
        <v>2515</v>
      </c>
      <c r="E853" s="13" t="s">
        <v>2516</v>
      </c>
      <c r="F853" s="13" t="s">
        <v>213</v>
      </c>
      <c r="G853" s="13" t="s">
        <v>111</v>
      </c>
      <c r="H853" s="16">
        <v>43909</v>
      </c>
      <c r="I853" s="16">
        <v>43999</v>
      </c>
      <c r="J853" s="22">
        <v>125</v>
      </c>
      <c r="K853" s="22">
        <v>125</v>
      </c>
      <c r="L853" s="22" t="s">
        <v>2517</v>
      </c>
      <c r="M853" s="26" t="s">
        <v>98</v>
      </c>
      <c r="N853" s="13" t="s">
        <v>230</v>
      </c>
      <c r="O853" s="13" t="s">
        <v>78</v>
      </c>
      <c r="P853" s="13" t="s">
        <v>60</v>
      </c>
      <c r="Q853" s="13" t="s">
        <v>174</v>
      </c>
      <c r="R853" s="13" t="s">
        <v>270</v>
      </c>
      <c r="S853" s="13" t="s">
        <v>2518</v>
      </c>
      <c r="T853" s="13" t="s">
        <v>2519</v>
      </c>
      <c r="U853" s="13"/>
      <c r="V853" s="13"/>
      <c r="W853" s="13"/>
      <c r="X853" s="14"/>
      <c r="AN853" s="7" t="s">
        <v>70</v>
      </c>
      <c r="AO853" s="21">
        <f t="shared" si="40"/>
        <v>0</v>
      </c>
      <c r="AP853" s="7">
        <f t="shared" si="41"/>
        <v>125</v>
      </c>
      <c r="AQ853" s="31" t="str">
        <f t="shared" si="39"/>
        <v>Complete - No Adjustment</v>
      </c>
    </row>
    <row r="854" spans="1:43" x14ac:dyDescent="0.2">
      <c r="A854" s="46">
        <v>844</v>
      </c>
      <c r="B854" s="13" t="s">
        <v>266</v>
      </c>
      <c r="C854" s="13" t="s">
        <v>414</v>
      </c>
      <c r="D854" s="13" t="s">
        <v>413</v>
      </c>
      <c r="E854" s="13" t="s">
        <v>2520</v>
      </c>
      <c r="F854" s="13" t="s">
        <v>213</v>
      </c>
      <c r="G854" s="13" t="s">
        <v>111</v>
      </c>
      <c r="H854" s="16">
        <v>43957</v>
      </c>
      <c r="I854" s="16">
        <v>43999</v>
      </c>
      <c r="J854" s="22">
        <v>46.7</v>
      </c>
      <c r="K854" s="22">
        <v>22.32</v>
      </c>
      <c r="L854" s="22" t="s">
        <v>2521</v>
      </c>
      <c r="M854" s="26" t="s">
        <v>98</v>
      </c>
      <c r="N854" s="13" t="s">
        <v>230</v>
      </c>
      <c r="O854" s="13" t="s">
        <v>317</v>
      </c>
      <c r="P854" s="13" t="s">
        <v>60</v>
      </c>
      <c r="Q854" s="13" t="s">
        <v>41</v>
      </c>
      <c r="R854" s="13" t="s">
        <v>270</v>
      </c>
      <c r="S854" s="13" t="s">
        <v>2522</v>
      </c>
      <c r="T854" s="13" t="s">
        <v>1869</v>
      </c>
      <c r="U854" s="13"/>
      <c r="V854" s="13"/>
      <c r="W854" s="13"/>
      <c r="X854" s="14"/>
      <c r="AN854" s="7" t="s">
        <v>70</v>
      </c>
      <c r="AO854" s="21">
        <f t="shared" si="40"/>
        <v>0</v>
      </c>
      <c r="AP854" s="7">
        <f t="shared" si="41"/>
        <v>22.32</v>
      </c>
      <c r="AQ854" s="31" t="str">
        <f t="shared" ref="AQ854:AQ917" si="42">IF(AO854&lt;&gt;0,"Complete - With Adjustment","Complete - No Adjustment")</f>
        <v>Complete - No Adjustment</v>
      </c>
    </row>
    <row r="855" spans="1:43" x14ac:dyDescent="0.2">
      <c r="A855" s="46">
        <v>845</v>
      </c>
      <c r="B855" s="13" t="s">
        <v>266</v>
      </c>
      <c r="C855" s="13" t="s">
        <v>414</v>
      </c>
      <c r="D855" s="13" t="s">
        <v>413</v>
      </c>
      <c r="E855" s="13" t="s">
        <v>2520</v>
      </c>
      <c r="F855" s="13" t="s">
        <v>213</v>
      </c>
      <c r="G855" s="13" t="s">
        <v>111</v>
      </c>
      <c r="H855" s="16">
        <v>43957</v>
      </c>
      <c r="I855" s="16">
        <v>43999</v>
      </c>
      <c r="J855" s="22">
        <v>46.7</v>
      </c>
      <c r="K855" s="22">
        <v>24.38</v>
      </c>
      <c r="L855" s="22" t="s">
        <v>2521</v>
      </c>
      <c r="M855" s="26" t="s">
        <v>98</v>
      </c>
      <c r="N855" s="13" t="s">
        <v>230</v>
      </c>
      <c r="O855" s="13" t="s">
        <v>317</v>
      </c>
      <c r="P855" s="13" t="s">
        <v>60</v>
      </c>
      <c r="Q855" s="13" t="s">
        <v>41</v>
      </c>
      <c r="R855" s="13" t="s">
        <v>270</v>
      </c>
      <c r="S855" s="13" t="s">
        <v>2522</v>
      </c>
      <c r="T855" s="13" t="s">
        <v>1869</v>
      </c>
      <c r="U855" s="13"/>
      <c r="V855" s="13"/>
      <c r="W855" s="13"/>
      <c r="X855" s="14"/>
      <c r="AN855" s="7" t="s">
        <v>70</v>
      </c>
      <c r="AO855" s="21">
        <f t="shared" si="40"/>
        <v>0</v>
      </c>
      <c r="AP855" s="7">
        <f t="shared" si="41"/>
        <v>24.38</v>
      </c>
      <c r="AQ855" s="31" t="str">
        <f t="shared" si="42"/>
        <v>Complete - No Adjustment</v>
      </c>
    </row>
    <row r="856" spans="1:43" x14ac:dyDescent="0.2">
      <c r="A856" s="46">
        <v>846</v>
      </c>
      <c r="B856" s="13" t="s">
        <v>266</v>
      </c>
      <c r="C856" s="13" t="s">
        <v>2523</v>
      </c>
      <c r="D856" s="13" t="s">
        <v>2524</v>
      </c>
      <c r="E856" s="13" t="s">
        <v>2525</v>
      </c>
      <c r="F856" s="13" t="s">
        <v>211</v>
      </c>
      <c r="G856" s="13" t="s">
        <v>111</v>
      </c>
      <c r="H856" s="16">
        <v>43992</v>
      </c>
      <c r="I856" s="16">
        <v>43994</v>
      </c>
      <c r="J856" s="22">
        <v>9.75</v>
      </c>
      <c r="K856" s="22">
        <v>9.75</v>
      </c>
      <c r="L856" s="22" t="s">
        <v>2526</v>
      </c>
      <c r="M856" s="26" t="s">
        <v>98</v>
      </c>
      <c r="N856" s="13" t="s">
        <v>230</v>
      </c>
      <c r="O856" s="13" t="s">
        <v>397</v>
      </c>
      <c r="P856" s="13" t="s">
        <v>60</v>
      </c>
      <c r="Q856" s="13" t="s">
        <v>41</v>
      </c>
      <c r="R856" s="13" t="s">
        <v>270</v>
      </c>
      <c r="S856" s="13" t="s">
        <v>2527</v>
      </c>
      <c r="T856" s="13" t="s">
        <v>2528</v>
      </c>
      <c r="U856" s="13"/>
      <c r="V856" s="13"/>
      <c r="W856" s="13"/>
      <c r="X856" s="14"/>
      <c r="AN856" s="7" t="s">
        <v>155</v>
      </c>
      <c r="AO856" s="21">
        <f t="shared" si="40"/>
        <v>0</v>
      </c>
      <c r="AP856" s="7">
        <f t="shared" si="41"/>
        <v>9.75</v>
      </c>
      <c r="AQ856" s="31" t="str">
        <f t="shared" si="42"/>
        <v>Complete - No Adjustment</v>
      </c>
    </row>
    <row r="857" spans="1:43" x14ac:dyDescent="0.2">
      <c r="A857" s="46">
        <v>847</v>
      </c>
      <c r="B857" s="13" t="s">
        <v>266</v>
      </c>
      <c r="C857" s="13" t="s">
        <v>548</v>
      </c>
      <c r="D857" s="13" t="s">
        <v>547</v>
      </c>
      <c r="E857" s="13" t="s">
        <v>2529</v>
      </c>
      <c r="F857" s="13" t="s">
        <v>207</v>
      </c>
      <c r="G857" s="13" t="s">
        <v>111</v>
      </c>
      <c r="H857" s="16">
        <v>43985</v>
      </c>
      <c r="I857" s="16">
        <v>43987</v>
      </c>
      <c r="J857" s="22">
        <v>1016.15</v>
      </c>
      <c r="K857" s="22">
        <v>35.72</v>
      </c>
      <c r="L857" s="22" t="s">
        <v>2530</v>
      </c>
      <c r="M857" s="26" t="s">
        <v>98</v>
      </c>
      <c r="N857" s="13" t="s">
        <v>230</v>
      </c>
      <c r="O857" s="13" t="s">
        <v>507</v>
      </c>
      <c r="P857" s="13" t="s">
        <v>60</v>
      </c>
      <c r="Q857" s="13" t="s">
        <v>41</v>
      </c>
      <c r="R857" s="13" t="s">
        <v>270</v>
      </c>
      <c r="S857" s="13" t="s">
        <v>2531</v>
      </c>
      <c r="T857" s="13" t="s">
        <v>2532</v>
      </c>
      <c r="U857" s="13"/>
      <c r="V857" s="13"/>
      <c r="W857" s="13"/>
      <c r="X857" s="14"/>
      <c r="AB857" s="14">
        <f>35.72-25*1.0825</f>
        <v>8.6574999999999989</v>
      </c>
      <c r="AN857" s="7" t="s">
        <v>66</v>
      </c>
      <c r="AO857" s="21">
        <f t="shared" si="40"/>
        <v>8.6574999999999989</v>
      </c>
      <c r="AP857" s="7">
        <f t="shared" si="41"/>
        <v>27.0625</v>
      </c>
      <c r="AQ857" s="31" t="str">
        <f t="shared" si="42"/>
        <v>Complete - With Adjustment</v>
      </c>
    </row>
    <row r="858" spans="1:43" x14ac:dyDescent="0.2">
      <c r="A858" s="46">
        <v>848</v>
      </c>
      <c r="B858" s="13" t="s">
        <v>266</v>
      </c>
      <c r="C858" s="13" t="s">
        <v>548</v>
      </c>
      <c r="D858" s="13" t="s">
        <v>547</v>
      </c>
      <c r="E858" s="13" t="s">
        <v>2529</v>
      </c>
      <c r="F858" s="13" t="s">
        <v>207</v>
      </c>
      <c r="G858" s="13" t="s">
        <v>111</v>
      </c>
      <c r="H858" s="16">
        <v>43985</v>
      </c>
      <c r="I858" s="16">
        <v>43987</v>
      </c>
      <c r="J858" s="22">
        <v>1016.15</v>
      </c>
      <c r="K858" s="22">
        <v>11.85</v>
      </c>
      <c r="L858" s="22" t="s">
        <v>2530</v>
      </c>
      <c r="M858" s="26" t="s">
        <v>98</v>
      </c>
      <c r="N858" s="13" t="s">
        <v>230</v>
      </c>
      <c r="O858" s="13" t="s">
        <v>983</v>
      </c>
      <c r="P858" s="13" t="s">
        <v>406</v>
      </c>
      <c r="Q858" s="13" t="s">
        <v>57</v>
      </c>
      <c r="R858" s="13" t="s">
        <v>270</v>
      </c>
      <c r="S858" s="13" t="s">
        <v>2531</v>
      </c>
      <c r="T858" s="13" t="s">
        <v>2533</v>
      </c>
      <c r="U858" s="13" t="s">
        <v>986</v>
      </c>
      <c r="V858" s="13" t="s">
        <v>406</v>
      </c>
      <c r="W858" s="13" t="s">
        <v>58</v>
      </c>
      <c r="X858" s="14"/>
      <c r="AN858" s="7" t="s">
        <v>155</v>
      </c>
      <c r="AO858" s="21">
        <f t="shared" si="40"/>
        <v>0</v>
      </c>
      <c r="AP858" s="7">
        <f t="shared" si="41"/>
        <v>11.85</v>
      </c>
      <c r="AQ858" s="31" t="str">
        <f t="shared" si="42"/>
        <v>Complete - No Adjustment</v>
      </c>
    </row>
    <row r="859" spans="1:43" x14ac:dyDescent="0.2">
      <c r="A859" s="46">
        <v>849</v>
      </c>
      <c r="B859" s="13" t="s">
        <v>266</v>
      </c>
      <c r="C859" s="13" t="s">
        <v>548</v>
      </c>
      <c r="D859" s="13" t="s">
        <v>547</v>
      </c>
      <c r="E859" s="13" t="s">
        <v>2529</v>
      </c>
      <c r="F859" s="13" t="s">
        <v>207</v>
      </c>
      <c r="G859" s="13" t="s">
        <v>111</v>
      </c>
      <c r="H859" s="16">
        <v>43985</v>
      </c>
      <c r="I859" s="16">
        <v>43987</v>
      </c>
      <c r="J859" s="22">
        <v>1016.15</v>
      </c>
      <c r="K859" s="22">
        <v>440</v>
      </c>
      <c r="L859" s="22" t="s">
        <v>2530</v>
      </c>
      <c r="M859" s="26" t="s">
        <v>98</v>
      </c>
      <c r="N859" s="13" t="s">
        <v>230</v>
      </c>
      <c r="O859" s="13" t="s">
        <v>507</v>
      </c>
      <c r="P859" s="13" t="s">
        <v>60</v>
      </c>
      <c r="Q859" s="13" t="s">
        <v>59</v>
      </c>
      <c r="R859" s="13" t="s">
        <v>270</v>
      </c>
      <c r="S859" s="13" t="s">
        <v>2531</v>
      </c>
      <c r="T859" s="13" t="s">
        <v>2534</v>
      </c>
      <c r="U859" s="13"/>
      <c r="V859" s="13"/>
      <c r="W859" s="13"/>
      <c r="X859" s="14"/>
      <c r="AN859" s="7" t="s">
        <v>70</v>
      </c>
      <c r="AO859" s="21">
        <f t="shared" si="40"/>
        <v>0</v>
      </c>
      <c r="AP859" s="7">
        <f t="shared" si="41"/>
        <v>440</v>
      </c>
      <c r="AQ859" s="31" t="str">
        <f t="shared" si="42"/>
        <v>Complete - No Adjustment</v>
      </c>
    </row>
    <row r="860" spans="1:43" x14ac:dyDescent="0.2">
      <c r="A860" s="46">
        <v>850</v>
      </c>
      <c r="B860" s="13" t="s">
        <v>266</v>
      </c>
      <c r="C860" s="13" t="s">
        <v>548</v>
      </c>
      <c r="D860" s="13" t="s">
        <v>547</v>
      </c>
      <c r="E860" s="13" t="s">
        <v>2529</v>
      </c>
      <c r="F860" s="13" t="s">
        <v>207</v>
      </c>
      <c r="G860" s="13" t="s">
        <v>111</v>
      </c>
      <c r="H860" s="16">
        <v>43985</v>
      </c>
      <c r="I860" s="16">
        <v>43987</v>
      </c>
      <c r="J860" s="22">
        <v>1016.15</v>
      </c>
      <c r="K860" s="22">
        <v>275</v>
      </c>
      <c r="L860" s="22" t="s">
        <v>2530</v>
      </c>
      <c r="M860" s="26" t="s">
        <v>98</v>
      </c>
      <c r="N860" s="13" t="s">
        <v>230</v>
      </c>
      <c r="O860" s="13" t="s">
        <v>507</v>
      </c>
      <c r="P860" s="13" t="s">
        <v>60</v>
      </c>
      <c r="Q860" s="13" t="s">
        <v>59</v>
      </c>
      <c r="R860" s="13" t="s">
        <v>270</v>
      </c>
      <c r="S860" s="13" t="s">
        <v>2531</v>
      </c>
      <c r="T860" s="13" t="s">
        <v>2535</v>
      </c>
      <c r="U860" s="13"/>
      <c r="V860" s="13"/>
      <c r="W860" s="13"/>
      <c r="X860" s="14"/>
      <c r="AN860" s="7" t="s">
        <v>70</v>
      </c>
      <c r="AO860" s="21">
        <f t="shared" si="40"/>
        <v>0</v>
      </c>
      <c r="AP860" s="7">
        <f t="shared" si="41"/>
        <v>275</v>
      </c>
      <c r="AQ860" s="31" t="str">
        <f t="shared" si="42"/>
        <v>Complete - No Adjustment</v>
      </c>
    </row>
    <row r="861" spans="1:43" x14ac:dyDescent="0.2">
      <c r="A861" s="46">
        <v>851</v>
      </c>
      <c r="B861" s="13" t="s">
        <v>266</v>
      </c>
      <c r="C861" s="13" t="s">
        <v>548</v>
      </c>
      <c r="D861" s="13" t="s">
        <v>547</v>
      </c>
      <c r="E861" s="13" t="s">
        <v>2529</v>
      </c>
      <c r="F861" s="13" t="s">
        <v>207</v>
      </c>
      <c r="G861" s="13" t="s">
        <v>111</v>
      </c>
      <c r="H861" s="16">
        <v>43985</v>
      </c>
      <c r="I861" s="16">
        <v>43987</v>
      </c>
      <c r="J861" s="22">
        <v>1016.15</v>
      </c>
      <c r="K861" s="22">
        <v>44.07</v>
      </c>
      <c r="L861" s="22" t="s">
        <v>2530</v>
      </c>
      <c r="M861" s="26" t="s">
        <v>98</v>
      </c>
      <c r="N861" s="13" t="s">
        <v>230</v>
      </c>
      <c r="O861" s="13" t="s">
        <v>983</v>
      </c>
      <c r="P861" s="13" t="s">
        <v>406</v>
      </c>
      <c r="Q861" s="13" t="s">
        <v>57</v>
      </c>
      <c r="R861" s="13" t="s">
        <v>270</v>
      </c>
      <c r="S861" s="13" t="s">
        <v>2531</v>
      </c>
      <c r="T861" s="13" t="s">
        <v>2536</v>
      </c>
      <c r="U861" s="13" t="s">
        <v>986</v>
      </c>
      <c r="V861" s="13" t="s">
        <v>406</v>
      </c>
      <c r="W861" s="13" t="s">
        <v>58</v>
      </c>
      <c r="X861" s="14"/>
      <c r="AN861" s="7" t="s">
        <v>155</v>
      </c>
      <c r="AO861" s="21">
        <f t="shared" si="40"/>
        <v>0</v>
      </c>
      <c r="AP861" s="7">
        <f t="shared" si="41"/>
        <v>44.07</v>
      </c>
      <c r="AQ861" s="31" t="str">
        <f t="shared" si="42"/>
        <v>Complete - No Adjustment</v>
      </c>
    </row>
    <row r="862" spans="1:43" x14ac:dyDescent="0.2">
      <c r="A862" s="46">
        <v>852</v>
      </c>
      <c r="B862" s="13" t="s">
        <v>266</v>
      </c>
      <c r="C862" s="13" t="s">
        <v>548</v>
      </c>
      <c r="D862" s="13" t="s">
        <v>547</v>
      </c>
      <c r="E862" s="13" t="s">
        <v>2529</v>
      </c>
      <c r="F862" s="13" t="s">
        <v>207</v>
      </c>
      <c r="G862" s="13" t="s">
        <v>111</v>
      </c>
      <c r="H862" s="16">
        <v>43985</v>
      </c>
      <c r="I862" s="16">
        <v>43987</v>
      </c>
      <c r="J862" s="22">
        <v>1016.15</v>
      </c>
      <c r="K862" s="22">
        <v>209.51</v>
      </c>
      <c r="L862" s="22" t="s">
        <v>2530</v>
      </c>
      <c r="M862" s="26" t="s">
        <v>98</v>
      </c>
      <c r="N862" s="13" t="s">
        <v>230</v>
      </c>
      <c r="O862" s="13" t="s">
        <v>983</v>
      </c>
      <c r="P862" s="13" t="s">
        <v>406</v>
      </c>
      <c r="Q862" s="13" t="s">
        <v>57</v>
      </c>
      <c r="R862" s="13" t="s">
        <v>270</v>
      </c>
      <c r="S862" s="13" t="s">
        <v>2531</v>
      </c>
      <c r="T862" s="13" t="s">
        <v>2537</v>
      </c>
      <c r="U862" s="13" t="s">
        <v>986</v>
      </c>
      <c r="V862" s="13" t="s">
        <v>406</v>
      </c>
      <c r="W862" s="13" t="s">
        <v>58</v>
      </c>
      <c r="X862" s="14"/>
      <c r="AN862" s="7" t="s">
        <v>155</v>
      </c>
      <c r="AO862" s="21">
        <f t="shared" si="40"/>
        <v>0</v>
      </c>
      <c r="AP862" s="7">
        <f t="shared" si="41"/>
        <v>209.51</v>
      </c>
      <c r="AQ862" s="31" t="str">
        <f t="shared" si="42"/>
        <v>Complete - No Adjustment</v>
      </c>
    </row>
    <row r="863" spans="1:43" x14ac:dyDescent="0.2">
      <c r="A863" s="46">
        <v>853</v>
      </c>
      <c r="B863" s="13" t="s">
        <v>266</v>
      </c>
      <c r="C863" s="13" t="s">
        <v>2538</v>
      </c>
      <c r="D863" s="13" t="s">
        <v>2539</v>
      </c>
      <c r="E863" s="13" t="s">
        <v>2540</v>
      </c>
      <c r="F863" s="13" t="s">
        <v>208</v>
      </c>
      <c r="G863" s="13" t="s">
        <v>111</v>
      </c>
      <c r="H863" s="16">
        <v>43992</v>
      </c>
      <c r="I863" s="16">
        <v>44000</v>
      </c>
      <c r="J863" s="22">
        <v>9.73</v>
      </c>
      <c r="K863" s="22">
        <v>9.73</v>
      </c>
      <c r="L863" s="22" t="s">
        <v>2541</v>
      </c>
      <c r="M863" s="26" t="s">
        <v>98</v>
      </c>
      <c r="N863" s="13" t="s">
        <v>230</v>
      </c>
      <c r="O863" s="13" t="s">
        <v>397</v>
      </c>
      <c r="P863" s="13" t="s">
        <v>60</v>
      </c>
      <c r="Q863" s="13" t="s">
        <v>41</v>
      </c>
      <c r="R863" s="13" t="s">
        <v>270</v>
      </c>
      <c r="S863" s="13" t="s">
        <v>2542</v>
      </c>
      <c r="T863" s="13" t="s">
        <v>2543</v>
      </c>
      <c r="U863" s="13"/>
      <c r="V863" s="13"/>
      <c r="W863" s="13"/>
      <c r="X863" s="14"/>
      <c r="AN863" s="7" t="s">
        <v>155</v>
      </c>
      <c r="AO863" s="21">
        <f t="shared" si="40"/>
        <v>0</v>
      </c>
      <c r="AP863" s="7">
        <f t="shared" si="41"/>
        <v>9.73</v>
      </c>
      <c r="AQ863" s="31" t="str">
        <f t="shared" si="42"/>
        <v>Complete - No Adjustment</v>
      </c>
    </row>
    <row r="864" spans="1:43" x14ac:dyDescent="0.2">
      <c r="A864" s="46">
        <v>854</v>
      </c>
      <c r="B864" s="13" t="s">
        <v>266</v>
      </c>
      <c r="C864" s="13" t="s">
        <v>550</v>
      </c>
      <c r="D864" s="13" t="s">
        <v>549</v>
      </c>
      <c r="E864" s="13" t="s">
        <v>2544</v>
      </c>
      <c r="F864" s="13" t="s">
        <v>201</v>
      </c>
      <c r="G864" s="13" t="s">
        <v>111</v>
      </c>
      <c r="H864" s="16">
        <v>43999</v>
      </c>
      <c r="I864" s="16">
        <v>44001</v>
      </c>
      <c r="J864" s="22">
        <v>149</v>
      </c>
      <c r="K864" s="22">
        <v>149</v>
      </c>
      <c r="L864" s="22" t="s">
        <v>2545</v>
      </c>
      <c r="M864" s="26" t="s">
        <v>98</v>
      </c>
      <c r="N864" s="13" t="s">
        <v>230</v>
      </c>
      <c r="O864" s="13" t="s">
        <v>334</v>
      </c>
      <c r="P864" s="13" t="s">
        <v>60</v>
      </c>
      <c r="Q864" s="13" t="s">
        <v>56</v>
      </c>
      <c r="R864" s="13" t="s">
        <v>270</v>
      </c>
      <c r="S864" s="13" t="s">
        <v>2546</v>
      </c>
      <c r="T864" s="13" t="s">
        <v>2547</v>
      </c>
      <c r="U864" s="13"/>
      <c r="V864" s="13"/>
      <c r="W864" s="13"/>
      <c r="X864" s="14"/>
      <c r="AN864" s="7" t="s">
        <v>70</v>
      </c>
      <c r="AO864" s="21">
        <f t="shared" si="40"/>
        <v>0</v>
      </c>
      <c r="AP864" s="7">
        <f t="shared" si="41"/>
        <v>149</v>
      </c>
      <c r="AQ864" s="31" t="str">
        <f t="shared" si="42"/>
        <v>Complete - No Adjustment</v>
      </c>
    </row>
    <row r="865" spans="1:43" x14ac:dyDescent="0.2">
      <c r="A865" s="46">
        <v>855</v>
      </c>
      <c r="B865" s="13" t="s">
        <v>266</v>
      </c>
      <c r="C865" s="13" t="s">
        <v>2548</v>
      </c>
      <c r="D865" s="13" t="s">
        <v>2549</v>
      </c>
      <c r="E865" s="13" t="s">
        <v>2550</v>
      </c>
      <c r="F865" s="13" t="s">
        <v>211</v>
      </c>
      <c r="G865" s="13" t="s">
        <v>111</v>
      </c>
      <c r="H865" s="16">
        <v>43991</v>
      </c>
      <c r="I865" s="16">
        <v>43994</v>
      </c>
      <c r="J865" s="22">
        <v>15</v>
      </c>
      <c r="K865" s="22">
        <v>15</v>
      </c>
      <c r="L865" s="22" t="s">
        <v>2551</v>
      </c>
      <c r="M865" s="26" t="s">
        <v>98</v>
      </c>
      <c r="N865" s="13" t="s">
        <v>230</v>
      </c>
      <c r="O865" s="13" t="s">
        <v>559</v>
      </c>
      <c r="P865" s="13" t="s">
        <v>60</v>
      </c>
      <c r="Q865" s="13" t="s">
        <v>41</v>
      </c>
      <c r="R865" s="13" t="s">
        <v>270</v>
      </c>
      <c r="S865" s="13" t="s">
        <v>2552</v>
      </c>
      <c r="T865" s="13" t="s">
        <v>2553</v>
      </c>
      <c r="U865" s="13"/>
      <c r="V865" s="13"/>
      <c r="W865" s="13"/>
      <c r="X865" s="14"/>
      <c r="AN865" s="7" t="s">
        <v>155</v>
      </c>
      <c r="AO865" s="21">
        <f t="shared" si="40"/>
        <v>0</v>
      </c>
      <c r="AP865" s="7">
        <f t="shared" si="41"/>
        <v>15</v>
      </c>
      <c r="AQ865" s="31" t="str">
        <f t="shared" si="42"/>
        <v>Complete - No Adjustment</v>
      </c>
    </row>
    <row r="866" spans="1:43" x14ac:dyDescent="0.2">
      <c r="A866" s="46">
        <v>856</v>
      </c>
      <c r="B866" s="13" t="s">
        <v>266</v>
      </c>
      <c r="C866" s="13" t="s">
        <v>554</v>
      </c>
      <c r="D866" s="13" t="s">
        <v>553</v>
      </c>
      <c r="E866" s="13" t="s">
        <v>2554</v>
      </c>
      <c r="F866" s="13" t="s">
        <v>206</v>
      </c>
      <c r="G866" s="13" t="s">
        <v>111</v>
      </c>
      <c r="H866" s="16">
        <v>43991</v>
      </c>
      <c r="I866" s="16">
        <v>43992</v>
      </c>
      <c r="J866" s="22">
        <v>26.1</v>
      </c>
      <c r="K866" s="22">
        <v>18.27</v>
      </c>
      <c r="L866" s="22" t="s">
        <v>2555</v>
      </c>
      <c r="M866" s="26" t="s">
        <v>98</v>
      </c>
      <c r="N866" s="13" t="s">
        <v>230</v>
      </c>
      <c r="O866" s="13" t="s">
        <v>356</v>
      </c>
      <c r="P866" s="13" t="s">
        <v>61</v>
      </c>
      <c r="Q866" s="13" t="s">
        <v>41</v>
      </c>
      <c r="R866" s="13" t="s">
        <v>270</v>
      </c>
      <c r="S866" s="13" t="s">
        <v>2556</v>
      </c>
      <c r="T866" s="13" t="s">
        <v>2557</v>
      </c>
      <c r="U866" s="13"/>
      <c r="V866" s="13"/>
      <c r="W866" s="13"/>
      <c r="X866" s="14"/>
      <c r="AN866" s="7" t="s">
        <v>155</v>
      </c>
      <c r="AO866" s="21">
        <f t="shared" si="40"/>
        <v>0</v>
      </c>
      <c r="AP866" s="7">
        <f t="shared" si="41"/>
        <v>18.27</v>
      </c>
      <c r="AQ866" s="31" t="str">
        <f t="shared" si="42"/>
        <v>Complete - No Adjustment</v>
      </c>
    </row>
    <row r="867" spans="1:43" x14ac:dyDescent="0.2">
      <c r="A867" s="46">
        <v>857</v>
      </c>
      <c r="B867" s="13" t="s">
        <v>266</v>
      </c>
      <c r="C867" s="13" t="s">
        <v>554</v>
      </c>
      <c r="D867" s="13" t="s">
        <v>553</v>
      </c>
      <c r="E867" s="13" t="s">
        <v>2554</v>
      </c>
      <c r="F867" s="13" t="s">
        <v>206</v>
      </c>
      <c r="G867" s="13" t="s">
        <v>111</v>
      </c>
      <c r="H867" s="16">
        <v>43991</v>
      </c>
      <c r="I867" s="16">
        <v>43992</v>
      </c>
      <c r="J867" s="22">
        <v>26.1</v>
      </c>
      <c r="K867" s="22">
        <v>7.83</v>
      </c>
      <c r="L867" s="22" t="s">
        <v>2555</v>
      </c>
      <c r="M867" s="26" t="s">
        <v>97</v>
      </c>
      <c r="N867" s="13" t="s">
        <v>230</v>
      </c>
      <c r="O867" s="13" t="s">
        <v>50</v>
      </c>
      <c r="P867" s="13" t="s">
        <v>72</v>
      </c>
      <c r="Q867" s="13" t="s">
        <v>41</v>
      </c>
      <c r="R867" s="13" t="s">
        <v>270</v>
      </c>
      <c r="S867" s="13" t="s">
        <v>2556</v>
      </c>
      <c r="T867" s="13" t="s">
        <v>2557</v>
      </c>
      <c r="U867" s="13"/>
      <c r="V867" s="13"/>
      <c r="W867" s="13"/>
      <c r="X867" s="14"/>
      <c r="AN867" s="7" t="s">
        <v>155</v>
      </c>
      <c r="AO867" s="21">
        <f t="shared" si="40"/>
        <v>0</v>
      </c>
      <c r="AP867" s="7">
        <f t="shared" si="41"/>
        <v>7.83</v>
      </c>
      <c r="AQ867" s="31" t="str">
        <f t="shared" si="42"/>
        <v>Complete - No Adjustment</v>
      </c>
    </row>
    <row r="868" spans="1:43" x14ac:dyDescent="0.2">
      <c r="A868" s="46">
        <v>858</v>
      </c>
      <c r="B868" s="13" t="s">
        <v>266</v>
      </c>
      <c r="C868" s="13" t="s">
        <v>427</v>
      </c>
      <c r="D868" s="13" t="s">
        <v>811</v>
      </c>
      <c r="E868" s="13" t="s">
        <v>2558</v>
      </c>
      <c r="F868" s="13" t="s">
        <v>209</v>
      </c>
      <c r="G868" s="13" t="s">
        <v>111</v>
      </c>
      <c r="H868" s="16">
        <v>43991</v>
      </c>
      <c r="I868" s="16">
        <v>43993</v>
      </c>
      <c r="J868" s="22">
        <v>13.51</v>
      </c>
      <c r="K868" s="22">
        <v>13.51</v>
      </c>
      <c r="L868" s="22" t="s">
        <v>2559</v>
      </c>
      <c r="M868" s="26" t="s">
        <v>98</v>
      </c>
      <c r="N868" s="13" t="s">
        <v>230</v>
      </c>
      <c r="O868" s="13" t="s">
        <v>320</v>
      </c>
      <c r="P868" s="13" t="s">
        <v>60</v>
      </c>
      <c r="Q868" s="13" t="s">
        <v>41</v>
      </c>
      <c r="R868" s="13" t="s">
        <v>270</v>
      </c>
      <c r="S868" s="13" t="s">
        <v>2560</v>
      </c>
      <c r="T868" s="13" t="s">
        <v>2561</v>
      </c>
      <c r="U868" s="13"/>
      <c r="V868" s="13"/>
      <c r="W868" s="13"/>
      <c r="X868" s="14"/>
      <c r="AN868" s="7" t="s">
        <v>155</v>
      </c>
      <c r="AO868" s="21">
        <f t="shared" si="40"/>
        <v>0</v>
      </c>
      <c r="AP868" s="7">
        <f t="shared" si="41"/>
        <v>13.51</v>
      </c>
      <c r="AQ868" s="31" t="str">
        <f t="shared" si="42"/>
        <v>Complete - No Adjustment</v>
      </c>
    </row>
    <row r="869" spans="1:43" x14ac:dyDescent="0.2">
      <c r="A869" s="46">
        <v>859</v>
      </c>
      <c r="B869" s="13" t="s">
        <v>266</v>
      </c>
      <c r="C869" s="13" t="s">
        <v>427</v>
      </c>
      <c r="D869" s="13" t="s">
        <v>811</v>
      </c>
      <c r="E869" s="13" t="s">
        <v>2562</v>
      </c>
      <c r="F869" s="13" t="s">
        <v>202</v>
      </c>
      <c r="G869" s="13" t="s">
        <v>111</v>
      </c>
      <c r="H869" s="16">
        <v>43979</v>
      </c>
      <c r="I869" s="16">
        <v>43983</v>
      </c>
      <c r="J869" s="22">
        <v>15</v>
      </c>
      <c r="K869" s="22">
        <v>15</v>
      </c>
      <c r="L869" s="22" t="s">
        <v>2563</v>
      </c>
      <c r="M869" s="26" t="s">
        <v>98</v>
      </c>
      <c r="N869" s="13" t="s">
        <v>230</v>
      </c>
      <c r="O869" s="13" t="s">
        <v>320</v>
      </c>
      <c r="P869" s="13" t="s">
        <v>60</v>
      </c>
      <c r="Q869" s="13" t="s">
        <v>41</v>
      </c>
      <c r="R869" s="13" t="s">
        <v>270</v>
      </c>
      <c r="S869" s="13" t="s">
        <v>2564</v>
      </c>
      <c r="T869" s="13" t="s">
        <v>2565</v>
      </c>
      <c r="U869" s="13"/>
      <c r="V869" s="13"/>
      <c r="W869" s="13"/>
      <c r="X869" s="14"/>
      <c r="AN869" s="7" t="s">
        <v>155</v>
      </c>
      <c r="AO869" s="21">
        <f t="shared" si="40"/>
        <v>0</v>
      </c>
      <c r="AP869" s="7">
        <f t="shared" si="41"/>
        <v>15</v>
      </c>
      <c r="AQ869" s="31" t="str">
        <f t="shared" si="42"/>
        <v>Complete - No Adjustment</v>
      </c>
    </row>
    <row r="870" spans="1:43" x14ac:dyDescent="0.2">
      <c r="A870" s="46">
        <v>860</v>
      </c>
      <c r="B870" s="13" t="s">
        <v>266</v>
      </c>
      <c r="C870" s="13" t="s">
        <v>427</v>
      </c>
      <c r="D870" s="13" t="s">
        <v>811</v>
      </c>
      <c r="E870" s="13" t="s">
        <v>2566</v>
      </c>
      <c r="F870" s="13" t="s">
        <v>202</v>
      </c>
      <c r="G870" s="13" t="s">
        <v>111</v>
      </c>
      <c r="H870" s="16">
        <v>43938</v>
      </c>
      <c r="I870" s="16">
        <v>43983</v>
      </c>
      <c r="J870" s="22">
        <v>25</v>
      </c>
      <c r="K870" s="22">
        <v>25</v>
      </c>
      <c r="L870" s="22" t="s">
        <v>2567</v>
      </c>
      <c r="M870" s="26" t="s">
        <v>98</v>
      </c>
      <c r="N870" s="13" t="s">
        <v>230</v>
      </c>
      <c r="O870" s="13" t="s">
        <v>320</v>
      </c>
      <c r="P870" s="13" t="s">
        <v>60</v>
      </c>
      <c r="Q870" s="13" t="s">
        <v>41</v>
      </c>
      <c r="R870" s="13" t="s">
        <v>270</v>
      </c>
      <c r="S870" s="13" t="s">
        <v>2568</v>
      </c>
      <c r="T870" s="13" t="s">
        <v>2569</v>
      </c>
      <c r="U870" s="13"/>
      <c r="V870" s="13"/>
      <c r="W870" s="13"/>
      <c r="X870" s="14"/>
      <c r="AL870" s="14">
        <v>25</v>
      </c>
      <c r="AN870" s="7" t="s">
        <v>167</v>
      </c>
      <c r="AO870" s="21">
        <f t="shared" si="40"/>
        <v>25</v>
      </c>
      <c r="AP870" s="7">
        <f t="shared" si="41"/>
        <v>0</v>
      </c>
      <c r="AQ870" s="31" t="str">
        <f t="shared" si="42"/>
        <v>Complete - With Adjustment</v>
      </c>
    </row>
    <row r="871" spans="1:43" x14ac:dyDescent="0.2">
      <c r="A871" s="46">
        <v>861</v>
      </c>
      <c r="B871" s="13" t="s">
        <v>266</v>
      </c>
      <c r="C871" s="13" t="s">
        <v>428</v>
      </c>
      <c r="D871" s="13" t="s">
        <v>2570</v>
      </c>
      <c r="E871" s="13" t="s">
        <v>2571</v>
      </c>
      <c r="F871" s="13" t="s">
        <v>209</v>
      </c>
      <c r="G871" s="13" t="s">
        <v>111</v>
      </c>
      <c r="H871" s="16">
        <v>43992</v>
      </c>
      <c r="I871" s="16">
        <v>43993</v>
      </c>
      <c r="J871" s="22">
        <v>14.06</v>
      </c>
      <c r="K871" s="22">
        <v>9.84</v>
      </c>
      <c r="L871" s="22" t="s">
        <v>2572</v>
      </c>
      <c r="M871" s="26" t="s">
        <v>98</v>
      </c>
      <c r="N871" s="13" t="s">
        <v>230</v>
      </c>
      <c r="O871" s="13" t="s">
        <v>356</v>
      </c>
      <c r="P871" s="13" t="s">
        <v>60</v>
      </c>
      <c r="Q871" s="13" t="s">
        <v>41</v>
      </c>
      <c r="R871" s="13" t="s">
        <v>270</v>
      </c>
      <c r="S871" s="13" t="s">
        <v>2573</v>
      </c>
      <c r="T871" s="13" t="s">
        <v>2574</v>
      </c>
      <c r="U871" s="13"/>
      <c r="V871" s="13"/>
      <c r="W871" s="13"/>
      <c r="X871" s="14"/>
      <c r="AN871" s="7" t="s">
        <v>155</v>
      </c>
      <c r="AO871" s="21">
        <f t="shared" si="40"/>
        <v>0</v>
      </c>
      <c r="AP871" s="7">
        <f t="shared" si="41"/>
        <v>9.84</v>
      </c>
      <c r="AQ871" s="31" t="str">
        <f t="shared" si="42"/>
        <v>Complete - No Adjustment</v>
      </c>
    </row>
    <row r="872" spans="1:43" x14ac:dyDescent="0.2">
      <c r="A872" s="46">
        <v>862</v>
      </c>
      <c r="B872" s="13" t="s">
        <v>266</v>
      </c>
      <c r="C872" s="13" t="s">
        <v>428</v>
      </c>
      <c r="D872" s="13" t="s">
        <v>2570</v>
      </c>
      <c r="E872" s="13" t="s">
        <v>2571</v>
      </c>
      <c r="F872" s="13" t="s">
        <v>209</v>
      </c>
      <c r="G872" s="13" t="s">
        <v>111</v>
      </c>
      <c r="H872" s="16">
        <v>43992</v>
      </c>
      <c r="I872" s="16">
        <v>43993</v>
      </c>
      <c r="J872" s="22">
        <v>14.06</v>
      </c>
      <c r="K872" s="22">
        <v>4.22</v>
      </c>
      <c r="L872" s="22" t="s">
        <v>2572</v>
      </c>
      <c r="M872" s="26" t="s">
        <v>97</v>
      </c>
      <c r="N872" s="13" t="s">
        <v>230</v>
      </c>
      <c r="O872" s="13" t="s">
        <v>50</v>
      </c>
      <c r="P872" s="13" t="s">
        <v>72</v>
      </c>
      <c r="Q872" s="13" t="s">
        <v>41</v>
      </c>
      <c r="R872" s="13" t="s">
        <v>270</v>
      </c>
      <c r="S872" s="13" t="s">
        <v>2573</v>
      </c>
      <c r="T872" s="13" t="s">
        <v>2574</v>
      </c>
      <c r="U872" s="13"/>
      <c r="V872" s="13"/>
      <c r="W872" s="13"/>
      <c r="X872" s="14"/>
      <c r="AN872" s="7" t="s">
        <v>155</v>
      </c>
      <c r="AO872" s="21">
        <f t="shared" ref="AO872:AO935" si="43">SUM(Y872:AL872)</f>
        <v>0</v>
      </c>
      <c r="AP872" s="7">
        <f t="shared" ref="AP872:AP935" si="44">K872-AO872</f>
        <v>4.22</v>
      </c>
      <c r="AQ872" s="31" t="str">
        <f t="shared" si="42"/>
        <v>Complete - No Adjustment</v>
      </c>
    </row>
    <row r="873" spans="1:43" x14ac:dyDescent="0.2">
      <c r="A873" s="46">
        <v>863</v>
      </c>
      <c r="B873" s="13" t="s">
        <v>266</v>
      </c>
      <c r="C873" s="13" t="s">
        <v>710</v>
      </c>
      <c r="D873" s="13" t="s">
        <v>709</v>
      </c>
      <c r="E873" s="13" t="s">
        <v>2575</v>
      </c>
      <c r="F873" s="13" t="s">
        <v>204</v>
      </c>
      <c r="G873" s="13" t="s">
        <v>111</v>
      </c>
      <c r="H873" s="16">
        <v>43993</v>
      </c>
      <c r="I873" s="16">
        <v>43997</v>
      </c>
      <c r="J873" s="22">
        <v>22.42</v>
      </c>
      <c r="K873" s="22">
        <v>22.42</v>
      </c>
      <c r="L873" s="22" t="s">
        <v>2576</v>
      </c>
      <c r="M873" s="26" t="s">
        <v>98</v>
      </c>
      <c r="N873" s="13" t="s">
        <v>230</v>
      </c>
      <c r="O873" s="13" t="s">
        <v>288</v>
      </c>
      <c r="P873" s="13" t="s">
        <v>60</v>
      </c>
      <c r="Q873" s="13" t="s">
        <v>62</v>
      </c>
      <c r="R873" s="13" t="s">
        <v>270</v>
      </c>
      <c r="S873" s="13" t="s">
        <v>2577</v>
      </c>
      <c r="T873" s="13" t="s">
        <v>2578</v>
      </c>
      <c r="U873" s="13"/>
      <c r="V873" s="13"/>
      <c r="W873" s="13"/>
      <c r="X873" s="14"/>
      <c r="AN873" s="7" t="s">
        <v>70</v>
      </c>
      <c r="AO873" s="21">
        <f t="shared" si="43"/>
        <v>0</v>
      </c>
      <c r="AP873" s="7">
        <f t="shared" si="44"/>
        <v>22.42</v>
      </c>
      <c r="AQ873" s="31" t="str">
        <f t="shared" si="42"/>
        <v>Complete - No Adjustment</v>
      </c>
    </row>
    <row r="874" spans="1:43" x14ac:dyDescent="0.2">
      <c r="A874" s="46">
        <v>864</v>
      </c>
      <c r="B874" s="13" t="s">
        <v>266</v>
      </c>
      <c r="C874" s="13" t="s">
        <v>710</v>
      </c>
      <c r="D874" s="13" t="s">
        <v>709</v>
      </c>
      <c r="E874" s="13" t="s">
        <v>2579</v>
      </c>
      <c r="F874" s="13" t="s">
        <v>218</v>
      </c>
      <c r="G874" s="13" t="s">
        <v>111</v>
      </c>
      <c r="H874" s="16">
        <v>43987</v>
      </c>
      <c r="I874" s="16">
        <v>43991</v>
      </c>
      <c r="J874" s="22">
        <v>62.33</v>
      </c>
      <c r="K874" s="22">
        <v>13.79</v>
      </c>
      <c r="L874" s="22" t="s">
        <v>2580</v>
      </c>
      <c r="M874" s="26" t="s">
        <v>98</v>
      </c>
      <c r="N874" s="13" t="s">
        <v>230</v>
      </c>
      <c r="O874" s="13" t="s">
        <v>288</v>
      </c>
      <c r="P874" s="13" t="s">
        <v>60</v>
      </c>
      <c r="Q874" s="13" t="s">
        <v>41</v>
      </c>
      <c r="R874" s="13" t="s">
        <v>270</v>
      </c>
      <c r="S874" s="13" t="s">
        <v>2581</v>
      </c>
      <c r="T874" s="13" t="s">
        <v>2582</v>
      </c>
      <c r="U874" s="13"/>
      <c r="V874" s="13"/>
      <c r="W874" s="13"/>
      <c r="X874" s="14"/>
      <c r="AN874" s="7" t="s">
        <v>155</v>
      </c>
      <c r="AO874" s="21">
        <f t="shared" si="43"/>
        <v>0</v>
      </c>
      <c r="AP874" s="7">
        <f t="shared" si="44"/>
        <v>13.79</v>
      </c>
      <c r="AQ874" s="31" t="str">
        <f t="shared" si="42"/>
        <v>Complete - No Adjustment</v>
      </c>
    </row>
    <row r="875" spans="1:43" x14ac:dyDescent="0.2">
      <c r="A875" s="46">
        <v>865</v>
      </c>
      <c r="B875" s="13" t="s">
        <v>266</v>
      </c>
      <c r="C875" s="13" t="s">
        <v>710</v>
      </c>
      <c r="D875" s="13" t="s">
        <v>709</v>
      </c>
      <c r="E875" s="13" t="s">
        <v>2579</v>
      </c>
      <c r="F875" s="13" t="s">
        <v>218</v>
      </c>
      <c r="G875" s="13" t="s">
        <v>111</v>
      </c>
      <c r="H875" s="16">
        <v>43987</v>
      </c>
      <c r="I875" s="16">
        <v>43991</v>
      </c>
      <c r="J875" s="22">
        <v>62.33</v>
      </c>
      <c r="K875" s="22">
        <v>16.61</v>
      </c>
      <c r="L875" s="22" t="s">
        <v>2580</v>
      </c>
      <c r="M875" s="26" t="s">
        <v>98</v>
      </c>
      <c r="N875" s="13" t="s">
        <v>230</v>
      </c>
      <c r="O875" s="13" t="s">
        <v>288</v>
      </c>
      <c r="P875" s="13" t="s">
        <v>60</v>
      </c>
      <c r="Q875" s="13" t="s">
        <v>41</v>
      </c>
      <c r="R875" s="13" t="s">
        <v>270</v>
      </c>
      <c r="S875" s="13" t="s">
        <v>2581</v>
      </c>
      <c r="T875" s="13" t="s">
        <v>2583</v>
      </c>
      <c r="U875" s="13"/>
      <c r="V875" s="13"/>
      <c r="W875" s="13"/>
      <c r="X875" s="14"/>
      <c r="AN875" s="7" t="s">
        <v>155</v>
      </c>
      <c r="AO875" s="21">
        <f t="shared" si="43"/>
        <v>0</v>
      </c>
      <c r="AP875" s="7">
        <f t="shared" si="44"/>
        <v>16.61</v>
      </c>
      <c r="AQ875" s="31" t="str">
        <f t="shared" si="42"/>
        <v>Complete - No Adjustment</v>
      </c>
    </row>
    <row r="876" spans="1:43" x14ac:dyDescent="0.2">
      <c r="A876" s="46">
        <v>866</v>
      </c>
      <c r="B876" s="13" t="s">
        <v>266</v>
      </c>
      <c r="C876" s="13" t="s">
        <v>710</v>
      </c>
      <c r="D876" s="13" t="s">
        <v>709</v>
      </c>
      <c r="E876" s="13" t="s">
        <v>2579</v>
      </c>
      <c r="F876" s="13" t="s">
        <v>218</v>
      </c>
      <c r="G876" s="13" t="s">
        <v>111</v>
      </c>
      <c r="H876" s="16">
        <v>43987</v>
      </c>
      <c r="I876" s="16">
        <v>43991</v>
      </c>
      <c r="J876" s="22">
        <v>62.33</v>
      </c>
      <c r="K876" s="22">
        <v>24.57</v>
      </c>
      <c r="L876" s="22" t="s">
        <v>2580</v>
      </c>
      <c r="M876" s="26" t="s">
        <v>98</v>
      </c>
      <c r="N876" s="13" t="s">
        <v>230</v>
      </c>
      <c r="O876" s="13" t="s">
        <v>288</v>
      </c>
      <c r="P876" s="13" t="s">
        <v>60</v>
      </c>
      <c r="Q876" s="13" t="s">
        <v>41</v>
      </c>
      <c r="R876" s="13" t="s">
        <v>270</v>
      </c>
      <c r="S876" s="13" t="s">
        <v>2581</v>
      </c>
      <c r="T876" s="13" t="s">
        <v>2582</v>
      </c>
      <c r="U876" s="13"/>
      <c r="V876" s="13"/>
      <c r="W876" s="13"/>
      <c r="X876" s="14"/>
      <c r="AN876" s="7" t="s">
        <v>155</v>
      </c>
      <c r="AO876" s="21">
        <f t="shared" si="43"/>
        <v>0</v>
      </c>
      <c r="AP876" s="7">
        <f t="shared" si="44"/>
        <v>24.57</v>
      </c>
      <c r="AQ876" s="31" t="str">
        <f t="shared" si="42"/>
        <v>Complete - No Adjustment</v>
      </c>
    </row>
    <row r="877" spans="1:43" x14ac:dyDescent="0.2">
      <c r="A877" s="46">
        <v>867</v>
      </c>
      <c r="B877" s="13" t="s">
        <v>266</v>
      </c>
      <c r="C877" s="13" t="s">
        <v>710</v>
      </c>
      <c r="D877" s="13" t="s">
        <v>709</v>
      </c>
      <c r="E877" s="13" t="s">
        <v>2579</v>
      </c>
      <c r="F877" s="13" t="s">
        <v>218</v>
      </c>
      <c r="G877" s="13" t="s">
        <v>111</v>
      </c>
      <c r="H877" s="16">
        <v>43987</v>
      </c>
      <c r="I877" s="16">
        <v>43991</v>
      </c>
      <c r="J877" s="22">
        <v>62.33</v>
      </c>
      <c r="K877" s="22">
        <v>7.36</v>
      </c>
      <c r="L877" s="22" t="s">
        <v>2580</v>
      </c>
      <c r="M877" s="26" t="s">
        <v>98</v>
      </c>
      <c r="N877" s="13" t="s">
        <v>230</v>
      </c>
      <c r="O877" s="13" t="s">
        <v>288</v>
      </c>
      <c r="P877" s="13" t="s">
        <v>60</v>
      </c>
      <c r="Q877" s="13" t="s">
        <v>41</v>
      </c>
      <c r="R877" s="13" t="s">
        <v>270</v>
      </c>
      <c r="S877" s="13" t="s">
        <v>2581</v>
      </c>
      <c r="T877" s="13" t="s">
        <v>2582</v>
      </c>
      <c r="U877" s="13"/>
      <c r="V877" s="13"/>
      <c r="W877" s="13"/>
      <c r="X877" s="14"/>
      <c r="AN877" s="7" t="s">
        <v>155</v>
      </c>
      <c r="AO877" s="21">
        <f t="shared" si="43"/>
        <v>0</v>
      </c>
      <c r="AP877" s="7">
        <f t="shared" si="44"/>
        <v>7.36</v>
      </c>
      <c r="AQ877" s="31" t="str">
        <f t="shared" si="42"/>
        <v>Complete - No Adjustment</v>
      </c>
    </row>
    <row r="878" spans="1:43" x14ac:dyDescent="0.2">
      <c r="A878" s="46">
        <v>868</v>
      </c>
      <c r="B878" s="13" t="s">
        <v>266</v>
      </c>
      <c r="C878" s="13" t="s">
        <v>712</v>
      </c>
      <c r="D878" s="13" t="s">
        <v>711</v>
      </c>
      <c r="E878" s="13" t="s">
        <v>2584</v>
      </c>
      <c r="F878" s="13" t="s">
        <v>205</v>
      </c>
      <c r="G878" s="13" t="s">
        <v>111</v>
      </c>
      <c r="H878" s="16">
        <v>43997</v>
      </c>
      <c r="I878" s="16">
        <v>44011</v>
      </c>
      <c r="J878" s="22">
        <v>13.63</v>
      </c>
      <c r="K878" s="22">
        <v>13.63</v>
      </c>
      <c r="L878" s="22" t="s">
        <v>2585</v>
      </c>
      <c r="M878" s="26" t="s">
        <v>98</v>
      </c>
      <c r="N878" s="13" t="s">
        <v>230</v>
      </c>
      <c r="O878" s="13" t="s">
        <v>658</v>
      </c>
      <c r="P878" s="13" t="s">
        <v>60</v>
      </c>
      <c r="Q878" s="13" t="s">
        <v>41</v>
      </c>
      <c r="R878" s="13" t="s">
        <v>270</v>
      </c>
      <c r="S878" s="13" t="s">
        <v>2586</v>
      </c>
      <c r="T878" s="13" t="s">
        <v>2587</v>
      </c>
      <c r="U878" s="13"/>
      <c r="V878" s="13"/>
      <c r="W878" s="13"/>
      <c r="X878" s="14"/>
      <c r="AN878" s="7" t="s">
        <v>155</v>
      </c>
      <c r="AO878" s="21">
        <f t="shared" si="43"/>
        <v>0</v>
      </c>
      <c r="AP878" s="7">
        <f t="shared" si="44"/>
        <v>13.63</v>
      </c>
      <c r="AQ878" s="31" t="str">
        <f t="shared" si="42"/>
        <v>Complete - No Adjustment</v>
      </c>
    </row>
    <row r="879" spans="1:43" x14ac:dyDescent="0.2">
      <c r="A879" s="46">
        <v>869</v>
      </c>
      <c r="B879" s="13" t="s">
        <v>266</v>
      </c>
      <c r="C879" s="13" t="s">
        <v>2588</v>
      </c>
      <c r="D879" s="13" t="s">
        <v>2589</v>
      </c>
      <c r="E879" s="13" t="s">
        <v>2590</v>
      </c>
      <c r="F879" s="13" t="s">
        <v>209</v>
      </c>
      <c r="G879" s="13" t="s">
        <v>111</v>
      </c>
      <c r="H879" s="16">
        <v>43992</v>
      </c>
      <c r="I879" s="16">
        <v>43993</v>
      </c>
      <c r="J879" s="22">
        <v>15</v>
      </c>
      <c r="K879" s="22">
        <v>15</v>
      </c>
      <c r="L879" s="22" t="s">
        <v>2591</v>
      </c>
      <c r="M879" s="26" t="s">
        <v>98</v>
      </c>
      <c r="N879" s="13" t="s">
        <v>230</v>
      </c>
      <c r="O879" s="13" t="s">
        <v>280</v>
      </c>
      <c r="P879" s="13" t="s">
        <v>60</v>
      </c>
      <c r="Q879" s="13" t="s">
        <v>41</v>
      </c>
      <c r="R879" s="13" t="s">
        <v>270</v>
      </c>
      <c r="S879" s="13" t="s">
        <v>2592</v>
      </c>
      <c r="T879" s="13" t="s">
        <v>2593</v>
      </c>
      <c r="U879" s="13"/>
      <c r="V879" s="13"/>
      <c r="W879" s="13"/>
      <c r="X879" s="14"/>
      <c r="AN879" s="7" t="s">
        <v>155</v>
      </c>
      <c r="AO879" s="21">
        <f t="shared" si="43"/>
        <v>0</v>
      </c>
      <c r="AP879" s="7">
        <f t="shared" si="44"/>
        <v>15</v>
      </c>
      <c r="AQ879" s="31" t="str">
        <f t="shared" si="42"/>
        <v>Complete - No Adjustment</v>
      </c>
    </row>
    <row r="880" spans="1:43" x14ac:dyDescent="0.2">
      <c r="A880" s="46">
        <v>870</v>
      </c>
      <c r="B880" s="13" t="s">
        <v>266</v>
      </c>
      <c r="C880" s="13" t="s">
        <v>611</v>
      </c>
      <c r="D880" s="13" t="s">
        <v>610</v>
      </c>
      <c r="E880" s="13" t="s">
        <v>2594</v>
      </c>
      <c r="F880" s="13" t="s">
        <v>216</v>
      </c>
      <c r="G880" s="13" t="s">
        <v>111</v>
      </c>
      <c r="H880" s="16">
        <v>43983</v>
      </c>
      <c r="I880" s="16">
        <v>43985</v>
      </c>
      <c r="J880" s="22">
        <v>492.01</v>
      </c>
      <c r="K880" s="22">
        <v>435</v>
      </c>
      <c r="L880" s="22" t="s">
        <v>2595</v>
      </c>
      <c r="M880" s="26" t="s">
        <v>98</v>
      </c>
      <c r="N880" s="13" t="s">
        <v>230</v>
      </c>
      <c r="O880" s="13" t="s">
        <v>277</v>
      </c>
      <c r="P880" s="13" t="s">
        <v>60</v>
      </c>
      <c r="Q880" s="13" t="s">
        <v>59</v>
      </c>
      <c r="R880" s="13" t="s">
        <v>270</v>
      </c>
      <c r="S880" s="13" t="s">
        <v>2596</v>
      </c>
      <c r="T880" s="13" t="s">
        <v>2597</v>
      </c>
      <c r="U880" s="13"/>
      <c r="V880" s="13"/>
      <c r="W880" s="13"/>
      <c r="X880" s="14"/>
      <c r="AN880" s="7" t="s">
        <v>70</v>
      </c>
      <c r="AO880" s="21">
        <f t="shared" si="43"/>
        <v>0</v>
      </c>
      <c r="AP880" s="7">
        <f t="shared" si="44"/>
        <v>435</v>
      </c>
      <c r="AQ880" s="31" t="str">
        <f t="shared" si="42"/>
        <v>Complete - No Adjustment</v>
      </c>
    </row>
    <row r="881" spans="1:43" x14ac:dyDescent="0.2">
      <c r="A881" s="46">
        <v>871</v>
      </c>
      <c r="B881" s="13" t="s">
        <v>266</v>
      </c>
      <c r="C881" s="13" t="s">
        <v>611</v>
      </c>
      <c r="D881" s="13" t="s">
        <v>610</v>
      </c>
      <c r="E881" s="13" t="s">
        <v>2594</v>
      </c>
      <c r="F881" s="13" t="s">
        <v>216</v>
      </c>
      <c r="G881" s="13" t="s">
        <v>111</v>
      </c>
      <c r="H881" s="16">
        <v>43983</v>
      </c>
      <c r="I881" s="16">
        <v>43985</v>
      </c>
      <c r="J881" s="22">
        <v>492.01</v>
      </c>
      <c r="K881" s="22">
        <v>57.01</v>
      </c>
      <c r="L881" s="22" t="s">
        <v>2595</v>
      </c>
      <c r="M881" s="26" t="s">
        <v>98</v>
      </c>
      <c r="N881" s="13" t="s">
        <v>230</v>
      </c>
      <c r="O881" s="13" t="s">
        <v>277</v>
      </c>
      <c r="P881" s="13" t="s">
        <v>60</v>
      </c>
      <c r="Q881" s="13" t="s">
        <v>62</v>
      </c>
      <c r="R881" s="13" t="s">
        <v>270</v>
      </c>
      <c r="S881" s="13" t="s">
        <v>2596</v>
      </c>
      <c r="T881" s="13" t="s">
        <v>2076</v>
      </c>
      <c r="U881" s="13"/>
      <c r="V881" s="13"/>
      <c r="W881" s="13"/>
      <c r="X881" s="14"/>
      <c r="AN881" s="7" t="s">
        <v>70</v>
      </c>
      <c r="AO881" s="21">
        <f t="shared" si="43"/>
        <v>0</v>
      </c>
      <c r="AP881" s="7">
        <f t="shared" si="44"/>
        <v>57.01</v>
      </c>
      <c r="AQ881" s="31" t="str">
        <f t="shared" si="42"/>
        <v>Complete - No Adjustment</v>
      </c>
    </row>
    <row r="882" spans="1:43" x14ac:dyDescent="0.2">
      <c r="A882" s="46">
        <v>872</v>
      </c>
      <c r="B882" s="13" t="s">
        <v>266</v>
      </c>
      <c r="C882" s="13" t="s">
        <v>612</v>
      </c>
      <c r="D882" s="13" t="s">
        <v>845</v>
      </c>
      <c r="E882" s="13" t="s">
        <v>2598</v>
      </c>
      <c r="F882" s="13" t="s">
        <v>213</v>
      </c>
      <c r="G882" s="13" t="s">
        <v>111</v>
      </c>
      <c r="H882" s="16">
        <v>43991</v>
      </c>
      <c r="I882" s="16">
        <v>43999</v>
      </c>
      <c r="J882" s="22">
        <v>15</v>
      </c>
      <c r="K882" s="22">
        <v>15</v>
      </c>
      <c r="L882" s="22" t="s">
        <v>2599</v>
      </c>
      <c r="M882" s="26" t="s">
        <v>98</v>
      </c>
      <c r="N882" s="13" t="s">
        <v>230</v>
      </c>
      <c r="O882" s="13" t="s">
        <v>323</v>
      </c>
      <c r="P882" s="13" t="s">
        <v>60</v>
      </c>
      <c r="Q882" s="13" t="s">
        <v>41</v>
      </c>
      <c r="R882" s="13" t="s">
        <v>270</v>
      </c>
      <c r="S882" s="13" t="s">
        <v>2600</v>
      </c>
      <c r="T882" s="13" t="s">
        <v>2601</v>
      </c>
      <c r="U882" s="13"/>
      <c r="V882" s="13"/>
      <c r="W882" s="13"/>
      <c r="X882" s="14"/>
      <c r="AN882" s="7" t="s">
        <v>155</v>
      </c>
      <c r="AO882" s="21">
        <f t="shared" si="43"/>
        <v>0</v>
      </c>
      <c r="AP882" s="7">
        <f t="shared" si="44"/>
        <v>15</v>
      </c>
      <c r="AQ882" s="31" t="str">
        <f t="shared" si="42"/>
        <v>Complete - No Adjustment</v>
      </c>
    </row>
    <row r="883" spans="1:43" x14ac:dyDescent="0.2">
      <c r="A883" s="46">
        <v>873</v>
      </c>
      <c r="B883" s="13" t="s">
        <v>266</v>
      </c>
      <c r="C883" s="13" t="s">
        <v>612</v>
      </c>
      <c r="D883" s="13" t="s">
        <v>845</v>
      </c>
      <c r="E883" s="13" t="s">
        <v>2602</v>
      </c>
      <c r="F883" s="13" t="s">
        <v>213</v>
      </c>
      <c r="G883" s="13" t="s">
        <v>111</v>
      </c>
      <c r="H883" s="16">
        <v>43986</v>
      </c>
      <c r="I883" s="16">
        <v>43999</v>
      </c>
      <c r="J883" s="22">
        <v>21.47</v>
      </c>
      <c r="K883" s="22">
        <v>21.47</v>
      </c>
      <c r="L883" s="22" t="s">
        <v>2603</v>
      </c>
      <c r="M883" s="26" t="s">
        <v>98</v>
      </c>
      <c r="N883" s="13" t="s">
        <v>230</v>
      </c>
      <c r="O883" s="13" t="s">
        <v>323</v>
      </c>
      <c r="P883" s="13" t="s">
        <v>60</v>
      </c>
      <c r="Q883" s="13" t="s">
        <v>41</v>
      </c>
      <c r="R883" s="13" t="s">
        <v>270</v>
      </c>
      <c r="S883" s="13" t="s">
        <v>2604</v>
      </c>
      <c r="T883" s="13" t="s">
        <v>2605</v>
      </c>
      <c r="U883" s="13"/>
      <c r="V883" s="13"/>
      <c r="W883" s="13"/>
      <c r="X883" s="14"/>
      <c r="AC883" s="53">
        <v>3</v>
      </c>
      <c r="AN883" s="7" t="s">
        <v>67</v>
      </c>
      <c r="AO883" s="21">
        <f t="shared" si="43"/>
        <v>3</v>
      </c>
      <c r="AP883" s="7">
        <f t="shared" si="44"/>
        <v>18.47</v>
      </c>
      <c r="AQ883" s="31" t="str">
        <f t="shared" si="42"/>
        <v>Complete - With Adjustment</v>
      </c>
    </row>
    <row r="884" spans="1:43" x14ac:dyDescent="0.2">
      <c r="A884" s="46">
        <v>874</v>
      </c>
      <c r="B884" s="13" t="s">
        <v>266</v>
      </c>
      <c r="C884" s="13" t="s">
        <v>612</v>
      </c>
      <c r="D884" s="13" t="s">
        <v>845</v>
      </c>
      <c r="E884" s="13" t="s">
        <v>2606</v>
      </c>
      <c r="F884" s="13" t="s">
        <v>213</v>
      </c>
      <c r="G884" s="13" t="s">
        <v>111</v>
      </c>
      <c r="H884" s="16">
        <v>43998</v>
      </c>
      <c r="I884" s="16">
        <v>43999</v>
      </c>
      <c r="J884" s="22">
        <v>23.59</v>
      </c>
      <c r="K884" s="22">
        <v>23.59</v>
      </c>
      <c r="L884" s="22" t="s">
        <v>2607</v>
      </c>
      <c r="M884" s="26" t="s">
        <v>98</v>
      </c>
      <c r="N884" s="13" t="s">
        <v>230</v>
      </c>
      <c r="O884" s="13" t="s">
        <v>323</v>
      </c>
      <c r="P884" s="13" t="s">
        <v>60</v>
      </c>
      <c r="Q884" s="13" t="s">
        <v>41</v>
      </c>
      <c r="R884" s="13" t="s">
        <v>270</v>
      </c>
      <c r="S884" s="13" t="s">
        <v>2608</v>
      </c>
      <c r="T884" s="13" t="s">
        <v>2609</v>
      </c>
      <c r="U884" s="13"/>
      <c r="V884" s="13"/>
      <c r="W884" s="13"/>
      <c r="X884" s="14"/>
      <c r="AN884" s="7" t="s">
        <v>70</v>
      </c>
      <c r="AO884" s="21">
        <f t="shared" si="43"/>
        <v>0</v>
      </c>
      <c r="AP884" s="7">
        <f t="shared" si="44"/>
        <v>23.59</v>
      </c>
      <c r="AQ884" s="31" t="str">
        <f t="shared" si="42"/>
        <v>Complete - No Adjustment</v>
      </c>
    </row>
    <row r="885" spans="1:43" x14ac:dyDescent="0.2">
      <c r="A885" s="46">
        <v>875</v>
      </c>
      <c r="B885" s="13" t="s">
        <v>266</v>
      </c>
      <c r="C885" s="13" t="s">
        <v>2610</v>
      </c>
      <c r="D885" s="13" t="s">
        <v>2611</v>
      </c>
      <c r="E885" s="13" t="s">
        <v>2612</v>
      </c>
      <c r="F885" s="13" t="s">
        <v>211</v>
      </c>
      <c r="G885" s="13" t="s">
        <v>111</v>
      </c>
      <c r="H885" s="16">
        <v>43992</v>
      </c>
      <c r="I885" s="16">
        <v>43994</v>
      </c>
      <c r="J885" s="22">
        <v>10</v>
      </c>
      <c r="K885" s="22">
        <v>10</v>
      </c>
      <c r="L885" s="22" t="s">
        <v>2613</v>
      </c>
      <c r="M885" s="26" t="s">
        <v>98</v>
      </c>
      <c r="N885" s="13" t="s">
        <v>230</v>
      </c>
      <c r="O885" s="13" t="s">
        <v>444</v>
      </c>
      <c r="P885" s="13" t="s">
        <v>60</v>
      </c>
      <c r="Q885" s="13" t="s">
        <v>41</v>
      </c>
      <c r="R885" s="13" t="s">
        <v>270</v>
      </c>
      <c r="S885" s="13" t="s">
        <v>2614</v>
      </c>
      <c r="T885" s="13" t="s">
        <v>2615</v>
      </c>
      <c r="U885" s="13"/>
      <c r="V885" s="13"/>
      <c r="W885" s="13"/>
      <c r="X885" s="14"/>
      <c r="AL885" s="14">
        <v>10</v>
      </c>
      <c r="AN885" s="7" t="s">
        <v>155</v>
      </c>
      <c r="AO885" s="21">
        <f t="shared" si="43"/>
        <v>10</v>
      </c>
      <c r="AP885" s="7">
        <f t="shared" si="44"/>
        <v>0</v>
      </c>
      <c r="AQ885" s="31" t="str">
        <f t="shared" si="42"/>
        <v>Complete - With Adjustment</v>
      </c>
    </row>
    <row r="886" spans="1:43" x14ac:dyDescent="0.2">
      <c r="A886" s="46">
        <v>876</v>
      </c>
      <c r="B886" s="13" t="s">
        <v>266</v>
      </c>
      <c r="C886" s="13" t="s">
        <v>2610</v>
      </c>
      <c r="D886" s="13" t="s">
        <v>2611</v>
      </c>
      <c r="E886" s="13" t="s">
        <v>2616</v>
      </c>
      <c r="F886" s="13" t="s">
        <v>214</v>
      </c>
      <c r="G886" s="13" t="s">
        <v>111</v>
      </c>
      <c r="H886" s="16">
        <v>43972</v>
      </c>
      <c r="I886" s="16">
        <v>43990</v>
      </c>
      <c r="J886" s="22">
        <v>21.73</v>
      </c>
      <c r="K886" s="22">
        <v>21.73</v>
      </c>
      <c r="L886" s="22" t="s">
        <v>2617</v>
      </c>
      <c r="M886" s="26" t="s">
        <v>98</v>
      </c>
      <c r="N886" s="13" t="s">
        <v>230</v>
      </c>
      <c r="O886" s="13" t="s">
        <v>444</v>
      </c>
      <c r="P886" s="13" t="s">
        <v>60</v>
      </c>
      <c r="Q886" s="13" t="s">
        <v>41</v>
      </c>
      <c r="R886" s="13" t="s">
        <v>270</v>
      </c>
      <c r="S886" s="13" t="s">
        <v>1387</v>
      </c>
      <c r="T886" s="13" t="s">
        <v>2618</v>
      </c>
      <c r="U886" s="13"/>
      <c r="V886" s="13"/>
      <c r="W886" s="13"/>
      <c r="X886" s="14"/>
      <c r="AL886" s="14">
        <v>21.73</v>
      </c>
      <c r="AN886" s="7" t="s">
        <v>167</v>
      </c>
      <c r="AO886" s="21">
        <f t="shared" si="43"/>
        <v>21.73</v>
      </c>
      <c r="AP886" s="7">
        <f t="shared" si="44"/>
        <v>0</v>
      </c>
      <c r="AQ886" s="31" t="str">
        <f t="shared" si="42"/>
        <v>Complete - With Adjustment</v>
      </c>
    </row>
    <row r="887" spans="1:43" x14ac:dyDescent="0.2">
      <c r="A887" s="46">
        <v>877</v>
      </c>
      <c r="B887" s="13" t="s">
        <v>266</v>
      </c>
      <c r="C887" s="13" t="s">
        <v>441</v>
      </c>
      <c r="D887" s="13" t="s">
        <v>440</v>
      </c>
      <c r="E887" s="13" t="s">
        <v>2619</v>
      </c>
      <c r="F887" s="13" t="s">
        <v>219</v>
      </c>
      <c r="G887" s="13" t="s">
        <v>111</v>
      </c>
      <c r="H887" s="16">
        <v>43994</v>
      </c>
      <c r="I887" s="16">
        <v>43998</v>
      </c>
      <c r="J887" s="22">
        <v>872.39</v>
      </c>
      <c r="K887" s="22">
        <v>872.39</v>
      </c>
      <c r="L887" s="22" t="s">
        <v>2620</v>
      </c>
      <c r="M887" s="26" t="s">
        <v>98</v>
      </c>
      <c r="N887" s="13" t="s">
        <v>230</v>
      </c>
      <c r="O887" s="13" t="s">
        <v>280</v>
      </c>
      <c r="P887" s="13" t="s">
        <v>60</v>
      </c>
      <c r="Q887" s="13" t="s">
        <v>104</v>
      </c>
      <c r="R887" s="13" t="s">
        <v>270</v>
      </c>
      <c r="S887" s="13" t="s">
        <v>2621</v>
      </c>
      <c r="T887" s="13" t="s">
        <v>2622</v>
      </c>
      <c r="U887" s="13"/>
      <c r="V887" s="13"/>
      <c r="W887" s="13"/>
      <c r="X887" s="14"/>
      <c r="AN887" s="7" t="s">
        <v>70</v>
      </c>
      <c r="AO887" s="21">
        <f t="shared" si="43"/>
        <v>0</v>
      </c>
      <c r="AP887" s="7">
        <f t="shared" si="44"/>
        <v>872.39</v>
      </c>
      <c r="AQ887" s="31" t="str">
        <f t="shared" si="42"/>
        <v>Complete - No Adjustment</v>
      </c>
    </row>
    <row r="888" spans="1:43" x14ac:dyDescent="0.2">
      <c r="A888" s="46">
        <v>878</v>
      </c>
      <c r="B888" s="13" t="s">
        <v>266</v>
      </c>
      <c r="C888" s="13" t="s">
        <v>786</v>
      </c>
      <c r="D888" s="13" t="s">
        <v>785</v>
      </c>
      <c r="E888" s="13" t="s">
        <v>2623</v>
      </c>
      <c r="F888" s="13" t="s">
        <v>217</v>
      </c>
      <c r="G888" s="13" t="s">
        <v>111</v>
      </c>
      <c r="H888" s="16">
        <v>43991</v>
      </c>
      <c r="I888" s="16">
        <v>44007</v>
      </c>
      <c r="J888" s="22">
        <v>15</v>
      </c>
      <c r="K888" s="22">
        <v>15</v>
      </c>
      <c r="L888" s="22" t="s">
        <v>2624</v>
      </c>
      <c r="M888" s="26" t="s">
        <v>98</v>
      </c>
      <c r="N888" s="13" t="s">
        <v>230</v>
      </c>
      <c r="O888" s="13" t="s">
        <v>365</v>
      </c>
      <c r="P888" s="13" t="s">
        <v>60</v>
      </c>
      <c r="Q888" s="13" t="s">
        <v>46</v>
      </c>
      <c r="R888" s="13" t="s">
        <v>270</v>
      </c>
      <c r="S888" s="13" t="s">
        <v>2625</v>
      </c>
      <c r="T888" s="13" t="s">
        <v>2626</v>
      </c>
      <c r="U888" s="13"/>
      <c r="V888" s="13"/>
      <c r="W888" s="13"/>
      <c r="X888" s="14"/>
      <c r="AN888" s="7" t="s">
        <v>155</v>
      </c>
      <c r="AO888" s="21">
        <f t="shared" si="43"/>
        <v>0</v>
      </c>
      <c r="AP888" s="7">
        <f t="shared" si="44"/>
        <v>15</v>
      </c>
      <c r="AQ888" s="31" t="str">
        <f t="shared" si="42"/>
        <v>Complete - No Adjustment</v>
      </c>
    </row>
    <row r="889" spans="1:43" x14ac:dyDescent="0.2">
      <c r="A889" s="46">
        <v>879</v>
      </c>
      <c r="B889" s="13" t="s">
        <v>266</v>
      </c>
      <c r="C889" s="13" t="s">
        <v>443</v>
      </c>
      <c r="D889" s="13" t="s">
        <v>442</v>
      </c>
      <c r="E889" s="13" t="s">
        <v>2627</v>
      </c>
      <c r="F889" s="13" t="s">
        <v>211</v>
      </c>
      <c r="G889" s="13" t="s">
        <v>111</v>
      </c>
      <c r="H889" s="16">
        <v>43992</v>
      </c>
      <c r="I889" s="16">
        <v>43994</v>
      </c>
      <c r="J889" s="22">
        <v>12.5</v>
      </c>
      <c r="K889" s="22">
        <v>12.5</v>
      </c>
      <c r="L889" s="22" t="s">
        <v>2628</v>
      </c>
      <c r="M889" s="26" t="s">
        <v>98</v>
      </c>
      <c r="N889" s="13" t="s">
        <v>230</v>
      </c>
      <c r="O889" s="13" t="s">
        <v>444</v>
      </c>
      <c r="P889" s="13" t="s">
        <v>60</v>
      </c>
      <c r="Q889" s="13" t="s">
        <v>41</v>
      </c>
      <c r="R889" s="13" t="s">
        <v>270</v>
      </c>
      <c r="S889" s="13" t="s">
        <v>2629</v>
      </c>
      <c r="T889" s="13" t="s">
        <v>2630</v>
      </c>
      <c r="U889" s="13"/>
      <c r="V889" s="13"/>
      <c r="W889" s="13"/>
      <c r="X889" s="14"/>
      <c r="AN889" s="7" t="s">
        <v>155</v>
      </c>
      <c r="AO889" s="21">
        <f t="shared" si="43"/>
        <v>0</v>
      </c>
      <c r="AP889" s="7">
        <f t="shared" si="44"/>
        <v>12.5</v>
      </c>
      <c r="AQ889" s="31" t="str">
        <f t="shared" si="42"/>
        <v>Complete - No Adjustment</v>
      </c>
    </row>
    <row r="890" spans="1:43" x14ac:dyDescent="0.2">
      <c r="A890" s="46">
        <v>880</v>
      </c>
      <c r="B890" s="13" t="s">
        <v>266</v>
      </c>
      <c r="C890" s="13" t="s">
        <v>2631</v>
      </c>
      <c r="D890" s="13" t="s">
        <v>2632</v>
      </c>
      <c r="E890" s="13" t="s">
        <v>2633</v>
      </c>
      <c r="F890" s="13" t="s">
        <v>210</v>
      </c>
      <c r="G890" s="13" t="s">
        <v>111</v>
      </c>
      <c r="H890" s="16">
        <v>43991</v>
      </c>
      <c r="I890" s="16">
        <v>44005</v>
      </c>
      <c r="J890" s="22">
        <v>15</v>
      </c>
      <c r="K890" s="22">
        <v>15</v>
      </c>
      <c r="L890" s="22" t="s">
        <v>2634</v>
      </c>
      <c r="M890" s="26" t="s">
        <v>98</v>
      </c>
      <c r="N890" s="13" t="s">
        <v>230</v>
      </c>
      <c r="O890" s="13" t="s">
        <v>289</v>
      </c>
      <c r="P890" s="13" t="s">
        <v>60</v>
      </c>
      <c r="Q890" s="13" t="s">
        <v>41</v>
      </c>
      <c r="R890" s="13" t="s">
        <v>270</v>
      </c>
      <c r="S890" s="13" t="s">
        <v>2635</v>
      </c>
      <c r="T890" s="13" t="s">
        <v>2636</v>
      </c>
      <c r="U890" s="13"/>
      <c r="V890" s="13"/>
      <c r="W890" s="13"/>
      <c r="X890" s="14"/>
      <c r="AN890" s="7" t="s">
        <v>155</v>
      </c>
      <c r="AO890" s="21">
        <f t="shared" si="43"/>
        <v>0</v>
      </c>
      <c r="AP890" s="7">
        <f t="shared" si="44"/>
        <v>15</v>
      </c>
      <c r="AQ890" s="31" t="str">
        <f t="shared" si="42"/>
        <v>Complete - No Adjustment</v>
      </c>
    </row>
    <row r="891" spans="1:43" x14ac:dyDescent="0.2">
      <c r="A891" s="46">
        <v>881</v>
      </c>
      <c r="B891" s="13" t="s">
        <v>266</v>
      </c>
      <c r="C891" s="13" t="s">
        <v>2631</v>
      </c>
      <c r="D891" s="13" t="s">
        <v>2632</v>
      </c>
      <c r="E891" s="13" t="s">
        <v>2637</v>
      </c>
      <c r="F891" s="13" t="s">
        <v>218</v>
      </c>
      <c r="G891" s="13" t="s">
        <v>111</v>
      </c>
      <c r="H891" s="16">
        <v>43990</v>
      </c>
      <c r="I891" s="16">
        <v>43991</v>
      </c>
      <c r="J891" s="22">
        <v>389</v>
      </c>
      <c r="K891" s="22">
        <v>389</v>
      </c>
      <c r="L891" s="22" t="s">
        <v>2638</v>
      </c>
      <c r="M891" s="26" t="s">
        <v>98</v>
      </c>
      <c r="N891" s="13" t="s">
        <v>230</v>
      </c>
      <c r="O891" s="13" t="s">
        <v>289</v>
      </c>
      <c r="P891" s="13" t="s">
        <v>60</v>
      </c>
      <c r="Q891" s="13" t="s">
        <v>59</v>
      </c>
      <c r="R891" s="13" t="s">
        <v>270</v>
      </c>
      <c r="S891" s="13" t="s">
        <v>2639</v>
      </c>
      <c r="T891" s="13" t="s">
        <v>2640</v>
      </c>
      <c r="U891" s="13"/>
      <c r="V891" s="13"/>
      <c r="W891" s="13"/>
      <c r="X891" s="14"/>
      <c r="AN891" s="7" t="s">
        <v>70</v>
      </c>
      <c r="AO891" s="21">
        <f t="shared" si="43"/>
        <v>0</v>
      </c>
      <c r="AP891" s="7">
        <f t="shared" si="44"/>
        <v>389</v>
      </c>
      <c r="AQ891" s="31" t="str">
        <f t="shared" si="42"/>
        <v>Complete - No Adjustment</v>
      </c>
    </row>
    <row r="892" spans="1:43" x14ac:dyDescent="0.2">
      <c r="A892" s="46">
        <v>882</v>
      </c>
      <c r="B892" s="13" t="s">
        <v>266</v>
      </c>
      <c r="C892" s="13" t="s">
        <v>561</v>
      </c>
      <c r="D892" s="13" t="s">
        <v>560</v>
      </c>
      <c r="E892" s="13" t="s">
        <v>2641</v>
      </c>
      <c r="F892" s="13" t="s">
        <v>219</v>
      </c>
      <c r="G892" s="13" t="s">
        <v>111</v>
      </c>
      <c r="H892" s="16">
        <v>43994</v>
      </c>
      <c r="I892" s="16">
        <v>43998</v>
      </c>
      <c r="J892" s="22">
        <v>40.64</v>
      </c>
      <c r="K892" s="22">
        <v>5.41</v>
      </c>
      <c r="L892" s="22" t="s">
        <v>2642</v>
      </c>
      <c r="M892" s="26" t="s">
        <v>98</v>
      </c>
      <c r="N892" s="13" t="s">
        <v>230</v>
      </c>
      <c r="O892" s="13" t="s">
        <v>281</v>
      </c>
      <c r="P892" s="13" t="s">
        <v>60</v>
      </c>
      <c r="Q892" s="13" t="s">
        <v>174</v>
      </c>
      <c r="R892" s="13" t="s">
        <v>270</v>
      </c>
      <c r="S892" s="13" t="s">
        <v>2643</v>
      </c>
      <c r="T892" s="13" t="s">
        <v>2644</v>
      </c>
      <c r="U892" s="13"/>
      <c r="V892" s="13"/>
      <c r="W892" s="13"/>
      <c r="X892" s="14"/>
      <c r="AN892" s="7" t="s">
        <v>70</v>
      </c>
      <c r="AO892" s="21">
        <f t="shared" si="43"/>
        <v>0</v>
      </c>
      <c r="AP892" s="7">
        <f t="shared" si="44"/>
        <v>5.41</v>
      </c>
      <c r="AQ892" s="31" t="str">
        <f t="shared" si="42"/>
        <v>Complete - No Adjustment</v>
      </c>
    </row>
    <row r="893" spans="1:43" x14ac:dyDescent="0.2">
      <c r="A893" s="46">
        <v>883</v>
      </c>
      <c r="B893" s="13" t="s">
        <v>266</v>
      </c>
      <c r="C893" s="13" t="s">
        <v>561</v>
      </c>
      <c r="D893" s="13" t="s">
        <v>560</v>
      </c>
      <c r="E893" s="13" t="s">
        <v>2641</v>
      </c>
      <c r="F893" s="13" t="s">
        <v>219</v>
      </c>
      <c r="G893" s="13" t="s">
        <v>111</v>
      </c>
      <c r="H893" s="16">
        <v>43994</v>
      </c>
      <c r="I893" s="16">
        <v>43998</v>
      </c>
      <c r="J893" s="22">
        <v>40.64</v>
      </c>
      <c r="K893" s="22">
        <v>15</v>
      </c>
      <c r="L893" s="22" t="s">
        <v>2642</v>
      </c>
      <c r="M893" s="26" t="s">
        <v>98</v>
      </c>
      <c r="N893" s="13" t="s">
        <v>230</v>
      </c>
      <c r="O893" s="13" t="s">
        <v>281</v>
      </c>
      <c r="P893" s="13" t="s">
        <v>60</v>
      </c>
      <c r="Q893" s="13" t="s">
        <v>41</v>
      </c>
      <c r="R893" s="13" t="s">
        <v>270</v>
      </c>
      <c r="S893" s="13" t="s">
        <v>2643</v>
      </c>
      <c r="T893" s="13" t="s">
        <v>2645</v>
      </c>
      <c r="U893" s="13"/>
      <c r="V893" s="13"/>
      <c r="W893" s="13"/>
      <c r="X893" s="14"/>
      <c r="AN893" s="7" t="s">
        <v>155</v>
      </c>
      <c r="AO893" s="21">
        <f t="shared" si="43"/>
        <v>0</v>
      </c>
      <c r="AP893" s="7">
        <f t="shared" si="44"/>
        <v>15</v>
      </c>
      <c r="AQ893" s="31" t="str">
        <f t="shared" si="42"/>
        <v>Complete - No Adjustment</v>
      </c>
    </row>
    <row r="894" spans="1:43" x14ac:dyDescent="0.2">
      <c r="A894" s="46">
        <v>884</v>
      </c>
      <c r="B894" s="13" t="s">
        <v>266</v>
      </c>
      <c r="C894" s="13" t="s">
        <v>561</v>
      </c>
      <c r="D894" s="13" t="s">
        <v>560</v>
      </c>
      <c r="E894" s="13" t="s">
        <v>2641</v>
      </c>
      <c r="F894" s="13" t="s">
        <v>219</v>
      </c>
      <c r="G894" s="13" t="s">
        <v>111</v>
      </c>
      <c r="H894" s="16">
        <v>43994</v>
      </c>
      <c r="I894" s="16">
        <v>43998</v>
      </c>
      <c r="J894" s="22">
        <v>40.64</v>
      </c>
      <c r="K894" s="22">
        <v>20.23</v>
      </c>
      <c r="L894" s="22" t="s">
        <v>2642</v>
      </c>
      <c r="M894" s="26" t="s">
        <v>98</v>
      </c>
      <c r="N894" s="13" t="s">
        <v>230</v>
      </c>
      <c r="O894" s="13" t="s">
        <v>281</v>
      </c>
      <c r="P894" s="13" t="s">
        <v>60</v>
      </c>
      <c r="Q894" s="13" t="s">
        <v>41</v>
      </c>
      <c r="R894" s="13" t="s">
        <v>270</v>
      </c>
      <c r="S894" s="13" t="s">
        <v>2643</v>
      </c>
      <c r="T894" s="13" t="s">
        <v>2645</v>
      </c>
      <c r="U894" s="13"/>
      <c r="V894" s="13"/>
      <c r="W894" s="13"/>
      <c r="X894" s="14"/>
      <c r="AN894" s="7" t="s">
        <v>155</v>
      </c>
      <c r="AO894" s="21">
        <f t="shared" si="43"/>
        <v>0</v>
      </c>
      <c r="AP894" s="7">
        <f t="shared" si="44"/>
        <v>20.23</v>
      </c>
      <c r="AQ894" s="31" t="str">
        <f t="shared" si="42"/>
        <v>Complete - No Adjustment</v>
      </c>
    </row>
    <row r="895" spans="1:43" x14ac:dyDescent="0.2">
      <c r="A895" s="46">
        <v>885</v>
      </c>
      <c r="B895" s="13" t="s">
        <v>266</v>
      </c>
      <c r="C895" s="13" t="s">
        <v>446</v>
      </c>
      <c r="D895" s="13" t="s">
        <v>445</v>
      </c>
      <c r="E895" s="13" t="s">
        <v>2646</v>
      </c>
      <c r="F895" s="13" t="s">
        <v>210</v>
      </c>
      <c r="G895" s="13" t="s">
        <v>111</v>
      </c>
      <c r="H895" s="16">
        <v>44002</v>
      </c>
      <c r="I895" s="16">
        <v>44005</v>
      </c>
      <c r="J895" s="22">
        <v>96.07</v>
      </c>
      <c r="K895" s="22">
        <v>21.27</v>
      </c>
      <c r="L895" s="22" t="s">
        <v>2647</v>
      </c>
      <c r="M895" s="26" t="s">
        <v>98</v>
      </c>
      <c r="N895" s="13" t="s">
        <v>230</v>
      </c>
      <c r="O895" s="13" t="s">
        <v>293</v>
      </c>
      <c r="P895" s="13" t="s">
        <v>60</v>
      </c>
      <c r="Q895" s="13" t="s">
        <v>79</v>
      </c>
      <c r="R895" s="13" t="s">
        <v>270</v>
      </c>
      <c r="S895" s="13" t="s">
        <v>2648</v>
      </c>
      <c r="T895" s="13" t="s">
        <v>812</v>
      </c>
      <c r="U895" s="13"/>
      <c r="V895" s="13"/>
      <c r="W895" s="13"/>
      <c r="X895" s="14"/>
      <c r="AN895" s="7" t="s">
        <v>70</v>
      </c>
      <c r="AO895" s="21">
        <f t="shared" si="43"/>
        <v>0</v>
      </c>
      <c r="AP895" s="7">
        <f t="shared" si="44"/>
        <v>21.27</v>
      </c>
      <c r="AQ895" s="31" t="str">
        <f t="shared" si="42"/>
        <v>Complete - No Adjustment</v>
      </c>
    </row>
    <row r="896" spans="1:43" x14ac:dyDescent="0.2">
      <c r="A896" s="46">
        <v>886</v>
      </c>
      <c r="B896" s="13" t="s">
        <v>266</v>
      </c>
      <c r="C896" s="13" t="s">
        <v>446</v>
      </c>
      <c r="D896" s="13" t="s">
        <v>445</v>
      </c>
      <c r="E896" s="13" t="s">
        <v>2646</v>
      </c>
      <c r="F896" s="13" t="s">
        <v>210</v>
      </c>
      <c r="G896" s="13" t="s">
        <v>111</v>
      </c>
      <c r="H896" s="16">
        <v>44002</v>
      </c>
      <c r="I896" s="16">
        <v>44005</v>
      </c>
      <c r="J896" s="22">
        <v>96.07</v>
      </c>
      <c r="K896" s="22">
        <v>74.8</v>
      </c>
      <c r="L896" s="22" t="s">
        <v>2647</v>
      </c>
      <c r="M896" s="26" t="s">
        <v>98</v>
      </c>
      <c r="N896" s="13" t="s">
        <v>230</v>
      </c>
      <c r="O896" s="13" t="s">
        <v>293</v>
      </c>
      <c r="P896" s="13" t="s">
        <v>60</v>
      </c>
      <c r="Q896" s="13" t="s">
        <v>41</v>
      </c>
      <c r="R896" s="13" t="s">
        <v>270</v>
      </c>
      <c r="S896" s="13" t="s">
        <v>2648</v>
      </c>
      <c r="T896" s="13" t="s">
        <v>2649</v>
      </c>
      <c r="U896" s="13"/>
      <c r="V896" s="13"/>
      <c r="W896" s="13"/>
      <c r="X896" s="14"/>
      <c r="AN896" s="7" t="s">
        <v>70</v>
      </c>
      <c r="AO896" s="21">
        <f t="shared" si="43"/>
        <v>0</v>
      </c>
      <c r="AP896" s="7">
        <f t="shared" si="44"/>
        <v>74.8</v>
      </c>
      <c r="AQ896" s="31" t="str">
        <f t="shared" si="42"/>
        <v>Complete - No Adjustment</v>
      </c>
    </row>
    <row r="897" spans="1:43" x14ac:dyDescent="0.2">
      <c r="A897" s="46">
        <v>887</v>
      </c>
      <c r="B897" s="13" t="s">
        <v>266</v>
      </c>
      <c r="C897" s="13" t="s">
        <v>448</v>
      </c>
      <c r="D897" s="13" t="s">
        <v>447</v>
      </c>
      <c r="E897" s="13" t="s">
        <v>2650</v>
      </c>
      <c r="F897" s="13" t="s">
        <v>211</v>
      </c>
      <c r="G897" s="13" t="s">
        <v>111</v>
      </c>
      <c r="H897" s="16">
        <v>43992</v>
      </c>
      <c r="I897" s="16">
        <v>43994</v>
      </c>
      <c r="J897" s="22">
        <v>11.36</v>
      </c>
      <c r="K897" s="22">
        <v>11.36</v>
      </c>
      <c r="L897" s="22" t="s">
        <v>2651</v>
      </c>
      <c r="M897" s="26" t="s">
        <v>97</v>
      </c>
      <c r="N897" s="13" t="s">
        <v>230</v>
      </c>
      <c r="O897" s="13" t="s">
        <v>288</v>
      </c>
      <c r="P897" s="13" t="s">
        <v>42</v>
      </c>
      <c r="Q897" s="13" t="s">
        <v>41</v>
      </c>
      <c r="R897" s="13" t="s">
        <v>270</v>
      </c>
      <c r="S897" s="13" t="s">
        <v>2652</v>
      </c>
      <c r="T897" s="13" t="s">
        <v>2653</v>
      </c>
      <c r="U897" s="13"/>
      <c r="V897" s="13"/>
      <c r="W897" s="13"/>
      <c r="X897" s="14"/>
      <c r="AL897" s="14">
        <v>11.36</v>
      </c>
      <c r="AN897" s="7" t="s">
        <v>155</v>
      </c>
      <c r="AO897" s="21">
        <f t="shared" si="43"/>
        <v>11.36</v>
      </c>
      <c r="AP897" s="7">
        <f t="shared" si="44"/>
        <v>0</v>
      </c>
      <c r="AQ897" s="31" t="str">
        <f t="shared" si="42"/>
        <v>Complete - With Adjustment</v>
      </c>
    </row>
    <row r="898" spans="1:43" x14ac:dyDescent="0.2">
      <c r="A898" s="46">
        <v>888</v>
      </c>
      <c r="B898" s="13" t="s">
        <v>266</v>
      </c>
      <c r="C898" s="13" t="s">
        <v>680</v>
      </c>
      <c r="D898" s="13" t="s">
        <v>679</v>
      </c>
      <c r="E898" s="13" t="s">
        <v>2654</v>
      </c>
      <c r="F898" s="13" t="s">
        <v>206</v>
      </c>
      <c r="G898" s="13" t="s">
        <v>111</v>
      </c>
      <c r="H898" s="16">
        <v>43991</v>
      </c>
      <c r="I898" s="16">
        <v>43992</v>
      </c>
      <c r="J898" s="22">
        <v>14.59</v>
      </c>
      <c r="K898" s="22">
        <v>14.59</v>
      </c>
      <c r="L898" s="22" t="s">
        <v>2655</v>
      </c>
      <c r="M898" s="26" t="s">
        <v>98</v>
      </c>
      <c r="N898" s="13" t="s">
        <v>230</v>
      </c>
      <c r="O898" s="13" t="s">
        <v>404</v>
      </c>
      <c r="P898" s="13" t="s">
        <v>60</v>
      </c>
      <c r="Q898" s="13" t="s">
        <v>41</v>
      </c>
      <c r="R898" s="13" t="s">
        <v>270</v>
      </c>
      <c r="S898" s="13" t="s">
        <v>2656</v>
      </c>
      <c r="T898" s="13" t="s">
        <v>2657</v>
      </c>
      <c r="U898" s="13"/>
      <c r="V898" s="13"/>
      <c r="W898" s="13"/>
      <c r="X898" s="14"/>
      <c r="AN898" s="7" t="s">
        <v>155</v>
      </c>
      <c r="AO898" s="21">
        <f t="shared" si="43"/>
        <v>0</v>
      </c>
      <c r="AP898" s="7">
        <f t="shared" si="44"/>
        <v>14.59</v>
      </c>
      <c r="AQ898" s="31" t="str">
        <f t="shared" si="42"/>
        <v>Complete - No Adjustment</v>
      </c>
    </row>
    <row r="899" spans="1:43" x14ac:dyDescent="0.2">
      <c r="A899" s="46">
        <v>889</v>
      </c>
      <c r="B899" s="13" t="s">
        <v>266</v>
      </c>
      <c r="C899" s="13" t="s">
        <v>616</v>
      </c>
      <c r="D899" s="13" t="s">
        <v>615</v>
      </c>
      <c r="E899" s="13" t="s">
        <v>2658</v>
      </c>
      <c r="F899" s="13" t="s">
        <v>209</v>
      </c>
      <c r="G899" s="13" t="s">
        <v>111</v>
      </c>
      <c r="H899" s="16">
        <v>43991</v>
      </c>
      <c r="I899" s="16">
        <v>43993</v>
      </c>
      <c r="J899" s="22">
        <v>13.95</v>
      </c>
      <c r="K899" s="22">
        <v>13.95</v>
      </c>
      <c r="L899" s="22" t="s">
        <v>2659</v>
      </c>
      <c r="M899" s="26" t="s">
        <v>98</v>
      </c>
      <c r="N899" s="13" t="s">
        <v>230</v>
      </c>
      <c r="O899" s="13" t="s">
        <v>378</v>
      </c>
      <c r="P899" s="13" t="s">
        <v>60</v>
      </c>
      <c r="Q899" s="13" t="s">
        <v>41</v>
      </c>
      <c r="R899" s="13" t="s">
        <v>270</v>
      </c>
      <c r="S899" s="13" t="s">
        <v>2660</v>
      </c>
      <c r="T899" s="13" t="s">
        <v>2661</v>
      </c>
      <c r="U899" s="13"/>
      <c r="V899" s="13"/>
      <c r="W899" s="13"/>
      <c r="X899" s="14"/>
      <c r="AN899" s="7" t="s">
        <v>155</v>
      </c>
      <c r="AO899" s="21">
        <f t="shared" si="43"/>
        <v>0</v>
      </c>
      <c r="AP899" s="7">
        <f t="shared" si="44"/>
        <v>13.95</v>
      </c>
      <c r="AQ899" s="31" t="str">
        <f t="shared" si="42"/>
        <v>Complete - No Adjustment</v>
      </c>
    </row>
    <row r="900" spans="1:43" x14ac:dyDescent="0.2">
      <c r="A900" s="46">
        <v>890</v>
      </c>
      <c r="B900" s="13" t="s">
        <v>266</v>
      </c>
      <c r="C900" s="13" t="s">
        <v>253</v>
      </c>
      <c r="D900" s="13" t="s">
        <v>252</v>
      </c>
      <c r="E900" s="13" t="s">
        <v>2662</v>
      </c>
      <c r="F900" s="13" t="s">
        <v>205</v>
      </c>
      <c r="G900" s="13" t="s">
        <v>111</v>
      </c>
      <c r="H900" s="16">
        <v>44005</v>
      </c>
      <c r="I900" s="16">
        <v>44011</v>
      </c>
      <c r="J900" s="22">
        <v>51.23</v>
      </c>
      <c r="K900" s="22">
        <v>51.23</v>
      </c>
      <c r="L900" s="22" t="s">
        <v>2663</v>
      </c>
      <c r="M900" s="26" t="s">
        <v>97</v>
      </c>
      <c r="N900" s="13" t="s">
        <v>230</v>
      </c>
      <c r="O900" s="13" t="s">
        <v>326</v>
      </c>
      <c r="P900" s="13" t="s">
        <v>42</v>
      </c>
      <c r="Q900" s="13" t="s">
        <v>57</v>
      </c>
      <c r="R900" s="13" t="s">
        <v>270</v>
      </c>
      <c r="S900" s="13" t="s">
        <v>2664</v>
      </c>
      <c r="T900" s="13" t="s">
        <v>772</v>
      </c>
      <c r="U900" s="13"/>
      <c r="V900" s="13"/>
      <c r="W900" s="13"/>
      <c r="X900" s="14"/>
      <c r="AL900" s="14">
        <v>51.23</v>
      </c>
      <c r="AN900" s="7" t="s">
        <v>146</v>
      </c>
      <c r="AO900" s="21">
        <f t="shared" si="43"/>
        <v>51.23</v>
      </c>
      <c r="AP900" s="7">
        <f t="shared" si="44"/>
        <v>0</v>
      </c>
      <c r="AQ900" s="31" t="str">
        <f t="shared" si="42"/>
        <v>Complete - With Adjustment</v>
      </c>
    </row>
    <row r="901" spans="1:43" x14ac:dyDescent="0.2">
      <c r="A901" s="46">
        <v>891</v>
      </c>
      <c r="B901" s="13" t="s">
        <v>266</v>
      </c>
      <c r="C901" s="13" t="s">
        <v>253</v>
      </c>
      <c r="D901" s="13" t="s">
        <v>252</v>
      </c>
      <c r="E901" s="13" t="s">
        <v>2665</v>
      </c>
      <c r="F901" s="13" t="s">
        <v>209</v>
      </c>
      <c r="G901" s="13" t="s">
        <v>111</v>
      </c>
      <c r="H901" s="16">
        <v>43958</v>
      </c>
      <c r="I901" s="16">
        <v>43993</v>
      </c>
      <c r="J901" s="22">
        <v>266.18</v>
      </c>
      <c r="K901" s="22">
        <v>51.23</v>
      </c>
      <c r="L901" s="22" t="s">
        <v>2666</v>
      </c>
      <c r="M901" s="26" t="s">
        <v>97</v>
      </c>
      <c r="N901" s="13" t="s">
        <v>230</v>
      </c>
      <c r="O901" s="13" t="s">
        <v>326</v>
      </c>
      <c r="P901" s="13" t="s">
        <v>42</v>
      </c>
      <c r="Q901" s="13" t="s">
        <v>57</v>
      </c>
      <c r="R901" s="13" t="s">
        <v>270</v>
      </c>
      <c r="S901" s="13" t="s">
        <v>2667</v>
      </c>
      <c r="T901" s="13" t="s">
        <v>2668</v>
      </c>
      <c r="U901" s="13"/>
      <c r="V901" s="13"/>
      <c r="W901" s="13"/>
      <c r="X901" s="14"/>
      <c r="AL901" s="14">
        <v>51.23</v>
      </c>
      <c r="AN901" s="7" t="s">
        <v>146</v>
      </c>
      <c r="AO901" s="21">
        <f t="shared" si="43"/>
        <v>51.23</v>
      </c>
      <c r="AP901" s="7">
        <f t="shared" si="44"/>
        <v>0</v>
      </c>
      <c r="AQ901" s="31" t="str">
        <f t="shared" si="42"/>
        <v>Complete - With Adjustment</v>
      </c>
    </row>
    <row r="902" spans="1:43" x14ac:dyDescent="0.2">
      <c r="A902" s="46">
        <v>892</v>
      </c>
      <c r="B902" s="13" t="s">
        <v>266</v>
      </c>
      <c r="C902" s="13" t="s">
        <v>253</v>
      </c>
      <c r="D902" s="13" t="s">
        <v>252</v>
      </c>
      <c r="E902" s="13" t="s">
        <v>2665</v>
      </c>
      <c r="F902" s="13" t="s">
        <v>209</v>
      </c>
      <c r="G902" s="13" t="s">
        <v>111</v>
      </c>
      <c r="H902" s="16">
        <v>43958</v>
      </c>
      <c r="I902" s="16">
        <v>43993</v>
      </c>
      <c r="J902" s="22">
        <v>266.18</v>
      </c>
      <c r="K902" s="22">
        <v>20</v>
      </c>
      <c r="L902" s="22" t="s">
        <v>2666</v>
      </c>
      <c r="M902" s="26" t="s">
        <v>98</v>
      </c>
      <c r="N902" s="13" t="s">
        <v>230</v>
      </c>
      <c r="O902" s="13" t="s">
        <v>375</v>
      </c>
      <c r="P902" s="13" t="s">
        <v>60</v>
      </c>
      <c r="Q902" s="13" t="s">
        <v>73</v>
      </c>
      <c r="R902" s="13" t="s">
        <v>270</v>
      </c>
      <c r="S902" s="13" t="s">
        <v>2667</v>
      </c>
      <c r="T902" s="13" t="s">
        <v>2669</v>
      </c>
      <c r="U902" s="13"/>
      <c r="V902" s="13"/>
      <c r="W902" s="13"/>
      <c r="X902" s="14"/>
      <c r="AL902" s="14">
        <v>20</v>
      </c>
      <c r="AN902" s="7" t="s">
        <v>146</v>
      </c>
      <c r="AO902" s="21">
        <f t="shared" si="43"/>
        <v>20</v>
      </c>
      <c r="AP902" s="7">
        <f t="shared" si="44"/>
        <v>0</v>
      </c>
      <c r="AQ902" s="31" t="str">
        <f t="shared" si="42"/>
        <v>Complete - With Adjustment</v>
      </c>
    </row>
    <row r="903" spans="1:43" x14ac:dyDescent="0.2">
      <c r="A903" s="46">
        <v>893</v>
      </c>
      <c r="B903" s="13" t="s">
        <v>266</v>
      </c>
      <c r="C903" s="13" t="s">
        <v>253</v>
      </c>
      <c r="D903" s="13" t="s">
        <v>252</v>
      </c>
      <c r="E903" s="13" t="s">
        <v>2665</v>
      </c>
      <c r="F903" s="13" t="s">
        <v>209</v>
      </c>
      <c r="G903" s="13" t="s">
        <v>111</v>
      </c>
      <c r="H903" s="16">
        <v>43958</v>
      </c>
      <c r="I903" s="16">
        <v>43993</v>
      </c>
      <c r="J903" s="22">
        <v>266.18</v>
      </c>
      <c r="K903" s="22">
        <v>6.67</v>
      </c>
      <c r="L903" s="22" t="s">
        <v>2666</v>
      </c>
      <c r="M903" s="26" t="s">
        <v>98</v>
      </c>
      <c r="N903" s="13" t="s">
        <v>230</v>
      </c>
      <c r="O903" s="13" t="s">
        <v>444</v>
      </c>
      <c r="P903" s="13" t="s">
        <v>60</v>
      </c>
      <c r="Q903" s="13" t="s">
        <v>73</v>
      </c>
      <c r="R903" s="13" t="s">
        <v>270</v>
      </c>
      <c r="S903" s="13" t="s">
        <v>2667</v>
      </c>
      <c r="T903" s="13" t="s">
        <v>2670</v>
      </c>
      <c r="U903" s="13"/>
      <c r="V903" s="13"/>
      <c r="W903" s="13"/>
      <c r="X903" s="14"/>
      <c r="AL903" s="14">
        <v>6.67</v>
      </c>
      <c r="AN903" s="7" t="s">
        <v>146</v>
      </c>
      <c r="AO903" s="21">
        <f t="shared" si="43"/>
        <v>6.67</v>
      </c>
      <c r="AP903" s="7">
        <f t="shared" si="44"/>
        <v>0</v>
      </c>
      <c r="AQ903" s="31" t="str">
        <f t="shared" si="42"/>
        <v>Complete - With Adjustment</v>
      </c>
    </row>
    <row r="904" spans="1:43" x14ac:dyDescent="0.2">
      <c r="A904" s="46">
        <v>894</v>
      </c>
      <c r="B904" s="13" t="s">
        <v>266</v>
      </c>
      <c r="C904" s="13" t="s">
        <v>253</v>
      </c>
      <c r="D904" s="13" t="s">
        <v>252</v>
      </c>
      <c r="E904" s="13" t="s">
        <v>2665</v>
      </c>
      <c r="F904" s="13" t="s">
        <v>209</v>
      </c>
      <c r="G904" s="13" t="s">
        <v>111</v>
      </c>
      <c r="H904" s="16">
        <v>43958</v>
      </c>
      <c r="I904" s="16">
        <v>43993</v>
      </c>
      <c r="J904" s="22">
        <v>266.18</v>
      </c>
      <c r="K904" s="22">
        <v>87.74</v>
      </c>
      <c r="L904" s="22" t="s">
        <v>2666</v>
      </c>
      <c r="M904" s="26" t="s">
        <v>98</v>
      </c>
      <c r="N904" s="13" t="s">
        <v>230</v>
      </c>
      <c r="O904" s="13" t="s">
        <v>326</v>
      </c>
      <c r="P904" s="13" t="s">
        <v>60</v>
      </c>
      <c r="Q904" s="13" t="s">
        <v>46</v>
      </c>
      <c r="R904" s="13" t="s">
        <v>270</v>
      </c>
      <c r="S904" s="13" t="s">
        <v>2667</v>
      </c>
      <c r="T904" s="13" t="s">
        <v>2671</v>
      </c>
      <c r="U904" s="13"/>
      <c r="V904" s="13"/>
      <c r="W904" s="13"/>
      <c r="X904" s="14"/>
      <c r="AI904" s="53">
        <v>87.74</v>
      </c>
      <c r="AN904" s="7" t="s">
        <v>145</v>
      </c>
      <c r="AO904" s="21">
        <f t="shared" si="43"/>
        <v>87.74</v>
      </c>
      <c r="AP904" s="7">
        <f t="shared" si="44"/>
        <v>0</v>
      </c>
      <c r="AQ904" s="31" t="str">
        <f t="shared" si="42"/>
        <v>Complete - With Adjustment</v>
      </c>
    </row>
    <row r="905" spans="1:43" x14ac:dyDescent="0.2">
      <c r="A905" s="46">
        <v>895</v>
      </c>
      <c r="B905" s="13" t="s">
        <v>266</v>
      </c>
      <c r="C905" s="13" t="s">
        <v>253</v>
      </c>
      <c r="D905" s="13" t="s">
        <v>252</v>
      </c>
      <c r="E905" s="13" t="s">
        <v>2665</v>
      </c>
      <c r="F905" s="13" t="s">
        <v>209</v>
      </c>
      <c r="G905" s="13" t="s">
        <v>111</v>
      </c>
      <c r="H905" s="16">
        <v>43958</v>
      </c>
      <c r="I905" s="16">
        <v>43993</v>
      </c>
      <c r="J905" s="22">
        <v>266.18</v>
      </c>
      <c r="K905" s="22">
        <v>20</v>
      </c>
      <c r="L905" s="22" t="s">
        <v>2666</v>
      </c>
      <c r="M905" s="26" t="s">
        <v>98</v>
      </c>
      <c r="N905" s="13" t="s">
        <v>230</v>
      </c>
      <c r="O905" s="13" t="s">
        <v>326</v>
      </c>
      <c r="P905" s="13" t="s">
        <v>60</v>
      </c>
      <c r="Q905" s="13" t="s">
        <v>73</v>
      </c>
      <c r="R905" s="13" t="s">
        <v>270</v>
      </c>
      <c r="S905" s="13" t="s">
        <v>2667</v>
      </c>
      <c r="T905" s="13" t="s">
        <v>2672</v>
      </c>
      <c r="U905" s="13"/>
      <c r="V905" s="13"/>
      <c r="W905" s="13"/>
      <c r="X905" s="14"/>
      <c r="AN905" s="7" t="s">
        <v>70</v>
      </c>
      <c r="AO905" s="21">
        <f t="shared" si="43"/>
        <v>0</v>
      </c>
      <c r="AP905" s="7">
        <f t="shared" si="44"/>
        <v>20</v>
      </c>
      <c r="AQ905" s="31" t="str">
        <f t="shared" si="42"/>
        <v>Complete - No Adjustment</v>
      </c>
    </row>
    <row r="906" spans="1:43" x14ac:dyDescent="0.2">
      <c r="A906" s="46">
        <v>896</v>
      </c>
      <c r="B906" s="13" t="s">
        <v>266</v>
      </c>
      <c r="C906" s="13" t="s">
        <v>253</v>
      </c>
      <c r="D906" s="13" t="s">
        <v>252</v>
      </c>
      <c r="E906" s="13" t="s">
        <v>2665</v>
      </c>
      <c r="F906" s="13" t="s">
        <v>209</v>
      </c>
      <c r="G906" s="13" t="s">
        <v>111</v>
      </c>
      <c r="H906" s="16">
        <v>43958</v>
      </c>
      <c r="I906" s="16">
        <v>43993</v>
      </c>
      <c r="J906" s="22">
        <v>266.18</v>
      </c>
      <c r="K906" s="22">
        <v>10.83</v>
      </c>
      <c r="L906" s="22" t="s">
        <v>2666</v>
      </c>
      <c r="M906" s="26" t="s">
        <v>98</v>
      </c>
      <c r="N906" s="13" t="s">
        <v>230</v>
      </c>
      <c r="O906" s="13" t="s">
        <v>326</v>
      </c>
      <c r="P906" s="13" t="s">
        <v>60</v>
      </c>
      <c r="Q906" s="13" t="s">
        <v>41</v>
      </c>
      <c r="R906" s="13" t="s">
        <v>270</v>
      </c>
      <c r="S906" s="13" t="s">
        <v>2667</v>
      </c>
      <c r="T906" s="13" t="s">
        <v>2673</v>
      </c>
      <c r="U906" s="13"/>
      <c r="V906" s="13"/>
      <c r="W906" s="13"/>
      <c r="X906" s="14"/>
      <c r="AN906" s="7" t="s">
        <v>155</v>
      </c>
      <c r="AO906" s="21">
        <f t="shared" si="43"/>
        <v>0</v>
      </c>
      <c r="AP906" s="7">
        <f t="shared" si="44"/>
        <v>10.83</v>
      </c>
      <c r="AQ906" s="31" t="str">
        <f t="shared" si="42"/>
        <v>Complete - No Adjustment</v>
      </c>
    </row>
    <row r="907" spans="1:43" x14ac:dyDescent="0.2">
      <c r="A907" s="46">
        <v>897</v>
      </c>
      <c r="B907" s="13" t="s">
        <v>266</v>
      </c>
      <c r="C907" s="13" t="s">
        <v>253</v>
      </c>
      <c r="D907" s="13" t="s">
        <v>252</v>
      </c>
      <c r="E907" s="13" t="s">
        <v>2665</v>
      </c>
      <c r="F907" s="13" t="s">
        <v>209</v>
      </c>
      <c r="G907" s="13" t="s">
        <v>111</v>
      </c>
      <c r="H907" s="16">
        <v>43958</v>
      </c>
      <c r="I907" s="16">
        <v>43993</v>
      </c>
      <c r="J907" s="22">
        <v>266.18</v>
      </c>
      <c r="K907" s="22">
        <v>21.38</v>
      </c>
      <c r="L907" s="22" t="s">
        <v>2666</v>
      </c>
      <c r="M907" s="26" t="s">
        <v>98</v>
      </c>
      <c r="N907" s="13" t="s">
        <v>230</v>
      </c>
      <c r="O907" s="13" t="s">
        <v>326</v>
      </c>
      <c r="P907" s="13" t="s">
        <v>60</v>
      </c>
      <c r="Q907" s="13" t="s">
        <v>41</v>
      </c>
      <c r="R907" s="13" t="s">
        <v>270</v>
      </c>
      <c r="S907" s="13" t="s">
        <v>2667</v>
      </c>
      <c r="T907" s="13" t="s">
        <v>2673</v>
      </c>
      <c r="U907" s="13"/>
      <c r="V907" s="13"/>
      <c r="W907" s="13"/>
      <c r="X907" s="14"/>
      <c r="AN907" s="7" t="s">
        <v>155</v>
      </c>
      <c r="AO907" s="21">
        <f t="shared" si="43"/>
        <v>0</v>
      </c>
      <c r="AP907" s="7">
        <f t="shared" si="44"/>
        <v>21.38</v>
      </c>
      <c r="AQ907" s="31" t="str">
        <f t="shared" si="42"/>
        <v>Complete - No Adjustment</v>
      </c>
    </row>
    <row r="908" spans="1:43" x14ac:dyDescent="0.2">
      <c r="A908" s="46">
        <v>898</v>
      </c>
      <c r="B908" s="13" t="s">
        <v>266</v>
      </c>
      <c r="C908" s="13" t="s">
        <v>253</v>
      </c>
      <c r="D908" s="13" t="s">
        <v>252</v>
      </c>
      <c r="E908" s="13" t="s">
        <v>2665</v>
      </c>
      <c r="F908" s="13" t="s">
        <v>209</v>
      </c>
      <c r="G908" s="13" t="s">
        <v>111</v>
      </c>
      <c r="H908" s="16">
        <v>43958</v>
      </c>
      <c r="I908" s="16">
        <v>43993</v>
      </c>
      <c r="J908" s="22">
        <v>266.18</v>
      </c>
      <c r="K908" s="22">
        <v>15</v>
      </c>
      <c r="L908" s="22" t="s">
        <v>2666</v>
      </c>
      <c r="M908" s="26" t="s">
        <v>98</v>
      </c>
      <c r="N908" s="13" t="s">
        <v>230</v>
      </c>
      <c r="O908" s="13" t="s">
        <v>326</v>
      </c>
      <c r="P908" s="13" t="s">
        <v>60</v>
      </c>
      <c r="Q908" s="13" t="s">
        <v>41</v>
      </c>
      <c r="R908" s="13" t="s">
        <v>270</v>
      </c>
      <c r="S908" s="13" t="s">
        <v>2667</v>
      </c>
      <c r="T908" s="13" t="s">
        <v>2674</v>
      </c>
      <c r="U908" s="13"/>
      <c r="V908" s="13"/>
      <c r="W908" s="13"/>
      <c r="X908" s="14"/>
      <c r="AL908" s="14">
        <v>15</v>
      </c>
      <c r="AN908" s="7" t="s">
        <v>146</v>
      </c>
      <c r="AO908" s="21">
        <f t="shared" si="43"/>
        <v>15</v>
      </c>
      <c r="AP908" s="7">
        <f t="shared" si="44"/>
        <v>0</v>
      </c>
      <c r="AQ908" s="31" t="str">
        <f t="shared" si="42"/>
        <v>Complete - With Adjustment</v>
      </c>
    </row>
    <row r="909" spans="1:43" x14ac:dyDescent="0.2">
      <c r="A909" s="46">
        <v>899</v>
      </c>
      <c r="B909" s="13" t="s">
        <v>266</v>
      </c>
      <c r="C909" s="13" t="s">
        <v>253</v>
      </c>
      <c r="D909" s="13" t="s">
        <v>252</v>
      </c>
      <c r="E909" s="13" t="s">
        <v>2665</v>
      </c>
      <c r="F909" s="13" t="s">
        <v>209</v>
      </c>
      <c r="G909" s="13" t="s">
        <v>111</v>
      </c>
      <c r="H909" s="16">
        <v>43958</v>
      </c>
      <c r="I909" s="16">
        <v>43993</v>
      </c>
      <c r="J909" s="22">
        <v>266.18</v>
      </c>
      <c r="K909" s="22">
        <v>6.67</v>
      </c>
      <c r="L909" s="22" t="s">
        <v>2666</v>
      </c>
      <c r="M909" s="26" t="s">
        <v>98</v>
      </c>
      <c r="N909" s="13" t="s">
        <v>230</v>
      </c>
      <c r="O909" s="13" t="s">
        <v>444</v>
      </c>
      <c r="P909" s="13" t="s">
        <v>60</v>
      </c>
      <c r="Q909" s="13" t="s">
        <v>41</v>
      </c>
      <c r="R909" s="13" t="s">
        <v>270</v>
      </c>
      <c r="S909" s="13" t="s">
        <v>2667</v>
      </c>
      <c r="T909" s="13" t="s">
        <v>2675</v>
      </c>
      <c r="U909" s="13"/>
      <c r="V909" s="13"/>
      <c r="W909" s="13"/>
      <c r="X909" s="14"/>
      <c r="AL909" s="14">
        <v>6.67</v>
      </c>
      <c r="AN909" s="7" t="s">
        <v>146</v>
      </c>
      <c r="AO909" s="21">
        <f t="shared" si="43"/>
        <v>6.67</v>
      </c>
      <c r="AP909" s="7">
        <f t="shared" si="44"/>
        <v>0</v>
      </c>
      <c r="AQ909" s="31" t="str">
        <f t="shared" si="42"/>
        <v>Complete - With Adjustment</v>
      </c>
    </row>
    <row r="910" spans="1:43" x14ac:dyDescent="0.2">
      <c r="A910" s="46">
        <v>900</v>
      </c>
      <c r="B910" s="13" t="s">
        <v>266</v>
      </c>
      <c r="C910" s="13" t="s">
        <v>253</v>
      </c>
      <c r="D910" s="13" t="s">
        <v>252</v>
      </c>
      <c r="E910" s="13" t="s">
        <v>2665</v>
      </c>
      <c r="F910" s="13" t="s">
        <v>209</v>
      </c>
      <c r="G910" s="13" t="s">
        <v>111</v>
      </c>
      <c r="H910" s="16">
        <v>43958</v>
      </c>
      <c r="I910" s="16">
        <v>43993</v>
      </c>
      <c r="J910" s="22">
        <v>266.18</v>
      </c>
      <c r="K910" s="22">
        <v>6.67</v>
      </c>
      <c r="L910" s="22" t="s">
        <v>2666</v>
      </c>
      <c r="M910" s="26" t="s">
        <v>98</v>
      </c>
      <c r="N910" s="13" t="s">
        <v>230</v>
      </c>
      <c r="O910" s="13" t="s">
        <v>383</v>
      </c>
      <c r="P910" s="13" t="s">
        <v>60</v>
      </c>
      <c r="Q910" s="13" t="s">
        <v>41</v>
      </c>
      <c r="R910" s="13" t="s">
        <v>270</v>
      </c>
      <c r="S910" s="13" t="s">
        <v>2667</v>
      </c>
      <c r="T910" s="13" t="s">
        <v>2675</v>
      </c>
      <c r="U910" s="13"/>
      <c r="V910" s="13"/>
      <c r="W910" s="13"/>
      <c r="X910" s="14"/>
      <c r="AL910" s="14">
        <v>6.67</v>
      </c>
      <c r="AN910" s="7" t="s">
        <v>146</v>
      </c>
      <c r="AO910" s="21">
        <f t="shared" si="43"/>
        <v>6.67</v>
      </c>
      <c r="AP910" s="7">
        <f t="shared" si="44"/>
        <v>0</v>
      </c>
      <c r="AQ910" s="31" t="str">
        <f t="shared" si="42"/>
        <v>Complete - With Adjustment</v>
      </c>
    </row>
    <row r="911" spans="1:43" x14ac:dyDescent="0.2">
      <c r="A911" s="46">
        <v>901</v>
      </c>
      <c r="B911" s="13" t="s">
        <v>266</v>
      </c>
      <c r="C911" s="13" t="s">
        <v>253</v>
      </c>
      <c r="D911" s="13" t="s">
        <v>252</v>
      </c>
      <c r="E911" s="13" t="s">
        <v>2665</v>
      </c>
      <c r="F911" s="13" t="s">
        <v>209</v>
      </c>
      <c r="G911" s="13" t="s">
        <v>111</v>
      </c>
      <c r="H911" s="16">
        <v>43958</v>
      </c>
      <c r="I911" s="16">
        <v>43993</v>
      </c>
      <c r="J911" s="22">
        <v>266.18</v>
      </c>
      <c r="K911" s="22">
        <v>6.66</v>
      </c>
      <c r="L911" s="22" t="s">
        <v>2666</v>
      </c>
      <c r="M911" s="26" t="s">
        <v>98</v>
      </c>
      <c r="N911" s="13" t="s">
        <v>230</v>
      </c>
      <c r="O911" s="13" t="s">
        <v>320</v>
      </c>
      <c r="P911" s="13" t="s">
        <v>60</v>
      </c>
      <c r="Q911" s="13" t="s">
        <v>41</v>
      </c>
      <c r="R911" s="13" t="s">
        <v>270</v>
      </c>
      <c r="S911" s="13" t="s">
        <v>2667</v>
      </c>
      <c r="T911" s="13" t="s">
        <v>2675</v>
      </c>
      <c r="U911" s="13"/>
      <c r="V911" s="13"/>
      <c r="W911" s="13"/>
      <c r="X911" s="14"/>
      <c r="AL911" s="14">
        <v>6.66</v>
      </c>
      <c r="AN911" s="7" t="s">
        <v>146</v>
      </c>
      <c r="AO911" s="21">
        <f t="shared" si="43"/>
        <v>6.66</v>
      </c>
      <c r="AP911" s="7">
        <f t="shared" si="44"/>
        <v>0</v>
      </c>
      <c r="AQ911" s="31" t="str">
        <f t="shared" si="42"/>
        <v>Complete - With Adjustment</v>
      </c>
    </row>
    <row r="912" spans="1:43" x14ac:dyDescent="0.2">
      <c r="A912" s="46">
        <v>902</v>
      </c>
      <c r="B912" s="13" t="s">
        <v>266</v>
      </c>
      <c r="C912" s="13" t="s">
        <v>253</v>
      </c>
      <c r="D912" s="13" t="s">
        <v>252</v>
      </c>
      <c r="E912" s="13" t="s">
        <v>2665</v>
      </c>
      <c r="F912" s="13" t="s">
        <v>209</v>
      </c>
      <c r="G912" s="13" t="s">
        <v>111</v>
      </c>
      <c r="H912" s="16">
        <v>43958</v>
      </c>
      <c r="I912" s="16">
        <v>43993</v>
      </c>
      <c r="J912" s="22">
        <v>266.18</v>
      </c>
      <c r="K912" s="22">
        <v>6.66</v>
      </c>
      <c r="L912" s="22" t="s">
        <v>2666</v>
      </c>
      <c r="M912" s="26" t="s">
        <v>98</v>
      </c>
      <c r="N912" s="13" t="s">
        <v>230</v>
      </c>
      <c r="O912" s="13" t="s">
        <v>383</v>
      </c>
      <c r="P912" s="13" t="s">
        <v>60</v>
      </c>
      <c r="Q912" s="13" t="s">
        <v>73</v>
      </c>
      <c r="R912" s="13" t="s">
        <v>270</v>
      </c>
      <c r="S912" s="13" t="s">
        <v>2667</v>
      </c>
      <c r="T912" s="13" t="s">
        <v>2670</v>
      </c>
      <c r="U912" s="13"/>
      <c r="V912" s="13"/>
      <c r="W912" s="13"/>
      <c r="X912" s="14"/>
      <c r="AL912" s="14">
        <v>6.66</v>
      </c>
      <c r="AN912" s="7" t="s">
        <v>146</v>
      </c>
      <c r="AO912" s="21">
        <f t="shared" si="43"/>
        <v>6.66</v>
      </c>
      <c r="AP912" s="7">
        <f t="shared" si="44"/>
        <v>0</v>
      </c>
      <c r="AQ912" s="31" t="str">
        <f t="shared" si="42"/>
        <v>Complete - With Adjustment</v>
      </c>
    </row>
    <row r="913" spans="1:43" x14ac:dyDescent="0.2">
      <c r="A913" s="46">
        <v>903</v>
      </c>
      <c r="B913" s="13" t="s">
        <v>266</v>
      </c>
      <c r="C913" s="13" t="s">
        <v>253</v>
      </c>
      <c r="D913" s="13" t="s">
        <v>252</v>
      </c>
      <c r="E913" s="13" t="s">
        <v>2665</v>
      </c>
      <c r="F913" s="13" t="s">
        <v>209</v>
      </c>
      <c r="G913" s="13" t="s">
        <v>111</v>
      </c>
      <c r="H913" s="16">
        <v>43958</v>
      </c>
      <c r="I913" s="16">
        <v>43993</v>
      </c>
      <c r="J913" s="22">
        <v>266.18</v>
      </c>
      <c r="K913" s="22">
        <v>6.67</v>
      </c>
      <c r="L913" s="22" t="s">
        <v>2666</v>
      </c>
      <c r="M913" s="26" t="s">
        <v>98</v>
      </c>
      <c r="N913" s="13" t="s">
        <v>230</v>
      </c>
      <c r="O913" s="13" t="s">
        <v>320</v>
      </c>
      <c r="P913" s="13" t="s">
        <v>60</v>
      </c>
      <c r="Q913" s="13" t="s">
        <v>73</v>
      </c>
      <c r="R913" s="13" t="s">
        <v>270</v>
      </c>
      <c r="S913" s="13" t="s">
        <v>2667</v>
      </c>
      <c r="T913" s="13" t="s">
        <v>2670</v>
      </c>
      <c r="U913" s="13"/>
      <c r="V913" s="13"/>
      <c r="W913" s="13"/>
      <c r="X913" s="14"/>
      <c r="AL913" s="14">
        <v>6.67</v>
      </c>
      <c r="AN913" s="7" t="s">
        <v>146</v>
      </c>
      <c r="AO913" s="21">
        <f t="shared" si="43"/>
        <v>6.67</v>
      </c>
      <c r="AP913" s="7">
        <f t="shared" si="44"/>
        <v>0</v>
      </c>
      <c r="AQ913" s="31" t="str">
        <f t="shared" si="42"/>
        <v>Complete - With Adjustment</v>
      </c>
    </row>
    <row r="914" spans="1:43" x14ac:dyDescent="0.2">
      <c r="A914" s="46">
        <v>904</v>
      </c>
      <c r="B914" s="13" t="s">
        <v>266</v>
      </c>
      <c r="C914" s="13" t="s">
        <v>455</v>
      </c>
      <c r="D914" s="13" t="s">
        <v>454</v>
      </c>
      <c r="E914" s="13" t="s">
        <v>2676</v>
      </c>
      <c r="F914" s="13" t="s">
        <v>210</v>
      </c>
      <c r="G914" s="13" t="s">
        <v>111</v>
      </c>
      <c r="H914" s="16">
        <v>44001</v>
      </c>
      <c r="I914" s="16">
        <v>44005</v>
      </c>
      <c r="J914" s="22">
        <v>212.25</v>
      </c>
      <c r="K914" s="22">
        <v>50.63</v>
      </c>
      <c r="L914" s="22" t="s">
        <v>2677</v>
      </c>
      <c r="M914" s="26" t="s">
        <v>97</v>
      </c>
      <c r="N914" s="13" t="s">
        <v>230</v>
      </c>
      <c r="O914" s="13" t="s">
        <v>50</v>
      </c>
      <c r="P914" s="13" t="s">
        <v>72</v>
      </c>
      <c r="Q914" s="13" t="s">
        <v>41</v>
      </c>
      <c r="R914" s="13" t="s">
        <v>270</v>
      </c>
      <c r="S914" s="13" t="s">
        <v>2678</v>
      </c>
      <c r="T914" s="13" t="s">
        <v>2679</v>
      </c>
      <c r="U914" s="13"/>
      <c r="V914" s="13"/>
      <c r="W914" s="13"/>
      <c r="X914" s="14"/>
      <c r="AI914" s="53">
        <v>50.63</v>
      </c>
      <c r="AN914" s="7" t="s">
        <v>145</v>
      </c>
      <c r="AO914" s="21">
        <f t="shared" si="43"/>
        <v>50.63</v>
      </c>
      <c r="AP914" s="7">
        <f t="shared" si="44"/>
        <v>0</v>
      </c>
      <c r="AQ914" s="31" t="str">
        <f t="shared" si="42"/>
        <v>Complete - With Adjustment</v>
      </c>
    </row>
    <row r="915" spans="1:43" x14ac:dyDescent="0.2">
      <c r="A915" s="46">
        <v>905</v>
      </c>
      <c r="B915" s="13" t="s">
        <v>266</v>
      </c>
      <c r="C915" s="13" t="s">
        <v>455</v>
      </c>
      <c r="D915" s="13" t="s">
        <v>454</v>
      </c>
      <c r="E915" s="13" t="s">
        <v>2676</v>
      </c>
      <c r="F915" s="13" t="s">
        <v>210</v>
      </c>
      <c r="G915" s="13" t="s">
        <v>111</v>
      </c>
      <c r="H915" s="16">
        <v>44001</v>
      </c>
      <c r="I915" s="16">
        <v>44005</v>
      </c>
      <c r="J915" s="22">
        <v>212.25</v>
      </c>
      <c r="K915" s="22">
        <v>118.12</v>
      </c>
      <c r="L915" s="22" t="s">
        <v>2677</v>
      </c>
      <c r="M915" s="26" t="s">
        <v>98</v>
      </c>
      <c r="N915" s="13" t="s">
        <v>230</v>
      </c>
      <c r="O915" s="13" t="s">
        <v>456</v>
      </c>
      <c r="P915" s="13" t="s">
        <v>60</v>
      </c>
      <c r="Q915" s="13" t="s">
        <v>41</v>
      </c>
      <c r="R915" s="13" t="s">
        <v>270</v>
      </c>
      <c r="S915" s="13" t="s">
        <v>2678</v>
      </c>
      <c r="T915" s="13" t="s">
        <v>2679</v>
      </c>
      <c r="U915" s="13"/>
      <c r="V915" s="13"/>
      <c r="W915" s="13"/>
      <c r="X915" s="14"/>
      <c r="AI915" s="53">
        <v>118.12</v>
      </c>
      <c r="AN915" s="7" t="s">
        <v>145</v>
      </c>
      <c r="AO915" s="21">
        <f t="shared" si="43"/>
        <v>118.12</v>
      </c>
      <c r="AP915" s="7">
        <f t="shared" si="44"/>
        <v>0</v>
      </c>
      <c r="AQ915" s="31" t="str">
        <f t="shared" si="42"/>
        <v>Complete - With Adjustment</v>
      </c>
    </row>
    <row r="916" spans="1:43" x14ac:dyDescent="0.2">
      <c r="A916" s="46">
        <v>906</v>
      </c>
      <c r="B916" s="13" t="s">
        <v>266</v>
      </c>
      <c r="C916" s="13" t="s">
        <v>455</v>
      </c>
      <c r="D916" s="13" t="s">
        <v>454</v>
      </c>
      <c r="E916" s="13" t="s">
        <v>2676</v>
      </c>
      <c r="F916" s="13" t="s">
        <v>210</v>
      </c>
      <c r="G916" s="13" t="s">
        <v>111</v>
      </c>
      <c r="H916" s="16">
        <v>44001</v>
      </c>
      <c r="I916" s="16">
        <v>44005</v>
      </c>
      <c r="J916" s="22">
        <v>212.25</v>
      </c>
      <c r="K916" s="22">
        <v>43.5</v>
      </c>
      <c r="L916" s="22" t="s">
        <v>2677</v>
      </c>
      <c r="M916" s="26" t="s">
        <v>97</v>
      </c>
      <c r="N916" s="13" t="s">
        <v>230</v>
      </c>
      <c r="O916" s="13" t="s">
        <v>456</v>
      </c>
      <c r="P916" s="13" t="s">
        <v>42</v>
      </c>
      <c r="Q916" s="13" t="s">
        <v>41</v>
      </c>
      <c r="R916" s="13" t="s">
        <v>270</v>
      </c>
      <c r="S916" s="13" t="s">
        <v>2678</v>
      </c>
      <c r="T916" s="13" t="s">
        <v>2680</v>
      </c>
      <c r="U916" s="13"/>
      <c r="V916" s="13"/>
      <c r="W916" s="13"/>
      <c r="X916" s="14"/>
      <c r="Y916" s="53">
        <v>43.5</v>
      </c>
      <c r="AN916" s="7" t="s">
        <v>8</v>
      </c>
      <c r="AO916" s="21">
        <f t="shared" si="43"/>
        <v>43.5</v>
      </c>
      <c r="AP916" s="7">
        <f t="shared" si="44"/>
        <v>0</v>
      </c>
      <c r="AQ916" s="31" t="str">
        <f t="shared" si="42"/>
        <v>Complete - With Adjustment</v>
      </c>
    </row>
    <row r="917" spans="1:43" x14ac:dyDescent="0.2">
      <c r="A917" s="46">
        <v>907</v>
      </c>
      <c r="B917" s="13" t="s">
        <v>266</v>
      </c>
      <c r="C917" s="13" t="s">
        <v>458</v>
      </c>
      <c r="D917" s="13" t="s">
        <v>457</v>
      </c>
      <c r="E917" s="13" t="s">
        <v>2681</v>
      </c>
      <c r="F917" s="13" t="s">
        <v>203</v>
      </c>
      <c r="G917" s="13" t="s">
        <v>111</v>
      </c>
      <c r="H917" s="16">
        <v>43981</v>
      </c>
      <c r="I917" s="16">
        <v>43984</v>
      </c>
      <c r="J917" s="22">
        <v>38.950000000000003</v>
      </c>
      <c r="K917" s="22">
        <v>14.06</v>
      </c>
      <c r="L917" s="22" t="s">
        <v>2682</v>
      </c>
      <c r="M917" s="26" t="s">
        <v>98</v>
      </c>
      <c r="N917" s="13" t="s">
        <v>230</v>
      </c>
      <c r="O917" s="13" t="s">
        <v>281</v>
      </c>
      <c r="P917" s="13" t="s">
        <v>60</v>
      </c>
      <c r="Q917" s="13" t="s">
        <v>41</v>
      </c>
      <c r="R917" s="13" t="s">
        <v>270</v>
      </c>
      <c r="S917" s="13" t="s">
        <v>2683</v>
      </c>
      <c r="T917" s="13" t="s">
        <v>2684</v>
      </c>
      <c r="U917" s="13"/>
      <c r="V917" s="13"/>
      <c r="W917" s="13"/>
      <c r="X917" s="14"/>
      <c r="AN917" s="7" t="s">
        <v>155</v>
      </c>
      <c r="AO917" s="21">
        <f t="shared" si="43"/>
        <v>0</v>
      </c>
      <c r="AP917" s="7">
        <f t="shared" si="44"/>
        <v>14.06</v>
      </c>
      <c r="AQ917" s="31" t="str">
        <f t="shared" si="42"/>
        <v>Complete - No Adjustment</v>
      </c>
    </row>
    <row r="918" spans="1:43" x14ac:dyDescent="0.2">
      <c r="A918" s="46">
        <v>908</v>
      </c>
      <c r="B918" s="13" t="s">
        <v>266</v>
      </c>
      <c r="C918" s="13" t="s">
        <v>458</v>
      </c>
      <c r="D918" s="13" t="s">
        <v>457</v>
      </c>
      <c r="E918" s="13" t="s">
        <v>2681</v>
      </c>
      <c r="F918" s="13" t="s">
        <v>203</v>
      </c>
      <c r="G918" s="13" t="s">
        <v>111</v>
      </c>
      <c r="H918" s="16">
        <v>43981</v>
      </c>
      <c r="I918" s="16">
        <v>43984</v>
      </c>
      <c r="J918" s="22">
        <v>38.950000000000003</v>
      </c>
      <c r="K918" s="22">
        <v>24.89</v>
      </c>
      <c r="L918" s="22" t="s">
        <v>2682</v>
      </c>
      <c r="M918" s="26" t="s">
        <v>98</v>
      </c>
      <c r="N918" s="13" t="s">
        <v>230</v>
      </c>
      <c r="O918" s="13" t="s">
        <v>281</v>
      </c>
      <c r="P918" s="13" t="s">
        <v>60</v>
      </c>
      <c r="Q918" s="13" t="s">
        <v>62</v>
      </c>
      <c r="R918" s="13" t="s">
        <v>270</v>
      </c>
      <c r="S918" s="13" t="s">
        <v>2683</v>
      </c>
      <c r="T918" s="13" t="s">
        <v>2685</v>
      </c>
      <c r="U918" s="13"/>
      <c r="V918" s="13"/>
      <c r="W918" s="13"/>
      <c r="X918" s="14"/>
      <c r="AN918" s="7" t="s">
        <v>70</v>
      </c>
      <c r="AO918" s="21">
        <f t="shared" si="43"/>
        <v>0</v>
      </c>
      <c r="AP918" s="7">
        <f t="shared" si="44"/>
        <v>24.89</v>
      </c>
      <c r="AQ918" s="31" t="str">
        <f t="shared" ref="AQ918:AQ981" si="45">IF(AO918&lt;&gt;0,"Complete - With Adjustment","Complete - No Adjustment")</f>
        <v>Complete - No Adjustment</v>
      </c>
    </row>
    <row r="919" spans="1:43" x14ac:dyDescent="0.2">
      <c r="A919" s="46">
        <v>909</v>
      </c>
      <c r="B919" s="13" t="s">
        <v>266</v>
      </c>
      <c r="C919" s="13" t="s">
        <v>620</v>
      </c>
      <c r="D919" s="13" t="s">
        <v>619</v>
      </c>
      <c r="E919" s="13" t="s">
        <v>2686</v>
      </c>
      <c r="F919" s="13" t="s">
        <v>203</v>
      </c>
      <c r="G919" s="13" t="s">
        <v>111</v>
      </c>
      <c r="H919" s="16">
        <v>43983</v>
      </c>
      <c r="I919" s="16">
        <v>43984</v>
      </c>
      <c r="J919" s="22">
        <v>11.89</v>
      </c>
      <c r="K919" s="22">
        <v>11.89</v>
      </c>
      <c r="L919" s="22" t="s">
        <v>2687</v>
      </c>
      <c r="M919" s="26" t="s">
        <v>98</v>
      </c>
      <c r="N919" s="13" t="s">
        <v>230</v>
      </c>
      <c r="O919" s="13" t="s">
        <v>320</v>
      </c>
      <c r="P919" s="13" t="s">
        <v>60</v>
      </c>
      <c r="Q919" s="13" t="s">
        <v>41</v>
      </c>
      <c r="R919" s="13" t="s">
        <v>270</v>
      </c>
      <c r="S919" s="13" t="s">
        <v>2688</v>
      </c>
      <c r="T919" s="13" t="s">
        <v>2689</v>
      </c>
      <c r="U919" s="13"/>
      <c r="V919" s="13"/>
      <c r="W919" s="13"/>
      <c r="X919" s="14"/>
      <c r="AI919" s="53">
        <v>11.89</v>
      </c>
      <c r="AN919" s="7" t="s">
        <v>145</v>
      </c>
      <c r="AO919" s="21">
        <f t="shared" si="43"/>
        <v>11.89</v>
      </c>
      <c r="AP919" s="7">
        <f t="shared" si="44"/>
        <v>0</v>
      </c>
      <c r="AQ919" s="31" t="str">
        <f t="shared" si="45"/>
        <v>Complete - With Adjustment</v>
      </c>
    </row>
    <row r="920" spans="1:43" x14ac:dyDescent="0.2">
      <c r="A920" s="46">
        <v>910</v>
      </c>
      <c r="B920" s="13" t="s">
        <v>266</v>
      </c>
      <c r="C920" s="13" t="s">
        <v>620</v>
      </c>
      <c r="D920" s="13" t="s">
        <v>619</v>
      </c>
      <c r="E920" s="13" t="s">
        <v>2690</v>
      </c>
      <c r="F920" s="13" t="s">
        <v>211</v>
      </c>
      <c r="G920" s="13" t="s">
        <v>111</v>
      </c>
      <c r="H920" s="16">
        <v>43992</v>
      </c>
      <c r="I920" s="16">
        <v>43994</v>
      </c>
      <c r="J920" s="22">
        <v>13.98</v>
      </c>
      <c r="K920" s="22">
        <v>13.98</v>
      </c>
      <c r="L920" s="22" t="s">
        <v>2691</v>
      </c>
      <c r="M920" s="26" t="s">
        <v>98</v>
      </c>
      <c r="N920" s="13" t="s">
        <v>230</v>
      </c>
      <c r="O920" s="13" t="s">
        <v>320</v>
      </c>
      <c r="P920" s="13" t="s">
        <v>60</v>
      </c>
      <c r="Q920" s="13" t="s">
        <v>41</v>
      </c>
      <c r="R920" s="13" t="s">
        <v>270</v>
      </c>
      <c r="S920" s="13" t="s">
        <v>2692</v>
      </c>
      <c r="T920" s="13" t="s">
        <v>2693</v>
      </c>
      <c r="U920" s="13"/>
      <c r="V920" s="13"/>
      <c r="W920" s="13"/>
      <c r="X920" s="14"/>
      <c r="AN920" s="7" t="s">
        <v>155</v>
      </c>
      <c r="AO920" s="21">
        <f t="shared" si="43"/>
        <v>0</v>
      </c>
      <c r="AP920" s="7">
        <f t="shared" si="44"/>
        <v>13.98</v>
      </c>
      <c r="AQ920" s="31" t="str">
        <f t="shared" si="45"/>
        <v>Complete - No Adjustment</v>
      </c>
    </row>
    <row r="921" spans="1:43" x14ac:dyDescent="0.2">
      <c r="A921" s="46">
        <v>911</v>
      </c>
      <c r="B921" s="13" t="s">
        <v>266</v>
      </c>
      <c r="C921" s="13" t="s">
        <v>568</v>
      </c>
      <c r="D921" s="13" t="s">
        <v>567</v>
      </c>
      <c r="E921" s="13" t="s">
        <v>2694</v>
      </c>
      <c r="F921" s="13" t="s">
        <v>217</v>
      </c>
      <c r="G921" s="13" t="s">
        <v>111</v>
      </c>
      <c r="H921" s="16">
        <v>44005</v>
      </c>
      <c r="I921" s="16">
        <v>44007</v>
      </c>
      <c r="J921" s="22">
        <v>13.26</v>
      </c>
      <c r="K921" s="22">
        <v>13.26</v>
      </c>
      <c r="L921" s="22" t="s">
        <v>2695</v>
      </c>
      <c r="M921" s="26" t="s">
        <v>98</v>
      </c>
      <c r="N921" s="13" t="s">
        <v>230</v>
      </c>
      <c r="O921" s="13" t="s">
        <v>303</v>
      </c>
      <c r="P921" s="13" t="s">
        <v>60</v>
      </c>
      <c r="Q921" s="13" t="s">
        <v>41</v>
      </c>
      <c r="R921" s="13" t="s">
        <v>270</v>
      </c>
      <c r="S921" s="13" t="s">
        <v>2696</v>
      </c>
      <c r="T921" s="13" t="s">
        <v>2697</v>
      </c>
      <c r="U921" s="13"/>
      <c r="V921" s="13"/>
      <c r="W921" s="13"/>
      <c r="X921" s="14"/>
      <c r="AN921" s="7" t="s">
        <v>155</v>
      </c>
      <c r="AO921" s="21">
        <f t="shared" si="43"/>
        <v>0</v>
      </c>
      <c r="AP921" s="7">
        <f t="shared" si="44"/>
        <v>13.26</v>
      </c>
      <c r="AQ921" s="31" t="str">
        <f t="shared" si="45"/>
        <v>Complete - No Adjustment</v>
      </c>
    </row>
    <row r="922" spans="1:43" x14ac:dyDescent="0.2">
      <c r="A922" s="46">
        <v>912</v>
      </c>
      <c r="B922" s="13" t="s">
        <v>266</v>
      </c>
      <c r="C922" s="13" t="s">
        <v>462</v>
      </c>
      <c r="D922" s="13" t="s">
        <v>461</v>
      </c>
      <c r="E922" s="13" t="s">
        <v>2698</v>
      </c>
      <c r="F922" s="13" t="s">
        <v>207</v>
      </c>
      <c r="G922" s="13" t="s">
        <v>111</v>
      </c>
      <c r="H922" s="16">
        <v>43986</v>
      </c>
      <c r="I922" s="16">
        <v>43987</v>
      </c>
      <c r="J922" s="22">
        <v>8</v>
      </c>
      <c r="K922" s="22">
        <v>8</v>
      </c>
      <c r="L922" s="22" t="s">
        <v>2699</v>
      </c>
      <c r="M922" s="26" t="s">
        <v>98</v>
      </c>
      <c r="N922" s="13" t="s">
        <v>230</v>
      </c>
      <c r="O922" s="13" t="s">
        <v>288</v>
      </c>
      <c r="P922" s="13" t="s">
        <v>60</v>
      </c>
      <c r="Q922" s="13" t="s">
        <v>41</v>
      </c>
      <c r="R922" s="13" t="s">
        <v>270</v>
      </c>
      <c r="S922" s="13" t="s">
        <v>2700</v>
      </c>
      <c r="T922" s="13" t="s">
        <v>2701</v>
      </c>
      <c r="U922" s="13"/>
      <c r="V922" s="13"/>
      <c r="W922" s="13"/>
      <c r="X922" s="14"/>
      <c r="AN922" s="7" t="s">
        <v>155</v>
      </c>
      <c r="AO922" s="21">
        <f t="shared" si="43"/>
        <v>0</v>
      </c>
      <c r="AP922" s="7">
        <f t="shared" si="44"/>
        <v>8</v>
      </c>
      <c r="AQ922" s="31" t="str">
        <f t="shared" si="45"/>
        <v>Complete - No Adjustment</v>
      </c>
    </row>
    <row r="923" spans="1:43" x14ac:dyDescent="0.2">
      <c r="A923" s="46">
        <v>913</v>
      </c>
      <c r="B923" s="13" t="s">
        <v>266</v>
      </c>
      <c r="C923" s="13" t="s">
        <v>462</v>
      </c>
      <c r="D923" s="13" t="s">
        <v>461</v>
      </c>
      <c r="E923" s="13" t="s">
        <v>2702</v>
      </c>
      <c r="F923" s="13" t="s">
        <v>207</v>
      </c>
      <c r="G923" s="13" t="s">
        <v>111</v>
      </c>
      <c r="H923" s="16">
        <v>43984</v>
      </c>
      <c r="I923" s="16">
        <v>43987</v>
      </c>
      <c r="J923" s="22">
        <v>13.41</v>
      </c>
      <c r="K923" s="22">
        <v>13.41</v>
      </c>
      <c r="L923" s="22" t="s">
        <v>2703</v>
      </c>
      <c r="M923" s="26" t="s">
        <v>98</v>
      </c>
      <c r="N923" s="13" t="s">
        <v>230</v>
      </c>
      <c r="O923" s="13" t="s">
        <v>288</v>
      </c>
      <c r="P923" s="13" t="s">
        <v>60</v>
      </c>
      <c r="Q923" s="13" t="s">
        <v>41</v>
      </c>
      <c r="R923" s="13" t="s">
        <v>270</v>
      </c>
      <c r="S923" s="13" t="s">
        <v>2704</v>
      </c>
      <c r="T923" s="13" t="s">
        <v>2705</v>
      </c>
      <c r="U923" s="13"/>
      <c r="V923" s="13"/>
      <c r="W923" s="13"/>
      <c r="X923" s="14"/>
      <c r="AN923" s="7" t="s">
        <v>70</v>
      </c>
      <c r="AO923" s="21">
        <f t="shared" si="43"/>
        <v>0</v>
      </c>
      <c r="AP923" s="7">
        <f t="shared" si="44"/>
        <v>13.41</v>
      </c>
      <c r="AQ923" s="31" t="str">
        <f t="shared" si="45"/>
        <v>Complete - No Adjustment</v>
      </c>
    </row>
    <row r="924" spans="1:43" x14ac:dyDescent="0.2">
      <c r="A924" s="46">
        <v>914</v>
      </c>
      <c r="B924" s="13" t="s">
        <v>266</v>
      </c>
      <c r="C924" s="13" t="s">
        <v>660</v>
      </c>
      <c r="D924" s="13" t="s">
        <v>659</v>
      </c>
      <c r="E924" s="13" t="s">
        <v>2706</v>
      </c>
      <c r="F924" s="13" t="s">
        <v>207</v>
      </c>
      <c r="G924" s="13" t="s">
        <v>111</v>
      </c>
      <c r="H924" s="16">
        <v>43985</v>
      </c>
      <c r="I924" s="16">
        <v>43987</v>
      </c>
      <c r="J924" s="22">
        <v>15</v>
      </c>
      <c r="K924" s="22">
        <v>15</v>
      </c>
      <c r="L924" s="22" t="s">
        <v>2707</v>
      </c>
      <c r="M924" s="26" t="s">
        <v>98</v>
      </c>
      <c r="N924" s="13" t="s">
        <v>230</v>
      </c>
      <c r="O924" s="13" t="s">
        <v>320</v>
      </c>
      <c r="P924" s="13" t="s">
        <v>60</v>
      </c>
      <c r="Q924" s="13" t="s">
        <v>41</v>
      </c>
      <c r="R924" s="13" t="s">
        <v>270</v>
      </c>
      <c r="S924" s="13" t="s">
        <v>2708</v>
      </c>
      <c r="T924" s="13" t="s">
        <v>2709</v>
      </c>
      <c r="U924" s="13"/>
      <c r="V924" s="13"/>
      <c r="W924" s="13"/>
      <c r="X924" s="14"/>
      <c r="AL924" s="14">
        <v>15</v>
      </c>
      <c r="AN924" s="7" t="s">
        <v>146</v>
      </c>
      <c r="AO924" s="21">
        <f t="shared" si="43"/>
        <v>15</v>
      </c>
      <c r="AP924" s="7">
        <f t="shared" si="44"/>
        <v>0</v>
      </c>
      <c r="AQ924" s="31" t="str">
        <f t="shared" si="45"/>
        <v>Complete - With Adjustment</v>
      </c>
    </row>
    <row r="925" spans="1:43" x14ac:dyDescent="0.2">
      <c r="A925" s="46">
        <v>915</v>
      </c>
      <c r="B925" s="13" t="s">
        <v>266</v>
      </c>
      <c r="C925" s="13" t="s">
        <v>660</v>
      </c>
      <c r="D925" s="13" t="s">
        <v>659</v>
      </c>
      <c r="E925" s="13" t="s">
        <v>2710</v>
      </c>
      <c r="F925" s="13" t="s">
        <v>211</v>
      </c>
      <c r="G925" s="13" t="s">
        <v>111</v>
      </c>
      <c r="H925" s="16">
        <v>43991</v>
      </c>
      <c r="I925" s="16">
        <v>43994</v>
      </c>
      <c r="J925" s="22">
        <v>15</v>
      </c>
      <c r="K925" s="22">
        <v>15</v>
      </c>
      <c r="L925" s="22" t="s">
        <v>2711</v>
      </c>
      <c r="M925" s="26" t="s">
        <v>98</v>
      </c>
      <c r="N925" s="13" t="s">
        <v>230</v>
      </c>
      <c r="O925" s="13" t="s">
        <v>320</v>
      </c>
      <c r="P925" s="13" t="s">
        <v>60</v>
      </c>
      <c r="Q925" s="13" t="s">
        <v>41</v>
      </c>
      <c r="R925" s="13" t="s">
        <v>270</v>
      </c>
      <c r="S925" s="13" t="s">
        <v>2712</v>
      </c>
      <c r="T925" s="13" t="s">
        <v>2713</v>
      </c>
      <c r="U925" s="13"/>
      <c r="V925" s="13"/>
      <c r="W925" s="13"/>
      <c r="X925" s="14"/>
      <c r="AN925" s="7" t="s">
        <v>155</v>
      </c>
      <c r="AO925" s="21">
        <f t="shared" si="43"/>
        <v>0</v>
      </c>
      <c r="AP925" s="7">
        <f t="shared" si="44"/>
        <v>15</v>
      </c>
      <c r="AQ925" s="31" t="str">
        <f t="shared" si="45"/>
        <v>Complete - No Adjustment</v>
      </c>
    </row>
    <row r="926" spans="1:43" x14ac:dyDescent="0.2">
      <c r="A926" s="46">
        <v>916</v>
      </c>
      <c r="B926" s="13" t="s">
        <v>266</v>
      </c>
      <c r="C926" s="13" t="s">
        <v>788</v>
      </c>
      <c r="D926" s="13" t="s">
        <v>787</v>
      </c>
      <c r="E926" s="13" t="s">
        <v>2714</v>
      </c>
      <c r="F926" s="13" t="s">
        <v>210</v>
      </c>
      <c r="G926" s="13" t="s">
        <v>111</v>
      </c>
      <c r="H926" s="16">
        <v>43969</v>
      </c>
      <c r="I926" s="16">
        <v>44005</v>
      </c>
      <c r="J926" s="22">
        <v>23.14</v>
      </c>
      <c r="K926" s="22">
        <v>11.78</v>
      </c>
      <c r="L926" s="22" t="s">
        <v>2715</v>
      </c>
      <c r="M926" s="26" t="s">
        <v>98</v>
      </c>
      <c r="N926" s="13" t="s">
        <v>230</v>
      </c>
      <c r="O926" s="13" t="s">
        <v>444</v>
      </c>
      <c r="P926" s="13" t="s">
        <v>60</v>
      </c>
      <c r="Q926" s="13" t="s">
        <v>41</v>
      </c>
      <c r="R926" s="13" t="s">
        <v>270</v>
      </c>
      <c r="S926" s="13" t="s">
        <v>2716</v>
      </c>
      <c r="T926" s="13" t="s">
        <v>2717</v>
      </c>
      <c r="U926" s="13"/>
      <c r="V926" s="13"/>
      <c r="W926" s="13"/>
      <c r="X926" s="14"/>
      <c r="AN926" s="7" t="s">
        <v>155</v>
      </c>
      <c r="AO926" s="21">
        <f t="shared" si="43"/>
        <v>0</v>
      </c>
      <c r="AP926" s="7">
        <f t="shared" si="44"/>
        <v>11.78</v>
      </c>
      <c r="AQ926" s="31" t="str">
        <f t="shared" si="45"/>
        <v>Complete - No Adjustment</v>
      </c>
    </row>
    <row r="927" spans="1:43" x14ac:dyDescent="0.2">
      <c r="A927" s="46">
        <v>917</v>
      </c>
      <c r="B927" s="13" t="s">
        <v>266</v>
      </c>
      <c r="C927" s="13" t="s">
        <v>788</v>
      </c>
      <c r="D927" s="13" t="s">
        <v>787</v>
      </c>
      <c r="E927" s="13" t="s">
        <v>2714</v>
      </c>
      <c r="F927" s="13" t="s">
        <v>210</v>
      </c>
      <c r="G927" s="13" t="s">
        <v>111</v>
      </c>
      <c r="H927" s="16">
        <v>43969</v>
      </c>
      <c r="I927" s="16">
        <v>44005</v>
      </c>
      <c r="J927" s="22">
        <v>23.14</v>
      </c>
      <c r="K927" s="22">
        <v>11.36</v>
      </c>
      <c r="L927" s="22" t="s">
        <v>2715</v>
      </c>
      <c r="M927" s="26" t="s">
        <v>98</v>
      </c>
      <c r="N927" s="13" t="s">
        <v>230</v>
      </c>
      <c r="O927" s="13" t="s">
        <v>444</v>
      </c>
      <c r="P927" s="13" t="s">
        <v>60</v>
      </c>
      <c r="Q927" s="13" t="s">
        <v>41</v>
      </c>
      <c r="R927" s="13" t="s">
        <v>270</v>
      </c>
      <c r="S927" s="13" t="s">
        <v>2716</v>
      </c>
      <c r="T927" s="13" t="s">
        <v>2718</v>
      </c>
      <c r="U927" s="13"/>
      <c r="V927" s="13"/>
      <c r="W927" s="13"/>
      <c r="X927" s="14"/>
      <c r="AL927" s="14">
        <v>11.36</v>
      </c>
      <c r="AN927" s="7" t="s">
        <v>146</v>
      </c>
      <c r="AO927" s="21">
        <f t="shared" si="43"/>
        <v>11.36</v>
      </c>
      <c r="AP927" s="7">
        <f t="shared" si="44"/>
        <v>0</v>
      </c>
      <c r="AQ927" s="31" t="str">
        <f t="shared" si="45"/>
        <v>Complete - With Adjustment</v>
      </c>
    </row>
    <row r="928" spans="1:43" x14ac:dyDescent="0.2">
      <c r="A928" s="46">
        <v>918</v>
      </c>
      <c r="B928" s="13" t="s">
        <v>266</v>
      </c>
      <c r="C928" s="13" t="s">
        <v>571</v>
      </c>
      <c r="D928" s="13" t="s">
        <v>570</v>
      </c>
      <c r="E928" s="13" t="s">
        <v>2719</v>
      </c>
      <c r="F928" s="13" t="s">
        <v>210</v>
      </c>
      <c r="G928" s="13" t="s">
        <v>111</v>
      </c>
      <c r="H928" s="16">
        <v>44000</v>
      </c>
      <c r="I928" s="16">
        <v>44005</v>
      </c>
      <c r="J928" s="22">
        <v>100</v>
      </c>
      <c r="K928" s="22">
        <v>100</v>
      </c>
      <c r="L928" s="22" t="s">
        <v>2720</v>
      </c>
      <c r="M928" s="26" t="s">
        <v>98</v>
      </c>
      <c r="N928" s="13" t="s">
        <v>230</v>
      </c>
      <c r="O928" s="13" t="s">
        <v>404</v>
      </c>
      <c r="P928" s="13" t="s">
        <v>60</v>
      </c>
      <c r="Q928" s="13" t="s">
        <v>59</v>
      </c>
      <c r="R928" s="13" t="s">
        <v>270</v>
      </c>
      <c r="S928" s="13" t="s">
        <v>2721</v>
      </c>
      <c r="T928" s="13" t="s">
        <v>2722</v>
      </c>
      <c r="U928" s="13"/>
      <c r="V928" s="13"/>
      <c r="W928" s="13"/>
      <c r="X928" s="14"/>
      <c r="AN928" s="7" t="s">
        <v>70</v>
      </c>
      <c r="AO928" s="21">
        <f t="shared" si="43"/>
        <v>0</v>
      </c>
      <c r="AP928" s="7">
        <f t="shared" si="44"/>
        <v>100</v>
      </c>
      <c r="AQ928" s="31" t="str">
        <f t="shared" si="45"/>
        <v>Complete - No Adjustment</v>
      </c>
    </row>
    <row r="929" spans="1:43" x14ac:dyDescent="0.2">
      <c r="A929" s="46">
        <v>919</v>
      </c>
      <c r="B929" s="13" t="s">
        <v>266</v>
      </c>
      <c r="C929" s="13" t="s">
        <v>571</v>
      </c>
      <c r="D929" s="13" t="s">
        <v>570</v>
      </c>
      <c r="E929" s="13" t="s">
        <v>2723</v>
      </c>
      <c r="F929" s="13" t="s">
        <v>215</v>
      </c>
      <c r="G929" s="13" t="s">
        <v>111</v>
      </c>
      <c r="H929" s="16">
        <v>44006</v>
      </c>
      <c r="I929" s="16">
        <v>44012</v>
      </c>
      <c r="J929" s="22">
        <v>1850</v>
      </c>
      <c r="K929" s="22">
        <v>1850</v>
      </c>
      <c r="L929" s="22" t="s">
        <v>2724</v>
      </c>
      <c r="M929" s="26" t="s">
        <v>98</v>
      </c>
      <c r="N929" s="13" t="s">
        <v>230</v>
      </c>
      <c r="O929" s="13" t="s">
        <v>404</v>
      </c>
      <c r="P929" s="13" t="s">
        <v>60</v>
      </c>
      <c r="Q929" s="13" t="s">
        <v>48</v>
      </c>
      <c r="R929" s="13" t="s">
        <v>270</v>
      </c>
      <c r="S929" s="13" t="s">
        <v>2725</v>
      </c>
      <c r="T929" s="13" t="s">
        <v>2726</v>
      </c>
      <c r="U929" s="13"/>
      <c r="V929" s="13"/>
      <c r="W929" s="13"/>
      <c r="X929" s="14"/>
      <c r="AN929" s="7" t="s">
        <v>70</v>
      </c>
      <c r="AO929" s="21">
        <f t="shared" si="43"/>
        <v>0</v>
      </c>
      <c r="AP929" s="7">
        <f t="shared" si="44"/>
        <v>1850</v>
      </c>
      <c r="AQ929" s="31" t="str">
        <f t="shared" si="45"/>
        <v>Complete - No Adjustment</v>
      </c>
    </row>
    <row r="930" spans="1:43" x14ac:dyDescent="0.2">
      <c r="A930" s="46">
        <v>920</v>
      </c>
      <c r="B930" s="13" t="s">
        <v>266</v>
      </c>
      <c r="C930" s="13" t="s">
        <v>265</v>
      </c>
      <c r="D930" s="13" t="s">
        <v>264</v>
      </c>
      <c r="E930" s="13" t="s">
        <v>2727</v>
      </c>
      <c r="F930" s="13" t="s">
        <v>211</v>
      </c>
      <c r="G930" s="13" t="s">
        <v>111</v>
      </c>
      <c r="H930" s="16">
        <v>43993</v>
      </c>
      <c r="I930" s="16">
        <v>43994</v>
      </c>
      <c r="J930" s="22">
        <v>49.41</v>
      </c>
      <c r="K930" s="22">
        <v>40</v>
      </c>
      <c r="L930" s="22" t="s">
        <v>2728</v>
      </c>
      <c r="M930" s="26" t="s">
        <v>98</v>
      </c>
      <c r="N930" s="13" t="s">
        <v>230</v>
      </c>
      <c r="O930" s="13" t="s">
        <v>342</v>
      </c>
      <c r="P930" s="13" t="s">
        <v>60</v>
      </c>
      <c r="Q930" s="13" t="s">
        <v>41</v>
      </c>
      <c r="R930" s="13" t="s">
        <v>270</v>
      </c>
      <c r="S930" s="13" t="s">
        <v>2729</v>
      </c>
      <c r="T930" s="13" t="s">
        <v>2730</v>
      </c>
      <c r="U930" s="13"/>
      <c r="V930" s="13"/>
      <c r="W930" s="13"/>
      <c r="X930" s="14"/>
      <c r="AN930" s="7" t="s">
        <v>70</v>
      </c>
      <c r="AO930" s="21">
        <f t="shared" si="43"/>
        <v>0</v>
      </c>
      <c r="AP930" s="7">
        <f t="shared" si="44"/>
        <v>40</v>
      </c>
      <c r="AQ930" s="31" t="str">
        <f t="shared" si="45"/>
        <v>Complete - No Adjustment</v>
      </c>
    </row>
    <row r="931" spans="1:43" x14ac:dyDescent="0.2">
      <c r="A931" s="46">
        <v>921</v>
      </c>
      <c r="B931" s="13" t="s">
        <v>266</v>
      </c>
      <c r="C931" s="13" t="s">
        <v>265</v>
      </c>
      <c r="D931" s="13" t="s">
        <v>264</v>
      </c>
      <c r="E931" s="13" t="s">
        <v>2727</v>
      </c>
      <c r="F931" s="13" t="s">
        <v>211</v>
      </c>
      <c r="G931" s="13" t="s">
        <v>111</v>
      </c>
      <c r="H931" s="16">
        <v>43993</v>
      </c>
      <c r="I931" s="16">
        <v>43994</v>
      </c>
      <c r="J931" s="22">
        <v>49.41</v>
      </c>
      <c r="K931" s="22">
        <v>9.41</v>
      </c>
      <c r="L931" s="22" t="s">
        <v>2728</v>
      </c>
      <c r="M931" s="26" t="s">
        <v>98</v>
      </c>
      <c r="N931" s="13" t="s">
        <v>230</v>
      </c>
      <c r="O931" s="13" t="s">
        <v>342</v>
      </c>
      <c r="P931" s="13" t="s">
        <v>60</v>
      </c>
      <c r="Q931" s="13" t="s">
        <v>41</v>
      </c>
      <c r="R931" s="13" t="s">
        <v>270</v>
      </c>
      <c r="S931" s="13" t="s">
        <v>2729</v>
      </c>
      <c r="T931" s="13" t="s">
        <v>2731</v>
      </c>
      <c r="U931" s="13"/>
      <c r="V931" s="13"/>
      <c r="W931" s="13"/>
      <c r="X931" s="14"/>
      <c r="AN931" s="7" t="s">
        <v>155</v>
      </c>
      <c r="AO931" s="21">
        <f t="shared" si="43"/>
        <v>0</v>
      </c>
      <c r="AP931" s="7">
        <f t="shared" si="44"/>
        <v>9.41</v>
      </c>
      <c r="AQ931" s="31" t="str">
        <f t="shared" si="45"/>
        <v>Complete - No Adjustment</v>
      </c>
    </row>
    <row r="932" spans="1:43" x14ac:dyDescent="0.2">
      <c r="A932" s="46">
        <v>922</v>
      </c>
      <c r="B932" s="13" t="s">
        <v>266</v>
      </c>
      <c r="C932" s="13" t="s">
        <v>265</v>
      </c>
      <c r="D932" s="13" t="s">
        <v>264</v>
      </c>
      <c r="E932" s="13" t="s">
        <v>2732</v>
      </c>
      <c r="F932" s="13" t="s">
        <v>204</v>
      </c>
      <c r="G932" s="13" t="s">
        <v>111</v>
      </c>
      <c r="H932" s="16">
        <v>43994</v>
      </c>
      <c r="I932" s="16">
        <v>43997</v>
      </c>
      <c r="J932" s="22">
        <v>1377.72</v>
      </c>
      <c r="K932" s="22">
        <v>1377.72</v>
      </c>
      <c r="L932" s="22" t="s">
        <v>2733</v>
      </c>
      <c r="M932" s="26" t="s">
        <v>98</v>
      </c>
      <c r="N932" s="13" t="s">
        <v>230</v>
      </c>
      <c r="O932" s="13" t="s">
        <v>342</v>
      </c>
      <c r="P932" s="13" t="s">
        <v>60</v>
      </c>
      <c r="Q932" s="13" t="s">
        <v>56</v>
      </c>
      <c r="R932" s="13" t="s">
        <v>270</v>
      </c>
      <c r="S932" s="13" t="s">
        <v>2734</v>
      </c>
      <c r="T932" s="13" t="s">
        <v>2735</v>
      </c>
      <c r="U932" s="13"/>
      <c r="V932" s="13"/>
      <c r="W932" s="13"/>
      <c r="X932" s="14"/>
      <c r="AI932" s="53">
        <v>1377.72</v>
      </c>
      <c r="AN932" s="7" t="s">
        <v>145</v>
      </c>
      <c r="AO932" s="21">
        <f t="shared" si="43"/>
        <v>1377.72</v>
      </c>
      <c r="AP932" s="7">
        <f t="shared" si="44"/>
        <v>0</v>
      </c>
      <c r="AQ932" s="31" t="str">
        <f t="shared" si="45"/>
        <v>Complete - With Adjustment</v>
      </c>
    </row>
    <row r="933" spans="1:43" x14ac:dyDescent="0.2">
      <c r="A933" s="46">
        <v>923</v>
      </c>
      <c r="B933" s="13" t="s">
        <v>266</v>
      </c>
      <c r="C933" s="13" t="s">
        <v>265</v>
      </c>
      <c r="D933" s="13" t="s">
        <v>264</v>
      </c>
      <c r="E933" s="13" t="s">
        <v>2736</v>
      </c>
      <c r="F933" s="13" t="s">
        <v>205</v>
      </c>
      <c r="G933" s="13" t="s">
        <v>111</v>
      </c>
      <c r="H933" s="16">
        <v>44007</v>
      </c>
      <c r="I933" s="16">
        <v>44011</v>
      </c>
      <c r="J933" s="22">
        <v>2322.64</v>
      </c>
      <c r="K933" s="22">
        <v>2322.64</v>
      </c>
      <c r="L933" s="22" t="s">
        <v>2737</v>
      </c>
      <c r="M933" s="26" t="s">
        <v>97</v>
      </c>
      <c r="N933" s="13" t="s">
        <v>230</v>
      </c>
      <c r="O933" s="13" t="s">
        <v>284</v>
      </c>
      <c r="P933" s="13" t="s">
        <v>80</v>
      </c>
      <c r="Q933" s="13" t="s">
        <v>101</v>
      </c>
      <c r="R933" s="13" t="s">
        <v>270</v>
      </c>
      <c r="S933" s="13" t="s">
        <v>2738</v>
      </c>
      <c r="T933" s="13" t="s">
        <v>2739</v>
      </c>
      <c r="U933" s="13"/>
      <c r="V933" s="13"/>
      <c r="W933" s="13"/>
      <c r="X933" s="14"/>
      <c r="AI933" s="53">
        <v>2322.64</v>
      </c>
      <c r="AN933" s="7" t="s">
        <v>145</v>
      </c>
      <c r="AO933" s="21">
        <f t="shared" si="43"/>
        <v>2322.64</v>
      </c>
      <c r="AP933" s="7">
        <f t="shared" si="44"/>
        <v>0</v>
      </c>
      <c r="AQ933" s="31" t="str">
        <f t="shared" si="45"/>
        <v>Complete - With Adjustment</v>
      </c>
    </row>
    <row r="934" spans="1:43" x14ac:dyDescent="0.2">
      <c r="A934" s="46">
        <v>924</v>
      </c>
      <c r="B934" s="13" t="s">
        <v>266</v>
      </c>
      <c r="C934" s="13" t="s">
        <v>2740</v>
      </c>
      <c r="D934" s="13" t="s">
        <v>2741</v>
      </c>
      <c r="E934" s="13" t="s">
        <v>2742</v>
      </c>
      <c r="F934" s="13" t="s">
        <v>209</v>
      </c>
      <c r="G934" s="13" t="s">
        <v>111</v>
      </c>
      <c r="H934" s="16">
        <v>43992</v>
      </c>
      <c r="I934" s="16">
        <v>43993</v>
      </c>
      <c r="J934" s="22">
        <v>14.93</v>
      </c>
      <c r="K934" s="22">
        <v>14.93</v>
      </c>
      <c r="L934" s="22" t="s">
        <v>2743</v>
      </c>
      <c r="M934" s="26" t="s">
        <v>98</v>
      </c>
      <c r="N934" s="13" t="s">
        <v>230</v>
      </c>
      <c r="O934" s="13" t="s">
        <v>280</v>
      </c>
      <c r="P934" s="13" t="s">
        <v>60</v>
      </c>
      <c r="Q934" s="13" t="s">
        <v>41</v>
      </c>
      <c r="R934" s="13" t="s">
        <v>270</v>
      </c>
      <c r="S934" s="13" t="s">
        <v>2744</v>
      </c>
      <c r="T934" s="13" t="s">
        <v>2745</v>
      </c>
      <c r="U934" s="13"/>
      <c r="V934" s="13"/>
      <c r="W934" s="13"/>
      <c r="X934" s="14"/>
      <c r="AN934" s="7" t="s">
        <v>155</v>
      </c>
      <c r="AO934" s="21">
        <f t="shared" si="43"/>
        <v>0</v>
      </c>
      <c r="AP934" s="7">
        <f t="shared" si="44"/>
        <v>14.93</v>
      </c>
      <c r="AQ934" s="31" t="str">
        <f t="shared" si="45"/>
        <v>Complete - No Adjustment</v>
      </c>
    </row>
    <row r="935" spans="1:43" x14ac:dyDescent="0.2">
      <c r="A935" s="46">
        <v>925</v>
      </c>
      <c r="B935" s="13" t="s">
        <v>266</v>
      </c>
      <c r="C935" s="13" t="s">
        <v>152</v>
      </c>
      <c r="D935" s="13" t="s">
        <v>153</v>
      </c>
      <c r="E935" s="13" t="s">
        <v>2746</v>
      </c>
      <c r="F935" s="13" t="s">
        <v>219</v>
      </c>
      <c r="G935" s="13" t="s">
        <v>111</v>
      </c>
      <c r="H935" s="16">
        <v>43991</v>
      </c>
      <c r="I935" s="16">
        <v>43998</v>
      </c>
      <c r="J935" s="22">
        <v>290</v>
      </c>
      <c r="K935" s="22">
        <v>275</v>
      </c>
      <c r="L935" s="22" t="s">
        <v>2747</v>
      </c>
      <c r="M935" s="26" t="s">
        <v>98</v>
      </c>
      <c r="N935" s="13" t="s">
        <v>230</v>
      </c>
      <c r="O935" s="13" t="s">
        <v>78</v>
      </c>
      <c r="P935" s="13" t="s">
        <v>60</v>
      </c>
      <c r="Q935" s="13" t="s">
        <v>48</v>
      </c>
      <c r="R935" s="13" t="s">
        <v>270</v>
      </c>
      <c r="S935" s="13" t="s">
        <v>2748</v>
      </c>
      <c r="T935" s="13" t="s">
        <v>2749</v>
      </c>
      <c r="U935" s="13"/>
      <c r="V935" s="13"/>
      <c r="W935" s="13"/>
      <c r="X935" s="14"/>
      <c r="AN935" s="7" t="s">
        <v>2750</v>
      </c>
      <c r="AO935" s="21">
        <f t="shared" si="43"/>
        <v>0</v>
      </c>
      <c r="AP935" s="7">
        <f t="shared" si="44"/>
        <v>275</v>
      </c>
      <c r="AQ935" s="31" t="str">
        <f t="shared" si="45"/>
        <v>Complete - No Adjustment</v>
      </c>
    </row>
    <row r="936" spans="1:43" x14ac:dyDescent="0.2">
      <c r="A936" s="46">
        <v>926</v>
      </c>
      <c r="B936" s="13" t="s">
        <v>266</v>
      </c>
      <c r="C936" s="13" t="s">
        <v>152</v>
      </c>
      <c r="D936" s="13" t="s">
        <v>153</v>
      </c>
      <c r="E936" s="13" t="s">
        <v>2746</v>
      </c>
      <c r="F936" s="13" t="s">
        <v>219</v>
      </c>
      <c r="G936" s="13" t="s">
        <v>111</v>
      </c>
      <c r="H936" s="16">
        <v>43991</v>
      </c>
      <c r="I936" s="16">
        <v>43998</v>
      </c>
      <c r="J936" s="22">
        <v>290</v>
      </c>
      <c r="K936" s="22">
        <v>15</v>
      </c>
      <c r="L936" s="22" t="s">
        <v>2747</v>
      </c>
      <c r="M936" s="26" t="s">
        <v>98</v>
      </c>
      <c r="N936" s="13" t="s">
        <v>230</v>
      </c>
      <c r="O936" s="13" t="s">
        <v>78</v>
      </c>
      <c r="P936" s="13" t="s">
        <v>60</v>
      </c>
      <c r="Q936" s="13" t="s">
        <v>41</v>
      </c>
      <c r="R936" s="13" t="s">
        <v>270</v>
      </c>
      <c r="S936" s="13" t="s">
        <v>2748</v>
      </c>
      <c r="T936" s="13" t="s">
        <v>2751</v>
      </c>
      <c r="U936" s="13"/>
      <c r="V936" s="13"/>
      <c r="W936" s="13"/>
      <c r="X936" s="14"/>
      <c r="AN936" s="7" t="s">
        <v>155</v>
      </c>
      <c r="AO936" s="21">
        <f t="shared" ref="AO936:AO999" si="46">SUM(Y936:AL936)</f>
        <v>0</v>
      </c>
      <c r="AP936" s="7">
        <f t="shared" ref="AP936:AP999" si="47">K936-AO936</f>
        <v>15</v>
      </c>
      <c r="AQ936" s="31" t="str">
        <f t="shared" si="45"/>
        <v>Complete - No Adjustment</v>
      </c>
    </row>
    <row r="937" spans="1:43" x14ac:dyDescent="0.2">
      <c r="A937" s="46">
        <v>927</v>
      </c>
      <c r="B937" s="13" t="s">
        <v>266</v>
      </c>
      <c r="C937" s="13" t="s">
        <v>126</v>
      </c>
      <c r="D937" s="13" t="s">
        <v>125</v>
      </c>
      <c r="E937" s="13" t="s">
        <v>220</v>
      </c>
      <c r="F937" s="13" t="s">
        <v>208</v>
      </c>
      <c r="G937" s="13" t="s">
        <v>111</v>
      </c>
      <c r="H937" s="16">
        <v>43998</v>
      </c>
      <c r="I937" s="16">
        <v>44000</v>
      </c>
      <c r="J937" s="22">
        <v>303.89</v>
      </c>
      <c r="K937" s="22">
        <v>25</v>
      </c>
      <c r="L937" s="22" t="s">
        <v>221</v>
      </c>
      <c r="M937" s="26" t="s">
        <v>98</v>
      </c>
      <c r="N937" s="13" t="s">
        <v>230</v>
      </c>
      <c r="O937" s="13" t="s">
        <v>383</v>
      </c>
      <c r="P937" s="13" t="s">
        <v>60</v>
      </c>
      <c r="Q937" s="13" t="s">
        <v>41</v>
      </c>
      <c r="R937" s="13" t="s">
        <v>270</v>
      </c>
      <c r="S937" s="13" t="s">
        <v>222</v>
      </c>
      <c r="T937" s="13" t="s">
        <v>2752</v>
      </c>
      <c r="U937" s="13"/>
      <c r="V937" s="13"/>
      <c r="W937" s="13"/>
      <c r="X937" s="14"/>
      <c r="AL937" s="14">
        <v>25</v>
      </c>
      <c r="AN937" s="7" t="s">
        <v>146</v>
      </c>
      <c r="AO937" s="21">
        <f t="shared" si="46"/>
        <v>25</v>
      </c>
      <c r="AP937" s="7">
        <f t="shared" si="47"/>
        <v>0</v>
      </c>
      <c r="AQ937" s="31" t="str">
        <f t="shared" si="45"/>
        <v>Complete - With Adjustment</v>
      </c>
    </row>
    <row r="938" spans="1:43" x14ac:dyDescent="0.2">
      <c r="A938" s="46">
        <v>928</v>
      </c>
      <c r="B938" s="13" t="s">
        <v>266</v>
      </c>
      <c r="C938" s="13" t="s">
        <v>126</v>
      </c>
      <c r="D938" s="13" t="s">
        <v>125</v>
      </c>
      <c r="E938" s="13" t="s">
        <v>220</v>
      </c>
      <c r="F938" s="13" t="s">
        <v>208</v>
      </c>
      <c r="G938" s="13" t="s">
        <v>111</v>
      </c>
      <c r="H938" s="16">
        <v>43998</v>
      </c>
      <c r="I938" s="16">
        <v>44000</v>
      </c>
      <c r="J938" s="22">
        <v>303.89</v>
      </c>
      <c r="K938" s="22">
        <v>32.200000000000003</v>
      </c>
      <c r="L938" s="22" t="s">
        <v>221</v>
      </c>
      <c r="M938" s="26" t="s">
        <v>98</v>
      </c>
      <c r="N938" s="13" t="s">
        <v>230</v>
      </c>
      <c r="O938" s="13" t="s">
        <v>383</v>
      </c>
      <c r="P938" s="13" t="s">
        <v>60</v>
      </c>
      <c r="Q938" s="13" t="s">
        <v>62</v>
      </c>
      <c r="R938" s="13" t="s">
        <v>270</v>
      </c>
      <c r="S938" s="13" t="s">
        <v>222</v>
      </c>
      <c r="T938" s="13" t="s">
        <v>2753</v>
      </c>
      <c r="U938" s="13"/>
      <c r="V938" s="13"/>
      <c r="W938" s="13"/>
      <c r="X938" s="14"/>
      <c r="AN938" s="7" t="s">
        <v>70</v>
      </c>
      <c r="AO938" s="21">
        <f t="shared" si="46"/>
        <v>0</v>
      </c>
      <c r="AP938" s="7">
        <f t="shared" si="47"/>
        <v>32.200000000000003</v>
      </c>
      <c r="AQ938" s="31" t="str">
        <f t="shared" si="45"/>
        <v>Complete - No Adjustment</v>
      </c>
    </row>
    <row r="939" spans="1:43" x14ac:dyDescent="0.2">
      <c r="A939" s="46">
        <v>929</v>
      </c>
      <c r="B939" s="13" t="s">
        <v>266</v>
      </c>
      <c r="C939" s="13" t="s">
        <v>126</v>
      </c>
      <c r="D939" s="13" t="s">
        <v>125</v>
      </c>
      <c r="E939" s="13" t="s">
        <v>220</v>
      </c>
      <c r="F939" s="13" t="s">
        <v>208</v>
      </c>
      <c r="G939" s="13" t="s">
        <v>111</v>
      </c>
      <c r="H939" s="16">
        <v>43998</v>
      </c>
      <c r="I939" s="16">
        <v>44000</v>
      </c>
      <c r="J939" s="22">
        <v>303.89</v>
      </c>
      <c r="K939" s="22">
        <v>51.69</v>
      </c>
      <c r="L939" s="22" t="s">
        <v>221</v>
      </c>
      <c r="M939" s="26" t="s">
        <v>98</v>
      </c>
      <c r="N939" s="13" t="s">
        <v>230</v>
      </c>
      <c r="O939" s="13" t="s">
        <v>383</v>
      </c>
      <c r="P939" s="13" t="s">
        <v>60</v>
      </c>
      <c r="Q939" s="13" t="s">
        <v>62</v>
      </c>
      <c r="R939" s="13" t="s">
        <v>270</v>
      </c>
      <c r="S939" s="13" t="s">
        <v>222</v>
      </c>
      <c r="T939" s="13" t="s">
        <v>2754</v>
      </c>
      <c r="U939" s="13"/>
      <c r="V939" s="13"/>
      <c r="W939" s="13"/>
      <c r="X939" s="14"/>
      <c r="AN939" s="7" t="s">
        <v>70</v>
      </c>
      <c r="AO939" s="21">
        <f t="shared" si="46"/>
        <v>0</v>
      </c>
      <c r="AP939" s="7">
        <f t="shared" si="47"/>
        <v>51.69</v>
      </c>
      <c r="AQ939" s="31" t="str">
        <f t="shared" si="45"/>
        <v>Complete - No Adjustment</v>
      </c>
    </row>
    <row r="940" spans="1:43" x14ac:dyDescent="0.2">
      <c r="A940" s="46">
        <v>930</v>
      </c>
      <c r="B940" s="13" t="s">
        <v>266</v>
      </c>
      <c r="C940" s="13" t="s">
        <v>476</v>
      </c>
      <c r="D940" s="13" t="s">
        <v>475</v>
      </c>
      <c r="E940" s="13" t="s">
        <v>2755</v>
      </c>
      <c r="F940" s="13" t="s">
        <v>202</v>
      </c>
      <c r="G940" s="13" t="s">
        <v>111</v>
      </c>
      <c r="H940" s="16">
        <v>43979</v>
      </c>
      <c r="I940" s="16">
        <v>43983</v>
      </c>
      <c r="J940" s="22">
        <v>15</v>
      </c>
      <c r="K940" s="22">
        <v>15</v>
      </c>
      <c r="L940" s="22" t="s">
        <v>2756</v>
      </c>
      <c r="M940" s="26" t="s">
        <v>98</v>
      </c>
      <c r="N940" s="13" t="s">
        <v>230</v>
      </c>
      <c r="O940" s="13" t="s">
        <v>320</v>
      </c>
      <c r="P940" s="13" t="s">
        <v>60</v>
      </c>
      <c r="Q940" s="13" t="s">
        <v>41</v>
      </c>
      <c r="R940" s="13" t="s">
        <v>270</v>
      </c>
      <c r="S940" s="13" t="s">
        <v>2757</v>
      </c>
      <c r="T940" s="13" t="s">
        <v>2758</v>
      </c>
      <c r="U940" s="13"/>
      <c r="V940" s="13"/>
      <c r="W940" s="13"/>
      <c r="X940" s="14"/>
      <c r="AN940" s="7" t="s">
        <v>155</v>
      </c>
      <c r="AO940" s="21">
        <f t="shared" si="46"/>
        <v>0</v>
      </c>
      <c r="AP940" s="7">
        <f t="shared" si="47"/>
        <v>15</v>
      </c>
      <c r="AQ940" s="31" t="str">
        <f t="shared" si="45"/>
        <v>Complete - No Adjustment</v>
      </c>
    </row>
    <row r="941" spans="1:43" x14ac:dyDescent="0.2">
      <c r="A941" s="46">
        <v>931</v>
      </c>
      <c r="B941" s="13" t="s">
        <v>266</v>
      </c>
      <c r="C941" s="13" t="s">
        <v>476</v>
      </c>
      <c r="D941" s="13" t="s">
        <v>475</v>
      </c>
      <c r="E941" s="13" t="s">
        <v>2759</v>
      </c>
      <c r="F941" s="13" t="s">
        <v>211</v>
      </c>
      <c r="G941" s="13" t="s">
        <v>111</v>
      </c>
      <c r="H941" s="16">
        <v>43992</v>
      </c>
      <c r="I941" s="16">
        <v>43994</v>
      </c>
      <c r="J941" s="22">
        <v>15</v>
      </c>
      <c r="K941" s="22">
        <v>15</v>
      </c>
      <c r="L941" s="22" t="s">
        <v>2760</v>
      </c>
      <c r="M941" s="26" t="s">
        <v>98</v>
      </c>
      <c r="N941" s="13" t="s">
        <v>230</v>
      </c>
      <c r="O941" s="13" t="s">
        <v>320</v>
      </c>
      <c r="P941" s="13" t="s">
        <v>60</v>
      </c>
      <c r="Q941" s="13" t="s">
        <v>41</v>
      </c>
      <c r="R941" s="13" t="s">
        <v>270</v>
      </c>
      <c r="S941" s="13" t="s">
        <v>2761</v>
      </c>
      <c r="T941" s="13" t="s">
        <v>2762</v>
      </c>
      <c r="U941" s="13"/>
      <c r="V941" s="13"/>
      <c r="W941" s="13"/>
      <c r="X941" s="14"/>
      <c r="AN941" s="7" t="s">
        <v>155</v>
      </c>
      <c r="AO941" s="21">
        <f t="shared" si="46"/>
        <v>0</v>
      </c>
      <c r="AP941" s="7">
        <f t="shared" si="47"/>
        <v>15</v>
      </c>
      <c r="AQ941" s="31" t="str">
        <f t="shared" si="45"/>
        <v>Complete - No Adjustment</v>
      </c>
    </row>
    <row r="942" spans="1:43" x14ac:dyDescent="0.2">
      <c r="A942" s="46">
        <v>932</v>
      </c>
      <c r="B942" s="13" t="s">
        <v>266</v>
      </c>
      <c r="C942" s="13" t="s">
        <v>476</v>
      </c>
      <c r="D942" s="13" t="s">
        <v>475</v>
      </c>
      <c r="E942" s="13" t="s">
        <v>2763</v>
      </c>
      <c r="F942" s="13" t="s">
        <v>201</v>
      </c>
      <c r="G942" s="13" t="s">
        <v>111</v>
      </c>
      <c r="H942" s="16">
        <v>44000</v>
      </c>
      <c r="I942" s="16">
        <v>44001</v>
      </c>
      <c r="J942" s="22">
        <v>15</v>
      </c>
      <c r="K942" s="22">
        <v>15</v>
      </c>
      <c r="L942" s="22" t="s">
        <v>2764</v>
      </c>
      <c r="M942" s="26" t="s">
        <v>98</v>
      </c>
      <c r="N942" s="13" t="s">
        <v>230</v>
      </c>
      <c r="O942" s="13" t="s">
        <v>320</v>
      </c>
      <c r="P942" s="13" t="s">
        <v>60</v>
      </c>
      <c r="Q942" s="13" t="s">
        <v>41</v>
      </c>
      <c r="R942" s="13" t="s">
        <v>270</v>
      </c>
      <c r="S942" s="13" t="s">
        <v>2765</v>
      </c>
      <c r="T942" s="13" t="s">
        <v>2766</v>
      </c>
      <c r="U942" s="13"/>
      <c r="V942" s="13"/>
      <c r="W942" s="13"/>
      <c r="X942" s="14"/>
      <c r="AN942" s="7" t="s">
        <v>70</v>
      </c>
      <c r="AO942" s="21">
        <f t="shared" si="46"/>
        <v>0</v>
      </c>
      <c r="AP942" s="7">
        <f t="shared" si="47"/>
        <v>15</v>
      </c>
      <c r="AQ942" s="31" t="str">
        <f t="shared" si="45"/>
        <v>Complete - No Adjustment</v>
      </c>
    </row>
    <row r="943" spans="1:43" x14ac:dyDescent="0.2">
      <c r="A943" s="46">
        <v>933</v>
      </c>
      <c r="B943" s="13" t="s">
        <v>266</v>
      </c>
      <c r="C943" s="13" t="s">
        <v>2767</v>
      </c>
      <c r="D943" s="13" t="s">
        <v>2768</v>
      </c>
      <c r="E943" s="13" t="s">
        <v>2769</v>
      </c>
      <c r="F943" s="13" t="s">
        <v>213</v>
      </c>
      <c r="G943" s="13" t="s">
        <v>111</v>
      </c>
      <c r="H943" s="16">
        <v>43994</v>
      </c>
      <c r="I943" s="16">
        <v>43999</v>
      </c>
      <c r="J943" s="22">
        <v>15</v>
      </c>
      <c r="K943" s="22">
        <v>15</v>
      </c>
      <c r="L943" s="22" t="s">
        <v>2770</v>
      </c>
      <c r="M943" s="26" t="s">
        <v>98</v>
      </c>
      <c r="N943" s="13" t="s">
        <v>230</v>
      </c>
      <c r="O943" s="13" t="s">
        <v>280</v>
      </c>
      <c r="P943" s="13" t="s">
        <v>60</v>
      </c>
      <c r="Q943" s="13" t="s">
        <v>41</v>
      </c>
      <c r="R943" s="13" t="s">
        <v>270</v>
      </c>
      <c r="S943" s="13" t="s">
        <v>2180</v>
      </c>
      <c r="T943" s="13" t="s">
        <v>2181</v>
      </c>
      <c r="U943" s="13"/>
      <c r="V943" s="13"/>
      <c r="W943" s="13"/>
      <c r="X943" s="14"/>
      <c r="AN943" s="7" t="s">
        <v>155</v>
      </c>
      <c r="AO943" s="21">
        <f t="shared" si="46"/>
        <v>0</v>
      </c>
      <c r="AP943" s="7">
        <f t="shared" si="47"/>
        <v>15</v>
      </c>
      <c r="AQ943" s="31" t="str">
        <f t="shared" si="45"/>
        <v>Complete - No Adjustment</v>
      </c>
    </row>
    <row r="944" spans="1:43" x14ac:dyDescent="0.2">
      <c r="A944" s="46">
        <v>934</v>
      </c>
      <c r="B944" s="13" t="s">
        <v>266</v>
      </c>
      <c r="C944" s="13" t="s">
        <v>685</v>
      </c>
      <c r="D944" s="13" t="s">
        <v>776</v>
      </c>
      <c r="E944" s="13" t="s">
        <v>2771</v>
      </c>
      <c r="F944" s="13" t="s">
        <v>202</v>
      </c>
      <c r="G944" s="13" t="s">
        <v>111</v>
      </c>
      <c r="H944" s="16">
        <v>43978</v>
      </c>
      <c r="I944" s="16">
        <v>43983</v>
      </c>
      <c r="J944" s="22">
        <v>67.63</v>
      </c>
      <c r="K944" s="22">
        <v>12</v>
      </c>
      <c r="L944" s="22" t="s">
        <v>2772</v>
      </c>
      <c r="M944" s="26" t="s">
        <v>98</v>
      </c>
      <c r="N944" s="13" t="s">
        <v>230</v>
      </c>
      <c r="O944" s="13" t="s">
        <v>706</v>
      </c>
      <c r="P944" s="13" t="s">
        <v>60</v>
      </c>
      <c r="Q944" s="13" t="s">
        <v>46</v>
      </c>
      <c r="R944" s="13" t="s">
        <v>270</v>
      </c>
      <c r="S944" s="13" t="s">
        <v>2773</v>
      </c>
      <c r="T944" s="13" t="s">
        <v>2774</v>
      </c>
      <c r="U944" s="13"/>
      <c r="V944" s="13"/>
      <c r="W944" s="13"/>
      <c r="X944" s="14"/>
      <c r="AN944" s="7" t="s">
        <v>155</v>
      </c>
      <c r="AO944" s="21">
        <f t="shared" si="46"/>
        <v>0</v>
      </c>
      <c r="AP944" s="7">
        <f t="shared" si="47"/>
        <v>12</v>
      </c>
      <c r="AQ944" s="31" t="str">
        <f t="shared" si="45"/>
        <v>Complete - No Adjustment</v>
      </c>
    </row>
    <row r="945" spans="1:43" x14ac:dyDescent="0.2">
      <c r="A945" s="46">
        <v>935</v>
      </c>
      <c r="B945" s="13" t="s">
        <v>266</v>
      </c>
      <c r="C945" s="13" t="s">
        <v>685</v>
      </c>
      <c r="D945" s="13" t="s">
        <v>776</v>
      </c>
      <c r="E945" s="13" t="s">
        <v>2771</v>
      </c>
      <c r="F945" s="13" t="s">
        <v>202</v>
      </c>
      <c r="G945" s="13" t="s">
        <v>111</v>
      </c>
      <c r="H945" s="16">
        <v>43978</v>
      </c>
      <c r="I945" s="16">
        <v>43983</v>
      </c>
      <c r="J945" s="22">
        <v>67.63</v>
      </c>
      <c r="K945" s="22">
        <v>12</v>
      </c>
      <c r="L945" s="22" t="s">
        <v>2772</v>
      </c>
      <c r="M945" s="26" t="s">
        <v>98</v>
      </c>
      <c r="N945" s="13" t="s">
        <v>230</v>
      </c>
      <c r="O945" s="13" t="s">
        <v>706</v>
      </c>
      <c r="P945" s="13" t="s">
        <v>60</v>
      </c>
      <c r="Q945" s="13" t="s">
        <v>46</v>
      </c>
      <c r="R945" s="13" t="s">
        <v>270</v>
      </c>
      <c r="S945" s="13" t="s">
        <v>2773</v>
      </c>
      <c r="T945" s="13" t="s">
        <v>2774</v>
      </c>
      <c r="U945" s="13"/>
      <c r="V945" s="13"/>
      <c r="W945" s="13"/>
      <c r="X945" s="14"/>
      <c r="AN945" s="7" t="s">
        <v>155</v>
      </c>
      <c r="AO945" s="21">
        <f t="shared" si="46"/>
        <v>0</v>
      </c>
      <c r="AP945" s="7">
        <f t="shared" si="47"/>
        <v>12</v>
      </c>
      <c r="AQ945" s="31" t="str">
        <f t="shared" si="45"/>
        <v>Complete - No Adjustment</v>
      </c>
    </row>
    <row r="946" spans="1:43" x14ac:dyDescent="0.2">
      <c r="A946" s="46">
        <v>936</v>
      </c>
      <c r="B946" s="13" t="s">
        <v>266</v>
      </c>
      <c r="C946" s="13" t="s">
        <v>685</v>
      </c>
      <c r="D946" s="13" t="s">
        <v>776</v>
      </c>
      <c r="E946" s="13" t="s">
        <v>2771</v>
      </c>
      <c r="F946" s="13" t="s">
        <v>202</v>
      </c>
      <c r="G946" s="13" t="s">
        <v>111</v>
      </c>
      <c r="H946" s="16">
        <v>43978</v>
      </c>
      <c r="I946" s="16">
        <v>43983</v>
      </c>
      <c r="J946" s="22">
        <v>67.63</v>
      </c>
      <c r="K946" s="22">
        <v>30.11</v>
      </c>
      <c r="L946" s="22" t="s">
        <v>2772</v>
      </c>
      <c r="M946" s="26" t="s">
        <v>98</v>
      </c>
      <c r="N946" s="13" t="s">
        <v>230</v>
      </c>
      <c r="O946" s="13" t="s">
        <v>706</v>
      </c>
      <c r="P946" s="13" t="s">
        <v>60</v>
      </c>
      <c r="Q946" s="13" t="s">
        <v>104</v>
      </c>
      <c r="R946" s="13" t="s">
        <v>270</v>
      </c>
      <c r="S946" s="13" t="s">
        <v>2773</v>
      </c>
      <c r="T946" s="13" t="s">
        <v>2775</v>
      </c>
      <c r="U946" s="13"/>
      <c r="V946" s="13"/>
      <c r="W946" s="13"/>
      <c r="X946" s="14"/>
      <c r="AN946" s="7" t="s">
        <v>70</v>
      </c>
      <c r="AO946" s="21">
        <f t="shared" si="46"/>
        <v>0</v>
      </c>
      <c r="AP946" s="7">
        <f t="shared" si="47"/>
        <v>30.11</v>
      </c>
      <c r="AQ946" s="31" t="str">
        <f t="shared" si="45"/>
        <v>Complete - No Adjustment</v>
      </c>
    </row>
    <row r="947" spans="1:43" x14ac:dyDescent="0.2">
      <c r="A947" s="46">
        <v>937</v>
      </c>
      <c r="B947" s="13" t="s">
        <v>266</v>
      </c>
      <c r="C947" s="13" t="s">
        <v>815</v>
      </c>
      <c r="D947" s="13" t="s">
        <v>816</v>
      </c>
      <c r="E947" s="13" t="s">
        <v>2776</v>
      </c>
      <c r="F947" s="13" t="s">
        <v>208</v>
      </c>
      <c r="G947" s="13" t="s">
        <v>111</v>
      </c>
      <c r="H947" s="16">
        <v>43998</v>
      </c>
      <c r="I947" s="16">
        <v>44000</v>
      </c>
      <c r="J947" s="22">
        <v>30</v>
      </c>
      <c r="K947" s="22">
        <v>3</v>
      </c>
      <c r="L947" s="22" t="s">
        <v>2777</v>
      </c>
      <c r="M947" s="26" t="s">
        <v>98</v>
      </c>
      <c r="N947" s="13" t="s">
        <v>230</v>
      </c>
      <c r="O947" s="13" t="s">
        <v>791</v>
      </c>
      <c r="P947" s="13" t="s">
        <v>60</v>
      </c>
      <c r="Q947" s="13" t="s">
        <v>41</v>
      </c>
      <c r="R947" s="13" t="s">
        <v>270</v>
      </c>
      <c r="S947" s="13" t="s">
        <v>2778</v>
      </c>
      <c r="T947" s="13" t="s">
        <v>2779</v>
      </c>
      <c r="U947" s="13"/>
      <c r="V947" s="13"/>
      <c r="W947" s="13"/>
      <c r="X947" s="14"/>
      <c r="AL947" s="14">
        <v>3</v>
      </c>
      <c r="AN947" s="7" t="s">
        <v>167</v>
      </c>
      <c r="AO947" s="21">
        <f t="shared" si="46"/>
        <v>3</v>
      </c>
      <c r="AP947" s="7">
        <f t="shared" si="47"/>
        <v>0</v>
      </c>
      <c r="AQ947" s="31" t="str">
        <f t="shared" si="45"/>
        <v>Complete - With Adjustment</v>
      </c>
    </row>
    <row r="948" spans="1:43" x14ac:dyDescent="0.2">
      <c r="A948" s="46">
        <v>938</v>
      </c>
      <c r="B948" s="13" t="s">
        <v>266</v>
      </c>
      <c r="C948" s="13" t="s">
        <v>815</v>
      </c>
      <c r="D948" s="13" t="s">
        <v>816</v>
      </c>
      <c r="E948" s="13" t="s">
        <v>2776</v>
      </c>
      <c r="F948" s="13" t="s">
        <v>208</v>
      </c>
      <c r="G948" s="13" t="s">
        <v>111</v>
      </c>
      <c r="H948" s="16">
        <v>43998</v>
      </c>
      <c r="I948" s="16">
        <v>44000</v>
      </c>
      <c r="J948" s="22">
        <v>30</v>
      </c>
      <c r="K948" s="22">
        <v>3</v>
      </c>
      <c r="L948" s="22" t="s">
        <v>2777</v>
      </c>
      <c r="M948" s="26" t="s">
        <v>98</v>
      </c>
      <c r="N948" s="13" t="s">
        <v>230</v>
      </c>
      <c r="O948" s="13" t="s">
        <v>791</v>
      </c>
      <c r="P948" s="13" t="s">
        <v>60</v>
      </c>
      <c r="Q948" s="13" t="s">
        <v>41</v>
      </c>
      <c r="R948" s="13" t="s">
        <v>270</v>
      </c>
      <c r="S948" s="13" t="s">
        <v>2778</v>
      </c>
      <c r="T948" s="13" t="s">
        <v>2779</v>
      </c>
      <c r="U948" s="13"/>
      <c r="V948" s="13"/>
      <c r="W948" s="13"/>
      <c r="X948" s="14"/>
      <c r="AL948" s="14">
        <v>3</v>
      </c>
      <c r="AN948" s="7" t="s">
        <v>167</v>
      </c>
      <c r="AO948" s="21">
        <f t="shared" si="46"/>
        <v>3</v>
      </c>
      <c r="AP948" s="7">
        <f t="shared" si="47"/>
        <v>0</v>
      </c>
      <c r="AQ948" s="31" t="str">
        <f t="shared" si="45"/>
        <v>Complete - With Adjustment</v>
      </c>
    </row>
    <row r="949" spans="1:43" x14ac:dyDescent="0.2">
      <c r="A949" s="46">
        <v>939</v>
      </c>
      <c r="B949" s="13" t="s">
        <v>266</v>
      </c>
      <c r="C949" s="13" t="s">
        <v>815</v>
      </c>
      <c r="D949" s="13" t="s">
        <v>816</v>
      </c>
      <c r="E949" s="13" t="s">
        <v>2780</v>
      </c>
      <c r="F949" s="13" t="s">
        <v>208</v>
      </c>
      <c r="G949" s="13" t="s">
        <v>111</v>
      </c>
      <c r="H949" s="16">
        <v>43998</v>
      </c>
      <c r="I949" s="16">
        <v>44000</v>
      </c>
      <c r="J949" s="22">
        <v>215</v>
      </c>
      <c r="K949" s="22">
        <v>43</v>
      </c>
      <c r="L949" s="22" t="s">
        <v>2781</v>
      </c>
      <c r="M949" s="26" t="s">
        <v>98</v>
      </c>
      <c r="N949" s="13" t="s">
        <v>230</v>
      </c>
      <c r="O949" s="13" t="s">
        <v>791</v>
      </c>
      <c r="P949" s="13" t="s">
        <v>60</v>
      </c>
      <c r="Q949" s="13" t="s">
        <v>59</v>
      </c>
      <c r="R949" s="13" t="s">
        <v>270</v>
      </c>
      <c r="S949" s="13" t="s">
        <v>2782</v>
      </c>
      <c r="T949" s="13" t="s">
        <v>2783</v>
      </c>
      <c r="U949" s="13"/>
      <c r="V949" s="13"/>
      <c r="W949" s="13"/>
      <c r="X949" s="14"/>
      <c r="AN949" s="7" t="s">
        <v>70</v>
      </c>
      <c r="AO949" s="21">
        <f t="shared" si="46"/>
        <v>0</v>
      </c>
      <c r="AP949" s="7">
        <f t="shared" si="47"/>
        <v>43</v>
      </c>
      <c r="AQ949" s="31" t="str">
        <f t="shared" si="45"/>
        <v>Complete - No Adjustment</v>
      </c>
    </row>
    <row r="950" spans="1:43" x14ac:dyDescent="0.2">
      <c r="A950" s="46">
        <v>940</v>
      </c>
      <c r="B950" s="13" t="s">
        <v>266</v>
      </c>
      <c r="C950" s="13" t="s">
        <v>575</v>
      </c>
      <c r="D950" s="13" t="s">
        <v>574</v>
      </c>
      <c r="E950" s="13" t="s">
        <v>2784</v>
      </c>
      <c r="F950" s="13" t="s">
        <v>203</v>
      </c>
      <c r="G950" s="13" t="s">
        <v>111</v>
      </c>
      <c r="H950" s="16">
        <v>43973</v>
      </c>
      <c r="I950" s="16">
        <v>43984</v>
      </c>
      <c r="J950" s="22">
        <v>1158.05</v>
      </c>
      <c r="K950" s="22">
        <v>275</v>
      </c>
      <c r="L950" s="22" t="s">
        <v>2785</v>
      </c>
      <c r="M950" s="26" t="s">
        <v>98</v>
      </c>
      <c r="N950" s="13" t="s">
        <v>230</v>
      </c>
      <c r="O950" s="13" t="s">
        <v>78</v>
      </c>
      <c r="P950" s="13" t="s">
        <v>60</v>
      </c>
      <c r="Q950" s="13" t="s">
        <v>48</v>
      </c>
      <c r="R950" s="13" t="s">
        <v>270</v>
      </c>
      <c r="S950" s="13" t="s">
        <v>2786</v>
      </c>
      <c r="T950" s="13" t="s">
        <v>2787</v>
      </c>
      <c r="U950" s="13"/>
      <c r="V950" s="13"/>
      <c r="W950" s="13"/>
      <c r="X950" s="14"/>
      <c r="AN950" s="7" t="s">
        <v>2788</v>
      </c>
      <c r="AO950" s="21">
        <f t="shared" si="46"/>
        <v>0</v>
      </c>
      <c r="AP950" s="7">
        <f t="shared" si="47"/>
        <v>275</v>
      </c>
      <c r="AQ950" s="31" t="str">
        <f t="shared" si="45"/>
        <v>Complete - No Adjustment</v>
      </c>
    </row>
    <row r="951" spans="1:43" x14ac:dyDescent="0.2">
      <c r="A951" s="46">
        <v>941</v>
      </c>
      <c r="B951" s="13" t="s">
        <v>266</v>
      </c>
      <c r="C951" s="13" t="s">
        <v>575</v>
      </c>
      <c r="D951" s="13" t="s">
        <v>574</v>
      </c>
      <c r="E951" s="13" t="s">
        <v>2784</v>
      </c>
      <c r="F951" s="13" t="s">
        <v>203</v>
      </c>
      <c r="G951" s="13" t="s">
        <v>111</v>
      </c>
      <c r="H951" s="16">
        <v>43973</v>
      </c>
      <c r="I951" s="16">
        <v>43984</v>
      </c>
      <c r="J951" s="22">
        <v>1158.05</v>
      </c>
      <c r="K951" s="22">
        <v>275</v>
      </c>
      <c r="L951" s="22" t="s">
        <v>2785</v>
      </c>
      <c r="M951" s="26" t="s">
        <v>98</v>
      </c>
      <c r="N951" s="13" t="s">
        <v>230</v>
      </c>
      <c r="O951" s="13" t="s">
        <v>78</v>
      </c>
      <c r="P951" s="13" t="s">
        <v>60</v>
      </c>
      <c r="Q951" s="13" t="s">
        <v>48</v>
      </c>
      <c r="R951" s="13" t="s">
        <v>270</v>
      </c>
      <c r="S951" s="13" t="s">
        <v>2786</v>
      </c>
      <c r="T951" s="13" t="s">
        <v>2789</v>
      </c>
      <c r="U951" s="13"/>
      <c r="V951" s="13"/>
      <c r="W951" s="13"/>
      <c r="X951" s="14"/>
      <c r="AN951" s="7" t="s">
        <v>2790</v>
      </c>
      <c r="AO951" s="21">
        <f t="shared" si="46"/>
        <v>0</v>
      </c>
      <c r="AP951" s="7">
        <f t="shared" si="47"/>
        <v>275</v>
      </c>
      <c r="AQ951" s="31" t="str">
        <f t="shared" si="45"/>
        <v>Complete - No Adjustment</v>
      </c>
    </row>
    <row r="952" spans="1:43" x14ac:dyDescent="0.2">
      <c r="A952" s="46">
        <v>942</v>
      </c>
      <c r="B952" s="13" t="s">
        <v>266</v>
      </c>
      <c r="C952" s="13" t="s">
        <v>575</v>
      </c>
      <c r="D952" s="13" t="s">
        <v>574</v>
      </c>
      <c r="E952" s="13" t="s">
        <v>2784</v>
      </c>
      <c r="F952" s="13" t="s">
        <v>203</v>
      </c>
      <c r="G952" s="13" t="s">
        <v>111</v>
      </c>
      <c r="H952" s="16">
        <v>43973</v>
      </c>
      <c r="I952" s="16">
        <v>43984</v>
      </c>
      <c r="J952" s="22">
        <v>1158.05</v>
      </c>
      <c r="K952" s="22">
        <v>22.22</v>
      </c>
      <c r="L952" s="22" t="s">
        <v>2785</v>
      </c>
      <c r="M952" s="26" t="s">
        <v>98</v>
      </c>
      <c r="N952" s="13" t="s">
        <v>230</v>
      </c>
      <c r="O952" s="13" t="s">
        <v>78</v>
      </c>
      <c r="P952" s="13" t="s">
        <v>60</v>
      </c>
      <c r="Q952" s="13" t="s">
        <v>41</v>
      </c>
      <c r="R952" s="13" t="s">
        <v>270</v>
      </c>
      <c r="S952" s="13" t="s">
        <v>2786</v>
      </c>
      <c r="T952" s="13" t="s">
        <v>2791</v>
      </c>
      <c r="U952" s="13"/>
      <c r="V952" s="13"/>
      <c r="W952" s="13"/>
      <c r="X952" s="14"/>
      <c r="AN952" s="7" t="s">
        <v>155</v>
      </c>
      <c r="AO952" s="21">
        <f t="shared" si="46"/>
        <v>0</v>
      </c>
      <c r="AP952" s="7">
        <f t="shared" si="47"/>
        <v>22.22</v>
      </c>
      <c r="AQ952" s="31" t="str">
        <f t="shared" si="45"/>
        <v>Complete - No Adjustment</v>
      </c>
    </row>
    <row r="953" spans="1:43" x14ac:dyDescent="0.2">
      <c r="A953" s="46">
        <v>943</v>
      </c>
      <c r="B953" s="13" t="s">
        <v>266</v>
      </c>
      <c r="C953" s="13" t="s">
        <v>575</v>
      </c>
      <c r="D953" s="13" t="s">
        <v>574</v>
      </c>
      <c r="E953" s="13" t="s">
        <v>2784</v>
      </c>
      <c r="F953" s="13" t="s">
        <v>203</v>
      </c>
      <c r="G953" s="13" t="s">
        <v>111</v>
      </c>
      <c r="H953" s="16">
        <v>43973</v>
      </c>
      <c r="I953" s="16">
        <v>43984</v>
      </c>
      <c r="J953" s="22">
        <v>1158.05</v>
      </c>
      <c r="K953" s="22">
        <v>470</v>
      </c>
      <c r="L953" s="22" t="s">
        <v>2785</v>
      </c>
      <c r="M953" s="26" t="s">
        <v>98</v>
      </c>
      <c r="N953" s="13" t="s">
        <v>230</v>
      </c>
      <c r="O953" s="13" t="s">
        <v>78</v>
      </c>
      <c r="P953" s="13" t="s">
        <v>60</v>
      </c>
      <c r="Q953" s="13" t="s">
        <v>48</v>
      </c>
      <c r="R953" s="13" t="s">
        <v>270</v>
      </c>
      <c r="S953" s="13" t="s">
        <v>2786</v>
      </c>
      <c r="T953" s="13" t="s">
        <v>2792</v>
      </c>
      <c r="U953" s="13"/>
      <c r="V953" s="13"/>
      <c r="W953" s="13"/>
      <c r="X953" s="14"/>
      <c r="AN953" s="7" t="s">
        <v>70</v>
      </c>
      <c r="AO953" s="21">
        <f t="shared" si="46"/>
        <v>0</v>
      </c>
      <c r="AP953" s="7">
        <f t="shared" si="47"/>
        <v>470</v>
      </c>
      <c r="AQ953" s="31" t="str">
        <f t="shared" si="45"/>
        <v>Complete - No Adjustment</v>
      </c>
    </row>
    <row r="954" spans="1:43" x14ac:dyDescent="0.2">
      <c r="A954" s="46">
        <v>944</v>
      </c>
      <c r="B954" s="13" t="s">
        <v>266</v>
      </c>
      <c r="C954" s="13" t="s">
        <v>575</v>
      </c>
      <c r="D954" s="13" t="s">
        <v>574</v>
      </c>
      <c r="E954" s="13" t="s">
        <v>2784</v>
      </c>
      <c r="F954" s="13" t="s">
        <v>203</v>
      </c>
      <c r="G954" s="13" t="s">
        <v>111</v>
      </c>
      <c r="H954" s="16">
        <v>43973</v>
      </c>
      <c r="I954" s="16">
        <v>43984</v>
      </c>
      <c r="J954" s="22">
        <v>1158.05</v>
      </c>
      <c r="K954" s="22">
        <v>115.83</v>
      </c>
      <c r="L954" s="22" t="s">
        <v>2785</v>
      </c>
      <c r="M954" s="26" t="s">
        <v>98</v>
      </c>
      <c r="N954" s="13" t="s">
        <v>230</v>
      </c>
      <c r="O954" s="13" t="s">
        <v>78</v>
      </c>
      <c r="P954" s="13" t="s">
        <v>60</v>
      </c>
      <c r="Q954" s="13" t="s">
        <v>46</v>
      </c>
      <c r="R954" s="13" t="s">
        <v>270</v>
      </c>
      <c r="S954" s="13" t="s">
        <v>2786</v>
      </c>
      <c r="T954" s="13" t="s">
        <v>2793</v>
      </c>
      <c r="U954" s="13"/>
      <c r="V954" s="13"/>
      <c r="W954" s="13"/>
      <c r="X954" s="14"/>
      <c r="AI954" s="53">
        <v>115.83</v>
      </c>
      <c r="AN954" s="7" t="s">
        <v>145</v>
      </c>
      <c r="AO954" s="21">
        <f t="shared" si="46"/>
        <v>115.83</v>
      </c>
      <c r="AP954" s="7">
        <f t="shared" si="47"/>
        <v>0</v>
      </c>
      <c r="AQ954" s="31" t="str">
        <f t="shared" si="45"/>
        <v>Complete - With Adjustment</v>
      </c>
    </row>
    <row r="955" spans="1:43" x14ac:dyDescent="0.2">
      <c r="A955" s="46">
        <v>945</v>
      </c>
      <c r="B955" s="13" t="s">
        <v>266</v>
      </c>
      <c r="C955" s="13" t="s">
        <v>662</v>
      </c>
      <c r="D955" s="13" t="s">
        <v>661</v>
      </c>
      <c r="E955" s="13" t="s">
        <v>2794</v>
      </c>
      <c r="F955" s="13" t="s">
        <v>208</v>
      </c>
      <c r="G955" s="13" t="s">
        <v>111</v>
      </c>
      <c r="H955" s="16">
        <v>43998</v>
      </c>
      <c r="I955" s="16">
        <v>44000</v>
      </c>
      <c r="J955" s="22">
        <v>53.22</v>
      </c>
      <c r="K955" s="22">
        <v>15.14</v>
      </c>
      <c r="L955" s="22" t="s">
        <v>2795</v>
      </c>
      <c r="M955" s="26" t="s">
        <v>98</v>
      </c>
      <c r="N955" s="13" t="s">
        <v>230</v>
      </c>
      <c r="O955" s="13" t="s">
        <v>323</v>
      </c>
      <c r="P955" s="13" t="s">
        <v>60</v>
      </c>
      <c r="Q955" s="13" t="s">
        <v>41</v>
      </c>
      <c r="R955" s="13" t="s">
        <v>270</v>
      </c>
      <c r="S955" s="13" t="s">
        <v>2796</v>
      </c>
      <c r="T955" s="13" t="s">
        <v>2797</v>
      </c>
      <c r="U955" s="13"/>
      <c r="V955" s="13"/>
      <c r="W955" s="13"/>
      <c r="X955" s="14"/>
      <c r="AL955" s="22">
        <v>15.14</v>
      </c>
      <c r="AN955" s="7" t="s">
        <v>146</v>
      </c>
      <c r="AO955" s="21">
        <f t="shared" si="46"/>
        <v>15.14</v>
      </c>
      <c r="AP955" s="7">
        <f t="shared" si="47"/>
        <v>0</v>
      </c>
      <c r="AQ955" s="31" t="str">
        <f t="shared" si="45"/>
        <v>Complete - With Adjustment</v>
      </c>
    </row>
    <row r="956" spans="1:43" x14ac:dyDescent="0.2">
      <c r="A956" s="46">
        <v>946</v>
      </c>
      <c r="B956" s="13" t="s">
        <v>266</v>
      </c>
      <c r="C956" s="13" t="s">
        <v>662</v>
      </c>
      <c r="D956" s="13" t="s">
        <v>661</v>
      </c>
      <c r="E956" s="13" t="s">
        <v>2794</v>
      </c>
      <c r="F956" s="13" t="s">
        <v>208</v>
      </c>
      <c r="G956" s="13" t="s">
        <v>111</v>
      </c>
      <c r="H956" s="16">
        <v>43998</v>
      </c>
      <c r="I956" s="16">
        <v>44000</v>
      </c>
      <c r="J956" s="22">
        <v>53.22</v>
      </c>
      <c r="K956" s="22">
        <v>9.73</v>
      </c>
      <c r="L956" s="22" t="s">
        <v>2795</v>
      </c>
      <c r="M956" s="26" t="s">
        <v>98</v>
      </c>
      <c r="N956" s="13" t="s">
        <v>230</v>
      </c>
      <c r="O956" s="13" t="s">
        <v>323</v>
      </c>
      <c r="P956" s="13" t="s">
        <v>60</v>
      </c>
      <c r="Q956" s="13" t="s">
        <v>41</v>
      </c>
      <c r="R956" s="13" t="s">
        <v>270</v>
      </c>
      <c r="S956" s="13" t="s">
        <v>2796</v>
      </c>
      <c r="T956" s="13" t="s">
        <v>2798</v>
      </c>
      <c r="U956" s="13"/>
      <c r="V956" s="13"/>
      <c r="W956" s="13"/>
      <c r="X956" s="14"/>
      <c r="AL956" s="14">
        <v>9.73</v>
      </c>
      <c r="AN956" s="7" t="s">
        <v>146</v>
      </c>
      <c r="AO956" s="21">
        <f t="shared" si="46"/>
        <v>9.73</v>
      </c>
      <c r="AP956" s="7">
        <f t="shared" si="47"/>
        <v>0</v>
      </c>
      <c r="AQ956" s="31" t="str">
        <f t="shared" si="45"/>
        <v>Complete - With Adjustment</v>
      </c>
    </row>
    <row r="957" spans="1:43" x14ac:dyDescent="0.2">
      <c r="A957" s="46">
        <v>947</v>
      </c>
      <c r="B957" s="13" t="s">
        <v>266</v>
      </c>
      <c r="C957" s="13" t="s">
        <v>662</v>
      </c>
      <c r="D957" s="13" t="s">
        <v>661</v>
      </c>
      <c r="E957" s="13" t="s">
        <v>2794</v>
      </c>
      <c r="F957" s="13" t="s">
        <v>208</v>
      </c>
      <c r="G957" s="13" t="s">
        <v>111</v>
      </c>
      <c r="H957" s="16">
        <v>43998</v>
      </c>
      <c r="I957" s="16">
        <v>44000</v>
      </c>
      <c r="J957" s="22">
        <v>53.22</v>
      </c>
      <c r="K957" s="22">
        <v>13.21</v>
      </c>
      <c r="L957" s="22" t="s">
        <v>2795</v>
      </c>
      <c r="M957" s="26" t="s">
        <v>98</v>
      </c>
      <c r="N957" s="13" t="s">
        <v>230</v>
      </c>
      <c r="O957" s="13" t="s">
        <v>323</v>
      </c>
      <c r="P957" s="13" t="s">
        <v>60</v>
      </c>
      <c r="Q957" s="13" t="s">
        <v>41</v>
      </c>
      <c r="R957" s="13" t="s">
        <v>270</v>
      </c>
      <c r="S957" s="13" t="s">
        <v>2796</v>
      </c>
      <c r="T957" s="13" t="s">
        <v>2799</v>
      </c>
      <c r="U957" s="13"/>
      <c r="V957" s="13"/>
      <c r="W957" s="13"/>
      <c r="X957" s="14"/>
      <c r="AL957" s="22">
        <v>13.21</v>
      </c>
      <c r="AN957" s="7" t="s">
        <v>2800</v>
      </c>
      <c r="AO957" s="21">
        <f t="shared" si="46"/>
        <v>13.21</v>
      </c>
      <c r="AP957" s="7">
        <f t="shared" si="47"/>
        <v>0</v>
      </c>
      <c r="AQ957" s="31" t="str">
        <f t="shared" si="45"/>
        <v>Complete - With Adjustment</v>
      </c>
    </row>
    <row r="958" spans="1:43" x14ac:dyDescent="0.2">
      <c r="A958" s="46">
        <v>948</v>
      </c>
      <c r="B958" s="13" t="s">
        <v>266</v>
      </c>
      <c r="C958" s="13" t="s">
        <v>662</v>
      </c>
      <c r="D958" s="13" t="s">
        <v>661</v>
      </c>
      <c r="E958" s="13" t="s">
        <v>2794</v>
      </c>
      <c r="F958" s="13" t="s">
        <v>208</v>
      </c>
      <c r="G958" s="13" t="s">
        <v>111</v>
      </c>
      <c r="H958" s="16">
        <v>43998</v>
      </c>
      <c r="I958" s="16">
        <v>44000</v>
      </c>
      <c r="J958" s="22">
        <v>53.22</v>
      </c>
      <c r="K958" s="22">
        <v>15.14</v>
      </c>
      <c r="L958" s="22" t="s">
        <v>2795</v>
      </c>
      <c r="M958" s="26" t="s">
        <v>98</v>
      </c>
      <c r="N958" s="13" t="s">
        <v>230</v>
      </c>
      <c r="O958" s="13" t="s">
        <v>323</v>
      </c>
      <c r="P958" s="13" t="s">
        <v>60</v>
      </c>
      <c r="Q958" s="13" t="s">
        <v>41</v>
      </c>
      <c r="R958" s="13" t="s">
        <v>270</v>
      </c>
      <c r="S958" s="13" t="s">
        <v>2796</v>
      </c>
      <c r="T958" s="13" t="s">
        <v>2801</v>
      </c>
      <c r="U958" s="13"/>
      <c r="V958" s="13"/>
      <c r="W958" s="13"/>
      <c r="X958" s="14"/>
      <c r="AL958" s="22">
        <v>15.14</v>
      </c>
      <c r="AN958" s="7" t="s">
        <v>146</v>
      </c>
      <c r="AO958" s="21">
        <f t="shared" si="46"/>
        <v>15.14</v>
      </c>
      <c r="AP958" s="7">
        <f t="shared" si="47"/>
        <v>0</v>
      </c>
      <c r="AQ958" s="31" t="str">
        <f t="shared" si="45"/>
        <v>Complete - With Adjustment</v>
      </c>
    </row>
    <row r="959" spans="1:43" x14ac:dyDescent="0.2">
      <c r="A959" s="46">
        <v>949</v>
      </c>
      <c r="B959" s="13" t="s">
        <v>266</v>
      </c>
      <c r="C959" s="13" t="s">
        <v>625</v>
      </c>
      <c r="D959" s="13" t="s">
        <v>850</v>
      </c>
      <c r="E959" s="13" t="s">
        <v>2802</v>
      </c>
      <c r="F959" s="13" t="s">
        <v>208</v>
      </c>
      <c r="G959" s="13" t="s">
        <v>111</v>
      </c>
      <c r="H959" s="16">
        <v>43998</v>
      </c>
      <c r="I959" s="16">
        <v>44000</v>
      </c>
      <c r="J959" s="22">
        <v>1180.05</v>
      </c>
      <c r="K959" s="22">
        <v>100</v>
      </c>
      <c r="L959" s="22" t="s">
        <v>2803</v>
      </c>
      <c r="M959" s="26" t="s">
        <v>98</v>
      </c>
      <c r="N959" s="13" t="s">
        <v>230</v>
      </c>
      <c r="O959" s="13" t="s">
        <v>387</v>
      </c>
      <c r="P959" s="13" t="s">
        <v>60</v>
      </c>
      <c r="Q959" s="13" t="s">
        <v>59</v>
      </c>
      <c r="R959" s="13" t="s">
        <v>270</v>
      </c>
      <c r="S959" s="13" t="s">
        <v>2804</v>
      </c>
      <c r="T959" s="13" t="s">
        <v>2805</v>
      </c>
      <c r="U959" s="13"/>
      <c r="V959" s="13"/>
      <c r="W959" s="13"/>
      <c r="X959" s="14"/>
      <c r="AN959" s="7" t="s">
        <v>70</v>
      </c>
      <c r="AO959" s="21">
        <f t="shared" si="46"/>
        <v>0</v>
      </c>
      <c r="AP959" s="7">
        <f t="shared" si="47"/>
        <v>100</v>
      </c>
      <c r="AQ959" s="31" t="str">
        <f t="shared" si="45"/>
        <v>Complete - No Adjustment</v>
      </c>
    </row>
    <row r="960" spans="1:43" x14ac:dyDescent="0.2">
      <c r="A960" s="46">
        <v>950</v>
      </c>
      <c r="B960" s="13" t="s">
        <v>266</v>
      </c>
      <c r="C960" s="13" t="s">
        <v>625</v>
      </c>
      <c r="D960" s="13" t="s">
        <v>850</v>
      </c>
      <c r="E960" s="13" t="s">
        <v>2802</v>
      </c>
      <c r="F960" s="13" t="s">
        <v>208</v>
      </c>
      <c r="G960" s="13" t="s">
        <v>111</v>
      </c>
      <c r="H960" s="16">
        <v>43998</v>
      </c>
      <c r="I960" s="16">
        <v>44000</v>
      </c>
      <c r="J960" s="22">
        <v>1180.05</v>
      </c>
      <c r="K960" s="22">
        <v>675</v>
      </c>
      <c r="L960" s="22" t="s">
        <v>2803</v>
      </c>
      <c r="M960" s="26" t="s">
        <v>98</v>
      </c>
      <c r="N960" s="13" t="s">
        <v>230</v>
      </c>
      <c r="O960" s="13" t="s">
        <v>387</v>
      </c>
      <c r="P960" s="13" t="s">
        <v>60</v>
      </c>
      <c r="Q960" s="13" t="s">
        <v>59</v>
      </c>
      <c r="R960" s="13" t="s">
        <v>270</v>
      </c>
      <c r="S960" s="13" t="s">
        <v>2804</v>
      </c>
      <c r="T960" s="13" t="s">
        <v>2806</v>
      </c>
      <c r="U960" s="13"/>
      <c r="V960" s="13"/>
      <c r="W960" s="13"/>
      <c r="X960" s="14"/>
      <c r="AN960" s="7" t="s">
        <v>70</v>
      </c>
      <c r="AO960" s="21">
        <f t="shared" si="46"/>
        <v>0</v>
      </c>
      <c r="AP960" s="7">
        <f t="shared" si="47"/>
        <v>675</v>
      </c>
      <c r="AQ960" s="31" t="str">
        <f t="shared" si="45"/>
        <v>Complete - No Adjustment</v>
      </c>
    </row>
    <row r="961" spans="1:43" x14ac:dyDescent="0.2">
      <c r="A961" s="46">
        <v>951</v>
      </c>
      <c r="B961" s="13" t="s">
        <v>266</v>
      </c>
      <c r="C961" s="13" t="s">
        <v>625</v>
      </c>
      <c r="D961" s="13" t="s">
        <v>850</v>
      </c>
      <c r="E961" s="13" t="s">
        <v>2802</v>
      </c>
      <c r="F961" s="13" t="s">
        <v>208</v>
      </c>
      <c r="G961" s="13" t="s">
        <v>111</v>
      </c>
      <c r="H961" s="16">
        <v>43998</v>
      </c>
      <c r="I961" s="16">
        <v>44000</v>
      </c>
      <c r="J961" s="22">
        <v>1180.05</v>
      </c>
      <c r="K961" s="22">
        <v>275</v>
      </c>
      <c r="L961" s="22" t="s">
        <v>2803</v>
      </c>
      <c r="M961" s="26" t="s">
        <v>98</v>
      </c>
      <c r="N961" s="13" t="s">
        <v>230</v>
      </c>
      <c r="O961" s="13" t="s">
        <v>387</v>
      </c>
      <c r="P961" s="13" t="s">
        <v>60</v>
      </c>
      <c r="Q961" s="13" t="s">
        <v>59</v>
      </c>
      <c r="R961" s="13" t="s">
        <v>270</v>
      </c>
      <c r="S961" s="13" t="s">
        <v>2804</v>
      </c>
      <c r="T961" s="13" t="s">
        <v>2807</v>
      </c>
      <c r="U961" s="13"/>
      <c r="V961" s="13"/>
      <c r="W961" s="13"/>
      <c r="X961" s="14"/>
      <c r="AN961" s="7" t="s">
        <v>70</v>
      </c>
      <c r="AO961" s="21">
        <f t="shared" si="46"/>
        <v>0</v>
      </c>
      <c r="AP961" s="7">
        <f t="shared" si="47"/>
        <v>275</v>
      </c>
      <c r="AQ961" s="31" t="str">
        <f t="shared" si="45"/>
        <v>Complete - No Adjustment</v>
      </c>
    </row>
    <row r="962" spans="1:43" x14ac:dyDescent="0.2">
      <c r="A962" s="46">
        <v>952</v>
      </c>
      <c r="B962" s="13" t="s">
        <v>266</v>
      </c>
      <c r="C962" s="13" t="s">
        <v>625</v>
      </c>
      <c r="D962" s="13" t="s">
        <v>850</v>
      </c>
      <c r="E962" s="13" t="s">
        <v>2802</v>
      </c>
      <c r="F962" s="13" t="s">
        <v>208</v>
      </c>
      <c r="G962" s="13" t="s">
        <v>111</v>
      </c>
      <c r="H962" s="16">
        <v>43998</v>
      </c>
      <c r="I962" s="16">
        <v>44000</v>
      </c>
      <c r="J962" s="22">
        <v>1180.05</v>
      </c>
      <c r="K962" s="22">
        <v>15</v>
      </c>
      <c r="L962" s="22" t="s">
        <v>2803</v>
      </c>
      <c r="M962" s="26" t="s">
        <v>98</v>
      </c>
      <c r="N962" s="13" t="s">
        <v>230</v>
      </c>
      <c r="O962" s="13" t="s">
        <v>387</v>
      </c>
      <c r="P962" s="13" t="s">
        <v>60</v>
      </c>
      <c r="Q962" s="13" t="s">
        <v>46</v>
      </c>
      <c r="R962" s="13" t="s">
        <v>270</v>
      </c>
      <c r="S962" s="13" t="s">
        <v>2804</v>
      </c>
      <c r="T962" s="13" t="s">
        <v>2808</v>
      </c>
      <c r="U962" s="13"/>
      <c r="V962" s="13"/>
      <c r="W962" s="13"/>
      <c r="X962" s="14"/>
      <c r="AN962" s="7" t="s">
        <v>155</v>
      </c>
      <c r="AO962" s="21">
        <f t="shared" si="46"/>
        <v>0</v>
      </c>
      <c r="AP962" s="7">
        <f t="shared" si="47"/>
        <v>15</v>
      </c>
      <c r="AQ962" s="31" t="str">
        <f t="shared" si="45"/>
        <v>Complete - No Adjustment</v>
      </c>
    </row>
    <row r="963" spans="1:43" x14ac:dyDescent="0.2">
      <c r="A963" s="46">
        <v>953</v>
      </c>
      <c r="B963" s="13" t="s">
        <v>266</v>
      </c>
      <c r="C963" s="13" t="s">
        <v>625</v>
      </c>
      <c r="D963" s="13" t="s">
        <v>850</v>
      </c>
      <c r="E963" s="13" t="s">
        <v>2802</v>
      </c>
      <c r="F963" s="13" t="s">
        <v>208</v>
      </c>
      <c r="G963" s="13" t="s">
        <v>111</v>
      </c>
      <c r="H963" s="16">
        <v>43998</v>
      </c>
      <c r="I963" s="16">
        <v>44000</v>
      </c>
      <c r="J963" s="22">
        <v>1180.05</v>
      </c>
      <c r="K963" s="22">
        <v>75</v>
      </c>
      <c r="L963" s="22" t="s">
        <v>2803</v>
      </c>
      <c r="M963" s="26" t="s">
        <v>98</v>
      </c>
      <c r="N963" s="13" t="s">
        <v>230</v>
      </c>
      <c r="O963" s="13" t="s">
        <v>387</v>
      </c>
      <c r="P963" s="13" t="s">
        <v>60</v>
      </c>
      <c r="Q963" s="13" t="s">
        <v>59</v>
      </c>
      <c r="R963" s="13" t="s">
        <v>270</v>
      </c>
      <c r="S963" s="13" t="s">
        <v>2804</v>
      </c>
      <c r="T963" s="13" t="s">
        <v>2809</v>
      </c>
      <c r="U963" s="13"/>
      <c r="V963" s="13"/>
      <c r="W963" s="13"/>
      <c r="X963" s="14"/>
      <c r="AN963" s="7" t="s">
        <v>70</v>
      </c>
      <c r="AO963" s="21">
        <f t="shared" si="46"/>
        <v>0</v>
      </c>
      <c r="AP963" s="7">
        <f t="shared" si="47"/>
        <v>75</v>
      </c>
      <c r="AQ963" s="31" t="str">
        <f t="shared" si="45"/>
        <v>Complete - No Adjustment</v>
      </c>
    </row>
    <row r="964" spans="1:43" x14ac:dyDescent="0.2">
      <c r="A964" s="46">
        <v>954</v>
      </c>
      <c r="B964" s="13" t="s">
        <v>266</v>
      </c>
      <c r="C964" s="13" t="s">
        <v>625</v>
      </c>
      <c r="D964" s="13" t="s">
        <v>850</v>
      </c>
      <c r="E964" s="13" t="s">
        <v>2802</v>
      </c>
      <c r="F964" s="13" t="s">
        <v>208</v>
      </c>
      <c r="G964" s="13" t="s">
        <v>111</v>
      </c>
      <c r="H964" s="16">
        <v>43998</v>
      </c>
      <c r="I964" s="16">
        <v>44000</v>
      </c>
      <c r="J964" s="22">
        <v>1180.05</v>
      </c>
      <c r="K964" s="22">
        <v>40.049999999999997</v>
      </c>
      <c r="L964" s="22" t="s">
        <v>2803</v>
      </c>
      <c r="M964" s="26" t="s">
        <v>98</v>
      </c>
      <c r="N964" s="13" t="s">
        <v>230</v>
      </c>
      <c r="O964" s="13" t="s">
        <v>387</v>
      </c>
      <c r="P964" s="13" t="s">
        <v>60</v>
      </c>
      <c r="Q964" s="13" t="s">
        <v>62</v>
      </c>
      <c r="R964" s="13" t="s">
        <v>270</v>
      </c>
      <c r="S964" s="13" t="s">
        <v>2804</v>
      </c>
      <c r="T964" s="13" t="s">
        <v>2810</v>
      </c>
      <c r="U964" s="13"/>
      <c r="V964" s="13"/>
      <c r="W964" s="13"/>
      <c r="X964" s="14"/>
      <c r="AN964" s="7" t="s">
        <v>70</v>
      </c>
      <c r="AO964" s="21">
        <f t="shared" si="46"/>
        <v>0</v>
      </c>
      <c r="AP964" s="7">
        <f t="shared" si="47"/>
        <v>40.049999999999997</v>
      </c>
      <c r="AQ964" s="31" t="str">
        <f t="shared" si="45"/>
        <v>Complete - No Adjustment</v>
      </c>
    </row>
    <row r="965" spans="1:43" x14ac:dyDescent="0.2">
      <c r="A965" s="46">
        <v>955</v>
      </c>
      <c r="B965" s="13" t="s">
        <v>266</v>
      </c>
      <c r="C965" s="13" t="s">
        <v>236</v>
      </c>
      <c r="D965" s="13" t="s">
        <v>235</v>
      </c>
      <c r="E965" s="13" t="s">
        <v>2811</v>
      </c>
      <c r="F965" s="13" t="s">
        <v>215</v>
      </c>
      <c r="G965" s="13" t="s">
        <v>111</v>
      </c>
      <c r="H965" s="16">
        <v>44007</v>
      </c>
      <c r="I965" s="16">
        <v>44012</v>
      </c>
      <c r="J965" s="22">
        <v>44.32</v>
      </c>
      <c r="K965" s="22">
        <v>7.84</v>
      </c>
      <c r="L965" s="22" t="s">
        <v>2812</v>
      </c>
      <c r="M965" s="26" t="s">
        <v>98</v>
      </c>
      <c r="N965" s="13" t="s">
        <v>230</v>
      </c>
      <c r="O965" s="13" t="s">
        <v>326</v>
      </c>
      <c r="P965" s="13" t="s">
        <v>60</v>
      </c>
      <c r="Q965" s="13" t="s">
        <v>74</v>
      </c>
      <c r="R965" s="13" t="s">
        <v>270</v>
      </c>
      <c r="S965" s="13" t="s">
        <v>2813</v>
      </c>
      <c r="T965" s="13" t="s">
        <v>2814</v>
      </c>
      <c r="U965" s="13"/>
      <c r="V965" s="13"/>
      <c r="W965" s="13"/>
      <c r="X965" s="14"/>
      <c r="AN965" s="7" t="s">
        <v>70</v>
      </c>
      <c r="AO965" s="21">
        <f t="shared" si="46"/>
        <v>0</v>
      </c>
      <c r="AP965" s="7">
        <f t="shared" si="47"/>
        <v>7.84</v>
      </c>
      <c r="AQ965" s="31" t="str">
        <f t="shared" si="45"/>
        <v>Complete - No Adjustment</v>
      </c>
    </row>
    <row r="966" spans="1:43" x14ac:dyDescent="0.2">
      <c r="A966" s="46">
        <v>956</v>
      </c>
      <c r="B966" s="13" t="s">
        <v>266</v>
      </c>
      <c r="C966" s="13" t="s">
        <v>236</v>
      </c>
      <c r="D966" s="13" t="s">
        <v>235</v>
      </c>
      <c r="E966" s="13" t="s">
        <v>2811</v>
      </c>
      <c r="F966" s="13" t="s">
        <v>215</v>
      </c>
      <c r="G966" s="13" t="s">
        <v>111</v>
      </c>
      <c r="H966" s="16">
        <v>44007</v>
      </c>
      <c r="I966" s="16">
        <v>44012</v>
      </c>
      <c r="J966" s="22">
        <v>44.32</v>
      </c>
      <c r="K966" s="22">
        <v>3.24</v>
      </c>
      <c r="L966" s="22" t="s">
        <v>2812</v>
      </c>
      <c r="M966" s="26" t="s">
        <v>98</v>
      </c>
      <c r="N966" s="13" t="s">
        <v>230</v>
      </c>
      <c r="O966" s="13" t="s">
        <v>326</v>
      </c>
      <c r="P966" s="13" t="s">
        <v>60</v>
      </c>
      <c r="Q966" s="13" t="s">
        <v>41</v>
      </c>
      <c r="R966" s="13" t="s">
        <v>270</v>
      </c>
      <c r="S966" s="13" t="s">
        <v>2813</v>
      </c>
      <c r="T966" s="13" t="s">
        <v>2815</v>
      </c>
      <c r="U966" s="13"/>
      <c r="V966" s="13"/>
      <c r="W966" s="13"/>
      <c r="X966" s="14"/>
      <c r="AN966" s="7" t="s">
        <v>70</v>
      </c>
      <c r="AO966" s="21">
        <f t="shared" si="46"/>
        <v>0</v>
      </c>
      <c r="AP966" s="7">
        <f t="shared" si="47"/>
        <v>3.24</v>
      </c>
      <c r="AQ966" s="31" t="str">
        <f t="shared" si="45"/>
        <v>Complete - No Adjustment</v>
      </c>
    </row>
    <row r="967" spans="1:43" x14ac:dyDescent="0.2">
      <c r="A967" s="46">
        <v>957</v>
      </c>
      <c r="B967" s="13" t="s">
        <v>266</v>
      </c>
      <c r="C967" s="13" t="s">
        <v>236</v>
      </c>
      <c r="D967" s="13" t="s">
        <v>235</v>
      </c>
      <c r="E967" s="13" t="s">
        <v>2816</v>
      </c>
      <c r="F967" s="13" t="s">
        <v>207</v>
      </c>
      <c r="G967" s="13" t="s">
        <v>111</v>
      </c>
      <c r="H967" s="16">
        <v>43978</v>
      </c>
      <c r="I967" s="16">
        <v>43987</v>
      </c>
      <c r="J967" s="22">
        <v>88.8</v>
      </c>
      <c r="K967" s="22">
        <v>2.37</v>
      </c>
      <c r="L967" s="22" t="s">
        <v>2817</v>
      </c>
      <c r="M967" s="26" t="s">
        <v>98</v>
      </c>
      <c r="N967" s="13" t="s">
        <v>230</v>
      </c>
      <c r="O967" s="13" t="s">
        <v>326</v>
      </c>
      <c r="P967" s="13" t="s">
        <v>60</v>
      </c>
      <c r="Q967" s="13" t="s">
        <v>74</v>
      </c>
      <c r="R967" s="13" t="s">
        <v>270</v>
      </c>
      <c r="S967" s="13" t="s">
        <v>2818</v>
      </c>
      <c r="T967" s="13" t="s">
        <v>2819</v>
      </c>
      <c r="U967" s="13"/>
      <c r="V967" s="13"/>
      <c r="W967" s="13"/>
      <c r="X967" s="14"/>
      <c r="AN967" s="7" t="s">
        <v>70</v>
      </c>
      <c r="AO967" s="21">
        <f t="shared" si="46"/>
        <v>0</v>
      </c>
      <c r="AP967" s="7">
        <f t="shared" si="47"/>
        <v>2.37</v>
      </c>
      <c r="AQ967" s="31" t="str">
        <f t="shared" si="45"/>
        <v>Complete - No Adjustment</v>
      </c>
    </row>
    <row r="968" spans="1:43" x14ac:dyDescent="0.2">
      <c r="A968" s="46">
        <v>958</v>
      </c>
      <c r="B968" s="13" t="s">
        <v>266</v>
      </c>
      <c r="C968" s="13" t="s">
        <v>236</v>
      </c>
      <c r="D968" s="13" t="s">
        <v>235</v>
      </c>
      <c r="E968" s="13" t="s">
        <v>2816</v>
      </c>
      <c r="F968" s="13" t="s">
        <v>207</v>
      </c>
      <c r="G968" s="13" t="s">
        <v>111</v>
      </c>
      <c r="H968" s="16">
        <v>43978</v>
      </c>
      <c r="I968" s="16">
        <v>43987</v>
      </c>
      <c r="J968" s="22">
        <v>88.8</v>
      </c>
      <c r="K968" s="22">
        <v>3.84</v>
      </c>
      <c r="L968" s="22" t="s">
        <v>2817</v>
      </c>
      <c r="M968" s="26" t="s">
        <v>98</v>
      </c>
      <c r="N968" s="13" t="s">
        <v>230</v>
      </c>
      <c r="O968" s="13" t="s">
        <v>326</v>
      </c>
      <c r="P968" s="13" t="s">
        <v>60</v>
      </c>
      <c r="Q968" s="13" t="s">
        <v>41</v>
      </c>
      <c r="R968" s="13" t="s">
        <v>270</v>
      </c>
      <c r="S968" s="13" t="s">
        <v>2818</v>
      </c>
      <c r="T968" s="13" t="s">
        <v>2820</v>
      </c>
      <c r="U968" s="13"/>
      <c r="V968" s="13"/>
      <c r="W968" s="13"/>
      <c r="X968" s="14"/>
      <c r="AL968" s="14">
        <v>3.84</v>
      </c>
      <c r="AN968" s="7" t="s">
        <v>146</v>
      </c>
      <c r="AO968" s="21">
        <f t="shared" si="46"/>
        <v>3.84</v>
      </c>
      <c r="AP968" s="7">
        <f t="shared" si="47"/>
        <v>0</v>
      </c>
      <c r="AQ968" s="31" t="str">
        <f t="shared" si="45"/>
        <v>Complete - With Adjustment</v>
      </c>
    </row>
    <row r="969" spans="1:43" x14ac:dyDescent="0.2">
      <c r="A969" s="46">
        <v>959</v>
      </c>
      <c r="B969" s="13" t="s">
        <v>266</v>
      </c>
      <c r="C969" s="13" t="s">
        <v>236</v>
      </c>
      <c r="D969" s="13" t="s">
        <v>235</v>
      </c>
      <c r="E969" s="13" t="s">
        <v>2816</v>
      </c>
      <c r="F969" s="13" t="s">
        <v>207</v>
      </c>
      <c r="G969" s="13" t="s">
        <v>111</v>
      </c>
      <c r="H969" s="16">
        <v>43978</v>
      </c>
      <c r="I969" s="16">
        <v>43987</v>
      </c>
      <c r="J969" s="22">
        <v>88.8</v>
      </c>
      <c r="K969" s="22">
        <v>11.71</v>
      </c>
      <c r="L969" s="22" t="s">
        <v>2817</v>
      </c>
      <c r="M969" s="26" t="s">
        <v>98</v>
      </c>
      <c r="N969" s="13" t="s">
        <v>230</v>
      </c>
      <c r="O969" s="13" t="s">
        <v>326</v>
      </c>
      <c r="P969" s="13" t="s">
        <v>60</v>
      </c>
      <c r="Q969" s="13" t="s">
        <v>74</v>
      </c>
      <c r="R969" s="13" t="s">
        <v>270</v>
      </c>
      <c r="S969" s="13" t="s">
        <v>2818</v>
      </c>
      <c r="T969" s="13" t="s">
        <v>2821</v>
      </c>
      <c r="U969" s="13"/>
      <c r="V969" s="13"/>
      <c r="W969" s="13"/>
      <c r="X969" s="14"/>
      <c r="AN969" s="7" t="s">
        <v>70</v>
      </c>
      <c r="AO969" s="21">
        <f t="shared" si="46"/>
        <v>0</v>
      </c>
      <c r="AP969" s="7">
        <f t="shared" si="47"/>
        <v>11.71</v>
      </c>
      <c r="AQ969" s="31" t="str">
        <f t="shared" si="45"/>
        <v>Complete - No Adjustment</v>
      </c>
    </row>
    <row r="970" spans="1:43" x14ac:dyDescent="0.2">
      <c r="A970" s="46">
        <v>960</v>
      </c>
      <c r="B970" s="13" t="s">
        <v>266</v>
      </c>
      <c r="C970" s="13" t="s">
        <v>236</v>
      </c>
      <c r="D970" s="13" t="s">
        <v>235</v>
      </c>
      <c r="E970" s="13" t="s">
        <v>2816</v>
      </c>
      <c r="F970" s="13" t="s">
        <v>207</v>
      </c>
      <c r="G970" s="13" t="s">
        <v>111</v>
      </c>
      <c r="H970" s="16">
        <v>43978</v>
      </c>
      <c r="I970" s="16">
        <v>43987</v>
      </c>
      <c r="J970" s="22">
        <v>88.8</v>
      </c>
      <c r="K970" s="22">
        <v>1.19</v>
      </c>
      <c r="L970" s="22" t="s">
        <v>2817</v>
      </c>
      <c r="M970" s="26" t="s">
        <v>98</v>
      </c>
      <c r="N970" s="13" t="s">
        <v>230</v>
      </c>
      <c r="O970" s="13" t="s">
        <v>326</v>
      </c>
      <c r="P970" s="13" t="s">
        <v>60</v>
      </c>
      <c r="Q970" s="13" t="s">
        <v>74</v>
      </c>
      <c r="R970" s="13" t="s">
        <v>270</v>
      </c>
      <c r="S970" s="13" t="s">
        <v>2818</v>
      </c>
      <c r="T970" s="13" t="s">
        <v>2822</v>
      </c>
      <c r="U970" s="13"/>
      <c r="V970" s="13"/>
      <c r="W970" s="13"/>
      <c r="X970" s="14"/>
      <c r="AN970" s="7" t="s">
        <v>70</v>
      </c>
      <c r="AO970" s="21">
        <f t="shared" si="46"/>
        <v>0</v>
      </c>
      <c r="AP970" s="7">
        <f t="shared" si="47"/>
        <v>1.19</v>
      </c>
      <c r="AQ970" s="31" t="str">
        <f t="shared" si="45"/>
        <v>Complete - No Adjustment</v>
      </c>
    </row>
    <row r="971" spans="1:43" x14ac:dyDescent="0.2">
      <c r="A971" s="46">
        <v>961</v>
      </c>
      <c r="B971" s="13" t="s">
        <v>266</v>
      </c>
      <c r="C971" s="13" t="s">
        <v>236</v>
      </c>
      <c r="D971" s="13" t="s">
        <v>235</v>
      </c>
      <c r="E971" s="13" t="s">
        <v>2816</v>
      </c>
      <c r="F971" s="13" t="s">
        <v>207</v>
      </c>
      <c r="G971" s="13" t="s">
        <v>111</v>
      </c>
      <c r="H971" s="16">
        <v>43978</v>
      </c>
      <c r="I971" s="16">
        <v>43987</v>
      </c>
      <c r="J971" s="22">
        <v>88.8</v>
      </c>
      <c r="K971" s="22">
        <v>3.08</v>
      </c>
      <c r="L971" s="22" t="s">
        <v>2817</v>
      </c>
      <c r="M971" s="26" t="s">
        <v>98</v>
      </c>
      <c r="N971" s="13" t="s">
        <v>230</v>
      </c>
      <c r="O971" s="13" t="s">
        <v>326</v>
      </c>
      <c r="P971" s="13" t="s">
        <v>60</v>
      </c>
      <c r="Q971" s="13" t="s">
        <v>74</v>
      </c>
      <c r="R971" s="13" t="s">
        <v>270</v>
      </c>
      <c r="S971" s="13" t="s">
        <v>2818</v>
      </c>
      <c r="T971" s="13" t="s">
        <v>2823</v>
      </c>
      <c r="U971" s="13"/>
      <c r="V971" s="13"/>
      <c r="W971" s="13"/>
      <c r="X971" s="14"/>
      <c r="AN971" s="7" t="s">
        <v>70</v>
      </c>
      <c r="AO971" s="21">
        <f t="shared" si="46"/>
        <v>0</v>
      </c>
      <c r="AP971" s="7">
        <f t="shared" si="47"/>
        <v>3.08</v>
      </c>
      <c r="AQ971" s="31" t="str">
        <f t="shared" si="45"/>
        <v>Complete - No Adjustment</v>
      </c>
    </row>
    <row r="972" spans="1:43" x14ac:dyDescent="0.2">
      <c r="A972" s="46">
        <v>962</v>
      </c>
      <c r="B972" s="13" t="s">
        <v>266</v>
      </c>
      <c r="C972" s="13" t="s">
        <v>626</v>
      </c>
      <c r="D972" s="13" t="s">
        <v>715</v>
      </c>
      <c r="E972" s="13" t="s">
        <v>2824</v>
      </c>
      <c r="F972" s="13" t="s">
        <v>209</v>
      </c>
      <c r="G972" s="13" t="s">
        <v>111</v>
      </c>
      <c r="H972" s="16">
        <v>43992</v>
      </c>
      <c r="I972" s="16">
        <v>43993</v>
      </c>
      <c r="J972" s="22">
        <v>15</v>
      </c>
      <c r="K972" s="22">
        <v>15</v>
      </c>
      <c r="L972" s="22" t="s">
        <v>2825</v>
      </c>
      <c r="M972" s="26" t="s">
        <v>98</v>
      </c>
      <c r="N972" s="13" t="s">
        <v>230</v>
      </c>
      <c r="O972" s="13" t="s">
        <v>294</v>
      </c>
      <c r="P972" s="13" t="s">
        <v>60</v>
      </c>
      <c r="Q972" s="13" t="s">
        <v>41</v>
      </c>
      <c r="R972" s="13" t="s">
        <v>270</v>
      </c>
      <c r="S972" s="13" t="s">
        <v>2826</v>
      </c>
      <c r="T972" s="13" t="s">
        <v>2827</v>
      </c>
      <c r="U972" s="13"/>
      <c r="V972" s="13"/>
      <c r="W972" s="13"/>
      <c r="X972" s="14"/>
      <c r="AN972" s="7" t="s">
        <v>155</v>
      </c>
      <c r="AO972" s="21">
        <f t="shared" si="46"/>
        <v>0</v>
      </c>
      <c r="AP972" s="7">
        <f t="shared" si="47"/>
        <v>15</v>
      </c>
      <c r="AQ972" s="31" t="str">
        <f t="shared" si="45"/>
        <v>Complete - No Adjustment</v>
      </c>
    </row>
    <row r="973" spans="1:43" x14ac:dyDescent="0.2">
      <c r="A973" s="46">
        <v>963</v>
      </c>
      <c r="B973" s="13" t="s">
        <v>266</v>
      </c>
      <c r="C973" s="13" t="s">
        <v>737</v>
      </c>
      <c r="D973" s="13" t="s">
        <v>736</v>
      </c>
      <c r="E973" s="13" t="s">
        <v>2828</v>
      </c>
      <c r="F973" s="13" t="s">
        <v>211</v>
      </c>
      <c r="G973" s="13" t="s">
        <v>111</v>
      </c>
      <c r="H973" s="16">
        <v>43991</v>
      </c>
      <c r="I973" s="16">
        <v>43994</v>
      </c>
      <c r="J973" s="22">
        <v>15</v>
      </c>
      <c r="K973" s="22">
        <v>15</v>
      </c>
      <c r="L973" s="22" t="s">
        <v>2829</v>
      </c>
      <c r="M973" s="26" t="s">
        <v>98</v>
      </c>
      <c r="N973" s="13" t="s">
        <v>230</v>
      </c>
      <c r="O973" s="13" t="s">
        <v>397</v>
      </c>
      <c r="P973" s="13" t="s">
        <v>60</v>
      </c>
      <c r="Q973" s="13" t="s">
        <v>41</v>
      </c>
      <c r="R973" s="13" t="s">
        <v>270</v>
      </c>
      <c r="S973" s="13" t="s">
        <v>2830</v>
      </c>
      <c r="T973" s="13" t="s">
        <v>2831</v>
      </c>
      <c r="U973" s="13"/>
      <c r="V973" s="13"/>
      <c r="W973" s="13"/>
      <c r="X973" s="14"/>
      <c r="AN973" s="7" t="s">
        <v>155</v>
      </c>
      <c r="AO973" s="21">
        <f t="shared" si="46"/>
        <v>0</v>
      </c>
      <c r="AP973" s="7">
        <f t="shared" si="47"/>
        <v>15</v>
      </c>
      <c r="AQ973" s="31" t="str">
        <f t="shared" si="45"/>
        <v>Complete - No Adjustment</v>
      </c>
    </row>
    <row r="974" spans="1:43" x14ac:dyDescent="0.2">
      <c r="A974" s="46">
        <v>964</v>
      </c>
      <c r="B974" s="13" t="s">
        <v>266</v>
      </c>
      <c r="C974" s="13" t="s">
        <v>627</v>
      </c>
      <c r="D974" s="13" t="s">
        <v>879</v>
      </c>
      <c r="E974" s="13" t="s">
        <v>2077</v>
      </c>
      <c r="F974" s="13" t="s">
        <v>209</v>
      </c>
      <c r="G974" s="13" t="s">
        <v>111</v>
      </c>
      <c r="H974" s="16">
        <v>43992</v>
      </c>
      <c r="I974" s="16">
        <v>43993</v>
      </c>
      <c r="J974" s="22">
        <v>13.76</v>
      </c>
      <c r="K974" s="22">
        <v>13.76</v>
      </c>
      <c r="L974" s="22"/>
      <c r="M974" s="26" t="s">
        <v>98</v>
      </c>
      <c r="N974" s="13" t="s">
        <v>230</v>
      </c>
      <c r="O974" s="13" t="s">
        <v>277</v>
      </c>
      <c r="P974" s="13" t="s">
        <v>60</v>
      </c>
      <c r="Q974" s="13" t="s">
        <v>46</v>
      </c>
      <c r="R974" s="13" t="s">
        <v>270</v>
      </c>
      <c r="S974" s="13" t="s">
        <v>2078</v>
      </c>
      <c r="T974" s="13" t="s">
        <v>2079</v>
      </c>
      <c r="U974" s="13"/>
      <c r="V974" s="13"/>
      <c r="W974" s="13"/>
      <c r="X974" s="14"/>
      <c r="AL974" s="14">
        <v>13.76</v>
      </c>
      <c r="AN974" s="7" t="s">
        <v>155</v>
      </c>
      <c r="AO974" s="21">
        <f t="shared" si="46"/>
        <v>13.76</v>
      </c>
      <c r="AP974" s="7">
        <f t="shared" si="47"/>
        <v>0</v>
      </c>
      <c r="AQ974" s="31" t="str">
        <f t="shared" si="45"/>
        <v>Complete - With Adjustment</v>
      </c>
    </row>
    <row r="975" spans="1:43" x14ac:dyDescent="0.2">
      <c r="A975" s="46">
        <v>965</v>
      </c>
      <c r="B975" s="13" t="s">
        <v>266</v>
      </c>
      <c r="C975" s="13" t="s">
        <v>629</v>
      </c>
      <c r="D975" s="13" t="s">
        <v>628</v>
      </c>
      <c r="E975" s="13" t="s">
        <v>2832</v>
      </c>
      <c r="F975" s="13" t="s">
        <v>202</v>
      </c>
      <c r="G975" s="13" t="s">
        <v>111</v>
      </c>
      <c r="H975" s="16">
        <v>43978</v>
      </c>
      <c r="I975" s="16">
        <v>43983</v>
      </c>
      <c r="J975" s="22">
        <v>3636.9</v>
      </c>
      <c r="K975" s="22">
        <v>3636.9</v>
      </c>
      <c r="L975" s="22" t="s">
        <v>2833</v>
      </c>
      <c r="M975" s="26" t="s">
        <v>98</v>
      </c>
      <c r="N975" s="13" t="s">
        <v>230</v>
      </c>
      <c r="O975" s="13" t="s">
        <v>506</v>
      </c>
      <c r="P975" s="13" t="s">
        <v>60</v>
      </c>
      <c r="Q975" s="13" t="s">
        <v>73</v>
      </c>
      <c r="R975" s="13" t="s">
        <v>270</v>
      </c>
      <c r="S975" s="13" t="s">
        <v>2834</v>
      </c>
      <c r="T975" s="13" t="s">
        <v>2835</v>
      </c>
      <c r="U975" s="13"/>
      <c r="V975" s="13"/>
      <c r="W975" s="13"/>
      <c r="X975" s="14"/>
      <c r="AJ975" s="22">
        <v>3636.9</v>
      </c>
      <c r="AN975" s="7" t="s">
        <v>832</v>
      </c>
      <c r="AO975" s="21">
        <f t="shared" si="46"/>
        <v>3636.9</v>
      </c>
      <c r="AP975" s="7">
        <f t="shared" si="47"/>
        <v>0</v>
      </c>
      <c r="AQ975" s="31" t="str">
        <f t="shared" si="45"/>
        <v>Complete - With Adjustment</v>
      </c>
    </row>
    <row r="976" spans="1:43" x14ac:dyDescent="0.2">
      <c r="A976" s="46">
        <v>966</v>
      </c>
      <c r="B976" s="13" t="s">
        <v>266</v>
      </c>
      <c r="C976" s="13" t="s">
        <v>483</v>
      </c>
      <c r="D976" s="13" t="s">
        <v>482</v>
      </c>
      <c r="E976" s="13" t="s">
        <v>2836</v>
      </c>
      <c r="F976" s="13" t="s">
        <v>202</v>
      </c>
      <c r="G976" s="13" t="s">
        <v>111</v>
      </c>
      <c r="H976" s="16">
        <v>43978</v>
      </c>
      <c r="I976" s="16">
        <v>43983</v>
      </c>
      <c r="J976" s="22">
        <v>395</v>
      </c>
      <c r="K976" s="22">
        <v>395</v>
      </c>
      <c r="L976" s="22" t="s">
        <v>2837</v>
      </c>
      <c r="M976" s="26" t="s">
        <v>98</v>
      </c>
      <c r="N976" s="13" t="s">
        <v>230</v>
      </c>
      <c r="O976" s="13" t="s">
        <v>378</v>
      </c>
      <c r="P976" s="13" t="s">
        <v>60</v>
      </c>
      <c r="Q976" s="13" t="s">
        <v>56</v>
      </c>
      <c r="R976" s="13" t="s">
        <v>270</v>
      </c>
      <c r="S976" s="13" t="s">
        <v>2838</v>
      </c>
      <c r="T976" s="13" t="s">
        <v>2839</v>
      </c>
      <c r="U976" s="13"/>
      <c r="V976" s="13"/>
      <c r="W976" s="13"/>
      <c r="X976" s="14"/>
      <c r="AN976" s="7" t="s">
        <v>70</v>
      </c>
      <c r="AO976" s="21">
        <f t="shared" si="46"/>
        <v>0</v>
      </c>
      <c r="AP976" s="7">
        <f t="shared" si="47"/>
        <v>395</v>
      </c>
      <c r="AQ976" s="31" t="str">
        <f t="shared" si="45"/>
        <v>Complete - No Adjustment</v>
      </c>
    </row>
    <row r="977" spans="1:43" x14ac:dyDescent="0.2">
      <c r="A977" s="46">
        <v>967</v>
      </c>
      <c r="B977" s="13" t="s">
        <v>266</v>
      </c>
      <c r="C977" s="13" t="s">
        <v>790</v>
      </c>
      <c r="D977" s="13" t="s">
        <v>789</v>
      </c>
      <c r="E977" s="13" t="s">
        <v>2840</v>
      </c>
      <c r="F977" s="13" t="s">
        <v>210</v>
      </c>
      <c r="G977" s="13" t="s">
        <v>111</v>
      </c>
      <c r="H977" s="16">
        <v>43991</v>
      </c>
      <c r="I977" s="16">
        <v>44005</v>
      </c>
      <c r="J977" s="22">
        <v>15</v>
      </c>
      <c r="K977" s="22">
        <v>15</v>
      </c>
      <c r="L977" s="22" t="s">
        <v>2841</v>
      </c>
      <c r="M977" s="26" t="s">
        <v>98</v>
      </c>
      <c r="N977" s="13" t="s">
        <v>230</v>
      </c>
      <c r="O977" s="13" t="s">
        <v>303</v>
      </c>
      <c r="P977" s="13" t="s">
        <v>60</v>
      </c>
      <c r="Q977" s="13" t="s">
        <v>41</v>
      </c>
      <c r="R977" s="13" t="s">
        <v>270</v>
      </c>
      <c r="S977" s="13" t="s">
        <v>2842</v>
      </c>
      <c r="T977" s="13" t="s">
        <v>2843</v>
      </c>
      <c r="U977" s="13"/>
      <c r="V977" s="13"/>
      <c r="W977" s="13"/>
      <c r="X977" s="14"/>
      <c r="AN977" s="7" t="s">
        <v>155</v>
      </c>
      <c r="AO977" s="21">
        <f t="shared" si="46"/>
        <v>0</v>
      </c>
      <c r="AP977" s="7">
        <f t="shared" si="47"/>
        <v>15</v>
      </c>
      <c r="AQ977" s="31" t="str">
        <f t="shared" si="45"/>
        <v>Complete - No Adjustment</v>
      </c>
    </row>
    <row r="978" spans="1:43" x14ac:dyDescent="0.2">
      <c r="A978" s="46">
        <v>968</v>
      </c>
      <c r="B978" s="13" t="s">
        <v>266</v>
      </c>
      <c r="C978" s="13" t="s">
        <v>2844</v>
      </c>
      <c r="D978" s="13" t="s">
        <v>2845</v>
      </c>
      <c r="E978" s="13" t="s">
        <v>2846</v>
      </c>
      <c r="F978" s="13" t="s">
        <v>206</v>
      </c>
      <c r="G978" s="13" t="s">
        <v>111</v>
      </c>
      <c r="H978" s="16">
        <v>43991</v>
      </c>
      <c r="I978" s="16">
        <v>43992</v>
      </c>
      <c r="J978" s="22">
        <v>15.37</v>
      </c>
      <c r="K978" s="22">
        <v>15.37</v>
      </c>
      <c r="L978" s="22" t="s">
        <v>2847</v>
      </c>
      <c r="M978" s="26" t="s">
        <v>98</v>
      </c>
      <c r="N978" s="13" t="s">
        <v>230</v>
      </c>
      <c r="O978" s="13" t="s">
        <v>514</v>
      </c>
      <c r="P978" s="13" t="s">
        <v>60</v>
      </c>
      <c r="Q978" s="13" t="s">
        <v>41</v>
      </c>
      <c r="R978" s="13" t="s">
        <v>270</v>
      </c>
      <c r="S978" s="13" t="s">
        <v>2848</v>
      </c>
      <c r="T978" s="13" t="s">
        <v>2849</v>
      </c>
      <c r="U978" s="13"/>
      <c r="V978" s="13"/>
      <c r="W978" s="13"/>
      <c r="X978" s="14"/>
      <c r="AN978" s="7" t="s">
        <v>155</v>
      </c>
      <c r="AO978" s="21">
        <f t="shared" si="46"/>
        <v>0</v>
      </c>
      <c r="AP978" s="7">
        <f t="shared" si="47"/>
        <v>15.37</v>
      </c>
      <c r="AQ978" s="31" t="str">
        <f t="shared" si="45"/>
        <v>Complete - No Adjustment</v>
      </c>
    </row>
    <row r="979" spans="1:43" x14ac:dyDescent="0.2">
      <c r="A979" s="46">
        <v>969</v>
      </c>
      <c r="B979" s="13" t="s">
        <v>266</v>
      </c>
      <c r="C979" s="13" t="s">
        <v>738</v>
      </c>
      <c r="D979" s="13" t="s">
        <v>830</v>
      </c>
      <c r="E979" s="13" t="s">
        <v>2850</v>
      </c>
      <c r="F979" s="13" t="s">
        <v>209</v>
      </c>
      <c r="G979" s="13" t="s">
        <v>111</v>
      </c>
      <c r="H979" s="16">
        <v>43991</v>
      </c>
      <c r="I979" s="16">
        <v>43993</v>
      </c>
      <c r="J979" s="22">
        <v>14.43</v>
      </c>
      <c r="K979" s="22">
        <v>14.43</v>
      </c>
      <c r="L979" s="22" t="s">
        <v>2851</v>
      </c>
      <c r="M979" s="26" t="s">
        <v>98</v>
      </c>
      <c r="N979" s="13" t="s">
        <v>230</v>
      </c>
      <c r="O979" s="13" t="s">
        <v>292</v>
      </c>
      <c r="P979" s="13" t="s">
        <v>60</v>
      </c>
      <c r="Q979" s="13" t="s">
        <v>41</v>
      </c>
      <c r="R979" s="13" t="s">
        <v>270</v>
      </c>
      <c r="S979" s="13" t="s">
        <v>2852</v>
      </c>
      <c r="T979" s="13" t="s">
        <v>2853</v>
      </c>
      <c r="U979" s="13"/>
      <c r="V979" s="13"/>
      <c r="W979" s="13"/>
      <c r="X979" s="14"/>
      <c r="AN979" s="7" t="s">
        <v>155</v>
      </c>
      <c r="AO979" s="21">
        <f t="shared" si="46"/>
        <v>0</v>
      </c>
      <c r="AP979" s="7">
        <f t="shared" si="47"/>
        <v>14.43</v>
      </c>
      <c r="AQ979" s="31" t="str">
        <f t="shared" si="45"/>
        <v>Complete - No Adjustment</v>
      </c>
    </row>
    <row r="980" spans="1:43" x14ac:dyDescent="0.2">
      <c r="A980" s="46">
        <v>970</v>
      </c>
      <c r="B980" s="13" t="s">
        <v>266</v>
      </c>
      <c r="C980" s="13" t="s">
        <v>738</v>
      </c>
      <c r="D980" s="13" t="s">
        <v>830</v>
      </c>
      <c r="E980" s="13" t="s">
        <v>2854</v>
      </c>
      <c r="F980" s="13" t="s">
        <v>209</v>
      </c>
      <c r="G980" s="13" t="s">
        <v>111</v>
      </c>
      <c r="H980" s="16">
        <v>43986</v>
      </c>
      <c r="I980" s="16">
        <v>43993</v>
      </c>
      <c r="J980" s="22">
        <v>15</v>
      </c>
      <c r="K980" s="22">
        <v>15</v>
      </c>
      <c r="L980" s="22" t="s">
        <v>2855</v>
      </c>
      <c r="M980" s="26" t="s">
        <v>98</v>
      </c>
      <c r="N980" s="13" t="s">
        <v>230</v>
      </c>
      <c r="O980" s="13" t="s">
        <v>292</v>
      </c>
      <c r="P980" s="13" t="s">
        <v>60</v>
      </c>
      <c r="Q980" s="13" t="s">
        <v>41</v>
      </c>
      <c r="R980" s="13" t="s">
        <v>270</v>
      </c>
      <c r="S980" s="13" t="s">
        <v>2856</v>
      </c>
      <c r="T980" s="13" t="s">
        <v>2857</v>
      </c>
      <c r="U980" s="13"/>
      <c r="V980" s="13"/>
      <c r="W980" s="13"/>
      <c r="X980" s="14"/>
      <c r="AN980" s="7" t="s">
        <v>70</v>
      </c>
      <c r="AO980" s="21">
        <f t="shared" si="46"/>
        <v>0</v>
      </c>
      <c r="AP980" s="7">
        <f t="shared" si="47"/>
        <v>15</v>
      </c>
      <c r="AQ980" s="31" t="str">
        <f t="shared" si="45"/>
        <v>Complete - No Adjustment</v>
      </c>
    </row>
    <row r="981" spans="1:43" x14ac:dyDescent="0.2">
      <c r="A981" s="46">
        <v>971</v>
      </c>
      <c r="B981" s="13" t="s">
        <v>266</v>
      </c>
      <c r="C981" s="13" t="s">
        <v>738</v>
      </c>
      <c r="D981" s="13" t="s">
        <v>830</v>
      </c>
      <c r="E981" s="13" t="s">
        <v>2858</v>
      </c>
      <c r="F981" s="13" t="s">
        <v>213</v>
      </c>
      <c r="G981" s="13" t="s">
        <v>111</v>
      </c>
      <c r="H981" s="16">
        <v>43996</v>
      </c>
      <c r="I981" s="16">
        <v>43999</v>
      </c>
      <c r="J981" s="22">
        <v>16.23</v>
      </c>
      <c r="K981" s="22">
        <v>16.23</v>
      </c>
      <c r="L981" s="22" t="s">
        <v>2859</v>
      </c>
      <c r="M981" s="26" t="s">
        <v>98</v>
      </c>
      <c r="N981" s="13" t="s">
        <v>230</v>
      </c>
      <c r="O981" s="13" t="s">
        <v>292</v>
      </c>
      <c r="P981" s="13" t="s">
        <v>60</v>
      </c>
      <c r="Q981" s="13" t="s">
        <v>104</v>
      </c>
      <c r="R981" s="13" t="s">
        <v>270</v>
      </c>
      <c r="S981" s="13" t="s">
        <v>2860</v>
      </c>
      <c r="T981" s="13" t="s">
        <v>2861</v>
      </c>
      <c r="U981" s="13"/>
      <c r="V981" s="13"/>
      <c r="W981" s="13"/>
      <c r="X981" s="14"/>
      <c r="AN981" s="7" t="s">
        <v>70</v>
      </c>
      <c r="AO981" s="21">
        <f t="shared" si="46"/>
        <v>0</v>
      </c>
      <c r="AP981" s="7">
        <f t="shared" si="47"/>
        <v>16.23</v>
      </c>
      <c r="AQ981" s="31" t="str">
        <f t="shared" si="45"/>
        <v>Complete - No Adjustment</v>
      </c>
    </row>
    <row r="982" spans="1:43" x14ac:dyDescent="0.2">
      <c r="A982" s="46">
        <v>972</v>
      </c>
      <c r="B982" s="13" t="s">
        <v>266</v>
      </c>
      <c r="C982" s="13" t="s">
        <v>2862</v>
      </c>
      <c r="D982" s="13" t="s">
        <v>2863</v>
      </c>
      <c r="E982" s="13" t="s">
        <v>2864</v>
      </c>
      <c r="F982" s="13" t="s">
        <v>208</v>
      </c>
      <c r="G982" s="13" t="s">
        <v>111</v>
      </c>
      <c r="H982" s="16">
        <v>43991</v>
      </c>
      <c r="I982" s="16">
        <v>44000</v>
      </c>
      <c r="J982" s="22">
        <v>15</v>
      </c>
      <c r="K982" s="22">
        <v>3</v>
      </c>
      <c r="L982" s="22" t="s">
        <v>2865</v>
      </c>
      <c r="M982" s="26" t="s">
        <v>98</v>
      </c>
      <c r="N982" s="13" t="s">
        <v>230</v>
      </c>
      <c r="O982" s="13" t="s">
        <v>791</v>
      </c>
      <c r="P982" s="13" t="s">
        <v>60</v>
      </c>
      <c r="Q982" s="13" t="s">
        <v>41</v>
      </c>
      <c r="R982" s="13" t="s">
        <v>270</v>
      </c>
      <c r="S982" s="13" t="s">
        <v>2866</v>
      </c>
      <c r="T982" s="13" t="s">
        <v>2867</v>
      </c>
      <c r="U982" s="13"/>
      <c r="V982" s="13"/>
      <c r="W982" s="13"/>
      <c r="X982" s="14"/>
      <c r="AN982" s="7" t="s">
        <v>167</v>
      </c>
      <c r="AO982" s="21">
        <f t="shared" si="46"/>
        <v>0</v>
      </c>
      <c r="AP982" s="7">
        <f t="shared" si="47"/>
        <v>3</v>
      </c>
      <c r="AQ982" s="31" t="str">
        <f t="shared" ref="AQ982:AQ1033" si="48">IF(AO982&lt;&gt;0,"Complete - With Adjustment","Complete - No Adjustment")</f>
        <v>Complete - No Adjustment</v>
      </c>
    </row>
    <row r="983" spans="1:43" x14ac:dyDescent="0.2">
      <c r="A983" s="46">
        <v>973</v>
      </c>
      <c r="B983" s="13" t="s">
        <v>266</v>
      </c>
      <c r="C983" s="13" t="s">
        <v>631</v>
      </c>
      <c r="D983" s="13" t="s">
        <v>630</v>
      </c>
      <c r="E983" s="13" t="s">
        <v>2868</v>
      </c>
      <c r="F983" s="13" t="s">
        <v>214</v>
      </c>
      <c r="G983" s="13" t="s">
        <v>111</v>
      </c>
      <c r="H983" s="16">
        <v>43978</v>
      </c>
      <c r="I983" s="16">
        <v>43990</v>
      </c>
      <c r="J983" s="22">
        <v>2396.59</v>
      </c>
      <c r="K983" s="22">
        <v>75.760000000000005</v>
      </c>
      <c r="L983" s="22" t="s">
        <v>2869</v>
      </c>
      <c r="M983" s="26" t="s">
        <v>98</v>
      </c>
      <c r="N983" s="13" t="s">
        <v>230</v>
      </c>
      <c r="O983" s="13" t="s">
        <v>271</v>
      </c>
      <c r="P983" s="13" t="s">
        <v>60</v>
      </c>
      <c r="Q983" s="13" t="s">
        <v>104</v>
      </c>
      <c r="R983" s="13" t="s">
        <v>270</v>
      </c>
      <c r="S983" s="13" t="s">
        <v>2870</v>
      </c>
      <c r="T983" s="13" t="s">
        <v>2871</v>
      </c>
      <c r="U983" s="13"/>
      <c r="V983" s="13"/>
      <c r="W983" s="13"/>
      <c r="X983" s="14"/>
      <c r="AN983" s="7" t="s">
        <v>70</v>
      </c>
      <c r="AO983" s="21">
        <f t="shared" si="46"/>
        <v>0</v>
      </c>
      <c r="AP983" s="7">
        <f t="shared" si="47"/>
        <v>75.760000000000005</v>
      </c>
      <c r="AQ983" s="31" t="str">
        <f t="shared" si="48"/>
        <v>Complete - No Adjustment</v>
      </c>
    </row>
    <row r="984" spans="1:43" x14ac:dyDescent="0.2">
      <c r="A984" s="46">
        <v>974</v>
      </c>
      <c r="B984" s="13" t="s">
        <v>266</v>
      </c>
      <c r="C984" s="13" t="s">
        <v>631</v>
      </c>
      <c r="D984" s="13" t="s">
        <v>630</v>
      </c>
      <c r="E984" s="13" t="s">
        <v>2868</v>
      </c>
      <c r="F984" s="13" t="s">
        <v>214</v>
      </c>
      <c r="G984" s="13" t="s">
        <v>111</v>
      </c>
      <c r="H984" s="16">
        <v>43978</v>
      </c>
      <c r="I984" s="16">
        <v>43990</v>
      </c>
      <c r="J984" s="22">
        <v>2396.59</v>
      </c>
      <c r="K984" s="22">
        <v>108</v>
      </c>
      <c r="L984" s="22" t="s">
        <v>2869</v>
      </c>
      <c r="M984" s="26" t="s">
        <v>98</v>
      </c>
      <c r="N984" s="13" t="s">
        <v>230</v>
      </c>
      <c r="O984" s="13" t="s">
        <v>271</v>
      </c>
      <c r="P984" s="13" t="s">
        <v>60</v>
      </c>
      <c r="Q984" s="13" t="s">
        <v>75</v>
      </c>
      <c r="R984" s="13" t="s">
        <v>270</v>
      </c>
      <c r="S984" s="13" t="s">
        <v>2870</v>
      </c>
      <c r="T984" s="13" t="s">
        <v>2872</v>
      </c>
      <c r="U984" s="13"/>
      <c r="V984" s="13"/>
      <c r="W984" s="13"/>
      <c r="X984" s="14"/>
      <c r="AN984" s="7" t="s">
        <v>70</v>
      </c>
      <c r="AO984" s="21">
        <f t="shared" si="46"/>
        <v>0</v>
      </c>
      <c r="AP984" s="7">
        <f t="shared" si="47"/>
        <v>108</v>
      </c>
      <c r="AQ984" s="31" t="str">
        <f t="shared" si="48"/>
        <v>Complete - No Adjustment</v>
      </c>
    </row>
    <row r="985" spans="1:43" x14ac:dyDescent="0.2">
      <c r="A985" s="46">
        <v>975</v>
      </c>
      <c r="B985" s="13" t="s">
        <v>266</v>
      </c>
      <c r="C985" s="13" t="s">
        <v>631</v>
      </c>
      <c r="D985" s="13" t="s">
        <v>630</v>
      </c>
      <c r="E985" s="13" t="s">
        <v>2868</v>
      </c>
      <c r="F985" s="13" t="s">
        <v>214</v>
      </c>
      <c r="G985" s="13" t="s">
        <v>111</v>
      </c>
      <c r="H985" s="16">
        <v>43978</v>
      </c>
      <c r="I985" s="16">
        <v>43990</v>
      </c>
      <c r="J985" s="22">
        <v>2396.59</v>
      </c>
      <c r="K985" s="22">
        <v>12.18</v>
      </c>
      <c r="L985" s="22" t="s">
        <v>2869</v>
      </c>
      <c r="M985" s="26" t="s">
        <v>98</v>
      </c>
      <c r="N985" s="13" t="s">
        <v>230</v>
      </c>
      <c r="O985" s="13" t="s">
        <v>271</v>
      </c>
      <c r="P985" s="13" t="s">
        <v>60</v>
      </c>
      <c r="Q985" s="13" t="s">
        <v>41</v>
      </c>
      <c r="R985" s="13" t="s">
        <v>270</v>
      </c>
      <c r="S985" s="13" t="s">
        <v>2870</v>
      </c>
      <c r="T985" s="13" t="s">
        <v>2873</v>
      </c>
      <c r="U985" s="13"/>
      <c r="V985" s="13"/>
      <c r="W985" s="13"/>
      <c r="X985" s="14"/>
      <c r="AN985" s="7" t="s">
        <v>70</v>
      </c>
      <c r="AO985" s="21">
        <f t="shared" si="46"/>
        <v>0</v>
      </c>
      <c r="AP985" s="7">
        <f t="shared" si="47"/>
        <v>12.18</v>
      </c>
      <c r="AQ985" s="31" t="str">
        <f t="shared" si="48"/>
        <v>Complete - No Adjustment</v>
      </c>
    </row>
    <row r="986" spans="1:43" x14ac:dyDescent="0.2">
      <c r="A986" s="46">
        <v>976</v>
      </c>
      <c r="B986" s="13" t="s">
        <v>266</v>
      </c>
      <c r="C986" s="13" t="s">
        <v>631</v>
      </c>
      <c r="D986" s="13" t="s">
        <v>630</v>
      </c>
      <c r="E986" s="13" t="s">
        <v>2868</v>
      </c>
      <c r="F986" s="13" t="s">
        <v>214</v>
      </c>
      <c r="G986" s="13" t="s">
        <v>111</v>
      </c>
      <c r="H986" s="16">
        <v>43978</v>
      </c>
      <c r="I986" s="16">
        <v>43990</v>
      </c>
      <c r="J986" s="22">
        <v>2396.59</v>
      </c>
      <c r="K986" s="22">
        <v>101.79</v>
      </c>
      <c r="L986" s="22" t="s">
        <v>2869</v>
      </c>
      <c r="M986" s="26" t="s">
        <v>98</v>
      </c>
      <c r="N986" s="13" t="s">
        <v>230</v>
      </c>
      <c r="O986" s="13" t="s">
        <v>271</v>
      </c>
      <c r="P986" s="13" t="s">
        <v>60</v>
      </c>
      <c r="Q986" s="13" t="s">
        <v>62</v>
      </c>
      <c r="R986" s="13" t="s">
        <v>270</v>
      </c>
      <c r="S986" s="13" t="s">
        <v>2870</v>
      </c>
      <c r="T986" s="13" t="s">
        <v>2874</v>
      </c>
      <c r="U986" s="13"/>
      <c r="V986" s="13"/>
      <c r="W986" s="13"/>
      <c r="X986" s="14"/>
      <c r="AN986" s="7" t="s">
        <v>70</v>
      </c>
      <c r="AO986" s="21">
        <f t="shared" si="46"/>
        <v>0</v>
      </c>
      <c r="AP986" s="7">
        <f t="shared" si="47"/>
        <v>101.79</v>
      </c>
      <c r="AQ986" s="31" t="str">
        <f t="shared" si="48"/>
        <v>Complete - No Adjustment</v>
      </c>
    </row>
    <row r="987" spans="1:43" x14ac:dyDescent="0.2">
      <c r="A987" s="46">
        <v>977</v>
      </c>
      <c r="B987" s="13" t="s">
        <v>266</v>
      </c>
      <c r="C987" s="13" t="s">
        <v>492</v>
      </c>
      <c r="D987" s="13" t="s">
        <v>491</v>
      </c>
      <c r="E987" s="13" t="s">
        <v>2875</v>
      </c>
      <c r="F987" s="13" t="s">
        <v>218</v>
      </c>
      <c r="G987" s="13" t="s">
        <v>111</v>
      </c>
      <c r="H987" s="16">
        <v>43985</v>
      </c>
      <c r="I987" s="16">
        <v>43991</v>
      </c>
      <c r="J987" s="22">
        <v>15</v>
      </c>
      <c r="K987" s="22">
        <v>15</v>
      </c>
      <c r="L987" s="22" t="s">
        <v>2876</v>
      </c>
      <c r="M987" s="26" t="s">
        <v>98</v>
      </c>
      <c r="N987" s="13" t="s">
        <v>230</v>
      </c>
      <c r="O987" s="13" t="s">
        <v>292</v>
      </c>
      <c r="P987" s="13" t="s">
        <v>60</v>
      </c>
      <c r="Q987" s="13" t="s">
        <v>41</v>
      </c>
      <c r="R987" s="13" t="s">
        <v>270</v>
      </c>
      <c r="S987" s="13" t="s">
        <v>2877</v>
      </c>
      <c r="T987" s="13" t="s">
        <v>2878</v>
      </c>
      <c r="U987" s="13"/>
      <c r="V987" s="13"/>
      <c r="W987" s="13"/>
      <c r="X987" s="14"/>
      <c r="AC987" s="53">
        <f>15-11.36*1.2</f>
        <v>1.3680000000000003</v>
      </c>
      <c r="AN987" s="7" t="s">
        <v>155</v>
      </c>
      <c r="AO987" s="21">
        <f t="shared" si="46"/>
        <v>1.3680000000000003</v>
      </c>
      <c r="AP987" s="7">
        <f t="shared" si="47"/>
        <v>13.632</v>
      </c>
      <c r="AQ987" s="31" t="str">
        <f t="shared" si="48"/>
        <v>Complete - With Adjustment</v>
      </c>
    </row>
    <row r="988" spans="1:43" x14ac:dyDescent="0.2">
      <c r="A988" s="46">
        <v>978</v>
      </c>
      <c r="B988" s="13" t="s">
        <v>266</v>
      </c>
      <c r="C988" s="13" t="s">
        <v>492</v>
      </c>
      <c r="D988" s="13" t="s">
        <v>491</v>
      </c>
      <c r="E988" s="13" t="s">
        <v>2879</v>
      </c>
      <c r="F988" s="13" t="s">
        <v>209</v>
      </c>
      <c r="G988" s="13" t="s">
        <v>111</v>
      </c>
      <c r="H988" s="16">
        <v>43991</v>
      </c>
      <c r="I988" s="16">
        <v>43993</v>
      </c>
      <c r="J988" s="22">
        <v>15</v>
      </c>
      <c r="K988" s="22">
        <v>15</v>
      </c>
      <c r="L988" s="22" t="s">
        <v>2880</v>
      </c>
      <c r="M988" s="26" t="s">
        <v>98</v>
      </c>
      <c r="N988" s="13" t="s">
        <v>230</v>
      </c>
      <c r="O988" s="13" t="s">
        <v>292</v>
      </c>
      <c r="P988" s="13" t="s">
        <v>60</v>
      </c>
      <c r="Q988" s="13" t="s">
        <v>41</v>
      </c>
      <c r="R988" s="13" t="s">
        <v>270</v>
      </c>
      <c r="S988" s="13" t="s">
        <v>2881</v>
      </c>
      <c r="T988" s="13" t="s">
        <v>2882</v>
      </c>
      <c r="U988" s="13"/>
      <c r="V988" s="13"/>
      <c r="W988" s="13"/>
      <c r="X988" s="14"/>
      <c r="AL988" s="14">
        <v>15</v>
      </c>
      <c r="AN988" s="7" t="s">
        <v>167</v>
      </c>
      <c r="AO988" s="21">
        <f t="shared" si="46"/>
        <v>15</v>
      </c>
      <c r="AP988" s="7">
        <f t="shared" si="47"/>
        <v>0</v>
      </c>
      <c r="AQ988" s="31" t="str">
        <f t="shared" si="48"/>
        <v>Complete - With Adjustment</v>
      </c>
    </row>
    <row r="989" spans="1:43" x14ac:dyDescent="0.2">
      <c r="A989" s="46">
        <v>979</v>
      </c>
      <c r="B989" s="13" t="s">
        <v>266</v>
      </c>
      <c r="C989" s="13" t="s">
        <v>492</v>
      </c>
      <c r="D989" s="13" t="s">
        <v>491</v>
      </c>
      <c r="E989" s="13" t="s">
        <v>2883</v>
      </c>
      <c r="F989" s="13" t="s">
        <v>219</v>
      </c>
      <c r="G989" s="13" t="s">
        <v>111</v>
      </c>
      <c r="H989" s="16">
        <v>43994</v>
      </c>
      <c r="I989" s="16">
        <v>43998</v>
      </c>
      <c r="J989" s="22">
        <v>24.2</v>
      </c>
      <c r="K989" s="22">
        <v>12.3</v>
      </c>
      <c r="L989" s="22" t="s">
        <v>2884</v>
      </c>
      <c r="M989" s="26" t="s">
        <v>98</v>
      </c>
      <c r="N989" s="13" t="s">
        <v>230</v>
      </c>
      <c r="O989" s="13" t="s">
        <v>292</v>
      </c>
      <c r="P989" s="13" t="s">
        <v>60</v>
      </c>
      <c r="Q989" s="13" t="s">
        <v>46</v>
      </c>
      <c r="R989" s="13" t="s">
        <v>270</v>
      </c>
      <c r="S989" s="13" t="s">
        <v>2885</v>
      </c>
      <c r="T989" s="13" t="s">
        <v>2886</v>
      </c>
      <c r="U989" s="13"/>
      <c r="V989" s="13"/>
      <c r="W989" s="13"/>
      <c r="X989" s="14"/>
      <c r="AI989" s="53">
        <v>12.3</v>
      </c>
      <c r="AN989" s="7" t="s">
        <v>145</v>
      </c>
      <c r="AO989" s="21">
        <f t="shared" si="46"/>
        <v>12.3</v>
      </c>
      <c r="AP989" s="7">
        <f t="shared" si="47"/>
        <v>0</v>
      </c>
      <c r="AQ989" s="31" t="str">
        <f t="shared" si="48"/>
        <v>Complete - With Adjustment</v>
      </c>
    </row>
    <row r="990" spans="1:43" x14ac:dyDescent="0.2">
      <c r="A990" s="46">
        <v>980</v>
      </c>
      <c r="B990" s="13" t="s">
        <v>266</v>
      </c>
      <c r="C990" s="13" t="s">
        <v>492</v>
      </c>
      <c r="D990" s="13" t="s">
        <v>491</v>
      </c>
      <c r="E990" s="13" t="s">
        <v>2883</v>
      </c>
      <c r="F990" s="13" t="s">
        <v>219</v>
      </c>
      <c r="G990" s="13" t="s">
        <v>111</v>
      </c>
      <c r="H990" s="16">
        <v>43994</v>
      </c>
      <c r="I990" s="16">
        <v>43998</v>
      </c>
      <c r="J990" s="22">
        <v>24.2</v>
      </c>
      <c r="K990" s="22">
        <v>11.9</v>
      </c>
      <c r="L990" s="22" t="s">
        <v>2884</v>
      </c>
      <c r="M990" s="26" t="s">
        <v>98</v>
      </c>
      <c r="N990" s="13" t="s">
        <v>230</v>
      </c>
      <c r="O990" s="13" t="s">
        <v>292</v>
      </c>
      <c r="P990" s="13" t="s">
        <v>60</v>
      </c>
      <c r="Q990" s="13" t="s">
        <v>46</v>
      </c>
      <c r="R990" s="13" t="s">
        <v>270</v>
      </c>
      <c r="S990" s="13" t="s">
        <v>2885</v>
      </c>
      <c r="T990" s="13" t="s">
        <v>2887</v>
      </c>
      <c r="U990" s="13"/>
      <c r="V990" s="13"/>
      <c r="W990" s="13"/>
      <c r="X990" s="14"/>
      <c r="AI990" s="53">
        <v>11.9</v>
      </c>
      <c r="AN990" s="7" t="s">
        <v>145</v>
      </c>
      <c r="AO990" s="21">
        <f t="shared" si="46"/>
        <v>11.9</v>
      </c>
      <c r="AP990" s="7">
        <f t="shared" si="47"/>
        <v>0</v>
      </c>
      <c r="AQ990" s="31" t="str">
        <f t="shared" si="48"/>
        <v>Complete - With Adjustment</v>
      </c>
    </row>
    <row r="991" spans="1:43" x14ac:dyDescent="0.2">
      <c r="A991" s="46">
        <v>981</v>
      </c>
      <c r="B991" s="13" t="s">
        <v>266</v>
      </c>
      <c r="C991" s="13" t="s">
        <v>494</v>
      </c>
      <c r="D991" s="13" t="s">
        <v>493</v>
      </c>
      <c r="E991" s="13" t="s">
        <v>2888</v>
      </c>
      <c r="F991" s="13" t="s">
        <v>219</v>
      </c>
      <c r="G991" s="13" t="s">
        <v>111</v>
      </c>
      <c r="H991" s="16">
        <v>43985</v>
      </c>
      <c r="I991" s="16">
        <v>43998</v>
      </c>
      <c r="J991" s="22">
        <v>72.78</v>
      </c>
      <c r="K991" s="22">
        <v>11</v>
      </c>
      <c r="L991" s="22" t="s">
        <v>2889</v>
      </c>
      <c r="M991" s="26" t="s">
        <v>98</v>
      </c>
      <c r="N991" s="13" t="s">
        <v>230</v>
      </c>
      <c r="O991" s="13" t="s">
        <v>784</v>
      </c>
      <c r="P991" s="13" t="s">
        <v>60</v>
      </c>
      <c r="Q991" s="13" t="s">
        <v>41</v>
      </c>
      <c r="R991" s="13" t="s">
        <v>270</v>
      </c>
      <c r="S991" s="13" t="s">
        <v>2890</v>
      </c>
      <c r="T991" s="13" t="s">
        <v>2891</v>
      </c>
      <c r="U991" s="13"/>
      <c r="V991" s="13"/>
      <c r="W991" s="13"/>
      <c r="X991" s="14"/>
      <c r="AN991" s="7" t="s">
        <v>155</v>
      </c>
      <c r="AO991" s="21">
        <f t="shared" si="46"/>
        <v>0</v>
      </c>
      <c r="AP991" s="7">
        <f t="shared" si="47"/>
        <v>11</v>
      </c>
      <c r="AQ991" s="31" t="str">
        <f t="shared" si="48"/>
        <v>Complete - No Adjustment</v>
      </c>
    </row>
    <row r="992" spans="1:43" x14ac:dyDescent="0.2">
      <c r="A992" s="46">
        <v>982</v>
      </c>
      <c r="B992" s="13" t="s">
        <v>266</v>
      </c>
      <c r="C992" s="13" t="s">
        <v>494</v>
      </c>
      <c r="D992" s="13" t="s">
        <v>493</v>
      </c>
      <c r="E992" s="13" t="s">
        <v>2888</v>
      </c>
      <c r="F992" s="13" t="s">
        <v>219</v>
      </c>
      <c r="G992" s="13" t="s">
        <v>111</v>
      </c>
      <c r="H992" s="16">
        <v>43985</v>
      </c>
      <c r="I992" s="16">
        <v>43998</v>
      </c>
      <c r="J992" s="22">
        <v>72.78</v>
      </c>
      <c r="K992" s="22">
        <v>14.98</v>
      </c>
      <c r="L992" s="22" t="s">
        <v>2889</v>
      </c>
      <c r="M992" s="26" t="s">
        <v>98</v>
      </c>
      <c r="N992" s="13" t="s">
        <v>230</v>
      </c>
      <c r="O992" s="13" t="s">
        <v>784</v>
      </c>
      <c r="P992" s="13" t="s">
        <v>60</v>
      </c>
      <c r="Q992" s="13" t="s">
        <v>41</v>
      </c>
      <c r="R992" s="13" t="s">
        <v>270</v>
      </c>
      <c r="S992" s="13" t="s">
        <v>2890</v>
      </c>
      <c r="T992" s="13" t="s">
        <v>2892</v>
      </c>
      <c r="U992" s="13"/>
      <c r="V992" s="13"/>
      <c r="W992" s="13"/>
      <c r="X992" s="14"/>
      <c r="AN992" s="7" t="s">
        <v>155</v>
      </c>
      <c r="AO992" s="21">
        <f t="shared" si="46"/>
        <v>0</v>
      </c>
      <c r="AP992" s="7">
        <f t="shared" si="47"/>
        <v>14.98</v>
      </c>
      <c r="AQ992" s="31" t="str">
        <f t="shared" si="48"/>
        <v>Complete - No Adjustment</v>
      </c>
    </row>
    <row r="993" spans="1:43" x14ac:dyDescent="0.2">
      <c r="A993" s="46">
        <v>983</v>
      </c>
      <c r="B993" s="13" t="s">
        <v>266</v>
      </c>
      <c r="C993" s="13" t="s">
        <v>494</v>
      </c>
      <c r="D993" s="13" t="s">
        <v>493</v>
      </c>
      <c r="E993" s="13" t="s">
        <v>2888</v>
      </c>
      <c r="F993" s="13" t="s">
        <v>219</v>
      </c>
      <c r="G993" s="13" t="s">
        <v>111</v>
      </c>
      <c r="H993" s="16">
        <v>43985</v>
      </c>
      <c r="I993" s="16">
        <v>43998</v>
      </c>
      <c r="J993" s="22">
        <v>72.78</v>
      </c>
      <c r="K993" s="22">
        <v>14.5</v>
      </c>
      <c r="L993" s="22" t="s">
        <v>2889</v>
      </c>
      <c r="M993" s="26" t="s">
        <v>98</v>
      </c>
      <c r="N993" s="13" t="s">
        <v>230</v>
      </c>
      <c r="O993" s="13" t="s">
        <v>784</v>
      </c>
      <c r="P993" s="13" t="s">
        <v>60</v>
      </c>
      <c r="Q993" s="13" t="s">
        <v>41</v>
      </c>
      <c r="R993" s="13" t="s">
        <v>270</v>
      </c>
      <c r="S993" s="13" t="s">
        <v>2890</v>
      </c>
      <c r="T993" s="13" t="s">
        <v>2893</v>
      </c>
      <c r="U993" s="13"/>
      <c r="V993" s="13"/>
      <c r="W993" s="13"/>
      <c r="X993" s="14"/>
      <c r="AN993" s="7" t="s">
        <v>155</v>
      </c>
      <c r="AO993" s="21">
        <f t="shared" si="46"/>
        <v>0</v>
      </c>
      <c r="AP993" s="7">
        <f t="shared" si="47"/>
        <v>14.5</v>
      </c>
      <c r="AQ993" s="31" t="str">
        <f t="shared" si="48"/>
        <v>Complete - No Adjustment</v>
      </c>
    </row>
    <row r="994" spans="1:43" x14ac:dyDescent="0.2">
      <c r="A994" s="46">
        <v>984</v>
      </c>
      <c r="B994" s="13" t="s">
        <v>266</v>
      </c>
      <c r="C994" s="13" t="s">
        <v>494</v>
      </c>
      <c r="D994" s="13" t="s">
        <v>493</v>
      </c>
      <c r="E994" s="13" t="s">
        <v>2888</v>
      </c>
      <c r="F994" s="13" t="s">
        <v>219</v>
      </c>
      <c r="G994" s="13" t="s">
        <v>111</v>
      </c>
      <c r="H994" s="16">
        <v>43985</v>
      </c>
      <c r="I994" s="16">
        <v>43998</v>
      </c>
      <c r="J994" s="22">
        <v>72.78</v>
      </c>
      <c r="K994" s="22">
        <v>14</v>
      </c>
      <c r="L994" s="22" t="s">
        <v>2889</v>
      </c>
      <c r="M994" s="26" t="s">
        <v>98</v>
      </c>
      <c r="N994" s="13" t="s">
        <v>230</v>
      </c>
      <c r="O994" s="13" t="s">
        <v>784</v>
      </c>
      <c r="P994" s="13" t="s">
        <v>60</v>
      </c>
      <c r="Q994" s="13" t="s">
        <v>41</v>
      </c>
      <c r="R994" s="13" t="s">
        <v>270</v>
      </c>
      <c r="S994" s="13" t="s">
        <v>2890</v>
      </c>
      <c r="T994" s="13" t="s">
        <v>2894</v>
      </c>
      <c r="U994" s="13"/>
      <c r="V994" s="13"/>
      <c r="W994" s="13"/>
      <c r="X994" s="14"/>
      <c r="AN994" s="7" t="s">
        <v>155</v>
      </c>
      <c r="AO994" s="21">
        <f t="shared" si="46"/>
        <v>0</v>
      </c>
      <c r="AP994" s="7">
        <f t="shared" si="47"/>
        <v>14</v>
      </c>
      <c r="AQ994" s="31" t="str">
        <f t="shared" si="48"/>
        <v>Complete - No Adjustment</v>
      </c>
    </row>
    <row r="995" spans="1:43" x14ac:dyDescent="0.2">
      <c r="A995" s="46">
        <v>985</v>
      </c>
      <c r="B995" s="13" t="s">
        <v>266</v>
      </c>
      <c r="C995" s="13" t="s">
        <v>494</v>
      </c>
      <c r="D995" s="13" t="s">
        <v>493</v>
      </c>
      <c r="E995" s="13" t="s">
        <v>2888</v>
      </c>
      <c r="F995" s="13" t="s">
        <v>219</v>
      </c>
      <c r="G995" s="13" t="s">
        <v>111</v>
      </c>
      <c r="H995" s="16">
        <v>43985</v>
      </c>
      <c r="I995" s="16">
        <v>43998</v>
      </c>
      <c r="J995" s="22">
        <v>72.78</v>
      </c>
      <c r="K995" s="22">
        <v>10.17</v>
      </c>
      <c r="L995" s="22" t="s">
        <v>2889</v>
      </c>
      <c r="M995" s="26" t="s">
        <v>98</v>
      </c>
      <c r="N995" s="13" t="s">
        <v>230</v>
      </c>
      <c r="O995" s="13" t="s">
        <v>784</v>
      </c>
      <c r="P995" s="13" t="s">
        <v>60</v>
      </c>
      <c r="Q995" s="13" t="s">
        <v>41</v>
      </c>
      <c r="R995" s="13" t="s">
        <v>270</v>
      </c>
      <c r="S995" s="13" t="s">
        <v>2890</v>
      </c>
      <c r="T995" s="13" t="s">
        <v>2895</v>
      </c>
      <c r="U995" s="13"/>
      <c r="V995" s="13"/>
      <c r="W995" s="13"/>
      <c r="X995" s="14"/>
      <c r="AN995" s="7" t="s">
        <v>155</v>
      </c>
      <c r="AO995" s="21">
        <f t="shared" si="46"/>
        <v>0</v>
      </c>
      <c r="AP995" s="7">
        <f t="shared" si="47"/>
        <v>10.17</v>
      </c>
      <c r="AQ995" s="31" t="str">
        <f t="shared" si="48"/>
        <v>Complete - No Adjustment</v>
      </c>
    </row>
    <row r="996" spans="1:43" x14ac:dyDescent="0.2">
      <c r="A996" s="46">
        <v>986</v>
      </c>
      <c r="B996" s="13" t="s">
        <v>266</v>
      </c>
      <c r="C996" s="13" t="s">
        <v>494</v>
      </c>
      <c r="D996" s="13" t="s">
        <v>493</v>
      </c>
      <c r="E996" s="13" t="s">
        <v>2888</v>
      </c>
      <c r="F996" s="13" t="s">
        <v>219</v>
      </c>
      <c r="G996" s="13" t="s">
        <v>111</v>
      </c>
      <c r="H996" s="16">
        <v>43985</v>
      </c>
      <c r="I996" s="16">
        <v>43998</v>
      </c>
      <c r="J996" s="22">
        <v>72.78</v>
      </c>
      <c r="K996" s="22">
        <v>8.1300000000000008</v>
      </c>
      <c r="L996" s="22" t="s">
        <v>2889</v>
      </c>
      <c r="M996" s="26" t="s">
        <v>98</v>
      </c>
      <c r="N996" s="13" t="s">
        <v>230</v>
      </c>
      <c r="O996" s="13" t="s">
        <v>784</v>
      </c>
      <c r="P996" s="13" t="s">
        <v>60</v>
      </c>
      <c r="Q996" s="13" t="s">
        <v>41</v>
      </c>
      <c r="R996" s="13" t="s">
        <v>270</v>
      </c>
      <c r="S996" s="13" t="s">
        <v>2890</v>
      </c>
      <c r="T996" s="13" t="s">
        <v>2895</v>
      </c>
      <c r="U996" s="13"/>
      <c r="V996" s="13"/>
      <c r="W996" s="13"/>
      <c r="X996" s="14"/>
      <c r="AN996" s="7" t="s">
        <v>155</v>
      </c>
      <c r="AO996" s="21">
        <f t="shared" si="46"/>
        <v>0</v>
      </c>
      <c r="AP996" s="7">
        <f t="shared" si="47"/>
        <v>8.1300000000000008</v>
      </c>
      <c r="AQ996" s="31" t="str">
        <f t="shared" si="48"/>
        <v>Complete - No Adjustment</v>
      </c>
    </row>
    <row r="997" spans="1:43" x14ac:dyDescent="0.2">
      <c r="A997" s="46">
        <v>987</v>
      </c>
      <c r="B997" s="13" t="s">
        <v>266</v>
      </c>
      <c r="C997" s="13" t="s">
        <v>577</v>
      </c>
      <c r="D997" s="13" t="s">
        <v>576</v>
      </c>
      <c r="E997" s="13" t="s">
        <v>2896</v>
      </c>
      <c r="F997" s="13" t="s">
        <v>207</v>
      </c>
      <c r="G997" s="13" t="s">
        <v>111</v>
      </c>
      <c r="H997" s="16">
        <v>43984</v>
      </c>
      <c r="I997" s="16">
        <v>43987</v>
      </c>
      <c r="J997" s="22">
        <v>141.57</v>
      </c>
      <c r="K997" s="22">
        <v>35.520000000000003</v>
      </c>
      <c r="L997" s="22" t="s">
        <v>2897</v>
      </c>
      <c r="M997" s="26" t="s">
        <v>98</v>
      </c>
      <c r="N997" s="13" t="s">
        <v>230</v>
      </c>
      <c r="O997" s="13" t="s">
        <v>78</v>
      </c>
      <c r="P997" s="13" t="s">
        <v>60</v>
      </c>
      <c r="Q997" s="13" t="s">
        <v>62</v>
      </c>
      <c r="R997" s="13" t="s">
        <v>270</v>
      </c>
      <c r="S997" s="13" t="s">
        <v>2898</v>
      </c>
      <c r="T997" s="13" t="s">
        <v>2899</v>
      </c>
      <c r="U997" s="13"/>
      <c r="V997" s="13"/>
      <c r="W997" s="13"/>
      <c r="X997" s="14"/>
      <c r="AN997" s="7" t="s">
        <v>155</v>
      </c>
      <c r="AO997" s="21">
        <f t="shared" si="46"/>
        <v>0</v>
      </c>
      <c r="AP997" s="7">
        <f t="shared" si="47"/>
        <v>35.520000000000003</v>
      </c>
      <c r="AQ997" s="31" t="str">
        <f t="shared" si="48"/>
        <v>Complete - No Adjustment</v>
      </c>
    </row>
    <row r="998" spans="1:43" x14ac:dyDescent="0.2">
      <c r="A998" s="46">
        <v>988</v>
      </c>
      <c r="B998" s="13" t="s">
        <v>266</v>
      </c>
      <c r="C998" s="13" t="s">
        <v>577</v>
      </c>
      <c r="D998" s="13" t="s">
        <v>576</v>
      </c>
      <c r="E998" s="13" t="s">
        <v>2896</v>
      </c>
      <c r="F998" s="13" t="s">
        <v>207</v>
      </c>
      <c r="G998" s="13" t="s">
        <v>111</v>
      </c>
      <c r="H998" s="16">
        <v>43984</v>
      </c>
      <c r="I998" s="16">
        <v>43987</v>
      </c>
      <c r="J998" s="22">
        <v>141.57</v>
      </c>
      <c r="K998" s="22">
        <v>106.05</v>
      </c>
      <c r="L998" s="22" t="s">
        <v>2897</v>
      </c>
      <c r="M998" s="26" t="s">
        <v>98</v>
      </c>
      <c r="N998" s="13" t="s">
        <v>230</v>
      </c>
      <c r="O998" s="13" t="s">
        <v>78</v>
      </c>
      <c r="P998" s="13" t="s">
        <v>60</v>
      </c>
      <c r="Q998" s="13" t="s">
        <v>62</v>
      </c>
      <c r="R998" s="13" t="s">
        <v>270</v>
      </c>
      <c r="S998" s="13" t="s">
        <v>2898</v>
      </c>
      <c r="T998" s="13" t="s">
        <v>2900</v>
      </c>
      <c r="U998" s="13"/>
      <c r="V998" s="13"/>
      <c r="W998" s="13"/>
      <c r="X998" s="14"/>
      <c r="AN998" s="7" t="s">
        <v>155</v>
      </c>
      <c r="AO998" s="21">
        <f t="shared" si="46"/>
        <v>0</v>
      </c>
      <c r="AP998" s="7">
        <f t="shared" si="47"/>
        <v>106.05</v>
      </c>
      <c r="AQ998" s="31" t="str">
        <f t="shared" si="48"/>
        <v>Complete - No Adjustment</v>
      </c>
    </row>
    <row r="999" spans="1:43" x14ac:dyDescent="0.2">
      <c r="A999" s="46">
        <v>989</v>
      </c>
      <c r="B999" s="13" t="s">
        <v>266</v>
      </c>
      <c r="C999" s="13" t="s">
        <v>499</v>
      </c>
      <c r="D999" s="13" t="s">
        <v>498</v>
      </c>
      <c r="E999" s="13" t="s">
        <v>2901</v>
      </c>
      <c r="F999" s="13" t="s">
        <v>219</v>
      </c>
      <c r="G999" s="13" t="s">
        <v>111</v>
      </c>
      <c r="H999" s="16">
        <v>43993</v>
      </c>
      <c r="I999" s="16">
        <v>43998</v>
      </c>
      <c r="J999" s="22">
        <v>11.91</v>
      </c>
      <c r="K999" s="22">
        <v>11.91</v>
      </c>
      <c r="L999" s="22" t="s">
        <v>2902</v>
      </c>
      <c r="M999" s="26" t="s">
        <v>98</v>
      </c>
      <c r="N999" s="13" t="s">
        <v>230</v>
      </c>
      <c r="O999" s="13" t="s">
        <v>378</v>
      </c>
      <c r="P999" s="13" t="s">
        <v>60</v>
      </c>
      <c r="Q999" s="13" t="s">
        <v>41</v>
      </c>
      <c r="R999" s="13" t="s">
        <v>270</v>
      </c>
      <c r="S999" s="13" t="s">
        <v>2903</v>
      </c>
      <c r="T999" s="13" t="s">
        <v>2904</v>
      </c>
      <c r="U999" s="13"/>
      <c r="V999" s="13"/>
      <c r="W999" s="13"/>
      <c r="X999" s="14"/>
      <c r="AN999" s="7" t="s">
        <v>155</v>
      </c>
      <c r="AO999" s="21">
        <f t="shared" si="46"/>
        <v>0</v>
      </c>
      <c r="AP999" s="7">
        <f t="shared" si="47"/>
        <v>11.91</v>
      </c>
      <c r="AQ999" s="31" t="str">
        <f t="shared" si="48"/>
        <v>Complete - No Adjustment</v>
      </c>
    </row>
    <row r="1000" spans="1:43" x14ac:dyDescent="0.2">
      <c r="A1000" s="46">
        <v>990</v>
      </c>
      <c r="B1000" s="13" t="s">
        <v>266</v>
      </c>
      <c r="C1000" s="13" t="s">
        <v>689</v>
      </c>
      <c r="D1000" s="13" t="s">
        <v>688</v>
      </c>
      <c r="E1000" s="13" t="s">
        <v>2905</v>
      </c>
      <c r="F1000" s="13" t="s">
        <v>219</v>
      </c>
      <c r="G1000" s="13" t="s">
        <v>111</v>
      </c>
      <c r="H1000" s="16">
        <v>43993</v>
      </c>
      <c r="I1000" s="16">
        <v>43998</v>
      </c>
      <c r="J1000" s="22">
        <v>15</v>
      </c>
      <c r="K1000" s="22">
        <v>15</v>
      </c>
      <c r="L1000" s="22" t="s">
        <v>2906</v>
      </c>
      <c r="M1000" s="26" t="s">
        <v>98</v>
      </c>
      <c r="N1000" s="13" t="s">
        <v>230</v>
      </c>
      <c r="O1000" s="13" t="s">
        <v>658</v>
      </c>
      <c r="P1000" s="13" t="s">
        <v>60</v>
      </c>
      <c r="Q1000" s="13" t="s">
        <v>41</v>
      </c>
      <c r="R1000" s="13" t="s">
        <v>270</v>
      </c>
      <c r="S1000" s="13" t="s">
        <v>2907</v>
      </c>
      <c r="T1000" s="13" t="s">
        <v>2908</v>
      </c>
      <c r="U1000" s="13"/>
      <c r="V1000" s="13"/>
      <c r="W1000" s="13"/>
      <c r="X1000" s="14"/>
      <c r="AN1000" s="7" t="s">
        <v>155</v>
      </c>
      <c r="AO1000" s="21">
        <f t="shared" ref="AO1000:AO1033" si="49">SUM(Y1000:AL1000)</f>
        <v>0</v>
      </c>
      <c r="AP1000" s="7">
        <f t="shared" ref="AP1000:AP1033" si="50">K1000-AO1000</f>
        <v>15</v>
      </c>
      <c r="AQ1000" s="31" t="str">
        <f t="shared" si="48"/>
        <v>Complete - No Adjustment</v>
      </c>
    </row>
    <row r="1001" spans="1:43" x14ac:dyDescent="0.2">
      <c r="A1001" s="46">
        <v>991</v>
      </c>
      <c r="B1001" s="13" t="s">
        <v>266</v>
      </c>
      <c r="C1001" s="13" t="s">
        <v>716</v>
      </c>
      <c r="D1001" s="13" t="s">
        <v>2909</v>
      </c>
      <c r="E1001" s="13" t="s">
        <v>2910</v>
      </c>
      <c r="F1001" s="13" t="s">
        <v>213</v>
      </c>
      <c r="G1001" s="13" t="s">
        <v>111</v>
      </c>
      <c r="H1001" s="16">
        <v>43991</v>
      </c>
      <c r="I1001" s="16">
        <v>43999</v>
      </c>
      <c r="J1001" s="22">
        <v>15</v>
      </c>
      <c r="K1001" s="22">
        <v>15</v>
      </c>
      <c r="L1001" s="22" t="s">
        <v>2911</v>
      </c>
      <c r="M1001" s="26" t="s">
        <v>98</v>
      </c>
      <c r="N1001" s="13" t="s">
        <v>230</v>
      </c>
      <c r="O1001" s="13" t="s">
        <v>484</v>
      </c>
      <c r="P1001" s="13" t="s">
        <v>60</v>
      </c>
      <c r="Q1001" s="13" t="s">
        <v>41</v>
      </c>
      <c r="R1001" s="13" t="s">
        <v>270</v>
      </c>
      <c r="S1001" s="13" t="s">
        <v>2912</v>
      </c>
      <c r="T1001" s="13" t="s">
        <v>2913</v>
      </c>
      <c r="U1001" s="13"/>
      <c r="V1001" s="13"/>
      <c r="W1001" s="13"/>
      <c r="X1001" s="14"/>
      <c r="AL1001" s="14">
        <v>15</v>
      </c>
      <c r="AN1001" s="7" t="s">
        <v>167</v>
      </c>
      <c r="AO1001" s="21">
        <f t="shared" si="49"/>
        <v>15</v>
      </c>
      <c r="AP1001" s="7">
        <f t="shared" si="50"/>
        <v>0</v>
      </c>
      <c r="AQ1001" s="31" t="str">
        <f t="shared" si="48"/>
        <v>Complete - With Adjustment</v>
      </c>
    </row>
    <row r="1002" spans="1:43" x14ac:dyDescent="0.2">
      <c r="A1002" s="46">
        <v>992</v>
      </c>
      <c r="B1002" s="13" t="s">
        <v>266</v>
      </c>
      <c r="C1002" s="13" t="s">
        <v>504</v>
      </c>
      <c r="D1002" s="13" t="s">
        <v>805</v>
      </c>
      <c r="E1002" s="13" t="s">
        <v>2914</v>
      </c>
      <c r="F1002" s="13" t="s">
        <v>209</v>
      </c>
      <c r="G1002" s="13" t="s">
        <v>111</v>
      </c>
      <c r="H1002" s="16">
        <v>43991</v>
      </c>
      <c r="I1002" s="16">
        <v>43993</v>
      </c>
      <c r="J1002" s="22">
        <v>93.63</v>
      </c>
      <c r="K1002" s="22">
        <v>93.63</v>
      </c>
      <c r="L1002" s="22" t="s">
        <v>2915</v>
      </c>
      <c r="M1002" s="26" t="s">
        <v>98</v>
      </c>
      <c r="N1002" s="13" t="s">
        <v>230</v>
      </c>
      <c r="O1002" s="13" t="s">
        <v>484</v>
      </c>
      <c r="P1002" s="13" t="s">
        <v>60</v>
      </c>
      <c r="Q1002" s="13" t="s">
        <v>46</v>
      </c>
      <c r="R1002" s="13" t="s">
        <v>270</v>
      </c>
      <c r="S1002" s="13" t="s">
        <v>2916</v>
      </c>
      <c r="T1002" s="13" t="s">
        <v>2917</v>
      </c>
      <c r="U1002" s="13"/>
      <c r="V1002" s="13"/>
      <c r="W1002" s="13"/>
      <c r="X1002" s="14"/>
      <c r="AI1002" s="53">
        <v>93.63</v>
      </c>
      <c r="AN1002" s="7" t="s">
        <v>145</v>
      </c>
      <c r="AO1002" s="21">
        <f t="shared" si="49"/>
        <v>93.63</v>
      </c>
      <c r="AP1002" s="7">
        <f t="shared" si="50"/>
        <v>0</v>
      </c>
      <c r="AQ1002" s="31" t="str">
        <f t="shared" si="48"/>
        <v>Complete - With Adjustment</v>
      </c>
    </row>
    <row r="1003" spans="1:43" x14ac:dyDescent="0.2">
      <c r="A1003" s="46">
        <v>993</v>
      </c>
      <c r="B1003" s="13" t="s">
        <v>266</v>
      </c>
      <c r="C1003" s="13" t="s">
        <v>504</v>
      </c>
      <c r="D1003" s="13" t="s">
        <v>805</v>
      </c>
      <c r="E1003" s="13" t="s">
        <v>2918</v>
      </c>
      <c r="F1003" s="13" t="s">
        <v>207</v>
      </c>
      <c r="G1003" s="13" t="s">
        <v>111</v>
      </c>
      <c r="H1003" s="16">
        <v>43985</v>
      </c>
      <c r="I1003" s="16">
        <v>43987</v>
      </c>
      <c r="J1003" s="22">
        <v>233.77</v>
      </c>
      <c r="K1003" s="22">
        <v>6.5</v>
      </c>
      <c r="L1003" s="22" t="s">
        <v>2919</v>
      </c>
      <c r="M1003" s="26" t="s">
        <v>98</v>
      </c>
      <c r="N1003" s="13" t="s">
        <v>230</v>
      </c>
      <c r="O1003" s="13" t="s">
        <v>983</v>
      </c>
      <c r="P1003" s="13" t="s">
        <v>406</v>
      </c>
      <c r="Q1003" s="13" t="s">
        <v>57</v>
      </c>
      <c r="R1003" s="13" t="s">
        <v>270</v>
      </c>
      <c r="S1003" s="13" t="s">
        <v>2920</v>
      </c>
      <c r="T1003" s="13" t="s">
        <v>2921</v>
      </c>
      <c r="U1003" s="13" t="s">
        <v>986</v>
      </c>
      <c r="V1003" s="13" t="s">
        <v>406</v>
      </c>
      <c r="W1003" s="13" t="s">
        <v>58</v>
      </c>
      <c r="X1003" s="14"/>
      <c r="AN1003" s="7" t="s">
        <v>70</v>
      </c>
      <c r="AO1003" s="21">
        <f t="shared" si="49"/>
        <v>0</v>
      </c>
      <c r="AP1003" s="7">
        <f t="shared" si="50"/>
        <v>6.5</v>
      </c>
      <c r="AQ1003" s="31" t="str">
        <f t="shared" si="48"/>
        <v>Complete - No Adjustment</v>
      </c>
    </row>
    <row r="1004" spans="1:43" x14ac:dyDescent="0.2">
      <c r="A1004" s="46">
        <v>994</v>
      </c>
      <c r="B1004" s="13" t="s">
        <v>266</v>
      </c>
      <c r="C1004" s="13" t="s">
        <v>504</v>
      </c>
      <c r="D1004" s="13" t="s">
        <v>805</v>
      </c>
      <c r="E1004" s="13" t="s">
        <v>2918</v>
      </c>
      <c r="F1004" s="13" t="s">
        <v>207</v>
      </c>
      <c r="G1004" s="13" t="s">
        <v>111</v>
      </c>
      <c r="H1004" s="16">
        <v>43985</v>
      </c>
      <c r="I1004" s="16">
        <v>43987</v>
      </c>
      <c r="J1004" s="22">
        <v>233.77</v>
      </c>
      <c r="K1004" s="22">
        <v>67.849999999999994</v>
      </c>
      <c r="L1004" s="22" t="s">
        <v>2919</v>
      </c>
      <c r="M1004" s="26" t="s">
        <v>98</v>
      </c>
      <c r="N1004" s="13" t="s">
        <v>230</v>
      </c>
      <c r="O1004" s="13" t="s">
        <v>983</v>
      </c>
      <c r="P1004" s="13" t="s">
        <v>406</v>
      </c>
      <c r="Q1004" s="13" t="s">
        <v>57</v>
      </c>
      <c r="R1004" s="13" t="s">
        <v>270</v>
      </c>
      <c r="S1004" s="13" t="s">
        <v>2920</v>
      </c>
      <c r="T1004" s="13" t="s">
        <v>2922</v>
      </c>
      <c r="U1004" s="13" t="s">
        <v>986</v>
      </c>
      <c r="V1004" s="13" t="s">
        <v>406</v>
      </c>
      <c r="W1004" s="13" t="s">
        <v>58</v>
      </c>
      <c r="X1004" s="14"/>
      <c r="AN1004" s="7" t="s">
        <v>70</v>
      </c>
      <c r="AO1004" s="21">
        <f t="shared" si="49"/>
        <v>0</v>
      </c>
      <c r="AP1004" s="7">
        <f t="shared" si="50"/>
        <v>67.849999999999994</v>
      </c>
      <c r="AQ1004" s="31" t="str">
        <f t="shared" si="48"/>
        <v>Complete - No Adjustment</v>
      </c>
    </row>
    <row r="1005" spans="1:43" x14ac:dyDescent="0.2">
      <c r="A1005" s="46">
        <v>995</v>
      </c>
      <c r="B1005" s="13" t="s">
        <v>266</v>
      </c>
      <c r="C1005" s="13" t="s">
        <v>504</v>
      </c>
      <c r="D1005" s="13" t="s">
        <v>805</v>
      </c>
      <c r="E1005" s="13" t="s">
        <v>2918</v>
      </c>
      <c r="F1005" s="13" t="s">
        <v>207</v>
      </c>
      <c r="G1005" s="13" t="s">
        <v>111</v>
      </c>
      <c r="H1005" s="16">
        <v>43985</v>
      </c>
      <c r="I1005" s="16">
        <v>43987</v>
      </c>
      <c r="J1005" s="22">
        <v>233.77</v>
      </c>
      <c r="K1005" s="22">
        <v>8.31</v>
      </c>
      <c r="L1005" s="22" t="s">
        <v>2919</v>
      </c>
      <c r="M1005" s="26" t="s">
        <v>98</v>
      </c>
      <c r="N1005" s="13" t="s">
        <v>230</v>
      </c>
      <c r="O1005" s="13" t="s">
        <v>983</v>
      </c>
      <c r="P1005" s="13" t="s">
        <v>406</v>
      </c>
      <c r="Q1005" s="13" t="s">
        <v>57</v>
      </c>
      <c r="R1005" s="13" t="s">
        <v>270</v>
      </c>
      <c r="S1005" s="13" t="s">
        <v>2920</v>
      </c>
      <c r="T1005" s="13" t="s">
        <v>2923</v>
      </c>
      <c r="U1005" s="13" t="s">
        <v>986</v>
      </c>
      <c r="V1005" s="13" t="s">
        <v>406</v>
      </c>
      <c r="W1005" s="13" t="s">
        <v>58</v>
      </c>
      <c r="X1005" s="14"/>
      <c r="AN1005" s="7" t="s">
        <v>70</v>
      </c>
      <c r="AO1005" s="21">
        <f t="shared" si="49"/>
        <v>0</v>
      </c>
      <c r="AP1005" s="7">
        <f t="shared" si="50"/>
        <v>8.31</v>
      </c>
      <c r="AQ1005" s="31" t="str">
        <f t="shared" si="48"/>
        <v>Complete - No Adjustment</v>
      </c>
    </row>
    <row r="1006" spans="1:43" x14ac:dyDescent="0.2">
      <c r="A1006" s="46">
        <v>996</v>
      </c>
      <c r="B1006" s="13" t="s">
        <v>266</v>
      </c>
      <c r="C1006" s="13" t="s">
        <v>504</v>
      </c>
      <c r="D1006" s="13" t="s">
        <v>805</v>
      </c>
      <c r="E1006" s="13" t="s">
        <v>2918</v>
      </c>
      <c r="F1006" s="13" t="s">
        <v>207</v>
      </c>
      <c r="G1006" s="13" t="s">
        <v>111</v>
      </c>
      <c r="H1006" s="16">
        <v>43985</v>
      </c>
      <c r="I1006" s="16">
        <v>43987</v>
      </c>
      <c r="J1006" s="22">
        <v>233.77</v>
      </c>
      <c r="K1006" s="22">
        <v>44</v>
      </c>
      <c r="L1006" s="22" t="s">
        <v>2919</v>
      </c>
      <c r="M1006" s="26" t="s">
        <v>98</v>
      </c>
      <c r="N1006" s="13" t="s">
        <v>230</v>
      </c>
      <c r="O1006" s="13" t="s">
        <v>983</v>
      </c>
      <c r="P1006" s="13" t="s">
        <v>406</v>
      </c>
      <c r="Q1006" s="13" t="s">
        <v>57</v>
      </c>
      <c r="R1006" s="13" t="s">
        <v>270</v>
      </c>
      <c r="S1006" s="13" t="s">
        <v>2920</v>
      </c>
      <c r="T1006" s="13" t="s">
        <v>2924</v>
      </c>
      <c r="U1006" s="13" t="s">
        <v>986</v>
      </c>
      <c r="V1006" s="13" t="s">
        <v>406</v>
      </c>
      <c r="W1006" s="13" t="s">
        <v>58</v>
      </c>
      <c r="X1006" s="14"/>
      <c r="AN1006" s="7" t="s">
        <v>70</v>
      </c>
      <c r="AO1006" s="21">
        <f t="shared" si="49"/>
        <v>0</v>
      </c>
      <c r="AP1006" s="7">
        <f t="shared" si="50"/>
        <v>44</v>
      </c>
      <c r="AQ1006" s="31" t="str">
        <f t="shared" si="48"/>
        <v>Complete - No Adjustment</v>
      </c>
    </row>
    <row r="1007" spans="1:43" x14ac:dyDescent="0.2">
      <c r="A1007" s="46">
        <v>997</v>
      </c>
      <c r="B1007" s="13" t="s">
        <v>266</v>
      </c>
      <c r="C1007" s="13" t="s">
        <v>504</v>
      </c>
      <c r="D1007" s="13" t="s">
        <v>805</v>
      </c>
      <c r="E1007" s="13" t="s">
        <v>2918</v>
      </c>
      <c r="F1007" s="13" t="s">
        <v>207</v>
      </c>
      <c r="G1007" s="13" t="s">
        <v>111</v>
      </c>
      <c r="H1007" s="16">
        <v>43985</v>
      </c>
      <c r="I1007" s="16">
        <v>43987</v>
      </c>
      <c r="J1007" s="22">
        <v>233.77</v>
      </c>
      <c r="K1007" s="22">
        <v>8.2899999999999991</v>
      </c>
      <c r="L1007" s="22" t="s">
        <v>2919</v>
      </c>
      <c r="M1007" s="26" t="s">
        <v>98</v>
      </c>
      <c r="N1007" s="13" t="s">
        <v>230</v>
      </c>
      <c r="O1007" s="13" t="s">
        <v>983</v>
      </c>
      <c r="P1007" s="13" t="s">
        <v>406</v>
      </c>
      <c r="Q1007" s="13" t="s">
        <v>57</v>
      </c>
      <c r="R1007" s="13" t="s">
        <v>270</v>
      </c>
      <c r="S1007" s="13" t="s">
        <v>2920</v>
      </c>
      <c r="T1007" s="13" t="s">
        <v>2925</v>
      </c>
      <c r="U1007" s="13" t="s">
        <v>986</v>
      </c>
      <c r="V1007" s="13" t="s">
        <v>406</v>
      </c>
      <c r="W1007" s="13" t="s">
        <v>58</v>
      </c>
      <c r="X1007" s="14"/>
      <c r="AN1007" s="7" t="s">
        <v>70</v>
      </c>
      <c r="AO1007" s="21">
        <f t="shared" si="49"/>
        <v>0</v>
      </c>
      <c r="AP1007" s="7">
        <f t="shared" si="50"/>
        <v>8.2899999999999991</v>
      </c>
      <c r="AQ1007" s="31" t="str">
        <f t="shared" si="48"/>
        <v>Complete - No Adjustment</v>
      </c>
    </row>
    <row r="1008" spans="1:43" x14ac:dyDescent="0.2">
      <c r="A1008" s="46">
        <v>998</v>
      </c>
      <c r="B1008" s="13" t="s">
        <v>266</v>
      </c>
      <c r="C1008" s="13" t="s">
        <v>504</v>
      </c>
      <c r="D1008" s="13" t="s">
        <v>805</v>
      </c>
      <c r="E1008" s="13" t="s">
        <v>2918</v>
      </c>
      <c r="F1008" s="13" t="s">
        <v>207</v>
      </c>
      <c r="G1008" s="13" t="s">
        <v>111</v>
      </c>
      <c r="H1008" s="16">
        <v>43985</v>
      </c>
      <c r="I1008" s="16">
        <v>43987</v>
      </c>
      <c r="J1008" s="22">
        <v>233.77</v>
      </c>
      <c r="K1008" s="22">
        <v>27.05</v>
      </c>
      <c r="L1008" s="22" t="s">
        <v>2919</v>
      </c>
      <c r="M1008" s="26" t="s">
        <v>98</v>
      </c>
      <c r="N1008" s="13" t="s">
        <v>230</v>
      </c>
      <c r="O1008" s="13" t="s">
        <v>983</v>
      </c>
      <c r="P1008" s="13" t="s">
        <v>406</v>
      </c>
      <c r="Q1008" s="13" t="s">
        <v>57</v>
      </c>
      <c r="R1008" s="13" t="s">
        <v>270</v>
      </c>
      <c r="S1008" s="13" t="s">
        <v>2920</v>
      </c>
      <c r="T1008" s="13" t="s">
        <v>2926</v>
      </c>
      <c r="U1008" s="13" t="s">
        <v>986</v>
      </c>
      <c r="V1008" s="13" t="s">
        <v>406</v>
      </c>
      <c r="W1008" s="13" t="s">
        <v>58</v>
      </c>
      <c r="X1008" s="14"/>
      <c r="AN1008" s="7" t="s">
        <v>70</v>
      </c>
      <c r="AO1008" s="21">
        <f t="shared" si="49"/>
        <v>0</v>
      </c>
      <c r="AP1008" s="7">
        <f t="shared" si="50"/>
        <v>27.05</v>
      </c>
      <c r="AQ1008" s="31" t="str">
        <f t="shared" si="48"/>
        <v>Complete - No Adjustment</v>
      </c>
    </row>
    <row r="1009" spans="1:43" x14ac:dyDescent="0.2">
      <c r="A1009" s="46">
        <v>999</v>
      </c>
      <c r="B1009" s="13" t="s">
        <v>266</v>
      </c>
      <c r="C1009" s="13" t="s">
        <v>504</v>
      </c>
      <c r="D1009" s="13" t="s">
        <v>805</v>
      </c>
      <c r="E1009" s="13" t="s">
        <v>2918</v>
      </c>
      <c r="F1009" s="13" t="s">
        <v>207</v>
      </c>
      <c r="G1009" s="13" t="s">
        <v>111</v>
      </c>
      <c r="H1009" s="16">
        <v>43985</v>
      </c>
      <c r="I1009" s="16">
        <v>43987</v>
      </c>
      <c r="J1009" s="22">
        <v>233.77</v>
      </c>
      <c r="K1009" s="22">
        <v>8.31</v>
      </c>
      <c r="L1009" s="22" t="s">
        <v>2919</v>
      </c>
      <c r="M1009" s="26" t="s">
        <v>98</v>
      </c>
      <c r="N1009" s="13" t="s">
        <v>230</v>
      </c>
      <c r="O1009" s="13" t="s">
        <v>983</v>
      </c>
      <c r="P1009" s="13" t="s">
        <v>406</v>
      </c>
      <c r="Q1009" s="13" t="s">
        <v>57</v>
      </c>
      <c r="R1009" s="13" t="s">
        <v>270</v>
      </c>
      <c r="S1009" s="13" t="s">
        <v>2920</v>
      </c>
      <c r="T1009" s="13" t="s">
        <v>2927</v>
      </c>
      <c r="U1009" s="13" t="s">
        <v>986</v>
      </c>
      <c r="V1009" s="13" t="s">
        <v>406</v>
      </c>
      <c r="W1009" s="13" t="s">
        <v>58</v>
      </c>
      <c r="X1009" s="14"/>
      <c r="AN1009" s="7" t="s">
        <v>70</v>
      </c>
      <c r="AO1009" s="21">
        <f t="shared" si="49"/>
        <v>0</v>
      </c>
      <c r="AP1009" s="7">
        <f t="shared" si="50"/>
        <v>8.31</v>
      </c>
      <c r="AQ1009" s="31" t="str">
        <f t="shared" si="48"/>
        <v>Complete - No Adjustment</v>
      </c>
    </row>
    <row r="1010" spans="1:43" x14ac:dyDescent="0.2">
      <c r="A1010" s="46">
        <v>1000</v>
      </c>
      <c r="B1010" s="13" t="s">
        <v>266</v>
      </c>
      <c r="C1010" s="13" t="s">
        <v>504</v>
      </c>
      <c r="D1010" s="13" t="s">
        <v>805</v>
      </c>
      <c r="E1010" s="13" t="s">
        <v>2918</v>
      </c>
      <c r="F1010" s="13" t="s">
        <v>207</v>
      </c>
      <c r="G1010" s="13" t="s">
        <v>111</v>
      </c>
      <c r="H1010" s="16">
        <v>43985</v>
      </c>
      <c r="I1010" s="16">
        <v>43987</v>
      </c>
      <c r="J1010" s="22">
        <v>233.77</v>
      </c>
      <c r="K1010" s="22">
        <v>8.31</v>
      </c>
      <c r="L1010" s="22" t="s">
        <v>2919</v>
      </c>
      <c r="M1010" s="26" t="s">
        <v>98</v>
      </c>
      <c r="N1010" s="13" t="s">
        <v>230</v>
      </c>
      <c r="O1010" s="13" t="s">
        <v>983</v>
      </c>
      <c r="P1010" s="13" t="s">
        <v>406</v>
      </c>
      <c r="Q1010" s="13" t="s">
        <v>57</v>
      </c>
      <c r="R1010" s="13" t="s">
        <v>270</v>
      </c>
      <c r="S1010" s="13" t="s">
        <v>2920</v>
      </c>
      <c r="T1010" s="13" t="s">
        <v>2928</v>
      </c>
      <c r="U1010" s="13" t="s">
        <v>986</v>
      </c>
      <c r="V1010" s="13" t="s">
        <v>406</v>
      </c>
      <c r="W1010" s="13" t="s">
        <v>58</v>
      </c>
      <c r="X1010" s="14"/>
      <c r="AN1010" s="7" t="s">
        <v>70</v>
      </c>
      <c r="AO1010" s="21">
        <f t="shared" si="49"/>
        <v>0</v>
      </c>
      <c r="AP1010" s="7">
        <f t="shared" si="50"/>
        <v>8.31</v>
      </c>
      <c r="AQ1010" s="31" t="str">
        <f t="shared" si="48"/>
        <v>Complete - No Adjustment</v>
      </c>
    </row>
    <row r="1011" spans="1:43" x14ac:dyDescent="0.2">
      <c r="A1011" s="46">
        <v>1001</v>
      </c>
      <c r="B1011" s="13" t="s">
        <v>266</v>
      </c>
      <c r="C1011" s="13" t="s">
        <v>504</v>
      </c>
      <c r="D1011" s="13" t="s">
        <v>805</v>
      </c>
      <c r="E1011" s="13" t="s">
        <v>2918</v>
      </c>
      <c r="F1011" s="13" t="s">
        <v>207</v>
      </c>
      <c r="G1011" s="13" t="s">
        <v>111</v>
      </c>
      <c r="H1011" s="16">
        <v>43985</v>
      </c>
      <c r="I1011" s="16">
        <v>43987</v>
      </c>
      <c r="J1011" s="22">
        <v>233.77</v>
      </c>
      <c r="K1011" s="22">
        <v>55.15</v>
      </c>
      <c r="L1011" s="22" t="s">
        <v>2919</v>
      </c>
      <c r="M1011" s="26" t="s">
        <v>98</v>
      </c>
      <c r="N1011" s="13" t="s">
        <v>230</v>
      </c>
      <c r="O1011" s="13" t="s">
        <v>983</v>
      </c>
      <c r="P1011" s="13" t="s">
        <v>406</v>
      </c>
      <c r="Q1011" s="13" t="s">
        <v>57</v>
      </c>
      <c r="R1011" s="13" t="s">
        <v>270</v>
      </c>
      <c r="S1011" s="13" t="s">
        <v>2920</v>
      </c>
      <c r="T1011" s="13" t="s">
        <v>2921</v>
      </c>
      <c r="U1011" s="13" t="s">
        <v>986</v>
      </c>
      <c r="V1011" s="13" t="s">
        <v>406</v>
      </c>
      <c r="W1011" s="13" t="s">
        <v>58</v>
      </c>
      <c r="X1011" s="14"/>
      <c r="AN1011" s="7" t="s">
        <v>70</v>
      </c>
      <c r="AO1011" s="21">
        <f t="shared" si="49"/>
        <v>0</v>
      </c>
      <c r="AP1011" s="7">
        <f t="shared" si="50"/>
        <v>55.15</v>
      </c>
      <c r="AQ1011" s="31" t="str">
        <f t="shared" si="48"/>
        <v>Complete - No Adjustment</v>
      </c>
    </row>
    <row r="1012" spans="1:43" x14ac:dyDescent="0.2">
      <c r="A1012" s="46">
        <v>1002</v>
      </c>
      <c r="B1012" s="13" t="s">
        <v>266</v>
      </c>
      <c r="C1012" s="13" t="s">
        <v>504</v>
      </c>
      <c r="D1012" s="13" t="s">
        <v>805</v>
      </c>
      <c r="E1012" s="13" t="s">
        <v>2929</v>
      </c>
      <c r="F1012" s="13" t="s">
        <v>210</v>
      </c>
      <c r="G1012" s="13" t="s">
        <v>111</v>
      </c>
      <c r="H1012" s="16">
        <v>43997</v>
      </c>
      <c r="I1012" s="16">
        <v>44005</v>
      </c>
      <c r="J1012" s="22">
        <v>453.48</v>
      </c>
      <c r="K1012" s="22">
        <v>73.47</v>
      </c>
      <c r="L1012" s="22" t="s">
        <v>2930</v>
      </c>
      <c r="M1012" s="26" t="s">
        <v>98</v>
      </c>
      <c r="N1012" s="13" t="s">
        <v>230</v>
      </c>
      <c r="O1012" s="13" t="s">
        <v>365</v>
      </c>
      <c r="P1012" s="13" t="s">
        <v>60</v>
      </c>
      <c r="Q1012" s="13" t="s">
        <v>46</v>
      </c>
      <c r="R1012" s="13" t="s">
        <v>270</v>
      </c>
      <c r="S1012" s="13" t="s">
        <v>2931</v>
      </c>
      <c r="T1012" s="13" t="s">
        <v>2932</v>
      </c>
      <c r="U1012" s="13"/>
      <c r="V1012" s="13"/>
      <c r="W1012" s="13"/>
      <c r="X1012" s="14"/>
      <c r="AI1012" s="53">
        <v>73</v>
      </c>
      <c r="AN1012" s="7" t="s">
        <v>145</v>
      </c>
      <c r="AO1012" s="21">
        <f t="shared" si="49"/>
        <v>73</v>
      </c>
      <c r="AP1012" s="7">
        <f t="shared" si="50"/>
        <v>0.46999999999999886</v>
      </c>
      <c r="AQ1012" s="31" t="str">
        <f t="shared" si="48"/>
        <v>Complete - With Adjustment</v>
      </c>
    </row>
    <row r="1013" spans="1:43" x14ac:dyDescent="0.2">
      <c r="A1013" s="46">
        <v>1003</v>
      </c>
      <c r="B1013" s="13" t="s">
        <v>266</v>
      </c>
      <c r="C1013" s="13" t="s">
        <v>504</v>
      </c>
      <c r="D1013" s="13" t="s">
        <v>805</v>
      </c>
      <c r="E1013" s="13" t="s">
        <v>2929</v>
      </c>
      <c r="F1013" s="13" t="s">
        <v>210</v>
      </c>
      <c r="G1013" s="13" t="s">
        <v>111</v>
      </c>
      <c r="H1013" s="16">
        <v>43997</v>
      </c>
      <c r="I1013" s="16">
        <v>44005</v>
      </c>
      <c r="J1013" s="22">
        <v>453.48</v>
      </c>
      <c r="K1013" s="22">
        <v>21.86</v>
      </c>
      <c r="L1013" s="22" t="s">
        <v>2930</v>
      </c>
      <c r="M1013" s="26" t="s">
        <v>98</v>
      </c>
      <c r="N1013" s="13" t="s">
        <v>230</v>
      </c>
      <c r="O1013" s="13" t="s">
        <v>507</v>
      </c>
      <c r="P1013" s="13" t="s">
        <v>60</v>
      </c>
      <c r="Q1013" s="13" t="s">
        <v>46</v>
      </c>
      <c r="R1013" s="13" t="s">
        <v>270</v>
      </c>
      <c r="S1013" s="13" t="s">
        <v>2931</v>
      </c>
      <c r="T1013" s="13" t="s">
        <v>2933</v>
      </c>
      <c r="U1013" s="13"/>
      <c r="V1013" s="13"/>
      <c r="W1013" s="13"/>
      <c r="X1013" s="14"/>
      <c r="AI1013" s="53">
        <v>21.86</v>
      </c>
      <c r="AN1013" s="7" t="s">
        <v>145</v>
      </c>
      <c r="AO1013" s="21">
        <f t="shared" si="49"/>
        <v>21.86</v>
      </c>
      <c r="AP1013" s="7">
        <f t="shared" si="50"/>
        <v>0</v>
      </c>
      <c r="AQ1013" s="31" t="str">
        <f t="shared" si="48"/>
        <v>Complete - With Adjustment</v>
      </c>
    </row>
    <row r="1014" spans="1:43" x14ac:dyDescent="0.2">
      <c r="A1014" s="46">
        <v>1004</v>
      </c>
      <c r="B1014" s="13" t="s">
        <v>266</v>
      </c>
      <c r="C1014" s="13" t="s">
        <v>504</v>
      </c>
      <c r="D1014" s="13" t="s">
        <v>805</v>
      </c>
      <c r="E1014" s="13" t="s">
        <v>2929</v>
      </c>
      <c r="F1014" s="13" t="s">
        <v>210</v>
      </c>
      <c r="G1014" s="13" t="s">
        <v>111</v>
      </c>
      <c r="H1014" s="16">
        <v>43997</v>
      </c>
      <c r="I1014" s="16">
        <v>44005</v>
      </c>
      <c r="J1014" s="22">
        <v>453.48</v>
      </c>
      <c r="K1014" s="22">
        <v>24.62</v>
      </c>
      <c r="L1014" s="22" t="s">
        <v>2930</v>
      </c>
      <c r="M1014" s="26" t="s">
        <v>98</v>
      </c>
      <c r="N1014" s="13" t="s">
        <v>230</v>
      </c>
      <c r="O1014" s="13" t="s">
        <v>507</v>
      </c>
      <c r="P1014" s="13" t="s">
        <v>60</v>
      </c>
      <c r="Q1014" s="13" t="s">
        <v>46</v>
      </c>
      <c r="R1014" s="13" t="s">
        <v>270</v>
      </c>
      <c r="S1014" s="13" t="s">
        <v>2931</v>
      </c>
      <c r="T1014" s="13" t="s">
        <v>2933</v>
      </c>
      <c r="U1014" s="13"/>
      <c r="V1014" s="13"/>
      <c r="W1014" s="13"/>
      <c r="X1014" s="14"/>
      <c r="AL1014" s="14">
        <v>24.62</v>
      </c>
      <c r="AN1014" s="7" t="s">
        <v>146</v>
      </c>
      <c r="AO1014" s="21">
        <f t="shared" si="49"/>
        <v>24.62</v>
      </c>
      <c r="AP1014" s="7">
        <f t="shared" si="50"/>
        <v>0</v>
      </c>
      <c r="AQ1014" s="31" t="str">
        <f t="shared" si="48"/>
        <v>Complete - With Adjustment</v>
      </c>
    </row>
    <row r="1015" spans="1:43" x14ac:dyDescent="0.2">
      <c r="A1015" s="46">
        <v>1005</v>
      </c>
      <c r="B1015" s="13" t="s">
        <v>266</v>
      </c>
      <c r="C1015" s="13" t="s">
        <v>504</v>
      </c>
      <c r="D1015" s="13" t="s">
        <v>805</v>
      </c>
      <c r="E1015" s="13" t="s">
        <v>2929</v>
      </c>
      <c r="F1015" s="13" t="s">
        <v>210</v>
      </c>
      <c r="G1015" s="13" t="s">
        <v>111</v>
      </c>
      <c r="H1015" s="16">
        <v>43997</v>
      </c>
      <c r="I1015" s="16">
        <v>44005</v>
      </c>
      <c r="J1015" s="22">
        <v>453.48</v>
      </c>
      <c r="K1015" s="22">
        <v>27.93</v>
      </c>
      <c r="L1015" s="22" t="s">
        <v>2930</v>
      </c>
      <c r="M1015" s="26" t="s">
        <v>98</v>
      </c>
      <c r="N1015" s="13" t="s">
        <v>230</v>
      </c>
      <c r="O1015" s="13" t="s">
        <v>365</v>
      </c>
      <c r="P1015" s="13" t="s">
        <v>60</v>
      </c>
      <c r="Q1015" s="13" t="s">
        <v>46</v>
      </c>
      <c r="R1015" s="13" t="s">
        <v>270</v>
      </c>
      <c r="S1015" s="13" t="s">
        <v>2931</v>
      </c>
      <c r="T1015" s="13" t="s">
        <v>2934</v>
      </c>
      <c r="U1015" s="13"/>
      <c r="V1015" s="13"/>
      <c r="W1015" s="13"/>
      <c r="X1015" s="14"/>
      <c r="AI1015" s="53">
        <v>27.93</v>
      </c>
      <c r="AN1015" s="7" t="s">
        <v>145</v>
      </c>
      <c r="AO1015" s="21">
        <f t="shared" si="49"/>
        <v>27.93</v>
      </c>
      <c r="AP1015" s="7">
        <f t="shared" si="50"/>
        <v>0</v>
      </c>
      <c r="AQ1015" s="31" t="str">
        <f t="shared" si="48"/>
        <v>Complete - With Adjustment</v>
      </c>
    </row>
    <row r="1016" spans="1:43" x14ac:dyDescent="0.2">
      <c r="A1016" s="46">
        <v>1006</v>
      </c>
      <c r="B1016" s="13" t="s">
        <v>266</v>
      </c>
      <c r="C1016" s="13" t="s">
        <v>504</v>
      </c>
      <c r="D1016" s="13" t="s">
        <v>805</v>
      </c>
      <c r="E1016" s="13" t="s">
        <v>2929</v>
      </c>
      <c r="F1016" s="13" t="s">
        <v>210</v>
      </c>
      <c r="G1016" s="13" t="s">
        <v>111</v>
      </c>
      <c r="H1016" s="16">
        <v>43997</v>
      </c>
      <c r="I1016" s="16">
        <v>44005</v>
      </c>
      <c r="J1016" s="22">
        <v>453.48</v>
      </c>
      <c r="K1016" s="22">
        <v>33.880000000000003</v>
      </c>
      <c r="L1016" s="22" t="s">
        <v>2930</v>
      </c>
      <c r="M1016" s="26" t="s">
        <v>98</v>
      </c>
      <c r="N1016" s="13" t="s">
        <v>230</v>
      </c>
      <c r="O1016" s="13" t="s">
        <v>507</v>
      </c>
      <c r="P1016" s="13" t="s">
        <v>60</v>
      </c>
      <c r="Q1016" s="13" t="s">
        <v>46</v>
      </c>
      <c r="R1016" s="13" t="s">
        <v>270</v>
      </c>
      <c r="S1016" s="13" t="s">
        <v>2931</v>
      </c>
      <c r="T1016" s="13" t="s">
        <v>2933</v>
      </c>
      <c r="U1016" s="13"/>
      <c r="V1016" s="13"/>
      <c r="W1016" s="13"/>
      <c r="X1016" s="14"/>
      <c r="AI1016" s="53">
        <v>33.880000000000003</v>
      </c>
      <c r="AN1016" s="7" t="s">
        <v>145</v>
      </c>
      <c r="AO1016" s="21">
        <f t="shared" si="49"/>
        <v>33.880000000000003</v>
      </c>
      <c r="AP1016" s="7">
        <f t="shared" si="50"/>
        <v>0</v>
      </c>
      <c r="AQ1016" s="31" t="str">
        <f t="shared" si="48"/>
        <v>Complete - With Adjustment</v>
      </c>
    </row>
    <row r="1017" spans="1:43" x14ac:dyDescent="0.2">
      <c r="A1017" s="46">
        <v>1007</v>
      </c>
      <c r="B1017" s="13" t="s">
        <v>266</v>
      </c>
      <c r="C1017" s="13" t="s">
        <v>504</v>
      </c>
      <c r="D1017" s="13" t="s">
        <v>805</v>
      </c>
      <c r="E1017" s="13" t="s">
        <v>2929</v>
      </c>
      <c r="F1017" s="13" t="s">
        <v>210</v>
      </c>
      <c r="G1017" s="13" t="s">
        <v>111</v>
      </c>
      <c r="H1017" s="16">
        <v>43997</v>
      </c>
      <c r="I1017" s="16">
        <v>44005</v>
      </c>
      <c r="J1017" s="22">
        <v>453.48</v>
      </c>
      <c r="K1017" s="22">
        <v>84.54</v>
      </c>
      <c r="L1017" s="22" t="s">
        <v>2930</v>
      </c>
      <c r="M1017" s="26" t="s">
        <v>98</v>
      </c>
      <c r="N1017" s="13" t="s">
        <v>230</v>
      </c>
      <c r="O1017" s="13" t="s">
        <v>365</v>
      </c>
      <c r="P1017" s="13" t="s">
        <v>60</v>
      </c>
      <c r="Q1017" s="13" t="s">
        <v>46</v>
      </c>
      <c r="R1017" s="13" t="s">
        <v>270</v>
      </c>
      <c r="S1017" s="13" t="s">
        <v>2931</v>
      </c>
      <c r="T1017" s="13" t="s">
        <v>2932</v>
      </c>
      <c r="U1017" s="13"/>
      <c r="V1017" s="13"/>
      <c r="W1017" s="13"/>
      <c r="X1017" s="14"/>
      <c r="AI1017" s="53">
        <v>84.54</v>
      </c>
      <c r="AN1017" s="7" t="s">
        <v>145</v>
      </c>
      <c r="AO1017" s="21">
        <f t="shared" si="49"/>
        <v>84.54</v>
      </c>
      <c r="AP1017" s="7">
        <f t="shared" si="50"/>
        <v>0</v>
      </c>
      <c r="AQ1017" s="31" t="str">
        <f t="shared" si="48"/>
        <v>Complete - With Adjustment</v>
      </c>
    </row>
    <row r="1018" spans="1:43" x14ac:dyDescent="0.2">
      <c r="A1018" s="46">
        <v>1008</v>
      </c>
      <c r="B1018" s="13" t="s">
        <v>266</v>
      </c>
      <c r="C1018" s="13" t="s">
        <v>504</v>
      </c>
      <c r="D1018" s="13" t="s">
        <v>805</v>
      </c>
      <c r="E1018" s="13" t="s">
        <v>2929</v>
      </c>
      <c r="F1018" s="13" t="s">
        <v>210</v>
      </c>
      <c r="G1018" s="13" t="s">
        <v>111</v>
      </c>
      <c r="H1018" s="16">
        <v>43997</v>
      </c>
      <c r="I1018" s="16">
        <v>44005</v>
      </c>
      <c r="J1018" s="22">
        <v>453.48</v>
      </c>
      <c r="K1018" s="22">
        <v>28.64</v>
      </c>
      <c r="L1018" s="22" t="s">
        <v>2930</v>
      </c>
      <c r="M1018" s="26" t="s">
        <v>98</v>
      </c>
      <c r="N1018" s="13" t="s">
        <v>230</v>
      </c>
      <c r="O1018" s="13" t="s">
        <v>507</v>
      </c>
      <c r="P1018" s="13" t="s">
        <v>60</v>
      </c>
      <c r="Q1018" s="13" t="s">
        <v>46</v>
      </c>
      <c r="R1018" s="13" t="s">
        <v>270</v>
      </c>
      <c r="S1018" s="13" t="s">
        <v>2931</v>
      </c>
      <c r="T1018" s="13" t="s">
        <v>2933</v>
      </c>
      <c r="U1018" s="13"/>
      <c r="V1018" s="13"/>
      <c r="W1018" s="13"/>
      <c r="X1018" s="14"/>
      <c r="AI1018" s="53">
        <v>28.64</v>
      </c>
      <c r="AN1018" s="7" t="s">
        <v>145</v>
      </c>
      <c r="AO1018" s="21">
        <f t="shared" si="49"/>
        <v>28.64</v>
      </c>
      <c r="AP1018" s="7">
        <f t="shared" si="50"/>
        <v>0</v>
      </c>
      <c r="AQ1018" s="31" t="str">
        <f t="shared" si="48"/>
        <v>Complete - With Adjustment</v>
      </c>
    </row>
    <row r="1019" spans="1:43" x14ac:dyDescent="0.2">
      <c r="A1019" s="46">
        <v>1009</v>
      </c>
      <c r="B1019" s="13" t="s">
        <v>266</v>
      </c>
      <c r="C1019" s="13" t="s">
        <v>504</v>
      </c>
      <c r="D1019" s="13" t="s">
        <v>805</v>
      </c>
      <c r="E1019" s="13" t="s">
        <v>2929</v>
      </c>
      <c r="F1019" s="13" t="s">
        <v>210</v>
      </c>
      <c r="G1019" s="13" t="s">
        <v>111</v>
      </c>
      <c r="H1019" s="16">
        <v>43997</v>
      </c>
      <c r="I1019" s="16">
        <v>44005</v>
      </c>
      <c r="J1019" s="22">
        <v>453.48</v>
      </c>
      <c r="K1019" s="22">
        <v>21.22</v>
      </c>
      <c r="L1019" s="22" t="s">
        <v>2930</v>
      </c>
      <c r="M1019" s="26" t="s">
        <v>98</v>
      </c>
      <c r="N1019" s="13" t="s">
        <v>230</v>
      </c>
      <c r="O1019" s="13" t="s">
        <v>507</v>
      </c>
      <c r="P1019" s="13" t="s">
        <v>60</v>
      </c>
      <c r="Q1019" s="13" t="s">
        <v>46</v>
      </c>
      <c r="R1019" s="13" t="s">
        <v>270</v>
      </c>
      <c r="S1019" s="13" t="s">
        <v>2931</v>
      </c>
      <c r="T1019" s="13" t="s">
        <v>2933</v>
      </c>
      <c r="U1019" s="13"/>
      <c r="V1019" s="13"/>
      <c r="W1019" s="13"/>
      <c r="X1019" s="14"/>
      <c r="AI1019" s="53">
        <v>21.22</v>
      </c>
      <c r="AN1019" s="7" t="s">
        <v>145</v>
      </c>
      <c r="AO1019" s="21">
        <f t="shared" si="49"/>
        <v>21.22</v>
      </c>
      <c r="AP1019" s="7">
        <f t="shared" si="50"/>
        <v>0</v>
      </c>
      <c r="AQ1019" s="31" t="str">
        <f t="shared" si="48"/>
        <v>Complete - With Adjustment</v>
      </c>
    </row>
    <row r="1020" spans="1:43" x14ac:dyDescent="0.2">
      <c r="A1020" s="46">
        <v>1010</v>
      </c>
      <c r="B1020" s="13" t="s">
        <v>266</v>
      </c>
      <c r="C1020" s="13" t="s">
        <v>504</v>
      </c>
      <c r="D1020" s="13" t="s">
        <v>805</v>
      </c>
      <c r="E1020" s="13" t="s">
        <v>2929</v>
      </c>
      <c r="F1020" s="13" t="s">
        <v>210</v>
      </c>
      <c r="G1020" s="13" t="s">
        <v>111</v>
      </c>
      <c r="H1020" s="16">
        <v>43997</v>
      </c>
      <c r="I1020" s="16">
        <v>44005</v>
      </c>
      <c r="J1020" s="22">
        <v>453.48</v>
      </c>
      <c r="K1020" s="22">
        <v>11.09</v>
      </c>
      <c r="L1020" s="22" t="s">
        <v>2930</v>
      </c>
      <c r="M1020" s="26" t="s">
        <v>98</v>
      </c>
      <c r="N1020" s="13" t="s">
        <v>230</v>
      </c>
      <c r="O1020" s="13" t="s">
        <v>507</v>
      </c>
      <c r="P1020" s="13" t="s">
        <v>60</v>
      </c>
      <c r="Q1020" s="13" t="s">
        <v>46</v>
      </c>
      <c r="R1020" s="13" t="s">
        <v>270</v>
      </c>
      <c r="S1020" s="13" t="s">
        <v>2931</v>
      </c>
      <c r="T1020" s="13" t="s">
        <v>2935</v>
      </c>
      <c r="U1020" s="13"/>
      <c r="V1020" s="13"/>
      <c r="W1020" s="13"/>
      <c r="X1020" s="14"/>
      <c r="AN1020" s="7" t="s">
        <v>155</v>
      </c>
      <c r="AO1020" s="21">
        <f t="shared" si="49"/>
        <v>0</v>
      </c>
      <c r="AP1020" s="7">
        <f t="shared" si="50"/>
        <v>11.09</v>
      </c>
      <c r="AQ1020" s="31" t="str">
        <f t="shared" si="48"/>
        <v>Complete - No Adjustment</v>
      </c>
    </row>
    <row r="1021" spans="1:43" x14ac:dyDescent="0.2">
      <c r="A1021" s="46">
        <v>1011</v>
      </c>
      <c r="B1021" s="13" t="s">
        <v>266</v>
      </c>
      <c r="C1021" s="13" t="s">
        <v>504</v>
      </c>
      <c r="D1021" s="13" t="s">
        <v>805</v>
      </c>
      <c r="E1021" s="13" t="s">
        <v>2929</v>
      </c>
      <c r="F1021" s="13" t="s">
        <v>210</v>
      </c>
      <c r="G1021" s="13" t="s">
        <v>111</v>
      </c>
      <c r="H1021" s="16">
        <v>43997</v>
      </c>
      <c r="I1021" s="16">
        <v>44005</v>
      </c>
      <c r="J1021" s="22">
        <v>453.48</v>
      </c>
      <c r="K1021" s="22">
        <v>25.66</v>
      </c>
      <c r="L1021" s="22" t="s">
        <v>2930</v>
      </c>
      <c r="M1021" s="26" t="s">
        <v>98</v>
      </c>
      <c r="N1021" s="13" t="s">
        <v>230</v>
      </c>
      <c r="O1021" s="13" t="s">
        <v>365</v>
      </c>
      <c r="P1021" s="13" t="s">
        <v>60</v>
      </c>
      <c r="Q1021" s="13" t="s">
        <v>46</v>
      </c>
      <c r="R1021" s="13" t="s">
        <v>270</v>
      </c>
      <c r="S1021" s="13" t="s">
        <v>2931</v>
      </c>
      <c r="T1021" s="13" t="s">
        <v>2932</v>
      </c>
      <c r="U1021" s="13"/>
      <c r="V1021" s="13"/>
      <c r="W1021" s="13"/>
      <c r="X1021" s="14"/>
      <c r="AI1021" s="53">
        <v>25.66</v>
      </c>
      <c r="AN1021" s="7" t="s">
        <v>145</v>
      </c>
      <c r="AO1021" s="21">
        <f t="shared" si="49"/>
        <v>25.66</v>
      </c>
      <c r="AP1021" s="7">
        <f t="shared" si="50"/>
        <v>0</v>
      </c>
      <c r="AQ1021" s="31" t="str">
        <f t="shared" si="48"/>
        <v>Complete - With Adjustment</v>
      </c>
    </row>
    <row r="1022" spans="1:43" x14ac:dyDescent="0.2">
      <c r="A1022" s="46">
        <v>1012</v>
      </c>
      <c r="B1022" s="13" t="s">
        <v>266</v>
      </c>
      <c r="C1022" s="13" t="s">
        <v>504</v>
      </c>
      <c r="D1022" s="13" t="s">
        <v>805</v>
      </c>
      <c r="E1022" s="13" t="s">
        <v>2929</v>
      </c>
      <c r="F1022" s="13" t="s">
        <v>210</v>
      </c>
      <c r="G1022" s="13" t="s">
        <v>111</v>
      </c>
      <c r="H1022" s="16">
        <v>43997</v>
      </c>
      <c r="I1022" s="16">
        <v>44005</v>
      </c>
      <c r="J1022" s="22">
        <v>453.48</v>
      </c>
      <c r="K1022" s="22">
        <v>47.65</v>
      </c>
      <c r="L1022" s="22" t="s">
        <v>2930</v>
      </c>
      <c r="M1022" s="26" t="s">
        <v>98</v>
      </c>
      <c r="N1022" s="13" t="s">
        <v>230</v>
      </c>
      <c r="O1022" s="13" t="s">
        <v>365</v>
      </c>
      <c r="P1022" s="13" t="s">
        <v>60</v>
      </c>
      <c r="Q1022" s="13" t="s">
        <v>46</v>
      </c>
      <c r="R1022" s="13" t="s">
        <v>270</v>
      </c>
      <c r="S1022" s="13" t="s">
        <v>2931</v>
      </c>
      <c r="T1022" s="13" t="s">
        <v>2932</v>
      </c>
      <c r="U1022" s="13"/>
      <c r="V1022" s="13"/>
      <c r="W1022" s="13"/>
      <c r="X1022" s="14"/>
      <c r="AI1022" s="53">
        <v>47.65</v>
      </c>
      <c r="AN1022" s="7" t="s">
        <v>145</v>
      </c>
      <c r="AO1022" s="21">
        <f t="shared" si="49"/>
        <v>47.65</v>
      </c>
      <c r="AP1022" s="7">
        <f t="shared" si="50"/>
        <v>0</v>
      </c>
      <c r="AQ1022" s="31" t="str">
        <f t="shared" si="48"/>
        <v>Complete - With Adjustment</v>
      </c>
    </row>
    <row r="1023" spans="1:43" x14ac:dyDescent="0.2">
      <c r="A1023" s="46">
        <v>1013</v>
      </c>
      <c r="B1023" s="13" t="s">
        <v>266</v>
      </c>
      <c r="C1023" s="13" t="s">
        <v>504</v>
      </c>
      <c r="D1023" s="13" t="s">
        <v>805</v>
      </c>
      <c r="E1023" s="13" t="s">
        <v>2929</v>
      </c>
      <c r="F1023" s="13" t="s">
        <v>210</v>
      </c>
      <c r="G1023" s="13" t="s">
        <v>111</v>
      </c>
      <c r="H1023" s="16">
        <v>43997</v>
      </c>
      <c r="I1023" s="16">
        <v>44005</v>
      </c>
      <c r="J1023" s="22">
        <v>453.48</v>
      </c>
      <c r="K1023" s="22">
        <v>16.25</v>
      </c>
      <c r="L1023" s="22" t="s">
        <v>2930</v>
      </c>
      <c r="M1023" s="26" t="s">
        <v>98</v>
      </c>
      <c r="N1023" s="13" t="s">
        <v>230</v>
      </c>
      <c r="O1023" s="13" t="s">
        <v>507</v>
      </c>
      <c r="P1023" s="13" t="s">
        <v>60</v>
      </c>
      <c r="Q1023" s="13" t="s">
        <v>46</v>
      </c>
      <c r="R1023" s="13" t="s">
        <v>270</v>
      </c>
      <c r="S1023" s="13" t="s">
        <v>2931</v>
      </c>
      <c r="T1023" s="13" t="s">
        <v>2933</v>
      </c>
      <c r="U1023" s="13"/>
      <c r="V1023" s="13"/>
      <c r="W1023" s="13"/>
      <c r="X1023" s="14"/>
      <c r="AI1023" s="53">
        <v>16.25</v>
      </c>
      <c r="AN1023" s="7" t="s">
        <v>145</v>
      </c>
      <c r="AO1023" s="21">
        <f t="shared" si="49"/>
        <v>16.25</v>
      </c>
      <c r="AP1023" s="7">
        <f t="shared" si="50"/>
        <v>0</v>
      </c>
      <c r="AQ1023" s="31" t="str">
        <f t="shared" si="48"/>
        <v>Complete - With Adjustment</v>
      </c>
    </row>
    <row r="1024" spans="1:43" x14ac:dyDescent="0.2">
      <c r="A1024" s="46">
        <v>1014</v>
      </c>
      <c r="B1024" s="13" t="s">
        <v>266</v>
      </c>
      <c r="C1024" s="13" t="s">
        <v>504</v>
      </c>
      <c r="D1024" s="13" t="s">
        <v>805</v>
      </c>
      <c r="E1024" s="13" t="s">
        <v>2929</v>
      </c>
      <c r="F1024" s="13" t="s">
        <v>210</v>
      </c>
      <c r="G1024" s="13" t="s">
        <v>111</v>
      </c>
      <c r="H1024" s="16">
        <v>43997</v>
      </c>
      <c r="I1024" s="16">
        <v>44005</v>
      </c>
      <c r="J1024" s="22">
        <v>453.48</v>
      </c>
      <c r="K1024" s="22">
        <v>36.67</v>
      </c>
      <c r="L1024" s="22" t="s">
        <v>2930</v>
      </c>
      <c r="M1024" s="26" t="s">
        <v>98</v>
      </c>
      <c r="N1024" s="13" t="s">
        <v>230</v>
      </c>
      <c r="O1024" s="13" t="s">
        <v>365</v>
      </c>
      <c r="P1024" s="13" t="s">
        <v>60</v>
      </c>
      <c r="Q1024" s="13" t="s">
        <v>46</v>
      </c>
      <c r="R1024" s="13" t="s">
        <v>270</v>
      </c>
      <c r="S1024" s="13" t="s">
        <v>2931</v>
      </c>
      <c r="T1024" s="13" t="s">
        <v>2932</v>
      </c>
      <c r="U1024" s="13"/>
      <c r="V1024" s="13"/>
      <c r="W1024" s="13"/>
      <c r="X1024" s="14"/>
      <c r="AI1024" s="53">
        <v>36.67</v>
      </c>
      <c r="AN1024" s="7" t="s">
        <v>145</v>
      </c>
      <c r="AO1024" s="21">
        <f t="shared" si="49"/>
        <v>36.67</v>
      </c>
      <c r="AP1024" s="7">
        <f t="shared" si="50"/>
        <v>0</v>
      </c>
      <c r="AQ1024" s="31" t="str">
        <f t="shared" si="48"/>
        <v>Complete - With Adjustment</v>
      </c>
    </row>
    <row r="1025" spans="1:43" x14ac:dyDescent="0.2">
      <c r="A1025" s="46">
        <v>1015</v>
      </c>
      <c r="B1025" s="13" t="s">
        <v>266</v>
      </c>
      <c r="C1025" s="13" t="s">
        <v>509</v>
      </c>
      <c r="D1025" s="13" t="s">
        <v>508</v>
      </c>
      <c r="E1025" s="13" t="s">
        <v>2936</v>
      </c>
      <c r="F1025" s="13" t="s">
        <v>219</v>
      </c>
      <c r="G1025" s="13" t="s">
        <v>111</v>
      </c>
      <c r="H1025" s="16">
        <v>43991</v>
      </c>
      <c r="I1025" s="16">
        <v>43998</v>
      </c>
      <c r="J1025" s="22">
        <v>15</v>
      </c>
      <c r="K1025" s="22">
        <v>15</v>
      </c>
      <c r="L1025" s="22" t="s">
        <v>2937</v>
      </c>
      <c r="M1025" s="26" t="s">
        <v>98</v>
      </c>
      <c r="N1025" s="13" t="s">
        <v>230</v>
      </c>
      <c r="O1025" s="13" t="s">
        <v>472</v>
      </c>
      <c r="P1025" s="13" t="s">
        <v>60</v>
      </c>
      <c r="Q1025" s="13" t="s">
        <v>41</v>
      </c>
      <c r="R1025" s="13" t="s">
        <v>270</v>
      </c>
      <c r="S1025" s="13" t="s">
        <v>2938</v>
      </c>
      <c r="T1025" s="13" t="s">
        <v>2939</v>
      </c>
      <c r="U1025" s="13"/>
      <c r="V1025" s="13"/>
      <c r="W1025" s="13"/>
      <c r="X1025" s="14"/>
      <c r="AN1025" s="7" t="s">
        <v>155</v>
      </c>
      <c r="AO1025" s="21">
        <f t="shared" si="49"/>
        <v>0</v>
      </c>
      <c r="AP1025" s="7">
        <f t="shared" si="50"/>
        <v>15</v>
      </c>
      <c r="AQ1025" s="31" t="str">
        <f t="shared" si="48"/>
        <v>Complete - No Adjustment</v>
      </c>
    </row>
    <row r="1026" spans="1:43" x14ac:dyDescent="0.2">
      <c r="A1026" s="46">
        <v>1016</v>
      </c>
      <c r="B1026" s="13" t="s">
        <v>266</v>
      </c>
      <c r="C1026" s="13" t="s">
        <v>579</v>
      </c>
      <c r="D1026" s="13" t="s">
        <v>578</v>
      </c>
      <c r="E1026" s="13" t="s">
        <v>2940</v>
      </c>
      <c r="F1026" s="13" t="s">
        <v>213</v>
      </c>
      <c r="G1026" s="13" t="s">
        <v>111</v>
      </c>
      <c r="H1026" s="16">
        <v>43991</v>
      </c>
      <c r="I1026" s="16">
        <v>43999</v>
      </c>
      <c r="J1026" s="22">
        <v>31.18</v>
      </c>
      <c r="K1026" s="22">
        <v>8.09</v>
      </c>
      <c r="L1026" s="22" t="s">
        <v>2941</v>
      </c>
      <c r="M1026" s="26" t="s">
        <v>98</v>
      </c>
      <c r="N1026" s="13" t="s">
        <v>230</v>
      </c>
      <c r="O1026" s="13" t="s">
        <v>294</v>
      </c>
      <c r="P1026" s="13" t="s">
        <v>60</v>
      </c>
      <c r="Q1026" s="13" t="s">
        <v>65</v>
      </c>
      <c r="R1026" s="13" t="s">
        <v>270</v>
      </c>
      <c r="S1026" s="13" t="s">
        <v>2942</v>
      </c>
      <c r="T1026" s="13" t="s">
        <v>2943</v>
      </c>
      <c r="U1026" s="13"/>
      <c r="V1026" s="13"/>
      <c r="W1026" s="13"/>
      <c r="X1026" s="14"/>
      <c r="AN1026" s="7" t="s">
        <v>70</v>
      </c>
      <c r="AO1026" s="21">
        <f t="shared" si="49"/>
        <v>0</v>
      </c>
      <c r="AP1026" s="7">
        <f t="shared" si="50"/>
        <v>8.09</v>
      </c>
      <c r="AQ1026" s="31" t="str">
        <f t="shared" si="48"/>
        <v>Complete - No Adjustment</v>
      </c>
    </row>
    <row r="1027" spans="1:43" x14ac:dyDescent="0.2">
      <c r="A1027" s="46">
        <v>1017</v>
      </c>
      <c r="B1027" s="13" t="s">
        <v>266</v>
      </c>
      <c r="C1027" s="13" t="s">
        <v>579</v>
      </c>
      <c r="D1027" s="13" t="s">
        <v>578</v>
      </c>
      <c r="E1027" s="13" t="s">
        <v>2940</v>
      </c>
      <c r="F1027" s="13" t="s">
        <v>213</v>
      </c>
      <c r="G1027" s="13" t="s">
        <v>111</v>
      </c>
      <c r="H1027" s="16">
        <v>43991</v>
      </c>
      <c r="I1027" s="16">
        <v>43999</v>
      </c>
      <c r="J1027" s="22">
        <v>31.18</v>
      </c>
      <c r="K1027" s="22">
        <v>7.5</v>
      </c>
      <c r="L1027" s="22" t="s">
        <v>2941</v>
      </c>
      <c r="M1027" s="26" t="s">
        <v>98</v>
      </c>
      <c r="N1027" s="13" t="s">
        <v>230</v>
      </c>
      <c r="O1027" s="13" t="s">
        <v>294</v>
      </c>
      <c r="P1027" s="13" t="s">
        <v>60</v>
      </c>
      <c r="Q1027" s="13" t="s">
        <v>41</v>
      </c>
      <c r="R1027" s="13" t="s">
        <v>270</v>
      </c>
      <c r="S1027" s="13" t="s">
        <v>2942</v>
      </c>
      <c r="T1027" s="13" t="s">
        <v>2944</v>
      </c>
      <c r="U1027" s="13"/>
      <c r="V1027" s="13"/>
      <c r="W1027" s="13"/>
      <c r="X1027" s="14"/>
      <c r="AL1027" s="14">
        <v>7.5</v>
      </c>
      <c r="AN1027" s="7" t="s">
        <v>167</v>
      </c>
      <c r="AO1027" s="21">
        <f t="shared" si="49"/>
        <v>7.5</v>
      </c>
      <c r="AP1027" s="7">
        <f t="shared" si="50"/>
        <v>0</v>
      </c>
      <c r="AQ1027" s="31" t="str">
        <f t="shared" si="48"/>
        <v>Complete - With Adjustment</v>
      </c>
    </row>
    <row r="1028" spans="1:43" x14ac:dyDescent="0.2">
      <c r="A1028" s="46">
        <v>1018</v>
      </c>
      <c r="B1028" s="13" t="s">
        <v>266</v>
      </c>
      <c r="C1028" s="13" t="s">
        <v>579</v>
      </c>
      <c r="D1028" s="13" t="s">
        <v>578</v>
      </c>
      <c r="E1028" s="13" t="s">
        <v>2940</v>
      </c>
      <c r="F1028" s="13" t="s">
        <v>213</v>
      </c>
      <c r="G1028" s="13" t="s">
        <v>111</v>
      </c>
      <c r="H1028" s="16">
        <v>43991</v>
      </c>
      <c r="I1028" s="16">
        <v>43999</v>
      </c>
      <c r="J1028" s="22">
        <v>31.18</v>
      </c>
      <c r="K1028" s="22">
        <v>7.5</v>
      </c>
      <c r="L1028" s="22" t="s">
        <v>2941</v>
      </c>
      <c r="M1028" s="26" t="s">
        <v>98</v>
      </c>
      <c r="N1028" s="13" t="s">
        <v>230</v>
      </c>
      <c r="O1028" s="13" t="s">
        <v>297</v>
      </c>
      <c r="P1028" s="13" t="s">
        <v>60</v>
      </c>
      <c r="Q1028" s="13" t="s">
        <v>41</v>
      </c>
      <c r="R1028" s="13" t="s">
        <v>270</v>
      </c>
      <c r="S1028" s="13" t="s">
        <v>2942</v>
      </c>
      <c r="T1028" s="13" t="s">
        <v>2944</v>
      </c>
      <c r="U1028" s="13"/>
      <c r="V1028" s="13"/>
      <c r="W1028" s="13"/>
      <c r="X1028" s="14"/>
      <c r="AL1028" s="14">
        <v>7.5</v>
      </c>
      <c r="AN1028" s="7" t="s">
        <v>167</v>
      </c>
      <c r="AO1028" s="21">
        <f t="shared" si="49"/>
        <v>7.5</v>
      </c>
      <c r="AP1028" s="7">
        <f t="shared" si="50"/>
        <v>0</v>
      </c>
      <c r="AQ1028" s="31" t="str">
        <f t="shared" si="48"/>
        <v>Complete - With Adjustment</v>
      </c>
    </row>
    <row r="1029" spans="1:43" x14ac:dyDescent="0.2">
      <c r="A1029" s="46">
        <v>1019</v>
      </c>
      <c r="B1029" s="13" t="s">
        <v>266</v>
      </c>
      <c r="C1029" s="13" t="s">
        <v>579</v>
      </c>
      <c r="D1029" s="13" t="s">
        <v>578</v>
      </c>
      <c r="E1029" s="13" t="s">
        <v>2940</v>
      </c>
      <c r="F1029" s="13" t="s">
        <v>213</v>
      </c>
      <c r="G1029" s="13" t="s">
        <v>111</v>
      </c>
      <c r="H1029" s="16">
        <v>43991</v>
      </c>
      <c r="I1029" s="16">
        <v>43999</v>
      </c>
      <c r="J1029" s="22">
        <v>31.18</v>
      </c>
      <c r="K1029" s="22">
        <v>8.09</v>
      </c>
      <c r="L1029" s="22" t="s">
        <v>2941</v>
      </c>
      <c r="M1029" s="26" t="s">
        <v>98</v>
      </c>
      <c r="N1029" s="13" t="s">
        <v>230</v>
      </c>
      <c r="O1029" s="13" t="s">
        <v>297</v>
      </c>
      <c r="P1029" s="13" t="s">
        <v>60</v>
      </c>
      <c r="Q1029" s="13" t="s">
        <v>65</v>
      </c>
      <c r="R1029" s="13" t="s">
        <v>270</v>
      </c>
      <c r="S1029" s="13" t="s">
        <v>2942</v>
      </c>
      <c r="T1029" s="13" t="s">
        <v>2943</v>
      </c>
      <c r="U1029" s="13"/>
      <c r="V1029" s="13"/>
      <c r="W1029" s="13"/>
      <c r="X1029" s="14"/>
      <c r="AN1029" s="7" t="s">
        <v>70</v>
      </c>
      <c r="AO1029" s="21">
        <f t="shared" si="49"/>
        <v>0</v>
      </c>
      <c r="AP1029" s="7">
        <f t="shared" si="50"/>
        <v>8.09</v>
      </c>
      <c r="AQ1029" s="31" t="str">
        <f t="shared" si="48"/>
        <v>Complete - No Adjustment</v>
      </c>
    </row>
    <row r="1030" spans="1:43" x14ac:dyDescent="0.2">
      <c r="A1030" s="46">
        <v>1020</v>
      </c>
      <c r="B1030" s="13" t="s">
        <v>266</v>
      </c>
      <c r="C1030" s="13" t="s">
        <v>579</v>
      </c>
      <c r="D1030" s="13" t="s">
        <v>578</v>
      </c>
      <c r="E1030" s="13" t="s">
        <v>2945</v>
      </c>
      <c r="F1030" s="13" t="s">
        <v>2060</v>
      </c>
      <c r="G1030" s="13" t="s">
        <v>111</v>
      </c>
      <c r="H1030" s="16">
        <v>44005</v>
      </c>
      <c r="I1030" s="16">
        <v>44008</v>
      </c>
      <c r="J1030" s="22">
        <v>46.92</v>
      </c>
      <c r="K1030" s="22">
        <v>23.46</v>
      </c>
      <c r="L1030" s="22" t="s">
        <v>2946</v>
      </c>
      <c r="M1030" s="26" t="s">
        <v>98</v>
      </c>
      <c r="N1030" s="13" t="s">
        <v>230</v>
      </c>
      <c r="O1030" s="13" t="s">
        <v>294</v>
      </c>
      <c r="P1030" s="13" t="s">
        <v>60</v>
      </c>
      <c r="Q1030" s="13" t="s">
        <v>62</v>
      </c>
      <c r="R1030" s="13" t="s">
        <v>270</v>
      </c>
      <c r="S1030" s="13" t="s">
        <v>2947</v>
      </c>
      <c r="T1030" s="13" t="s">
        <v>2948</v>
      </c>
      <c r="U1030" s="13"/>
      <c r="V1030" s="13"/>
      <c r="W1030" s="13"/>
      <c r="X1030" s="14"/>
      <c r="AN1030" s="7" t="s">
        <v>70</v>
      </c>
      <c r="AO1030" s="21">
        <f t="shared" si="49"/>
        <v>0</v>
      </c>
      <c r="AP1030" s="7">
        <f t="shared" si="50"/>
        <v>23.46</v>
      </c>
      <c r="AQ1030" s="31" t="str">
        <f t="shared" si="48"/>
        <v>Complete - No Adjustment</v>
      </c>
    </row>
    <row r="1031" spans="1:43" x14ac:dyDescent="0.2">
      <c r="A1031" s="46">
        <v>1021</v>
      </c>
      <c r="B1031" s="13" t="s">
        <v>266</v>
      </c>
      <c r="C1031" s="13" t="s">
        <v>579</v>
      </c>
      <c r="D1031" s="13" t="s">
        <v>578</v>
      </c>
      <c r="E1031" s="13" t="s">
        <v>2945</v>
      </c>
      <c r="F1031" s="13" t="s">
        <v>2060</v>
      </c>
      <c r="G1031" s="13" t="s">
        <v>111</v>
      </c>
      <c r="H1031" s="16">
        <v>44005</v>
      </c>
      <c r="I1031" s="16">
        <v>44008</v>
      </c>
      <c r="J1031" s="22">
        <v>46.92</v>
      </c>
      <c r="K1031" s="22">
        <v>23.46</v>
      </c>
      <c r="L1031" s="22" t="s">
        <v>2946</v>
      </c>
      <c r="M1031" s="26" t="s">
        <v>98</v>
      </c>
      <c r="N1031" s="13" t="s">
        <v>230</v>
      </c>
      <c r="O1031" s="13" t="s">
        <v>297</v>
      </c>
      <c r="P1031" s="13" t="s">
        <v>60</v>
      </c>
      <c r="Q1031" s="13" t="s">
        <v>62</v>
      </c>
      <c r="R1031" s="13" t="s">
        <v>270</v>
      </c>
      <c r="S1031" s="13" t="s">
        <v>2947</v>
      </c>
      <c r="T1031" s="13" t="s">
        <v>2948</v>
      </c>
      <c r="U1031" s="13"/>
      <c r="V1031" s="13"/>
      <c r="W1031" s="13"/>
      <c r="X1031" s="14"/>
      <c r="AN1031" s="7" t="s">
        <v>70</v>
      </c>
      <c r="AO1031" s="21">
        <f t="shared" si="49"/>
        <v>0</v>
      </c>
      <c r="AP1031" s="7">
        <f t="shared" si="50"/>
        <v>23.46</v>
      </c>
      <c r="AQ1031" s="31" t="str">
        <f t="shared" si="48"/>
        <v>Complete - No Adjustment</v>
      </c>
    </row>
    <row r="1032" spans="1:43" x14ac:dyDescent="0.2">
      <c r="A1032" s="46">
        <v>1022</v>
      </c>
      <c r="B1032" s="13" t="s">
        <v>266</v>
      </c>
      <c r="C1032" s="13" t="s">
        <v>511</v>
      </c>
      <c r="D1032" s="13" t="s">
        <v>510</v>
      </c>
      <c r="E1032" s="13" t="s">
        <v>2949</v>
      </c>
      <c r="F1032" s="13" t="s">
        <v>202</v>
      </c>
      <c r="G1032" s="13" t="s">
        <v>111</v>
      </c>
      <c r="H1032" s="16">
        <v>43979</v>
      </c>
      <c r="I1032" s="16">
        <v>43983</v>
      </c>
      <c r="J1032" s="22">
        <v>15</v>
      </c>
      <c r="K1032" s="22">
        <v>15</v>
      </c>
      <c r="L1032" s="22" t="s">
        <v>2950</v>
      </c>
      <c r="M1032" s="26" t="s">
        <v>98</v>
      </c>
      <c r="N1032" s="13" t="s">
        <v>230</v>
      </c>
      <c r="O1032" s="13" t="s">
        <v>320</v>
      </c>
      <c r="P1032" s="13" t="s">
        <v>60</v>
      </c>
      <c r="Q1032" s="13" t="s">
        <v>41</v>
      </c>
      <c r="R1032" s="13" t="s">
        <v>270</v>
      </c>
      <c r="S1032" s="13" t="s">
        <v>2951</v>
      </c>
      <c r="T1032" s="13" t="s">
        <v>2952</v>
      </c>
      <c r="U1032" s="13"/>
      <c r="V1032" s="13"/>
      <c r="W1032" s="13"/>
      <c r="X1032" s="14"/>
      <c r="AL1032" s="14">
        <v>15</v>
      </c>
      <c r="AN1032" s="7" t="s">
        <v>146</v>
      </c>
      <c r="AO1032" s="21">
        <f t="shared" si="49"/>
        <v>15</v>
      </c>
      <c r="AP1032" s="7">
        <f t="shared" si="50"/>
        <v>0</v>
      </c>
      <c r="AQ1032" s="31" t="str">
        <f t="shared" si="48"/>
        <v>Complete - With Adjustment</v>
      </c>
    </row>
    <row r="1033" spans="1:43" x14ac:dyDescent="0.2">
      <c r="A1033" s="46">
        <v>1023</v>
      </c>
      <c r="B1033" s="13" t="s">
        <v>266</v>
      </c>
      <c r="C1033" s="13" t="s">
        <v>665</v>
      </c>
      <c r="D1033" s="13" t="s">
        <v>664</v>
      </c>
      <c r="E1033" s="13" t="s">
        <v>2953</v>
      </c>
      <c r="F1033" s="13" t="s">
        <v>213</v>
      </c>
      <c r="G1033" s="13" t="s">
        <v>111</v>
      </c>
      <c r="H1033" s="16">
        <v>43994</v>
      </c>
      <c r="I1033" s="16">
        <v>43999</v>
      </c>
      <c r="J1033" s="22">
        <v>15</v>
      </c>
      <c r="K1033" s="22">
        <v>15</v>
      </c>
      <c r="L1033" s="22" t="s">
        <v>2954</v>
      </c>
      <c r="M1033" s="26" t="s">
        <v>98</v>
      </c>
      <c r="N1033" s="13" t="s">
        <v>230</v>
      </c>
      <c r="O1033" s="13" t="s">
        <v>78</v>
      </c>
      <c r="P1033" s="13" t="s">
        <v>60</v>
      </c>
      <c r="Q1033" s="13" t="s">
        <v>41</v>
      </c>
      <c r="R1033" s="13" t="s">
        <v>270</v>
      </c>
      <c r="S1033" s="13" t="s">
        <v>2955</v>
      </c>
      <c r="T1033" s="13" t="s">
        <v>2956</v>
      </c>
      <c r="U1033" s="13"/>
      <c r="V1033" s="13"/>
      <c r="W1033" s="13"/>
      <c r="X1033" s="14"/>
      <c r="AN1033" s="7" t="s">
        <v>155</v>
      </c>
      <c r="AO1033" s="21">
        <f t="shared" si="49"/>
        <v>0</v>
      </c>
      <c r="AP1033" s="7">
        <f t="shared" si="50"/>
        <v>15</v>
      </c>
      <c r="AQ1033" s="31" t="str">
        <f t="shared" si="48"/>
        <v>Complete - No Adjustment</v>
      </c>
    </row>
    <row r="1034" spans="1:43" x14ac:dyDescent="0.2">
      <c r="A1034" s="46">
        <v>1024</v>
      </c>
      <c r="B1034" s="38" t="s">
        <v>266</v>
      </c>
      <c r="C1034" s="38" t="s">
        <v>817</v>
      </c>
      <c r="D1034" s="38" t="s">
        <v>818</v>
      </c>
      <c r="E1034" s="38" t="s">
        <v>2959</v>
      </c>
      <c r="F1034" s="38" t="s">
        <v>2960</v>
      </c>
      <c r="G1034" s="38" t="s">
        <v>111</v>
      </c>
      <c r="H1034" s="44">
        <v>44033</v>
      </c>
      <c r="I1034" s="44">
        <v>44036</v>
      </c>
      <c r="J1034">
        <v>15</v>
      </c>
      <c r="K1034">
        <v>15</v>
      </c>
      <c r="L1034" t="s">
        <v>2961</v>
      </c>
      <c r="M1034" s="45" t="s">
        <v>98</v>
      </c>
      <c r="N1034" s="38" t="s">
        <v>230</v>
      </c>
      <c r="O1034" s="38" t="s">
        <v>280</v>
      </c>
      <c r="P1034" s="38" t="s">
        <v>60</v>
      </c>
      <c r="Q1034" s="38" t="s">
        <v>41</v>
      </c>
      <c r="R1034" s="38" t="s">
        <v>270</v>
      </c>
      <c r="S1034" s="38" t="s">
        <v>2962</v>
      </c>
      <c r="T1034" s="38" t="s">
        <v>2963</v>
      </c>
      <c r="U1034" s="38"/>
      <c r="V1034" s="38"/>
      <c r="W1034" s="38"/>
      <c r="X1034" s="14"/>
      <c r="AL1034" s="14">
        <f>15</f>
        <v>15</v>
      </c>
      <c r="AN1034" s="7" t="s">
        <v>2957</v>
      </c>
      <c r="AO1034" s="21">
        <f t="shared" ref="AO1034:AO1097" si="51">SUM(Y1034:AL1034)</f>
        <v>15</v>
      </c>
      <c r="AP1034" s="7">
        <f t="shared" ref="AP1034:AP1097" si="52">K1034-AO1034</f>
        <v>0</v>
      </c>
      <c r="AQ1034" s="31" t="str">
        <f t="shared" ref="AQ1034:AQ1097" si="53">IF(AO1034&lt;&gt;0,"Complete - With Adjustment","Complete - No Adjustment")</f>
        <v>Complete - With Adjustment</v>
      </c>
    </row>
    <row r="1035" spans="1:43" x14ac:dyDescent="0.2">
      <c r="A1035" s="46">
        <v>1025</v>
      </c>
      <c r="B1035" s="38" t="s">
        <v>266</v>
      </c>
      <c r="C1035" s="38" t="s">
        <v>817</v>
      </c>
      <c r="D1035" s="38" t="s">
        <v>818</v>
      </c>
      <c r="E1035" s="38" t="s">
        <v>2964</v>
      </c>
      <c r="F1035" s="38" t="s">
        <v>2965</v>
      </c>
      <c r="G1035" s="38" t="s">
        <v>111</v>
      </c>
      <c r="H1035" s="44">
        <v>44033</v>
      </c>
      <c r="I1035" s="44">
        <v>44040</v>
      </c>
      <c r="J1035">
        <v>15</v>
      </c>
      <c r="K1035">
        <v>15</v>
      </c>
      <c r="L1035" t="s">
        <v>2966</v>
      </c>
      <c r="M1035" s="45" t="s">
        <v>98</v>
      </c>
      <c r="N1035" s="38" t="s">
        <v>230</v>
      </c>
      <c r="O1035" s="38" t="s">
        <v>280</v>
      </c>
      <c r="P1035" s="38" t="s">
        <v>60</v>
      </c>
      <c r="Q1035" s="38" t="s">
        <v>41</v>
      </c>
      <c r="R1035" s="38" t="s">
        <v>270</v>
      </c>
      <c r="S1035" s="38" t="s">
        <v>2967</v>
      </c>
      <c r="T1035" s="38" t="s">
        <v>2968</v>
      </c>
      <c r="U1035" s="38"/>
      <c r="V1035" s="38"/>
      <c r="W1035" s="38"/>
      <c r="X1035" s="14"/>
      <c r="AN1035" s="7" t="s">
        <v>155</v>
      </c>
      <c r="AO1035" s="21">
        <f t="shared" si="51"/>
        <v>0</v>
      </c>
      <c r="AP1035" s="7">
        <f t="shared" si="52"/>
        <v>15</v>
      </c>
      <c r="AQ1035" s="31" t="str">
        <f t="shared" si="53"/>
        <v>Complete - No Adjustment</v>
      </c>
    </row>
    <row r="1036" spans="1:43" x14ac:dyDescent="0.2">
      <c r="A1036" s="46">
        <v>1026</v>
      </c>
      <c r="B1036" s="38" t="s">
        <v>266</v>
      </c>
      <c r="C1036" s="38" t="s">
        <v>883</v>
      </c>
      <c r="D1036" s="38" t="s">
        <v>884</v>
      </c>
      <c r="E1036" s="38" t="s">
        <v>2969</v>
      </c>
      <c r="F1036" s="38" t="s">
        <v>2960</v>
      </c>
      <c r="G1036" s="38" t="s">
        <v>111</v>
      </c>
      <c r="H1036" s="44">
        <v>44034</v>
      </c>
      <c r="I1036" s="44">
        <v>44036</v>
      </c>
      <c r="J1036">
        <v>10.81</v>
      </c>
      <c r="K1036">
        <v>10.81</v>
      </c>
      <c r="L1036" t="s">
        <v>2970</v>
      </c>
      <c r="M1036" s="45" t="s">
        <v>98</v>
      </c>
      <c r="N1036" s="38" t="s">
        <v>230</v>
      </c>
      <c r="O1036" s="38" t="s">
        <v>451</v>
      </c>
      <c r="P1036" s="38" t="s">
        <v>60</v>
      </c>
      <c r="Q1036" s="38" t="s">
        <v>41</v>
      </c>
      <c r="R1036" s="38" t="s">
        <v>270</v>
      </c>
      <c r="S1036" s="38" t="s">
        <v>1637</v>
      </c>
      <c r="T1036" s="38" t="s">
        <v>1638</v>
      </c>
      <c r="U1036" s="38"/>
      <c r="V1036" s="38"/>
      <c r="W1036" s="38"/>
      <c r="X1036" s="14"/>
      <c r="AN1036" s="7" t="s">
        <v>155</v>
      </c>
      <c r="AO1036" s="21">
        <f t="shared" si="51"/>
        <v>0</v>
      </c>
      <c r="AP1036" s="7">
        <f t="shared" si="52"/>
        <v>10.81</v>
      </c>
      <c r="AQ1036" s="31" t="str">
        <f t="shared" si="53"/>
        <v>Complete - No Adjustment</v>
      </c>
    </row>
    <row r="1037" spans="1:43" x14ac:dyDescent="0.2">
      <c r="A1037" s="46">
        <v>1027</v>
      </c>
      <c r="B1037" s="38" t="s">
        <v>266</v>
      </c>
      <c r="C1037" s="38" t="s">
        <v>691</v>
      </c>
      <c r="D1037" s="38" t="s">
        <v>690</v>
      </c>
      <c r="E1037" s="38" t="s">
        <v>2971</v>
      </c>
      <c r="F1037" s="38" t="s">
        <v>2972</v>
      </c>
      <c r="G1037" s="38" t="s">
        <v>111</v>
      </c>
      <c r="H1037" s="44">
        <v>44033</v>
      </c>
      <c r="I1037" s="44">
        <v>44039</v>
      </c>
      <c r="J1037">
        <v>9.25</v>
      </c>
      <c r="K1037">
        <v>9.25</v>
      </c>
      <c r="L1037" t="s">
        <v>2973</v>
      </c>
      <c r="M1037" s="45" t="s">
        <v>98</v>
      </c>
      <c r="N1037" s="38" t="s">
        <v>230</v>
      </c>
      <c r="O1037" s="38" t="s">
        <v>292</v>
      </c>
      <c r="P1037" s="38" t="s">
        <v>60</v>
      </c>
      <c r="Q1037" s="38" t="s">
        <v>41</v>
      </c>
      <c r="R1037" s="38" t="s">
        <v>270</v>
      </c>
      <c r="S1037" s="38" t="s">
        <v>2974</v>
      </c>
      <c r="T1037" s="38" t="s">
        <v>2975</v>
      </c>
      <c r="U1037" s="38"/>
      <c r="V1037" s="38"/>
      <c r="W1037" s="38"/>
      <c r="X1037" s="14"/>
      <c r="AN1037" s="7" t="s">
        <v>155</v>
      </c>
      <c r="AO1037" s="21">
        <f t="shared" si="51"/>
        <v>0</v>
      </c>
      <c r="AP1037" s="7">
        <f t="shared" si="52"/>
        <v>9.25</v>
      </c>
      <c r="AQ1037" s="31" t="str">
        <f t="shared" si="53"/>
        <v>Complete - No Adjustment</v>
      </c>
    </row>
    <row r="1038" spans="1:43" x14ac:dyDescent="0.2">
      <c r="A1038" s="46">
        <v>1028</v>
      </c>
      <c r="B1038" s="38" t="s">
        <v>266</v>
      </c>
      <c r="C1038" s="38" t="s">
        <v>833</v>
      </c>
      <c r="D1038" s="38" t="s">
        <v>834</v>
      </c>
      <c r="E1038" s="38" t="s">
        <v>2976</v>
      </c>
      <c r="F1038" s="38" t="s">
        <v>2977</v>
      </c>
      <c r="G1038" s="38" t="s">
        <v>111</v>
      </c>
      <c r="H1038" s="44">
        <v>44020</v>
      </c>
      <c r="I1038" s="44">
        <v>44022</v>
      </c>
      <c r="J1038">
        <v>10.48</v>
      </c>
      <c r="K1038">
        <v>10.48</v>
      </c>
      <c r="L1038" t="s">
        <v>2978</v>
      </c>
      <c r="M1038" s="45" t="s">
        <v>98</v>
      </c>
      <c r="N1038" s="38" t="s">
        <v>230</v>
      </c>
      <c r="O1038" s="38" t="s">
        <v>323</v>
      </c>
      <c r="P1038" s="38" t="s">
        <v>60</v>
      </c>
      <c r="Q1038" s="38" t="s">
        <v>41</v>
      </c>
      <c r="R1038" s="38" t="s">
        <v>270</v>
      </c>
      <c r="S1038" s="38" t="s">
        <v>2979</v>
      </c>
      <c r="T1038" s="38" t="s">
        <v>2980</v>
      </c>
      <c r="U1038" s="38"/>
      <c r="V1038" s="38"/>
      <c r="W1038" s="38"/>
      <c r="X1038" s="14"/>
      <c r="AN1038" s="7" t="s">
        <v>70</v>
      </c>
      <c r="AO1038" s="21">
        <f t="shared" si="51"/>
        <v>0</v>
      </c>
      <c r="AP1038" s="7">
        <f t="shared" si="52"/>
        <v>10.48</v>
      </c>
      <c r="AQ1038" s="31" t="str">
        <f t="shared" si="53"/>
        <v>Complete - No Adjustment</v>
      </c>
    </row>
    <row r="1039" spans="1:43" x14ac:dyDescent="0.2">
      <c r="A1039" s="46">
        <v>1029</v>
      </c>
      <c r="B1039" s="38" t="s">
        <v>266</v>
      </c>
      <c r="C1039" s="38" t="s">
        <v>833</v>
      </c>
      <c r="D1039" s="38" t="s">
        <v>834</v>
      </c>
      <c r="E1039" s="38" t="s">
        <v>2981</v>
      </c>
      <c r="F1039" s="38" t="s">
        <v>2977</v>
      </c>
      <c r="G1039" s="38" t="s">
        <v>111</v>
      </c>
      <c r="H1039" s="44">
        <v>44020</v>
      </c>
      <c r="I1039" s="44">
        <v>44022</v>
      </c>
      <c r="J1039">
        <v>13.52</v>
      </c>
      <c r="K1039">
        <v>13.52</v>
      </c>
      <c r="L1039" t="s">
        <v>2982</v>
      </c>
      <c r="M1039" s="45" t="s">
        <v>98</v>
      </c>
      <c r="N1039" s="38" t="s">
        <v>230</v>
      </c>
      <c r="O1039" s="38" t="s">
        <v>323</v>
      </c>
      <c r="P1039" s="38" t="s">
        <v>60</v>
      </c>
      <c r="Q1039" s="38" t="s">
        <v>41</v>
      </c>
      <c r="R1039" s="38" t="s">
        <v>270</v>
      </c>
      <c r="S1039" s="38" t="s">
        <v>2983</v>
      </c>
      <c r="T1039" s="38" t="s">
        <v>2984</v>
      </c>
      <c r="U1039" s="38"/>
      <c r="V1039" s="38"/>
      <c r="W1039" s="38"/>
      <c r="X1039" s="14"/>
      <c r="AN1039" s="7" t="s">
        <v>70</v>
      </c>
      <c r="AO1039" s="21">
        <f t="shared" si="51"/>
        <v>0</v>
      </c>
      <c r="AP1039" s="7">
        <f t="shared" si="52"/>
        <v>13.52</v>
      </c>
      <c r="AQ1039" s="31" t="str">
        <f t="shared" si="53"/>
        <v>Complete - No Adjustment</v>
      </c>
    </row>
    <row r="1040" spans="1:43" x14ac:dyDescent="0.2">
      <c r="A1040" s="46">
        <v>1030</v>
      </c>
      <c r="B1040" s="38" t="s">
        <v>266</v>
      </c>
      <c r="C1040" s="38" t="s">
        <v>833</v>
      </c>
      <c r="D1040" s="38" t="s">
        <v>834</v>
      </c>
      <c r="E1040" s="38" t="s">
        <v>2985</v>
      </c>
      <c r="F1040" s="38" t="s">
        <v>2977</v>
      </c>
      <c r="G1040" s="38" t="s">
        <v>111</v>
      </c>
      <c r="H1040" s="44">
        <v>44020</v>
      </c>
      <c r="I1040" s="44">
        <v>44022</v>
      </c>
      <c r="J1040">
        <v>16.66</v>
      </c>
      <c r="K1040">
        <v>16.66</v>
      </c>
      <c r="L1040" t="s">
        <v>2986</v>
      </c>
      <c r="M1040" s="45" t="s">
        <v>98</v>
      </c>
      <c r="N1040" s="38" t="s">
        <v>230</v>
      </c>
      <c r="O1040" s="38" t="s">
        <v>323</v>
      </c>
      <c r="P1040" s="38" t="s">
        <v>60</v>
      </c>
      <c r="Q1040" s="38" t="s">
        <v>41</v>
      </c>
      <c r="R1040" s="38" t="s">
        <v>270</v>
      </c>
      <c r="S1040" s="38" t="s">
        <v>2987</v>
      </c>
      <c r="T1040" s="38" t="s">
        <v>2988</v>
      </c>
      <c r="U1040" s="38"/>
      <c r="V1040" s="38"/>
      <c r="W1040" s="38"/>
      <c r="X1040" s="14"/>
      <c r="AN1040" s="7" t="s">
        <v>70</v>
      </c>
      <c r="AO1040" s="21">
        <f t="shared" si="51"/>
        <v>0</v>
      </c>
      <c r="AP1040" s="7">
        <f t="shared" si="52"/>
        <v>16.66</v>
      </c>
      <c r="AQ1040" s="31" t="str">
        <f t="shared" si="53"/>
        <v>Complete - No Adjustment</v>
      </c>
    </row>
    <row r="1041" spans="1:43" x14ac:dyDescent="0.2">
      <c r="A1041" s="46">
        <v>1031</v>
      </c>
      <c r="B1041" s="38" t="s">
        <v>266</v>
      </c>
      <c r="C1041" s="38" t="s">
        <v>795</v>
      </c>
      <c r="D1041" s="38" t="s">
        <v>794</v>
      </c>
      <c r="E1041" s="38" t="s">
        <v>2989</v>
      </c>
      <c r="F1041" s="38" t="s">
        <v>2972</v>
      </c>
      <c r="G1041" s="38" t="s">
        <v>111</v>
      </c>
      <c r="H1041" s="44">
        <v>44033</v>
      </c>
      <c r="I1041" s="44">
        <v>44039</v>
      </c>
      <c r="J1041">
        <v>12.99</v>
      </c>
      <c r="K1041">
        <v>12.99</v>
      </c>
      <c r="L1041" t="s">
        <v>2990</v>
      </c>
      <c r="M1041" s="45" t="s">
        <v>98</v>
      </c>
      <c r="N1041" s="38" t="s">
        <v>230</v>
      </c>
      <c r="O1041" s="38" t="s">
        <v>289</v>
      </c>
      <c r="P1041" s="38" t="s">
        <v>60</v>
      </c>
      <c r="Q1041" s="38" t="s">
        <v>41</v>
      </c>
      <c r="R1041" s="38" t="s">
        <v>270</v>
      </c>
      <c r="S1041" s="38" t="s">
        <v>2991</v>
      </c>
      <c r="T1041" s="38" t="s">
        <v>2992</v>
      </c>
      <c r="U1041" s="38"/>
      <c r="V1041" s="38"/>
      <c r="W1041" s="38"/>
      <c r="X1041" s="14"/>
      <c r="AN1041" s="7" t="s">
        <v>155</v>
      </c>
      <c r="AO1041" s="21">
        <f t="shared" si="51"/>
        <v>0</v>
      </c>
      <c r="AP1041" s="7">
        <f t="shared" si="52"/>
        <v>12.99</v>
      </c>
      <c r="AQ1041" s="31" t="str">
        <f t="shared" si="53"/>
        <v>Complete - No Adjustment</v>
      </c>
    </row>
    <row r="1042" spans="1:43" x14ac:dyDescent="0.2">
      <c r="A1042" s="46">
        <v>1032</v>
      </c>
      <c r="B1042" s="38" t="s">
        <v>266</v>
      </c>
      <c r="C1042" s="38" t="s">
        <v>276</v>
      </c>
      <c r="D1042" s="38" t="s">
        <v>275</v>
      </c>
      <c r="E1042" s="38" t="s">
        <v>2993</v>
      </c>
      <c r="F1042" s="38" t="s">
        <v>2994</v>
      </c>
      <c r="G1042" s="38" t="s">
        <v>111</v>
      </c>
      <c r="H1042" s="44">
        <v>44036</v>
      </c>
      <c r="I1042" s="44">
        <v>44043</v>
      </c>
      <c r="J1042">
        <v>1273.95</v>
      </c>
      <c r="K1042">
        <v>46.54</v>
      </c>
      <c r="L1042" t="s">
        <v>2995</v>
      </c>
      <c r="M1042" s="45" t="s">
        <v>98</v>
      </c>
      <c r="N1042" s="38" t="s">
        <v>230</v>
      </c>
      <c r="O1042" s="38" t="s">
        <v>277</v>
      </c>
      <c r="P1042" s="38" t="s">
        <v>60</v>
      </c>
      <c r="Q1042" s="38" t="s">
        <v>62</v>
      </c>
      <c r="R1042" s="38" t="s">
        <v>270</v>
      </c>
      <c r="S1042" s="38" t="s">
        <v>2996</v>
      </c>
      <c r="T1042" s="38" t="s">
        <v>2997</v>
      </c>
      <c r="U1042" s="38"/>
      <c r="V1042" s="38"/>
      <c r="W1042" s="38"/>
      <c r="X1042" s="14"/>
      <c r="AN1042" s="7" t="s">
        <v>155</v>
      </c>
      <c r="AO1042" s="21">
        <f t="shared" si="51"/>
        <v>0</v>
      </c>
      <c r="AP1042" s="7">
        <f t="shared" si="52"/>
        <v>46.54</v>
      </c>
      <c r="AQ1042" s="31" t="str">
        <f t="shared" si="53"/>
        <v>Complete - No Adjustment</v>
      </c>
    </row>
    <row r="1043" spans="1:43" x14ac:dyDescent="0.2">
      <c r="A1043" s="46">
        <v>1033</v>
      </c>
      <c r="B1043" s="38" t="s">
        <v>266</v>
      </c>
      <c r="C1043" s="38" t="s">
        <v>276</v>
      </c>
      <c r="D1043" s="38" t="s">
        <v>275</v>
      </c>
      <c r="E1043" s="38" t="s">
        <v>2993</v>
      </c>
      <c r="F1043" s="38" t="s">
        <v>2994</v>
      </c>
      <c r="G1043" s="38" t="s">
        <v>111</v>
      </c>
      <c r="H1043" s="44">
        <v>44036</v>
      </c>
      <c r="I1043" s="44">
        <v>44043</v>
      </c>
      <c r="J1043">
        <v>1273.95</v>
      </c>
      <c r="K1043">
        <v>28.13</v>
      </c>
      <c r="L1043" t="s">
        <v>2995</v>
      </c>
      <c r="M1043" s="45" t="s">
        <v>98</v>
      </c>
      <c r="N1043" s="38" t="s">
        <v>230</v>
      </c>
      <c r="O1043" s="38" t="s">
        <v>277</v>
      </c>
      <c r="P1043" s="38" t="s">
        <v>60</v>
      </c>
      <c r="Q1043" s="38" t="s">
        <v>62</v>
      </c>
      <c r="R1043" s="38" t="s">
        <v>270</v>
      </c>
      <c r="S1043" s="38" t="s">
        <v>2996</v>
      </c>
      <c r="T1043" s="38" t="s">
        <v>2997</v>
      </c>
      <c r="U1043" s="38"/>
      <c r="V1043" s="38"/>
      <c r="W1043" s="38"/>
      <c r="X1043" s="14"/>
      <c r="AN1043" s="7" t="s">
        <v>155</v>
      </c>
      <c r="AO1043" s="21">
        <f t="shared" si="51"/>
        <v>0</v>
      </c>
      <c r="AP1043" s="7">
        <f t="shared" si="52"/>
        <v>28.13</v>
      </c>
      <c r="AQ1043" s="31" t="str">
        <f t="shared" si="53"/>
        <v>Complete - No Adjustment</v>
      </c>
    </row>
    <row r="1044" spans="1:43" x14ac:dyDescent="0.2">
      <c r="A1044" s="46">
        <v>1034</v>
      </c>
      <c r="B1044" s="38" t="s">
        <v>266</v>
      </c>
      <c r="C1044" s="38" t="s">
        <v>276</v>
      </c>
      <c r="D1044" s="38" t="s">
        <v>275</v>
      </c>
      <c r="E1044" s="38" t="s">
        <v>2993</v>
      </c>
      <c r="F1044" s="38" t="s">
        <v>2994</v>
      </c>
      <c r="G1044" s="38" t="s">
        <v>111</v>
      </c>
      <c r="H1044" s="44">
        <v>44036</v>
      </c>
      <c r="I1044" s="44">
        <v>44043</v>
      </c>
      <c r="J1044">
        <v>1273.95</v>
      </c>
      <c r="K1044">
        <v>60.21</v>
      </c>
      <c r="L1044" t="s">
        <v>2995</v>
      </c>
      <c r="M1044" s="45" t="s">
        <v>98</v>
      </c>
      <c r="N1044" s="38" t="s">
        <v>230</v>
      </c>
      <c r="O1044" s="38" t="s">
        <v>277</v>
      </c>
      <c r="P1044" s="38" t="s">
        <v>60</v>
      </c>
      <c r="Q1044" s="38" t="s">
        <v>62</v>
      </c>
      <c r="R1044" s="38" t="s">
        <v>270</v>
      </c>
      <c r="S1044" s="38" t="s">
        <v>2996</v>
      </c>
      <c r="T1044" s="38" t="s">
        <v>2997</v>
      </c>
      <c r="U1044" s="38"/>
      <c r="V1044" s="38"/>
      <c r="W1044" s="38"/>
      <c r="X1044" s="14"/>
      <c r="AN1044" s="7" t="s">
        <v>155</v>
      </c>
      <c r="AO1044" s="21">
        <f t="shared" si="51"/>
        <v>0</v>
      </c>
      <c r="AP1044" s="7">
        <f t="shared" si="52"/>
        <v>60.21</v>
      </c>
      <c r="AQ1044" s="31" t="str">
        <f t="shared" si="53"/>
        <v>Complete - No Adjustment</v>
      </c>
    </row>
    <row r="1045" spans="1:43" x14ac:dyDescent="0.2">
      <c r="A1045" s="46">
        <v>1035</v>
      </c>
      <c r="B1045" s="38" t="s">
        <v>266</v>
      </c>
      <c r="C1045" s="38" t="s">
        <v>276</v>
      </c>
      <c r="D1045" s="38" t="s">
        <v>275</v>
      </c>
      <c r="E1045" s="38" t="s">
        <v>2993</v>
      </c>
      <c r="F1045" s="38" t="s">
        <v>2994</v>
      </c>
      <c r="G1045" s="38" t="s">
        <v>111</v>
      </c>
      <c r="H1045" s="44">
        <v>44036</v>
      </c>
      <c r="I1045" s="44">
        <v>44043</v>
      </c>
      <c r="J1045">
        <v>1273.95</v>
      </c>
      <c r="K1045">
        <v>313.91000000000003</v>
      </c>
      <c r="L1045" t="s">
        <v>2995</v>
      </c>
      <c r="M1045" s="45" t="s">
        <v>98</v>
      </c>
      <c r="N1045" s="38" t="s">
        <v>230</v>
      </c>
      <c r="O1045" s="38" t="s">
        <v>277</v>
      </c>
      <c r="P1045" s="38" t="s">
        <v>60</v>
      </c>
      <c r="Q1045" s="38" t="s">
        <v>62</v>
      </c>
      <c r="R1045" s="38" t="s">
        <v>270</v>
      </c>
      <c r="S1045" s="38" t="s">
        <v>2996</v>
      </c>
      <c r="T1045" s="38" t="s">
        <v>2997</v>
      </c>
      <c r="U1045" s="38"/>
      <c r="V1045" s="38"/>
      <c r="W1045" s="38"/>
      <c r="X1045" s="14"/>
      <c r="AN1045" s="7" t="s">
        <v>155</v>
      </c>
      <c r="AO1045" s="21">
        <f t="shared" si="51"/>
        <v>0</v>
      </c>
      <c r="AP1045" s="7">
        <f t="shared" si="52"/>
        <v>313.91000000000003</v>
      </c>
      <c r="AQ1045" s="31" t="str">
        <f t="shared" si="53"/>
        <v>Complete - No Adjustment</v>
      </c>
    </row>
    <row r="1046" spans="1:43" x14ac:dyDescent="0.2">
      <c r="A1046" s="46">
        <v>1036</v>
      </c>
      <c r="B1046" s="38" t="s">
        <v>266</v>
      </c>
      <c r="C1046" s="38" t="s">
        <v>276</v>
      </c>
      <c r="D1046" s="38" t="s">
        <v>275</v>
      </c>
      <c r="E1046" s="38" t="s">
        <v>2993</v>
      </c>
      <c r="F1046" s="38" t="s">
        <v>2994</v>
      </c>
      <c r="G1046" s="38" t="s">
        <v>111</v>
      </c>
      <c r="H1046" s="44">
        <v>44036</v>
      </c>
      <c r="I1046" s="44">
        <v>44043</v>
      </c>
      <c r="J1046">
        <v>1273.95</v>
      </c>
      <c r="K1046">
        <v>43.16</v>
      </c>
      <c r="L1046" t="s">
        <v>2995</v>
      </c>
      <c r="M1046" s="45" t="s">
        <v>98</v>
      </c>
      <c r="N1046" s="38" t="s">
        <v>230</v>
      </c>
      <c r="O1046" s="38" t="s">
        <v>277</v>
      </c>
      <c r="P1046" s="38" t="s">
        <v>60</v>
      </c>
      <c r="Q1046" s="38" t="s">
        <v>62</v>
      </c>
      <c r="R1046" s="38" t="s">
        <v>270</v>
      </c>
      <c r="S1046" s="38" t="s">
        <v>2996</v>
      </c>
      <c r="T1046" s="38" t="s">
        <v>2997</v>
      </c>
      <c r="U1046" s="38"/>
      <c r="V1046" s="38"/>
      <c r="W1046" s="38"/>
      <c r="X1046" s="14"/>
      <c r="AN1046" s="7" t="s">
        <v>155</v>
      </c>
      <c r="AO1046" s="21">
        <f t="shared" si="51"/>
        <v>0</v>
      </c>
      <c r="AP1046" s="7">
        <f t="shared" si="52"/>
        <v>43.16</v>
      </c>
      <c r="AQ1046" s="31" t="str">
        <f t="shared" si="53"/>
        <v>Complete - No Adjustment</v>
      </c>
    </row>
    <row r="1047" spans="1:43" x14ac:dyDescent="0.2">
      <c r="A1047" s="46">
        <v>1037</v>
      </c>
      <c r="B1047" s="38" t="s">
        <v>266</v>
      </c>
      <c r="C1047" s="38" t="s">
        <v>276</v>
      </c>
      <c r="D1047" s="38" t="s">
        <v>275</v>
      </c>
      <c r="E1047" s="38" t="s">
        <v>2993</v>
      </c>
      <c r="F1047" s="38" t="s">
        <v>2994</v>
      </c>
      <c r="G1047" s="38" t="s">
        <v>111</v>
      </c>
      <c r="H1047" s="44">
        <v>44036</v>
      </c>
      <c r="I1047" s="44">
        <v>44043</v>
      </c>
      <c r="J1047">
        <v>1273.95</v>
      </c>
      <c r="K1047">
        <v>612.66999999999996</v>
      </c>
      <c r="L1047" t="s">
        <v>2995</v>
      </c>
      <c r="M1047" s="45" t="s">
        <v>98</v>
      </c>
      <c r="N1047" s="38" t="s">
        <v>230</v>
      </c>
      <c r="O1047" s="38" t="s">
        <v>277</v>
      </c>
      <c r="P1047" s="38" t="s">
        <v>60</v>
      </c>
      <c r="Q1047" s="38" t="s">
        <v>62</v>
      </c>
      <c r="R1047" s="38" t="s">
        <v>270</v>
      </c>
      <c r="S1047" s="38" t="s">
        <v>2996</v>
      </c>
      <c r="T1047" s="38" t="s">
        <v>2997</v>
      </c>
      <c r="U1047" s="38"/>
      <c r="V1047" s="38"/>
      <c r="W1047" s="38"/>
      <c r="X1047" s="14"/>
      <c r="AN1047" s="7" t="s">
        <v>155</v>
      </c>
      <c r="AO1047" s="21">
        <f t="shared" si="51"/>
        <v>0</v>
      </c>
      <c r="AP1047" s="7">
        <f t="shared" si="52"/>
        <v>612.66999999999996</v>
      </c>
      <c r="AQ1047" s="31" t="str">
        <f t="shared" si="53"/>
        <v>Complete - No Adjustment</v>
      </c>
    </row>
    <row r="1048" spans="1:43" x14ac:dyDescent="0.2">
      <c r="A1048" s="46">
        <v>1038</v>
      </c>
      <c r="B1048" s="38" t="s">
        <v>266</v>
      </c>
      <c r="C1048" s="38" t="s">
        <v>276</v>
      </c>
      <c r="D1048" s="38" t="s">
        <v>275</v>
      </c>
      <c r="E1048" s="38" t="s">
        <v>2993</v>
      </c>
      <c r="F1048" s="38" t="s">
        <v>2994</v>
      </c>
      <c r="G1048" s="38" t="s">
        <v>111</v>
      </c>
      <c r="H1048" s="44">
        <v>44036</v>
      </c>
      <c r="I1048" s="44">
        <v>44043</v>
      </c>
      <c r="J1048">
        <v>1273.95</v>
      </c>
      <c r="K1048">
        <v>6.97</v>
      </c>
      <c r="L1048" t="s">
        <v>2995</v>
      </c>
      <c r="M1048" s="45" t="s">
        <v>98</v>
      </c>
      <c r="N1048" s="38" t="s">
        <v>230</v>
      </c>
      <c r="O1048" s="38" t="s">
        <v>277</v>
      </c>
      <c r="P1048" s="38" t="s">
        <v>60</v>
      </c>
      <c r="Q1048" s="38" t="s">
        <v>62</v>
      </c>
      <c r="R1048" s="38" t="s">
        <v>270</v>
      </c>
      <c r="S1048" s="38" t="s">
        <v>2996</v>
      </c>
      <c r="T1048" s="38" t="s">
        <v>2997</v>
      </c>
      <c r="U1048" s="38"/>
      <c r="V1048" s="38"/>
      <c r="W1048" s="38"/>
      <c r="X1048" s="14"/>
      <c r="AN1048" s="7" t="s">
        <v>155</v>
      </c>
      <c r="AO1048" s="21">
        <f t="shared" si="51"/>
        <v>0</v>
      </c>
      <c r="AP1048" s="7">
        <f t="shared" si="52"/>
        <v>6.97</v>
      </c>
      <c r="AQ1048" s="31" t="str">
        <f t="shared" si="53"/>
        <v>Complete - No Adjustment</v>
      </c>
    </row>
    <row r="1049" spans="1:43" x14ac:dyDescent="0.2">
      <c r="A1049" s="46">
        <v>1039</v>
      </c>
      <c r="B1049" s="38" t="s">
        <v>266</v>
      </c>
      <c r="C1049" s="38" t="s">
        <v>276</v>
      </c>
      <c r="D1049" s="38" t="s">
        <v>275</v>
      </c>
      <c r="E1049" s="38" t="s">
        <v>2993</v>
      </c>
      <c r="F1049" s="38" t="s">
        <v>2994</v>
      </c>
      <c r="G1049" s="38" t="s">
        <v>111</v>
      </c>
      <c r="H1049" s="44">
        <v>44036</v>
      </c>
      <c r="I1049" s="44">
        <v>44043</v>
      </c>
      <c r="J1049">
        <v>1273.95</v>
      </c>
      <c r="K1049">
        <v>162.36000000000001</v>
      </c>
      <c r="L1049" t="s">
        <v>2995</v>
      </c>
      <c r="M1049" s="45" t="s">
        <v>98</v>
      </c>
      <c r="N1049" s="38" t="s">
        <v>230</v>
      </c>
      <c r="O1049" s="38" t="s">
        <v>277</v>
      </c>
      <c r="P1049" s="38" t="s">
        <v>60</v>
      </c>
      <c r="Q1049" s="38" t="s">
        <v>62</v>
      </c>
      <c r="R1049" s="38" t="s">
        <v>270</v>
      </c>
      <c r="S1049" s="38" t="s">
        <v>2996</v>
      </c>
      <c r="T1049" s="38" t="s">
        <v>2997</v>
      </c>
      <c r="U1049" s="38"/>
      <c r="V1049" s="38"/>
      <c r="W1049" s="38"/>
      <c r="X1049" s="14"/>
      <c r="AN1049" s="7" t="s">
        <v>155</v>
      </c>
      <c r="AO1049" s="21">
        <f t="shared" si="51"/>
        <v>0</v>
      </c>
      <c r="AP1049" s="7">
        <f t="shared" si="52"/>
        <v>162.36000000000001</v>
      </c>
      <c r="AQ1049" s="31" t="str">
        <f t="shared" si="53"/>
        <v>Complete - No Adjustment</v>
      </c>
    </row>
    <row r="1050" spans="1:43" x14ac:dyDescent="0.2">
      <c r="A1050" s="46">
        <v>1040</v>
      </c>
      <c r="B1050" s="38" t="s">
        <v>266</v>
      </c>
      <c r="C1050" s="38" t="s">
        <v>513</v>
      </c>
      <c r="D1050" s="38" t="s">
        <v>512</v>
      </c>
      <c r="E1050" s="38" t="s">
        <v>2998</v>
      </c>
      <c r="F1050" s="38" t="s">
        <v>2977</v>
      </c>
      <c r="G1050" s="38" t="s">
        <v>111</v>
      </c>
      <c r="H1050" s="44">
        <v>43991</v>
      </c>
      <c r="I1050" s="44">
        <v>44022</v>
      </c>
      <c r="J1050">
        <v>15.14</v>
      </c>
      <c r="K1050">
        <v>15.14</v>
      </c>
      <c r="L1050" t="s">
        <v>2999</v>
      </c>
      <c r="M1050" s="45" t="s">
        <v>98</v>
      </c>
      <c r="N1050" s="38" t="s">
        <v>230</v>
      </c>
      <c r="O1050" s="38" t="s">
        <v>514</v>
      </c>
      <c r="P1050" s="38" t="s">
        <v>60</v>
      </c>
      <c r="Q1050" s="38" t="s">
        <v>41</v>
      </c>
      <c r="R1050" s="38" t="s">
        <v>270</v>
      </c>
      <c r="S1050" s="38" t="s">
        <v>3000</v>
      </c>
      <c r="T1050" s="38" t="s">
        <v>3001</v>
      </c>
      <c r="U1050" s="38"/>
      <c r="V1050" s="38"/>
      <c r="W1050" s="38"/>
      <c r="X1050" s="14"/>
      <c r="AN1050" s="7" t="s">
        <v>155</v>
      </c>
      <c r="AO1050" s="21">
        <f t="shared" si="51"/>
        <v>0</v>
      </c>
      <c r="AP1050" s="7">
        <f t="shared" si="52"/>
        <v>15.14</v>
      </c>
      <c r="AQ1050" s="31" t="str">
        <f t="shared" si="53"/>
        <v>Complete - No Adjustment</v>
      </c>
    </row>
    <row r="1051" spans="1:43" x14ac:dyDescent="0.2">
      <c r="A1051" s="46">
        <v>1041</v>
      </c>
      <c r="B1051" s="38" t="s">
        <v>266</v>
      </c>
      <c r="C1051" s="38" t="s">
        <v>283</v>
      </c>
      <c r="D1051" s="38" t="s">
        <v>282</v>
      </c>
      <c r="E1051" s="38" t="s">
        <v>3002</v>
      </c>
      <c r="F1051" s="38" t="s">
        <v>3003</v>
      </c>
      <c r="G1051" s="38" t="s">
        <v>111</v>
      </c>
      <c r="H1051" s="44">
        <v>44012</v>
      </c>
      <c r="I1051" s="44">
        <v>44013</v>
      </c>
      <c r="J1051">
        <v>10264.129999999999</v>
      </c>
      <c r="K1051">
        <v>19.53</v>
      </c>
      <c r="L1051" t="s">
        <v>3004</v>
      </c>
      <c r="M1051" s="45" t="s">
        <v>98</v>
      </c>
      <c r="N1051" s="38" t="s">
        <v>230</v>
      </c>
      <c r="O1051" s="38" t="s">
        <v>284</v>
      </c>
      <c r="P1051" s="38" t="s">
        <v>60</v>
      </c>
      <c r="Q1051" s="38" t="s">
        <v>46</v>
      </c>
      <c r="R1051" s="38" t="s">
        <v>270</v>
      </c>
      <c r="S1051" s="38" t="s">
        <v>3005</v>
      </c>
      <c r="T1051" s="38" t="s">
        <v>3006</v>
      </c>
      <c r="U1051" s="38"/>
      <c r="V1051" s="38"/>
      <c r="W1051" s="38"/>
      <c r="X1051" s="14"/>
      <c r="AI1051" s="53">
        <f>19.53</f>
        <v>19.53</v>
      </c>
      <c r="AN1051" s="7" t="s">
        <v>145</v>
      </c>
      <c r="AO1051" s="21">
        <f t="shared" si="51"/>
        <v>19.53</v>
      </c>
      <c r="AP1051" s="7">
        <f t="shared" si="52"/>
        <v>0</v>
      </c>
      <c r="AQ1051" s="31" t="str">
        <f t="shared" si="53"/>
        <v>Complete - With Adjustment</v>
      </c>
    </row>
    <row r="1052" spans="1:43" x14ac:dyDescent="0.2">
      <c r="A1052" s="46">
        <v>1042</v>
      </c>
      <c r="B1052" s="38" t="s">
        <v>266</v>
      </c>
      <c r="C1052" s="38" t="s">
        <v>283</v>
      </c>
      <c r="D1052" s="38" t="s">
        <v>282</v>
      </c>
      <c r="E1052" s="38" t="s">
        <v>3002</v>
      </c>
      <c r="F1052" s="38" t="s">
        <v>3003</v>
      </c>
      <c r="G1052" s="38" t="s">
        <v>111</v>
      </c>
      <c r="H1052" s="44">
        <v>44012</v>
      </c>
      <c r="I1052" s="44">
        <v>44013</v>
      </c>
      <c r="J1052">
        <v>10264.129999999999</v>
      </c>
      <c r="K1052">
        <v>231.39</v>
      </c>
      <c r="L1052" t="s">
        <v>3004</v>
      </c>
      <c r="M1052" s="45" t="s">
        <v>98</v>
      </c>
      <c r="N1052" s="38" t="s">
        <v>230</v>
      </c>
      <c r="O1052" s="38" t="s">
        <v>284</v>
      </c>
      <c r="P1052" s="38" t="s">
        <v>60</v>
      </c>
      <c r="Q1052" s="38" t="s">
        <v>46</v>
      </c>
      <c r="R1052" s="38" t="s">
        <v>270</v>
      </c>
      <c r="S1052" s="38" t="s">
        <v>3005</v>
      </c>
      <c r="T1052" s="38" t="s">
        <v>3007</v>
      </c>
      <c r="U1052" s="38"/>
      <c r="V1052" s="38"/>
      <c r="W1052" s="38"/>
      <c r="X1052" s="14"/>
      <c r="AI1052" s="53">
        <f>231.39</f>
        <v>231.39</v>
      </c>
      <c r="AN1052" s="7" t="s">
        <v>145</v>
      </c>
      <c r="AO1052" s="21">
        <f t="shared" si="51"/>
        <v>231.39</v>
      </c>
      <c r="AP1052" s="7">
        <f t="shared" si="52"/>
        <v>0</v>
      </c>
      <c r="AQ1052" s="31" t="str">
        <f t="shared" si="53"/>
        <v>Complete - With Adjustment</v>
      </c>
    </row>
    <row r="1053" spans="1:43" x14ac:dyDescent="0.2">
      <c r="A1053" s="46">
        <v>1043</v>
      </c>
      <c r="B1053" s="38" t="s">
        <v>266</v>
      </c>
      <c r="C1053" s="38" t="s">
        <v>283</v>
      </c>
      <c r="D1053" s="38" t="s">
        <v>282</v>
      </c>
      <c r="E1053" s="38" t="s">
        <v>3002</v>
      </c>
      <c r="F1053" s="38" t="s">
        <v>3003</v>
      </c>
      <c r="G1053" s="38" t="s">
        <v>111</v>
      </c>
      <c r="H1053" s="44">
        <v>44012</v>
      </c>
      <c r="I1053" s="44">
        <v>44013</v>
      </c>
      <c r="J1053">
        <v>10264.129999999999</v>
      </c>
      <c r="K1053">
        <v>10000</v>
      </c>
      <c r="L1053" t="s">
        <v>3004</v>
      </c>
      <c r="M1053" s="45" t="s">
        <v>97</v>
      </c>
      <c r="N1053" s="38" t="s">
        <v>230</v>
      </c>
      <c r="O1053" s="38" t="s">
        <v>284</v>
      </c>
      <c r="P1053" s="38" t="s">
        <v>80</v>
      </c>
      <c r="Q1053" s="38" t="s">
        <v>81</v>
      </c>
      <c r="R1053" s="38" t="s">
        <v>270</v>
      </c>
      <c r="S1053" s="38" t="s">
        <v>3005</v>
      </c>
      <c r="T1053" s="38" t="s">
        <v>3008</v>
      </c>
      <c r="U1053" s="38"/>
      <c r="V1053" s="38"/>
      <c r="W1053" s="38"/>
      <c r="X1053" s="14"/>
      <c r="AL1053" s="14">
        <f>10000</f>
        <v>10000</v>
      </c>
      <c r="AN1053" s="7" t="s">
        <v>3009</v>
      </c>
      <c r="AO1053" s="21">
        <f t="shared" si="51"/>
        <v>10000</v>
      </c>
      <c r="AP1053" s="7">
        <f t="shared" si="52"/>
        <v>0</v>
      </c>
      <c r="AQ1053" s="31" t="str">
        <f t="shared" si="53"/>
        <v>Complete - With Adjustment</v>
      </c>
    </row>
    <row r="1054" spans="1:43" x14ac:dyDescent="0.2">
      <c r="A1054" s="46">
        <v>1044</v>
      </c>
      <c r="B1054" s="38" t="s">
        <v>266</v>
      </c>
      <c r="C1054" s="38" t="s">
        <v>283</v>
      </c>
      <c r="D1054" s="38" t="s">
        <v>282</v>
      </c>
      <c r="E1054" s="38" t="s">
        <v>3002</v>
      </c>
      <c r="F1054" s="38" t="s">
        <v>3003</v>
      </c>
      <c r="G1054" s="38" t="s">
        <v>111</v>
      </c>
      <c r="H1054" s="44">
        <v>44012</v>
      </c>
      <c r="I1054" s="44">
        <v>44013</v>
      </c>
      <c r="J1054">
        <v>10264.129999999999</v>
      </c>
      <c r="K1054">
        <v>12.18</v>
      </c>
      <c r="L1054" t="s">
        <v>3004</v>
      </c>
      <c r="M1054" s="45" t="s">
        <v>97</v>
      </c>
      <c r="N1054" s="38" t="s">
        <v>230</v>
      </c>
      <c r="O1054" s="38" t="s">
        <v>284</v>
      </c>
      <c r="P1054" s="38" t="s">
        <v>64</v>
      </c>
      <c r="Q1054" s="38" t="s">
        <v>46</v>
      </c>
      <c r="R1054" s="38" t="s">
        <v>270</v>
      </c>
      <c r="S1054" s="38" t="s">
        <v>3005</v>
      </c>
      <c r="T1054" s="38" t="s">
        <v>3007</v>
      </c>
      <c r="U1054" s="38"/>
      <c r="V1054" s="38"/>
      <c r="W1054" s="38"/>
      <c r="X1054" s="14"/>
      <c r="AG1054" s="53">
        <f>12.18</f>
        <v>12.18</v>
      </c>
      <c r="AN1054" s="7" t="s">
        <v>69</v>
      </c>
      <c r="AO1054" s="21">
        <f t="shared" si="51"/>
        <v>12.18</v>
      </c>
      <c r="AP1054" s="7">
        <f t="shared" si="52"/>
        <v>0</v>
      </c>
      <c r="AQ1054" s="31" t="str">
        <f t="shared" si="53"/>
        <v>Complete - With Adjustment</v>
      </c>
    </row>
    <row r="1055" spans="1:43" x14ac:dyDescent="0.2">
      <c r="A1055" s="46">
        <v>1045</v>
      </c>
      <c r="B1055" s="38" t="s">
        <v>266</v>
      </c>
      <c r="C1055" s="38" t="s">
        <v>283</v>
      </c>
      <c r="D1055" s="38" t="s">
        <v>282</v>
      </c>
      <c r="E1055" s="38" t="s">
        <v>3002</v>
      </c>
      <c r="F1055" s="38" t="s">
        <v>3003</v>
      </c>
      <c r="G1055" s="38" t="s">
        <v>111</v>
      </c>
      <c r="H1055" s="44">
        <v>44012</v>
      </c>
      <c r="I1055" s="44">
        <v>44013</v>
      </c>
      <c r="J1055">
        <v>10264.129999999999</v>
      </c>
      <c r="K1055">
        <v>1.03</v>
      </c>
      <c r="L1055" t="s">
        <v>3004</v>
      </c>
      <c r="M1055" s="45" t="s">
        <v>97</v>
      </c>
      <c r="N1055" s="38" t="s">
        <v>230</v>
      </c>
      <c r="O1055" s="38" t="s">
        <v>284</v>
      </c>
      <c r="P1055" s="38" t="s">
        <v>64</v>
      </c>
      <c r="Q1055" s="38" t="s">
        <v>46</v>
      </c>
      <c r="R1055" s="38" t="s">
        <v>270</v>
      </c>
      <c r="S1055" s="38" t="s">
        <v>3005</v>
      </c>
      <c r="T1055" s="38" t="s">
        <v>3006</v>
      </c>
      <c r="U1055" s="38"/>
      <c r="V1055" s="38"/>
      <c r="W1055" s="38"/>
      <c r="X1055" s="14"/>
      <c r="AG1055" s="53">
        <f>1.03</f>
        <v>1.03</v>
      </c>
      <c r="AN1055" s="7" t="s">
        <v>69</v>
      </c>
      <c r="AO1055" s="21">
        <f t="shared" si="51"/>
        <v>1.03</v>
      </c>
      <c r="AP1055" s="7">
        <f t="shared" si="52"/>
        <v>0</v>
      </c>
      <c r="AQ1055" s="31" t="str">
        <f t="shared" si="53"/>
        <v>Complete - With Adjustment</v>
      </c>
    </row>
    <row r="1056" spans="1:43" x14ac:dyDescent="0.2">
      <c r="A1056" s="46">
        <v>1046</v>
      </c>
      <c r="B1056" s="38" t="s">
        <v>266</v>
      </c>
      <c r="C1056" s="38" t="s">
        <v>719</v>
      </c>
      <c r="D1056" s="38" t="s">
        <v>2121</v>
      </c>
      <c r="E1056" s="38" t="s">
        <v>3010</v>
      </c>
      <c r="F1056" s="38" t="s">
        <v>2960</v>
      </c>
      <c r="G1056" s="38" t="s">
        <v>111</v>
      </c>
      <c r="H1056" s="44">
        <v>44034</v>
      </c>
      <c r="I1056" s="44">
        <v>44036</v>
      </c>
      <c r="J1056">
        <v>15</v>
      </c>
      <c r="K1056">
        <v>4.5</v>
      </c>
      <c r="L1056" t="s">
        <v>3011</v>
      </c>
      <c r="M1056" s="45" t="s">
        <v>97</v>
      </c>
      <c r="N1056" s="38" t="s">
        <v>230</v>
      </c>
      <c r="O1056" s="38" t="s">
        <v>50</v>
      </c>
      <c r="P1056" s="38" t="s">
        <v>72</v>
      </c>
      <c r="Q1056" s="38" t="s">
        <v>41</v>
      </c>
      <c r="R1056" s="38" t="s">
        <v>270</v>
      </c>
      <c r="S1056" s="38" t="s">
        <v>3012</v>
      </c>
      <c r="T1056" s="38" t="s">
        <v>3013</v>
      </c>
      <c r="U1056" s="38"/>
      <c r="V1056" s="38"/>
      <c r="W1056" s="38"/>
      <c r="X1056" s="14"/>
      <c r="AN1056" s="7" t="s">
        <v>155</v>
      </c>
      <c r="AO1056" s="21">
        <f t="shared" si="51"/>
        <v>0</v>
      </c>
      <c r="AP1056" s="7">
        <f t="shared" si="52"/>
        <v>4.5</v>
      </c>
      <c r="AQ1056" s="31" t="str">
        <f t="shared" si="53"/>
        <v>Complete - No Adjustment</v>
      </c>
    </row>
    <row r="1057" spans="1:43" x14ac:dyDescent="0.2">
      <c r="A1057" s="46">
        <v>1047</v>
      </c>
      <c r="B1057" s="38" t="s">
        <v>266</v>
      </c>
      <c r="C1057" s="38" t="s">
        <v>719</v>
      </c>
      <c r="D1057" s="38" t="s">
        <v>2121</v>
      </c>
      <c r="E1057" s="38" t="s">
        <v>3010</v>
      </c>
      <c r="F1057" s="38" t="s">
        <v>2960</v>
      </c>
      <c r="G1057" s="38" t="s">
        <v>111</v>
      </c>
      <c r="H1057" s="44">
        <v>44034</v>
      </c>
      <c r="I1057" s="44">
        <v>44036</v>
      </c>
      <c r="J1057">
        <v>15</v>
      </c>
      <c r="K1057">
        <v>10.5</v>
      </c>
      <c r="L1057" t="s">
        <v>3011</v>
      </c>
      <c r="M1057" s="45" t="s">
        <v>98</v>
      </c>
      <c r="N1057" s="38" t="s">
        <v>230</v>
      </c>
      <c r="O1057" s="38" t="s">
        <v>559</v>
      </c>
      <c r="P1057" s="38" t="s">
        <v>60</v>
      </c>
      <c r="Q1057" s="38" t="s">
        <v>41</v>
      </c>
      <c r="R1057" s="38" t="s">
        <v>270</v>
      </c>
      <c r="S1057" s="38" t="s">
        <v>3012</v>
      </c>
      <c r="T1057" s="38" t="s">
        <v>3013</v>
      </c>
      <c r="U1057" s="38"/>
      <c r="V1057" s="38"/>
      <c r="W1057" s="38"/>
      <c r="X1057" s="14"/>
      <c r="AN1057" s="7" t="s">
        <v>155</v>
      </c>
      <c r="AO1057" s="21">
        <f t="shared" si="51"/>
        <v>0</v>
      </c>
      <c r="AP1057" s="7">
        <f t="shared" si="52"/>
        <v>10.5</v>
      </c>
      <c r="AQ1057" s="31" t="str">
        <f t="shared" si="53"/>
        <v>Complete - No Adjustment</v>
      </c>
    </row>
    <row r="1058" spans="1:43" x14ac:dyDescent="0.2">
      <c r="A1058" s="46">
        <v>1048</v>
      </c>
      <c r="B1058" s="38" t="s">
        <v>266</v>
      </c>
      <c r="C1058" s="38" t="s">
        <v>681</v>
      </c>
      <c r="D1058" s="38" t="s">
        <v>3014</v>
      </c>
      <c r="E1058" s="38" t="s">
        <v>3015</v>
      </c>
      <c r="F1058" s="38" t="s">
        <v>2965</v>
      </c>
      <c r="G1058" s="38" t="s">
        <v>111</v>
      </c>
      <c r="H1058" s="44">
        <v>44035</v>
      </c>
      <c r="I1058" s="44">
        <v>44040</v>
      </c>
      <c r="J1058">
        <v>25.65</v>
      </c>
      <c r="K1058">
        <v>10.65</v>
      </c>
      <c r="L1058" t="s">
        <v>3016</v>
      </c>
      <c r="M1058" s="45" t="s">
        <v>98</v>
      </c>
      <c r="N1058" s="38" t="s">
        <v>230</v>
      </c>
      <c r="O1058" s="38" t="s">
        <v>78</v>
      </c>
      <c r="P1058" s="38" t="s">
        <v>60</v>
      </c>
      <c r="Q1058" s="38" t="s">
        <v>41</v>
      </c>
      <c r="R1058" s="38" t="s">
        <v>270</v>
      </c>
      <c r="S1058" s="38" t="s">
        <v>2180</v>
      </c>
      <c r="T1058" s="38" t="s">
        <v>2181</v>
      </c>
      <c r="U1058" s="38"/>
      <c r="V1058" s="38"/>
      <c r="W1058" s="38"/>
      <c r="X1058" s="14"/>
      <c r="AN1058" s="7" t="s">
        <v>155</v>
      </c>
      <c r="AO1058" s="21">
        <f t="shared" si="51"/>
        <v>0</v>
      </c>
      <c r="AP1058" s="7">
        <f t="shared" si="52"/>
        <v>10.65</v>
      </c>
      <c r="AQ1058" s="31" t="str">
        <f t="shared" si="53"/>
        <v>Complete - No Adjustment</v>
      </c>
    </row>
    <row r="1059" spans="1:43" x14ac:dyDescent="0.2">
      <c r="A1059" s="46">
        <v>1049</v>
      </c>
      <c r="B1059" s="38" t="s">
        <v>266</v>
      </c>
      <c r="C1059" s="38" t="s">
        <v>681</v>
      </c>
      <c r="D1059" s="38" t="s">
        <v>3014</v>
      </c>
      <c r="E1059" s="38" t="s">
        <v>3015</v>
      </c>
      <c r="F1059" s="38" t="s">
        <v>2965</v>
      </c>
      <c r="G1059" s="38" t="s">
        <v>111</v>
      </c>
      <c r="H1059" s="44">
        <v>44035</v>
      </c>
      <c r="I1059" s="44">
        <v>44040</v>
      </c>
      <c r="J1059">
        <v>25.65</v>
      </c>
      <c r="K1059">
        <v>15</v>
      </c>
      <c r="L1059" t="s">
        <v>3016</v>
      </c>
      <c r="M1059" s="45" t="s">
        <v>98</v>
      </c>
      <c r="N1059" s="38" t="s">
        <v>230</v>
      </c>
      <c r="O1059" s="38" t="s">
        <v>78</v>
      </c>
      <c r="P1059" s="38" t="s">
        <v>60</v>
      </c>
      <c r="Q1059" s="38" t="s">
        <v>41</v>
      </c>
      <c r="R1059" s="38" t="s">
        <v>270</v>
      </c>
      <c r="S1059" s="38" t="s">
        <v>2180</v>
      </c>
      <c r="T1059" s="38" t="s">
        <v>2181</v>
      </c>
      <c r="U1059" s="38"/>
      <c r="V1059" s="38"/>
      <c r="W1059" s="38"/>
      <c r="X1059" s="14"/>
      <c r="AN1059" s="7" t="s">
        <v>155</v>
      </c>
      <c r="AO1059" s="21">
        <f t="shared" si="51"/>
        <v>0</v>
      </c>
      <c r="AP1059" s="7">
        <f t="shared" si="52"/>
        <v>15</v>
      </c>
      <c r="AQ1059" s="31" t="str">
        <f t="shared" si="53"/>
        <v>Complete - No Adjustment</v>
      </c>
    </row>
    <row r="1060" spans="1:43" x14ac:dyDescent="0.2">
      <c r="A1060" s="46">
        <v>1050</v>
      </c>
      <c r="B1060" s="38" t="s">
        <v>266</v>
      </c>
      <c r="C1060" s="38" t="s">
        <v>309</v>
      </c>
      <c r="D1060" s="38" t="s">
        <v>308</v>
      </c>
      <c r="E1060" s="38" t="s">
        <v>3017</v>
      </c>
      <c r="F1060" s="38" t="s">
        <v>3018</v>
      </c>
      <c r="G1060" s="38" t="s">
        <v>111</v>
      </c>
      <c r="H1060" s="44">
        <v>43917</v>
      </c>
      <c r="I1060" s="44">
        <v>44028</v>
      </c>
      <c r="J1060">
        <v>1387.2</v>
      </c>
      <c r="K1060">
        <v>29.01</v>
      </c>
      <c r="L1060" t="s">
        <v>3019</v>
      </c>
      <c r="M1060" s="45" t="s">
        <v>98</v>
      </c>
      <c r="N1060" s="38" t="s">
        <v>230</v>
      </c>
      <c r="O1060" s="38" t="s">
        <v>310</v>
      </c>
      <c r="P1060" s="38" t="s">
        <v>60</v>
      </c>
      <c r="Q1060" s="38" t="s">
        <v>41</v>
      </c>
      <c r="R1060" s="38" t="s">
        <v>270</v>
      </c>
      <c r="S1060" s="38" t="s">
        <v>3020</v>
      </c>
      <c r="T1060" s="38" t="s">
        <v>3021</v>
      </c>
      <c r="U1060" s="38"/>
      <c r="V1060" s="38"/>
      <c r="W1060" s="38"/>
      <c r="X1060" s="14"/>
      <c r="AN1060" s="7" t="s">
        <v>70</v>
      </c>
      <c r="AO1060" s="21">
        <f t="shared" si="51"/>
        <v>0</v>
      </c>
      <c r="AP1060" s="7">
        <f t="shared" si="52"/>
        <v>29.01</v>
      </c>
      <c r="AQ1060" s="31" t="str">
        <f t="shared" si="53"/>
        <v>Complete - No Adjustment</v>
      </c>
    </row>
    <row r="1061" spans="1:43" x14ac:dyDescent="0.2">
      <c r="A1061" s="46">
        <v>1051</v>
      </c>
      <c r="B1061" s="38" t="s">
        <v>266</v>
      </c>
      <c r="C1061" s="38" t="s">
        <v>309</v>
      </c>
      <c r="D1061" s="38" t="s">
        <v>308</v>
      </c>
      <c r="E1061" s="38" t="s">
        <v>3017</v>
      </c>
      <c r="F1061" s="38" t="s">
        <v>3018</v>
      </c>
      <c r="G1061" s="38" t="s">
        <v>111</v>
      </c>
      <c r="H1061" s="44">
        <v>43917</v>
      </c>
      <c r="I1061" s="44">
        <v>44028</v>
      </c>
      <c r="J1061">
        <v>1387.2</v>
      </c>
      <c r="K1061">
        <v>41.12</v>
      </c>
      <c r="L1061" t="s">
        <v>3019</v>
      </c>
      <c r="M1061" s="45" t="s">
        <v>98</v>
      </c>
      <c r="N1061" s="38" t="s">
        <v>230</v>
      </c>
      <c r="O1061" s="38" t="s">
        <v>310</v>
      </c>
      <c r="P1061" s="38" t="s">
        <v>60</v>
      </c>
      <c r="Q1061" s="38" t="s">
        <v>41</v>
      </c>
      <c r="R1061" s="38" t="s">
        <v>270</v>
      </c>
      <c r="S1061" s="38" t="s">
        <v>3020</v>
      </c>
      <c r="T1061" s="38" t="s">
        <v>3022</v>
      </c>
      <c r="U1061" s="38"/>
      <c r="V1061" s="38"/>
      <c r="W1061" s="38"/>
      <c r="X1061" s="14"/>
      <c r="AN1061" s="7" t="s">
        <v>70</v>
      </c>
      <c r="AO1061" s="21">
        <f t="shared" si="51"/>
        <v>0</v>
      </c>
      <c r="AP1061" s="7">
        <f t="shared" si="52"/>
        <v>41.12</v>
      </c>
      <c r="AQ1061" s="31" t="str">
        <f t="shared" si="53"/>
        <v>Complete - No Adjustment</v>
      </c>
    </row>
    <row r="1062" spans="1:43" x14ac:dyDescent="0.2">
      <c r="A1062" s="46">
        <v>1052</v>
      </c>
      <c r="B1062" s="38" t="s">
        <v>266</v>
      </c>
      <c r="C1062" s="38" t="s">
        <v>309</v>
      </c>
      <c r="D1062" s="38" t="s">
        <v>308</v>
      </c>
      <c r="E1062" s="38" t="s">
        <v>3017</v>
      </c>
      <c r="F1062" s="38" t="s">
        <v>3018</v>
      </c>
      <c r="G1062" s="38" t="s">
        <v>111</v>
      </c>
      <c r="H1062" s="44">
        <v>43917</v>
      </c>
      <c r="I1062" s="44">
        <v>44028</v>
      </c>
      <c r="J1062">
        <v>1387.2</v>
      </c>
      <c r="K1062">
        <v>10.86</v>
      </c>
      <c r="L1062" t="s">
        <v>3019</v>
      </c>
      <c r="M1062" s="45" t="s">
        <v>98</v>
      </c>
      <c r="N1062" s="38" t="s">
        <v>230</v>
      </c>
      <c r="O1062" s="38" t="s">
        <v>310</v>
      </c>
      <c r="P1062" s="38" t="s">
        <v>60</v>
      </c>
      <c r="Q1062" s="38" t="s">
        <v>41</v>
      </c>
      <c r="R1062" s="38" t="s">
        <v>270</v>
      </c>
      <c r="S1062" s="38" t="s">
        <v>3020</v>
      </c>
      <c r="T1062" s="38" t="s">
        <v>3023</v>
      </c>
      <c r="U1062" s="38"/>
      <c r="V1062" s="38"/>
      <c r="W1062" s="38"/>
      <c r="X1062" s="14"/>
      <c r="AN1062" s="7" t="s">
        <v>70</v>
      </c>
      <c r="AO1062" s="21">
        <f t="shared" si="51"/>
        <v>0</v>
      </c>
      <c r="AP1062" s="7">
        <f t="shared" si="52"/>
        <v>10.86</v>
      </c>
      <c r="AQ1062" s="31" t="str">
        <f t="shared" si="53"/>
        <v>Complete - No Adjustment</v>
      </c>
    </row>
    <row r="1063" spans="1:43" x14ac:dyDescent="0.2">
      <c r="A1063" s="46">
        <v>1053</v>
      </c>
      <c r="B1063" s="38" t="s">
        <v>266</v>
      </c>
      <c r="C1063" s="38" t="s">
        <v>309</v>
      </c>
      <c r="D1063" s="38" t="s">
        <v>308</v>
      </c>
      <c r="E1063" s="38" t="s">
        <v>3017</v>
      </c>
      <c r="F1063" s="38" t="s">
        <v>3018</v>
      </c>
      <c r="G1063" s="38" t="s">
        <v>111</v>
      </c>
      <c r="H1063" s="44">
        <v>43917</v>
      </c>
      <c r="I1063" s="44">
        <v>44028</v>
      </c>
      <c r="J1063">
        <v>1387.2</v>
      </c>
      <c r="K1063">
        <v>228.27</v>
      </c>
      <c r="L1063" t="s">
        <v>3019</v>
      </c>
      <c r="M1063" s="45" t="s">
        <v>98</v>
      </c>
      <c r="N1063" s="38" t="s">
        <v>230</v>
      </c>
      <c r="O1063" s="38" t="s">
        <v>310</v>
      </c>
      <c r="P1063" s="38" t="s">
        <v>60</v>
      </c>
      <c r="Q1063" s="38" t="s">
        <v>62</v>
      </c>
      <c r="R1063" s="38" t="s">
        <v>270</v>
      </c>
      <c r="S1063" s="38" t="s">
        <v>3020</v>
      </c>
      <c r="T1063" s="38" t="s">
        <v>3024</v>
      </c>
      <c r="U1063" s="38"/>
      <c r="V1063" s="38"/>
      <c r="W1063" s="38"/>
      <c r="X1063" s="14"/>
      <c r="AN1063" s="7" t="s">
        <v>70</v>
      </c>
      <c r="AO1063" s="21">
        <f t="shared" si="51"/>
        <v>0</v>
      </c>
      <c r="AP1063" s="7">
        <f t="shared" si="52"/>
        <v>228.27</v>
      </c>
      <c r="AQ1063" s="31" t="str">
        <f t="shared" si="53"/>
        <v>Complete - No Adjustment</v>
      </c>
    </row>
    <row r="1064" spans="1:43" x14ac:dyDescent="0.2">
      <c r="A1064" s="46">
        <v>1054</v>
      </c>
      <c r="B1064" s="38" t="s">
        <v>266</v>
      </c>
      <c r="C1064" s="38" t="s">
        <v>309</v>
      </c>
      <c r="D1064" s="38" t="s">
        <v>308</v>
      </c>
      <c r="E1064" s="38" t="s">
        <v>3017</v>
      </c>
      <c r="F1064" s="38" t="s">
        <v>3018</v>
      </c>
      <c r="G1064" s="38" t="s">
        <v>111</v>
      </c>
      <c r="H1064" s="44">
        <v>43917</v>
      </c>
      <c r="I1064" s="44">
        <v>44028</v>
      </c>
      <c r="J1064">
        <v>1387.2</v>
      </c>
      <c r="K1064">
        <v>84.82</v>
      </c>
      <c r="L1064" t="s">
        <v>3019</v>
      </c>
      <c r="M1064" s="45" t="s">
        <v>98</v>
      </c>
      <c r="N1064" s="38" t="s">
        <v>230</v>
      </c>
      <c r="O1064" s="38" t="s">
        <v>310</v>
      </c>
      <c r="P1064" s="38" t="s">
        <v>60</v>
      </c>
      <c r="Q1064" s="38" t="s">
        <v>41</v>
      </c>
      <c r="R1064" s="38" t="s">
        <v>270</v>
      </c>
      <c r="S1064" s="38" t="s">
        <v>3020</v>
      </c>
      <c r="T1064" s="38" t="s">
        <v>3025</v>
      </c>
      <c r="U1064" s="38"/>
      <c r="V1064" s="38"/>
      <c r="W1064" s="38"/>
      <c r="X1064" s="14"/>
      <c r="AL1064" s="14">
        <f>84.82</f>
        <v>84.82</v>
      </c>
      <c r="AN1064" s="7" t="s">
        <v>146</v>
      </c>
      <c r="AO1064" s="21">
        <f t="shared" si="51"/>
        <v>84.82</v>
      </c>
      <c r="AP1064" s="7">
        <f t="shared" si="52"/>
        <v>0</v>
      </c>
      <c r="AQ1064" s="31" t="str">
        <f t="shared" si="53"/>
        <v>Complete - With Adjustment</v>
      </c>
    </row>
    <row r="1065" spans="1:43" x14ac:dyDescent="0.2">
      <c r="A1065" s="46">
        <v>1055</v>
      </c>
      <c r="B1065" s="38" t="s">
        <v>266</v>
      </c>
      <c r="C1065" s="38" t="s">
        <v>309</v>
      </c>
      <c r="D1065" s="38" t="s">
        <v>308</v>
      </c>
      <c r="E1065" s="38" t="s">
        <v>3017</v>
      </c>
      <c r="F1065" s="38" t="s">
        <v>3018</v>
      </c>
      <c r="G1065" s="38" t="s">
        <v>111</v>
      </c>
      <c r="H1065" s="44">
        <v>43917</v>
      </c>
      <c r="I1065" s="44">
        <v>44028</v>
      </c>
      <c r="J1065">
        <v>1387.2</v>
      </c>
      <c r="K1065">
        <v>8.89</v>
      </c>
      <c r="L1065" t="s">
        <v>3019</v>
      </c>
      <c r="M1065" s="45" t="s">
        <v>98</v>
      </c>
      <c r="N1065" s="38" t="s">
        <v>230</v>
      </c>
      <c r="O1065" s="38" t="s">
        <v>310</v>
      </c>
      <c r="P1065" s="38" t="s">
        <v>60</v>
      </c>
      <c r="Q1065" s="38" t="s">
        <v>41</v>
      </c>
      <c r="R1065" s="38" t="s">
        <v>270</v>
      </c>
      <c r="S1065" s="38" t="s">
        <v>3020</v>
      </c>
      <c r="T1065" s="38" t="s">
        <v>3023</v>
      </c>
      <c r="U1065" s="38"/>
      <c r="V1065" s="38"/>
      <c r="W1065" s="38"/>
      <c r="X1065" s="14"/>
      <c r="AN1065" s="7" t="s">
        <v>70</v>
      </c>
      <c r="AO1065" s="21">
        <f t="shared" si="51"/>
        <v>0</v>
      </c>
      <c r="AP1065" s="7">
        <f t="shared" si="52"/>
        <v>8.89</v>
      </c>
      <c r="AQ1065" s="31" t="str">
        <f t="shared" si="53"/>
        <v>Complete - No Adjustment</v>
      </c>
    </row>
    <row r="1066" spans="1:43" x14ac:dyDescent="0.2">
      <c r="A1066" s="46">
        <v>1056</v>
      </c>
      <c r="B1066" s="38" t="s">
        <v>266</v>
      </c>
      <c r="C1066" s="38" t="s">
        <v>309</v>
      </c>
      <c r="D1066" s="38" t="s">
        <v>308</v>
      </c>
      <c r="E1066" s="38" t="s">
        <v>3017</v>
      </c>
      <c r="F1066" s="38" t="s">
        <v>3018</v>
      </c>
      <c r="G1066" s="38" t="s">
        <v>111</v>
      </c>
      <c r="H1066" s="44">
        <v>43917</v>
      </c>
      <c r="I1066" s="44">
        <v>44028</v>
      </c>
      <c r="J1066">
        <v>1387.2</v>
      </c>
      <c r="K1066">
        <v>17.55</v>
      </c>
      <c r="L1066" t="s">
        <v>3019</v>
      </c>
      <c r="M1066" s="45" t="s">
        <v>98</v>
      </c>
      <c r="N1066" s="38" t="s">
        <v>230</v>
      </c>
      <c r="O1066" s="38" t="s">
        <v>310</v>
      </c>
      <c r="P1066" s="38" t="s">
        <v>60</v>
      </c>
      <c r="Q1066" s="38" t="s">
        <v>41</v>
      </c>
      <c r="R1066" s="38" t="s">
        <v>270</v>
      </c>
      <c r="S1066" s="38" t="s">
        <v>3020</v>
      </c>
      <c r="T1066" s="38" t="s">
        <v>3023</v>
      </c>
      <c r="U1066" s="38"/>
      <c r="V1066" s="38"/>
      <c r="W1066" s="38"/>
      <c r="X1066" s="14"/>
      <c r="AN1066" s="7" t="s">
        <v>70</v>
      </c>
      <c r="AO1066" s="21">
        <f t="shared" si="51"/>
        <v>0</v>
      </c>
      <c r="AP1066" s="7">
        <f t="shared" si="52"/>
        <v>17.55</v>
      </c>
      <c r="AQ1066" s="31" t="str">
        <f t="shared" si="53"/>
        <v>Complete - No Adjustment</v>
      </c>
    </row>
    <row r="1067" spans="1:43" x14ac:dyDescent="0.2">
      <c r="A1067" s="46">
        <v>1057</v>
      </c>
      <c r="B1067" s="38" t="s">
        <v>266</v>
      </c>
      <c r="C1067" s="38" t="s">
        <v>309</v>
      </c>
      <c r="D1067" s="38" t="s">
        <v>308</v>
      </c>
      <c r="E1067" s="38" t="s">
        <v>3017</v>
      </c>
      <c r="F1067" s="38" t="s">
        <v>3018</v>
      </c>
      <c r="G1067" s="38" t="s">
        <v>111</v>
      </c>
      <c r="H1067" s="44">
        <v>43917</v>
      </c>
      <c r="I1067" s="44">
        <v>44028</v>
      </c>
      <c r="J1067">
        <v>1387.2</v>
      </c>
      <c r="K1067">
        <v>22.27</v>
      </c>
      <c r="L1067" t="s">
        <v>3019</v>
      </c>
      <c r="M1067" s="45" t="s">
        <v>98</v>
      </c>
      <c r="N1067" s="38" t="s">
        <v>230</v>
      </c>
      <c r="O1067" s="38" t="s">
        <v>310</v>
      </c>
      <c r="P1067" s="38" t="s">
        <v>60</v>
      </c>
      <c r="Q1067" s="38" t="s">
        <v>62</v>
      </c>
      <c r="R1067" s="38" t="s">
        <v>270</v>
      </c>
      <c r="S1067" s="38" t="s">
        <v>3020</v>
      </c>
      <c r="T1067" s="38" t="s">
        <v>3026</v>
      </c>
      <c r="U1067" s="38"/>
      <c r="V1067" s="38"/>
      <c r="W1067" s="38"/>
      <c r="X1067" s="14"/>
      <c r="AN1067" s="7" t="s">
        <v>70</v>
      </c>
      <c r="AO1067" s="21">
        <f t="shared" si="51"/>
        <v>0</v>
      </c>
      <c r="AP1067" s="7">
        <f t="shared" si="52"/>
        <v>22.27</v>
      </c>
      <c r="AQ1067" s="31" t="str">
        <f t="shared" si="53"/>
        <v>Complete - No Adjustment</v>
      </c>
    </row>
    <row r="1068" spans="1:43" x14ac:dyDescent="0.2">
      <c r="A1068" s="46">
        <v>1058</v>
      </c>
      <c r="B1068" s="38" t="s">
        <v>266</v>
      </c>
      <c r="C1068" s="38" t="s">
        <v>309</v>
      </c>
      <c r="D1068" s="38" t="s">
        <v>308</v>
      </c>
      <c r="E1068" s="38" t="s">
        <v>3017</v>
      </c>
      <c r="F1068" s="38" t="s">
        <v>3018</v>
      </c>
      <c r="G1068" s="38" t="s">
        <v>111</v>
      </c>
      <c r="H1068" s="44">
        <v>43917</v>
      </c>
      <c r="I1068" s="44">
        <v>44028</v>
      </c>
      <c r="J1068">
        <v>1387.2</v>
      </c>
      <c r="K1068">
        <v>197.02</v>
      </c>
      <c r="L1068" t="s">
        <v>3019</v>
      </c>
      <c r="M1068" s="45" t="s">
        <v>98</v>
      </c>
      <c r="N1068" s="38" t="s">
        <v>230</v>
      </c>
      <c r="O1068" s="38" t="s">
        <v>310</v>
      </c>
      <c r="P1068" s="38" t="s">
        <v>60</v>
      </c>
      <c r="Q1068" s="38" t="s">
        <v>62</v>
      </c>
      <c r="R1068" s="38" t="s">
        <v>270</v>
      </c>
      <c r="S1068" s="38" t="s">
        <v>3020</v>
      </c>
      <c r="T1068" s="38" t="s">
        <v>3027</v>
      </c>
      <c r="U1068" s="38"/>
      <c r="V1068" s="38"/>
      <c r="W1068" s="38"/>
      <c r="X1068" s="14"/>
      <c r="AN1068" s="7" t="s">
        <v>70</v>
      </c>
      <c r="AO1068" s="21">
        <f t="shared" si="51"/>
        <v>0</v>
      </c>
      <c r="AP1068" s="7">
        <f t="shared" si="52"/>
        <v>197.02</v>
      </c>
      <c r="AQ1068" s="31" t="str">
        <f t="shared" si="53"/>
        <v>Complete - No Adjustment</v>
      </c>
    </row>
    <row r="1069" spans="1:43" x14ac:dyDescent="0.2">
      <c r="A1069" s="46">
        <v>1059</v>
      </c>
      <c r="B1069" s="38" t="s">
        <v>266</v>
      </c>
      <c r="C1069" s="38" t="s">
        <v>309</v>
      </c>
      <c r="D1069" s="38" t="s">
        <v>308</v>
      </c>
      <c r="E1069" s="38" t="s">
        <v>3017</v>
      </c>
      <c r="F1069" s="38" t="s">
        <v>3018</v>
      </c>
      <c r="G1069" s="38" t="s">
        <v>111</v>
      </c>
      <c r="H1069" s="44">
        <v>43917</v>
      </c>
      <c r="I1069" s="44">
        <v>44028</v>
      </c>
      <c r="J1069">
        <v>1387.2</v>
      </c>
      <c r="K1069">
        <v>481</v>
      </c>
      <c r="L1069" t="s">
        <v>3019</v>
      </c>
      <c r="M1069" s="45" t="s">
        <v>98</v>
      </c>
      <c r="N1069" s="38" t="s">
        <v>230</v>
      </c>
      <c r="O1069" s="38" t="s">
        <v>310</v>
      </c>
      <c r="P1069" s="38" t="s">
        <v>60</v>
      </c>
      <c r="Q1069" s="38" t="s">
        <v>62</v>
      </c>
      <c r="R1069" s="38" t="s">
        <v>270</v>
      </c>
      <c r="S1069" s="38" t="s">
        <v>3020</v>
      </c>
      <c r="T1069" s="38" t="s">
        <v>3028</v>
      </c>
      <c r="U1069" s="38"/>
      <c r="V1069" s="38"/>
      <c r="W1069" s="38"/>
      <c r="X1069" s="14"/>
      <c r="AN1069" s="7" t="s">
        <v>70</v>
      </c>
      <c r="AO1069" s="21">
        <f t="shared" si="51"/>
        <v>0</v>
      </c>
      <c r="AP1069" s="7">
        <f t="shared" si="52"/>
        <v>481</v>
      </c>
      <c r="AQ1069" s="31" t="str">
        <f t="shared" si="53"/>
        <v>Complete - No Adjustment</v>
      </c>
    </row>
    <row r="1070" spans="1:43" x14ac:dyDescent="0.2">
      <c r="A1070" s="46">
        <v>1060</v>
      </c>
      <c r="B1070" s="38" t="s">
        <v>266</v>
      </c>
      <c r="C1070" s="38" t="s">
        <v>309</v>
      </c>
      <c r="D1070" s="38" t="s">
        <v>308</v>
      </c>
      <c r="E1070" s="38" t="s">
        <v>3017</v>
      </c>
      <c r="F1070" s="38" t="s">
        <v>3018</v>
      </c>
      <c r="G1070" s="38" t="s">
        <v>111</v>
      </c>
      <c r="H1070" s="44">
        <v>43917</v>
      </c>
      <c r="I1070" s="44">
        <v>44028</v>
      </c>
      <c r="J1070">
        <v>1387.2</v>
      </c>
      <c r="K1070">
        <v>32.19</v>
      </c>
      <c r="L1070" t="s">
        <v>3019</v>
      </c>
      <c r="M1070" s="45" t="s">
        <v>98</v>
      </c>
      <c r="N1070" s="38" t="s">
        <v>230</v>
      </c>
      <c r="O1070" s="38" t="s">
        <v>310</v>
      </c>
      <c r="P1070" s="38" t="s">
        <v>60</v>
      </c>
      <c r="Q1070" s="38" t="s">
        <v>41</v>
      </c>
      <c r="R1070" s="38" t="s">
        <v>270</v>
      </c>
      <c r="S1070" s="38" t="s">
        <v>3020</v>
      </c>
      <c r="T1070" s="38" t="s">
        <v>3029</v>
      </c>
      <c r="U1070" s="38"/>
      <c r="V1070" s="38"/>
      <c r="W1070" s="38"/>
      <c r="X1070" s="14"/>
      <c r="AB1070" s="14">
        <f>29.54-25</f>
        <v>4.5399999999999991</v>
      </c>
      <c r="AN1070" s="7" t="s">
        <v>66</v>
      </c>
      <c r="AO1070" s="21">
        <f t="shared" si="51"/>
        <v>4.5399999999999991</v>
      </c>
      <c r="AP1070" s="7">
        <f t="shared" si="52"/>
        <v>27.65</v>
      </c>
      <c r="AQ1070" s="31" t="str">
        <f t="shared" si="53"/>
        <v>Complete - With Adjustment</v>
      </c>
    </row>
    <row r="1071" spans="1:43" x14ac:dyDescent="0.2">
      <c r="A1071" s="46">
        <v>1061</v>
      </c>
      <c r="B1071" s="38" t="s">
        <v>266</v>
      </c>
      <c r="C1071" s="38" t="s">
        <v>309</v>
      </c>
      <c r="D1071" s="38" t="s">
        <v>308</v>
      </c>
      <c r="E1071" s="38" t="s">
        <v>3017</v>
      </c>
      <c r="F1071" s="38" t="s">
        <v>3018</v>
      </c>
      <c r="G1071" s="38" t="s">
        <v>111</v>
      </c>
      <c r="H1071" s="44">
        <v>43917</v>
      </c>
      <c r="I1071" s="44">
        <v>44028</v>
      </c>
      <c r="J1071">
        <v>1387.2</v>
      </c>
      <c r="K1071">
        <v>113.85</v>
      </c>
      <c r="L1071" t="s">
        <v>3019</v>
      </c>
      <c r="M1071" s="45" t="s">
        <v>98</v>
      </c>
      <c r="N1071" s="38" t="s">
        <v>230</v>
      </c>
      <c r="O1071" s="38" t="s">
        <v>310</v>
      </c>
      <c r="P1071" s="38" t="s">
        <v>60</v>
      </c>
      <c r="Q1071" s="38" t="s">
        <v>44</v>
      </c>
      <c r="R1071" s="38" t="s">
        <v>270</v>
      </c>
      <c r="S1071" s="38" t="s">
        <v>3020</v>
      </c>
      <c r="T1071" s="38" t="s">
        <v>3030</v>
      </c>
      <c r="U1071" s="38"/>
      <c r="V1071" s="38"/>
      <c r="W1071" s="38"/>
      <c r="X1071" s="14"/>
      <c r="AN1071" s="7" t="s">
        <v>70</v>
      </c>
      <c r="AO1071" s="21">
        <f t="shared" si="51"/>
        <v>0</v>
      </c>
      <c r="AP1071" s="7">
        <f t="shared" si="52"/>
        <v>113.85</v>
      </c>
      <c r="AQ1071" s="31" t="str">
        <f t="shared" si="53"/>
        <v>Complete - No Adjustment</v>
      </c>
    </row>
    <row r="1072" spans="1:43" x14ac:dyDescent="0.2">
      <c r="A1072" s="46">
        <v>1062</v>
      </c>
      <c r="B1072" s="38" t="s">
        <v>266</v>
      </c>
      <c r="C1072" s="38" t="s">
        <v>309</v>
      </c>
      <c r="D1072" s="38" t="s">
        <v>308</v>
      </c>
      <c r="E1072" s="38" t="s">
        <v>3017</v>
      </c>
      <c r="F1072" s="38" t="s">
        <v>3018</v>
      </c>
      <c r="G1072" s="38" t="s">
        <v>111</v>
      </c>
      <c r="H1072" s="44">
        <v>43917</v>
      </c>
      <c r="I1072" s="44">
        <v>44028</v>
      </c>
      <c r="J1072">
        <v>1387.2</v>
      </c>
      <c r="K1072">
        <v>10.35</v>
      </c>
      <c r="L1072" t="s">
        <v>3019</v>
      </c>
      <c r="M1072" s="45" t="s">
        <v>98</v>
      </c>
      <c r="N1072" s="38" t="s">
        <v>230</v>
      </c>
      <c r="O1072" s="38" t="s">
        <v>310</v>
      </c>
      <c r="P1072" s="38" t="s">
        <v>60</v>
      </c>
      <c r="Q1072" s="38" t="s">
        <v>41</v>
      </c>
      <c r="R1072" s="38" t="s">
        <v>270</v>
      </c>
      <c r="S1072" s="38" t="s">
        <v>3020</v>
      </c>
      <c r="T1072" s="38" t="s">
        <v>3031</v>
      </c>
      <c r="U1072" s="38"/>
      <c r="V1072" s="38"/>
      <c r="W1072" s="38"/>
      <c r="X1072" s="14"/>
      <c r="AN1072" s="7" t="s">
        <v>70</v>
      </c>
      <c r="AO1072" s="21">
        <f t="shared" si="51"/>
        <v>0</v>
      </c>
      <c r="AP1072" s="7">
        <f t="shared" si="52"/>
        <v>10.35</v>
      </c>
      <c r="AQ1072" s="31" t="str">
        <f t="shared" si="53"/>
        <v>Complete - No Adjustment</v>
      </c>
    </row>
    <row r="1073" spans="1:43" x14ac:dyDescent="0.2">
      <c r="A1073" s="46">
        <v>1063</v>
      </c>
      <c r="B1073" s="38" t="s">
        <v>266</v>
      </c>
      <c r="C1073" s="38" t="s">
        <v>309</v>
      </c>
      <c r="D1073" s="38" t="s">
        <v>308</v>
      </c>
      <c r="E1073" s="38" t="s">
        <v>3017</v>
      </c>
      <c r="F1073" s="38" t="s">
        <v>3018</v>
      </c>
      <c r="G1073" s="38" t="s">
        <v>111</v>
      </c>
      <c r="H1073" s="44">
        <v>43917</v>
      </c>
      <c r="I1073" s="44">
        <v>44028</v>
      </c>
      <c r="J1073">
        <v>1387.2</v>
      </c>
      <c r="K1073">
        <v>110</v>
      </c>
      <c r="L1073" t="s">
        <v>3019</v>
      </c>
      <c r="M1073" s="45" t="s">
        <v>98</v>
      </c>
      <c r="N1073" s="38" t="s">
        <v>230</v>
      </c>
      <c r="O1073" s="38" t="s">
        <v>310</v>
      </c>
      <c r="P1073" s="38" t="s">
        <v>60</v>
      </c>
      <c r="Q1073" s="38" t="s">
        <v>74</v>
      </c>
      <c r="R1073" s="38" t="s">
        <v>270</v>
      </c>
      <c r="S1073" s="38" t="s">
        <v>3020</v>
      </c>
      <c r="T1073" s="38" t="s">
        <v>3032</v>
      </c>
      <c r="U1073" s="38"/>
      <c r="V1073" s="38"/>
      <c r="W1073" s="38"/>
      <c r="X1073" s="14"/>
      <c r="AN1073" s="7" t="s">
        <v>70</v>
      </c>
      <c r="AO1073" s="21">
        <f t="shared" si="51"/>
        <v>0</v>
      </c>
      <c r="AP1073" s="7">
        <f t="shared" si="52"/>
        <v>110</v>
      </c>
      <c r="AQ1073" s="31" t="str">
        <f t="shared" si="53"/>
        <v>Complete - No Adjustment</v>
      </c>
    </row>
    <row r="1074" spans="1:43" x14ac:dyDescent="0.2">
      <c r="A1074" s="46">
        <v>1064</v>
      </c>
      <c r="B1074" s="38" t="s">
        <v>266</v>
      </c>
      <c r="C1074" s="38" t="s">
        <v>587</v>
      </c>
      <c r="D1074" s="38" t="s">
        <v>586</v>
      </c>
      <c r="E1074" s="38" t="s">
        <v>3033</v>
      </c>
      <c r="F1074" s="38" t="s">
        <v>3034</v>
      </c>
      <c r="G1074" s="38" t="s">
        <v>111</v>
      </c>
      <c r="H1074" s="44">
        <v>44019</v>
      </c>
      <c r="I1074" s="44">
        <v>44021</v>
      </c>
      <c r="J1074">
        <v>23.3</v>
      </c>
      <c r="K1074">
        <v>23.3</v>
      </c>
      <c r="L1074" t="s">
        <v>3035</v>
      </c>
      <c r="M1074" s="45" t="s">
        <v>98</v>
      </c>
      <c r="N1074" s="38" t="s">
        <v>230</v>
      </c>
      <c r="O1074" s="38" t="s">
        <v>277</v>
      </c>
      <c r="P1074" s="38" t="s">
        <v>60</v>
      </c>
      <c r="Q1074" s="38" t="s">
        <v>74</v>
      </c>
      <c r="R1074" s="38" t="s">
        <v>270</v>
      </c>
      <c r="S1074" s="38" t="s">
        <v>3036</v>
      </c>
      <c r="T1074" s="38" t="s">
        <v>3037</v>
      </c>
      <c r="U1074" s="38"/>
      <c r="V1074" s="38"/>
      <c r="W1074" s="38"/>
      <c r="X1074" s="14"/>
      <c r="AN1074" s="7" t="s">
        <v>155</v>
      </c>
      <c r="AO1074" s="21">
        <f t="shared" si="51"/>
        <v>0</v>
      </c>
      <c r="AP1074" s="7">
        <f t="shared" si="52"/>
        <v>23.3</v>
      </c>
      <c r="AQ1074" s="31" t="str">
        <f t="shared" si="53"/>
        <v>Complete - No Adjustment</v>
      </c>
    </row>
    <row r="1075" spans="1:43" x14ac:dyDescent="0.2">
      <c r="A1075" s="46">
        <v>1065</v>
      </c>
      <c r="B1075" s="38" t="s">
        <v>266</v>
      </c>
      <c r="C1075" s="38" t="s">
        <v>313</v>
      </c>
      <c r="D1075" s="38" t="s">
        <v>312</v>
      </c>
      <c r="E1075" s="38" t="s">
        <v>3038</v>
      </c>
      <c r="F1075" s="38" t="s">
        <v>3039</v>
      </c>
      <c r="G1075" s="38" t="s">
        <v>111</v>
      </c>
      <c r="H1075" s="44">
        <v>44039</v>
      </c>
      <c r="I1075" s="44">
        <v>44041</v>
      </c>
      <c r="J1075">
        <v>830.29</v>
      </c>
      <c r="K1075">
        <v>33.619999999999997</v>
      </c>
      <c r="L1075" t="s">
        <v>3040</v>
      </c>
      <c r="M1075" s="45" t="s">
        <v>98</v>
      </c>
      <c r="N1075" s="38" t="s">
        <v>230</v>
      </c>
      <c r="O1075" s="38" t="s">
        <v>314</v>
      </c>
      <c r="P1075" s="38" t="s">
        <v>60</v>
      </c>
      <c r="Q1075" s="38" t="s">
        <v>62</v>
      </c>
      <c r="R1075" s="38" t="s">
        <v>270</v>
      </c>
      <c r="S1075" s="38" t="s">
        <v>3041</v>
      </c>
      <c r="T1075" s="38" t="s">
        <v>3042</v>
      </c>
      <c r="U1075" s="38"/>
      <c r="V1075" s="38"/>
      <c r="W1075" s="38"/>
      <c r="X1075" s="14"/>
      <c r="AN1075" s="7" t="s">
        <v>70</v>
      </c>
      <c r="AO1075" s="21">
        <f t="shared" si="51"/>
        <v>0</v>
      </c>
      <c r="AP1075" s="7">
        <f t="shared" si="52"/>
        <v>33.619999999999997</v>
      </c>
      <c r="AQ1075" s="31" t="str">
        <f t="shared" si="53"/>
        <v>Complete - No Adjustment</v>
      </c>
    </row>
    <row r="1076" spans="1:43" x14ac:dyDescent="0.2">
      <c r="A1076" s="46">
        <v>1066</v>
      </c>
      <c r="B1076" s="38" t="s">
        <v>266</v>
      </c>
      <c r="C1076" s="38" t="s">
        <v>313</v>
      </c>
      <c r="D1076" s="38" t="s">
        <v>312</v>
      </c>
      <c r="E1076" s="38" t="s">
        <v>3038</v>
      </c>
      <c r="F1076" s="38" t="s">
        <v>3039</v>
      </c>
      <c r="G1076" s="38" t="s">
        <v>111</v>
      </c>
      <c r="H1076" s="44">
        <v>44039</v>
      </c>
      <c r="I1076" s="44">
        <v>44041</v>
      </c>
      <c r="J1076">
        <v>830.29</v>
      </c>
      <c r="K1076">
        <v>48.9</v>
      </c>
      <c r="L1076" t="s">
        <v>3040</v>
      </c>
      <c r="M1076" s="45" t="s">
        <v>98</v>
      </c>
      <c r="N1076" s="38" t="s">
        <v>230</v>
      </c>
      <c r="O1076" s="38" t="s">
        <v>314</v>
      </c>
      <c r="P1076" s="38" t="s">
        <v>60</v>
      </c>
      <c r="Q1076" s="38" t="s">
        <v>41</v>
      </c>
      <c r="R1076" s="38" t="s">
        <v>270</v>
      </c>
      <c r="S1076" s="38" t="s">
        <v>3041</v>
      </c>
      <c r="T1076" s="38" t="s">
        <v>3043</v>
      </c>
      <c r="U1076" s="38"/>
      <c r="V1076" s="38"/>
      <c r="W1076" s="38"/>
      <c r="X1076" s="14"/>
      <c r="AL1076" s="14">
        <f>48.9</f>
        <v>48.9</v>
      </c>
      <c r="AN1076" s="7" t="s">
        <v>2957</v>
      </c>
      <c r="AO1076" s="21">
        <f t="shared" si="51"/>
        <v>48.9</v>
      </c>
      <c r="AP1076" s="7">
        <f t="shared" si="52"/>
        <v>0</v>
      </c>
      <c r="AQ1076" s="31" t="str">
        <f t="shared" si="53"/>
        <v>Complete - With Adjustment</v>
      </c>
    </row>
    <row r="1077" spans="1:43" x14ac:dyDescent="0.2">
      <c r="A1077" s="46">
        <v>1067</v>
      </c>
      <c r="B1077" s="38" t="s">
        <v>266</v>
      </c>
      <c r="C1077" s="38" t="s">
        <v>313</v>
      </c>
      <c r="D1077" s="38" t="s">
        <v>312</v>
      </c>
      <c r="E1077" s="38" t="s">
        <v>3038</v>
      </c>
      <c r="F1077" s="38" t="s">
        <v>3039</v>
      </c>
      <c r="G1077" s="38" t="s">
        <v>111</v>
      </c>
      <c r="H1077" s="44">
        <v>44039</v>
      </c>
      <c r="I1077" s="44">
        <v>44041</v>
      </c>
      <c r="J1077">
        <v>830.29</v>
      </c>
      <c r="K1077">
        <v>287.5</v>
      </c>
      <c r="L1077" t="s">
        <v>3040</v>
      </c>
      <c r="M1077" s="45" t="s">
        <v>98</v>
      </c>
      <c r="N1077" s="38" t="s">
        <v>230</v>
      </c>
      <c r="O1077" s="38" t="s">
        <v>314</v>
      </c>
      <c r="P1077" s="38" t="s">
        <v>60</v>
      </c>
      <c r="Q1077" s="38" t="s">
        <v>44</v>
      </c>
      <c r="R1077" s="38" t="s">
        <v>270</v>
      </c>
      <c r="S1077" s="38" t="s">
        <v>3041</v>
      </c>
      <c r="T1077" s="38" t="s">
        <v>3044</v>
      </c>
      <c r="U1077" s="38"/>
      <c r="V1077" s="38"/>
      <c r="W1077" s="38"/>
      <c r="X1077" s="14"/>
      <c r="AN1077" s="7" t="s">
        <v>70</v>
      </c>
      <c r="AO1077" s="21">
        <f t="shared" si="51"/>
        <v>0</v>
      </c>
      <c r="AP1077" s="7">
        <f t="shared" si="52"/>
        <v>287.5</v>
      </c>
      <c r="AQ1077" s="31" t="str">
        <f t="shared" si="53"/>
        <v>Complete - No Adjustment</v>
      </c>
    </row>
    <row r="1078" spans="1:43" x14ac:dyDescent="0.2">
      <c r="A1078" s="46">
        <v>1068</v>
      </c>
      <c r="B1078" s="38" t="s">
        <v>266</v>
      </c>
      <c r="C1078" s="38" t="s">
        <v>313</v>
      </c>
      <c r="D1078" s="38" t="s">
        <v>312</v>
      </c>
      <c r="E1078" s="38" t="s">
        <v>3038</v>
      </c>
      <c r="F1078" s="38" t="s">
        <v>3039</v>
      </c>
      <c r="G1078" s="38" t="s">
        <v>111</v>
      </c>
      <c r="H1078" s="44">
        <v>44039</v>
      </c>
      <c r="I1078" s="44">
        <v>44041</v>
      </c>
      <c r="J1078">
        <v>830.29</v>
      </c>
      <c r="K1078">
        <v>41.68</v>
      </c>
      <c r="L1078" t="s">
        <v>3040</v>
      </c>
      <c r="M1078" s="45" t="s">
        <v>98</v>
      </c>
      <c r="N1078" s="38" t="s">
        <v>230</v>
      </c>
      <c r="O1078" s="38" t="s">
        <v>314</v>
      </c>
      <c r="P1078" s="38" t="s">
        <v>60</v>
      </c>
      <c r="Q1078" s="38" t="s">
        <v>62</v>
      </c>
      <c r="R1078" s="38" t="s">
        <v>270</v>
      </c>
      <c r="S1078" s="38" t="s">
        <v>3041</v>
      </c>
      <c r="T1078" s="38" t="s">
        <v>3045</v>
      </c>
      <c r="U1078" s="38"/>
      <c r="V1078" s="38"/>
      <c r="W1078" s="38"/>
      <c r="X1078" s="14"/>
      <c r="AN1078" s="7" t="s">
        <v>70</v>
      </c>
      <c r="AO1078" s="21">
        <f t="shared" si="51"/>
        <v>0</v>
      </c>
      <c r="AP1078" s="7">
        <f t="shared" si="52"/>
        <v>41.68</v>
      </c>
      <c r="AQ1078" s="31" t="str">
        <f t="shared" si="53"/>
        <v>Complete - No Adjustment</v>
      </c>
    </row>
    <row r="1079" spans="1:43" x14ac:dyDescent="0.2">
      <c r="A1079" s="46">
        <v>1069</v>
      </c>
      <c r="B1079" s="38" t="s">
        <v>266</v>
      </c>
      <c r="C1079" s="38" t="s">
        <v>313</v>
      </c>
      <c r="D1079" s="38" t="s">
        <v>312</v>
      </c>
      <c r="E1079" s="38" t="s">
        <v>3038</v>
      </c>
      <c r="F1079" s="38" t="s">
        <v>3039</v>
      </c>
      <c r="G1079" s="38" t="s">
        <v>111</v>
      </c>
      <c r="H1079" s="44">
        <v>44039</v>
      </c>
      <c r="I1079" s="44">
        <v>44041</v>
      </c>
      <c r="J1079">
        <v>830.29</v>
      </c>
      <c r="K1079">
        <v>389.18</v>
      </c>
      <c r="L1079" t="s">
        <v>3040</v>
      </c>
      <c r="M1079" s="45" t="s">
        <v>98</v>
      </c>
      <c r="N1079" s="38" t="s">
        <v>230</v>
      </c>
      <c r="O1079" s="38" t="s">
        <v>314</v>
      </c>
      <c r="P1079" s="38" t="s">
        <v>60</v>
      </c>
      <c r="Q1079" s="38" t="s">
        <v>41</v>
      </c>
      <c r="R1079" s="38" t="s">
        <v>270</v>
      </c>
      <c r="S1079" s="38" t="s">
        <v>3041</v>
      </c>
      <c r="T1079" s="38" t="s">
        <v>3046</v>
      </c>
      <c r="U1079" s="38"/>
      <c r="V1079" s="38"/>
      <c r="W1079" s="38"/>
      <c r="X1079" s="14"/>
      <c r="AB1079" s="14">
        <f>360.12-(25*10)</f>
        <v>110.12</v>
      </c>
      <c r="AN1079" s="7" t="s">
        <v>66</v>
      </c>
      <c r="AO1079" s="21">
        <f t="shared" si="51"/>
        <v>110.12</v>
      </c>
      <c r="AP1079" s="7">
        <f t="shared" si="52"/>
        <v>279.06</v>
      </c>
      <c r="AQ1079" s="31" t="str">
        <f t="shared" si="53"/>
        <v>Complete - With Adjustment</v>
      </c>
    </row>
    <row r="1080" spans="1:43" x14ac:dyDescent="0.2">
      <c r="A1080" s="46">
        <v>1070</v>
      </c>
      <c r="B1080" s="38" t="s">
        <v>266</v>
      </c>
      <c r="C1080" s="38" t="s">
        <v>313</v>
      </c>
      <c r="D1080" s="38" t="s">
        <v>312</v>
      </c>
      <c r="E1080" s="38" t="s">
        <v>3038</v>
      </c>
      <c r="F1080" s="38" t="s">
        <v>3039</v>
      </c>
      <c r="G1080" s="38" t="s">
        <v>111</v>
      </c>
      <c r="H1080" s="44">
        <v>44039</v>
      </c>
      <c r="I1080" s="44">
        <v>44041</v>
      </c>
      <c r="J1080">
        <v>830.29</v>
      </c>
      <c r="K1080">
        <v>29.41</v>
      </c>
      <c r="L1080" t="s">
        <v>3040</v>
      </c>
      <c r="M1080" s="45" t="s">
        <v>98</v>
      </c>
      <c r="N1080" s="38" t="s">
        <v>230</v>
      </c>
      <c r="O1080" s="38" t="s">
        <v>314</v>
      </c>
      <c r="P1080" s="38" t="s">
        <v>60</v>
      </c>
      <c r="Q1080" s="38" t="s">
        <v>62</v>
      </c>
      <c r="R1080" s="38" t="s">
        <v>270</v>
      </c>
      <c r="S1080" s="38" t="s">
        <v>3041</v>
      </c>
      <c r="T1080" s="38" t="s">
        <v>3047</v>
      </c>
      <c r="U1080" s="38"/>
      <c r="V1080" s="38"/>
      <c r="W1080" s="38"/>
      <c r="X1080" s="14"/>
      <c r="AN1080" s="7" t="s">
        <v>70</v>
      </c>
      <c r="AO1080" s="21">
        <f t="shared" si="51"/>
        <v>0</v>
      </c>
      <c r="AP1080" s="7">
        <f t="shared" si="52"/>
        <v>29.41</v>
      </c>
      <c r="AQ1080" s="31" t="str">
        <f t="shared" si="53"/>
        <v>Complete - No Adjustment</v>
      </c>
    </row>
    <row r="1081" spans="1:43" x14ac:dyDescent="0.2">
      <c r="A1081" s="46">
        <v>1071</v>
      </c>
      <c r="B1081" s="38" t="s">
        <v>266</v>
      </c>
      <c r="C1081" s="38" t="s">
        <v>721</v>
      </c>
      <c r="D1081" s="38" t="s">
        <v>797</v>
      </c>
      <c r="E1081" s="38" t="s">
        <v>3048</v>
      </c>
      <c r="F1081" s="38" t="s">
        <v>2972</v>
      </c>
      <c r="G1081" s="38" t="s">
        <v>111</v>
      </c>
      <c r="H1081" s="44">
        <v>44035</v>
      </c>
      <c r="I1081" s="44">
        <v>44039</v>
      </c>
      <c r="J1081">
        <v>64.98</v>
      </c>
      <c r="K1081">
        <v>64.98</v>
      </c>
      <c r="L1081" t="s">
        <v>3049</v>
      </c>
      <c r="M1081" s="45" t="s">
        <v>98</v>
      </c>
      <c r="N1081" s="38" t="s">
        <v>230</v>
      </c>
      <c r="O1081" s="38" t="s">
        <v>277</v>
      </c>
      <c r="P1081" s="38" t="s">
        <v>60</v>
      </c>
      <c r="Q1081" s="38" t="s">
        <v>62</v>
      </c>
      <c r="R1081" s="38" t="s">
        <v>270</v>
      </c>
      <c r="S1081" s="38" t="s">
        <v>3050</v>
      </c>
      <c r="T1081" s="38" t="s">
        <v>3051</v>
      </c>
      <c r="U1081" s="38"/>
      <c r="V1081" s="38"/>
      <c r="W1081" s="38"/>
      <c r="X1081" s="14"/>
      <c r="AN1081" s="7" t="s">
        <v>155</v>
      </c>
      <c r="AO1081" s="21">
        <f t="shared" si="51"/>
        <v>0</v>
      </c>
      <c r="AP1081" s="7">
        <f t="shared" si="52"/>
        <v>64.98</v>
      </c>
      <c r="AQ1081" s="31" t="str">
        <f t="shared" si="53"/>
        <v>Complete - No Adjustment</v>
      </c>
    </row>
    <row r="1082" spans="1:43" x14ac:dyDescent="0.2">
      <c r="A1082" s="46">
        <v>1072</v>
      </c>
      <c r="B1082" s="38" t="s">
        <v>266</v>
      </c>
      <c r="C1082" s="38" t="s">
        <v>742</v>
      </c>
      <c r="D1082" s="38" t="s">
        <v>741</v>
      </c>
      <c r="E1082" s="38" t="s">
        <v>3052</v>
      </c>
      <c r="F1082" s="38" t="s">
        <v>3018</v>
      </c>
      <c r="G1082" s="38" t="s">
        <v>111</v>
      </c>
      <c r="H1082" s="44">
        <v>44021</v>
      </c>
      <c r="I1082" s="44">
        <v>44028</v>
      </c>
      <c r="J1082">
        <v>11.24</v>
      </c>
      <c r="K1082">
        <v>11.24</v>
      </c>
      <c r="L1082" t="s">
        <v>3053</v>
      </c>
      <c r="M1082" s="45" t="s">
        <v>98</v>
      </c>
      <c r="N1082" s="38" t="s">
        <v>230</v>
      </c>
      <c r="O1082" s="38" t="s">
        <v>288</v>
      </c>
      <c r="P1082" s="38" t="s">
        <v>60</v>
      </c>
      <c r="Q1082" s="38" t="s">
        <v>41</v>
      </c>
      <c r="R1082" s="38" t="s">
        <v>270</v>
      </c>
      <c r="S1082" s="38" t="s">
        <v>3054</v>
      </c>
      <c r="T1082" s="38" t="s">
        <v>3055</v>
      </c>
      <c r="U1082" s="38"/>
      <c r="V1082" s="38"/>
      <c r="W1082" s="38"/>
      <c r="X1082" s="14"/>
      <c r="AL1082" s="14">
        <f>11.24</f>
        <v>11.24</v>
      </c>
      <c r="AN1082" s="7" t="s">
        <v>146</v>
      </c>
      <c r="AO1082" s="21">
        <f t="shared" si="51"/>
        <v>11.24</v>
      </c>
      <c r="AP1082" s="7">
        <f t="shared" si="52"/>
        <v>0</v>
      </c>
      <c r="AQ1082" s="31" t="str">
        <f t="shared" si="53"/>
        <v>Complete - With Adjustment</v>
      </c>
    </row>
    <row r="1083" spans="1:43" x14ac:dyDescent="0.2">
      <c r="A1083" s="46">
        <v>1073</v>
      </c>
      <c r="B1083" s="38" t="s">
        <v>266</v>
      </c>
      <c r="C1083" s="38" t="s">
        <v>742</v>
      </c>
      <c r="D1083" s="38" t="s">
        <v>741</v>
      </c>
      <c r="E1083" s="38" t="s">
        <v>3056</v>
      </c>
      <c r="F1083" s="38" t="s">
        <v>2960</v>
      </c>
      <c r="G1083" s="38" t="s">
        <v>111</v>
      </c>
      <c r="H1083" s="44">
        <v>44033</v>
      </c>
      <c r="I1083" s="44">
        <v>44036</v>
      </c>
      <c r="J1083">
        <v>11.24</v>
      </c>
      <c r="K1083">
        <v>11.24</v>
      </c>
      <c r="L1083" t="s">
        <v>3057</v>
      </c>
      <c r="M1083" s="45" t="s">
        <v>98</v>
      </c>
      <c r="N1083" s="38" t="s">
        <v>230</v>
      </c>
      <c r="O1083" s="38" t="s">
        <v>288</v>
      </c>
      <c r="P1083" s="38" t="s">
        <v>60</v>
      </c>
      <c r="Q1083" s="38" t="s">
        <v>41</v>
      </c>
      <c r="R1083" s="38" t="s">
        <v>270</v>
      </c>
      <c r="S1083" s="38" t="s">
        <v>3058</v>
      </c>
      <c r="T1083" s="38" t="s">
        <v>3059</v>
      </c>
      <c r="U1083" s="38"/>
      <c r="V1083" s="38"/>
      <c r="W1083" s="38"/>
      <c r="X1083" s="14"/>
      <c r="AN1083" s="7" t="s">
        <v>155</v>
      </c>
      <c r="AO1083" s="21">
        <f t="shared" si="51"/>
        <v>0</v>
      </c>
      <c r="AP1083" s="7">
        <f t="shared" si="52"/>
        <v>11.24</v>
      </c>
      <c r="AQ1083" s="31" t="str">
        <f t="shared" si="53"/>
        <v>Complete - No Adjustment</v>
      </c>
    </row>
    <row r="1084" spans="1:43" x14ac:dyDescent="0.2">
      <c r="A1084" s="46">
        <v>1074</v>
      </c>
      <c r="B1084" s="38" t="s">
        <v>266</v>
      </c>
      <c r="C1084" s="38" t="s">
        <v>742</v>
      </c>
      <c r="D1084" s="38" t="s">
        <v>741</v>
      </c>
      <c r="E1084" s="38" t="s">
        <v>3060</v>
      </c>
      <c r="F1084" s="38" t="s">
        <v>3061</v>
      </c>
      <c r="G1084" s="38" t="s">
        <v>111</v>
      </c>
      <c r="H1084" s="44">
        <v>44028</v>
      </c>
      <c r="I1084" s="44">
        <v>44029</v>
      </c>
      <c r="J1084">
        <v>14.07</v>
      </c>
      <c r="K1084">
        <v>14.07</v>
      </c>
      <c r="L1084" t="s">
        <v>3062</v>
      </c>
      <c r="M1084" s="45" t="s">
        <v>98</v>
      </c>
      <c r="N1084" s="38" t="s">
        <v>230</v>
      </c>
      <c r="O1084" s="38" t="s">
        <v>288</v>
      </c>
      <c r="P1084" s="38" t="s">
        <v>60</v>
      </c>
      <c r="Q1084" s="38" t="s">
        <v>41</v>
      </c>
      <c r="R1084" s="38" t="s">
        <v>270</v>
      </c>
      <c r="S1084" s="38" t="s">
        <v>3063</v>
      </c>
      <c r="T1084" s="38" t="s">
        <v>3064</v>
      </c>
      <c r="U1084" s="38"/>
      <c r="V1084" s="38"/>
      <c r="W1084" s="38"/>
      <c r="X1084" s="14"/>
      <c r="AL1084" s="14">
        <f>14.07</f>
        <v>14.07</v>
      </c>
      <c r="AN1084" s="7" t="s">
        <v>146</v>
      </c>
      <c r="AO1084" s="21">
        <f t="shared" si="51"/>
        <v>14.07</v>
      </c>
      <c r="AP1084" s="7">
        <f t="shared" si="52"/>
        <v>0</v>
      </c>
      <c r="AQ1084" s="31" t="str">
        <f t="shared" si="53"/>
        <v>Complete - With Adjustment</v>
      </c>
    </row>
    <row r="1085" spans="1:43" x14ac:dyDescent="0.2">
      <c r="A1085" s="46">
        <v>1075</v>
      </c>
      <c r="B1085" s="38" t="s">
        <v>266</v>
      </c>
      <c r="C1085" s="38" t="s">
        <v>742</v>
      </c>
      <c r="D1085" s="38" t="s">
        <v>741</v>
      </c>
      <c r="E1085" s="38" t="s">
        <v>3065</v>
      </c>
      <c r="F1085" s="38" t="s">
        <v>2994</v>
      </c>
      <c r="G1085" s="38" t="s">
        <v>111</v>
      </c>
      <c r="H1085" s="44">
        <v>44041</v>
      </c>
      <c r="I1085" s="44">
        <v>44043</v>
      </c>
      <c r="J1085">
        <v>14.07</v>
      </c>
      <c r="K1085">
        <v>14.07</v>
      </c>
      <c r="L1085" t="s">
        <v>3066</v>
      </c>
      <c r="M1085" s="45" t="s">
        <v>98</v>
      </c>
      <c r="N1085" s="38" t="s">
        <v>230</v>
      </c>
      <c r="O1085" s="38" t="s">
        <v>288</v>
      </c>
      <c r="P1085" s="38" t="s">
        <v>60</v>
      </c>
      <c r="Q1085" s="38" t="s">
        <v>41</v>
      </c>
      <c r="R1085" s="38" t="s">
        <v>270</v>
      </c>
      <c r="S1085" s="38" t="s">
        <v>3067</v>
      </c>
      <c r="T1085" s="38" t="s">
        <v>3068</v>
      </c>
      <c r="U1085" s="38"/>
      <c r="V1085" s="38"/>
      <c r="W1085" s="38"/>
      <c r="X1085" s="14"/>
      <c r="AL1085" s="14">
        <f>14.07</f>
        <v>14.07</v>
      </c>
      <c r="AN1085" s="7" t="s">
        <v>146</v>
      </c>
      <c r="AO1085" s="21">
        <f t="shared" si="51"/>
        <v>14.07</v>
      </c>
      <c r="AP1085" s="7">
        <f t="shared" si="52"/>
        <v>0</v>
      </c>
      <c r="AQ1085" s="31" t="str">
        <f t="shared" si="53"/>
        <v>Complete - With Adjustment</v>
      </c>
    </row>
    <row r="1086" spans="1:43" x14ac:dyDescent="0.2">
      <c r="A1086" s="46">
        <v>1076</v>
      </c>
      <c r="B1086" s="38" t="s">
        <v>266</v>
      </c>
      <c r="C1086" s="38" t="s">
        <v>742</v>
      </c>
      <c r="D1086" s="38" t="s">
        <v>741</v>
      </c>
      <c r="E1086" s="38" t="s">
        <v>3069</v>
      </c>
      <c r="F1086" s="38" t="s">
        <v>3003</v>
      </c>
      <c r="G1086" s="38" t="s">
        <v>111</v>
      </c>
      <c r="H1086" s="44">
        <v>44012</v>
      </c>
      <c r="I1086" s="44">
        <v>44013</v>
      </c>
      <c r="J1086">
        <v>15.78</v>
      </c>
      <c r="K1086">
        <v>15.78</v>
      </c>
      <c r="L1086" t="s">
        <v>3070</v>
      </c>
      <c r="M1086" s="45" t="s">
        <v>98</v>
      </c>
      <c r="N1086" s="38" t="s">
        <v>230</v>
      </c>
      <c r="O1086" s="38" t="s">
        <v>288</v>
      </c>
      <c r="P1086" s="38" t="s">
        <v>60</v>
      </c>
      <c r="Q1086" s="38" t="s">
        <v>41</v>
      </c>
      <c r="R1086" s="38" t="s">
        <v>270</v>
      </c>
      <c r="S1086" s="38" t="s">
        <v>3071</v>
      </c>
      <c r="T1086" s="38" t="s">
        <v>3072</v>
      </c>
      <c r="U1086" s="38"/>
      <c r="V1086" s="38"/>
      <c r="W1086" s="38"/>
      <c r="X1086" s="14"/>
      <c r="AN1086" s="7" t="s">
        <v>70</v>
      </c>
      <c r="AO1086" s="21">
        <f t="shared" si="51"/>
        <v>0</v>
      </c>
      <c r="AP1086" s="7">
        <f t="shared" si="52"/>
        <v>15.78</v>
      </c>
      <c r="AQ1086" s="31" t="str">
        <f t="shared" si="53"/>
        <v>Complete - No Adjustment</v>
      </c>
    </row>
    <row r="1087" spans="1:43" x14ac:dyDescent="0.2">
      <c r="A1087" s="46">
        <v>1077</v>
      </c>
      <c r="B1087" s="38" t="s">
        <v>266</v>
      </c>
      <c r="C1087" s="38" t="s">
        <v>316</v>
      </c>
      <c r="D1087" s="38" t="s">
        <v>315</v>
      </c>
      <c r="E1087" s="38" t="s">
        <v>3073</v>
      </c>
      <c r="F1087" s="38" t="s">
        <v>3074</v>
      </c>
      <c r="G1087" s="38" t="s">
        <v>111</v>
      </c>
      <c r="H1087" s="44">
        <v>43924</v>
      </c>
      <c r="I1087" s="44">
        <v>44020</v>
      </c>
      <c r="J1087">
        <v>434.54</v>
      </c>
      <c r="K1087">
        <v>17.97</v>
      </c>
      <c r="L1087" t="s">
        <v>3075</v>
      </c>
      <c r="M1087" s="45" t="s">
        <v>98</v>
      </c>
      <c r="N1087" s="38" t="s">
        <v>230</v>
      </c>
      <c r="O1087" s="38" t="s">
        <v>317</v>
      </c>
      <c r="P1087" s="38" t="s">
        <v>60</v>
      </c>
      <c r="Q1087" s="38" t="s">
        <v>41</v>
      </c>
      <c r="R1087" s="38" t="s">
        <v>270</v>
      </c>
      <c r="S1087" s="38" t="s">
        <v>3076</v>
      </c>
      <c r="T1087" s="38" t="s">
        <v>3077</v>
      </c>
      <c r="U1087" s="38"/>
      <c r="V1087" s="38"/>
      <c r="W1087" s="38"/>
      <c r="X1087" s="14"/>
      <c r="AL1087" s="14">
        <f>17.97</f>
        <v>17.97</v>
      </c>
      <c r="AN1087" s="7" t="s">
        <v>146</v>
      </c>
      <c r="AO1087" s="21">
        <f t="shared" si="51"/>
        <v>17.97</v>
      </c>
      <c r="AP1087" s="7">
        <f t="shared" si="52"/>
        <v>0</v>
      </c>
      <c r="AQ1087" s="31" t="str">
        <f t="shared" si="53"/>
        <v>Complete - With Adjustment</v>
      </c>
    </row>
    <row r="1088" spans="1:43" x14ac:dyDescent="0.2">
      <c r="A1088" s="46">
        <v>1078</v>
      </c>
      <c r="B1088" s="38" t="s">
        <v>266</v>
      </c>
      <c r="C1088" s="38" t="s">
        <v>316</v>
      </c>
      <c r="D1088" s="38" t="s">
        <v>315</v>
      </c>
      <c r="E1088" s="38" t="s">
        <v>3073</v>
      </c>
      <c r="F1088" s="38" t="s">
        <v>3074</v>
      </c>
      <c r="G1088" s="38" t="s">
        <v>111</v>
      </c>
      <c r="H1088" s="44">
        <v>43924</v>
      </c>
      <c r="I1088" s="44">
        <v>44020</v>
      </c>
      <c r="J1088">
        <v>434.54</v>
      </c>
      <c r="K1088">
        <v>21.57</v>
      </c>
      <c r="L1088" t="s">
        <v>3075</v>
      </c>
      <c r="M1088" s="45" t="s">
        <v>98</v>
      </c>
      <c r="N1088" s="38" t="s">
        <v>230</v>
      </c>
      <c r="O1088" s="38" t="s">
        <v>317</v>
      </c>
      <c r="P1088" s="38" t="s">
        <v>60</v>
      </c>
      <c r="Q1088" s="38" t="s">
        <v>41</v>
      </c>
      <c r="R1088" s="38" t="s">
        <v>270</v>
      </c>
      <c r="S1088" s="38" t="s">
        <v>3076</v>
      </c>
      <c r="T1088" s="38" t="s">
        <v>3077</v>
      </c>
      <c r="U1088" s="38"/>
      <c r="V1088" s="38"/>
      <c r="W1088" s="38"/>
      <c r="X1088" s="14"/>
      <c r="AN1088" s="7" t="s">
        <v>70</v>
      </c>
      <c r="AO1088" s="21">
        <f t="shared" si="51"/>
        <v>0</v>
      </c>
      <c r="AP1088" s="7">
        <f t="shared" si="52"/>
        <v>21.57</v>
      </c>
      <c r="AQ1088" s="31" t="str">
        <f t="shared" si="53"/>
        <v>Complete - No Adjustment</v>
      </c>
    </row>
    <row r="1089" spans="1:43" x14ac:dyDescent="0.2">
      <c r="A1089" s="46">
        <v>1079</v>
      </c>
      <c r="B1089" s="38" t="s">
        <v>266</v>
      </c>
      <c r="C1089" s="38" t="s">
        <v>316</v>
      </c>
      <c r="D1089" s="38" t="s">
        <v>315</v>
      </c>
      <c r="E1089" s="38" t="s">
        <v>3073</v>
      </c>
      <c r="F1089" s="38" t="s">
        <v>3074</v>
      </c>
      <c r="G1089" s="38" t="s">
        <v>111</v>
      </c>
      <c r="H1089" s="44">
        <v>43924</v>
      </c>
      <c r="I1089" s="44">
        <v>44020</v>
      </c>
      <c r="J1089">
        <v>434.54</v>
      </c>
      <c r="K1089">
        <v>395</v>
      </c>
      <c r="L1089" t="s">
        <v>3075</v>
      </c>
      <c r="M1089" s="45" t="s">
        <v>98</v>
      </c>
      <c r="N1089" s="38" t="s">
        <v>230</v>
      </c>
      <c r="O1089" s="38" t="s">
        <v>317</v>
      </c>
      <c r="P1089" s="38" t="s">
        <v>60</v>
      </c>
      <c r="Q1089" s="38" t="s">
        <v>48</v>
      </c>
      <c r="R1089" s="38" t="s">
        <v>270</v>
      </c>
      <c r="S1089" s="38" t="s">
        <v>3076</v>
      </c>
      <c r="T1089" s="38" t="s">
        <v>3078</v>
      </c>
      <c r="U1089" s="38"/>
      <c r="V1089" s="38"/>
      <c r="W1089" s="38"/>
      <c r="X1089" s="14"/>
      <c r="AN1089" s="7" t="s">
        <v>70</v>
      </c>
      <c r="AO1089" s="21">
        <f t="shared" si="51"/>
        <v>0</v>
      </c>
      <c r="AP1089" s="7">
        <f t="shared" si="52"/>
        <v>395</v>
      </c>
      <c r="AQ1089" s="31" t="str">
        <f t="shared" si="53"/>
        <v>Complete - No Adjustment</v>
      </c>
    </row>
    <row r="1090" spans="1:43" x14ac:dyDescent="0.2">
      <c r="A1090" s="46">
        <v>1080</v>
      </c>
      <c r="B1090" s="38" t="s">
        <v>266</v>
      </c>
      <c r="C1090" s="38" t="s">
        <v>77</v>
      </c>
      <c r="D1090" s="38" t="s">
        <v>100</v>
      </c>
      <c r="E1090" s="38" t="s">
        <v>3079</v>
      </c>
      <c r="F1090" s="38" t="s">
        <v>3039</v>
      </c>
      <c r="G1090" s="38" t="s">
        <v>111</v>
      </c>
      <c r="H1090" s="44">
        <v>44035</v>
      </c>
      <c r="I1090" s="44">
        <v>44041</v>
      </c>
      <c r="J1090">
        <v>684.35</v>
      </c>
      <c r="K1090">
        <v>55.12</v>
      </c>
      <c r="L1090" t="s">
        <v>3080</v>
      </c>
      <c r="M1090" s="45" t="s">
        <v>98</v>
      </c>
      <c r="N1090" s="38" t="s">
        <v>230</v>
      </c>
      <c r="O1090" s="38" t="s">
        <v>78</v>
      </c>
      <c r="P1090" s="38" t="s">
        <v>60</v>
      </c>
      <c r="Q1090" s="38" t="s">
        <v>65</v>
      </c>
      <c r="R1090" s="38" t="s">
        <v>270</v>
      </c>
      <c r="S1090" s="38" t="s">
        <v>3081</v>
      </c>
      <c r="T1090" s="38" t="s">
        <v>3082</v>
      </c>
      <c r="U1090" s="38"/>
      <c r="V1090" s="38"/>
      <c r="W1090" s="38"/>
      <c r="X1090" s="14"/>
      <c r="AN1090" s="7" t="s">
        <v>70</v>
      </c>
      <c r="AO1090" s="21">
        <f t="shared" si="51"/>
        <v>0</v>
      </c>
      <c r="AP1090" s="7">
        <f t="shared" si="52"/>
        <v>55.12</v>
      </c>
      <c r="AQ1090" s="31" t="str">
        <f t="shared" si="53"/>
        <v>Complete - No Adjustment</v>
      </c>
    </row>
    <row r="1091" spans="1:43" x14ac:dyDescent="0.2">
      <c r="A1091" s="46">
        <v>1081</v>
      </c>
      <c r="B1091" s="38" t="s">
        <v>266</v>
      </c>
      <c r="C1091" s="38" t="s">
        <v>77</v>
      </c>
      <c r="D1091" s="38" t="s">
        <v>100</v>
      </c>
      <c r="E1091" s="38" t="s">
        <v>3079</v>
      </c>
      <c r="F1091" s="38" t="s">
        <v>3039</v>
      </c>
      <c r="G1091" s="38" t="s">
        <v>111</v>
      </c>
      <c r="H1091" s="44">
        <v>44035</v>
      </c>
      <c r="I1091" s="44">
        <v>44041</v>
      </c>
      <c r="J1091">
        <v>684.35</v>
      </c>
      <c r="K1091">
        <v>14.5</v>
      </c>
      <c r="L1091" t="s">
        <v>3080</v>
      </c>
      <c r="M1091" s="45" t="s">
        <v>98</v>
      </c>
      <c r="N1091" s="38" t="s">
        <v>230</v>
      </c>
      <c r="O1091" s="38" t="s">
        <v>78</v>
      </c>
      <c r="P1091" s="38" t="s">
        <v>60</v>
      </c>
      <c r="Q1091" s="38" t="s">
        <v>41</v>
      </c>
      <c r="R1091" s="38" t="s">
        <v>270</v>
      </c>
      <c r="S1091" s="38" t="s">
        <v>3081</v>
      </c>
      <c r="T1091" s="38" t="s">
        <v>3083</v>
      </c>
      <c r="U1091" s="38"/>
      <c r="V1091" s="38"/>
      <c r="W1091" s="38"/>
      <c r="X1091" s="14"/>
      <c r="AN1091" s="7" t="s">
        <v>70</v>
      </c>
      <c r="AO1091" s="21">
        <f t="shared" si="51"/>
        <v>0</v>
      </c>
      <c r="AP1091" s="7">
        <f t="shared" si="52"/>
        <v>14.5</v>
      </c>
      <c r="AQ1091" s="31" t="str">
        <f t="shared" si="53"/>
        <v>Complete - No Adjustment</v>
      </c>
    </row>
    <row r="1092" spans="1:43" x14ac:dyDescent="0.2">
      <c r="A1092" s="46">
        <v>1082</v>
      </c>
      <c r="B1092" s="38" t="s">
        <v>266</v>
      </c>
      <c r="C1092" s="38" t="s">
        <v>77</v>
      </c>
      <c r="D1092" s="38" t="s">
        <v>100</v>
      </c>
      <c r="E1092" s="38" t="s">
        <v>3079</v>
      </c>
      <c r="F1092" s="38" t="s">
        <v>3039</v>
      </c>
      <c r="G1092" s="38" t="s">
        <v>111</v>
      </c>
      <c r="H1092" s="44">
        <v>44035</v>
      </c>
      <c r="I1092" s="44">
        <v>44041</v>
      </c>
      <c r="J1092">
        <v>684.35</v>
      </c>
      <c r="K1092">
        <v>614.73</v>
      </c>
      <c r="L1092" t="s">
        <v>3080</v>
      </c>
      <c r="M1092" s="45" t="s">
        <v>98</v>
      </c>
      <c r="N1092" s="38" t="s">
        <v>230</v>
      </c>
      <c r="O1092" s="38" t="s">
        <v>78</v>
      </c>
      <c r="P1092" s="38" t="s">
        <v>60</v>
      </c>
      <c r="Q1092" s="38" t="s">
        <v>46</v>
      </c>
      <c r="R1092" s="38" t="s">
        <v>270</v>
      </c>
      <c r="S1092" s="38" t="s">
        <v>3081</v>
      </c>
      <c r="T1092" s="38" t="s">
        <v>3084</v>
      </c>
      <c r="U1092" s="38"/>
      <c r="V1092" s="38"/>
      <c r="W1092" s="38"/>
      <c r="X1092" s="14"/>
      <c r="AN1092" s="7" t="s">
        <v>70</v>
      </c>
      <c r="AO1092" s="21">
        <f t="shared" si="51"/>
        <v>0</v>
      </c>
      <c r="AP1092" s="7">
        <f t="shared" si="52"/>
        <v>614.73</v>
      </c>
      <c r="AQ1092" s="31" t="str">
        <f t="shared" si="53"/>
        <v>Complete - No Adjustment</v>
      </c>
    </row>
    <row r="1093" spans="1:43" x14ac:dyDescent="0.2">
      <c r="A1093" s="46">
        <v>1083</v>
      </c>
      <c r="B1093" s="38" t="s">
        <v>266</v>
      </c>
      <c r="C1093" s="38" t="s">
        <v>591</v>
      </c>
      <c r="D1093" s="38" t="s">
        <v>590</v>
      </c>
      <c r="E1093" s="38" t="s">
        <v>3085</v>
      </c>
      <c r="F1093" s="38" t="s">
        <v>2972</v>
      </c>
      <c r="G1093" s="38" t="s">
        <v>111</v>
      </c>
      <c r="H1093" s="44">
        <v>44034</v>
      </c>
      <c r="I1093" s="44">
        <v>44039</v>
      </c>
      <c r="J1093">
        <v>14.83</v>
      </c>
      <c r="K1093">
        <v>14.83</v>
      </c>
      <c r="L1093" t="s">
        <v>3086</v>
      </c>
      <c r="M1093" s="45" t="s">
        <v>98</v>
      </c>
      <c r="N1093" s="38" t="s">
        <v>230</v>
      </c>
      <c r="O1093" s="38" t="s">
        <v>444</v>
      </c>
      <c r="P1093" s="38" t="s">
        <v>60</v>
      </c>
      <c r="Q1093" s="38" t="s">
        <v>41</v>
      </c>
      <c r="R1093" s="38" t="s">
        <v>270</v>
      </c>
      <c r="S1093" s="38" t="s">
        <v>3087</v>
      </c>
      <c r="T1093" s="38" t="s">
        <v>3088</v>
      </c>
      <c r="U1093" s="38"/>
      <c r="V1093" s="38"/>
      <c r="W1093" s="38"/>
      <c r="X1093" s="14"/>
      <c r="AN1093" s="7" t="s">
        <v>155</v>
      </c>
      <c r="AO1093" s="21">
        <f t="shared" si="51"/>
        <v>0</v>
      </c>
      <c r="AP1093" s="7">
        <f t="shared" si="52"/>
        <v>14.83</v>
      </c>
      <c r="AQ1093" s="31" t="str">
        <f t="shared" si="53"/>
        <v>Complete - No Adjustment</v>
      </c>
    </row>
    <row r="1094" spans="1:43" x14ac:dyDescent="0.2">
      <c r="A1094" s="46">
        <v>1084</v>
      </c>
      <c r="B1094" s="38" t="s">
        <v>266</v>
      </c>
      <c r="C1094" s="38" t="s">
        <v>591</v>
      </c>
      <c r="D1094" s="38" t="s">
        <v>590</v>
      </c>
      <c r="E1094" s="38" t="s">
        <v>3089</v>
      </c>
      <c r="F1094" s="38" t="s">
        <v>3061</v>
      </c>
      <c r="G1094" s="38" t="s">
        <v>111</v>
      </c>
      <c r="H1094" s="44">
        <v>44027</v>
      </c>
      <c r="I1094" s="44">
        <v>44029</v>
      </c>
      <c r="J1094">
        <v>90</v>
      </c>
      <c r="K1094">
        <v>90</v>
      </c>
      <c r="L1094" t="s">
        <v>3090</v>
      </c>
      <c r="M1094" s="45" t="s">
        <v>98</v>
      </c>
      <c r="N1094" s="38" t="s">
        <v>230</v>
      </c>
      <c r="O1094" s="38" t="s">
        <v>444</v>
      </c>
      <c r="P1094" s="38" t="s">
        <v>60</v>
      </c>
      <c r="Q1094" s="38" t="s">
        <v>41</v>
      </c>
      <c r="R1094" s="38" t="s">
        <v>270</v>
      </c>
      <c r="S1094" s="38" t="s">
        <v>3091</v>
      </c>
      <c r="T1094" s="38" t="s">
        <v>3092</v>
      </c>
      <c r="U1094" s="38"/>
      <c r="V1094" s="38"/>
      <c r="W1094" s="38"/>
      <c r="X1094" s="14"/>
      <c r="AI1094" s="53">
        <f>90</f>
        <v>90</v>
      </c>
      <c r="AN1094" s="7" t="s">
        <v>145</v>
      </c>
      <c r="AO1094" s="21">
        <f t="shared" si="51"/>
        <v>90</v>
      </c>
      <c r="AP1094" s="7">
        <f t="shared" si="52"/>
        <v>0</v>
      </c>
      <c r="AQ1094" s="31" t="str">
        <f t="shared" si="53"/>
        <v>Complete - With Adjustment</v>
      </c>
    </row>
    <row r="1095" spans="1:43" x14ac:dyDescent="0.2">
      <c r="A1095" s="46">
        <v>1085</v>
      </c>
      <c r="B1095" s="38" t="s">
        <v>266</v>
      </c>
      <c r="C1095" s="38" t="s">
        <v>319</v>
      </c>
      <c r="D1095" s="38" t="s">
        <v>318</v>
      </c>
      <c r="E1095" s="38" t="s">
        <v>3093</v>
      </c>
      <c r="F1095" s="38" t="s">
        <v>3039</v>
      </c>
      <c r="G1095" s="38" t="s">
        <v>111</v>
      </c>
      <c r="H1095" s="44">
        <v>44033</v>
      </c>
      <c r="I1095" s="44">
        <v>44041</v>
      </c>
      <c r="J1095">
        <v>29.56</v>
      </c>
      <c r="K1095">
        <v>15</v>
      </c>
      <c r="L1095" t="s">
        <v>3094</v>
      </c>
      <c r="M1095" s="45" t="s">
        <v>98</v>
      </c>
      <c r="N1095" s="38" t="s">
        <v>230</v>
      </c>
      <c r="O1095" s="38" t="s">
        <v>320</v>
      </c>
      <c r="P1095" s="38" t="s">
        <v>60</v>
      </c>
      <c r="Q1095" s="38" t="s">
        <v>41</v>
      </c>
      <c r="R1095" s="38" t="s">
        <v>270</v>
      </c>
      <c r="S1095" s="38" t="s">
        <v>3095</v>
      </c>
      <c r="T1095" s="38" t="s">
        <v>3096</v>
      </c>
      <c r="U1095" s="38"/>
      <c r="V1095" s="38"/>
      <c r="W1095" s="38"/>
      <c r="X1095" s="14"/>
      <c r="AN1095" s="7" t="s">
        <v>155</v>
      </c>
      <c r="AO1095" s="21">
        <f t="shared" si="51"/>
        <v>0</v>
      </c>
      <c r="AP1095" s="7">
        <f t="shared" si="52"/>
        <v>15</v>
      </c>
      <c r="AQ1095" s="31" t="str">
        <f t="shared" si="53"/>
        <v>Complete - No Adjustment</v>
      </c>
    </row>
    <row r="1096" spans="1:43" x14ac:dyDescent="0.2">
      <c r="A1096" s="46">
        <v>1086</v>
      </c>
      <c r="B1096" s="38" t="s">
        <v>266</v>
      </c>
      <c r="C1096" s="38" t="s">
        <v>319</v>
      </c>
      <c r="D1096" s="38" t="s">
        <v>318</v>
      </c>
      <c r="E1096" s="38" t="s">
        <v>3093</v>
      </c>
      <c r="F1096" s="38" t="s">
        <v>3039</v>
      </c>
      <c r="G1096" s="38" t="s">
        <v>111</v>
      </c>
      <c r="H1096" s="44">
        <v>44033</v>
      </c>
      <c r="I1096" s="44">
        <v>44041</v>
      </c>
      <c r="J1096">
        <v>29.56</v>
      </c>
      <c r="K1096">
        <v>14.56</v>
      </c>
      <c r="L1096" t="s">
        <v>3094</v>
      </c>
      <c r="M1096" s="45" t="s">
        <v>98</v>
      </c>
      <c r="N1096" s="38" t="s">
        <v>230</v>
      </c>
      <c r="O1096" s="38" t="s">
        <v>320</v>
      </c>
      <c r="P1096" s="38" t="s">
        <v>60</v>
      </c>
      <c r="Q1096" s="38" t="s">
        <v>41</v>
      </c>
      <c r="R1096" s="38" t="s">
        <v>270</v>
      </c>
      <c r="S1096" s="38" t="s">
        <v>3095</v>
      </c>
      <c r="T1096" s="38" t="s">
        <v>3097</v>
      </c>
      <c r="U1096" s="38"/>
      <c r="V1096" s="38"/>
      <c r="W1096" s="38"/>
      <c r="X1096" s="14"/>
      <c r="AN1096" s="7" t="s">
        <v>155</v>
      </c>
      <c r="AO1096" s="21">
        <f t="shared" si="51"/>
        <v>0</v>
      </c>
      <c r="AP1096" s="7">
        <f t="shared" si="52"/>
        <v>14.56</v>
      </c>
      <c r="AQ1096" s="31" t="str">
        <f t="shared" si="53"/>
        <v>Complete - No Adjustment</v>
      </c>
    </row>
    <row r="1097" spans="1:43" x14ac:dyDescent="0.2">
      <c r="A1097" s="46">
        <v>1087</v>
      </c>
      <c r="B1097" s="38" t="s">
        <v>266</v>
      </c>
      <c r="C1097" s="38" t="s">
        <v>322</v>
      </c>
      <c r="D1097" s="38" t="s">
        <v>321</v>
      </c>
      <c r="E1097" s="38" t="s">
        <v>3098</v>
      </c>
      <c r="F1097" s="38" t="s">
        <v>3074</v>
      </c>
      <c r="G1097" s="38" t="s">
        <v>111</v>
      </c>
      <c r="H1097" s="44">
        <v>44015</v>
      </c>
      <c r="I1097" s="44">
        <v>44020</v>
      </c>
      <c r="J1097">
        <v>17.190000000000001</v>
      </c>
      <c r="K1097">
        <v>17.190000000000001</v>
      </c>
      <c r="L1097" t="s">
        <v>3099</v>
      </c>
      <c r="M1097" s="45" t="s">
        <v>98</v>
      </c>
      <c r="N1097" s="38" t="s">
        <v>230</v>
      </c>
      <c r="O1097" s="38" t="s">
        <v>323</v>
      </c>
      <c r="P1097" s="38" t="s">
        <v>60</v>
      </c>
      <c r="Q1097" s="38" t="s">
        <v>41</v>
      </c>
      <c r="R1097" s="38" t="s">
        <v>270</v>
      </c>
      <c r="S1097" s="38" t="s">
        <v>3100</v>
      </c>
      <c r="T1097" s="38" t="s">
        <v>3101</v>
      </c>
      <c r="U1097" s="38"/>
      <c r="V1097" s="38"/>
      <c r="W1097" s="38"/>
      <c r="X1097" s="14"/>
      <c r="AN1097" s="7" t="s">
        <v>70</v>
      </c>
      <c r="AO1097" s="21">
        <f t="shared" si="51"/>
        <v>0</v>
      </c>
      <c r="AP1097" s="7">
        <f t="shared" si="52"/>
        <v>17.190000000000001</v>
      </c>
      <c r="AQ1097" s="31" t="str">
        <f t="shared" si="53"/>
        <v>Complete - No Adjustment</v>
      </c>
    </row>
    <row r="1098" spans="1:43" x14ac:dyDescent="0.2">
      <c r="A1098" s="46">
        <v>1088</v>
      </c>
      <c r="B1098" s="38" t="s">
        <v>266</v>
      </c>
      <c r="C1098" s="38" t="s">
        <v>322</v>
      </c>
      <c r="D1098" s="38" t="s">
        <v>321</v>
      </c>
      <c r="E1098" s="38" t="s">
        <v>3102</v>
      </c>
      <c r="F1098" s="38" t="s">
        <v>3074</v>
      </c>
      <c r="G1098" s="38" t="s">
        <v>111</v>
      </c>
      <c r="H1098" s="44">
        <v>44018</v>
      </c>
      <c r="I1098" s="44">
        <v>44020</v>
      </c>
      <c r="J1098">
        <v>27.31</v>
      </c>
      <c r="K1098">
        <v>27.31</v>
      </c>
      <c r="L1098" t="s">
        <v>3103</v>
      </c>
      <c r="M1098" s="45" t="s">
        <v>98</v>
      </c>
      <c r="N1098" s="38" t="s">
        <v>230</v>
      </c>
      <c r="O1098" s="38" t="s">
        <v>323</v>
      </c>
      <c r="P1098" s="38" t="s">
        <v>60</v>
      </c>
      <c r="Q1098" s="38" t="s">
        <v>41</v>
      </c>
      <c r="R1098" s="38" t="s">
        <v>270</v>
      </c>
      <c r="S1098" s="38" t="s">
        <v>3104</v>
      </c>
      <c r="T1098" s="38" t="s">
        <v>3105</v>
      </c>
      <c r="U1098" s="38"/>
      <c r="V1098" s="38"/>
      <c r="W1098" s="38"/>
      <c r="X1098" s="14"/>
      <c r="AN1098" s="7" t="s">
        <v>70</v>
      </c>
      <c r="AO1098" s="21">
        <f t="shared" ref="AO1098:AO1164" si="54">SUM(Y1098:AL1098)</f>
        <v>0</v>
      </c>
      <c r="AP1098" s="7">
        <f t="shared" ref="AP1098:AP1161" si="55">K1098-AO1098</f>
        <v>27.31</v>
      </c>
      <c r="AQ1098" s="31" t="str">
        <f t="shared" ref="AQ1098:AQ1164" si="56">IF(AO1098&lt;&gt;0,"Complete - With Adjustment","Complete - No Adjustment")</f>
        <v>Complete - No Adjustment</v>
      </c>
    </row>
    <row r="1099" spans="1:43" x14ac:dyDescent="0.2">
      <c r="A1099" s="46">
        <v>1089</v>
      </c>
      <c r="B1099" s="38" t="s">
        <v>266</v>
      </c>
      <c r="C1099" s="38" t="s">
        <v>325</v>
      </c>
      <c r="D1099" s="38" t="s">
        <v>324</v>
      </c>
      <c r="E1099" s="38" t="s">
        <v>3106</v>
      </c>
      <c r="F1099" s="38" t="s">
        <v>3039</v>
      </c>
      <c r="G1099" s="38" t="s">
        <v>111</v>
      </c>
      <c r="H1099" s="44">
        <v>44036</v>
      </c>
      <c r="I1099" s="44">
        <v>44041</v>
      </c>
      <c r="J1099">
        <v>10.81</v>
      </c>
      <c r="K1099">
        <v>10.81</v>
      </c>
      <c r="L1099" t="s">
        <v>3107</v>
      </c>
      <c r="M1099" s="45" t="s">
        <v>98</v>
      </c>
      <c r="N1099" s="38" t="s">
        <v>230</v>
      </c>
      <c r="O1099" s="38" t="s">
        <v>288</v>
      </c>
      <c r="P1099" s="38" t="s">
        <v>60</v>
      </c>
      <c r="Q1099" s="38" t="s">
        <v>41</v>
      </c>
      <c r="R1099" s="38" t="s">
        <v>270</v>
      </c>
      <c r="S1099" s="38" t="s">
        <v>3108</v>
      </c>
      <c r="T1099" s="38" t="s">
        <v>3109</v>
      </c>
      <c r="U1099" s="38"/>
      <c r="V1099" s="38"/>
      <c r="W1099" s="38"/>
      <c r="X1099" s="14"/>
      <c r="AN1099" s="7" t="s">
        <v>70</v>
      </c>
      <c r="AO1099" s="21">
        <f t="shared" si="54"/>
        <v>0</v>
      </c>
      <c r="AP1099" s="7">
        <f t="shared" si="55"/>
        <v>10.81</v>
      </c>
      <c r="AQ1099" s="31" t="str">
        <f t="shared" si="56"/>
        <v>Complete - No Adjustment</v>
      </c>
    </row>
    <row r="1100" spans="1:43" x14ac:dyDescent="0.2">
      <c r="A1100" s="46">
        <v>1090</v>
      </c>
      <c r="B1100" s="38" t="s">
        <v>266</v>
      </c>
      <c r="C1100" s="38" t="s">
        <v>325</v>
      </c>
      <c r="D1100" s="38" t="s">
        <v>324</v>
      </c>
      <c r="E1100" s="38" t="s">
        <v>3110</v>
      </c>
      <c r="F1100" s="38" t="s">
        <v>3061</v>
      </c>
      <c r="G1100" s="38" t="s">
        <v>111</v>
      </c>
      <c r="H1100" s="44">
        <v>44027</v>
      </c>
      <c r="I1100" s="44">
        <v>44029</v>
      </c>
      <c r="J1100">
        <v>12.55</v>
      </c>
      <c r="K1100">
        <v>12.55</v>
      </c>
      <c r="L1100" t="s">
        <v>3111</v>
      </c>
      <c r="M1100" s="45" t="s">
        <v>98</v>
      </c>
      <c r="N1100" s="38" t="s">
        <v>230</v>
      </c>
      <c r="O1100" s="38" t="s">
        <v>288</v>
      </c>
      <c r="P1100" s="38" t="s">
        <v>60</v>
      </c>
      <c r="Q1100" s="38" t="s">
        <v>41</v>
      </c>
      <c r="R1100" s="38" t="s">
        <v>270</v>
      </c>
      <c r="S1100" s="38" t="s">
        <v>3112</v>
      </c>
      <c r="T1100" s="38" t="s">
        <v>3113</v>
      </c>
      <c r="U1100" s="38"/>
      <c r="V1100" s="38"/>
      <c r="W1100" s="38"/>
      <c r="X1100" s="14"/>
      <c r="AN1100" s="7" t="s">
        <v>70</v>
      </c>
      <c r="AO1100" s="21">
        <f t="shared" si="54"/>
        <v>0</v>
      </c>
      <c r="AP1100" s="7">
        <f t="shared" si="55"/>
        <v>12.55</v>
      </c>
      <c r="AQ1100" s="31" t="str">
        <f t="shared" si="56"/>
        <v>Complete - No Adjustment</v>
      </c>
    </row>
    <row r="1101" spans="1:43" x14ac:dyDescent="0.2">
      <c r="A1101" s="46">
        <v>1091</v>
      </c>
      <c r="B1101" s="38" t="s">
        <v>266</v>
      </c>
      <c r="C1101" s="38" t="s">
        <v>325</v>
      </c>
      <c r="D1101" s="38" t="s">
        <v>324</v>
      </c>
      <c r="E1101" s="38" t="s">
        <v>3114</v>
      </c>
      <c r="F1101" s="38" t="s">
        <v>3018</v>
      </c>
      <c r="G1101" s="38" t="s">
        <v>111</v>
      </c>
      <c r="H1101" s="44">
        <v>44021</v>
      </c>
      <c r="I1101" s="44">
        <v>44028</v>
      </c>
      <c r="J1101">
        <v>19.309999999999999</v>
      </c>
      <c r="K1101">
        <v>19.309999999999999</v>
      </c>
      <c r="L1101" t="s">
        <v>3115</v>
      </c>
      <c r="M1101" s="45" t="s">
        <v>98</v>
      </c>
      <c r="N1101" s="38" t="s">
        <v>230</v>
      </c>
      <c r="O1101" s="38" t="s">
        <v>288</v>
      </c>
      <c r="P1101" s="38" t="s">
        <v>60</v>
      </c>
      <c r="Q1101" s="38" t="s">
        <v>41</v>
      </c>
      <c r="R1101" s="38" t="s">
        <v>270</v>
      </c>
      <c r="S1101" s="38" t="s">
        <v>3116</v>
      </c>
      <c r="T1101" s="38" t="s">
        <v>3117</v>
      </c>
      <c r="U1101" s="38"/>
      <c r="V1101" s="38"/>
      <c r="W1101" s="38"/>
      <c r="X1101" s="14"/>
      <c r="AL1101" s="14">
        <f>19.31</f>
        <v>19.309999999999999</v>
      </c>
      <c r="AN1101" s="7" t="s">
        <v>146</v>
      </c>
      <c r="AO1101" s="21">
        <f t="shared" si="54"/>
        <v>19.309999999999999</v>
      </c>
      <c r="AP1101" s="7">
        <f t="shared" si="55"/>
        <v>0</v>
      </c>
      <c r="AQ1101" s="31" t="str">
        <f t="shared" si="56"/>
        <v>Complete - With Adjustment</v>
      </c>
    </row>
    <row r="1102" spans="1:43" x14ac:dyDescent="0.2">
      <c r="A1102" s="46">
        <v>1092</v>
      </c>
      <c r="B1102" s="38" t="s">
        <v>266</v>
      </c>
      <c r="C1102" s="38" t="s">
        <v>2250</v>
      </c>
      <c r="D1102" s="38" t="s">
        <v>2251</v>
      </c>
      <c r="E1102" s="38" t="s">
        <v>3118</v>
      </c>
      <c r="F1102" s="38" t="s">
        <v>2960</v>
      </c>
      <c r="G1102" s="38" t="s">
        <v>111</v>
      </c>
      <c r="H1102" s="44">
        <v>44034</v>
      </c>
      <c r="I1102" s="44">
        <v>44036</v>
      </c>
      <c r="J1102">
        <v>15</v>
      </c>
      <c r="K1102">
        <v>15</v>
      </c>
      <c r="L1102" t="s">
        <v>3119</v>
      </c>
      <c r="M1102" s="45" t="s">
        <v>98</v>
      </c>
      <c r="N1102" s="38" t="s">
        <v>230</v>
      </c>
      <c r="O1102" s="38" t="s">
        <v>365</v>
      </c>
      <c r="P1102" s="38" t="s">
        <v>60</v>
      </c>
      <c r="Q1102" s="38" t="s">
        <v>41</v>
      </c>
      <c r="R1102" s="38" t="s">
        <v>270</v>
      </c>
      <c r="S1102" s="38" t="s">
        <v>3120</v>
      </c>
      <c r="T1102" s="38" t="s">
        <v>3121</v>
      </c>
      <c r="U1102" s="38"/>
      <c r="V1102" s="38"/>
      <c r="W1102" s="38"/>
      <c r="X1102" s="14"/>
      <c r="AL1102" s="14">
        <f>15</f>
        <v>15</v>
      </c>
      <c r="AN1102" s="7" t="s">
        <v>2957</v>
      </c>
      <c r="AO1102" s="21">
        <f t="shared" si="54"/>
        <v>15</v>
      </c>
      <c r="AP1102" s="7">
        <f t="shared" si="55"/>
        <v>0</v>
      </c>
      <c r="AQ1102" s="31" t="str">
        <f t="shared" si="56"/>
        <v>Complete - With Adjustment</v>
      </c>
    </row>
    <row r="1103" spans="1:43" x14ac:dyDescent="0.2">
      <c r="A1103" s="46">
        <v>1093</v>
      </c>
      <c r="B1103" s="38" t="s">
        <v>266</v>
      </c>
      <c r="C1103" s="38" t="s">
        <v>641</v>
      </c>
      <c r="D1103" s="38" t="s">
        <v>640</v>
      </c>
      <c r="E1103" s="38" t="s">
        <v>3122</v>
      </c>
      <c r="F1103" s="38" t="s">
        <v>3123</v>
      </c>
      <c r="G1103" s="38" t="s">
        <v>111</v>
      </c>
      <c r="H1103" s="44">
        <v>44033</v>
      </c>
      <c r="I1103" s="44">
        <v>44034</v>
      </c>
      <c r="J1103">
        <v>10.28</v>
      </c>
      <c r="K1103">
        <v>10.28</v>
      </c>
      <c r="L1103" t="s">
        <v>3124</v>
      </c>
      <c r="M1103" s="45" t="s">
        <v>98</v>
      </c>
      <c r="N1103" s="38" t="s">
        <v>230</v>
      </c>
      <c r="O1103" s="38" t="s">
        <v>397</v>
      </c>
      <c r="P1103" s="38" t="s">
        <v>60</v>
      </c>
      <c r="Q1103" s="38" t="s">
        <v>41</v>
      </c>
      <c r="R1103" s="38" t="s">
        <v>270</v>
      </c>
      <c r="S1103" s="38" t="s">
        <v>2258</v>
      </c>
      <c r="T1103" s="38" t="s">
        <v>2259</v>
      </c>
      <c r="U1103" s="38"/>
      <c r="V1103" s="38"/>
      <c r="W1103" s="38"/>
      <c r="X1103" s="14"/>
      <c r="AN1103" s="7" t="s">
        <v>155</v>
      </c>
      <c r="AO1103" s="21">
        <f t="shared" si="54"/>
        <v>0</v>
      </c>
      <c r="AP1103" s="7">
        <f t="shared" si="55"/>
        <v>10.28</v>
      </c>
      <c r="AQ1103" s="31" t="str">
        <f t="shared" si="56"/>
        <v>Complete - No Adjustment</v>
      </c>
    </row>
    <row r="1104" spans="1:43" x14ac:dyDescent="0.2">
      <c r="A1104" s="46">
        <v>1094</v>
      </c>
      <c r="B1104" s="38" t="s">
        <v>266</v>
      </c>
      <c r="C1104" s="38" t="s">
        <v>330</v>
      </c>
      <c r="D1104" s="38" t="s">
        <v>329</v>
      </c>
      <c r="E1104" s="38" t="s">
        <v>3125</v>
      </c>
      <c r="F1104" s="38" t="s">
        <v>2977</v>
      </c>
      <c r="G1104" s="38" t="s">
        <v>111</v>
      </c>
      <c r="H1104" s="44">
        <v>44015</v>
      </c>
      <c r="I1104" s="44">
        <v>44022</v>
      </c>
      <c r="J1104">
        <v>15.16</v>
      </c>
      <c r="K1104">
        <v>15.16</v>
      </c>
      <c r="L1104" t="s">
        <v>3126</v>
      </c>
      <c r="M1104" s="45" t="s">
        <v>98</v>
      </c>
      <c r="N1104" s="38" t="s">
        <v>230</v>
      </c>
      <c r="O1104" s="38" t="s">
        <v>269</v>
      </c>
      <c r="P1104" s="38" t="s">
        <v>60</v>
      </c>
      <c r="Q1104" s="38" t="s">
        <v>41</v>
      </c>
      <c r="R1104" s="38" t="s">
        <v>270</v>
      </c>
      <c r="S1104" s="38" t="s">
        <v>3127</v>
      </c>
      <c r="T1104" s="38" t="s">
        <v>3128</v>
      </c>
      <c r="U1104" s="38"/>
      <c r="V1104" s="38"/>
      <c r="W1104" s="38"/>
      <c r="X1104" s="14"/>
      <c r="AN1104" s="7" t="s">
        <v>70</v>
      </c>
      <c r="AO1104" s="21">
        <f t="shared" si="54"/>
        <v>0</v>
      </c>
      <c r="AP1104" s="7">
        <f t="shared" si="55"/>
        <v>15.16</v>
      </c>
      <c r="AQ1104" s="31" t="str">
        <f t="shared" si="56"/>
        <v>Complete - No Adjustment</v>
      </c>
    </row>
    <row r="1105" spans="1:43" x14ac:dyDescent="0.2">
      <c r="A1105" s="46">
        <v>1095</v>
      </c>
      <c r="B1105" s="38" t="s">
        <v>266</v>
      </c>
      <c r="C1105" s="38" t="s">
        <v>232</v>
      </c>
      <c r="D1105" s="38" t="s">
        <v>231</v>
      </c>
      <c r="E1105" s="38" t="s">
        <v>3129</v>
      </c>
      <c r="F1105" s="38" t="s">
        <v>3130</v>
      </c>
      <c r="G1105" s="38" t="s">
        <v>111</v>
      </c>
      <c r="H1105" s="44">
        <v>44014</v>
      </c>
      <c r="I1105" s="44">
        <v>44018</v>
      </c>
      <c r="J1105">
        <v>20.38</v>
      </c>
      <c r="K1105">
        <v>20.38</v>
      </c>
      <c r="L1105" t="s">
        <v>3131</v>
      </c>
      <c r="M1105" s="45" t="s">
        <v>98</v>
      </c>
      <c r="N1105" s="38" t="s">
        <v>230</v>
      </c>
      <c r="O1105" s="38" t="s">
        <v>311</v>
      </c>
      <c r="P1105" s="38" t="s">
        <v>60</v>
      </c>
      <c r="Q1105" s="38" t="s">
        <v>41</v>
      </c>
      <c r="R1105" s="38" t="s">
        <v>270</v>
      </c>
      <c r="S1105" s="38" t="s">
        <v>3132</v>
      </c>
      <c r="T1105" s="38" t="s">
        <v>3133</v>
      </c>
      <c r="U1105" s="38"/>
      <c r="V1105" s="38"/>
      <c r="W1105" s="38"/>
      <c r="X1105" s="14"/>
      <c r="AB1105" s="14">
        <f>20.38-15</f>
        <v>5.379999999999999</v>
      </c>
      <c r="AN1105" s="7" t="s">
        <v>2958</v>
      </c>
      <c r="AO1105" s="21">
        <f t="shared" si="54"/>
        <v>5.379999999999999</v>
      </c>
      <c r="AP1105" s="7">
        <f t="shared" si="55"/>
        <v>15</v>
      </c>
      <c r="AQ1105" s="31" t="str">
        <f t="shared" si="56"/>
        <v>Complete - With Adjustment</v>
      </c>
    </row>
    <row r="1106" spans="1:43" x14ac:dyDescent="0.2">
      <c r="A1106" s="46">
        <v>1096</v>
      </c>
      <c r="B1106" s="38" t="s">
        <v>266</v>
      </c>
      <c r="C1106" s="38" t="s">
        <v>232</v>
      </c>
      <c r="D1106" s="38" t="s">
        <v>231</v>
      </c>
      <c r="E1106" s="38" t="s">
        <v>3134</v>
      </c>
      <c r="F1106" s="38" t="s">
        <v>3039</v>
      </c>
      <c r="G1106" s="38" t="s">
        <v>111</v>
      </c>
      <c r="H1106" s="44">
        <v>44034</v>
      </c>
      <c r="I1106" s="44">
        <v>44041</v>
      </c>
      <c r="J1106">
        <v>41.26</v>
      </c>
      <c r="K1106">
        <v>15.07</v>
      </c>
      <c r="L1106" t="s">
        <v>3135</v>
      </c>
      <c r="M1106" s="45" t="s">
        <v>98</v>
      </c>
      <c r="N1106" s="38" t="s">
        <v>230</v>
      </c>
      <c r="O1106" s="38" t="s">
        <v>311</v>
      </c>
      <c r="P1106" s="38" t="s">
        <v>60</v>
      </c>
      <c r="Q1106" s="38" t="s">
        <v>41</v>
      </c>
      <c r="R1106" s="38" t="s">
        <v>270</v>
      </c>
      <c r="S1106" s="38" t="s">
        <v>3136</v>
      </c>
      <c r="T1106" s="38" t="s">
        <v>3137</v>
      </c>
      <c r="U1106" s="38"/>
      <c r="V1106" s="38"/>
      <c r="W1106" s="38"/>
      <c r="X1106" s="14"/>
      <c r="AN1106" s="7" t="s">
        <v>155</v>
      </c>
      <c r="AO1106" s="21">
        <f t="shared" si="54"/>
        <v>0</v>
      </c>
      <c r="AP1106" s="7">
        <f t="shared" si="55"/>
        <v>15.07</v>
      </c>
      <c r="AQ1106" s="31" t="str">
        <f t="shared" si="56"/>
        <v>Complete - No Adjustment</v>
      </c>
    </row>
    <row r="1107" spans="1:43" x14ac:dyDescent="0.2">
      <c r="A1107" s="46">
        <v>1097</v>
      </c>
      <c r="B1107" s="38" t="s">
        <v>266</v>
      </c>
      <c r="C1107" s="38" t="s">
        <v>232</v>
      </c>
      <c r="D1107" s="38" t="s">
        <v>231</v>
      </c>
      <c r="E1107" s="38" t="s">
        <v>3134</v>
      </c>
      <c r="F1107" s="38" t="s">
        <v>3039</v>
      </c>
      <c r="G1107" s="38" t="s">
        <v>111</v>
      </c>
      <c r="H1107" s="44">
        <v>44034</v>
      </c>
      <c r="I1107" s="44">
        <v>44041</v>
      </c>
      <c r="J1107">
        <v>41.26</v>
      </c>
      <c r="K1107">
        <v>11.19</v>
      </c>
      <c r="L1107" t="s">
        <v>3135</v>
      </c>
      <c r="M1107" s="45" t="s">
        <v>98</v>
      </c>
      <c r="N1107" s="38" t="s">
        <v>230</v>
      </c>
      <c r="O1107" s="38" t="s">
        <v>311</v>
      </c>
      <c r="P1107" s="38" t="s">
        <v>60</v>
      </c>
      <c r="Q1107" s="38" t="s">
        <v>41</v>
      </c>
      <c r="R1107" s="38" t="s">
        <v>270</v>
      </c>
      <c r="S1107" s="38" t="s">
        <v>3136</v>
      </c>
      <c r="T1107" s="38" t="s">
        <v>3138</v>
      </c>
      <c r="U1107" s="38"/>
      <c r="V1107" s="38"/>
      <c r="W1107" s="38"/>
      <c r="X1107" s="14"/>
      <c r="AL1107" s="14">
        <f>11.19</f>
        <v>11.19</v>
      </c>
      <c r="AN1107" s="7" t="s">
        <v>146</v>
      </c>
      <c r="AO1107" s="21">
        <f t="shared" si="54"/>
        <v>11.19</v>
      </c>
      <c r="AP1107" s="7">
        <f t="shared" si="55"/>
        <v>0</v>
      </c>
      <c r="AQ1107" s="31" t="str">
        <f t="shared" si="56"/>
        <v>Complete - With Adjustment</v>
      </c>
    </row>
    <row r="1108" spans="1:43" x14ac:dyDescent="0.2">
      <c r="A1108" s="46">
        <v>1098</v>
      </c>
      <c r="B1108" s="38" t="s">
        <v>266</v>
      </c>
      <c r="C1108" s="38" t="s">
        <v>232</v>
      </c>
      <c r="D1108" s="38" t="s">
        <v>231</v>
      </c>
      <c r="E1108" s="38" t="s">
        <v>3134</v>
      </c>
      <c r="F1108" s="38" t="s">
        <v>3039</v>
      </c>
      <c r="G1108" s="38" t="s">
        <v>111</v>
      </c>
      <c r="H1108" s="44">
        <v>44034</v>
      </c>
      <c r="I1108" s="44">
        <v>44041</v>
      </c>
      <c r="J1108">
        <v>41.26</v>
      </c>
      <c r="K1108">
        <v>15</v>
      </c>
      <c r="L1108" t="s">
        <v>3135</v>
      </c>
      <c r="M1108" s="45" t="s">
        <v>98</v>
      </c>
      <c r="N1108" s="38" t="s">
        <v>230</v>
      </c>
      <c r="O1108" s="38" t="s">
        <v>311</v>
      </c>
      <c r="P1108" s="38" t="s">
        <v>60</v>
      </c>
      <c r="Q1108" s="38" t="s">
        <v>41</v>
      </c>
      <c r="R1108" s="38" t="s">
        <v>270</v>
      </c>
      <c r="S1108" s="38" t="s">
        <v>3136</v>
      </c>
      <c r="T1108" s="38" t="s">
        <v>3139</v>
      </c>
      <c r="U1108" s="38"/>
      <c r="V1108" s="38"/>
      <c r="W1108" s="38"/>
      <c r="X1108" s="14"/>
      <c r="AN1108" s="7" t="s">
        <v>155</v>
      </c>
      <c r="AO1108" s="21">
        <f t="shared" si="54"/>
        <v>0</v>
      </c>
      <c r="AP1108" s="7">
        <f t="shared" si="55"/>
        <v>15</v>
      </c>
      <c r="AQ1108" s="31" t="str">
        <f t="shared" si="56"/>
        <v>Complete - No Adjustment</v>
      </c>
    </row>
    <row r="1109" spans="1:43" x14ac:dyDescent="0.2">
      <c r="A1109" s="46">
        <v>1099</v>
      </c>
      <c r="B1109" s="38" t="s">
        <v>266</v>
      </c>
      <c r="C1109" s="38" t="s">
        <v>232</v>
      </c>
      <c r="D1109" s="38" t="s">
        <v>231</v>
      </c>
      <c r="E1109" s="38" t="s">
        <v>3140</v>
      </c>
      <c r="F1109" s="38" t="s">
        <v>3141</v>
      </c>
      <c r="G1109" s="38" t="s">
        <v>111</v>
      </c>
      <c r="H1109" s="44">
        <v>44026</v>
      </c>
      <c r="I1109" s="44">
        <v>44027</v>
      </c>
      <c r="J1109">
        <v>304.37</v>
      </c>
      <c r="K1109">
        <v>20.190000000000001</v>
      </c>
      <c r="L1109" t="s">
        <v>3142</v>
      </c>
      <c r="M1109" s="45" t="s">
        <v>98</v>
      </c>
      <c r="N1109" s="38" t="s">
        <v>230</v>
      </c>
      <c r="O1109" s="38" t="s">
        <v>288</v>
      </c>
      <c r="P1109" s="38" t="s">
        <v>60</v>
      </c>
      <c r="Q1109" s="38" t="s">
        <v>62</v>
      </c>
      <c r="R1109" s="38" t="s">
        <v>270</v>
      </c>
      <c r="S1109" s="38" t="s">
        <v>3143</v>
      </c>
      <c r="T1109" s="38" t="s">
        <v>3144</v>
      </c>
      <c r="U1109" s="38"/>
      <c r="V1109" s="38"/>
      <c r="W1109" s="38"/>
      <c r="X1109" s="14"/>
      <c r="AN1109" s="7" t="s">
        <v>155</v>
      </c>
      <c r="AO1109" s="21">
        <f t="shared" si="54"/>
        <v>0</v>
      </c>
      <c r="AP1109" s="7">
        <f t="shared" si="55"/>
        <v>20.190000000000001</v>
      </c>
      <c r="AQ1109" s="31" t="str">
        <f t="shared" si="56"/>
        <v>Complete - No Adjustment</v>
      </c>
    </row>
    <row r="1110" spans="1:43" x14ac:dyDescent="0.2">
      <c r="A1110" s="46">
        <v>1100</v>
      </c>
      <c r="B1110" s="38" t="s">
        <v>266</v>
      </c>
      <c r="C1110" s="38" t="s">
        <v>232</v>
      </c>
      <c r="D1110" s="38" t="s">
        <v>231</v>
      </c>
      <c r="E1110" s="38" t="s">
        <v>3140</v>
      </c>
      <c r="F1110" s="38" t="s">
        <v>3141</v>
      </c>
      <c r="G1110" s="38" t="s">
        <v>111</v>
      </c>
      <c r="H1110" s="44">
        <v>44026</v>
      </c>
      <c r="I1110" s="44">
        <v>44027</v>
      </c>
      <c r="J1110">
        <v>304.37</v>
      </c>
      <c r="K1110">
        <v>83.33</v>
      </c>
      <c r="L1110" t="s">
        <v>3142</v>
      </c>
      <c r="M1110" s="45" t="s">
        <v>98</v>
      </c>
      <c r="N1110" s="38" t="s">
        <v>230</v>
      </c>
      <c r="O1110" s="38" t="s">
        <v>288</v>
      </c>
      <c r="P1110" s="38" t="s">
        <v>60</v>
      </c>
      <c r="Q1110" s="38" t="s">
        <v>62</v>
      </c>
      <c r="R1110" s="38" t="s">
        <v>270</v>
      </c>
      <c r="S1110" s="38" t="s">
        <v>3143</v>
      </c>
      <c r="T1110" s="38" t="s">
        <v>3145</v>
      </c>
      <c r="U1110" s="38"/>
      <c r="V1110" s="38"/>
      <c r="W1110" s="38"/>
      <c r="X1110" s="14"/>
      <c r="AN1110" s="7" t="s">
        <v>155</v>
      </c>
      <c r="AO1110" s="21">
        <f t="shared" si="54"/>
        <v>0</v>
      </c>
      <c r="AP1110" s="7">
        <f t="shared" si="55"/>
        <v>83.33</v>
      </c>
      <c r="AQ1110" s="31" t="str">
        <f t="shared" si="56"/>
        <v>Complete - No Adjustment</v>
      </c>
    </row>
    <row r="1111" spans="1:43" x14ac:dyDescent="0.2">
      <c r="A1111" s="46">
        <v>1101</v>
      </c>
      <c r="B1111" s="38" t="s">
        <v>266</v>
      </c>
      <c r="C1111" s="38" t="s">
        <v>232</v>
      </c>
      <c r="D1111" s="38" t="s">
        <v>231</v>
      </c>
      <c r="E1111" s="38" t="s">
        <v>3140</v>
      </c>
      <c r="F1111" s="38" t="s">
        <v>3141</v>
      </c>
      <c r="G1111" s="38" t="s">
        <v>111</v>
      </c>
      <c r="H1111" s="44">
        <v>44026</v>
      </c>
      <c r="I1111" s="44">
        <v>44027</v>
      </c>
      <c r="J1111">
        <v>304.37</v>
      </c>
      <c r="K1111">
        <v>191.13</v>
      </c>
      <c r="L1111" t="s">
        <v>3142</v>
      </c>
      <c r="M1111" s="45" t="s">
        <v>98</v>
      </c>
      <c r="N1111" s="38" t="s">
        <v>230</v>
      </c>
      <c r="O1111" s="38" t="s">
        <v>288</v>
      </c>
      <c r="P1111" s="38" t="s">
        <v>60</v>
      </c>
      <c r="Q1111" s="38" t="s">
        <v>62</v>
      </c>
      <c r="R1111" s="38" t="s">
        <v>270</v>
      </c>
      <c r="S1111" s="38" t="s">
        <v>3143</v>
      </c>
      <c r="T1111" s="38" t="s">
        <v>3146</v>
      </c>
      <c r="U1111" s="38"/>
      <c r="V1111" s="38"/>
      <c r="W1111" s="38"/>
      <c r="X1111" s="14"/>
      <c r="AN1111" s="7" t="s">
        <v>155</v>
      </c>
      <c r="AO1111" s="21">
        <f t="shared" si="54"/>
        <v>0</v>
      </c>
      <c r="AP1111" s="7">
        <f t="shared" si="55"/>
        <v>191.13</v>
      </c>
      <c r="AQ1111" s="31" t="str">
        <f t="shared" si="56"/>
        <v>Complete - No Adjustment</v>
      </c>
    </row>
    <row r="1112" spans="1:43" x14ac:dyDescent="0.2">
      <c r="A1112" s="46">
        <v>1102</v>
      </c>
      <c r="B1112" s="38" t="s">
        <v>266</v>
      </c>
      <c r="C1112" s="38" t="s">
        <v>232</v>
      </c>
      <c r="D1112" s="38" t="s">
        <v>231</v>
      </c>
      <c r="E1112" s="38" t="s">
        <v>3140</v>
      </c>
      <c r="F1112" s="38" t="s">
        <v>3141</v>
      </c>
      <c r="G1112" s="38" t="s">
        <v>111</v>
      </c>
      <c r="H1112" s="44">
        <v>44026</v>
      </c>
      <c r="I1112" s="44">
        <v>44027</v>
      </c>
      <c r="J1112">
        <v>304.37</v>
      </c>
      <c r="K1112">
        <v>9.7200000000000006</v>
      </c>
      <c r="L1112" t="s">
        <v>3142</v>
      </c>
      <c r="M1112" s="45" t="s">
        <v>98</v>
      </c>
      <c r="N1112" s="38" t="s">
        <v>230</v>
      </c>
      <c r="O1112" s="38" t="s">
        <v>311</v>
      </c>
      <c r="P1112" s="38" t="s">
        <v>60</v>
      </c>
      <c r="Q1112" s="38" t="s">
        <v>41</v>
      </c>
      <c r="R1112" s="38" t="s">
        <v>270</v>
      </c>
      <c r="S1112" s="38" t="s">
        <v>3143</v>
      </c>
      <c r="T1112" s="38" t="s">
        <v>3147</v>
      </c>
      <c r="U1112" s="38"/>
      <c r="V1112" s="38"/>
      <c r="W1112" s="38"/>
      <c r="X1112" s="14"/>
      <c r="AN1112" s="7" t="s">
        <v>155</v>
      </c>
      <c r="AO1112" s="21">
        <f t="shared" si="54"/>
        <v>0</v>
      </c>
      <c r="AP1112" s="7">
        <f t="shared" si="55"/>
        <v>9.7200000000000006</v>
      </c>
      <c r="AQ1112" s="31" t="str">
        <f t="shared" si="56"/>
        <v>Complete - No Adjustment</v>
      </c>
    </row>
    <row r="1113" spans="1:43" x14ac:dyDescent="0.2">
      <c r="A1113" s="46">
        <v>1103</v>
      </c>
      <c r="B1113" s="38" t="s">
        <v>266</v>
      </c>
      <c r="C1113" s="38" t="s">
        <v>232</v>
      </c>
      <c r="D1113" s="38" t="s">
        <v>231</v>
      </c>
      <c r="E1113" s="38" t="s">
        <v>3148</v>
      </c>
      <c r="F1113" s="38" t="s">
        <v>3149</v>
      </c>
      <c r="G1113" s="38" t="s">
        <v>111</v>
      </c>
      <c r="H1113" s="44">
        <v>44032</v>
      </c>
      <c r="I1113" s="44">
        <v>44033</v>
      </c>
      <c r="J1113">
        <v>965.2</v>
      </c>
      <c r="K1113">
        <v>482.6</v>
      </c>
      <c r="L1113" t="s">
        <v>3150</v>
      </c>
      <c r="M1113" s="45" t="s">
        <v>98</v>
      </c>
      <c r="N1113" s="38" t="s">
        <v>230</v>
      </c>
      <c r="O1113" s="38" t="s">
        <v>311</v>
      </c>
      <c r="P1113" s="38" t="s">
        <v>60</v>
      </c>
      <c r="Q1113" s="38" t="s">
        <v>41</v>
      </c>
      <c r="R1113" s="38" t="s">
        <v>270</v>
      </c>
      <c r="S1113" s="38" t="s">
        <v>3151</v>
      </c>
      <c r="T1113" s="38" t="s">
        <v>3152</v>
      </c>
      <c r="U1113" s="38"/>
      <c r="V1113" s="38"/>
      <c r="W1113" s="38"/>
      <c r="X1113" s="14"/>
      <c r="AL1113" s="14">
        <f>482.6</f>
        <v>482.6</v>
      </c>
      <c r="AN1113" s="7" t="s">
        <v>146</v>
      </c>
      <c r="AO1113" s="21">
        <f t="shared" si="54"/>
        <v>482.6</v>
      </c>
      <c r="AP1113" s="7">
        <f t="shared" si="55"/>
        <v>0</v>
      </c>
      <c r="AQ1113" s="31" t="str">
        <f t="shared" si="56"/>
        <v>Complete - With Adjustment</v>
      </c>
    </row>
    <row r="1114" spans="1:43" x14ac:dyDescent="0.2">
      <c r="A1114" s="46">
        <v>1104</v>
      </c>
      <c r="B1114" s="38" t="s">
        <v>266</v>
      </c>
      <c r="C1114" s="38" t="s">
        <v>232</v>
      </c>
      <c r="D1114" s="38" t="s">
        <v>231</v>
      </c>
      <c r="E1114" s="38" t="s">
        <v>3148</v>
      </c>
      <c r="F1114" s="38" t="s">
        <v>3149</v>
      </c>
      <c r="G1114" s="38" t="s">
        <v>111</v>
      </c>
      <c r="H1114" s="44">
        <v>44032</v>
      </c>
      <c r="I1114" s="44">
        <v>44033</v>
      </c>
      <c r="J1114">
        <v>965.2</v>
      </c>
      <c r="K1114">
        <v>482.6</v>
      </c>
      <c r="L1114" t="s">
        <v>3150</v>
      </c>
      <c r="M1114" s="45" t="s">
        <v>98</v>
      </c>
      <c r="N1114" s="38" t="s">
        <v>230</v>
      </c>
      <c r="O1114" s="38" t="s">
        <v>311</v>
      </c>
      <c r="P1114" s="38" t="s">
        <v>60</v>
      </c>
      <c r="Q1114" s="38" t="s">
        <v>41</v>
      </c>
      <c r="R1114" s="38" t="s">
        <v>270</v>
      </c>
      <c r="S1114" s="38" t="s">
        <v>3151</v>
      </c>
      <c r="T1114" s="38" t="s">
        <v>3152</v>
      </c>
      <c r="U1114" s="38"/>
      <c r="V1114" s="38"/>
      <c r="W1114" s="38"/>
      <c r="X1114" s="14"/>
      <c r="AL1114" s="14">
        <f>482.6</f>
        <v>482.6</v>
      </c>
      <c r="AN1114" s="7" t="s">
        <v>146</v>
      </c>
      <c r="AO1114" s="21">
        <f t="shared" si="54"/>
        <v>482.6</v>
      </c>
      <c r="AP1114" s="7">
        <f t="shared" si="55"/>
        <v>0</v>
      </c>
      <c r="AQ1114" s="31" t="str">
        <f t="shared" si="56"/>
        <v>Complete - With Adjustment</v>
      </c>
    </row>
    <row r="1115" spans="1:43" x14ac:dyDescent="0.2">
      <c r="A1115" s="46">
        <v>1105</v>
      </c>
      <c r="B1115" s="38" t="s">
        <v>266</v>
      </c>
      <c r="C1115" s="38" t="s">
        <v>333</v>
      </c>
      <c r="D1115" s="38" t="s">
        <v>332</v>
      </c>
      <c r="E1115" s="38" t="s">
        <v>3153</v>
      </c>
      <c r="F1115" s="38" t="s">
        <v>2960</v>
      </c>
      <c r="G1115" s="38" t="s">
        <v>111</v>
      </c>
      <c r="H1115" s="44">
        <v>44034</v>
      </c>
      <c r="I1115" s="44">
        <v>44036</v>
      </c>
      <c r="J1115">
        <v>52</v>
      </c>
      <c r="K1115">
        <v>52</v>
      </c>
      <c r="L1115" t="s">
        <v>3154</v>
      </c>
      <c r="M1115" s="45" t="s">
        <v>98</v>
      </c>
      <c r="N1115" s="38" t="s">
        <v>230</v>
      </c>
      <c r="O1115" s="38" t="s">
        <v>334</v>
      </c>
      <c r="P1115" s="38" t="s">
        <v>60</v>
      </c>
      <c r="Q1115" s="38" t="s">
        <v>119</v>
      </c>
      <c r="R1115" s="38" t="s">
        <v>270</v>
      </c>
      <c r="S1115" s="38" t="s">
        <v>3155</v>
      </c>
      <c r="T1115" s="38" t="s">
        <v>3156</v>
      </c>
      <c r="U1115" s="38"/>
      <c r="V1115" s="38"/>
      <c r="W1115" s="38"/>
      <c r="X1115" s="14"/>
      <c r="AN1115" s="7" t="s">
        <v>70</v>
      </c>
      <c r="AO1115" s="21">
        <f t="shared" si="54"/>
        <v>0</v>
      </c>
      <c r="AP1115" s="7">
        <f t="shared" si="55"/>
        <v>52</v>
      </c>
      <c r="AQ1115" s="31" t="str">
        <f t="shared" si="56"/>
        <v>Complete - No Adjustment</v>
      </c>
    </row>
    <row r="1116" spans="1:43" x14ac:dyDescent="0.2">
      <c r="A1116" s="46">
        <v>1106</v>
      </c>
      <c r="B1116" s="38" t="s">
        <v>266</v>
      </c>
      <c r="C1116" s="38" t="s">
        <v>333</v>
      </c>
      <c r="D1116" s="38" t="s">
        <v>332</v>
      </c>
      <c r="E1116" s="38" t="s">
        <v>3157</v>
      </c>
      <c r="F1116" s="38" t="s">
        <v>2960</v>
      </c>
      <c r="G1116" s="38" t="s">
        <v>111</v>
      </c>
      <c r="H1116" s="44">
        <v>44034</v>
      </c>
      <c r="I1116" s="44">
        <v>44036</v>
      </c>
      <c r="J1116">
        <v>299</v>
      </c>
      <c r="K1116">
        <v>299</v>
      </c>
      <c r="L1116" t="s">
        <v>3158</v>
      </c>
      <c r="M1116" s="45" t="s">
        <v>98</v>
      </c>
      <c r="N1116" s="38" t="s">
        <v>230</v>
      </c>
      <c r="O1116" s="38" t="s">
        <v>334</v>
      </c>
      <c r="P1116" s="38" t="s">
        <v>60</v>
      </c>
      <c r="Q1116" s="38" t="s">
        <v>56</v>
      </c>
      <c r="R1116" s="38" t="s">
        <v>270</v>
      </c>
      <c r="S1116" s="38" t="s">
        <v>3159</v>
      </c>
      <c r="T1116" s="38" t="s">
        <v>3160</v>
      </c>
      <c r="U1116" s="38"/>
      <c r="V1116" s="38"/>
      <c r="W1116" s="38"/>
      <c r="X1116" s="14"/>
      <c r="AN1116" s="7" t="s">
        <v>70</v>
      </c>
      <c r="AO1116" s="21">
        <f t="shared" si="54"/>
        <v>0</v>
      </c>
      <c r="AP1116" s="7">
        <f t="shared" si="55"/>
        <v>299</v>
      </c>
      <c r="AQ1116" s="31" t="str">
        <f t="shared" si="56"/>
        <v>Complete - No Adjustment</v>
      </c>
    </row>
    <row r="1117" spans="1:43" x14ac:dyDescent="0.2">
      <c r="A1117" s="46">
        <v>1107</v>
      </c>
      <c r="B1117" s="38" t="s">
        <v>266</v>
      </c>
      <c r="C1117" s="38" t="s">
        <v>341</v>
      </c>
      <c r="D1117" s="38" t="s">
        <v>340</v>
      </c>
      <c r="E1117" s="38" t="s">
        <v>3161</v>
      </c>
      <c r="F1117" s="38" t="s">
        <v>2972</v>
      </c>
      <c r="G1117" s="38" t="s">
        <v>111</v>
      </c>
      <c r="H1117" s="44">
        <v>44034</v>
      </c>
      <c r="I1117" s="44">
        <v>44039</v>
      </c>
      <c r="J1117">
        <v>13.69</v>
      </c>
      <c r="K1117">
        <v>13.69</v>
      </c>
      <c r="L1117" t="s">
        <v>3162</v>
      </c>
      <c r="M1117" s="45" t="s">
        <v>98</v>
      </c>
      <c r="N1117" s="38" t="s">
        <v>230</v>
      </c>
      <c r="O1117" s="38" t="s">
        <v>404</v>
      </c>
      <c r="P1117" s="38" t="s">
        <v>60</v>
      </c>
      <c r="Q1117" s="38" t="s">
        <v>41</v>
      </c>
      <c r="R1117" s="38" t="s">
        <v>270</v>
      </c>
      <c r="S1117" s="38" t="s">
        <v>3163</v>
      </c>
      <c r="T1117" s="38" t="s">
        <v>3164</v>
      </c>
      <c r="U1117" s="38"/>
      <c r="V1117" s="38"/>
      <c r="W1117" s="38"/>
      <c r="X1117" s="14"/>
      <c r="AN1117" s="7" t="s">
        <v>155</v>
      </c>
      <c r="AO1117" s="21">
        <f t="shared" si="54"/>
        <v>0</v>
      </c>
      <c r="AP1117" s="7">
        <f t="shared" si="55"/>
        <v>13.69</v>
      </c>
      <c r="AQ1117" s="31" t="str">
        <f t="shared" si="56"/>
        <v>Complete - No Adjustment</v>
      </c>
    </row>
    <row r="1118" spans="1:43" x14ac:dyDescent="0.2">
      <c r="A1118" s="46">
        <v>1108</v>
      </c>
      <c r="B1118" s="38" t="s">
        <v>266</v>
      </c>
      <c r="C1118" s="38" t="s">
        <v>692</v>
      </c>
      <c r="D1118" s="38" t="s">
        <v>3165</v>
      </c>
      <c r="E1118" s="38" t="s">
        <v>3166</v>
      </c>
      <c r="F1118" s="38" t="s">
        <v>3039</v>
      </c>
      <c r="G1118" s="38" t="s">
        <v>111</v>
      </c>
      <c r="H1118" s="44">
        <v>44033</v>
      </c>
      <c r="I1118" s="44">
        <v>44041</v>
      </c>
      <c r="J1118">
        <v>14.62</v>
      </c>
      <c r="K1118">
        <v>14.62</v>
      </c>
      <c r="L1118" t="s">
        <v>3167</v>
      </c>
      <c r="M1118" s="45" t="s">
        <v>98</v>
      </c>
      <c r="N1118" s="38" t="s">
        <v>230</v>
      </c>
      <c r="O1118" s="38" t="s">
        <v>658</v>
      </c>
      <c r="P1118" s="38" t="s">
        <v>60</v>
      </c>
      <c r="Q1118" s="38" t="s">
        <v>46</v>
      </c>
      <c r="R1118" s="38" t="s">
        <v>270</v>
      </c>
      <c r="S1118" s="38" t="s">
        <v>3168</v>
      </c>
      <c r="T1118" s="38" t="s">
        <v>3169</v>
      </c>
      <c r="U1118" s="38"/>
      <c r="V1118" s="38"/>
      <c r="W1118" s="38"/>
      <c r="X1118" s="14"/>
      <c r="AN1118" s="7" t="s">
        <v>155</v>
      </c>
      <c r="AO1118" s="21">
        <f t="shared" si="54"/>
        <v>0</v>
      </c>
      <c r="AP1118" s="7">
        <f t="shared" si="55"/>
        <v>14.62</v>
      </c>
      <c r="AQ1118" s="31" t="str">
        <f t="shared" si="56"/>
        <v>Complete - No Adjustment</v>
      </c>
    </row>
    <row r="1119" spans="1:43" x14ac:dyDescent="0.2">
      <c r="A1119" s="46">
        <v>1109</v>
      </c>
      <c r="B1119" s="38" t="s">
        <v>266</v>
      </c>
      <c r="C1119" s="38" t="s">
        <v>692</v>
      </c>
      <c r="D1119" s="38" t="s">
        <v>3165</v>
      </c>
      <c r="E1119" s="38" t="s">
        <v>3170</v>
      </c>
      <c r="F1119" s="38" t="s">
        <v>3171</v>
      </c>
      <c r="G1119" s="38" t="s">
        <v>111</v>
      </c>
      <c r="H1119" s="44">
        <v>43994</v>
      </c>
      <c r="I1119" s="44">
        <v>44014</v>
      </c>
      <c r="J1119">
        <v>15</v>
      </c>
      <c r="K1119">
        <v>15</v>
      </c>
      <c r="L1119" t="s">
        <v>3172</v>
      </c>
      <c r="M1119" s="45" t="s">
        <v>98</v>
      </c>
      <c r="N1119" s="38" t="s">
        <v>230</v>
      </c>
      <c r="O1119" s="38" t="s">
        <v>658</v>
      </c>
      <c r="P1119" s="38" t="s">
        <v>60</v>
      </c>
      <c r="Q1119" s="38" t="s">
        <v>46</v>
      </c>
      <c r="R1119" s="38" t="s">
        <v>270</v>
      </c>
      <c r="S1119" s="38" t="s">
        <v>3168</v>
      </c>
      <c r="T1119" s="38" t="s">
        <v>3173</v>
      </c>
      <c r="U1119" s="38"/>
      <c r="V1119" s="38"/>
      <c r="W1119" s="38"/>
      <c r="X1119" s="14"/>
      <c r="AL1119" s="14">
        <f>15</f>
        <v>15</v>
      </c>
      <c r="AN1119" s="7" t="s">
        <v>2957</v>
      </c>
      <c r="AO1119" s="21">
        <f t="shared" si="54"/>
        <v>15</v>
      </c>
      <c r="AP1119" s="7">
        <f t="shared" si="55"/>
        <v>0</v>
      </c>
      <c r="AQ1119" s="31" t="str">
        <f t="shared" si="56"/>
        <v>Complete - With Adjustment</v>
      </c>
    </row>
    <row r="1120" spans="1:43" x14ac:dyDescent="0.2">
      <c r="A1120" s="46">
        <v>1110</v>
      </c>
      <c r="B1120" s="38" t="s">
        <v>266</v>
      </c>
      <c r="C1120" s="38" t="s">
        <v>780</v>
      </c>
      <c r="D1120" s="38" t="s">
        <v>798</v>
      </c>
      <c r="E1120" s="38" t="s">
        <v>3174</v>
      </c>
      <c r="F1120" s="38" t="s">
        <v>2960</v>
      </c>
      <c r="G1120" s="38" t="s">
        <v>111</v>
      </c>
      <c r="H1120" s="44">
        <v>44033</v>
      </c>
      <c r="I1120" s="44">
        <v>44036</v>
      </c>
      <c r="J1120">
        <v>14.98</v>
      </c>
      <c r="K1120">
        <v>14.98</v>
      </c>
      <c r="L1120" t="s">
        <v>3175</v>
      </c>
      <c r="M1120" s="45" t="s">
        <v>98</v>
      </c>
      <c r="N1120" s="38" t="s">
        <v>230</v>
      </c>
      <c r="O1120" s="38" t="s">
        <v>288</v>
      </c>
      <c r="P1120" s="38" t="s">
        <v>60</v>
      </c>
      <c r="Q1120" s="38" t="s">
        <v>41</v>
      </c>
      <c r="R1120" s="38" t="s">
        <v>270</v>
      </c>
      <c r="S1120" s="38" t="s">
        <v>3176</v>
      </c>
      <c r="T1120" s="38" t="s">
        <v>3177</v>
      </c>
      <c r="U1120" s="38"/>
      <c r="V1120" s="38"/>
      <c r="W1120" s="38"/>
      <c r="X1120" s="14"/>
      <c r="AN1120" s="7" t="s">
        <v>155</v>
      </c>
      <c r="AO1120" s="21">
        <f t="shared" si="54"/>
        <v>0</v>
      </c>
      <c r="AP1120" s="7">
        <f t="shared" si="55"/>
        <v>14.98</v>
      </c>
      <c r="AQ1120" s="31" t="str">
        <f t="shared" si="56"/>
        <v>Complete - No Adjustment</v>
      </c>
    </row>
    <row r="1121" spans="1:43" x14ac:dyDescent="0.2">
      <c r="A1121" s="46">
        <v>1111</v>
      </c>
      <c r="B1121" s="38" t="s">
        <v>266</v>
      </c>
      <c r="C1121" s="38" t="s">
        <v>780</v>
      </c>
      <c r="D1121" s="38" t="s">
        <v>798</v>
      </c>
      <c r="E1121" s="38" t="s">
        <v>3178</v>
      </c>
      <c r="F1121" s="38" t="s">
        <v>3179</v>
      </c>
      <c r="G1121" s="38" t="s">
        <v>111</v>
      </c>
      <c r="H1121" s="44">
        <v>44022</v>
      </c>
      <c r="I1121" s="44">
        <v>44025</v>
      </c>
      <c r="J1121">
        <v>25.2</v>
      </c>
      <c r="K1121">
        <v>25.2</v>
      </c>
      <c r="L1121" t="s">
        <v>3180</v>
      </c>
      <c r="M1121" s="45" t="s">
        <v>98</v>
      </c>
      <c r="N1121" s="38" t="s">
        <v>230</v>
      </c>
      <c r="O1121" s="38" t="s">
        <v>288</v>
      </c>
      <c r="P1121" s="38" t="s">
        <v>60</v>
      </c>
      <c r="Q1121" s="38" t="s">
        <v>41</v>
      </c>
      <c r="R1121" s="38" t="s">
        <v>270</v>
      </c>
      <c r="S1121" s="38" t="s">
        <v>3181</v>
      </c>
      <c r="T1121" s="38" t="s">
        <v>3182</v>
      </c>
      <c r="U1121" s="38"/>
      <c r="V1121" s="38"/>
      <c r="W1121" s="38"/>
      <c r="X1121" s="14"/>
      <c r="AL1121" s="14">
        <f>25.2</f>
        <v>25.2</v>
      </c>
      <c r="AN1121" s="7" t="s">
        <v>146</v>
      </c>
      <c r="AO1121" s="21">
        <f t="shared" si="54"/>
        <v>25.2</v>
      </c>
      <c r="AP1121" s="7">
        <f t="shared" si="55"/>
        <v>0</v>
      </c>
      <c r="AQ1121" s="31" t="str">
        <f t="shared" si="56"/>
        <v>Complete - With Adjustment</v>
      </c>
    </row>
    <row r="1122" spans="1:43" x14ac:dyDescent="0.2">
      <c r="A1122" s="46">
        <v>1112</v>
      </c>
      <c r="B1122" s="38" t="s">
        <v>266</v>
      </c>
      <c r="C1122" s="38" t="s">
        <v>780</v>
      </c>
      <c r="D1122" s="38" t="s">
        <v>798</v>
      </c>
      <c r="E1122" s="38" t="s">
        <v>3183</v>
      </c>
      <c r="F1122" s="38" t="s">
        <v>3074</v>
      </c>
      <c r="G1122" s="38" t="s">
        <v>111</v>
      </c>
      <c r="H1122" s="44">
        <v>44014</v>
      </c>
      <c r="I1122" s="44">
        <v>44020</v>
      </c>
      <c r="J1122">
        <v>26.14</v>
      </c>
      <c r="K1122">
        <v>26.14</v>
      </c>
      <c r="L1122" t="s">
        <v>3184</v>
      </c>
      <c r="M1122" s="45" t="s">
        <v>98</v>
      </c>
      <c r="N1122" s="38" t="s">
        <v>230</v>
      </c>
      <c r="O1122" s="38" t="s">
        <v>288</v>
      </c>
      <c r="P1122" s="38" t="s">
        <v>60</v>
      </c>
      <c r="Q1122" s="38" t="s">
        <v>41</v>
      </c>
      <c r="R1122" s="38" t="s">
        <v>270</v>
      </c>
      <c r="S1122" s="38" t="s">
        <v>3181</v>
      </c>
      <c r="T1122" s="38" t="s">
        <v>3182</v>
      </c>
      <c r="U1122" s="38"/>
      <c r="V1122" s="38"/>
      <c r="W1122" s="38"/>
      <c r="X1122" s="14"/>
      <c r="AL1122" s="14">
        <f>26.14</f>
        <v>26.14</v>
      </c>
      <c r="AN1122" s="7" t="s">
        <v>2957</v>
      </c>
      <c r="AO1122" s="21">
        <f t="shared" si="54"/>
        <v>26.14</v>
      </c>
      <c r="AP1122" s="7">
        <f t="shared" si="55"/>
        <v>0</v>
      </c>
      <c r="AQ1122" s="31" t="str">
        <f t="shared" si="56"/>
        <v>Complete - With Adjustment</v>
      </c>
    </row>
    <row r="1123" spans="1:43" x14ac:dyDescent="0.2">
      <c r="A1123" s="46">
        <v>1113</v>
      </c>
      <c r="B1123" s="38" t="s">
        <v>266</v>
      </c>
      <c r="C1123" s="38" t="s">
        <v>780</v>
      </c>
      <c r="D1123" s="38" t="s">
        <v>798</v>
      </c>
      <c r="E1123" s="38" t="s">
        <v>3185</v>
      </c>
      <c r="F1123" s="38" t="s">
        <v>3061</v>
      </c>
      <c r="G1123" s="38" t="s">
        <v>111</v>
      </c>
      <c r="H1123" s="44">
        <v>44028</v>
      </c>
      <c r="I1123" s="44">
        <v>44029</v>
      </c>
      <c r="J1123">
        <v>27.18</v>
      </c>
      <c r="K1123">
        <v>27.18</v>
      </c>
      <c r="L1123" t="s">
        <v>3186</v>
      </c>
      <c r="M1123" s="45" t="s">
        <v>98</v>
      </c>
      <c r="N1123" s="38" t="s">
        <v>230</v>
      </c>
      <c r="O1123" s="38" t="s">
        <v>288</v>
      </c>
      <c r="P1123" s="38" t="s">
        <v>60</v>
      </c>
      <c r="Q1123" s="38" t="s">
        <v>41</v>
      </c>
      <c r="R1123" s="38" t="s">
        <v>270</v>
      </c>
      <c r="S1123" s="38" t="s">
        <v>3187</v>
      </c>
      <c r="T1123" s="38" t="s">
        <v>3188</v>
      </c>
      <c r="U1123" s="38"/>
      <c r="V1123" s="38"/>
      <c r="W1123" s="38"/>
      <c r="X1123" s="14"/>
      <c r="AN1123" s="7" t="s">
        <v>70</v>
      </c>
      <c r="AO1123" s="21">
        <f t="shared" si="54"/>
        <v>0</v>
      </c>
      <c r="AP1123" s="7">
        <f t="shared" si="55"/>
        <v>27.18</v>
      </c>
      <c r="AQ1123" s="31" t="str">
        <f t="shared" si="56"/>
        <v>Complete - No Adjustment</v>
      </c>
    </row>
    <row r="1124" spans="1:43" x14ac:dyDescent="0.2">
      <c r="A1124" s="46">
        <v>1114</v>
      </c>
      <c r="B1124" s="38" t="s">
        <v>266</v>
      </c>
      <c r="C1124" s="38" t="s">
        <v>644</v>
      </c>
      <c r="D1124" s="38" t="s">
        <v>643</v>
      </c>
      <c r="E1124" s="38" t="s">
        <v>3189</v>
      </c>
      <c r="F1124" s="38" t="s">
        <v>3039</v>
      </c>
      <c r="G1124" s="38" t="s">
        <v>111</v>
      </c>
      <c r="H1124" s="44">
        <v>44036</v>
      </c>
      <c r="I1124" s="44">
        <v>44041</v>
      </c>
      <c r="J1124">
        <v>30.67</v>
      </c>
      <c r="K1124">
        <v>16.61</v>
      </c>
      <c r="L1124" t="s">
        <v>3190</v>
      </c>
      <c r="M1124" s="45" t="s">
        <v>98</v>
      </c>
      <c r="N1124" s="38" t="s">
        <v>230</v>
      </c>
      <c r="O1124" s="38" t="s">
        <v>269</v>
      </c>
      <c r="P1124" s="38" t="s">
        <v>60</v>
      </c>
      <c r="Q1124" s="38" t="s">
        <v>41</v>
      </c>
      <c r="R1124" s="38" t="s">
        <v>270</v>
      </c>
      <c r="S1124" s="38" t="s">
        <v>3191</v>
      </c>
      <c r="T1124" s="38" t="s">
        <v>3192</v>
      </c>
      <c r="U1124" s="38"/>
      <c r="V1124" s="38"/>
      <c r="W1124" s="38"/>
      <c r="X1124" s="14"/>
      <c r="AN1124" s="7" t="s">
        <v>155</v>
      </c>
      <c r="AO1124" s="21">
        <f t="shared" si="54"/>
        <v>0</v>
      </c>
      <c r="AP1124" s="7">
        <f t="shared" si="55"/>
        <v>16.61</v>
      </c>
      <c r="AQ1124" s="31" t="str">
        <f t="shared" si="56"/>
        <v>Complete - No Adjustment</v>
      </c>
    </row>
    <row r="1125" spans="1:43" x14ac:dyDescent="0.2">
      <c r="A1125" s="46">
        <v>1115</v>
      </c>
      <c r="B1125" s="38" t="s">
        <v>266</v>
      </c>
      <c r="C1125" s="38" t="s">
        <v>644</v>
      </c>
      <c r="D1125" s="38" t="s">
        <v>643</v>
      </c>
      <c r="E1125" s="38" t="s">
        <v>3189</v>
      </c>
      <c r="F1125" s="38" t="s">
        <v>3039</v>
      </c>
      <c r="G1125" s="38" t="s">
        <v>111</v>
      </c>
      <c r="H1125" s="44">
        <v>44036</v>
      </c>
      <c r="I1125" s="44">
        <v>44041</v>
      </c>
      <c r="J1125">
        <v>30.67</v>
      </c>
      <c r="K1125">
        <v>14.06</v>
      </c>
      <c r="L1125" t="s">
        <v>3190</v>
      </c>
      <c r="M1125" s="45" t="s">
        <v>98</v>
      </c>
      <c r="N1125" s="38" t="s">
        <v>230</v>
      </c>
      <c r="O1125" s="38" t="s">
        <v>269</v>
      </c>
      <c r="P1125" s="38" t="s">
        <v>60</v>
      </c>
      <c r="Q1125" s="38" t="s">
        <v>41</v>
      </c>
      <c r="R1125" s="38" t="s">
        <v>270</v>
      </c>
      <c r="S1125" s="38" t="s">
        <v>3191</v>
      </c>
      <c r="T1125" s="38" t="s">
        <v>3193</v>
      </c>
      <c r="U1125" s="38"/>
      <c r="V1125" s="38"/>
      <c r="W1125" s="38"/>
      <c r="X1125" s="14"/>
      <c r="AN1125" s="7" t="s">
        <v>155</v>
      </c>
      <c r="AO1125" s="21">
        <f t="shared" si="54"/>
        <v>0</v>
      </c>
      <c r="AP1125" s="7">
        <f t="shared" si="55"/>
        <v>14.06</v>
      </c>
      <c r="AQ1125" s="31" t="str">
        <f t="shared" si="56"/>
        <v>Complete - No Adjustment</v>
      </c>
    </row>
    <row r="1126" spans="1:43" x14ac:dyDescent="0.2">
      <c r="A1126" s="46">
        <v>1116</v>
      </c>
      <c r="B1126" s="38" t="s">
        <v>266</v>
      </c>
      <c r="C1126" s="38" t="s">
        <v>2301</v>
      </c>
      <c r="D1126" s="38" t="s">
        <v>2302</v>
      </c>
      <c r="E1126" s="38" t="s">
        <v>3194</v>
      </c>
      <c r="F1126" s="38" t="s">
        <v>3039</v>
      </c>
      <c r="G1126" s="38" t="s">
        <v>111</v>
      </c>
      <c r="H1126" s="44">
        <v>44036</v>
      </c>
      <c r="I1126" s="44">
        <v>44041</v>
      </c>
      <c r="J1126">
        <v>15</v>
      </c>
      <c r="K1126">
        <v>15</v>
      </c>
      <c r="L1126" t="s">
        <v>3195</v>
      </c>
      <c r="M1126" s="45" t="s">
        <v>98</v>
      </c>
      <c r="N1126" s="38" t="s">
        <v>230</v>
      </c>
      <c r="O1126" s="38" t="s">
        <v>365</v>
      </c>
      <c r="P1126" s="38" t="s">
        <v>60</v>
      </c>
      <c r="Q1126" s="38" t="s">
        <v>41</v>
      </c>
      <c r="R1126" s="38" t="s">
        <v>270</v>
      </c>
      <c r="S1126" s="38" t="s">
        <v>3196</v>
      </c>
      <c r="T1126" s="38" t="s">
        <v>3197</v>
      </c>
      <c r="U1126" s="38"/>
      <c r="V1126" s="38"/>
      <c r="W1126" s="38"/>
      <c r="X1126" s="14"/>
      <c r="AN1126" s="7" t="s">
        <v>155</v>
      </c>
      <c r="AO1126" s="21">
        <f t="shared" si="54"/>
        <v>0</v>
      </c>
      <c r="AP1126" s="7">
        <f t="shared" si="55"/>
        <v>15</v>
      </c>
      <c r="AQ1126" s="31" t="str">
        <f t="shared" si="56"/>
        <v>Complete - No Adjustment</v>
      </c>
    </row>
    <row r="1127" spans="1:43" x14ac:dyDescent="0.2">
      <c r="A1127" s="46">
        <v>1117</v>
      </c>
      <c r="B1127" s="38" t="s">
        <v>266</v>
      </c>
      <c r="C1127" s="38" t="s">
        <v>349</v>
      </c>
      <c r="D1127" s="38" t="s">
        <v>348</v>
      </c>
      <c r="E1127" s="38" t="s">
        <v>3198</v>
      </c>
      <c r="F1127" s="38" t="s">
        <v>3141</v>
      </c>
      <c r="G1127" s="38" t="s">
        <v>111</v>
      </c>
      <c r="H1127" s="44">
        <v>44026</v>
      </c>
      <c r="I1127" s="44">
        <v>44027</v>
      </c>
      <c r="J1127">
        <v>210</v>
      </c>
      <c r="K1127">
        <v>210</v>
      </c>
      <c r="L1127" t="s">
        <v>3199</v>
      </c>
      <c r="M1127" s="45" t="s">
        <v>98</v>
      </c>
      <c r="N1127" s="38" t="s">
        <v>230</v>
      </c>
      <c r="O1127" s="38" t="s">
        <v>334</v>
      </c>
      <c r="P1127" s="38" t="s">
        <v>60</v>
      </c>
      <c r="Q1127" s="38" t="s">
        <v>59</v>
      </c>
      <c r="R1127" s="38" t="s">
        <v>270</v>
      </c>
      <c r="S1127" s="38" t="s">
        <v>3200</v>
      </c>
      <c r="T1127" s="38" t="s">
        <v>3201</v>
      </c>
      <c r="U1127" s="38"/>
      <c r="V1127" s="38"/>
      <c r="W1127" s="38"/>
      <c r="X1127" s="14"/>
      <c r="AN1127" s="7" t="s">
        <v>70</v>
      </c>
      <c r="AO1127" s="21">
        <f t="shared" si="54"/>
        <v>0</v>
      </c>
      <c r="AP1127" s="7">
        <f t="shared" si="55"/>
        <v>210</v>
      </c>
      <c r="AQ1127" s="31" t="str">
        <f t="shared" si="56"/>
        <v>Complete - No Adjustment</v>
      </c>
    </row>
    <row r="1128" spans="1:43" x14ac:dyDescent="0.2">
      <c r="A1128" s="46">
        <v>1118</v>
      </c>
      <c r="B1128" s="38" t="s">
        <v>266</v>
      </c>
      <c r="C1128" s="38" t="s">
        <v>359</v>
      </c>
      <c r="D1128" s="38" t="s">
        <v>358</v>
      </c>
      <c r="E1128" s="38" t="s">
        <v>3202</v>
      </c>
      <c r="F1128" s="38" t="s">
        <v>3171</v>
      </c>
      <c r="G1128" s="38" t="s">
        <v>111</v>
      </c>
      <c r="H1128" s="44">
        <v>44004</v>
      </c>
      <c r="I1128" s="44">
        <v>44014</v>
      </c>
      <c r="J1128">
        <v>322</v>
      </c>
      <c r="K1128">
        <v>322</v>
      </c>
      <c r="L1128" t="s">
        <v>3203</v>
      </c>
      <c r="M1128" s="45" t="s">
        <v>98</v>
      </c>
      <c r="N1128" s="38" t="s">
        <v>230</v>
      </c>
      <c r="O1128" s="38" t="s">
        <v>277</v>
      </c>
      <c r="P1128" s="38" t="s">
        <v>60</v>
      </c>
      <c r="Q1128" s="38" t="s">
        <v>119</v>
      </c>
      <c r="R1128" s="38" t="s">
        <v>270</v>
      </c>
      <c r="S1128" s="38" t="s">
        <v>3204</v>
      </c>
      <c r="T1128" s="38" t="s">
        <v>3205</v>
      </c>
      <c r="U1128" s="38"/>
      <c r="V1128" s="38"/>
      <c r="W1128" s="38"/>
      <c r="X1128" s="14"/>
      <c r="AN1128" s="7" t="s">
        <v>70</v>
      </c>
      <c r="AO1128" s="21">
        <f t="shared" si="54"/>
        <v>0</v>
      </c>
      <c r="AP1128" s="7">
        <f t="shared" si="55"/>
        <v>322</v>
      </c>
      <c r="AQ1128" s="31" t="str">
        <f t="shared" si="56"/>
        <v>Complete - No Adjustment</v>
      </c>
    </row>
    <row r="1129" spans="1:43" x14ac:dyDescent="0.2">
      <c r="A1129" s="46">
        <v>1119</v>
      </c>
      <c r="B1129" s="38" t="s">
        <v>266</v>
      </c>
      <c r="C1129" s="38" t="s">
        <v>524</v>
      </c>
      <c r="D1129" s="38" t="s">
        <v>523</v>
      </c>
      <c r="E1129" s="38" t="s">
        <v>3206</v>
      </c>
      <c r="F1129" s="38" t="s">
        <v>3018</v>
      </c>
      <c r="G1129" s="38" t="s">
        <v>111</v>
      </c>
      <c r="H1129" s="44">
        <v>44022</v>
      </c>
      <c r="I1129" s="44">
        <v>44028</v>
      </c>
      <c r="J1129">
        <v>1900</v>
      </c>
      <c r="K1129">
        <v>1900</v>
      </c>
      <c r="L1129" t="s">
        <v>3207</v>
      </c>
      <c r="M1129" s="45" t="s">
        <v>98</v>
      </c>
      <c r="N1129" s="38" t="s">
        <v>230</v>
      </c>
      <c r="O1129" s="38" t="s">
        <v>404</v>
      </c>
      <c r="P1129" s="38" t="s">
        <v>60</v>
      </c>
      <c r="Q1129" s="38" t="s">
        <v>56</v>
      </c>
      <c r="R1129" s="38" t="s">
        <v>270</v>
      </c>
      <c r="S1129" s="38" t="s">
        <v>3208</v>
      </c>
      <c r="T1129" s="38" t="s">
        <v>3209</v>
      </c>
      <c r="U1129" s="38"/>
      <c r="V1129" s="38"/>
      <c r="W1129" s="38"/>
      <c r="X1129" s="14"/>
      <c r="AN1129" s="7" t="s">
        <v>70</v>
      </c>
      <c r="AO1129" s="21">
        <f t="shared" si="54"/>
        <v>0</v>
      </c>
      <c r="AP1129" s="7">
        <f t="shared" si="55"/>
        <v>1900</v>
      </c>
      <c r="AQ1129" s="31" t="str">
        <f t="shared" si="56"/>
        <v>Complete - No Adjustment</v>
      </c>
    </row>
    <row r="1130" spans="1:43" x14ac:dyDescent="0.2">
      <c r="A1130" s="46">
        <v>1120</v>
      </c>
      <c r="B1130" s="38" t="s">
        <v>266</v>
      </c>
      <c r="C1130" s="38" t="s">
        <v>250</v>
      </c>
      <c r="D1130" s="38" t="s">
        <v>249</v>
      </c>
      <c r="E1130" s="38" t="s">
        <v>3210</v>
      </c>
      <c r="F1130" s="38" t="s">
        <v>3039</v>
      </c>
      <c r="G1130" s="38" t="s">
        <v>111</v>
      </c>
      <c r="H1130" s="44">
        <v>44033</v>
      </c>
      <c r="I1130" s="44">
        <v>44041</v>
      </c>
      <c r="J1130">
        <v>7.52</v>
      </c>
      <c r="K1130">
        <v>3.76</v>
      </c>
      <c r="L1130" t="s">
        <v>3211</v>
      </c>
      <c r="M1130" s="45" t="s">
        <v>98</v>
      </c>
      <c r="N1130" s="38" t="s">
        <v>230</v>
      </c>
      <c r="O1130" s="38" t="s">
        <v>326</v>
      </c>
      <c r="P1130" s="38" t="s">
        <v>60</v>
      </c>
      <c r="Q1130" s="38" t="s">
        <v>41</v>
      </c>
      <c r="R1130" s="38" t="s">
        <v>270</v>
      </c>
      <c r="S1130" s="38" t="s">
        <v>3212</v>
      </c>
      <c r="T1130" s="38" t="s">
        <v>3213</v>
      </c>
      <c r="U1130" s="38"/>
      <c r="V1130" s="38"/>
      <c r="W1130" s="38"/>
      <c r="X1130" s="14"/>
      <c r="AN1130" s="7" t="s">
        <v>155</v>
      </c>
      <c r="AO1130" s="21">
        <f t="shared" si="54"/>
        <v>0</v>
      </c>
      <c r="AP1130" s="7">
        <f t="shared" si="55"/>
        <v>3.76</v>
      </c>
      <c r="AQ1130" s="31" t="str">
        <f t="shared" si="56"/>
        <v>Complete - No Adjustment</v>
      </c>
    </row>
    <row r="1131" spans="1:43" x14ac:dyDescent="0.2">
      <c r="A1131" s="46">
        <v>1121</v>
      </c>
      <c r="B1131" s="38" t="s">
        <v>266</v>
      </c>
      <c r="C1131" s="38" t="s">
        <v>2384</v>
      </c>
      <c r="D1131" s="38" t="s">
        <v>2385</v>
      </c>
      <c r="E1131" s="38" t="s">
        <v>3214</v>
      </c>
      <c r="F1131" s="38" t="s">
        <v>2994</v>
      </c>
      <c r="G1131" s="38" t="s">
        <v>111</v>
      </c>
      <c r="H1131" s="44">
        <v>44041</v>
      </c>
      <c r="I1131" s="44">
        <v>44043</v>
      </c>
      <c r="J1131">
        <v>11.08</v>
      </c>
      <c r="K1131">
        <v>11.08</v>
      </c>
      <c r="L1131" t="s">
        <v>3215</v>
      </c>
      <c r="M1131" s="45" t="s">
        <v>98</v>
      </c>
      <c r="N1131" s="38" t="s">
        <v>230</v>
      </c>
      <c r="O1131" s="38" t="s">
        <v>362</v>
      </c>
      <c r="P1131" s="38" t="s">
        <v>60</v>
      </c>
      <c r="Q1131" s="38" t="s">
        <v>41</v>
      </c>
      <c r="R1131" s="38" t="s">
        <v>270</v>
      </c>
      <c r="S1131" s="38" t="s">
        <v>3216</v>
      </c>
      <c r="T1131" s="38" t="s">
        <v>3217</v>
      </c>
      <c r="U1131" s="38"/>
      <c r="V1131" s="38"/>
      <c r="W1131" s="38"/>
      <c r="X1131" s="14"/>
      <c r="AN1131" s="7" t="s">
        <v>155</v>
      </c>
      <c r="AO1131" s="21">
        <f t="shared" si="54"/>
        <v>0</v>
      </c>
      <c r="AP1131" s="7">
        <f t="shared" si="55"/>
        <v>11.08</v>
      </c>
      <c r="AQ1131" s="31" t="str">
        <f t="shared" si="56"/>
        <v>Complete - No Adjustment</v>
      </c>
    </row>
    <row r="1132" spans="1:43" x14ac:dyDescent="0.2">
      <c r="A1132" s="46">
        <v>1122</v>
      </c>
      <c r="B1132" s="38" t="s">
        <v>266</v>
      </c>
      <c r="C1132" s="38" t="s">
        <v>698</v>
      </c>
      <c r="D1132" s="38" t="s">
        <v>697</v>
      </c>
      <c r="E1132" s="38" t="s">
        <v>3218</v>
      </c>
      <c r="F1132" s="38" t="s">
        <v>3123</v>
      </c>
      <c r="G1132" s="38" t="s">
        <v>111</v>
      </c>
      <c r="H1132" s="44">
        <v>44033</v>
      </c>
      <c r="I1132" s="44">
        <v>44034</v>
      </c>
      <c r="J1132">
        <v>15</v>
      </c>
      <c r="K1132">
        <v>15</v>
      </c>
      <c r="L1132" t="s">
        <v>3219</v>
      </c>
      <c r="M1132" s="45" t="s">
        <v>98</v>
      </c>
      <c r="N1132" s="38" t="s">
        <v>230</v>
      </c>
      <c r="O1132" s="38" t="s">
        <v>484</v>
      </c>
      <c r="P1132" s="38" t="s">
        <v>60</v>
      </c>
      <c r="Q1132" s="38" t="s">
        <v>46</v>
      </c>
      <c r="R1132" s="38" t="s">
        <v>270</v>
      </c>
      <c r="S1132" s="38" t="s">
        <v>3220</v>
      </c>
      <c r="T1132" s="38" t="s">
        <v>3221</v>
      </c>
      <c r="U1132" s="38"/>
      <c r="V1132" s="38"/>
      <c r="W1132" s="38"/>
      <c r="X1132" s="14"/>
      <c r="AL1132" s="14">
        <f>15</f>
        <v>15</v>
      </c>
      <c r="AN1132" s="7" t="s">
        <v>2957</v>
      </c>
      <c r="AO1132" s="21">
        <f t="shared" si="54"/>
        <v>15</v>
      </c>
      <c r="AP1132" s="7">
        <f t="shared" si="55"/>
        <v>0</v>
      </c>
      <c r="AQ1132" s="31" t="str">
        <f t="shared" si="56"/>
        <v>Complete - With Adjustment</v>
      </c>
    </row>
    <row r="1133" spans="1:43" x14ac:dyDescent="0.2">
      <c r="A1133" s="46">
        <v>1123</v>
      </c>
      <c r="B1133" s="38" t="s">
        <v>266</v>
      </c>
      <c r="C1133" s="38" t="s">
        <v>2410</v>
      </c>
      <c r="D1133" s="38" t="s">
        <v>2411</v>
      </c>
      <c r="E1133" s="38" t="s">
        <v>3222</v>
      </c>
      <c r="F1133" s="38" t="s">
        <v>3223</v>
      </c>
      <c r="G1133" s="38" t="s">
        <v>111</v>
      </c>
      <c r="H1133" s="44">
        <v>44033</v>
      </c>
      <c r="I1133" s="44">
        <v>44035</v>
      </c>
      <c r="J1133">
        <v>15</v>
      </c>
      <c r="K1133">
        <v>15</v>
      </c>
      <c r="L1133" t="s">
        <v>3224</v>
      </c>
      <c r="M1133" s="45" t="s">
        <v>98</v>
      </c>
      <c r="N1133" s="38" t="s">
        <v>230</v>
      </c>
      <c r="O1133" s="38" t="s">
        <v>658</v>
      </c>
      <c r="P1133" s="38" t="s">
        <v>60</v>
      </c>
      <c r="Q1133" s="38" t="s">
        <v>41</v>
      </c>
      <c r="R1133" s="38" t="s">
        <v>270</v>
      </c>
      <c r="S1133" s="38" t="s">
        <v>3225</v>
      </c>
      <c r="T1133" s="38" t="s">
        <v>3226</v>
      </c>
      <c r="U1133" s="38"/>
      <c r="V1133" s="38"/>
      <c r="W1133" s="38"/>
      <c r="X1133" s="14"/>
      <c r="AN1133" s="7" t="s">
        <v>155</v>
      </c>
      <c r="AO1133" s="21">
        <f t="shared" si="54"/>
        <v>0</v>
      </c>
      <c r="AP1133" s="7">
        <f t="shared" si="55"/>
        <v>15</v>
      </c>
      <c r="AQ1133" s="31" t="str">
        <f t="shared" si="56"/>
        <v>Complete - No Adjustment</v>
      </c>
    </row>
    <row r="1134" spans="1:43" x14ac:dyDescent="0.2">
      <c r="A1134" s="46">
        <v>1124</v>
      </c>
      <c r="B1134" s="38" t="s">
        <v>266</v>
      </c>
      <c r="C1134" s="38" t="s">
        <v>2410</v>
      </c>
      <c r="D1134" s="38" t="s">
        <v>2411</v>
      </c>
      <c r="E1134" s="38" t="s">
        <v>3227</v>
      </c>
      <c r="F1134" s="38" t="s">
        <v>3223</v>
      </c>
      <c r="G1134" s="38" t="s">
        <v>111</v>
      </c>
      <c r="H1134" s="44">
        <v>44033</v>
      </c>
      <c r="I1134" s="44">
        <v>44035</v>
      </c>
      <c r="J1134">
        <v>15.62</v>
      </c>
      <c r="K1134">
        <v>15.62</v>
      </c>
      <c r="L1134" t="s">
        <v>3228</v>
      </c>
      <c r="M1134" s="45" t="s">
        <v>98</v>
      </c>
      <c r="N1134" s="38" t="s">
        <v>230</v>
      </c>
      <c r="O1134" s="38" t="s">
        <v>658</v>
      </c>
      <c r="P1134" s="38" t="s">
        <v>60</v>
      </c>
      <c r="Q1134" s="38" t="s">
        <v>601</v>
      </c>
      <c r="R1134" s="38" t="s">
        <v>270</v>
      </c>
      <c r="S1134" s="38" t="s">
        <v>2414</v>
      </c>
      <c r="T1134" s="38" t="s">
        <v>3229</v>
      </c>
      <c r="U1134" s="38"/>
      <c r="V1134" s="38"/>
      <c r="W1134" s="38"/>
      <c r="X1134" s="14"/>
      <c r="AN1134" s="7" t="s">
        <v>70</v>
      </c>
      <c r="AO1134" s="21">
        <f t="shared" si="54"/>
        <v>0</v>
      </c>
      <c r="AP1134" s="7">
        <f t="shared" si="55"/>
        <v>15.62</v>
      </c>
      <c r="AQ1134" s="31" t="str">
        <f t="shared" si="56"/>
        <v>Complete - No Adjustment</v>
      </c>
    </row>
    <row r="1135" spans="1:43" x14ac:dyDescent="0.2">
      <c r="A1135" s="46">
        <v>1125</v>
      </c>
      <c r="B1135" s="38" t="s">
        <v>266</v>
      </c>
      <c r="C1135" s="38" t="s">
        <v>650</v>
      </c>
      <c r="D1135" s="38" t="s">
        <v>649</v>
      </c>
      <c r="E1135" s="38" t="s">
        <v>3230</v>
      </c>
      <c r="F1135" s="38" t="s">
        <v>3223</v>
      </c>
      <c r="G1135" s="38" t="s">
        <v>111</v>
      </c>
      <c r="H1135" s="44">
        <v>44033</v>
      </c>
      <c r="I1135" s="44">
        <v>44035</v>
      </c>
      <c r="J1135">
        <v>10.81</v>
      </c>
      <c r="K1135">
        <v>10.81</v>
      </c>
      <c r="L1135" t="s">
        <v>3231</v>
      </c>
      <c r="M1135" s="45" t="s">
        <v>98</v>
      </c>
      <c r="N1135" s="38" t="s">
        <v>230</v>
      </c>
      <c r="O1135" s="38" t="s">
        <v>317</v>
      </c>
      <c r="P1135" s="38" t="s">
        <v>60</v>
      </c>
      <c r="Q1135" s="38" t="s">
        <v>41</v>
      </c>
      <c r="R1135" s="38" t="s">
        <v>270</v>
      </c>
      <c r="S1135" s="38" t="s">
        <v>3232</v>
      </c>
      <c r="T1135" s="38" t="s">
        <v>3233</v>
      </c>
      <c r="U1135" s="38"/>
      <c r="V1135" s="38"/>
      <c r="W1135" s="38"/>
      <c r="X1135" s="14"/>
      <c r="AN1135" s="7" t="s">
        <v>155</v>
      </c>
      <c r="AO1135" s="21">
        <f t="shared" si="54"/>
        <v>0</v>
      </c>
      <c r="AP1135" s="7">
        <f t="shared" si="55"/>
        <v>10.81</v>
      </c>
      <c r="AQ1135" s="31" t="str">
        <f t="shared" si="56"/>
        <v>Complete - No Adjustment</v>
      </c>
    </row>
    <row r="1136" spans="1:43" x14ac:dyDescent="0.2">
      <c r="A1136" s="46">
        <v>1126</v>
      </c>
      <c r="B1136" s="38" t="s">
        <v>266</v>
      </c>
      <c r="C1136" s="38" t="s">
        <v>650</v>
      </c>
      <c r="D1136" s="38" t="s">
        <v>649</v>
      </c>
      <c r="E1136" s="38" t="s">
        <v>3234</v>
      </c>
      <c r="F1136" s="38" t="s">
        <v>3074</v>
      </c>
      <c r="G1136" s="38" t="s">
        <v>111</v>
      </c>
      <c r="H1136" s="44">
        <v>44015</v>
      </c>
      <c r="I1136" s="44">
        <v>44020</v>
      </c>
      <c r="J1136">
        <v>36.36</v>
      </c>
      <c r="K1136">
        <v>21.26</v>
      </c>
      <c r="L1136" t="s">
        <v>3235</v>
      </c>
      <c r="M1136" s="45" t="s">
        <v>98</v>
      </c>
      <c r="N1136" s="38" t="s">
        <v>230</v>
      </c>
      <c r="O1136" s="38" t="s">
        <v>317</v>
      </c>
      <c r="P1136" s="38" t="s">
        <v>60</v>
      </c>
      <c r="Q1136" s="38" t="s">
        <v>41</v>
      </c>
      <c r="R1136" s="38" t="s">
        <v>270</v>
      </c>
      <c r="S1136" s="38" t="s">
        <v>3236</v>
      </c>
      <c r="T1136" s="38" t="s">
        <v>3237</v>
      </c>
      <c r="U1136" s="38"/>
      <c r="V1136" s="38"/>
      <c r="W1136" s="38"/>
      <c r="X1136" s="14"/>
      <c r="AN1136" s="7" t="s">
        <v>70</v>
      </c>
      <c r="AO1136" s="21">
        <f t="shared" si="54"/>
        <v>0</v>
      </c>
      <c r="AP1136" s="7">
        <f t="shared" si="55"/>
        <v>21.26</v>
      </c>
      <c r="AQ1136" s="31" t="str">
        <f t="shared" si="56"/>
        <v>Complete - No Adjustment</v>
      </c>
    </row>
    <row r="1137" spans="1:43" x14ac:dyDescent="0.2">
      <c r="A1137" s="46">
        <v>1127</v>
      </c>
      <c r="B1137" s="38" t="s">
        <v>266</v>
      </c>
      <c r="C1137" s="38" t="s">
        <v>650</v>
      </c>
      <c r="D1137" s="38" t="s">
        <v>649</v>
      </c>
      <c r="E1137" s="38" t="s">
        <v>3234</v>
      </c>
      <c r="F1137" s="38" t="s">
        <v>3074</v>
      </c>
      <c r="G1137" s="38" t="s">
        <v>111</v>
      </c>
      <c r="H1137" s="44">
        <v>44015</v>
      </c>
      <c r="I1137" s="44">
        <v>44020</v>
      </c>
      <c r="J1137">
        <v>36.36</v>
      </c>
      <c r="K1137">
        <v>15.1</v>
      </c>
      <c r="L1137" t="s">
        <v>3235</v>
      </c>
      <c r="M1137" s="45" t="s">
        <v>98</v>
      </c>
      <c r="N1137" s="38" t="s">
        <v>230</v>
      </c>
      <c r="O1137" s="38" t="s">
        <v>317</v>
      </c>
      <c r="P1137" s="38" t="s">
        <v>60</v>
      </c>
      <c r="Q1137" s="38" t="s">
        <v>41</v>
      </c>
      <c r="R1137" s="38" t="s">
        <v>270</v>
      </c>
      <c r="S1137" s="38" t="s">
        <v>3236</v>
      </c>
      <c r="T1137" s="38" t="s">
        <v>3238</v>
      </c>
      <c r="U1137" s="38"/>
      <c r="V1137" s="38"/>
      <c r="W1137" s="38"/>
      <c r="X1137" s="14"/>
      <c r="AN1137" s="7" t="s">
        <v>70</v>
      </c>
      <c r="AO1137" s="21">
        <f t="shared" si="54"/>
        <v>0</v>
      </c>
      <c r="AP1137" s="7">
        <f t="shared" si="55"/>
        <v>15.1</v>
      </c>
      <c r="AQ1137" s="31" t="str">
        <f t="shared" si="56"/>
        <v>Complete - No Adjustment</v>
      </c>
    </row>
    <row r="1138" spans="1:43" x14ac:dyDescent="0.2">
      <c r="A1138" s="46">
        <v>1128</v>
      </c>
      <c r="B1138" s="38" t="s">
        <v>266</v>
      </c>
      <c r="C1138" s="38" t="s">
        <v>3239</v>
      </c>
      <c r="D1138" s="38" t="s">
        <v>3240</v>
      </c>
      <c r="E1138" s="38" t="s">
        <v>3241</v>
      </c>
      <c r="F1138" s="38" t="s">
        <v>3074</v>
      </c>
      <c r="G1138" s="38" t="s">
        <v>111</v>
      </c>
      <c r="H1138" s="44">
        <v>44013</v>
      </c>
      <c r="I1138" s="44">
        <v>44020</v>
      </c>
      <c r="J1138">
        <v>605</v>
      </c>
      <c r="K1138">
        <v>605</v>
      </c>
      <c r="L1138" t="s">
        <v>3242</v>
      </c>
      <c r="M1138" s="45" t="s">
        <v>98</v>
      </c>
      <c r="N1138" s="38" t="s">
        <v>230</v>
      </c>
      <c r="O1138" s="38" t="s">
        <v>405</v>
      </c>
      <c r="P1138" s="38" t="s">
        <v>43</v>
      </c>
      <c r="Q1138" s="38" t="s">
        <v>82</v>
      </c>
      <c r="R1138" s="38" t="s">
        <v>270</v>
      </c>
      <c r="S1138" s="38" t="s">
        <v>3243</v>
      </c>
      <c r="T1138" s="38" t="s">
        <v>3244</v>
      </c>
      <c r="U1138" s="38"/>
      <c r="V1138" s="38"/>
      <c r="W1138" s="38"/>
      <c r="X1138" s="14"/>
      <c r="AL1138" s="14">
        <f>605</f>
        <v>605</v>
      </c>
      <c r="AN1138" s="7" t="s">
        <v>146</v>
      </c>
      <c r="AO1138" s="21">
        <f t="shared" si="54"/>
        <v>605</v>
      </c>
      <c r="AP1138" s="7">
        <f t="shared" si="55"/>
        <v>0</v>
      </c>
      <c r="AQ1138" s="31" t="str">
        <f t="shared" si="56"/>
        <v>Complete - With Adjustment</v>
      </c>
    </row>
    <row r="1139" spans="1:43" x14ac:dyDescent="0.2">
      <c r="A1139" s="46">
        <v>1129</v>
      </c>
      <c r="B1139" s="38" t="s">
        <v>266</v>
      </c>
      <c r="C1139" s="38" t="s">
        <v>600</v>
      </c>
      <c r="D1139" s="38" t="s">
        <v>599</v>
      </c>
      <c r="E1139" s="38" t="s">
        <v>3245</v>
      </c>
      <c r="F1139" s="38" t="s">
        <v>2960</v>
      </c>
      <c r="G1139" s="38" t="s">
        <v>111</v>
      </c>
      <c r="H1139" s="44">
        <v>44033</v>
      </c>
      <c r="I1139" s="44">
        <v>44036</v>
      </c>
      <c r="J1139">
        <v>16.55</v>
      </c>
      <c r="K1139">
        <v>16.55</v>
      </c>
      <c r="L1139" t="s">
        <v>3246</v>
      </c>
      <c r="M1139" s="45" t="s">
        <v>98</v>
      </c>
      <c r="N1139" s="38" t="s">
        <v>230</v>
      </c>
      <c r="O1139" s="38" t="s">
        <v>287</v>
      </c>
      <c r="P1139" s="38" t="s">
        <v>60</v>
      </c>
      <c r="Q1139" s="38" t="s">
        <v>41</v>
      </c>
      <c r="R1139" s="38" t="s">
        <v>270</v>
      </c>
      <c r="S1139" s="38" t="s">
        <v>3247</v>
      </c>
      <c r="T1139" s="38" t="s">
        <v>3248</v>
      </c>
      <c r="U1139" s="38"/>
      <c r="V1139" s="38"/>
      <c r="W1139" s="38"/>
      <c r="X1139" s="14"/>
      <c r="AN1139" s="7" t="s">
        <v>155</v>
      </c>
      <c r="AO1139" s="21">
        <f t="shared" si="54"/>
        <v>0</v>
      </c>
      <c r="AP1139" s="7">
        <f t="shared" si="55"/>
        <v>16.55</v>
      </c>
      <c r="AQ1139" s="31" t="str">
        <f t="shared" si="56"/>
        <v>Complete - No Adjustment</v>
      </c>
    </row>
    <row r="1140" spans="1:43" x14ac:dyDescent="0.2">
      <c r="A1140" s="46">
        <v>1130</v>
      </c>
      <c r="B1140" s="38" t="s">
        <v>266</v>
      </c>
      <c r="C1140" s="38" t="s">
        <v>530</v>
      </c>
      <c r="D1140" s="38" t="s">
        <v>529</v>
      </c>
      <c r="E1140" s="38" t="s">
        <v>3249</v>
      </c>
      <c r="F1140" s="38" t="s">
        <v>2972</v>
      </c>
      <c r="G1140" s="38" t="s">
        <v>111</v>
      </c>
      <c r="H1140" s="44">
        <v>44035</v>
      </c>
      <c r="I1140" s="44">
        <v>44039</v>
      </c>
      <c r="J1140">
        <v>14.22</v>
      </c>
      <c r="K1140">
        <v>14.22</v>
      </c>
      <c r="L1140" t="s">
        <v>3250</v>
      </c>
      <c r="M1140" s="45" t="s">
        <v>98</v>
      </c>
      <c r="N1140" s="38" t="s">
        <v>230</v>
      </c>
      <c r="O1140" s="38" t="s">
        <v>292</v>
      </c>
      <c r="P1140" s="38" t="s">
        <v>60</v>
      </c>
      <c r="Q1140" s="38" t="s">
        <v>41</v>
      </c>
      <c r="R1140" s="38" t="s">
        <v>270</v>
      </c>
      <c r="S1140" s="38" t="s">
        <v>3251</v>
      </c>
      <c r="T1140" s="38" t="s">
        <v>3252</v>
      </c>
      <c r="U1140" s="38"/>
      <c r="V1140" s="38"/>
      <c r="W1140" s="38"/>
      <c r="X1140" s="14"/>
      <c r="AN1140" s="7" t="s">
        <v>155</v>
      </c>
      <c r="AO1140" s="21">
        <f t="shared" si="54"/>
        <v>0</v>
      </c>
      <c r="AP1140" s="7">
        <f t="shared" si="55"/>
        <v>14.22</v>
      </c>
      <c r="AQ1140" s="31" t="str">
        <f t="shared" si="56"/>
        <v>Complete - No Adjustment</v>
      </c>
    </row>
    <row r="1141" spans="1:43" x14ac:dyDescent="0.2">
      <c r="A1141" s="46">
        <v>1131</v>
      </c>
      <c r="B1141" s="38" t="s">
        <v>266</v>
      </c>
      <c r="C1141" s="38" t="s">
        <v>530</v>
      </c>
      <c r="D1141" s="38" t="s">
        <v>529</v>
      </c>
      <c r="E1141" s="38" t="s">
        <v>3253</v>
      </c>
      <c r="F1141" s="38" t="s">
        <v>3123</v>
      </c>
      <c r="G1141" s="38" t="s">
        <v>111</v>
      </c>
      <c r="H1141" s="44">
        <v>44033</v>
      </c>
      <c r="I1141" s="44">
        <v>44034</v>
      </c>
      <c r="J1141">
        <v>708</v>
      </c>
      <c r="K1141">
        <v>708</v>
      </c>
      <c r="L1141" t="s">
        <v>3254</v>
      </c>
      <c r="M1141" s="45" t="s">
        <v>98</v>
      </c>
      <c r="N1141" s="38" t="s">
        <v>230</v>
      </c>
      <c r="O1141" s="38" t="s">
        <v>292</v>
      </c>
      <c r="P1141" s="38" t="s">
        <v>60</v>
      </c>
      <c r="Q1141" s="38" t="s">
        <v>75</v>
      </c>
      <c r="R1141" s="38" t="s">
        <v>270</v>
      </c>
      <c r="S1141" s="38" t="s">
        <v>3255</v>
      </c>
      <c r="T1141" s="38" t="s">
        <v>3256</v>
      </c>
      <c r="U1141" s="38"/>
      <c r="V1141" s="38"/>
      <c r="W1141" s="38"/>
      <c r="X1141" s="14"/>
      <c r="AN1141" s="7" t="s">
        <v>70</v>
      </c>
      <c r="AO1141" s="21">
        <f t="shared" si="54"/>
        <v>0</v>
      </c>
      <c r="AP1141" s="7">
        <f t="shared" si="55"/>
        <v>708</v>
      </c>
      <c r="AQ1141" s="31" t="str">
        <f t="shared" si="56"/>
        <v>Complete - No Adjustment</v>
      </c>
    </row>
    <row r="1142" spans="1:43" x14ac:dyDescent="0.2">
      <c r="A1142" s="46">
        <v>1132</v>
      </c>
      <c r="B1142" s="38" t="s">
        <v>266</v>
      </c>
      <c r="C1142" s="38" t="s">
        <v>532</v>
      </c>
      <c r="D1142" s="38" t="s">
        <v>531</v>
      </c>
      <c r="E1142" s="38" t="s">
        <v>3257</v>
      </c>
      <c r="F1142" s="38" t="s">
        <v>3223</v>
      </c>
      <c r="G1142" s="38" t="s">
        <v>111</v>
      </c>
      <c r="H1142" s="44">
        <v>44033</v>
      </c>
      <c r="I1142" s="44">
        <v>44035</v>
      </c>
      <c r="J1142">
        <v>13.82</v>
      </c>
      <c r="K1142">
        <v>13.82</v>
      </c>
      <c r="L1142" t="s">
        <v>3258</v>
      </c>
      <c r="M1142" s="45" t="s">
        <v>98</v>
      </c>
      <c r="N1142" s="38" t="s">
        <v>230</v>
      </c>
      <c r="O1142" s="38" t="s">
        <v>533</v>
      </c>
      <c r="P1142" s="38" t="s">
        <v>60</v>
      </c>
      <c r="Q1142" s="38" t="s">
        <v>46</v>
      </c>
      <c r="R1142" s="38" t="s">
        <v>270</v>
      </c>
      <c r="S1142" s="38" t="s">
        <v>3259</v>
      </c>
      <c r="T1142" s="38" t="s">
        <v>3260</v>
      </c>
      <c r="U1142" s="38"/>
      <c r="V1142" s="38"/>
      <c r="W1142" s="38"/>
      <c r="X1142" s="14"/>
      <c r="AN1142" s="7" t="s">
        <v>155</v>
      </c>
      <c r="AO1142" s="21">
        <f t="shared" si="54"/>
        <v>0</v>
      </c>
      <c r="AP1142" s="7">
        <f t="shared" si="55"/>
        <v>13.82</v>
      </c>
      <c r="AQ1142" s="31" t="str">
        <f t="shared" si="56"/>
        <v>Complete - No Adjustment</v>
      </c>
    </row>
    <row r="1143" spans="1:43" x14ac:dyDescent="0.2">
      <c r="A1143" s="46">
        <v>1133</v>
      </c>
      <c r="B1143" s="38" t="s">
        <v>266</v>
      </c>
      <c r="C1143" s="38" t="s">
        <v>763</v>
      </c>
      <c r="D1143" s="38" t="s">
        <v>762</v>
      </c>
      <c r="E1143" s="38" t="s">
        <v>3261</v>
      </c>
      <c r="F1143" s="38" t="s">
        <v>3223</v>
      </c>
      <c r="G1143" s="38" t="s">
        <v>111</v>
      </c>
      <c r="H1143" s="44">
        <v>44033</v>
      </c>
      <c r="I1143" s="44">
        <v>44035</v>
      </c>
      <c r="J1143">
        <v>15</v>
      </c>
      <c r="K1143">
        <v>15</v>
      </c>
      <c r="L1143" t="s">
        <v>3262</v>
      </c>
      <c r="M1143" s="45" t="s">
        <v>98</v>
      </c>
      <c r="N1143" s="38" t="s">
        <v>230</v>
      </c>
      <c r="O1143" s="38" t="s">
        <v>472</v>
      </c>
      <c r="P1143" s="38" t="s">
        <v>60</v>
      </c>
      <c r="Q1143" s="38" t="s">
        <v>46</v>
      </c>
      <c r="R1143" s="38" t="s">
        <v>270</v>
      </c>
      <c r="S1143" s="38" t="s">
        <v>3263</v>
      </c>
      <c r="T1143" s="38" t="s">
        <v>3264</v>
      </c>
      <c r="U1143" s="38"/>
      <c r="V1143" s="38"/>
      <c r="W1143" s="38"/>
      <c r="X1143" s="14"/>
      <c r="AN1143" s="7" t="s">
        <v>155</v>
      </c>
      <c r="AO1143" s="21">
        <f t="shared" si="54"/>
        <v>0</v>
      </c>
      <c r="AP1143" s="7">
        <f t="shared" si="55"/>
        <v>15</v>
      </c>
      <c r="AQ1143" s="31" t="str">
        <f t="shared" si="56"/>
        <v>Complete - No Adjustment</v>
      </c>
    </row>
    <row r="1144" spans="1:43" x14ac:dyDescent="0.2">
      <c r="A1144" s="46">
        <v>1134</v>
      </c>
      <c r="B1144" s="38" t="s">
        <v>266</v>
      </c>
      <c r="C1144" s="38" t="s">
        <v>380</v>
      </c>
      <c r="D1144" s="38" t="s">
        <v>379</v>
      </c>
      <c r="E1144" s="38" t="s">
        <v>3684</v>
      </c>
      <c r="F1144" s="38" t="s">
        <v>3475</v>
      </c>
      <c r="G1144" s="38" t="s">
        <v>111</v>
      </c>
      <c r="H1144" s="44">
        <v>44018</v>
      </c>
      <c r="I1144" s="44">
        <v>44032</v>
      </c>
      <c r="J1144">
        <v>492.01</v>
      </c>
      <c r="K1144">
        <v>92.01</v>
      </c>
      <c r="L1144"/>
      <c r="M1144" s="45" t="s">
        <v>97</v>
      </c>
      <c r="N1144" s="38" t="s">
        <v>230</v>
      </c>
      <c r="O1144" s="38" t="s">
        <v>277</v>
      </c>
      <c r="P1144" s="38" t="s">
        <v>42</v>
      </c>
      <c r="Q1144" s="38" t="s">
        <v>55</v>
      </c>
      <c r="R1144" s="38" t="s">
        <v>270</v>
      </c>
      <c r="S1144" s="38" t="s">
        <v>3685</v>
      </c>
      <c r="T1144" s="38" t="s">
        <v>3686</v>
      </c>
      <c r="U1144" s="38"/>
      <c r="V1144" s="38"/>
      <c r="W1144" s="38"/>
      <c r="X1144" s="14"/>
      <c r="AI1144" s="53">
        <f>92.01</f>
        <v>92.01</v>
      </c>
      <c r="AN1144" s="7" t="s">
        <v>145</v>
      </c>
      <c r="AO1144" s="21">
        <f>SUM(Y1144:AL1144)</f>
        <v>92.01</v>
      </c>
      <c r="AP1144" s="7">
        <f t="shared" si="55"/>
        <v>0</v>
      </c>
      <c r="AQ1144" s="31" t="str">
        <f t="shared" si="56"/>
        <v>Complete - With Adjustment</v>
      </c>
    </row>
    <row r="1145" spans="1:43" x14ac:dyDescent="0.2">
      <c r="A1145" s="46">
        <v>1135</v>
      </c>
      <c r="B1145" s="38" t="s">
        <v>266</v>
      </c>
      <c r="C1145" s="38" t="s">
        <v>380</v>
      </c>
      <c r="D1145" s="38" t="s">
        <v>379</v>
      </c>
      <c r="E1145" s="38" t="s">
        <v>3684</v>
      </c>
      <c r="F1145" s="38" t="s">
        <v>3475</v>
      </c>
      <c r="G1145" s="38" t="s">
        <v>111</v>
      </c>
      <c r="H1145" s="44">
        <v>44018</v>
      </c>
      <c r="I1145" s="44">
        <v>44032</v>
      </c>
      <c r="J1145">
        <v>492.01</v>
      </c>
      <c r="K1145">
        <v>400</v>
      </c>
      <c r="L1145"/>
      <c r="M1145" s="45" t="s">
        <v>97</v>
      </c>
      <c r="N1145" s="38" t="s">
        <v>230</v>
      </c>
      <c r="O1145" s="38" t="s">
        <v>277</v>
      </c>
      <c r="P1145" s="38" t="s">
        <v>42</v>
      </c>
      <c r="Q1145" s="38" t="s">
        <v>56</v>
      </c>
      <c r="R1145" s="38" t="s">
        <v>270</v>
      </c>
      <c r="S1145" s="38" t="s">
        <v>3685</v>
      </c>
      <c r="T1145" s="38" t="s">
        <v>3687</v>
      </c>
      <c r="U1145" s="38"/>
      <c r="V1145" s="38"/>
      <c r="W1145" s="38"/>
      <c r="X1145" s="14"/>
      <c r="AL1145" s="14">
        <v>400</v>
      </c>
      <c r="AN1145" s="7" t="s">
        <v>70</v>
      </c>
      <c r="AO1145" s="21">
        <f t="shared" ref="AO1145" si="57">SUM(Y1145:AL1145)</f>
        <v>400</v>
      </c>
      <c r="AP1145" s="7">
        <f t="shared" si="55"/>
        <v>0</v>
      </c>
      <c r="AQ1145" s="31" t="str">
        <f t="shared" si="56"/>
        <v>Complete - With Adjustment</v>
      </c>
    </row>
    <row r="1146" spans="1:43" x14ac:dyDescent="0.2">
      <c r="A1146" s="46">
        <v>1136</v>
      </c>
      <c r="B1146" s="38" t="s">
        <v>266</v>
      </c>
      <c r="C1146" s="38" t="s">
        <v>3265</v>
      </c>
      <c r="D1146" s="38" t="s">
        <v>3266</v>
      </c>
      <c r="E1146" s="38" t="s">
        <v>3267</v>
      </c>
      <c r="F1146" s="38" t="s">
        <v>2960</v>
      </c>
      <c r="G1146" s="38" t="s">
        <v>111</v>
      </c>
      <c r="H1146" s="44">
        <v>44034</v>
      </c>
      <c r="I1146" s="44">
        <v>44036</v>
      </c>
      <c r="J1146">
        <v>15</v>
      </c>
      <c r="K1146">
        <v>15</v>
      </c>
      <c r="L1146" t="s">
        <v>3268</v>
      </c>
      <c r="M1146" s="45" t="s">
        <v>98</v>
      </c>
      <c r="N1146" s="38" t="s">
        <v>230</v>
      </c>
      <c r="O1146" s="38" t="s">
        <v>280</v>
      </c>
      <c r="P1146" s="38" t="s">
        <v>60</v>
      </c>
      <c r="Q1146" s="38" t="s">
        <v>41</v>
      </c>
      <c r="R1146" s="38" t="s">
        <v>270</v>
      </c>
      <c r="S1146" s="38" t="s">
        <v>3269</v>
      </c>
      <c r="T1146" s="38" t="s">
        <v>3270</v>
      </c>
      <c r="U1146" s="38"/>
      <c r="V1146" s="38"/>
      <c r="W1146" s="38"/>
      <c r="X1146" s="14"/>
      <c r="AN1146" s="7" t="s">
        <v>155</v>
      </c>
      <c r="AO1146" s="21">
        <f t="shared" si="54"/>
        <v>0</v>
      </c>
      <c r="AP1146" s="7">
        <f t="shared" si="55"/>
        <v>15</v>
      </c>
      <c r="AQ1146" s="31" t="str">
        <f t="shared" si="56"/>
        <v>Complete - No Adjustment</v>
      </c>
    </row>
    <row r="1147" spans="1:43" x14ac:dyDescent="0.2">
      <c r="A1147" s="46">
        <v>1137</v>
      </c>
      <c r="B1147" s="38" t="s">
        <v>266</v>
      </c>
      <c r="C1147" s="38" t="s">
        <v>3265</v>
      </c>
      <c r="D1147" s="38" t="s">
        <v>3266</v>
      </c>
      <c r="E1147" s="38" t="s">
        <v>3271</v>
      </c>
      <c r="F1147" s="38" t="s">
        <v>2960</v>
      </c>
      <c r="G1147" s="38" t="s">
        <v>111</v>
      </c>
      <c r="H1147" s="44">
        <v>44034</v>
      </c>
      <c r="I1147" s="44">
        <v>44036</v>
      </c>
      <c r="J1147">
        <v>43.29</v>
      </c>
      <c r="K1147">
        <v>43.29</v>
      </c>
      <c r="L1147" t="s">
        <v>3272</v>
      </c>
      <c r="M1147" s="45" t="s">
        <v>98</v>
      </c>
      <c r="N1147" s="38" t="s">
        <v>230</v>
      </c>
      <c r="O1147" s="38" t="s">
        <v>280</v>
      </c>
      <c r="P1147" s="38" t="s">
        <v>60</v>
      </c>
      <c r="Q1147" s="38" t="s">
        <v>104</v>
      </c>
      <c r="R1147" s="38" t="s">
        <v>270</v>
      </c>
      <c r="S1147" s="38" t="s">
        <v>3273</v>
      </c>
      <c r="T1147" s="38" t="s">
        <v>3274</v>
      </c>
      <c r="U1147" s="38"/>
      <c r="V1147" s="38"/>
      <c r="W1147" s="38"/>
      <c r="X1147" s="14"/>
      <c r="AL1147" s="14">
        <f>43.29</f>
        <v>43.29</v>
      </c>
      <c r="AN1147" s="7" t="s">
        <v>146</v>
      </c>
      <c r="AO1147" s="21">
        <f t="shared" si="54"/>
        <v>43.29</v>
      </c>
      <c r="AP1147" s="7">
        <f t="shared" si="55"/>
        <v>0</v>
      </c>
      <c r="AQ1147" s="31" t="str">
        <f t="shared" si="56"/>
        <v>Complete - With Adjustment</v>
      </c>
    </row>
    <row r="1148" spans="1:43" x14ac:dyDescent="0.2">
      <c r="A1148" s="46">
        <v>1138</v>
      </c>
      <c r="B1148" s="38" t="s">
        <v>266</v>
      </c>
      <c r="C1148" s="38" t="s">
        <v>382</v>
      </c>
      <c r="D1148" s="38" t="s">
        <v>381</v>
      </c>
      <c r="E1148" s="38" t="s">
        <v>3275</v>
      </c>
      <c r="F1148" s="38" t="s">
        <v>3061</v>
      </c>
      <c r="G1148" s="38" t="s">
        <v>111</v>
      </c>
      <c r="H1148" s="44">
        <v>44028</v>
      </c>
      <c r="I1148" s="44">
        <v>44029</v>
      </c>
      <c r="J1148">
        <v>259</v>
      </c>
      <c r="K1148">
        <v>219</v>
      </c>
      <c r="L1148" t="s">
        <v>3276</v>
      </c>
      <c r="M1148" s="45" t="s">
        <v>98</v>
      </c>
      <c r="N1148" s="38" t="s">
        <v>230</v>
      </c>
      <c r="O1148" s="38" t="s">
        <v>383</v>
      </c>
      <c r="P1148" s="38" t="s">
        <v>60</v>
      </c>
      <c r="Q1148" s="38" t="s">
        <v>59</v>
      </c>
      <c r="R1148" s="38" t="s">
        <v>270</v>
      </c>
      <c r="S1148" s="38" t="s">
        <v>3277</v>
      </c>
      <c r="T1148" s="38" t="s">
        <v>3278</v>
      </c>
      <c r="U1148" s="38"/>
      <c r="V1148" s="38"/>
      <c r="W1148" s="38"/>
      <c r="X1148" s="14"/>
      <c r="AN1148" s="7" t="s">
        <v>70</v>
      </c>
      <c r="AO1148" s="21">
        <f t="shared" si="54"/>
        <v>0</v>
      </c>
      <c r="AP1148" s="7">
        <f t="shared" si="55"/>
        <v>219</v>
      </c>
      <c r="AQ1148" s="31" t="str">
        <f t="shared" si="56"/>
        <v>Complete - No Adjustment</v>
      </c>
    </row>
    <row r="1149" spans="1:43" x14ac:dyDescent="0.2">
      <c r="A1149" s="46">
        <v>1139</v>
      </c>
      <c r="B1149" s="38" t="s">
        <v>266</v>
      </c>
      <c r="C1149" s="38" t="s">
        <v>382</v>
      </c>
      <c r="D1149" s="38" t="s">
        <v>381</v>
      </c>
      <c r="E1149" s="38" t="s">
        <v>3275</v>
      </c>
      <c r="F1149" s="38" t="s">
        <v>3061</v>
      </c>
      <c r="G1149" s="38" t="s">
        <v>111</v>
      </c>
      <c r="H1149" s="44">
        <v>44028</v>
      </c>
      <c r="I1149" s="44">
        <v>44029</v>
      </c>
      <c r="J1149">
        <v>259</v>
      </c>
      <c r="K1149">
        <v>3.27</v>
      </c>
      <c r="L1149" t="s">
        <v>3276</v>
      </c>
      <c r="M1149" s="45" t="s">
        <v>98</v>
      </c>
      <c r="N1149" s="38" t="s">
        <v>230</v>
      </c>
      <c r="O1149" s="38" t="s">
        <v>383</v>
      </c>
      <c r="P1149" s="38" t="s">
        <v>60</v>
      </c>
      <c r="Q1149" s="38" t="s">
        <v>41</v>
      </c>
      <c r="R1149" s="38" t="s">
        <v>270</v>
      </c>
      <c r="S1149" s="38" t="s">
        <v>3277</v>
      </c>
      <c r="T1149" s="38" t="s">
        <v>3279</v>
      </c>
      <c r="U1149" s="38"/>
      <c r="V1149" s="38"/>
      <c r="W1149" s="38"/>
      <c r="X1149" s="14"/>
      <c r="AN1149" s="7" t="s">
        <v>155</v>
      </c>
      <c r="AO1149" s="21">
        <f t="shared" si="54"/>
        <v>0</v>
      </c>
      <c r="AP1149" s="7">
        <f t="shared" si="55"/>
        <v>3.27</v>
      </c>
      <c r="AQ1149" s="31" t="str">
        <f t="shared" si="56"/>
        <v>Complete - No Adjustment</v>
      </c>
    </row>
    <row r="1150" spans="1:43" x14ac:dyDescent="0.2">
      <c r="A1150" s="46">
        <v>1140</v>
      </c>
      <c r="B1150" s="38" t="s">
        <v>266</v>
      </c>
      <c r="C1150" s="38" t="s">
        <v>382</v>
      </c>
      <c r="D1150" s="38" t="s">
        <v>381</v>
      </c>
      <c r="E1150" s="38" t="s">
        <v>3275</v>
      </c>
      <c r="F1150" s="38" t="s">
        <v>3061</v>
      </c>
      <c r="G1150" s="38" t="s">
        <v>111</v>
      </c>
      <c r="H1150" s="44">
        <v>44028</v>
      </c>
      <c r="I1150" s="44">
        <v>44029</v>
      </c>
      <c r="J1150">
        <v>259</v>
      </c>
      <c r="K1150">
        <v>21.73</v>
      </c>
      <c r="L1150" t="s">
        <v>3276</v>
      </c>
      <c r="M1150" s="45" t="s">
        <v>98</v>
      </c>
      <c r="N1150" s="38" t="s">
        <v>230</v>
      </c>
      <c r="O1150" s="38" t="s">
        <v>383</v>
      </c>
      <c r="P1150" s="38" t="s">
        <v>60</v>
      </c>
      <c r="Q1150" s="38" t="s">
        <v>41</v>
      </c>
      <c r="R1150" s="38" t="s">
        <v>270</v>
      </c>
      <c r="S1150" s="38" t="s">
        <v>3277</v>
      </c>
      <c r="T1150" s="38" t="s">
        <v>3279</v>
      </c>
      <c r="U1150" s="38"/>
      <c r="V1150" s="38"/>
      <c r="W1150" s="38"/>
      <c r="X1150" s="14"/>
      <c r="AN1150" s="7" t="s">
        <v>155</v>
      </c>
      <c r="AO1150" s="21">
        <f t="shared" si="54"/>
        <v>0</v>
      </c>
      <c r="AP1150" s="7">
        <f t="shared" si="55"/>
        <v>21.73</v>
      </c>
      <c r="AQ1150" s="31" t="str">
        <f t="shared" si="56"/>
        <v>Complete - No Adjustment</v>
      </c>
    </row>
    <row r="1151" spans="1:43" x14ac:dyDescent="0.2">
      <c r="A1151" s="46">
        <v>1141</v>
      </c>
      <c r="B1151" s="38" t="s">
        <v>266</v>
      </c>
      <c r="C1151" s="38" t="s">
        <v>382</v>
      </c>
      <c r="D1151" s="38" t="s">
        <v>381</v>
      </c>
      <c r="E1151" s="38" t="s">
        <v>3275</v>
      </c>
      <c r="F1151" s="38" t="s">
        <v>3061</v>
      </c>
      <c r="G1151" s="38" t="s">
        <v>111</v>
      </c>
      <c r="H1151" s="44">
        <v>44028</v>
      </c>
      <c r="I1151" s="44">
        <v>44029</v>
      </c>
      <c r="J1151">
        <v>259</v>
      </c>
      <c r="K1151">
        <v>11.14</v>
      </c>
      <c r="L1151" t="s">
        <v>3276</v>
      </c>
      <c r="M1151" s="45" t="s">
        <v>98</v>
      </c>
      <c r="N1151" s="38" t="s">
        <v>230</v>
      </c>
      <c r="O1151" s="38" t="s">
        <v>383</v>
      </c>
      <c r="P1151" s="38" t="s">
        <v>60</v>
      </c>
      <c r="Q1151" s="38" t="s">
        <v>41</v>
      </c>
      <c r="R1151" s="38" t="s">
        <v>270</v>
      </c>
      <c r="S1151" s="38" t="s">
        <v>3277</v>
      </c>
      <c r="T1151" s="38" t="s">
        <v>3280</v>
      </c>
      <c r="U1151" s="38"/>
      <c r="V1151" s="38"/>
      <c r="W1151" s="38"/>
      <c r="X1151" s="14"/>
      <c r="AN1151" s="7" t="s">
        <v>155</v>
      </c>
      <c r="AO1151" s="21">
        <f t="shared" si="54"/>
        <v>0</v>
      </c>
      <c r="AP1151" s="7">
        <f t="shared" si="55"/>
        <v>11.14</v>
      </c>
      <c r="AQ1151" s="31" t="str">
        <f t="shared" si="56"/>
        <v>Complete - No Adjustment</v>
      </c>
    </row>
    <row r="1152" spans="1:43" x14ac:dyDescent="0.2">
      <c r="A1152" s="46">
        <v>1142</v>
      </c>
      <c r="B1152" s="38" t="s">
        <v>266</v>
      </c>
      <c r="C1152" s="38" t="s">
        <v>382</v>
      </c>
      <c r="D1152" s="38" t="s">
        <v>381</v>
      </c>
      <c r="E1152" s="38" t="s">
        <v>3275</v>
      </c>
      <c r="F1152" s="38" t="s">
        <v>3061</v>
      </c>
      <c r="G1152" s="38" t="s">
        <v>111</v>
      </c>
      <c r="H1152" s="44">
        <v>44028</v>
      </c>
      <c r="I1152" s="44">
        <v>44029</v>
      </c>
      <c r="J1152">
        <v>259</v>
      </c>
      <c r="K1152">
        <v>3.86</v>
      </c>
      <c r="L1152" t="s">
        <v>3276</v>
      </c>
      <c r="M1152" s="45" t="s">
        <v>98</v>
      </c>
      <c r="N1152" s="38" t="s">
        <v>230</v>
      </c>
      <c r="O1152" s="38" t="s">
        <v>383</v>
      </c>
      <c r="P1152" s="38" t="s">
        <v>60</v>
      </c>
      <c r="Q1152" s="38" t="s">
        <v>41</v>
      </c>
      <c r="R1152" s="38" t="s">
        <v>270</v>
      </c>
      <c r="S1152" s="38" t="s">
        <v>3277</v>
      </c>
      <c r="T1152" s="38" t="s">
        <v>3280</v>
      </c>
      <c r="U1152" s="38"/>
      <c r="V1152" s="38"/>
      <c r="W1152" s="38"/>
      <c r="X1152" s="14"/>
      <c r="AN1152" s="7" t="s">
        <v>155</v>
      </c>
      <c r="AO1152" s="21">
        <f t="shared" si="54"/>
        <v>0</v>
      </c>
      <c r="AP1152" s="7">
        <f t="shared" si="55"/>
        <v>3.86</v>
      </c>
      <c r="AQ1152" s="31" t="str">
        <f t="shared" si="56"/>
        <v>Complete - No Adjustment</v>
      </c>
    </row>
    <row r="1153" spans="1:43" x14ac:dyDescent="0.2">
      <c r="A1153" s="46">
        <v>1143</v>
      </c>
      <c r="B1153" s="38" t="s">
        <v>266</v>
      </c>
      <c r="C1153" s="38" t="s">
        <v>2444</v>
      </c>
      <c r="D1153" s="38" t="s">
        <v>2445</v>
      </c>
      <c r="E1153" s="38" t="s">
        <v>3281</v>
      </c>
      <c r="F1153" s="38" t="s">
        <v>2960</v>
      </c>
      <c r="G1153" s="38" t="s">
        <v>111</v>
      </c>
      <c r="H1153" s="44">
        <v>44034</v>
      </c>
      <c r="I1153" s="44">
        <v>44036</v>
      </c>
      <c r="J1153">
        <v>15</v>
      </c>
      <c r="K1153">
        <v>15</v>
      </c>
      <c r="L1153" t="s">
        <v>3282</v>
      </c>
      <c r="M1153" s="45" t="s">
        <v>98</v>
      </c>
      <c r="N1153" s="38" t="s">
        <v>230</v>
      </c>
      <c r="O1153" s="38" t="s">
        <v>514</v>
      </c>
      <c r="P1153" s="38" t="s">
        <v>60</v>
      </c>
      <c r="Q1153" s="38" t="s">
        <v>41</v>
      </c>
      <c r="R1153" s="38" t="s">
        <v>270</v>
      </c>
      <c r="S1153" s="38" t="s">
        <v>2448</v>
      </c>
      <c r="T1153" s="38" t="s">
        <v>2449</v>
      </c>
      <c r="U1153" s="38"/>
      <c r="V1153" s="38"/>
      <c r="W1153" s="38"/>
      <c r="X1153" s="14"/>
      <c r="AL1153" s="14">
        <f>15</f>
        <v>15</v>
      </c>
      <c r="AN1153" s="7" t="s">
        <v>2957</v>
      </c>
      <c r="AO1153" s="21">
        <f t="shared" si="54"/>
        <v>15</v>
      </c>
      <c r="AP1153" s="7">
        <f t="shared" si="55"/>
        <v>0</v>
      </c>
      <c r="AQ1153" s="31" t="str">
        <f t="shared" si="56"/>
        <v>Complete - With Adjustment</v>
      </c>
    </row>
    <row r="1154" spans="1:43" x14ac:dyDescent="0.2">
      <c r="A1154" s="46">
        <v>1144</v>
      </c>
      <c r="B1154" s="38" t="s">
        <v>266</v>
      </c>
      <c r="C1154" s="38" t="s">
        <v>389</v>
      </c>
      <c r="D1154" s="38" t="s">
        <v>388</v>
      </c>
      <c r="E1154" s="38" t="s">
        <v>3283</v>
      </c>
      <c r="F1154" s="38" t="s">
        <v>3149</v>
      </c>
      <c r="G1154" s="38" t="s">
        <v>111</v>
      </c>
      <c r="H1154" s="44">
        <v>44032</v>
      </c>
      <c r="I1154" s="44">
        <v>44033</v>
      </c>
      <c r="J1154">
        <v>400</v>
      </c>
      <c r="K1154">
        <v>400</v>
      </c>
      <c r="L1154" t="s">
        <v>3284</v>
      </c>
      <c r="M1154" s="45" t="s">
        <v>98</v>
      </c>
      <c r="N1154" s="38" t="s">
        <v>230</v>
      </c>
      <c r="O1154" s="38" t="s">
        <v>277</v>
      </c>
      <c r="P1154" s="38" t="s">
        <v>60</v>
      </c>
      <c r="Q1154" s="38" t="s">
        <v>56</v>
      </c>
      <c r="R1154" s="38" t="s">
        <v>270</v>
      </c>
      <c r="S1154" s="38" t="s">
        <v>3285</v>
      </c>
      <c r="T1154" s="38" t="s">
        <v>3286</v>
      </c>
      <c r="U1154" s="38"/>
      <c r="V1154" s="38"/>
      <c r="W1154" s="38"/>
      <c r="X1154" s="14"/>
      <c r="AN1154" s="7" t="s">
        <v>70</v>
      </c>
      <c r="AO1154" s="21">
        <f t="shared" si="54"/>
        <v>0</v>
      </c>
      <c r="AP1154" s="7">
        <f t="shared" si="55"/>
        <v>400</v>
      </c>
      <c r="AQ1154" s="31" t="str">
        <f t="shared" si="56"/>
        <v>Complete - No Adjustment</v>
      </c>
    </row>
    <row r="1155" spans="1:43" x14ac:dyDescent="0.2">
      <c r="A1155" s="46">
        <v>1145</v>
      </c>
      <c r="B1155" s="38" t="s">
        <v>266</v>
      </c>
      <c r="C1155" s="38" t="s">
        <v>393</v>
      </c>
      <c r="D1155" s="38" t="s">
        <v>392</v>
      </c>
      <c r="E1155" s="38" t="s">
        <v>3287</v>
      </c>
      <c r="F1155" s="38" t="s">
        <v>3288</v>
      </c>
      <c r="G1155" s="38" t="s">
        <v>111</v>
      </c>
      <c r="H1155" s="44">
        <v>44033</v>
      </c>
      <c r="I1155" s="44">
        <v>44042</v>
      </c>
      <c r="J1155">
        <v>15.53</v>
      </c>
      <c r="K1155">
        <v>15.53</v>
      </c>
      <c r="L1155" t="s">
        <v>3289</v>
      </c>
      <c r="M1155" s="45" t="s">
        <v>98</v>
      </c>
      <c r="N1155" s="38" t="s">
        <v>230</v>
      </c>
      <c r="O1155" s="38" t="s">
        <v>272</v>
      </c>
      <c r="P1155" s="38" t="s">
        <v>60</v>
      </c>
      <c r="Q1155" s="38" t="s">
        <v>41</v>
      </c>
      <c r="R1155" s="38" t="s">
        <v>270</v>
      </c>
      <c r="S1155" s="38" t="s">
        <v>3290</v>
      </c>
      <c r="T1155" s="38" t="s">
        <v>3291</v>
      </c>
      <c r="U1155" s="38"/>
      <c r="V1155" s="38"/>
      <c r="W1155" s="38"/>
      <c r="X1155" s="14"/>
      <c r="AN1155" s="7" t="s">
        <v>155</v>
      </c>
      <c r="AO1155" s="21">
        <f t="shared" si="54"/>
        <v>0</v>
      </c>
      <c r="AP1155" s="7">
        <f t="shared" si="55"/>
        <v>15.53</v>
      </c>
      <c r="AQ1155" s="31" t="str">
        <f t="shared" si="56"/>
        <v>Complete - No Adjustment</v>
      </c>
    </row>
    <row r="1156" spans="1:43" x14ac:dyDescent="0.2">
      <c r="A1156" s="46">
        <v>1146</v>
      </c>
      <c r="B1156" s="38" t="s">
        <v>266</v>
      </c>
      <c r="C1156" s="38" t="s">
        <v>393</v>
      </c>
      <c r="D1156" s="38" t="s">
        <v>392</v>
      </c>
      <c r="E1156" s="38" t="s">
        <v>3292</v>
      </c>
      <c r="F1156" s="38" t="s">
        <v>2994</v>
      </c>
      <c r="G1156" s="38" t="s">
        <v>111</v>
      </c>
      <c r="H1156" s="44">
        <v>44041</v>
      </c>
      <c r="I1156" s="44">
        <v>44043</v>
      </c>
      <c r="J1156">
        <v>212.75</v>
      </c>
      <c r="K1156">
        <v>212.75</v>
      </c>
      <c r="L1156" t="s">
        <v>3293</v>
      </c>
      <c r="M1156" s="45" t="s">
        <v>98</v>
      </c>
      <c r="N1156" s="38" t="s">
        <v>230</v>
      </c>
      <c r="O1156" s="38" t="s">
        <v>272</v>
      </c>
      <c r="P1156" s="38" t="s">
        <v>60</v>
      </c>
      <c r="Q1156" s="38" t="s">
        <v>56</v>
      </c>
      <c r="R1156" s="38" t="s">
        <v>270</v>
      </c>
      <c r="S1156" s="38" t="s">
        <v>3294</v>
      </c>
      <c r="T1156" s="38" t="s">
        <v>3295</v>
      </c>
      <c r="U1156" s="38"/>
      <c r="V1156" s="38"/>
      <c r="W1156" s="38"/>
      <c r="X1156" s="14"/>
      <c r="AN1156" s="7" t="s">
        <v>70</v>
      </c>
      <c r="AO1156" s="21">
        <f t="shared" si="54"/>
        <v>0</v>
      </c>
      <c r="AP1156" s="7">
        <f t="shared" si="55"/>
        <v>212.75</v>
      </c>
      <c r="AQ1156" s="31" t="str">
        <f t="shared" si="56"/>
        <v>Complete - No Adjustment</v>
      </c>
    </row>
    <row r="1157" spans="1:43" x14ac:dyDescent="0.2">
      <c r="A1157" s="46">
        <v>1147</v>
      </c>
      <c r="B1157" s="38" t="s">
        <v>266</v>
      </c>
      <c r="C1157" s="38" t="s">
        <v>3296</v>
      </c>
      <c r="D1157" s="38" t="s">
        <v>3297</v>
      </c>
      <c r="E1157" s="38" t="s">
        <v>3298</v>
      </c>
      <c r="F1157" s="38" t="s">
        <v>3039</v>
      </c>
      <c r="G1157" s="38" t="s">
        <v>111</v>
      </c>
      <c r="H1157" s="44">
        <v>44034</v>
      </c>
      <c r="I1157" s="44">
        <v>44041</v>
      </c>
      <c r="J1157">
        <v>15</v>
      </c>
      <c r="K1157">
        <v>15</v>
      </c>
      <c r="L1157" t="s">
        <v>3299</v>
      </c>
      <c r="M1157" s="45" t="s">
        <v>98</v>
      </c>
      <c r="N1157" s="38" t="s">
        <v>230</v>
      </c>
      <c r="O1157" s="38" t="s">
        <v>465</v>
      </c>
      <c r="P1157" s="38" t="s">
        <v>60</v>
      </c>
      <c r="Q1157" s="38" t="s">
        <v>41</v>
      </c>
      <c r="R1157" s="38" t="s">
        <v>270</v>
      </c>
      <c r="S1157" s="38" t="s">
        <v>3300</v>
      </c>
      <c r="T1157" s="38" t="s">
        <v>3301</v>
      </c>
      <c r="U1157" s="38"/>
      <c r="V1157" s="38"/>
      <c r="W1157" s="38"/>
      <c r="X1157" s="14"/>
      <c r="AN1157" s="7" t="s">
        <v>155</v>
      </c>
      <c r="AO1157" s="21">
        <f t="shared" si="54"/>
        <v>0</v>
      </c>
      <c r="AP1157" s="7">
        <f t="shared" si="55"/>
        <v>15</v>
      </c>
      <c r="AQ1157" s="31" t="str">
        <f t="shared" si="56"/>
        <v>Complete - No Adjustment</v>
      </c>
    </row>
    <row r="1158" spans="1:43" x14ac:dyDescent="0.2">
      <c r="A1158" s="46">
        <v>1148</v>
      </c>
      <c r="B1158" s="38" t="s">
        <v>266</v>
      </c>
      <c r="C1158" s="38" t="s">
        <v>603</v>
      </c>
      <c r="D1158" s="38" t="s">
        <v>602</v>
      </c>
      <c r="E1158" s="38" t="s">
        <v>3302</v>
      </c>
      <c r="F1158" s="38" t="s">
        <v>2977</v>
      </c>
      <c r="G1158" s="38" t="s">
        <v>111</v>
      </c>
      <c r="H1158" s="44">
        <v>44018</v>
      </c>
      <c r="I1158" s="44">
        <v>44022</v>
      </c>
      <c r="J1158">
        <v>23.72</v>
      </c>
      <c r="K1158">
        <v>23.72</v>
      </c>
      <c r="L1158" t="s">
        <v>3303</v>
      </c>
      <c r="M1158" s="45" t="s">
        <v>98</v>
      </c>
      <c r="N1158" s="38" t="s">
        <v>230</v>
      </c>
      <c r="O1158" s="38" t="s">
        <v>323</v>
      </c>
      <c r="P1158" s="38" t="s">
        <v>60</v>
      </c>
      <c r="Q1158" s="38" t="s">
        <v>41</v>
      </c>
      <c r="R1158" s="38" t="s">
        <v>270</v>
      </c>
      <c r="S1158" s="38" t="s">
        <v>3304</v>
      </c>
      <c r="T1158" s="38" t="s">
        <v>3305</v>
      </c>
      <c r="U1158" s="38"/>
      <c r="V1158" s="38"/>
      <c r="W1158" s="38"/>
      <c r="X1158" s="14"/>
      <c r="AN1158" s="7" t="s">
        <v>70</v>
      </c>
      <c r="AO1158" s="21">
        <f t="shared" si="54"/>
        <v>0</v>
      </c>
      <c r="AP1158" s="7">
        <f t="shared" si="55"/>
        <v>23.72</v>
      </c>
      <c r="AQ1158" s="31" t="str">
        <f t="shared" si="56"/>
        <v>Complete - No Adjustment</v>
      </c>
    </row>
    <row r="1159" spans="1:43" x14ac:dyDescent="0.2">
      <c r="A1159" s="46">
        <v>1149</v>
      </c>
      <c r="B1159" s="38" t="s">
        <v>266</v>
      </c>
      <c r="C1159" s="38" t="s">
        <v>395</v>
      </c>
      <c r="D1159" s="38" t="s">
        <v>394</v>
      </c>
      <c r="E1159" s="38" t="s">
        <v>3306</v>
      </c>
      <c r="F1159" s="38" t="s">
        <v>3149</v>
      </c>
      <c r="G1159" s="38" t="s">
        <v>111</v>
      </c>
      <c r="H1159" s="44">
        <v>44029</v>
      </c>
      <c r="I1159" s="44">
        <v>44033</v>
      </c>
      <c r="J1159">
        <v>1980</v>
      </c>
      <c r="K1159">
        <v>1980</v>
      </c>
      <c r="L1159" t="s">
        <v>3307</v>
      </c>
      <c r="M1159" s="45" t="s">
        <v>98</v>
      </c>
      <c r="N1159" s="38" t="s">
        <v>230</v>
      </c>
      <c r="O1159" s="38" t="s">
        <v>288</v>
      </c>
      <c r="P1159" s="38" t="s">
        <v>60</v>
      </c>
      <c r="Q1159" s="38" t="s">
        <v>73</v>
      </c>
      <c r="R1159" s="38" t="s">
        <v>270</v>
      </c>
      <c r="S1159" s="38" t="s">
        <v>3308</v>
      </c>
      <c r="T1159" s="38" t="s">
        <v>3309</v>
      </c>
      <c r="U1159" s="38"/>
      <c r="V1159" s="38"/>
      <c r="W1159" s="38"/>
      <c r="X1159" s="14"/>
      <c r="AN1159" s="7" t="s">
        <v>70</v>
      </c>
      <c r="AO1159" s="21">
        <f t="shared" si="54"/>
        <v>0</v>
      </c>
      <c r="AP1159" s="7">
        <f t="shared" si="55"/>
        <v>1980</v>
      </c>
      <c r="AQ1159" s="31" t="str">
        <f t="shared" si="56"/>
        <v>Complete - No Adjustment</v>
      </c>
    </row>
    <row r="1160" spans="1:43" x14ac:dyDescent="0.2">
      <c r="A1160" s="46">
        <v>1150</v>
      </c>
      <c r="B1160" s="38" t="s">
        <v>266</v>
      </c>
      <c r="C1160" s="38" t="s">
        <v>395</v>
      </c>
      <c r="D1160" s="38" t="s">
        <v>394</v>
      </c>
      <c r="E1160" s="38" t="s">
        <v>3310</v>
      </c>
      <c r="F1160" s="38" t="s">
        <v>3311</v>
      </c>
      <c r="G1160" s="38" t="s">
        <v>111</v>
      </c>
      <c r="H1160" s="44">
        <v>44019</v>
      </c>
      <c r="I1160" s="44">
        <v>44026</v>
      </c>
      <c r="J1160">
        <v>3411</v>
      </c>
      <c r="K1160">
        <v>3411</v>
      </c>
      <c r="L1160" t="s">
        <v>3312</v>
      </c>
      <c r="M1160" s="45" t="s">
        <v>98</v>
      </c>
      <c r="N1160" s="38" t="s">
        <v>230</v>
      </c>
      <c r="O1160" s="38" t="s">
        <v>288</v>
      </c>
      <c r="P1160" s="38" t="s">
        <v>60</v>
      </c>
      <c r="Q1160" s="38" t="s">
        <v>73</v>
      </c>
      <c r="R1160" s="38" t="s">
        <v>270</v>
      </c>
      <c r="S1160" s="38" t="s">
        <v>3313</v>
      </c>
      <c r="T1160" s="38" t="s">
        <v>3314</v>
      </c>
      <c r="U1160" s="38"/>
      <c r="V1160" s="38"/>
      <c r="W1160" s="38"/>
      <c r="X1160" s="14"/>
      <c r="AN1160" s="7" t="s">
        <v>70</v>
      </c>
      <c r="AO1160" s="21">
        <f t="shared" si="54"/>
        <v>0</v>
      </c>
      <c r="AP1160" s="7">
        <f t="shared" si="55"/>
        <v>3411</v>
      </c>
      <c r="AQ1160" s="31" t="str">
        <f t="shared" si="56"/>
        <v>Complete - No Adjustment</v>
      </c>
    </row>
    <row r="1161" spans="1:43" x14ac:dyDescent="0.2">
      <c r="A1161" s="46">
        <v>1151</v>
      </c>
      <c r="B1161" s="38" t="s">
        <v>266</v>
      </c>
      <c r="C1161" s="38" t="s">
        <v>725</v>
      </c>
      <c r="D1161" s="38" t="s">
        <v>724</v>
      </c>
      <c r="E1161" s="38" t="s">
        <v>3315</v>
      </c>
      <c r="F1161" s="38" t="s">
        <v>3311</v>
      </c>
      <c r="G1161" s="38" t="s">
        <v>111</v>
      </c>
      <c r="H1161" s="44">
        <v>44025</v>
      </c>
      <c r="I1161" s="44">
        <v>44026</v>
      </c>
      <c r="J1161">
        <v>275</v>
      </c>
      <c r="K1161">
        <v>150</v>
      </c>
      <c r="L1161" t="s">
        <v>3316</v>
      </c>
      <c r="M1161" s="45" t="s">
        <v>98</v>
      </c>
      <c r="N1161" s="38" t="s">
        <v>230</v>
      </c>
      <c r="O1161" s="38" t="s">
        <v>78</v>
      </c>
      <c r="P1161" s="38" t="s">
        <v>60</v>
      </c>
      <c r="Q1161" s="38" t="s">
        <v>59</v>
      </c>
      <c r="R1161" s="38" t="s">
        <v>270</v>
      </c>
      <c r="S1161" s="38" t="s">
        <v>3317</v>
      </c>
      <c r="T1161" s="38" t="s">
        <v>3318</v>
      </c>
      <c r="U1161" s="38"/>
      <c r="V1161" s="38"/>
      <c r="W1161" s="38"/>
      <c r="X1161" s="14"/>
      <c r="AN1161" s="7" t="s">
        <v>70</v>
      </c>
      <c r="AO1161" s="21">
        <f t="shared" si="54"/>
        <v>0</v>
      </c>
      <c r="AP1161" s="7">
        <f t="shared" si="55"/>
        <v>150</v>
      </c>
      <c r="AQ1161" s="31" t="str">
        <f t="shared" si="56"/>
        <v>Complete - No Adjustment</v>
      </c>
    </row>
    <row r="1162" spans="1:43" x14ac:dyDescent="0.2">
      <c r="A1162" s="46">
        <v>1152</v>
      </c>
      <c r="B1162" s="38" t="s">
        <v>266</v>
      </c>
      <c r="C1162" s="38" t="s">
        <v>725</v>
      </c>
      <c r="D1162" s="38" t="s">
        <v>724</v>
      </c>
      <c r="E1162" s="38" t="s">
        <v>3315</v>
      </c>
      <c r="F1162" s="38" t="s">
        <v>3311</v>
      </c>
      <c r="G1162" s="38" t="s">
        <v>111</v>
      </c>
      <c r="H1162" s="44">
        <v>44025</v>
      </c>
      <c r="I1162" s="44">
        <v>44026</v>
      </c>
      <c r="J1162">
        <v>275</v>
      </c>
      <c r="K1162">
        <v>125</v>
      </c>
      <c r="L1162" t="s">
        <v>3316</v>
      </c>
      <c r="M1162" s="45" t="s">
        <v>98</v>
      </c>
      <c r="N1162" s="38" t="s">
        <v>230</v>
      </c>
      <c r="O1162" s="38" t="s">
        <v>78</v>
      </c>
      <c r="P1162" s="38" t="s">
        <v>60</v>
      </c>
      <c r="Q1162" s="38" t="s">
        <v>48</v>
      </c>
      <c r="R1162" s="38" t="s">
        <v>270</v>
      </c>
      <c r="S1162" s="38" t="s">
        <v>3317</v>
      </c>
      <c r="T1162" s="38" t="s">
        <v>3319</v>
      </c>
      <c r="U1162" s="38"/>
      <c r="V1162" s="38"/>
      <c r="W1162" s="38"/>
      <c r="X1162" s="14"/>
      <c r="AN1162" s="7" t="s">
        <v>70</v>
      </c>
      <c r="AO1162" s="21">
        <f t="shared" si="54"/>
        <v>0</v>
      </c>
      <c r="AP1162" s="7">
        <f t="shared" ref="AP1162:AP1225" si="58">K1162-AO1162</f>
        <v>125</v>
      </c>
      <c r="AQ1162" s="31" t="str">
        <f t="shared" si="56"/>
        <v>Complete - No Adjustment</v>
      </c>
    </row>
    <row r="1163" spans="1:43" x14ac:dyDescent="0.2">
      <c r="A1163" s="46">
        <v>1153</v>
      </c>
      <c r="B1163" s="38" t="s">
        <v>266</v>
      </c>
      <c r="C1163" s="38" t="s">
        <v>401</v>
      </c>
      <c r="D1163" s="38" t="s">
        <v>400</v>
      </c>
      <c r="E1163" s="38" t="s">
        <v>3688</v>
      </c>
      <c r="F1163" s="38" t="s">
        <v>3179</v>
      </c>
      <c r="G1163" s="38" t="s">
        <v>111</v>
      </c>
      <c r="H1163" s="44">
        <v>44022</v>
      </c>
      <c r="I1163" s="44">
        <v>44025</v>
      </c>
      <c r="J1163">
        <v>69.040000000000006</v>
      </c>
      <c r="K1163">
        <v>69.040000000000006</v>
      </c>
      <c r="L1163"/>
      <c r="M1163" s="45" t="s">
        <v>98</v>
      </c>
      <c r="N1163" s="38" t="s">
        <v>230</v>
      </c>
      <c r="O1163" s="38" t="s">
        <v>277</v>
      </c>
      <c r="P1163" s="38" t="s">
        <v>60</v>
      </c>
      <c r="Q1163" s="38" t="s">
        <v>62</v>
      </c>
      <c r="R1163" s="38" t="s">
        <v>270</v>
      </c>
      <c r="S1163" s="38" t="s">
        <v>3689</v>
      </c>
      <c r="T1163" s="38" t="s">
        <v>3690</v>
      </c>
      <c r="U1163" s="38"/>
      <c r="V1163" s="38"/>
      <c r="W1163" s="38"/>
      <c r="X1163" s="14"/>
      <c r="AL1163" s="14">
        <v>69.040000000000006</v>
      </c>
      <c r="AN1163" s="7" t="s">
        <v>155</v>
      </c>
      <c r="AO1163" s="21">
        <f t="shared" ref="AO1163" si="59">SUM(Y1163:AL1163)</f>
        <v>69.040000000000006</v>
      </c>
      <c r="AP1163" s="7">
        <f t="shared" si="58"/>
        <v>0</v>
      </c>
      <c r="AQ1163" s="31" t="str">
        <f t="shared" si="56"/>
        <v>Complete - With Adjustment</v>
      </c>
    </row>
    <row r="1164" spans="1:43" x14ac:dyDescent="0.2">
      <c r="A1164" s="46">
        <v>1154</v>
      </c>
      <c r="B1164" s="38" t="s">
        <v>266</v>
      </c>
      <c r="C1164" s="38" t="s">
        <v>751</v>
      </c>
      <c r="D1164" s="38" t="s">
        <v>750</v>
      </c>
      <c r="E1164" s="38" t="s">
        <v>3320</v>
      </c>
      <c r="F1164" s="38" t="s">
        <v>2972</v>
      </c>
      <c r="G1164" s="38" t="s">
        <v>111</v>
      </c>
      <c r="H1164" s="44">
        <v>44035</v>
      </c>
      <c r="I1164" s="44">
        <v>44039</v>
      </c>
      <c r="J1164">
        <v>15</v>
      </c>
      <c r="K1164">
        <v>15</v>
      </c>
      <c r="L1164" t="s">
        <v>3321</v>
      </c>
      <c r="M1164" s="45" t="s">
        <v>98</v>
      </c>
      <c r="N1164" s="38" t="s">
        <v>230</v>
      </c>
      <c r="O1164" s="38" t="s">
        <v>397</v>
      </c>
      <c r="P1164" s="38" t="s">
        <v>60</v>
      </c>
      <c r="Q1164" s="38" t="s">
        <v>41</v>
      </c>
      <c r="R1164" s="38" t="s">
        <v>270</v>
      </c>
      <c r="S1164" s="38" t="s">
        <v>3322</v>
      </c>
      <c r="T1164" s="38" t="s">
        <v>3323</v>
      </c>
      <c r="U1164" s="38"/>
      <c r="V1164" s="38"/>
      <c r="W1164" s="38"/>
      <c r="X1164" s="14"/>
      <c r="AN1164" s="7" t="s">
        <v>155</v>
      </c>
      <c r="AO1164" s="21">
        <f t="shared" si="54"/>
        <v>0</v>
      </c>
      <c r="AP1164" s="7">
        <f t="shared" si="58"/>
        <v>15</v>
      </c>
      <c r="AQ1164" s="31" t="str">
        <f t="shared" si="56"/>
        <v>Complete - No Adjustment</v>
      </c>
    </row>
    <row r="1165" spans="1:43" x14ac:dyDescent="0.2">
      <c r="A1165" s="46">
        <v>1155</v>
      </c>
      <c r="B1165" s="38" t="s">
        <v>266</v>
      </c>
      <c r="C1165" s="38" t="s">
        <v>3324</v>
      </c>
      <c r="D1165" s="38" t="s">
        <v>3325</v>
      </c>
      <c r="E1165" s="38" t="s">
        <v>3326</v>
      </c>
      <c r="F1165" s="38" t="s">
        <v>2960</v>
      </c>
      <c r="G1165" s="38" t="s">
        <v>111</v>
      </c>
      <c r="H1165" s="44">
        <v>44033</v>
      </c>
      <c r="I1165" s="44">
        <v>44036</v>
      </c>
      <c r="J1165">
        <v>15</v>
      </c>
      <c r="K1165">
        <v>15</v>
      </c>
      <c r="L1165" t="s">
        <v>3327</v>
      </c>
      <c r="M1165" s="45" t="s">
        <v>98</v>
      </c>
      <c r="N1165" s="38" t="s">
        <v>230</v>
      </c>
      <c r="O1165" s="38" t="s">
        <v>451</v>
      </c>
      <c r="P1165" s="38" t="s">
        <v>60</v>
      </c>
      <c r="Q1165" s="38" t="s">
        <v>41</v>
      </c>
      <c r="R1165" s="38" t="s">
        <v>270</v>
      </c>
      <c r="S1165" s="38" t="s">
        <v>3328</v>
      </c>
      <c r="T1165" s="38" t="s">
        <v>3329</v>
      </c>
      <c r="U1165" s="38"/>
      <c r="V1165" s="38"/>
      <c r="W1165" s="38"/>
      <c r="X1165" s="14"/>
      <c r="AN1165" s="7" t="s">
        <v>155</v>
      </c>
      <c r="AO1165" s="21">
        <f t="shared" ref="AO1165:AO1228" si="60">SUM(Y1165:AL1165)</f>
        <v>0</v>
      </c>
      <c r="AP1165" s="7">
        <f t="shared" si="58"/>
        <v>15</v>
      </c>
      <c r="AQ1165" s="31" t="str">
        <f t="shared" ref="AQ1165:AQ1228" si="61">IF(AO1165&lt;&gt;0,"Complete - With Adjustment","Complete - No Adjustment")</f>
        <v>Complete - No Adjustment</v>
      </c>
    </row>
    <row r="1166" spans="1:43" x14ac:dyDescent="0.2">
      <c r="A1166" s="46">
        <v>1156</v>
      </c>
      <c r="B1166" s="38" t="s">
        <v>266</v>
      </c>
      <c r="C1166" s="38" t="s">
        <v>2483</v>
      </c>
      <c r="D1166" s="38" t="s">
        <v>2484</v>
      </c>
      <c r="E1166" s="38" t="s">
        <v>3330</v>
      </c>
      <c r="F1166" s="38" t="s">
        <v>2972</v>
      </c>
      <c r="G1166" s="38" t="s">
        <v>111</v>
      </c>
      <c r="H1166" s="44">
        <v>44034</v>
      </c>
      <c r="I1166" s="44">
        <v>44039</v>
      </c>
      <c r="J1166">
        <v>15</v>
      </c>
      <c r="K1166">
        <v>15</v>
      </c>
      <c r="L1166" t="s">
        <v>3331</v>
      </c>
      <c r="M1166" s="45" t="s">
        <v>98</v>
      </c>
      <c r="N1166" s="38" t="s">
        <v>230</v>
      </c>
      <c r="O1166" s="38" t="s">
        <v>365</v>
      </c>
      <c r="P1166" s="38" t="s">
        <v>60</v>
      </c>
      <c r="Q1166" s="38" t="s">
        <v>46</v>
      </c>
      <c r="R1166" s="38" t="s">
        <v>270</v>
      </c>
      <c r="S1166" s="38" t="s">
        <v>3332</v>
      </c>
      <c r="T1166" s="38" t="s">
        <v>3333</v>
      </c>
      <c r="U1166" s="38"/>
      <c r="V1166" s="38"/>
      <c r="W1166" s="38"/>
      <c r="X1166" s="14"/>
      <c r="AN1166" s="7" t="s">
        <v>155</v>
      </c>
      <c r="AO1166" s="21">
        <f t="shared" si="60"/>
        <v>0</v>
      </c>
      <c r="AP1166" s="7">
        <f t="shared" si="58"/>
        <v>15</v>
      </c>
      <c r="AQ1166" s="31" t="str">
        <f t="shared" si="61"/>
        <v>Complete - No Adjustment</v>
      </c>
    </row>
    <row r="1167" spans="1:43" x14ac:dyDescent="0.2">
      <c r="A1167" s="46">
        <v>1157</v>
      </c>
      <c r="B1167" s="38" t="s">
        <v>266</v>
      </c>
      <c r="C1167" s="38" t="s">
        <v>767</v>
      </c>
      <c r="D1167" s="38" t="s">
        <v>766</v>
      </c>
      <c r="E1167" s="38" t="s">
        <v>3334</v>
      </c>
      <c r="F1167" s="38" t="s">
        <v>3123</v>
      </c>
      <c r="G1167" s="38" t="s">
        <v>111</v>
      </c>
      <c r="H1167" s="44">
        <v>44033</v>
      </c>
      <c r="I1167" s="44">
        <v>44034</v>
      </c>
      <c r="J1167">
        <v>14.38</v>
      </c>
      <c r="K1167">
        <v>14.38</v>
      </c>
      <c r="L1167" t="s">
        <v>3335</v>
      </c>
      <c r="M1167" s="45" t="s">
        <v>98</v>
      </c>
      <c r="N1167" s="38" t="s">
        <v>230</v>
      </c>
      <c r="O1167" s="38" t="s">
        <v>292</v>
      </c>
      <c r="P1167" s="38" t="s">
        <v>60</v>
      </c>
      <c r="Q1167" s="38" t="s">
        <v>41</v>
      </c>
      <c r="R1167" s="38" t="s">
        <v>270</v>
      </c>
      <c r="S1167" s="38" t="s">
        <v>3336</v>
      </c>
      <c r="T1167" s="38" t="s">
        <v>3337</v>
      </c>
      <c r="U1167" s="38"/>
      <c r="V1167" s="38"/>
      <c r="W1167" s="38"/>
      <c r="X1167" s="14"/>
      <c r="AN1167" s="7" t="s">
        <v>155</v>
      </c>
      <c r="AO1167" s="21">
        <f t="shared" si="60"/>
        <v>0</v>
      </c>
      <c r="AP1167" s="7">
        <f t="shared" si="58"/>
        <v>14.38</v>
      </c>
      <c r="AQ1167" s="31" t="str">
        <f t="shared" si="61"/>
        <v>Complete - No Adjustment</v>
      </c>
    </row>
    <row r="1168" spans="1:43" x14ac:dyDescent="0.2">
      <c r="A1168" s="46">
        <v>1158</v>
      </c>
      <c r="B1168" s="38" t="s">
        <v>266</v>
      </c>
      <c r="C1168" s="38" t="s">
        <v>408</v>
      </c>
      <c r="D1168" s="38" t="s">
        <v>407</v>
      </c>
      <c r="E1168" s="38" t="s">
        <v>3338</v>
      </c>
      <c r="F1168" s="38" t="s">
        <v>3074</v>
      </c>
      <c r="G1168" s="38" t="s">
        <v>111</v>
      </c>
      <c r="H1168" s="44">
        <v>43724</v>
      </c>
      <c r="I1168" s="44">
        <v>44020</v>
      </c>
      <c r="J1168">
        <v>157.72999999999999</v>
      </c>
      <c r="K1168">
        <v>157.72999999999999</v>
      </c>
      <c r="L1168" t="s">
        <v>3339</v>
      </c>
      <c r="M1168" s="45" t="s">
        <v>98</v>
      </c>
      <c r="N1168" s="38" t="s">
        <v>230</v>
      </c>
      <c r="O1168" s="38" t="s">
        <v>342</v>
      </c>
      <c r="P1168" s="38" t="s">
        <v>60</v>
      </c>
      <c r="Q1168" s="38" t="s">
        <v>41</v>
      </c>
      <c r="R1168" s="38" t="s">
        <v>270</v>
      </c>
      <c r="S1168" s="38" t="s">
        <v>3340</v>
      </c>
      <c r="T1168" s="38" t="s">
        <v>3341</v>
      </c>
      <c r="U1168" s="38"/>
      <c r="V1168" s="38"/>
      <c r="W1168" s="38"/>
      <c r="X1168" s="14"/>
      <c r="AI1168" s="53">
        <f>157.73</f>
        <v>157.72999999999999</v>
      </c>
      <c r="AN1168" s="7" t="s">
        <v>145</v>
      </c>
      <c r="AO1168" s="21">
        <f t="shared" si="60"/>
        <v>157.72999999999999</v>
      </c>
      <c r="AP1168" s="7">
        <f t="shared" si="58"/>
        <v>0</v>
      </c>
      <c r="AQ1168" s="31" t="str">
        <f t="shared" si="61"/>
        <v>Complete - With Adjustment</v>
      </c>
    </row>
    <row r="1169" spans="1:43" x14ac:dyDescent="0.2">
      <c r="A1169" s="46">
        <v>1159</v>
      </c>
      <c r="B1169" s="38" t="s">
        <v>266</v>
      </c>
      <c r="C1169" s="38" t="s">
        <v>408</v>
      </c>
      <c r="D1169" s="38" t="s">
        <v>407</v>
      </c>
      <c r="E1169" s="38" t="s">
        <v>3342</v>
      </c>
      <c r="F1169" s="38" t="s">
        <v>3074</v>
      </c>
      <c r="G1169" s="38" t="s">
        <v>111</v>
      </c>
      <c r="H1169" s="44">
        <v>43851</v>
      </c>
      <c r="I1169" s="44">
        <v>44020</v>
      </c>
      <c r="J1169">
        <v>184.72</v>
      </c>
      <c r="K1169">
        <v>10.5</v>
      </c>
      <c r="L1169" t="s">
        <v>3343</v>
      </c>
      <c r="M1169" s="45" t="s">
        <v>98</v>
      </c>
      <c r="N1169" s="38" t="s">
        <v>230</v>
      </c>
      <c r="O1169" s="38" t="s">
        <v>342</v>
      </c>
      <c r="P1169" s="38" t="s">
        <v>60</v>
      </c>
      <c r="Q1169" s="38" t="s">
        <v>41</v>
      </c>
      <c r="R1169" s="38" t="s">
        <v>270</v>
      </c>
      <c r="S1169" s="38" t="s">
        <v>3344</v>
      </c>
      <c r="T1169" s="38" t="s">
        <v>3345</v>
      </c>
      <c r="U1169" s="38"/>
      <c r="V1169" s="38"/>
      <c r="W1169" s="38"/>
      <c r="X1169" s="14"/>
      <c r="AN1169" s="7" t="s">
        <v>70</v>
      </c>
      <c r="AO1169" s="21">
        <f t="shared" si="60"/>
        <v>0</v>
      </c>
      <c r="AP1169" s="7">
        <f t="shared" si="58"/>
        <v>10.5</v>
      </c>
      <c r="AQ1169" s="31" t="str">
        <f t="shared" si="61"/>
        <v>Complete - No Adjustment</v>
      </c>
    </row>
    <row r="1170" spans="1:43" x14ac:dyDescent="0.2">
      <c r="A1170" s="46">
        <v>1160</v>
      </c>
      <c r="B1170" s="38" t="s">
        <v>266</v>
      </c>
      <c r="C1170" s="38" t="s">
        <v>408</v>
      </c>
      <c r="D1170" s="38" t="s">
        <v>407</v>
      </c>
      <c r="E1170" s="38" t="s">
        <v>3342</v>
      </c>
      <c r="F1170" s="38" t="s">
        <v>3074</v>
      </c>
      <c r="G1170" s="38" t="s">
        <v>111</v>
      </c>
      <c r="H1170" s="44">
        <v>43851</v>
      </c>
      <c r="I1170" s="44">
        <v>44020</v>
      </c>
      <c r="J1170">
        <v>184.72</v>
      </c>
      <c r="K1170">
        <v>48.92</v>
      </c>
      <c r="L1170" t="s">
        <v>3343</v>
      </c>
      <c r="M1170" s="45" t="s">
        <v>98</v>
      </c>
      <c r="N1170" s="38" t="s">
        <v>230</v>
      </c>
      <c r="O1170" s="38" t="s">
        <v>342</v>
      </c>
      <c r="P1170" s="38" t="s">
        <v>60</v>
      </c>
      <c r="Q1170" s="38" t="s">
        <v>41</v>
      </c>
      <c r="R1170" s="38" t="s">
        <v>270</v>
      </c>
      <c r="S1170" s="38" t="s">
        <v>3344</v>
      </c>
      <c r="T1170" s="38" t="s">
        <v>3346</v>
      </c>
      <c r="U1170" s="38"/>
      <c r="V1170" s="38"/>
      <c r="W1170" s="38"/>
      <c r="X1170" s="14"/>
      <c r="AL1170" s="14">
        <f>48.92</f>
        <v>48.92</v>
      </c>
      <c r="AN1170" s="7" t="s">
        <v>146</v>
      </c>
      <c r="AO1170" s="21">
        <f t="shared" si="60"/>
        <v>48.92</v>
      </c>
      <c r="AP1170" s="7">
        <f t="shared" si="58"/>
        <v>0</v>
      </c>
      <c r="AQ1170" s="31" t="str">
        <f t="shared" si="61"/>
        <v>Complete - With Adjustment</v>
      </c>
    </row>
    <row r="1171" spans="1:43" x14ac:dyDescent="0.2">
      <c r="A1171" s="46">
        <v>1161</v>
      </c>
      <c r="B1171" s="38" t="s">
        <v>266</v>
      </c>
      <c r="C1171" s="38" t="s">
        <v>408</v>
      </c>
      <c r="D1171" s="38" t="s">
        <v>407</v>
      </c>
      <c r="E1171" s="38" t="s">
        <v>3342</v>
      </c>
      <c r="F1171" s="38" t="s">
        <v>3074</v>
      </c>
      <c r="G1171" s="38" t="s">
        <v>111</v>
      </c>
      <c r="H1171" s="44">
        <v>43851</v>
      </c>
      <c r="I1171" s="44">
        <v>44020</v>
      </c>
      <c r="J1171">
        <v>184.72</v>
      </c>
      <c r="K1171">
        <v>14.45</v>
      </c>
      <c r="L1171" t="s">
        <v>3343</v>
      </c>
      <c r="M1171" s="45" t="s">
        <v>98</v>
      </c>
      <c r="N1171" s="38" t="s">
        <v>230</v>
      </c>
      <c r="O1171" s="38" t="s">
        <v>342</v>
      </c>
      <c r="P1171" s="38" t="s">
        <v>60</v>
      </c>
      <c r="Q1171" s="38" t="s">
        <v>41</v>
      </c>
      <c r="R1171" s="38" t="s">
        <v>270</v>
      </c>
      <c r="S1171" s="38" t="s">
        <v>3344</v>
      </c>
      <c r="T1171" s="38" t="s">
        <v>3345</v>
      </c>
      <c r="U1171" s="38"/>
      <c r="V1171" s="38"/>
      <c r="W1171" s="38"/>
      <c r="X1171" s="14"/>
      <c r="AN1171" s="7" t="s">
        <v>70</v>
      </c>
      <c r="AO1171" s="21">
        <f t="shared" si="60"/>
        <v>0</v>
      </c>
      <c r="AP1171" s="7">
        <f t="shared" si="58"/>
        <v>14.45</v>
      </c>
      <c r="AQ1171" s="31" t="str">
        <f t="shared" si="61"/>
        <v>Complete - No Adjustment</v>
      </c>
    </row>
    <row r="1172" spans="1:43" x14ac:dyDescent="0.2">
      <c r="A1172" s="46">
        <v>1162</v>
      </c>
      <c r="B1172" s="38" t="s">
        <v>266</v>
      </c>
      <c r="C1172" s="38" t="s">
        <v>408</v>
      </c>
      <c r="D1172" s="38" t="s">
        <v>407</v>
      </c>
      <c r="E1172" s="38" t="s">
        <v>3342</v>
      </c>
      <c r="F1172" s="38" t="s">
        <v>3074</v>
      </c>
      <c r="G1172" s="38" t="s">
        <v>111</v>
      </c>
      <c r="H1172" s="44">
        <v>43851</v>
      </c>
      <c r="I1172" s="44">
        <v>44020</v>
      </c>
      <c r="J1172">
        <v>184.72</v>
      </c>
      <c r="K1172">
        <v>37.380000000000003</v>
      </c>
      <c r="L1172" t="s">
        <v>3343</v>
      </c>
      <c r="M1172" s="45" t="s">
        <v>98</v>
      </c>
      <c r="N1172" s="38" t="s">
        <v>230</v>
      </c>
      <c r="O1172" s="38" t="s">
        <v>342</v>
      </c>
      <c r="P1172" s="38" t="s">
        <v>60</v>
      </c>
      <c r="Q1172" s="38" t="s">
        <v>44</v>
      </c>
      <c r="R1172" s="38" t="s">
        <v>270</v>
      </c>
      <c r="S1172" s="38" t="s">
        <v>3344</v>
      </c>
      <c r="T1172" s="38" t="s">
        <v>3347</v>
      </c>
      <c r="U1172" s="38"/>
      <c r="V1172" s="38"/>
      <c r="W1172" s="38"/>
      <c r="X1172" s="14"/>
      <c r="AN1172" s="7" t="s">
        <v>70</v>
      </c>
      <c r="AO1172" s="21">
        <f t="shared" si="60"/>
        <v>0</v>
      </c>
      <c r="AP1172" s="7">
        <f t="shared" si="58"/>
        <v>37.380000000000003</v>
      </c>
      <c r="AQ1172" s="31" t="str">
        <f t="shared" si="61"/>
        <v>Complete - No Adjustment</v>
      </c>
    </row>
    <row r="1173" spans="1:43" x14ac:dyDescent="0.2">
      <c r="A1173" s="46">
        <v>1163</v>
      </c>
      <c r="B1173" s="38" t="s">
        <v>266</v>
      </c>
      <c r="C1173" s="38" t="s">
        <v>408</v>
      </c>
      <c r="D1173" s="38" t="s">
        <v>407</v>
      </c>
      <c r="E1173" s="38" t="s">
        <v>3342</v>
      </c>
      <c r="F1173" s="38" t="s">
        <v>3074</v>
      </c>
      <c r="G1173" s="38" t="s">
        <v>111</v>
      </c>
      <c r="H1173" s="44">
        <v>43851</v>
      </c>
      <c r="I1173" s="44">
        <v>44020</v>
      </c>
      <c r="J1173">
        <v>184.72</v>
      </c>
      <c r="K1173">
        <v>68.58</v>
      </c>
      <c r="L1173" t="s">
        <v>3343</v>
      </c>
      <c r="M1173" s="45" t="s">
        <v>98</v>
      </c>
      <c r="N1173" s="38" t="s">
        <v>230</v>
      </c>
      <c r="O1173" s="38" t="s">
        <v>342</v>
      </c>
      <c r="P1173" s="38" t="s">
        <v>60</v>
      </c>
      <c r="Q1173" s="38" t="s">
        <v>44</v>
      </c>
      <c r="R1173" s="38" t="s">
        <v>270</v>
      </c>
      <c r="S1173" s="38" t="s">
        <v>3344</v>
      </c>
      <c r="T1173" s="38" t="s">
        <v>3348</v>
      </c>
      <c r="U1173" s="38"/>
      <c r="V1173" s="38"/>
      <c r="W1173" s="38"/>
      <c r="X1173" s="14"/>
      <c r="AN1173" s="7" t="s">
        <v>70</v>
      </c>
      <c r="AO1173" s="21">
        <f t="shared" si="60"/>
        <v>0</v>
      </c>
      <c r="AP1173" s="7">
        <f t="shared" si="58"/>
        <v>68.58</v>
      </c>
      <c r="AQ1173" s="31" t="str">
        <f t="shared" si="61"/>
        <v>Complete - No Adjustment</v>
      </c>
    </row>
    <row r="1174" spans="1:43" x14ac:dyDescent="0.2">
      <c r="A1174" s="46">
        <v>1164</v>
      </c>
      <c r="B1174" s="38" t="s">
        <v>266</v>
      </c>
      <c r="C1174" s="38" t="s">
        <v>408</v>
      </c>
      <c r="D1174" s="38" t="s">
        <v>407</v>
      </c>
      <c r="E1174" s="38" t="s">
        <v>3342</v>
      </c>
      <c r="F1174" s="38" t="s">
        <v>3074</v>
      </c>
      <c r="G1174" s="38" t="s">
        <v>111</v>
      </c>
      <c r="H1174" s="44">
        <v>43851</v>
      </c>
      <c r="I1174" s="44">
        <v>44020</v>
      </c>
      <c r="J1174">
        <v>184.72</v>
      </c>
      <c r="K1174">
        <v>4.8899999999999997</v>
      </c>
      <c r="L1174" t="s">
        <v>3343</v>
      </c>
      <c r="M1174" s="45" t="s">
        <v>98</v>
      </c>
      <c r="N1174" s="38" t="s">
        <v>230</v>
      </c>
      <c r="O1174" s="38" t="s">
        <v>342</v>
      </c>
      <c r="P1174" s="38" t="s">
        <v>60</v>
      </c>
      <c r="Q1174" s="38" t="s">
        <v>41</v>
      </c>
      <c r="R1174" s="38" t="s">
        <v>270</v>
      </c>
      <c r="S1174" s="38" t="s">
        <v>3344</v>
      </c>
      <c r="T1174" s="38" t="s">
        <v>3345</v>
      </c>
      <c r="U1174" s="38"/>
      <c r="V1174" s="38"/>
      <c r="W1174" s="38"/>
      <c r="X1174" s="14"/>
      <c r="AN1174" s="7" t="s">
        <v>70</v>
      </c>
      <c r="AO1174" s="21">
        <f t="shared" si="60"/>
        <v>0</v>
      </c>
      <c r="AP1174" s="7">
        <f t="shared" si="58"/>
        <v>4.8899999999999997</v>
      </c>
      <c r="AQ1174" s="31" t="str">
        <f t="shared" si="61"/>
        <v>Complete - No Adjustment</v>
      </c>
    </row>
    <row r="1175" spans="1:43" x14ac:dyDescent="0.2">
      <c r="A1175" s="46">
        <v>1165</v>
      </c>
      <c r="B1175" s="38" t="s">
        <v>266</v>
      </c>
      <c r="C1175" s="38" t="s">
        <v>408</v>
      </c>
      <c r="D1175" s="38" t="s">
        <v>407</v>
      </c>
      <c r="E1175" s="38" t="s">
        <v>3349</v>
      </c>
      <c r="F1175" s="38" t="s">
        <v>2977</v>
      </c>
      <c r="G1175" s="38" t="s">
        <v>111</v>
      </c>
      <c r="H1175" s="44">
        <v>43879</v>
      </c>
      <c r="I1175" s="44">
        <v>44022</v>
      </c>
      <c r="J1175">
        <v>1132.47</v>
      </c>
      <c r="K1175">
        <v>15.52</v>
      </c>
      <c r="L1175" t="s">
        <v>3350</v>
      </c>
      <c r="M1175" s="45" t="s">
        <v>98</v>
      </c>
      <c r="N1175" s="38" t="s">
        <v>230</v>
      </c>
      <c r="O1175" s="38" t="s">
        <v>342</v>
      </c>
      <c r="P1175" s="38" t="s">
        <v>60</v>
      </c>
      <c r="Q1175" s="38" t="s">
        <v>41</v>
      </c>
      <c r="R1175" s="38" t="s">
        <v>270</v>
      </c>
      <c r="S1175" s="38" t="s">
        <v>3351</v>
      </c>
      <c r="T1175" s="38" t="s">
        <v>3352</v>
      </c>
      <c r="U1175" s="38"/>
      <c r="V1175" s="38"/>
      <c r="W1175" s="38"/>
      <c r="X1175" s="14"/>
      <c r="AL1175" s="14">
        <f>15.52</f>
        <v>15.52</v>
      </c>
      <c r="AN1175" s="7" t="s">
        <v>146</v>
      </c>
      <c r="AO1175" s="21">
        <f t="shared" si="60"/>
        <v>15.52</v>
      </c>
      <c r="AP1175" s="7">
        <f t="shared" si="58"/>
        <v>0</v>
      </c>
      <c r="AQ1175" s="31" t="str">
        <f t="shared" si="61"/>
        <v>Complete - With Adjustment</v>
      </c>
    </row>
    <row r="1176" spans="1:43" x14ac:dyDescent="0.2">
      <c r="A1176" s="46">
        <v>1166</v>
      </c>
      <c r="B1176" s="38" t="s">
        <v>266</v>
      </c>
      <c r="C1176" s="38" t="s">
        <v>408</v>
      </c>
      <c r="D1176" s="38" t="s">
        <v>407</v>
      </c>
      <c r="E1176" s="38" t="s">
        <v>3349</v>
      </c>
      <c r="F1176" s="38" t="s">
        <v>2977</v>
      </c>
      <c r="G1176" s="38" t="s">
        <v>111</v>
      </c>
      <c r="H1176" s="44">
        <v>43879</v>
      </c>
      <c r="I1176" s="44">
        <v>44022</v>
      </c>
      <c r="J1176">
        <v>1132.47</v>
      </c>
      <c r="K1176">
        <v>10.01</v>
      </c>
      <c r="L1176" t="s">
        <v>3350</v>
      </c>
      <c r="M1176" s="45" t="s">
        <v>98</v>
      </c>
      <c r="N1176" s="38" t="s">
        <v>230</v>
      </c>
      <c r="O1176" s="38" t="s">
        <v>342</v>
      </c>
      <c r="P1176" s="38" t="s">
        <v>60</v>
      </c>
      <c r="Q1176" s="38" t="s">
        <v>41</v>
      </c>
      <c r="R1176" s="38" t="s">
        <v>270</v>
      </c>
      <c r="S1176" s="38" t="s">
        <v>3351</v>
      </c>
      <c r="T1176" s="38" t="s">
        <v>3352</v>
      </c>
      <c r="U1176" s="38"/>
      <c r="V1176" s="38"/>
      <c r="W1176" s="38"/>
      <c r="X1176" s="14"/>
      <c r="AL1176" s="14">
        <f>10.01</f>
        <v>10.01</v>
      </c>
      <c r="AN1176" s="7" t="s">
        <v>146</v>
      </c>
      <c r="AO1176" s="21">
        <f t="shared" si="60"/>
        <v>10.01</v>
      </c>
      <c r="AP1176" s="7">
        <f t="shared" si="58"/>
        <v>0</v>
      </c>
      <c r="AQ1176" s="31" t="str">
        <f t="shared" si="61"/>
        <v>Complete - With Adjustment</v>
      </c>
    </row>
    <row r="1177" spans="1:43" x14ac:dyDescent="0.2">
      <c r="A1177" s="46">
        <v>1167</v>
      </c>
      <c r="B1177" s="38" t="s">
        <v>266</v>
      </c>
      <c r="C1177" s="38" t="s">
        <v>408</v>
      </c>
      <c r="D1177" s="38" t="s">
        <v>407</v>
      </c>
      <c r="E1177" s="38" t="s">
        <v>3349</v>
      </c>
      <c r="F1177" s="38" t="s">
        <v>2977</v>
      </c>
      <c r="G1177" s="38" t="s">
        <v>111</v>
      </c>
      <c r="H1177" s="44">
        <v>43879</v>
      </c>
      <c r="I1177" s="44">
        <v>44022</v>
      </c>
      <c r="J1177">
        <v>1132.47</v>
      </c>
      <c r="K1177">
        <v>9.08</v>
      </c>
      <c r="L1177" t="s">
        <v>3350</v>
      </c>
      <c r="M1177" s="45" t="s">
        <v>98</v>
      </c>
      <c r="N1177" s="38" t="s">
        <v>230</v>
      </c>
      <c r="O1177" s="38" t="s">
        <v>342</v>
      </c>
      <c r="P1177" s="38" t="s">
        <v>60</v>
      </c>
      <c r="Q1177" s="38" t="s">
        <v>41</v>
      </c>
      <c r="R1177" s="38" t="s">
        <v>270</v>
      </c>
      <c r="S1177" s="38" t="s">
        <v>3351</v>
      </c>
      <c r="T1177" s="38" t="s">
        <v>3352</v>
      </c>
      <c r="U1177" s="38"/>
      <c r="V1177" s="38"/>
      <c r="W1177" s="38"/>
      <c r="X1177" s="14"/>
      <c r="AL1177" s="14">
        <f>9.08</f>
        <v>9.08</v>
      </c>
      <c r="AN1177" s="7" t="s">
        <v>146</v>
      </c>
      <c r="AO1177" s="21">
        <f t="shared" si="60"/>
        <v>9.08</v>
      </c>
      <c r="AP1177" s="7">
        <f t="shared" si="58"/>
        <v>0</v>
      </c>
      <c r="AQ1177" s="31" t="str">
        <f t="shared" si="61"/>
        <v>Complete - With Adjustment</v>
      </c>
    </row>
    <row r="1178" spans="1:43" x14ac:dyDescent="0.2">
      <c r="A1178" s="46">
        <v>1168</v>
      </c>
      <c r="B1178" s="38" t="s">
        <v>266</v>
      </c>
      <c r="C1178" s="38" t="s">
        <v>408</v>
      </c>
      <c r="D1178" s="38" t="s">
        <v>407</v>
      </c>
      <c r="E1178" s="38" t="s">
        <v>3349</v>
      </c>
      <c r="F1178" s="38" t="s">
        <v>2977</v>
      </c>
      <c r="G1178" s="38" t="s">
        <v>111</v>
      </c>
      <c r="H1178" s="44">
        <v>43879</v>
      </c>
      <c r="I1178" s="44">
        <v>44022</v>
      </c>
      <c r="J1178">
        <v>1132.47</v>
      </c>
      <c r="K1178">
        <v>10.87</v>
      </c>
      <c r="L1178" t="s">
        <v>3350</v>
      </c>
      <c r="M1178" s="45" t="s">
        <v>98</v>
      </c>
      <c r="N1178" s="38" t="s">
        <v>230</v>
      </c>
      <c r="O1178" s="38" t="s">
        <v>342</v>
      </c>
      <c r="P1178" s="38" t="s">
        <v>60</v>
      </c>
      <c r="Q1178" s="38" t="s">
        <v>41</v>
      </c>
      <c r="R1178" s="38" t="s">
        <v>270</v>
      </c>
      <c r="S1178" s="38" t="s">
        <v>3351</v>
      </c>
      <c r="T1178" s="38" t="s">
        <v>3352</v>
      </c>
      <c r="U1178" s="38"/>
      <c r="V1178" s="38"/>
      <c r="W1178" s="38"/>
      <c r="X1178" s="14"/>
      <c r="AL1178" s="14">
        <f>10.87</f>
        <v>10.87</v>
      </c>
      <c r="AN1178" s="7" t="s">
        <v>146</v>
      </c>
      <c r="AO1178" s="21">
        <f t="shared" si="60"/>
        <v>10.87</v>
      </c>
      <c r="AP1178" s="7">
        <f t="shared" si="58"/>
        <v>0</v>
      </c>
      <c r="AQ1178" s="31" t="str">
        <f t="shared" si="61"/>
        <v>Complete - With Adjustment</v>
      </c>
    </row>
    <row r="1179" spans="1:43" x14ac:dyDescent="0.2">
      <c r="A1179" s="46">
        <v>1169</v>
      </c>
      <c r="B1179" s="38" t="s">
        <v>266</v>
      </c>
      <c r="C1179" s="38" t="s">
        <v>408</v>
      </c>
      <c r="D1179" s="38" t="s">
        <v>407</v>
      </c>
      <c r="E1179" s="38" t="s">
        <v>3349</v>
      </c>
      <c r="F1179" s="38" t="s">
        <v>2977</v>
      </c>
      <c r="G1179" s="38" t="s">
        <v>111</v>
      </c>
      <c r="H1179" s="44">
        <v>43879</v>
      </c>
      <c r="I1179" s="44">
        <v>44022</v>
      </c>
      <c r="J1179">
        <v>1132.47</v>
      </c>
      <c r="K1179">
        <v>13.75</v>
      </c>
      <c r="L1179" t="s">
        <v>3350</v>
      </c>
      <c r="M1179" s="45" t="s">
        <v>98</v>
      </c>
      <c r="N1179" s="38" t="s">
        <v>230</v>
      </c>
      <c r="O1179" s="38" t="s">
        <v>342</v>
      </c>
      <c r="P1179" s="38" t="s">
        <v>60</v>
      </c>
      <c r="Q1179" s="38" t="s">
        <v>41</v>
      </c>
      <c r="R1179" s="38" t="s">
        <v>270</v>
      </c>
      <c r="S1179" s="38" t="s">
        <v>3351</v>
      </c>
      <c r="T1179" s="38" t="s">
        <v>3352</v>
      </c>
      <c r="U1179" s="38"/>
      <c r="V1179" s="38"/>
      <c r="W1179" s="38"/>
      <c r="X1179" s="14"/>
      <c r="AL1179" s="14">
        <f>13.75</f>
        <v>13.75</v>
      </c>
      <c r="AN1179" s="7" t="s">
        <v>146</v>
      </c>
      <c r="AO1179" s="21">
        <f t="shared" si="60"/>
        <v>13.75</v>
      </c>
      <c r="AP1179" s="7">
        <f t="shared" si="58"/>
        <v>0</v>
      </c>
      <c r="AQ1179" s="31" t="str">
        <f t="shared" si="61"/>
        <v>Complete - With Adjustment</v>
      </c>
    </row>
    <row r="1180" spans="1:43" x14ac:dyDescent="0.2">
      <c r="A1180" s="46">
        <v>1170</v>
      </c>
      <c r="B1180" s="38" t="s">
        <v>266</v>
      </c>
      <c r="C1180" s="38" t="s">
        <v>408</v>
      </c>
      <c r="D1180" s="38" t="s">
        <v>407</v>
      </c>
      <c r="E1180" s="38" t="s">
        <v>3349</v>
      </c>
      <c r="F1180" s="38" t="s">
        <v>2977</v>
      </c>
      <c r="G1180" s="38" t="s">
        <v>111</v>
      </c>
      <c r="H1180" s="44">
        <v>43879</v>
      </c>
      <c r="I1180" s="44">
        <v>44022</v>
      </c>
      <c r="J1180">
        <v>1132.47</v>
      </c>
      <c r="K1180">
        <v>739.06</v>
      </c>
      <c r="L1180" t="s">
        <v>3350</v>
      </c>
      <c r="M1180" s="45" t="s">
        <v>98</v>
      </c>
      <c r="N1180" s="38" t="s">
        <v>230</v>
      </c>
      <c r="O1180" s="38" t="s">
        <v>342</v>
      </c>
      <c r="P1180" s="38" t="s">
        <v>60</v>
      </c>
      <c r="Q1180" s="38" t="s">
        <v>45</v>
      </c>
      <c r="R1180" s="38" t="s">
        <v>270</v>
      </c>
      <c r="S1180" s="38" t="s">
        <v>3351</v>
      </c>
      <c r="T1180" s="38" t="s">
        <v>3353</v>
      </c>
      <c r="U1180" s="38"/>
      <c r="V1180" s="38"/>
      <c r="W1180" s="38"/>
      <c r="X1180" s="14"/>
      <c r="AL1180" s="14">
        <f>739.06</f>
        <v>739.06</v>
      </c>
      <c r="AN1180" s="7" t="s">
        <v>146</v>
      </c>
      <c r="AO1180" s="21">
        <f t="shared" si="60"/>
        <v>739.06</v>
      </c>
      <c r="AP1180" s="7">
        <f t="shared" si="58"/>
        <v>0</v>
      </c>
      <c r="AQ1180" s="31" t="str">
        <f t="shared" si="61"/>
        <v>Complete - With Adjustment</v>
      </c>
    </row>
    <row r="1181" spans="1:43" x14ac:dyDescent="0.2">
      <c r="A1181" s="46">
        <v>1171</v>
      </c>
      <c r="B1181" s="38" t="s">
        <v>266</v>
      </c>
      <c r="C1181" s="38" t="s">
        <v>408</v>
      </c>
      <c r="D1181" s="38" t="s">
        <v>407</v>
      </c>
      <c r="E1181" s="38" t="s">
        <v>3349</v>
      </c>
      <c r="F1181" s="38" t="s">
        <v>2977</v>
      </c>
      <c r="G1181" s="38" t="s">
        <v>111</v>
      </c>
      <c r="H1181" s="44">
        <v>43879</v>
      </c>
      <c r="I1181" s="44">
        <v>44022</v>
      </c>
      <c r="J1181">
        <v>1132.47</v>
      </c>
      <c r="K1181">
        <v>331.2</v>
      </c>
      <c r="L1181" t="s">
        <v>3350</v>
      </c>
      <c r="M1181" s="45" t="s">
        <v>98</v>
      </c>
      <c r="N1181" s="38" t="s">
        <v>230</v>
      </c>
      <c r="O1181" s="38" t="s">
        <v>342</v>
      </c>
      <c r="P1181" s="38" t="s">
        <v>60</v>
      </c>
      <c r="Q1181" s="38" t="s">
        <v>44</v>
      </c>
      <c r="R1181" s="38" t="s">
        <v>270</v>
      </c>
      <c r="S1181" s="38" t="s">
        <v>3351</v>
      </c>
      <c r="T1181" s="38" t="s">
        <v>3354</v>
      </c>
      <c r="U1181" s="38"/>
      <c r="V1181" s="38"/>
      <c r="W1181" s="38"/>
      <c r="X1181" s="14"/>
      <c r="AN1181" s="7" t="s">
        <v>70</v>
      </c>
      <c r="AO1181" s="21">
        <f t="shared" si="60"/>
        <v>0</v>
      </c>
      <c r="AP1181" s="7">
        <f t="shared" si="58"/>
        <v>331.2</v>
      </c>
      <c r="AQ1181" s="31" t="str">
        <f t="shared" si="61"/>
        <v>Complete - No Adjustment</v>
      </c>
    </row>
    <row r="1182" spans="1:43" x14ac:dyDescent="0.2">
      <c r="A1182" s="46">
        <v>1172</v>
      </c>
      <c r="B1182" s="38" t="s">
        <v>266</v>
      </c>
      <c r="C1182" s="38" t="s">
        <v>408</v>
      </c>
      <c r="D1182" s="38" t="s">
        <v>407</v>
      </c>
      <c r="E1182" s="38" t="s">
        <v>3349</v>
      </c>
      <c r="F1182" s="38" t="s">
        <v>2977</v>
      </c>
      <c r="G1182" s="38" t="s">
        <v>111</v>
      </c>
      <c r="H1182" s="44">
        <v>43879</v>
      </c>
      <c r="I1182" s="44">
        <v>44022</v>
      </c>
      <c r="J1182">
        <v>1132.47</v>
      </c>
      <c r="K1182">
        <v>2.98</v>
      </c>
      <c r="L1182" t="s">
        <v>3350</v>
      </c>
      <c r="M1182" s="45" t="s">
        <v>98</v>
      </c>
      <c r="N1182" s="38" t="s">
        <v>230</v>
      </c>
      <c r="O1182" s="38" t="s">
        <v>342</v>
      </c>
      <c r="P1182" s="38" t="s">
        <v>60</v>
      </c>
      <c r="Q1182" s="38" t="s">
        <v>41</v>
      </c>
      <c r="R1182" s="38" t="s">
        <v>270</v>
      </c>
      <c r="S1182" s="38" t="s">
        <v>3351</v>
      </c>
      <c r="T1182" s="38" t="s">
        <v>3352</v>
      </c>
      <c r="U1182" s="38"/>
      <c r="V1182" s="38"/>
      <c r="W1182" s="38"/>
      <c r="X1182" s="14"/>
      <c r="AL1182" s="14">
        <f>2.98</f>
        <v>2.98</v>
      </c>
      <c r="AN1182" s="7" t="s">
        <v>146</v>
      </c>
      <c r="AO1182" s="21">
        <f t="shared" si="60"/>
        <v>2.98</v>
      </c>
      <c r="AP1182" s="7">
        <f t="shared" si="58"/>
        <v>0</v>
      </c>
      <c r="AQ1182" s="31" t="str">
        <f t="shared" si="61"/>
        <v>Complete - With Adjustment</v>
      </c>
    </row>
    <row r="1183" spans="1:43" x14ac:dyDescent="0.2">
      <c r="A1183" s="46">
        <v>1173</v>
      </c>
      <c r="B1183" s="38" t="s">
        <v>266</v>
      </c>
      <c r="C1183" s="38" t="s">
        <v>542</v>
      </c>
      <c r="D1183" s="38" t="s">
        <v>541</v>
      </c>
      <c r="E1183" s="38" t="s">
        <v>3355</v>
      </c>
      <c r="F1183" s="38" t="s">
        <v>3130</v>
      </c>
      <c r="G1183" s="38" t="s">
        <v>111</v>
      </c>
      <c r="H1183" s="44">
        <v>44014</v>
      </c>
      <c r="I1183" s="44">
        <v>44018</v>
      </c>
      <c r="J1183">
        <v>107.51</v>
      </c>
      <c r="K1183">
        <v>90.49</v>
      </c>
      <c r="L1183" t="s">
        <v>3356</v>
      </c>
      <c r="M1183" s="45" t="s">
        <v>98</v>
      </c>
      <c r="N1183" s="38" t="s">
        <v>230</v>
      </c>
      <c r="O1183" s="38" t="s">
        <v>277</v>
      </c>
      <c r="P1183" s="38" t="s">
        <v>60</v>
      </c>
      <c r="Q1183" s="38" t="s">
        <v>62</v>
      </c>
      <c r="R1183" s="38" t="s">
        <v>270</v>
      </c>
      <c r="S1183" s="38" t="s">
        <v>3357</v>
      </c>
      <c r="T1183" s="38" t="s">
        <v>3358</v>
      </c>
      <c r="U1183" s="38"/>
      <c r="V1183" s="38"/>
      <c r="W1183" s="38"/>
      <c r="X1183" s="14"/>
      <c r="AN1183" s="7" t="s">
        <v>155</v>
      </c>
      <c r="AO1183" s="21">
        <f t="shared" si="60"/>
        <v>0</v>
      </c>
      <c r="AP1183" s="7">
        <f t="shared" si="58"/>
        <v>90.49</v>
      </c>
      <c r="AQ1183" s="31" t="str">
        <f t="shared" si="61"/>
        <v>Complete - No Adjustment</v>
      </c>
    </row>
    <row r="1184" spans="1:43" x14ac:dyDescent="0.2">
      <c r="A1184" s="46">
        <v>1174</v>
      </c>
      <c r="B1184" s="38" t="s">
        <v>266</v>
      </c>
      <c r="C1184" s="38" t="s">
        <v>542</v>
      </c>
      <c r="D1184" s="38" t="s">
        <v>541</v>
      </c>
      <c r="E1184" s="38" t="s">
        <v>3355</v>
      </c>
      <c r="F1184" s="38" t="s">
        <v>3130</v>
      </c>
      <c r="G1184" s="38" t="s">
        <v>111</v>
      </c>
      <c r="H1184" s="44">
        <v>44014</v>
      </c>
      <c r="I1184" s="44">
        <v>44018</v>
      </c>
      <c r="J1184">
        <v>107.51</v>
      </c>
      <c r="K1184">
        <v>6.02</v>
      </c>
      <c r="L1184" t="s">
        <v>3356</v>
      </c>
      <c r="M1184" s="45" t="s">
        <v>98</v>
      </c>
      <c r="N1184" s="38" t="s">
        <v>230</v>
      </c>
      <c r="O1184" s="38" t="s">
        <v>277</v>
      </c>
      <c r="P1184" s="38" t="s">
        <v>60</v>
      </c>
      <c r="Q1184" s="38" t="s">
        <v>62</v>
      </c>
      <c r="R1184" s="38" t="s">
        <v>270</v>
      </c>
      <c r="S1184" s="38" t="s">
        <v>3357</v>
      </c>
      <c r="T1184" s="38" t="s">
        <v>3359</v>
      </c>
      <c r="U1184" s="38"/>
      <c r="V1184" s="38"/>
      <c r="W1184" s="38"/>
      <c r="X1184" s="14"/>
      <c r="AN1184" s="7" t="s">
        <v>155</v>
      </c>
      <c r="AO1184" s="21">
        <f t="shared" si="60"/>
        <v>0</v>
      </c>
      <c r="AP1184" s="7">
        <f t="shared" si="58"/>
        <v>6.02</v>
      </c>
      <c r="AQ1184" s="31" t="str">
        <f t="shared" si="61"/>
        <v>Complete - No Adjustment</v>
      </c>
    </row>
    <row r="1185" spans="1:43" x14ac:dyDescent="0.2">
      <c r="A1185" s="46">
        <v>1175</v>
      </c>
      <c r="B1185" s="38" t="s">
        <v>266</v>
      </c>
      <c r="C1185" s="38" t="s">
        <v>542</v>
      </c>
      <c r="D1185" s="38" t="s">
        <v>541</v>
      </c>
      <c r="E1185" s="38" t="s">
        <v>3355</v>
      </c>
      <c r="F1185" s="38" t="s">
        <v>3130</v>
      </c>
      <c r="G1185" s="38" t="s">
        <v>111</v>
      </c>
      <c r="H1185" s="44">
        <v>44014</v>
      </c>
      <c r="I1185" s="44">
        <v>44018</v>
      </c>
      <c r="J1185">
        <v>107.51</v>
      </c>
      <c r="K1185">
        <v>11</v>
      </c>
      <c r="L1185" t="s">
        <v>3356</v>
      </c>
      <c r="M1185" s="45" t="s">
        <v>98</v>
      </c>
      <c r="N1185" s="38" t="s">
        <v>230</v>
      </c>
      <c r="O1185" s="38" t="s">
        <v>277</v>
      </c>
      <c r="P1185" s="38" t="s">
        <v>60</v>
      </c>
      <c r="Q1185" s="38" t="s">
        <v>74</v>
      </c>
      <c r="R1185" s="38" t="s">
        <v>270</v>
      </c>
      <c r="S1185" s="38" t="s">
        <v>3357</v>
      </c>
      <c r="T1185" s="38" t="s">
        <v>3360</v>
      </c>
      <c r="U1185" s="38"/>
      <c r="V1185" s="38"/>
      <c r="W1185" s="38"/>
      <c r="X1185" s="14"/>
      <c r="AN1185" s="7" t="s">
        <v>155</v>
      </c>
      <c r="AO1185" s="21">
        <f t="shared" si="60"/>
        <v>0</v>
      </c>
      <c r="AP1185" s="7">
        <f t="shared" si="58"/>
        <v>11</v>
      </c>
      <c r="AQ1185" s="31" t="str">
        <f t="shared" si="61"/>
        <v>Complete - No Adjustment</v>
      </c>
    </row>
    <row r="1186" spans="1:43" x14ac:dyDescent="0.2">
      <c r="A1186" s="46">
        <v>1176</v>
      </c>
      <c r="B1186" s="38" t="s">
        <v>266</v>
      </c>
      <c r="C1186" s="38" t="s">
        <v>410</v>
      </c>
      <c r="D1186" s="38" t="s">
        <v>409</v>
      </c>
      <c r="E1186" s="38" t="s">
        <v>3361</v>
      </c>
      <c r="F1186" s="38" t="s">
        <v>3223</v>
      </c>
      <c r="G1186" s="38" t="s">
        <v>111</v>
      </c>
      <c r="H1186" s="44">
        <v>44033</v>
      </c>
      <c r="I1186" s="44">
        <v>44035</v>
      </c>
      <c r="J1186">
        <v>30</v>
      </c>
      <c r="K1186">
        <v>15</v>
      </c>
      <c r="L1186" t="s">
        <v>3362</v>
      </c>
      <c r="M1186" s="45" t="s">
        <v>98</v>
      </c>
      <c r="N1186" s="38" t="s">
        <v>230</v>
      </c>
      <c r="O1186" s="38" t="s">
        <v>292</v>
      </c>
      <c r="P1186" s="38" t="s">
        <v>60</v>
      </c>
      <c r="Q1186" s="38" t="s">
        <v>41</v>
      </c>
      <c r="R1186" s="38" t="s">
        <v>270</v>
      </c>
      <c r="S1186" s="38" t="s">
        <v>3363</v>
      </c>
      <c r="T1186" s="38" t="s">
        <v>3364</v>
      </c>
      <c r="U1186" s="38"/>
      <c r="V1186" s="38"/>
      <c r="W1186" s="38"/>
      <c r="X1186" s="14"/>
      <c r="AN1186" s="7" t="s">
        <v>155</v>
      </c>
      <c r="AO1186" s="21">
        <f t="shared" si="60"/>
        <v>0</v>
      </c>
      <c r="AP1186" s="7">
        <f t="shared" si="58"/>
        <v>15</v>
      </c>
      <c r="AQ1186" s="31" t="str">
        <f t="shared" si="61"/>
        <v>Complete - No Adjustment</v>
      </c>
    </row>
    <row r="1187" spans="1:43" x14ac:dyDescent="0.2">
      <c r="A1187" s="46">
        <v>1177</v>
      </c>
      <c r="B1187" s="38" t="s">
        <v>266</v>
      </c>
      <c r="C1187" s="38" t="s">
        <v>410</v>
      </c>
      <c r="D1187" s="38" t="s">
        <v>409</v>
      </c>
      <c r="E1187" s="38" t="s">
        <v>3361</v>
      </c>
      <c r="F1187" s="38" t="s">
        <v>3223</v>
      </c>
      <c r="G1187" s="38" t="s">
        <v>111</v>
      </c>
      <c r="H1187" s="44">
        <v>44033</v>
      </c>
      <c r="I1187" s="44">
        <v>44035</v>
      </c>
      <c r="J1187">
        <v>30</v>
      </c>
      <c r="K1187">
        <v>15</v>
      </c>
      <c r="L1187" t="s">
        <v>3362</v>
      </c>
      <c r="M1187" s="45" t="s">
        <v>98</v>
      </c>
      <c r="N1187" s="38" t="s">
        <v>230</v>
      </c>
      <c r="O1187" s="38" t="s">
        <v>673</v>
      </c>
      <c r="P1187" s="38" t="s">
        <v>60</v>
      </c>
      <c r="Q1187" s="38" t="s">
        <v>41</v>
      </c>
      <c r="R1187" s="38" t="s">
        <v>270</v>
      </c>
      <c r="S1187" s="38" t="s">
        <v>3363</v>
      </c>
      <c r="T1187" s="38" t="s">
        <v>3364</v>
      </c>
      <c r="U1187" s="38"/>
      <c r="V1187" s="38"/>
      <c r="W1187" s="38"/>
      <c r="X1187" s="14"/>
      <c r="AN1187" s="7" t="s">
        <v>155</v>
      </c>
      <c r="AO1187" s="21">
        <f t="shared" si="60"/>
        <v>0</v>
      </c>
      <c r="AP1187" s="7">
        <f t="shared" si="58"/>
        <v>15</v>
      </c>
      <c r="AQ1187" s="31" t="str">
        <f t="shared" si="61"/>
        <v>Complete - No Adjustment</v>
      </c>
    </row>
    <row r="1188" spans="1:43" x14ac:dyDescent="0.2">
      <c r="A1188" s="46">
        <v>1178</v>
      </c>
      <c r="B1188" s="38" t="s">
        <v>266</v>
      </c>
      <c r="C1188" s="38" t="s">
        <v>251</v>
      </c>
      <c r="D1188" s="38" t="s">
        <v>800</v>
      </c>
      <c r="E1188" s="38" t="s">
        <v>3365</v>
      </c>
      <c r="F1188" s="38" t="s">
        <v>3288</v>
      </c>
      <c r="G1188" s="38" t="s">
        <v>111</v>
      </c>
      <c r="H1188" s="44">
        <v>44039</v>
      </c>
      <c r="I1188" s="44">
        <v>44042</v>
      </c>
      <c r="J1188">
        <v>188.3</v>
      </c>
      <c r="K1188">
        <v>19.86</v>
      </c>
      <c r="L1188" t="s">
        <v>3366</v>
      </c>
      <c r="M1188" s="45" t="s">
        <v>98</v>
      </c>
      <c r="N1188" s="38" t="s">
        <v>230</v>
      </c>
      <c r="O1188" s="38" t="s">
        <v>288</v>
      </c>
      <c r="P1188" s="38" t="s">
        <v>60</v>
      </c>
      <c r="Q1188" s="38" t="s">
        <v>41</v>
      </c>
      <c r="R1188" s="38" t="s">
        <v>270</v>
      </c>
      <c r="S1188" s="38" t="s">
        <v>3367</v>
      </c>
      <c r="T1188" s="38" t="s">
        <v>3368</v>
      </c>
      <c r="U1188" s="38"/>
      <c r="V1188" s="38"/>
      <c r="W1188" s="38"/>
      <c r="X1188" s="14"/>
      <c r="AI1188" s="53">
        <f>19.86</f>
        <v>19.86</v>
      </c>
      <c r="AN1188" s="7" t="s">
        <v>145</v>
      </c>
      <c r="AO1188" s="21">
        <f t="shared" si="60"/>
        <v>19.86</v>
      </c>
      <c r="AP1188" s="7">
        <f t="shared" si="58"/>
        <v>0</v>
      </c>
      <c r="AQ1188" s="31" t="str">
        <f t="shared" si="61"/>
        <v>Complete - With Adjustment</v>
      </c>
    </row>
    <row r="1189" spans="1:43" x14ac:dyDescent="0.2">
      <c r="A1189" s="46">
        <v>1179</v>
      </c>
      <c r="B1189" s="38" t="s">
        <v>266</v>
      </c>
      <c r="C1189" s="38" t="s">
        <v>251</v>
      </c>
      <c r="D1189" s="38" t="s">
        <v>800</v>
      </c>
      <c r="E1189" s="38" t="s">
        <v>3365</v>
      </c>
      <c r="F1189" s="38" t="s">
        <v>3288</v>
      </c>
      <c r="G1189" s="38" t="s">
        <v>111</v>
      </c>
      <c r="H1189" s="44">
        <v>44039</v>
      </c>
      <c r="I1189" s="44">
        <v>44042</v>
      </c>
      <c r="J1189">
        <v>188.3</v>
      </c>
      <c r="K1189">
        <v>43.29</v>
      </c>
      <c r="L1189" t="s">
        <v>3366</v>
      </c>
      <c r="M1189" s="45" t="s">
        <v>98</v>
      </c>
      <c r="N1189" s="38" t="s">
        <v>230</v>
      </c>
      <c r="O1189" s="38" t="s">
        <v>288</v>
      </c>
      <c r="P1189" s="38" t="s">
        <v>60</v>
      </c>
      <c r="Q1189" s="38" t="s">
        <v>48</v>
      </c>
      <c r="R1189" s="38" t="s">
        <v>270</v>
      </c>
      <c r="S1189" s="38" t="s">
        <v>3367</v>
      </c>
      <c r="T1189" s="38" t="s">
        <v>3369</v>
      </c>
      <c r="U1189" s="38"/>
      <c r="V1189" s="38"/>
      <c r="W1189" s="38"/>
      <c r="X1189" s="14"/>
      <c r="AN1189" s="7" t="s">
        <v>70</v>
      </c>
      <c r="AO1189" s="21">
        <f t="shared" si="60"/>
        <v>0</v>
      </c>
      <c r="AP1189" s="7">
        <f t="shared" si="58"/>
        <v>43.29</v>
      </c>
      <c r="AQ1189" s="31" t="str">
        <f t="shared" si="61"/>
        <v>Complete - No Adjustment</v>
      </c>
    </row>
    <row r="1190" spans="1:43" x14ac:dyDescent="0.2">
      <c r="A1190" s="46">
        <v>1180</v>
      </c>
      <c r="B1190" s="38" t="s">
        <v>266</v>
      </c>
      <c r="C1190" s="38" t="s">
        <v>251</v>
      </c>
      <c r="D1190" s="38" t="s">
        <v>800</v>
      </c>
      <c r="E1190" s="38" t="s">
        <v>3365</v>
      </c>
      <c r="F1190" s="38" t="s">
        <v>3288</v>
      </c>
      <c r="G1190" s="38" t="s">
        <v>111</v>
      </c>
      <c r="H1190" s="44">
        <v>44039</v>
      </c>
      <c r="I1190" s="44">
        <v>44042</v>
      </c>
      <c r="J1190">
        <v>188.3</v>
      </c>
      <c r="K1190">
        <v>125.15</v>
      </c>
      <c r="L1190" t="s">
        <v>3366</v>
      </c>
      <c r="M1190" s="45" t="s">
        <v>98</v>
      </c>
      <c r="N1190" s="38" t="s">
        <v>230</v>
      </c>
      <c r="O1190" s="38" t="s">
        <v>288</v>
      </c>
      <c r="P1190" s="38" t="s">
        <v>60</v>
      </c>
      <c r="Q1190" s="38" t="s">
        <v>48</v>
      </c>
      <c r="R1190" s="38" t="s">
        <v>270</v>
      </c>
      <c r="S1190" s="38" t="s">
        <v>3367</v>
      </c>
      <c r="T1190" s="38" t="s">
        <v>3370</v>
      </c>
      <c r="U1190" s="38"/>
      <c r="V1190" s="38"/>
      <c r="W1190" s="38"/>
      <c r="X1190" s="14"/>
      <c r="AN1190" s="7" t="s">
        <v>70</v>
      </c>
      <c r="AO1190" s="21">
        <f t="shared" si="60"/>
        <v>0</v>
      </c>
      <c r="AP1190" s="7">
        <f t="shared" si="58"/>
        <v>125.15</v>
      </c>
      <c r="AQ1190" s="31" t="str">
        <f t="shared" si="61"/>
        <v>Complete - No Adjustment</v>
      </c>
    </row>
    <row r="1191" spans="1:43" x14ac:dyDescent="0.2">
      <c r="A1191" s="46">
        <v>1181</v>
      </c>
      <c r="B1191" s="38" t="s">
        <v>266</v>
      </c>
      <c r="C1191" s="38" t="s">
        <v>412</v>
      </c>
      <c r="D1191" s="38" t="s">
        <v>411</v>
      </c>
      <c r="E1191" s="38" t="s">
        <v>3371</v>
      </c>
      <c r="F1191" s="38" t="s">
        <v>3018</v>
      </c>
      <c r="G1191" s="38" t="s">
        <v>111</v>
      </c>
      <c r="H1191" s="44">
        <v>44027</v>
      </c>
      <c r="I1191" s="44">
        <v>44028</v>
      </c>
      <c r="J1191">
        <v>89.96</v>
      </c>
      <c r="K1191">
        <v>16.43</v>
      </c>
      <c r="L1191" t="s">
        <v>3372</v>
      </c>
      <c r="M1191" s="45" t="s">
        <v>98</v>
      </c>
      <c r="N1191" s="38" t="s">
        <v>230</v>
      </c>
      <c r="O1191" s="38" t="s">
        <v>288</v>
      </c>
      <c r="P1191" s="38" t="s">
        <v>60</v>
      </c>
      <c r="Q1191" s="38" t="s">
        <v>41</v>
      </c>
      <c r="R1191" s="38" t="s">
        <v>270</v>
      </c>
      <c r="S1191" s="38" t="s">
        <v>3373</v>
      </c>
      <c r="T1191" s="38" t="s">
        <v>3374</v>
      </c>
      <c r="U1191" s="38"/>
      <c r="V1191" s="38"/>
      <c r="W1191" s="38"/>
      <c r="X1191" s="14"/>
      <c r="AN1191" s="7" t="s">
        <v>155</v>
      </c>
      <c r="AO1191" s="21">
        <f t="shared" si="60"/>
        <v>0</v>
      </c>
      <c r="AP1191" s="7">
        <f t="shared" si="58"/>
        <v>16.43</v>
      </c>
      <c r="AQ1191" s="31" t="str">
        <f t="shared" si="61"/>
        <v>Complete - No Adjustment</v>
      </c>
    </row>
    <row r="1192" spans="1:43" x14ac:dyDescent="0.2">
      <c r="A1192" s="46">
        <v>1182</v>
      </c>
      <c r="B1192" s="38" t="s">
        <v>266</v>
      </c>
      <c r="C1192" s="38" t="s">
        <v>412</v>
      </c>
      <c r="D1192" s="38" t="s">
        <v>411</v>
      </c>
      <c r="E1192" s="38" t="s">
        <v>3371</v>
      </c>
      <c r="F1192" s="38" t="s">
        <v>3018</v>
      </c>
      <c r="G1192" s="38" t="s">
        <v>111</v>
      </c>
      <c r="H1192" s="44">
        <v>44027</v>
      </c>
      <c r="I1192" s="44">
        <v>44028</v>
      </c>
      <c r="J1192">
        <v>89.96</v>
      </c>
      <c r="K1192">
        <v>17.649999999999999</v>
      </c>
      <c r="L1192" t="s">
        <v>3372</v>
      </c>
      <c r="M1192" s="45" t="s">
        <v>98</v>
      </c>
      <c r="N1192" s="38" t="s">
        <v>230</v>
      </c>
      <c r="O1192" s="38" t="s">
        <v>288</v>
      </c>
      <c r="P1192" s="38" t="s">
        <v>60</v>
      </c>
      <c r="Q1192" s="38" t="s">
        <v>41</v>
      </c>
      <c r="R1192" s="38" t="s">
        <v>270</v>
      </c>
      <c r="S1192" s="38" t="s">
        <v>3373</v>
      </c>
      <c r="T1192" s="38" t="s">
        <v>3374</v>
      </c>
      <c r="U1192" s="38"/>
      <c r="V1192" s="38"/>
      <c r="W1192" s="38"/>
      <c r="X1192" s="14"/>
      <c r="AL1192" s="14">
        <f>17.65</f>
        <v>17.649999999999999</v>
      </c>
      <c r="AN1192" s="7" t="s">
        <v>2957</v>
      </c>
      <c r="AO1192" s="21">
        <f t="shared" si="60"/>
        <v>17.649999999999999</v>
      </c>
      <c r="AP1192" s="7">
        <f t="shared" si="58"/>
        <v>0</v>
      </c>
      <c r="AQ1192" s="31" t="str">
        <f t="shared" si="61"/>
        <v>Complete - With Adjustment</v>
      </c>
    </row>
    <row r="1193" spans="1:43" x14ac:dyDescent="0.2">
      <c r="A1193" s="46">
        <v>1183</v>
      </c>
      <c r="B1193" s="38" t="s">
        <v>266</v>
      </c>
      <c r="C1193" s="38" t="s">
        <v>412</v>
      </c>
      <c r="D1193" s="38" t="s">
        <v>411</v>
      </c>
      <c r="E1193" s="38" t="s">
        <v>3371</v>
      </c>
      <c r="F1193" s="38" t="s">
        <v>3018</v>
      </c>
      <c r="G1193" s="38" t="s">
        <v>111</v>
      </c>
      <c r="H1193" s="44">
        <v>44027</v>
      </c>
      <c r="I1193" s="44">
        <v>44028</v>
      </c>
      <c r="J1193">
        <v>89.96</v>
      </c>
      <c r="K1193">
        <v>13.74</v>
      </c>
      <c r="L1193" t="s">
        <v>3372</v>
      </c>
      <c r="M1193" s="45" t="s">
        <v>98</v>
      </c>
      <c r="N1193" s="38" t="s">
        <v>230</v>
      </c>
      <c r="O1193" s="38" t="s">
        <v>288</v>
      </c>
      <c r="P1193" s="38" t="s">
        <v>60</v>
      </c>
      <c r="Q1193" s="38" t="s">
        <v>41</v>
      </c>
      <c r="R1193" s="38" t="s">
        <v>270</v>
      </c>
      <c r="S1193" s="38" t="s">
        <v>3373</v>
      </c>
      <c r="T1193" s="38" t="s">
        <v>3374</v>
      </c>
      <c r="U1193" s="38"/>
      <c r="V1193" s="38"/>
      <c r="W1193" s="38"/>
      <c r="X1193" s="14"/>
      <c r="AN1193" s="7" t="s">
        <v>155</v>
      </c>
      <c r="AO1193" s="21">
        <f t="shared" si="60"/>
        <v>0</v>
      </c>
      <c r="AP1193" s="7">
        <f t="shared" si="58"/>
        <v>13.74</v>
      </c>
      <c r="AQ1193" s="31" t="str">
        <f t="shared" si="61"/>
        <v>Complete - No Adjustment</v>
      </c>
    </row>
    <row r="1194" spans="1:43" x14ac:dyDescent="0.2">
      <c r="A1194" s="46">
        <v>1184</v>
      </c>
      <c r="B1194" s="38" t="s">
        <v>266</v>
      </c>
      <c r="C1194" s="38" t="s">
        <v>412</v>
      </c>
      <c r="D1194" s="38" t="s">
        <v>411</v>
      </c>
      <c r="E1194" s="38" t="s">
        <v>3371</v>
      </c>
      <c r="F1194" s="38" t="s">
        <v>3018</v>
      </c>
      <c r="G1194" s="38" t="s">
        <v>111</v>
      </c>
      <c r="H1194" s="44">
        <v>44027</v>
      </c>
      <c r="I1194" s="44">
        <v>44028</v>
      </c>
      <c r="J1194">
        <v>89.96</v>
      </c>
      <c r="K1194">
        <v>16.89</v>
      </c>
      <c r="L1194" t="s">
        <v>3372</v>
      </c>
      <c r="M1194" s="45" t="s">
        <v>98</v>
      </c>
      <c r="N1194" s="38" t="s">
        <v>230</v>
      </c>
      <c r="O1194" s="38" t="s">
        <v>288</v>
      </c>
      <c r="P1194" s="38" t="s">
        <v>60</v>
      </c>
      <c r="Q1194" s="38" t="s">
        <v>41</v>
      </c>
      <c r="R1194" s="38" t="s">
        <v>270</v>
      </c>
      <c r="S1194" s="38" t="s">
        <v>3373</v>
      </c>
      <c r="T1194" s="38" t="s">
        <v>3374</v>
      </c>
      <c r="U1194" s="38"/>
      <c r="V1194" s="38"/>
      <c r="W1194" s="38"/>
      <c r="X1194" s="14"/>
      <c r="AN1194" s="7" t="s">
        <v>155</v>
      </c>
      <c r="AO1194" s="21">
        <f t="shared" si="60"/>
        <v>0</v>
      </c>
      <c r="AP1194" s="7">
        <f t="shared" si="58"/>
        <v>16.89</v>
      </c>
      <c r="AQ1194" s="31" t="str">
        <f t="shared" si="61"/>
        <v>Complete - No Adjustment</v>
      </c>
    </row>
    <row r="1195" spans="1:43" x14ac:dyDescent="0.2">
      <c r="A1195" s="46">
        <v>1185</v>
      </c>
      <c r="B1195" s="38" t="s">
        <v>266</v>
      </c>
      <c r="C1195" s="38" t="s">
        <v>412</v>
      </c>
      <c r="D1195" s="38" t="s">
        <v>411</v>
      </c>
      <c r="E1195" s="38" t="s">
        <v>3371</v>
      </c>
      <c r="F1195" s="38" t="s">
        <v>3018</v>
      </c>
      <c r="G1195" s="38" t="s">
        <v>111</v>
      </c>
      <c r="H1195" s="44">
        <v>44027</v>
      </c>
      <c r="I1195" s="44">
        <v>44028</v>
      </c>
      <c r="J1195">
        <v>89.96</v>
      </c>
      <c r="K1195">
        <v>25.25</v>
      </c>
      <c r="L1195" t="s">
        <v>3372</v>
      </c>
      <c r="M1195" s="45" t="s">
        <v>98</v>
      </c>
      <c r="N1195" s="38" t="s">
        <v>230</v>
      </c>
      <c r="O1195" s="38" t="s">
        <v>288</v>
      </c>
      <c r="P1195" s="38" t="s">
        <v>60</v>
      </c>
      <c r="Q1195" s="38" t="s">
        <v>41</v>
      </c>
      <c r="R1195" s="38" t="s">
        <v>270</v>
      </c>
      <c r="S1195" s="38" t="s">
        <v>3373</v>
      </c>
      <c r="T1195" s="38" t="s">
        <v>3374</v>
      </c>
      <c r="U1195" s="38"/>
      <c r="V1195" s="38"/>
      <c r="W1195" s="38"/>
      <c r="X1195" s="14"/>
      <c r="AN1195" s="7" t="s">
        <v>155</v>
      </c>
      <c r="AO1195" s="21">
        <f t="shared" si="60"/>
        <v>0</v>
      </c>
      <c r="AP1195" s="7">
        <f t="shared" si="58"/>
        <v>25.25</v>
      </c>
      <c r="AQ1195" s="31" t="str">
        <f t="shared" si="61"/>
        <v>Complete - No Adjustment</v>
      </c>
    </row>
    <row r="1196" spans="1:43" x14ac:dyDescent="0.2">
      <c r="A1196" s="46">
        <v>1186</v>
      </c>
      <c r="B1196" s="38" t="s">
        <v>266</v>
      </c>
      <c r="C1196" s="38" t="s">
        <v>414</v>
      </c>
      <c r="D1196" s="38" t="s">
        <v>413</v>
      </c>
      <c r="E1196" s="38" t="s">
        <v>3375</v>
      </c>
      <c r="F1196" s="38" t="s">
        <v>2994</v>
      </c>
      <c r="G1196" s="38" t="s">
        <v>111</v>
      </c>
      <c r="H1196" s="44">
        <v>44040</v>
      </c>
      <c r="I1196" s="44">
        <v>44043</v>
      </c>
      <c r="J1196">
        <v>19.03</v>
      </c>
      <c r="K1196">
        <v>19.03</v>
      </c>
      <c r="L1196" t="s">
        <v>3376</v>
      </c>
      <c r="M1196" s="45" t="s">
        <v>98</v>
      </c>
      <c r="N1196" s="38" t="s">
        <v>230</v>
      </c>
      <c r="O1196" s="38" t="s">
        <v>317</v>
      </c>
      <c r="P1196" s="38" t="s">
        <v>60</v>
      </c>
      <c r="Q1196" s="38" t="s">
        <v>41</v>
      </c>
      <c r="R1196" s="38" t="s">
        <v>270</v>
      </c>
      <c r="S1196" s="38" t="s">
        <v>3377</v>
      </c>
      <c r="T1196" s="38" t="s">
        <v>3378</v>
      </c>
      <c r="U1196" s="38"/>
      <c r="V1196" s="38"/>
      <c r="W1196" s="38"/>
      <c r="X1196" s="14"/>
      <c r="AN1196" s="7" t="s">
        <v>155</v>
      </c>
      <c r="AO1196" s="21">
        <f t="shared" si="60"/>
        <v>0</v>
      </c>
      <c r="AP1196" s="7">
        <f t="shared" si="58"/>
        <v>19.03</v>
      </c>
      <c r="AQ1196" s="31" t="str">
        <f t="shared" si="61"/>
        <v>Complete - No Adjustment</v>
      </c>
    </row>
    <row r="1197" spans="1:43" x14ac:dyDescent="0.2">
      <c r="A1197" s="46">
        <v>1187</v>
      </c>
      <c r="B1197" s="38" t="s">
        <v>266</v>
      </c>
      <c r="C1197" s="38" t="s">
        <v>414</v>
      </c>
      <c r="D1197" s="38" t="s">
        <v>413</v>
      </c>
      <c r="E1197" s="38" t="s">
        <v>3379</v>
      </c>
      <c r="F1197" s="38" t="s">
        <v>3039</v>
      </c>
      <c r="G1197" s="38" t="s">
        <v>111</v>
      </c>
      <c r="H1197" s="44">
        <v>44033</v>
      </c>
      <c r="I1197" s="44">
        <v>44041</v>
      </c>
      <c r="J1197">
        <v>125.19</v>
      </c>
      <c r="K1197">
        <v>26.06</v>
      </c>
      <c r="L1197" t="s">
        <v>3380</v>
      </c>
      <c r="M1197" s="45" t="s">
        <v>98</v>
      </c>
      <c r="N1197" s="38" t="s">
        <v>230</v>
      </c>
      <c r="O1197" s="38" t="s">
        <v>317</v>
      </c>
      <c r="P1197" s="38" t="s">
        <v>60</v>
      </c>
      <c r="Q1197" s="38" t="s">
        <v>41</v>
      </c>
      <c r="R1197" s="38" t="s">
        <v>270</v>
      </c>
      <c r="S1197" s="38" t="s">
        <v>3381</v>
      </c>
      <c r="T1197" s="38" t="s">
        <v>1869</v>
      </c>
      <c r="U1197" s="38"/>
      <c r="V1197" s="38"/>
      <c r="W1197" s="38"/>
      <c r="X1197" s="14"/>
      <c r="AN1197" s="7" t="s">
        <v>70</v>
      </c>
      <c r="AO1197" s="21">
        <f t="shared" si="60"/>
        <v>0</v>
      </c>
      <c r="AP1197" s="7">
        <f t="shared" si="58"/>
        <v>26.06</v>
      </c>
      <c r="AQ1197" s="31" t="str">
        <f t="shared" si="61"/>
        <v>Complete - No Adjustment</v>
      </c>
    </row>
    <row r="1198" spans="1:43" x14ac:dyDescent="0.2">
      <c r="A1198" s="46">
        <v>1188</v>
      </c>
      <c r="B1198" s="38" t="s">
        <v>266</v>
      </c>
      <c r="C1198" s="38" t="s">
        <v>414</v>
      </c>
      <c r="D1198" s="38" t="s">
        <v>413</v>
      </c>
      <c r="E1198" s="38" t="s">
        <v>3379</v>
      </c>
      <c r="F1198" s="38" t="s">
        <v>3039</v>
      </c>
      <c r="G1198" s="38" t="s">
        <v>111</v>
      </c>
      <c r="H1198" s="44">
        <v>44033</v>
      </c>
      <c r="I1198" s="44">
        <v>44041</v>
      </c>
      <c r="J1198">
        <v>125.19</v>
      </c>
      <c r="K1198">
        <v>22.86</v>
      </c>
      <c r="L1198" t="s">
        <v>3380</v>
      </c>
      <c r="M1198" s="45" t="s">
        <v>98</v>
      </c>
      <c r="N1198" s="38" t="s">
        <v>230</v>
      </c>
      <c r="O1198" s="38" t="s">
        <v>317</v>
      </c>
      <c r="P1198" s="38" t="s">
        <v>60</v>
      </c>
      <c r="Q1198" s="38" t="s">
        <v>41</v>
      </c>
      <c r="R1198" s="38" t="s">
        <v>270</v>
      </c>
      <c r="S1198" s="38" t="s">
        <v>3381</v>
      </c>
      <c r="T1198" s="38" t="s">
        <v>1869</v>
      </c>
      <c r="U1198" s="38"/>
      <c r="V1198" s="38"/>
      <c r="W1198" s="38"/>
      <c r="X1198" s="14"/>
      <c r="AN1198" s="7" t="s">
        <v>70</v>
      </c>
      <c r="AO1198" s="21">
        <f t="shared" si="60"/>
        <v>0</v>
      </c>
      <c r="AP1198" s="7">
        <f t="shared" si="58"/>
        <v>22.86</v>
      </c>
      <c r="AQ1198" s="31" t="str">
        <f t="shared" si="61"/>
        <v>Complete - No Adjustment</v>
      </c>
    </row>
    <row r="1199" spans="1:43" x14ac:dyDescent="0.2">
      <c r="A1199" s="46">
        <v>1189</v>
      </c>
      <c r="B1199" s="38" t="s">
        <v>266</v>
      </c>
      <c r="C1199" s="38" t="s">
        <v>414</v>
      </c>
      <c r="D1199" s="38" t="s">
        <v>413</v>
      </c>
      <c r="E1199" s="38" t="s">
        <v>3379</v>
      </c>
      <c r="F1199" s="38" t="s">
        <v>3039</v>
      </c>
      <c r="G1199" s="38" t="s">
        <v>111</v>
      </c>
      <c r="H1199" s="44">
        <v>44033</v>
      </c>
      <c r="I1199" s="44">
        <v>44041</v>
      </c>
      <c r="J1199">
        <v>125.19</v>
      </c>
      <c r="K1199">
        <v>28.84</v>
      </c>
      <c r="L1199" t="s">
        <v>3380</v>
      </c>
      <c r="M1199" s="45" t="s">
        <v>98</v>
      </c>
      <c r="N1199" s="38" t="s">
        <v>230</v>
      </c>
      <c r="O1199" s="38" t="s">
        <v>317</v>
      </c>
      <c r="P1199" s="38" t="s">
        <v>60</v>
      </c>
      <c r="Q1199" s="38" t="s">
        <v>41</v>
      </c>
      <c r="R1199" s="38" t="s">
        <v>270</v>
      </c>
      <c r="S1199" s="38" t="s">
        <v>3381</v>
      </c>
      <c r="T1199" s="38" t="s">
        <v>1869</v>
      </c>
      <c r="U1199" s="38"/>
      <c r="V1199" s="38"/>
      <c r="W1199" s="38"/>
      <c r="X1199" s="14"/>
      <c r="AB1199" s="14">
        <f>4.92</f>
        <v>4.92</v>
      </c>
      <c r="AN1199" s="7" t="s">
        <v>3382</v>
      </c>
      <c r="AO1199" s="21">
        <f t="shared" si="60"/>
        <v>4.92</v>
      </c>
      <c r="AP1199" s="7">
        <f t="shared" si="58"/>
        <v>23.92</v>
      </c>
      <c r="AQ1199" s="31" t="str">
        <f t="shared" si="61"/>
        <v>Complete - With Adjustment</v>
      </c>
    </row>
    <row r="1200" spans="1:43" x14ac:dyDescent="0.2">
      <c r="A1200" s="46">
        <v>1190</v>
      </c>
      <c r="B1200" s="38" t="s">
        <v>266</v>
      </c>
      <c r="C1200" s="38" t="s">
        <v>414</v>
      </c>
      <c r="D1200" s="38" t="s">
        <v>413</v>
      </c>
      <c r="E1200" s="38" t="s">
        <v>3379</v>
      </c>
      <c r="F1200" s="38" t="s">
        <v>3039</v>
      </c>
      <c r="G1200" s="38" t="s">
        <v>111</v>
      </c>
      <c r="H1200" s="44">
        <v>44033</v>
      </c>
      <c r="I1200" s="44">
        <v>44041</v>
      </c>
      <c r="J1200">
        <v>125.19</v>
      </c>
      <c r="K1200">
        <v>8.09</v>
      </c>
      <c r="L1200" t="s">
        <v>3380</v>
      </c>
      <c r="M1200" s="45" t="s">
        <v>98</v>
      </c>
      <c r="N1200" s="38" t="s">
        <v>230</v>
      </c>
      <c r="O1200" s="38" t="s">
        <v>317</v>
      </c>
      <c r="P1200" s="38" t="s">
        <v>60</v>
      </c>
      <c r="Q1200" s="38" t="s">
        <v>62</v>
      </c>
      <c r="R1200" s="38" t="s">
        <v>270</v>
      </c>
      <c r="S1200" s="38" t="s">
        <v>3381</v>
      </c>
      <c r="T1200" s="38" t="s">
        <v>3383</v>
      </c>
      <c r="U1200" s="38"/>
      <c r="V1200" s="38"/>
      <c r="W1200" s="38"/>
      <c r="X1200" s="14"/>
      <c r="AN1200" s="7" t="s">
        <v>70</v>
      </c>
      <c r="AO1200" s="21">
        <f t="shared" si="60"/>
        <v>0</v>
      </c>
      <c r="AP1200" s="7">
        <f t="shared" si="58"/>
        <v>8.09</v>
      </c>
      <c r="AQ1200" s="31" t="str">
        <f t="shared" si="61"/>
        <v>Complete - No Adjustment</v>
      </c>
    </row>
    <row r="1201" spans="1:43" x14ac:dyDescent="0.2">
      <c r="A1201" s="46">
        <v>1191</v>
      </c>
      <c r="B1201" s="38" t="s">
        <v>266</v>
      </c>
      <c r="C1201" s="38" t="s">
        <v>414</v>
      </c>
      <c r="D1201" s="38" t="s">
        <v>413</v>
      </c>
      <c r="E1201" s="38" t="s">
        <v>3379</v>
      </c>
      <c r="F1201" s="38" t="s">
        <v>3039</v>
      </c>
      <c r="G1201" s="38" t="s">
        <v>111</v>
      </c>
      <c r="H1201" s="44">
        <v>44033</v>
      </c>
      <c r="I1201" s="44">
        <v>44041</v>
      </c>
      <c r="J1201">
        <v>125.19</v>
      </c>
      <c r="K1201">
        <v>24.34</v>
      </c>
      <c r="L1201" t="s">
        <v>3380</v>
      </c>
      <c r="M1201" s="45" t="s">
        <v>98</v>
      </c>
      <c r="N1201" s="38" t="s">
        <v>230</v>
      </c>
      <c r="O1201" s="38" t="s">
        <v>317</v>
      </c>
      <c r="P1201" s="38" t="s">
        <v>60</v>
      </c>
      <c r="Q1201" s="38" t="s">
        <v>41</v>
      </c>
      <c r="R1201" s="38" t="s">
        <v>270</v>
      </c>
      <c r="S1201" s="38" t="s">
        <v>3381</v>
      </c>
      <c r="T1201" s="38" t="s">
        <v>1869</v>
      </c>
      <c r="U1201" s="38"/>
      <c r="V1201" s="38"/>
      <c r="W1201" s="38"/>
      <c r="X1201" s="14"/>
      <c r="AN1201" s="7" t="s">
        <v>70</v>
      </c>
      <c r="AO1201" s="21">
        <f t="shared" si="60"/>
        <v>0</v>
      </c>
      <c r="AP1201" s="7">
        <f t="shared" si="58"/>
        <v>24.34</v>
      </c>
      <c r="AQ1201" s="31" t="str">
        <f t="shared" si="61"/>
        <v>Complete - No Adjustment</v>
      </c>
    </row>
    <row r="1202" spans="1:43" x14ac:dyDescent="0.2">
      <c r="A1202" s="46">
        <v>1192</v>
      </c>
      <c r="B1202" s="38" t="s">
        <v>266</v>
      </c>
      <c r="C1202" s="38" t="s">
        <v>414</v>
      </c>
      <c r="D1202" s="38" t="s">
        <v>413</v>
      </c>
      <c r="E1202" s="38" t="s">
        <v>3379</v>
      </c>
      <c r="F1202" s="38" t="s">
        <v>3039</v>
      </c>
      <c r="G1202" s="38" t="s">
        <v>111</v>
      </c>
      <c r="H1202" s="44">
        <v>44033</v>
      </c>
      <c r="I1202" s="44">
        <v>44041</v>
      </c>
      <c r="J1202">
        <v>125.19</v>
      </c>
      <c r="K1202">
        <v>15</v>
      </c>
      <c r="L1202" t="s">
        <v>3380</v>
      </c>
      <c r="M1202" s="45" t="s">
        <v>98</v>
      </c>
      <c r="N1202" s="38" t="s">
        <v>230</v>
      </c>
      <c r="O1202" s="38" t="s">
        <v>317</v>
      </c>
      <c r="P1202" s="38" t="s">
        <v>60</v>
      </c>
      <c r="Q1202" s="38" t="s">
        <v>41</v>
      </c>
      <c r="R1202" s="38" t="s">
        <v>270</v>
      </c>
      <c r="S1202" s="38" t="s">
        <v>3381</v>
      </c>
      <c r="T1202" s="38" t="s">
        <v>3384</v>
      </c>
      <c r="U1202" s="38"/>
      <c r="V1202" s="38"/>
      <c r="W1202" s="38"/>
      <c r="X1202" s="14"/>
      <c r="AN1202" s="7" t="s">
        <v>155</v>
      </c>
      <c r="AO1202" s="21">
        <f t="shared" si="60"/>
        <v>0</v>
      </c>
      <c r="AP1202" s="7">
        <f t="shared" si="58"/>
        <v>15</v>
      </c>
      <c r="AQ1202" s="31" t="str">
        <f t="shared" si="61"/>
        <v>Complete - No Adjustment</v>
      </c>
    </row>
    <row r="1203" spans="1:43" x14ac:dyDescent="0.2">
      <c r="A1203" s="46">
        <v>1193</v>
      </c>
      <c r="B1203" s="38" t="s">
        <v>266</v>
      </c>
      <c r="C1203" s="38" t="s">
        <v>2523</v>
      </c>
      <c r="D1203" s="38" t="s">
        <v>2524</v>
      </c>
      <c r="E1203" s="38" t="s">
        <v>3385</v>
      </c>
      <c r="F1203" s="38" t="s">
        <v>2960</v>
      </c>
      <c r="G1203" s="38" t="s">
        <v>111</v>
      </c>
      <c r="H1203" s="44">
        <v>44033</v>
      </c>
      <c r="I1203" s="44">
        <v>44036</v>
      </c>
      <c r="J1203">
        <v>15</v>
      </c>
      <c r="K1203">
        <v>15</v>
      </c>
      <c r="L1203" t="s">
        <v>3386</v>
      </c>
      <c r="M1203" s="45" t="s">
        <v>98</v>
      </c>
      <c r="N1203" s="38" t="s">
        <v>230</v>
      </c>
      <c r="O1203" s="38" t="s">
        <v>397</v>
      </c>
      <c r="P1203" s="38" t="s">
        <v>60</v>
      </c>
      <c r="Q1203" s="38" t="s">
        <v>41</v>
      </c>
      <c r="R1203" s="38" t="s">
        <v>270</v>
      </c>
      <c r="S1203" s="38" t="s">
        <v>3387</v>
      </c>
      <c r="T1203" s="38" t="s">
        <v>3388</v>
      </c>
      <c r="U1203" s="38"/>
      <c r="V1203" s="38"/>
      <c r="W1203" s="38"/>
      <c r="X1203" s="14"/>
      <c r="AN1203" s="7" t="s">
        <v>155</v>
      </c>
      <c r="AO1203" s="21">
        <f t="shared" si="60"/>
        <v>0</v>
      </c>
      <c r="AP1203" s="7">
        <f t="shared" si="58"/>
        <v>15</v>
      </c>
      <c r="AQ1203" s="31" t="str">
        <f t="shared" si="61"/>
        <v>Complete - No Adjustment</v>
      </c>
    </row>
    <row r="1204" spans="1:43" x14ac:dyDescent="0.2">
      <c r="A1204" s="46">
        <v>1194</v>
      </c>
      <c r="B1204" s="38" t="s">
        <v>266</v>
      </c>
      <c r="C1204" s="38" t="s">
        <v>2523</v>
      </c>
      <c r="D1204" s="38" t="s">
        <v>2524</v>
      </c>
      <c r="E1204" s="38" t="s">
        <v>3389</v>
      </c>
      <c r="F1204" s="38" t="s">
        <v>3130</v>
      </c>
      <c r="G1204" s="38" t="s">
        <v>111</v>
      </c>
      <c r="H1204" s="44">
        <v>44013</v>
      </c>
      <c r="I1204" s="44">
        <v>44018</v>
      </c>
      <c r="J1204">
        <v>49.78</v>
      </c>
      <c r="K1204">
        <v>49.78</v>
      </c>
      <c r="L1204" t="s">
        <v>3390</v>
      </c>
      <c r="M1204" s="45" t="s">
        <v>98</v>
      </c>
      <c r="N1204" s="38" t="s">
        <v>230</v>
      </c>
      <c r="O1204" s="38" t="s">
        <v>397</v>
      </c>
      <c r="P1204" s="38" t="s">
        <v>60</v>
      </c>
      <c r="Q1204" s="38" t="s">
        <v>104</v>
      </c>
      <c r="R1204" s="38" t="s">
        <v>270</v>
      </c>
      <c r="S1204" s="38" t="s">
        <v>3391</v>
      </c>
      <c r="T1204" s="38" t="s">
        <v>3392</v>
      </c>
      <c r="U1204" s="38"/>
      <c r="V1204" s="38"/>
      <c r="W1204" s="38"/>
      <c r="X1204" s="14"/>
      <c r="AN1204" s="7" t="s">
        <v>70</v>
      </c>
      <c r="AO1204" s="21">
        <f t="shared" si="60"/>
        <v>0</v>
      </c>
      <c r="AP1204" s="7">
        <f t="shared" si="58"/>
        <v>49.78</v>
      </c>
      <c r="AQ1204" s="31" t="str">
        <f t="shared" si="61"/>
        <v>Complete - No Adjustment</v>
      </c>
    </row>
    <row r="1205" spans="1:43" x14ac:dyDescent="0.2">
      <c r="A1205" s="46">
        <v>1195</v>
      </c>
      <c r="B1205" s="38" t="s">
        <v>266</v>
      </c>
      <c r="C1205" s="38" t="s">
        <v>420</v>
      </c>
      <c r="D1205" s="38" t="s">
        <v>419</v>
      </c>
      <c r="E1205" s="38" t="s">
        <v>3393</v>
      </c>
      <c r="F1205" s="38" t="s">
        <v>3018</v>
      </c>
      <c r="G1205" s="38" t="s">
        <v>111</v>
      </c>
      <c r="H1205" s="44">
        <v>44014</v>
      </c>
      <c r="I1205" s="44">
        <v>44028</v>
      </c>
      <c r="J1205">
        <v>375</v>
      </c>
      <c r="K1205">
        <v>375</v>
      </c>
      <c r="L1205" t="s">
        <v>3394</v>
      </c>
      <c r="M1205" s="45" t="s">
        <v>98</v>
      </c>
      <c r="N1205" s="38" t="s">
        <v>230</v>
      </c>
      <c r="O1205" s="38" t="s">
        <v>405</v>
      </c>
      <c r="P1205" s="38" t="s">
        <v>60</v>
      </c>
      <c r="Q1205" s="38" t="s">
        <v>82</v>
      </c>
      <c r="R1205" s="38" t="s">
        <v>270</v>
      </c>
      <c r="S1205" s="38" t="s">
        <v>3395</v>
      </c>
      <c r="T1205" s="38" t="s">
        <v>3396</v>
      </c>
      <c r="U1205" s="38"/>
      <c r="V1205" s="38"/>
      <c r="W1205" s="38"/>
      <c r="X1205" s="14"/>
      <c r="AL1205" s="14">
        <f>375</f>
        <v>375</v>
      </c>
      <c r="AN1205" s="7" t="s">
        <v>146</v>
      </c>
      <c r="AO1205" s="21">
        <f t="shared" si="60"/>
        <v>375</v>
      </c>
      <c r="AP1205" s="7">
        <f t="shared" si="58"/>
        <v>0</v>
      </c>
      <c r="AQ1205" s="31" t="str">
        <f t="shared" si="61"/>
        <v>Complete - With Adjustment</v>
      </c>
    </row>
    <row r="1206" spans="1:43" x14ac:dyDescent="0.2">
      <c r="A1206" s="46">
        <v>1196</v>
      </c>
      <c r="B1206" s="38" t="s">
        <v>266</v>
      </c>
      <c r="C1206" s="38" t="s">
        <v>609</v>
      </c>
      <c r="D1206" s="38" t="s">
        <v>608</v>
      </c>
      <c r="E1206" s="38" t="s">
        <v>3397</v>
      </c>
      <c r="F1206" s="38" t="s">
        <v>3171</v>
      </c>
      <c r="G1206" s="38" t="s">
        <v>111</v>
      </c>
      <c r="H1206" s="44">
        <v>44011</v>
      </c>
      <c r="I1206" s="44">
        <v>44014</v>
      </c>
      <c r="J1206">
        <v>406.77</v>
      </c>
      <c r="K1206">
        <v>39.049999999999997</v>
      </c>
      <c r="L1206" t="s">
        <v>3398</v>
      </c>
      <c r="M1206" s="45" t="s">
        <v>98</v>
      </c>
      <c r="N1206" s="38" t="s">
        <v>230</v>
      </c>
      <c r="O1206" s="38" t="s">
        <v>303</v>
      </c>
      <c r="P1206" s="38" t="s">
        <v>60</v>
      </c>
      <c r="Q1206" s="38" t="s">
        <v>59</v>
      </c>
      <c r="R1206" s="38" t="s">
        <v>270</v>
      </c>
      <c r="S1206" s="38" t="s">
        <v>3399</v>
      </c>
      <c r="T1206" s="38" t="s">
        <v>3400</v>
      </c>
      <c r="U1206" s="38"/>
      <c r="V1206" s="38"/>
      <c r="W1206" s="38"/>
      <c r="X1206" s="14"/>
      <c r="AN1206" s="7" t="s">
        <v>70</v>
      </c>
      <c r="AO1206" s="21">
        <f t="shared" si="60"/>
        <v>0</v>
      </c>
      <c r="AP1206" s="7">
        <f t="shared" si="58"/>
        <v>39.049999999999997</v>
      </c>
      <c r="AQ1206" s="31" t="str">
        <f t="shared" si="61"/>
        <v>Complete - No Adjustment</v>
      </c>
    </row>
    <row r="1207" spans="1:43" x14ac:dyDescent="0.2">
      <c r="A1207" s="46">
        <v>1197</v>
      </c>
      <c r="B1207" s="38" t="s">
        <v>266</v>
      </c>
      <c r="C1207" s="38" t="s">
        <v>609</v>
      </c>
      <c r="D1207" s="38" t="s">
        <v>608</v>
      </c>
      <c r="E1207" s="38" t="s">
        <v>3397</v>
      </c>
      <c r="F1207" s="38" t="s">
        <v>3171</v>
      </c>
      <c r="G1207" s="38" t="s">
        <v>111</v>
      </c>
      <c r="H1207" s="44">
        <v>44011</v>
      </c>
      <c r="I1207" s="44">
        <v>44014</v>
      </c>
      <c r="J1207">
        <v>406.77</v>
      </c>
      <c r="K1207">
        <v>7.72</v>
      </c>
      <c r="L1207" t="s">
        <v>3398</v>
      </c>
      <c r="M1207" s="45" t="s">
        <v>98</v>
      </c>
      <c r="N1207" s="38" t="s">
        <v>230</v>
      </c>
      <c r="O1207" s="38" t="s">
        <v>303</v>
      </c>
      <c r="P1207" s="38" t="s">
        <v>60</v>
      </c>
      <c r="Q1207" s="38" t="s">
        <v>41</v>
      </c>
      <c r="R1207" s="38" t="s">
        <v>270</v>
      </c>
      <c r="S1207" s="38" t="s">
        <v>3399</v>
      </c>
      <c r="T1207" s="38" t="s">
        <v>3401</v>
      </c>
      <c r="U1207" s="38"/>
      <c r="V1207" s="38"/>
      <c r="W1207" s="38"/>
      <c r="X1207" s="14"/>
      <c r="AN1207" s="7" t="s">
        <v>155</v>
      </c>
      <c r="AO1207" s="21">
        <f t="shared" si="60"/>
        <v>0</v>
      </c>
      <c r="AP1207" s="7">
        <f t="shared" si="58"/>
        <v>7.72</v>
      </c>
      <c r="AQ1207" s="31" t="str">
        <f t="shared" si="61"/>
        <v>Complete - No Adjustment</v>
      </c>
    </row>
    <row r="1208" spans="1:43" x14ac:dyDescent="0.2">
      <c r="A1208" s="46">
        <v>1198</v>
      </c>
      <c r="B1208" s="38" t="s">
        <v>266</v>
      </c>
      <c r="C1208" s="38" t="s">
        <v>609</v>
      </c>
      <c r="D1208" s="38" t="s">
        <v>608</v>
      </c>
      <c r="E1208" s="38" t="s">
        <v>3397</v>
      </c>
      <c r="F1208" s="38" t="s">
        <v>3171</v>
      </c>
      <c r="G1208" s="38" t="s">
        <v>111</v>
      </c>
      <c r="H1208" s="44">
        <v>44011</v>
      </c>
      <c r="I1208" s="44">
        <v>44014</v>
      </c>
      <c r="J1208">
        <v>406.77</v>
      </c>
      <c r="K1208">
        <v>75</v>
      </c>
      <c r="L1208" t="s">
        <v>3398</v>
      </c>
      <c r="M1208" s="45" t="s">
        <v>98</v>
      </c>
      <c r="N1208" s="38" t="s">
        <v>230</v>
      </c>
      <c r="O1208" s="38" t="s">
        <v>303</v>
      </c>
      <c r="P1208" s="38" t="s">
        <v>60</v>
      </c>
      <c r="Q1208" s="38" t="s">
        <v>59</v>
      </c>
      <c r="R1208" s="38" t="s">
        <v>270</v>
      </c>
      <c r="S1208" s="38" t="s">
        <v>3399</v>
      </c>
      <c r="T1208" s="38" t="s">
        <v>3402</v>
      </c>
      <c r="U1208" s="38"/>
      <c r="V1208" s="38"/>
      <c r="W1208" s="38"/>
      <c r="X1208" s="14"/>
      <c r="AN1208" s="7" t="s">
        <v>70</v>
      </c>
      <c r="AO1208" s="21">
        <f t="shared" si="60"/>
        <v>0</v>
      </c>
      <c r="AP1208" s="7">
        <f t="shared" si="58"/>
        <v>75</v>
      </c>
      <c r="AQ1208" s="31" t="str">
        <f t="shared" si="61"/>
        <v>Complete - No Adjustment</v>
      </c>
    </row>
    <row r="1209" spans="1:43" x14ac:dyDescent="0.2">
      <c r="A1209" s="46">
        <v>1199</v>
      </c>
      <c r="B1209" s="38" t="s">
        <v>266</v>
      </c>
      <c r="C1209" s="38" t="s">
        <v>609</v>
      </c>
      <c r="D1209" s="38" t="s">
        <v>608</v>
      </c>
      <c r="E1209" s="38" t="s">
        <v>3397</v>
      </c>
      <c r="F1209" s="38" t="s">
        <v>3171</v>
      </c>
      <c r="G1209" s="38" t="s">
        <v>111</v>
      </c>
      <c r="H1209" s="44">
        <v>44011</v>
      </c>
      <c r="I1209" s="44">
        <v>44014</v>
      </c>
      <c r="J1209">
        <v>406.77</v>
      </c>
      <c r="K1209">
        <v>285</v>
      </c>
      <c r="L1209" t="s">
        <v>3398</v>
      </c>
      <c r="M1209" s="45" t="s">
        <v>98</v>
      </c>
      <c r="N1209" s="38" t="s">
        <v>230</v>
      </c>
      <c r="O1209" s="38" t="s">
        <v>303</v>
      </c>
      <c r="P1209" s="38" t="s">
        <v>60</v>
      </c>
      <c r="Q1209" s="38" t="s">
        <v>59</v>
      </c>
      <c r="R1209" s="38" t="s">
        <v>270</v>
      </c>
      <c r="S1209" s="38" t="s">
        <v>3399</v>
      </c>
      <c r="T1209" s="38" t="s">
        <v>3403</v>
      </c>
      <c r="U1209" s="38"/>
      <c r="V1209" s="38"/>
      <c r="W1209" s="38"/>
      <c r="X1209" s="14"/>
      <c r="AN1209" s="7" t="s">
        <v>70</v>
      </c>
      <c r="AO1209" s="21">
        <f t="shared" si="60"/>
        <v>0</v>
      </c>
      <c r="AP1209" s="7">
        <f t="shared" si="58"/>
        <v>285</v>
      </c>
      <c r="AQ1209" s="31" t="str">
        <f t="shared" si="61"/>
        <v>Complete - No Adjustment</v>
      </c>
    </row>
    <row r="1210" spans="1:43" x14ac:dyDescent="0.2">
      <c r="A1210" s="46">
        <v>1200</v>
      </c>
      <c r="B1210" s="38" t="s">
        <v>266</v>
      </c>
      <c r="C1210" s="38" t="s">
        <v>727</v>
      </c>
      <c r="D1210" s="38" t="s">
        <v>726</v>
      </c>
      <c r="E1210" s="38" t="s">
        <v>3404</v>
      </c>
      <c r="F1210" s="38" t="s">
        <v>2972</v>
      </c>
      <c r="G1210" s="38" t="s">
        <v>111</v>
      </c>
      <c r="H1210" s="44">
        <v>44035</v>
      </c>
      <c r="I1210" s="44">
        <v>44039</v>
      </c>
      <c r="J1210">
        <v>7.87</v>
      </c>
      <c r="K1210">
        <v>7.87</v>
      </c>
      <c r="L1210" t="s">
        <v>3405</v>
      </c>
      <c r="M1210" s="45" t="s">
        <v>98</v>
      </c>
      <c r="N1210" s="38" t="s">
        <v>230</v>
      </c>
      <c r="O1210" s="38" t="s">
        <v>397</v>
      </c>
      <c r="P1210" s="38" t="s">
        <v>60</v>
      </c>
      <c r="Q1210" s="38" t="s">
        <v>41</v>
      </c>
      <c r="R1210" s="38" t="s">
        <v>270</v>
      </c>
      <c r="S1210" s="38" t="s">
        <v>3406</v>
      </c>
      <c r="T1210" s="38" t="s">
        <v>3407</v>
      </c>
      <c r="U1210" s="38"/>
      <c r="V1210" s="38"/>
      <c r="W1210" s="38"/>
      <c r="X1210" s="14"/>
      <c r="AN1210" s="7" t="s">
        <v>155</v>
      </c>
      <c r="AO1210" s="21">
        <f t="shared" si="60"/>
        <v>0</v>
      </c>
      <c r="AP1210" s="7">
        <f t="shared" si="58"/>
        <v>7.87</v>
      </c>
      <c r="AQ1210" s="31" t="str">
        <f t="shared" si="61"/>
        <v>Complete - No Adjustment</v>
      </c>
    </row>
    <row r="1211" spans="1:43" x14ac:dyDescent="0.2">
      <c r="A1211" s="46">
        <v>1201</v>
      </c>
      <c r="B1211" s="38" t="s">
        <v>266</v>
      </c>
      <c r="C1211" s="38" t="s">
        <v>550</v>
      </c>
      <c r="D1211" s="38" t="s">
        <v>549</v>
      </c>
      <c r="E1211" s="38" t="s">
        <v>3408</v>
      </c>
      <c r="F1211" s="38" t="s">
        <v>3130</v>
      </c>
      <c r="G1211" s="38" t="s">
        <v>111</v>
      </c>
      <c r="H1211" s="44">
        <v>44013</v>
      </c>
      <c r="I1211" s="44">
        <v>44018</v>
      </c>
      <c r="J1211">
        <v>240</v>
      </c>
      <c r="K1211">
        <v>240</v>
      </c>
      <c r="L1211" t="s">
        <v>3409</v>
      </c>
      <c r="M1211" s="45" t="s">
        <v>98</v>
      </c>
      <c r="N1211" s="38" t="s">
        <v>230</v>
      </c>
      <c r="O1211" s="38" t="s">
        <v>334</v>
      </c>
      <c r="P1211" s="38" t="s">
        <v>60</v>
      </c>
      <c r="Q1211" s="38" t="s">
        <v>59</v>
      </c>
      <c r="R1211" s="38" t="s">
        <v>270</v>
      </c>
      <c r="S1211" s="38" t="s">
        <v>3410</v>
      </c>
      <c r="T1211" s="38" t="s">
        <v>3411</v>
      </c>
      <c r="U1211" s="38"/>
      <c r="V1211" s="38"/>
      <c r="W1211" s="38"/>
      <c r="X1211" s="14"/>
      <c r="AN1211" s="7" t="s">
        <v>70</v>
      </c>
      <c r="AO1211" s="21">
        <f t="shared" si="60"/>
        <v>0</v>
      </c>
      <c r="AP1211" s="7">
        <f t="shared" si="58"/>
        <v>240</v>
      </c>
      <c r="AQ1211" s="31" t="str">
        <f t="shared" si="61"/>
        <v>Complete - No Adjustment</v>
      </c>
    </row>
    <row r="1212" spans="1:43" x14ac:dyDescent="0.2">
      <c r="A1212" s="46">
        <v>1202</v>
      </c>
      <c r="B1212" s="38" t="s">
        <v>266</v>
      </c>
      <c r="C1212" s="38" t="s">
        <v>427</v>
      </c>
      <c r="D1212" s="38" t="s">
        <v>811</v>
      </c>
      <c r="E1212" s="38" t="s">
        <v>3412</v>
      </c>
      <c r="F1212" s="38" t="s">
        <v>3123</v>
      </c>
      <c r="G1212" s="38" t="s">
        <v>111</v>
      </c>
      <c r="H1212" s="44">
        <v>44033</v>
      </c>
      <c r="I1212" s="44">
        <v>44034</v>
      </c>
      <c r="J1212">
        <v>12.98</v>
      </c>
      <c r="K1212">
        <v>12.98</v>
      </c>
      <c r="L1212" t="s">
        <v>3413</v>
      </c>
      <c r="M1212" s="45" t="s">
        <v>98</v>
      </c>
      <c r="N1212" s="38" t="s">
        <v>230</v>
      </c>
      <c r="O1212" s="38" t="s">
        <v>320</v>
      </c>
      <c r="P1212" s="38" t="s">
        <v>60</v>
      </c>
      <c r="Q1212" s="38" t="s">
        <v>41</v>
      </c>
      <c r="R1212" s="38" t="s">
        <v>270</v>
      </c>
      <c r="S1212" s="38" t="s">
        <v>3414</v>
      </c>
      <c r="T1212" s="38" t="s">
        <v>3415</v>
      </c>
      <c r="U1212" s="38"/>
      <c r="V1212" s="38"/>
      <c r="W1212" s="38"/>
      <c r="X1212" s="14"/>
      <c r="AN1212" s="7" t="s">
        <v>155</v>
      </c>
      <c r="AO1212" s="21">
        <f t="shared" si="60"/>
        <v>0</v>
      </c>
      <c r="AP1212" s="7">
        <f t="shared" si="58"/>
        <v>12.98</v>
      </c>
      <c r="AQ1212" s="31" t="str">
        <f t="shared" si="61"/>
        <v>Complete - No Adjustment</v>
      </c>
    </row>
    <row r="1213" spans="1:43" x14ac:dyDescent="0.2">
      <c r="A1213" s="46">
        <v>1203</v>
      </c>
      <c r="B1213" s="38" t="s">
        <v>266</v>
      </c>
      <c r="C1213" s="38" t="s">
        <v>428</v>
      </c>
      <c r="D1213" s="38" t="s">
        <v>2570</v>
      </c>
      <c r="E1213" s="38" t="s">
        <v>3416</v>
      </c>
      <c r="F1213" s="38" t="s">
        <v>2972</v>
      </c>
      <c r="G1213" s="38" t="s">
        <v>111</v>
      </c>
      <c r="H1213" s="44">
        <v>44035</v>
      </c>
      <c r="I1213" s="44">
        <v>44039</v>
      </c>
      <c r="J1213">
        <v>14.06</v>
      </c>
      <c r="K1213">
        <v>4.22</v>
      </c>
      <c r="L1213" t="s">
        <v>3417</v>
      </c>
      <c r="M1213" s="45" t="s">
        <v>97</v>
      </c>
      <c r="N1213" s="38" t="s">
        <v>230</v>
      </c>
      <c r="O1213" s="38" t="s">
        <v>50</v>
      </c>
      <c r="P1213" s="38" t="s">
        <v>72</v>
      </c>
      <c r="Q1213" s="38" t="s">
        <v>41</v>
      </c>
      <c r="R1213" s="38" t="s">
        <v>270</v>
      </c>
      <c r="S1213" s="38" t="s">
        <v>3418</v>
      </c>
      <c r="T1213" s="38" t="s">
        <v>3419</v>
      </c>
      <c r="U1213" s="38"/>
      <c r="V1213" s="38"/>
      <c r="W1213" s="38"/>
      <c r="X1213" s="14"/>
      <c r="AN1213" s="7" t="s">
        <v>155</v>
      </c>
      <c r="AO1213" s="21">
        <f t="shared" si="60"/>
        <v>0</v>
      </c>
      <c r="AP1213" s="7">
        <f t="shared" si="58"/>
        <v>4.22</v>
      </c>
      <c r="AQ1213" s="31" t="str">
        <f t="shared" si="61"/>
        <v>Complete - No Adjustment</v>
      </c>
    </row>
    <row r="1214" spans="1:43" x14ac:dyDescent="0.2">
      <c r="A1214" s="46">
        <v>1204</v>
      </c>
      <c r="B1214" s="38" t="s">
        <v>266</v>
      </c>
      <c r="C1214" s="38" t="s">
        <v>428</v>
      </c>
      <c r="D1214" s="38" t="s">
        <v>2570</v>
      </c>
      <c r="E1214" s="38" t="s">
        <v>3416</v>
      </c>
      <c r="F1214" s="38" t="s">
        <v>2972</v>
      </c>
      <c r="G1214" s="38" t="s">
        <v>111</v>
      </c>
      <c r="H1214" s="44">
        <v>44035</v>
      </c>
      <c r="I1214" s="44">
        <v>44039</v>
      </c>
      <c r="J1214">
        <v>14.06</v>
      </c>
      <c r="K1214">
        <v>9.84</v>
      </c>
      <c r="L1214" t="s">
        <v>3417</v>
      </c>
      <c r="M1214" s="45" t="s">
        <v>98</v>
      </c>
      <c r="N1214" s="38" t="s">
        <v>230</v>
      </c>
      <c r="O1214" s="38" t="s">
        <v>356</v>
      </c>
      <c r="P1214" s="38" t="s">
        <v>60</v>
      </c>
      <c r="Q1214" s="38" t="s">
        <v>41</v>
      </c>
      <c r="R1214" s="38" t="s">
        <v>270</v>
      </c>
      <c r="S1214" s="38" t="s">
        <v>3418</v>
      </c>
      <c r="T1214" s="38" t="s">
        <v>3419</v>
      </c>
      <c r="U1214" s="38"/>
      <c r="V1214" s="38"/>
      <c r="W1214" s="38"/>
      <c r="X1214" s="14"/>
      <c r="AN1214" s="7" t="s">
        <v>155</v>
      </c>
      <c r="AO1214" s="21">
        <f t="shared" si="60"/>
        <v>0</v>
      </c>
      <c r="AP1214" s="7">
        <f t="shared" si="58"/>
        <v>9.84</v>
      </c>
      <c r="AQ1214" s="31" t="str">
        <f t="shared" si="61"/>
        <v>Complete - No Adjustment</v>
      </c>
    </row>
    <row r="1215" spans="1:43" x14ac:dyDescent="0.2">
      <c r="A1215" s="46">
        <v>1205</v>
      </c>
      <c r="B1215" s="38" t="s">
        <v>266</v>
      </c>
      <c r="C1215" s="38" t="s">
        <v>710</v>
      </c>
      <c r="D1215" s="38" t="s">
        <v>709</v>
      </c>
      <c r="E1215" s="38" t="s">
        <v>3420</v>
      </c>
      <c r="F1215" s="38" t="s">
        <v>3018</v>
      </c>
      <c r="G1215" s="38" t="s">
        <v>111</v>
      </c>
      <c r="H1215" s="44">
        <v>44022</v>
      </c>
      <c r="I1215" s="44">
        <v>44028</v>
      </c>
      <c r="J1215">
        <v>24.46</v>
      </c>
      <c r="K1215">
        <v>10.99</v>
      </c>
      <c r="L1215" t="s">
        <v>3421</v>
      </c>
      <c r="M1215" s="45" t="s">
        <v>98</v>
      </c>
      <c r="N1215" s="38" t="s">
        <v>230</v>
      </c>
      <c r="O1215" s="38" t="s">
        <v>288</v>
      </c>
      <c r="P1215" s="38" t="s">
        <v>60</v>
      </c>
      <c r="Q1215" s="38" t="s">
        <v>41</v>
      </c>
      <c r="R1215" s="38" t="s">
        <v>270</v>
      </c>
      <c r="S1215" s="38" t="s">
        <v>3422</v>
      </c>
      <c r="T1215" s="38" t="s">
        <v>3423</v>
      </c>
      <c r="U1215" s="38"/>
      <c r="V1215" s="38"/>
      <c r="W1215" s="38"/>
      <c r="X1215" s="14"/>
      <c r="AN1215" s="7" t="s">
        <v>155</v>
      </c>
      <c r="AO1215" s="21">
        <f t="shared" si="60"/>
        <v>0</v>
      </c>
      <c r="AP1215" s="7">
        <f t="shared" si="58"/>
        <v>10.99</v>
      </c>
      <c r="AQ1215" s="31" t="str">
        <f t="shared" si="61"/>
        <v>Complete - No Adjustment</v>
      </c>
    </row>
    <row r="1216" spans="1:43" x14ac:dyDescent="0.2">
      <c r="A1216" s="46">
        <v>1206</v>
      </c>
      <c r="B1216" s="38" t="s">
        <v>266</v>
      </c>
      <c r="C1216" s="38" t="s">
        <v>710</v>
      </c>
      <c r="D1216" s="38" t="s">
        <v>709</v>
      </c>
      <c r="E1216" s="38" t="s">
        <v>3420</v>
      </c>
      <c r="F1216" s="38" t="s">
        <v>3018</v>
      </c>
      <c r="G1216" s="38" t="s">
        <v>111</v>
      </c>
      <c r="H1216" s="44">
        <v>44022</v>
      </c>
      <c r="I1216" s="44">
        <v>44028</v>
      </c>
      <c r="J1216">
        <v>24.46</v>
      </c>
      <c r="K1216">
        <v>13.47</v>
      </c>
      <c r="L1216" t="s">
        <v>3421</v>
      </c>
      <c r="M1216" s="45" t="s">
        <v>98</v>
      </c>
      <c r="N1216" s="38" t="s">
        <v>230</v>
      </c>
      <c r="O1216" s="38" t="s">
        <v>288</v>
      </c>
      <c r="P1216" s="38" t="s">
        <v>60</v>
      </c>
      <c r="Q1216" s="38" t="s">
        <v>41</v>
      </c>
      <c r="R1216" s="38" t="s">
        <v>270</v>
      </c>
      <c r="S1216" s="38" t="s">
        <v>3422</v>
      </c>
      <c r="T1216" s="38" t="s">
        <v>3423</v>
      </c>
      <c r="U1216" s="38"/>
      <c r="V1216" s="38"/>
      <c r="W1216" s="38"/>
      <c r="X1216" s="14"/>
      <c r="AN1216" s="7" t="s">
        <v>155</v>
      </c>
      <c r="AO1216" s="21">
        <f t="shared" si="60"/>
        <v>0</v>
      </c>
      <c r="AP1216" s="7">
        <f t="shared" si="58"/>
        <v>13.47</v>
      </c>
      <c r="AQ1216" s="31" t="str">
        <f t="shared" si="61"/>
        <v>Complete - No Adjustment</v>
      </c>
    </row>
    <row r="1217" spans="1:43" x14ac:dyDescent="0.2">
      <c r="A1217" s="46">
        <v>1207</v>
      </c>
      <c r="B1217" s="38" t="s">
        <v>266</v>
      </c>
      <c r="C1217" s="38" t="s">
        <v>710</v>
      </c>
      <c r="D1217" s="38" t="s">
        <v>709</v>
      </c>
      <c r="E1217" s="38" t="s">
        <v>3424</v>
      </c>
      <c r="F1217" s="38" t="s">
        <v>3179</v>
      </c>
      <c r="G1217" s="38" t="s">
        <v>111</v>
      </c>
      <c r="H1217" s="44">
        <v>44022</v>
      </c>
      <c r="I1217" s="44">
        <v>44025</v>
      </c>
      <c r="J1217">
        <v>75.77</v>
      </c>
      <c r="K1217">
        <v>75.77</v>
      </c>
      <c r="L1217" t="s">
        <v>3425</v>
      </c>
      <c r="M1217" s="45" t="s">
        <v>98</v>
      </c>
      <c r="N1217" s="38" t="s">
        <v>230</v>
      </c>
      <c r="O1217" s="38" t="s">
        <v>288</v>
      </c>
      <c r="P1217" s="38" t="s">
        <v>60</v>
      </c>
      <c r="Q1217" s="38" t="s">
        <v>65</v>
      </c>
      <c r="R1217" s="38" t="s">
        <v>270</v>
      </c>
      <c r="S1217" s="38" t="s">
        <v>3426</v>
      </c>
      <c r="T1217" s="38" t="s">
        <v>3427</v>
      </c>
      <c r="U1217" s="38"/>
      <c r="V1217" s="38"/>
      <c r="W1217" s="38"/>
      <c r="X1217" s="14"/>
      <c r="AN1217" s="7" t="s">
        <v>70</v>
      </c>
      <c r="AO1217" s="21">
        <f t="shared" si="60"/>
        <v>0</v>
      </c>
      <c r="AP1217" s="7">
        <f t="shared" si="58"/>
        <v>75.77</v>
      </c>
      <c r="AQ1217" s="31" t="str">
        <f t="shared" si="61"/>
        <v>Complete - No Adjustment</v>
      </c>
    </row>
    <row r="1218" spans="1:43" x14ac:dyDescent="0.2">
      <c r="A1218" s="46">
        <v>1208</v>
      </c>
      <c r="B1218" s="38" t="s">
        <v>266</v>
      </c>
      <c r="C1218" s="38" t="s">
        <v>431</v>
      </c>
      <c r="D1218" s="38" t="s">
        <v>430</v>
      </c>
      <c r="E1218" s="38" t="s">
        <v>3428</v>
      </c>
      <c r="F1218" s="38" t="s">
        <v>3061</v>
      </c>
      <c r="G1218" s="38" t="s">
        <v>111</v>
      </c>
      <c r="H1218" s="44">
        <v>44028</v>
      </c>
      <c r="I1218" s="44">
        <v>44029</v>
      </c>
      <c r="J1218">
        <v>293.05</v>
      </c>
      <c r="K1218">
        <v>35</v>
      </c>
      <c r="L1218" t="s">
        <v>3429</v>
      </c>
      <c r="M1218" s="45" t="s">
        <v>98</v>
      </c>
      <c r="N1218" s="38" t="s">
        <v>230</v>
      </c>
      <c r="O1218" s="38" t="s">
        <v>78</v>
      </c>
      <c r="P1218" s="38" t="s">
        <v>60</v>
      </c>
      <c r="Q1218" s="38" t="s">
        <v>56</v>
      </c>
      <c r="R1218" s="38" t="s">
        <v>270</v>
      </c>
      <c r="S1218" s="38" t="s">
        <v>3430</v>
      </c>
      <c r="T1218" s="38" t="s">
        <v>3431</v>
      </c>
      <c r="U1218" s="38"/>
      <c r="V1218" s="38"/>
      <c r="W1218" s="38"/>
      <c r="X1218" s="14"/>
      <c r="AN1218" s="7" t="s">
        <v>70</v>
      </c>
      <c r="AO1218" s="21">
        <f t="shared" si="60"/>
        <v>0</v>
      </c>
      <c r="AP1218" s="7">
        <f t="shared" si="58"/>
        <v>35</v>
      </c>
      <c r="AQ1218" s="31" t="str">
        <f t="shared" si="61"/>
        <v>Complete - No Adjustment</v>
      </c>
    </row>
    <row r="1219" spans="1:43" x14ac:dyDescent="0.2">
      <c r="A1219" s="46">
        <v>1209</v>
      </c>
      <c r="B1219" s="38" t="s">
        <v>266</v>
      </c>
      <c r="C1219" s="38" t="s">
        <v>431</v>
      </c>
      <c r="D1219" s="38" t="s">
        <v>430</v>
      </c>
      <c r="E1219" s="38" t="s">
        <v>3428</v>
      </c>
      <c r="F1219" s="38" t="s">
        <v>3061</v>
      </c>
      <c r="G1219" s="38" t="s">
        <v>111</v>
      </c>
      <c r="H1219" s="44">
        <v>44028</v>
      </c>
      <c r="I1219" s="44">
        <v>44029</v>
      </c>
      <c r="J1219">
        <v>293.05</v>
      </c>
      <c r="K1219">
        <v>219</v>
      </c>
      <c r="L1219" t="s">
        <v>3429</v>
      </c>
      <c r="M1219" s="45" t="s">
        <v>98</v>
      </c>
      <c r="N1219" s="38" t="s">
        <v>230</v>
      </c>
      <c r="O1219" s="38" t="s">
        <v>78</v>
      </c>
      <c r="P1219" s="38" t="s">
        <v>60</v>
      </c>
      <c r="Q1219" s="38" t="s">
        <v>56</v>
      </c>
      <c r="R1219" s="38" t="s">
        <v>270</v>
      </c>
      <c r="S1219" s="38" t="s">
        <v>3430</v>
      </c>
      <c r="T1219" s="38" t="s">
        <v>3432</v>
      </c>
      <c r="U1219" s="38"/>
      <c r="V1219" s="38"/>
      <c r="W1219" s="38"/>
      <c r="X1219" s="14"/>
      <c r="AN1219" s="7" t="s">
        <v>70</v>
      </c>
      <c r="AO1219" s="21">
        <f t="shared" si="60"/>
        <v>0</v>
      </c>
      <c r="AP1219" s="7">
        <f t="shared" si="58"/>
        <v>219</v>
      </c>
      <c r="AQ1219" s="31" t="str">
        <f t="shared" si="61"/>
        <v>Complete - No Adjustment</v>
      </c>
    </row>
    <row r="1220" spans="1:43" x14ac:dyDescent="0.2">
      <c r="A1220" s="46">
        <v>1210</v>
      </c>
      <c r="B1220" s="38" t="s">
        <v>266</v>
      </c>
      <c r="C1220" s="38" t="s">
        <v>431</v>
      </c>
      <c r="D1220" s="38" t="s">
        <v>430</v>
      </c>
      <c r="E1220" s="38" t="s">
        <v>3428</v>
      </c>
      <c r="F1220" s="38" t="s">
        <v>3061</v>
      </c>
      <c r="G1220" s="38" t="s">
        <v>111</v>
      </c>
      <c r="H1220" s="44">
        <v>44028</v>
      </c>
      <c r="I1220" s="44">
        <v>44029</v>
      </c>
      <c r="J1220">
        <v>293.05</v>
      </c>
      <c r="K1220">
        <v>39.049999999999997</v>
      </c>
      <c r="L1220" t="s">
        <v>3429</v>
      </c>
      <c r="M1220" s="45" t="s">
        <v>98</v>
      </c>
      <c r="N1220" s="38" t="s">
        <v>230</v>
      </c>
      <c r="O1220" s="38" t="s">
        <v>78</v>
      </c>
      <c r="P1220" s="38" t="s">
        <v>60</v>
      </c>
      <c r="Q1220" s="38" t="s">
        <v>59</v>
      </c>
      <c r="R1220" s="38" t="s">
        <v>270</v>
      </c>
      <c r="S1220" s="38" t="s">
        <v>3430</v>
      </c>
      <c r="T1220" s="38" t="s">
        <v>3433</v>
      </c>
      <c r="U1220" s="38"/>
      <c r="V1220" s="38"/>
      <c r="W1220" s="38"/>
      <c r="X1220" s="14"/>
      <c r="AN1220" s="7" t="s">
        <v>70</v>
      </c>
      <c r="AO1220" s="21">
        <f t="shared" si="60"/>
        <v>0</v>
      </c>
      <c r="AP1220" s="7">
        <f t="shared" si="58"/>
        <v>39.049999999999997</v>
      </c>
      <c r="AQ1220" s="31" t="str">
        <f t="shared" si="61"/>
        <v>Complete - No Adjustment</v>
      </c>
    </row>
    <row r="1221" spans="1:43" x14ac:dyDescent="0.2">
      <c r="A1221" s="46">
        <v>1211</v>
      </c>
      <c r="B1221" s="38" t="s">
        <v>266</v>
      </c>
      <c r="C1221" s="38" t="s">
        <v>712</v>
      </c>
      <c r="D1221" s="38" t="s">
        <v>711</v>
      </c>
      <c r="E1221" s="38" t="s">
        <v>3434</v>
      </c>
      <c r="F1221" s="38" t="s">
        <v>3223</v>
      </c>
      <c r="G1221" s="38" t="s">
        <v>111</v>
      </c>
      <c r="H1221" s="44">
        <v>44034</v>
      </c>
      <c r="I1221" s="44">
        <v>44035</v>
      </c>
      <c r="J1221">
        <v>14.77</v>
      </c>
      <c r="K1221">
        <v>14.77</v>
      </c>
      <c r="L1221" t="s">
        <v>3435</v>
      </c>
      <c r="M1221" s="45" t="s">
        <v>98</v>
      </c>
      <c r="N1221" s="38" t="s">
        <v>230</v>
      </c>
      <c r="O1221" s="38" t="s">
        <v>658</v>
      </c>
      <c r="P1221" s="38" t="s">
        <v>60</v>
      </c>
      <c r="Q1221" s="38" t="s">
        <v>41</v>
      </c>
      <c r="R1221" s="38" t="s">
        <v>270</v>
      </c>
      <c r="S1221" s="38" t="s">
        <v>2586</v>
      </c>
      <c r="T1221" s="38" t="s">
        <v>2587</v>
      </c>
      <c r="U1221" s="38"/>
      <c r="V1221" s="38"/>
      <c r="W1221" s="38"/>
      <c r="X1221" s="14"/>
      <c r="AN1221" s="7" t="s">
        <v>155</v>
      </c>
      <c r="AO1221" s="21">
        <f t="shared" si="60"/>
        <v>0</v>
      </c>
      <c r="AP1221" s="7">
        <f t="shared" si="58"/>
        <v>14.77</v>
      </c>
      <c r="AQ1221" s="31" t="str">
        <f t="shared" si="61"/>
        <v>Complete - No Adjustment</v>
      </c>
    </row>
    <row r="1222" spans="1:43" x14ac:dyDescent="0.2">
      <c r="A1222" s="46">
        <v>1212</v>
      </c>
      <c r="B1222" s="38" t="s">
        <v>266</v>
      </c>
      <c r="C1222" s="38" t="s">
        <v>259</v>
      </c>
      <c r="D1222" s="38" t="s">
        <v>258</v>
      </c>
      <c r="E1222" s="38" t="s">
        <v>3436</v>
      </c>
      <c r="F1222" s="38" t="s">
        <v>3223</v>
      </c>
      <c r="G1222" s="38" t="s">
        <v>111</v>
      </c>
      <c r="H1222" s="44">
        <v>44033</v>
      </c>
      <c r="I1222" s="44">
        <v>44035</v>
      </c>
      <c r="J1222">
        <v>23.64</v>
      </c>
      <c r="K1222">
        <v>15</v>
      </c>
      <c r="L1222" t="s">
        <v>3437</v>
      </c>
      <c r="M1222" s="45" t="s">
        <v>98</v>
      </c>
      <c r="N1222" s="38" t="s">
        <v>230</v>
      </c>
      <c r="O1222" s="38" t="s">
        <v>326</v>
      </c>
      <c r="P1222" s="38" t="s">
        <v>60</v>
      </c>
      <c r="Q1222" s="38" t="s">
        <v>41</v>
      </c>
      <c r="R1222" s="38" t="s">
        <v>270</v>
      </c>
      <c r="S1222" s="38" t="s">
        <v>3438</v>
      </c>
      <c r="T1222" s="38" t="s">
        <v>3439</v>
      </c>
      <c r="U1222" s="38"/>
      <c r="V1222" s="38"/>
      <c r="W1222" s="38"/>
      <c r="X1222" s="14"/>
      <c r="AN1222" s="7" t="s">
        <v>155</v>
      </c>
      <c r="AO1222" s="21">
        <f t="shared" si="60"/>
        <v>0</v>
      </c>
      <c r="AP1222" s="7">
        <f t="shared" si="58"/>
        <v>15</v>
      </c>
      <c r="AQ1222" s="31" t="str">
        <f t="shared" si="61"/>
        <v>Complete - No Adjustment</v>
      </c>
    </row>
    <row r="1223" spans="1:43" x14ac:dyDescent="0.2">
      <c r="A1223" s="46">
        <v>1213</v>
      </c>
      <c r="B1223" s="38" t="s">
        <v>266</v>
      </c>
      <c r="C1223" s="38" t="s">
        <v>259</v>
      </c>
      <c r="D1223" s="38" t="s">
        <v>258</v>
      </c>
      <c r="E1223" s="38" t="s">
        <v>3436</v>
      </c>
      <c r="F1223" s="38" t="s">
        <v>3223</v>
      </c>
      <c r="G1223" s="38" t="s">
        <v>111</v>
      </c>
      <c r="H1223" s="44">
        <v>44033</v>
      </c>
      <c r="I1223" s="44">
        <v>44035</v>
      </c>
      <c r="J1223">
        <v>23.64</v>
      </c>
      <c r="K1223">
        <v>8.64</v>
      </c>
      <c r="L1223" t="s">
        <v>3437</v>
      </c>
      <c r="M1223" s="45" t="s">
        <v>98</v>
      </c>
      <c r="N1223" s="38" t="s">
        <v>230</v>
      </c>
      <c r="O1223" s="38" t="s">
        <v>326</v>
      </c>
      <c r="P1223" s="38" t="s">
        <v>60</v>
      </c>
      <c r="Q1223" s="38" t="s">
        <v>41</v>
      </c>
      <c r="R1223" s="38" t="s">
        <v>270</v>
      </c>
      <c r="S1223" s="38" t="s">
        <v>3438</v>
      </c>
      <c r="T1223" s="38" t="s">
        <v>3440</v>
      </c>
      <c r="U1223" s="38"/>
      <c r="V1223" s="38"/>
      <c r="W1223" s="38"/>
      <c r="X1223" s="14"/>
      <c r="AN1223" s="7" t="s">
        <v>155</v>
      </c>
      <c r="AO1223" s="21">
        <f t="shared" si="60"/>
        <v>0</v>
      </c>
      <c r="AP1223" s="7">
        <f t="shared" si="58"/>
        <v>8.64</v>
      </c>
      <c r="AQ1223" s="31" t="str">
        <f t="shared" si="61"/>
        <v>Complete - No Adjustment</v>
      </c>
    </row>
    <row r="1224" spans="1:43" x14ac:dyDescent="0.2">
      <c r="A1224" s="46">
        <v>1214</v>
      </c>
      <c r="B1224" s="38" t="s">
        <v>266</v>
      </c>
      <c r="C1224" s="38" t="s">
        <v>657</v>
      </c>
      <c r="D1224" s="38" t="s">
        <v>656</v>
      </c>
      <c r="E1224" s="38" t="s">
        <v>3441</v>
      </c>
      <c r="F1224" s="38" t="s">
        <v>3141</v>
      </c>
      <c r="G1224" s="38" t="s">
        <v>111</v>
      </c>
      <c r="H1224" s="44">
        <v>43995</v>
      </c>
      <c r="I1224" s="44">
        <v>44027</v>
      </c>
      <c r="J1224">
        <v>189.55</v>
      </c>
      <c r="K1224">
        <v>189.55</v>
      </c>
      <c r="L1224" t="s">
        <v>3442</v>
      </c>
      <c r="M1224" s="45" t="s">
        <v>98</v>
      </c>
      <c r="N1224" s="38" t="s">
        <v>230</v>
      </c>
      <c r="O1224" s="38" t="s">
        <v>983</v>
      </c>
      <c r="P1224" s="38" t="s">
        <v>406</v>
      </c>
      <c r="Q1224" s="38" t="s">
        <v>57</v>
      </c>
      <c r="R1224" s="38" t="s">
        <v>270</v>
      </c>
      <c r="S1224" s="38" t="s">
        <v>3443</v>
      </c>
      <c r="T1224" s="38" t="s">
        <v>3444</v>
      </c>
      <c r="U1224" s="38" t="s">
        <v>986</v>
      </c>
      <c r="V1224" s="38" t="s">
        <v>406</v>
      </c>
      <c r="W1224" s="38" t="s">
        <v>58</v>
      </c>
      <c r="X1224" s="14"/>
      <c r="AN1224" s="7" t="s">
        <v>155</v>
      </c>
      <c r="AO1224" s="21">
        <f t="shared" si="60"/>
        <v>0</v>
      </c>
      <c r="AP1224" s="7">
        <f t="shared" si="58"/>
        <v>189.55</v>
      </c>
      <c r="AQ1224" s="31" t="str">
        <f t="shared" si="61"/>
        <v>Complete - No Adjustment</v>
      </c>
    </row>
    <row r="1225" spans="1:43" x14ac:dyDescent="0.2">
      <c r="A1225" s="46">
        <v>1215</v>
      </c>
      <c r="B1225" s="38" t="s">
        <v>266</v>
      </c>
      <c r="C1225" s="38" t="s">
        <v>729</v>
      </c>
      <c r="D1225" s="38" t="s">
        <v>728</v>
      </c>
      <c r="E1225" s="38" t="s">
        <v>3445</v>
      </c>
      <c r="F1225" s="38" t="s">
        <v>2972</v>
      </c>
      <c r="G1225" s="38" t="s">
        <v>111</v>
      </c>
      <c r="H1225" s="44">
        <v>44033</v>
      </c>
      <c r="I1225" s="44">
        <v>44039</v>
      </c>
      <c r="J1225">
        <v>15</v>
      </c>
      <c r="K1225">
        <v>15</v>
      </c>
      <c r="L1225" t="s">
        <v>3446</v>
      </c>
      <c r="M1225" s="45" t="s">
        <v>98</v>
      </c>
      <c r="N1225" s="38" t="s">
        <v>230</v>
      </c>
      <c r="O1225" s="38" t="s">
        <v>465</v>
      </c>
      <c r="P1225" s="38" t="s">
        <v>61</v>
      </c>
      <c r="Q1225" s="38" t="s">
        <v>46</v>
      </c>
      <c r="R1225" s="38" t="s">
        <v>270</v>
      </c>
      <c r="S1225" s="38" t="s">
        <v>3447</v>
      </c>
      <c r="T1225" s="38" t="s">
        <v>3448</v>
      </c>
      <c r="U1225" s="38"/>
      <c r="V1225" s="38"/>
      <c r="W1225" s="38"/>
      <c r="X1225" s="14"/>
      <c r="AN1225" s="7" t="s">
        <v>155</v>
      </c>
      <c r="AO1225" s="21">
        <f t="shared" si="60"/>
        <v>0</v>
      </c>
      <c r="AP1225" s="7">
        <f t="shared" si="58"/>
        <v>15</v>
      </c>
      <c r="AQ1225" s="31" t="str">
        <f t="shared" si="61"/>
        <v>Complete - No Adjustment</v>
      </c>
    </row>
    <row r="1226" spans="1:43" x14ac:dyDescent="0.2">
      <c r="A1226" s="46">
        <v>1216</v>
      </c>
      <c r="B1226" s="38" t="s">
        <v>266</v>
      </c>
      <c r="C1226" s="38" t="s">
        <v>2588</v>
      </c>
      <c r="D1226" s="38" t="s">
        <v>2589</v>
      </c>
      <c r="E1226" s="38" t="s">
        <v>3449</v>
      </c>
      <c r="F1226" s="38" t="s">
        <v>2972</v>
      </c>
      <c r="G1226" s="38" t="s">
        <v>111</v>
      </c>
      <c r="H1226" s="44">
        <v>44033</v>
      </c>
      <c r="I1226" s="44">
        <v>44039</v>
      </c>
      <c r="J1226">
        <v>15</v>
      </c>
      <c r="K1226">
        <v>15</v>
      </c>
      <c r="L1226"/>
      <c r="M1226" s="45" t="s">
        <v>98</v>
      </c>
      <c r="N1226" s="38" t="s">
        <v>230</v>
      </c>
      <c r="O1226" s="38" t="s">
        <v>280</v>
      </c>
      <c r="P1226" s="38" t="s">
        <v>60</v>
      </c>
      <c r="Q1226" s="38" t="s">
        <v>41</v>
      </c>
      <c r="R1226" s="38" t="s">
        <v>270</v>
      </c>
      <c r="S1226" s="38" t="s">
        <v>3450</v>
      </c>
      <c r="T1226" s="38" t="s">
        <v>3451</v>
      </c>
      <c r="U1226" s="38"/>
      <c r="V1226" s="38"/>
      <c r="W1226" s="38"/>
      <c r="X1226" s="14"/>
      <c r="AL1226" s="14">
        <f>15</f>
        <v>15</v>
      </c>
      <c r="AN1226" s="7" t="s">
        <v>3452</v>
      </c>
      <c r="AO1226" s="21">
        <f t="shared" si="60"/>
        <v>15</v>
      </c>
      <c r="AP1226" s="7">
        <f t="shared" ref="AP1226:AP1289" si="62">K1226-AO1226</f>
        <v>0</v>
      </c>
      <c r="AQ1226" s="31" t="str">
        <f t="shared" si="61"/>
        <v>Complete - With Adjustment</v>
      </c>
    </row>
    <row r="1227" spans="1:43" x14ac:dyDescent="0.2">
      <c r="A1227" s="46">
        <v>1217</v>
      </c>
      <c r="B1227" s="38" t="s">
        <v>266</v>
      </c>
      <c r="C1227" s="38" t="s">
        <v>439</v>
      </c>
      <c r="D1227" s="38" t="s">
        <v>438</v>
      </c>
      <c r="E1227" s="38" t="s">
        <v>3453</v>
      </c>
      <c r="F1227" s="38" t="s">
        <v>3130</v>
      </c>
      <c r="G1227" s="38" t="s">
        <v>111</v>
      </c>
      <c r="H1227" s="44">
        <v>44013</v>
      </c>
      <c r="I1227" s="44">
        <v>44018</v>
      </c>
      <c r="J1227">
        <v>100.52</v>
      </c>
      <c r="K1227">
        <v>15</v>
      </c>
      <c r="L1227" t="s">
        <v>3454</v>
      </c>
      <c r="M1227" s="45" t="s">
        <v>98</v>
      </c>
      <c r="N1227" s="38" t="s">
        <v>230</v>
      </c>
      <c r="O1227" s="38" t="s">
        <v>271</v>
      </c>
      <c r="P1227" s="38" t="s">
        <v>60</v>
      </c>
      <c r="Q1227" s="38" t="s">
        <v>41</v>
      </c>
      <c r="R1227" s="38" t="s">
        <v>270</v>
      </c>
      <c r="S1227" s="38" t="s">
        <v>3455</v>
      </c>
      <c r="T1227" s="38" t="s">
        <v>3456</v>
      </c>
      <c r="U1227" s="38"/>
      <c r="V1227" s="38"/>
      <c r="W1227" s="38"/>
      <c r="X1227" s="14"/>
      <c r="AN1227" s="7" t="s">
        <v>155</v>
      </c>
      <c r="AO1227" s="21">
        <f t="shared" si="60"/>
        <v>0</v>
      </c>
      <c r="AP1227" s="7">
        <f t="shared" si="62"/>
        <v>15</v>
      </c>
      <c r="AQ1227" s="31" t="str">
        <f t="shared" si="61"/>
        <v>Complete - No Adjustment</v>
      </c>
    </row>
    <row r="1228" spans="1:43" x14ac:dyDescent="0.2">
      <c r="A1228" s="46">
        <v>1218</v>
      </c>
      <c r="B1228" s="38" t="s">
        <v>266</v>
      </c>
      <c r="C1228" s="38" t="s">
        <v>439</v>
      </c>
      <c r="D1228" s="38" t="s">
        <v>438</v>
      </c>
      <c r="E1228" s="38" t="s">
        <v>3453</v>
      </c>
      <c r="F1228" s="38" t="s">
        <v>3130</v>
      </c>
      <c r="G1228" s="38" t="s">
        <v>111</v>
      </c>
      <c r="H1228" s="44">
        <v>44013</v>
      </c>
      <c r="I1228" s="44">
        <v>44018</v>
      </c>
      <c r="J1228">
        <v>100.52</v>
      </c>
      <c r="K1228">
        <v>85.52</v>
      </c>
      <c r="L1228" t="s">
        <v>3454</v>
      </c>
      <c r="M1228" s="45" t="s">
        <v>98</v>
      </c>
      <c r="N1228" s="38" t="s">
        <v>230</v>
      </c>
      <c r="O1228" s="38" t="s">
        <v>271</v>
      </c>
      <c r="P1228" s="38" t="s">
        <v>60</v>
      </c>
      <c r="Q1228" s="38" t="s">
        <v>104</v>
      </c>
      <c r="R1228" s="38" t="s">
        <v>270</v>
      </c>
      <c r="S1228" s="38" t="s">
        <v>3455</v>
      </c>
      <c r="T1228" s="38" t="s">
        <v>3457</v>
      </c>
      <c r="U1228" s="38"/>
      <c r="V1228" s="38"/>
      <c r="W1228" s="38"/>
      <c r="X1228" s="14"/>
      <c r="AN1228" s="7" t="s">
        <v>70</v>
      </c>
      <c r="AO1228" s="21">
        <f t="shared" si="60"/>
        <v>0</v>
      </c>
      <c r="AP1228" s="7">
        <f t="shared" si="62"/>
        <v>85.52</v>
      </c>
      <c r="AQ1228" s="31" t="str">
        <f t="shared" si="61"/>
        <v>Complete - No Adjustment</v>
      </c>
    </row>
    <row r="1229" spans="1:43" x14ac:dyDescent="0.2">
      <c r="A1229" s="46">
        <v>1219</v>
      </c>
      <c r="B1229" s="38" t="s">
        <v>266</v>
      </c>
      <c r="C1229" s="38" t="s">
        <v>443</v>
      </c>
      <c r="D1229" s="38" t="s">
        <v>442</v>
      </c>
      <c r="E1229" s="38" t="s">
        <v>3458</v>
      </c>
      <c r="F1229" s="38" t="s">
        <v>3223</v>
      </c>
      <c r="G1229" s="38" t="s">
        <v>111</v>
      </c>
      <c r="H1229" s="44">
        <v>44033</v>
      </c>
      <c r="I1229" s="44">
        <v>44035</v>
      </c>
      <c r="J1229">
        <v>13.95</v>
      </c>
      <c r="K1229">
        <v>13.95</v>
      </c>
      <c r="L1229" t="s">
        <v>3459</v>
      </c>
      <c r="M1229" s="45" t="s">
        <v>98</v>
      </c>
      <c r="N1229" s="38" t="s">
        <v>230</v>
      </c>
      <c r="O1229" s="38" t="s">
        <v>444</v>
      </c>
      <c r="P1229" s="38" t="s">
        <v>60</v>
      </c>
      <c r="Q1229" s="38" t="s">
        <v>41</v>
      </c>
      <c r="R1229" s="38" t="s">
        <v>270</v>
      </c>
      <c r="S1229" s="38" t="s">
        <v>3460</v>
      </c>
      <c r="T1229" s="38" t="s">
        <v>3461</v>
      </c>
      <c r="U1229" s="38"/>
      <c r="V1229" s="38"/>
      <c r="W1229" s="38"/>
      <c r="X1229" s="14"/>
      <c r="AN1229" s="7" t="s">
        <v>155</v>
      </c>
      <c r="AO1229" s="21">
        <f t="shared" ref="AO1229:AO1293" si="63">SUM(Y1229:AL1229)</f>
        <v>0</v>
      </c>
      <c r="AP1229" s="7">
        <f t="shared" si="62"/>
        <v>13.95</v>
      </c>
      <c r="AQ1229" s="31" t="str">
        <f t="shared" ref="AQ1229:AQ1293" si="64">IF(AO1229&lt;&gt;0,"Complete - With Adjustment","Complete - No Adjustment")</f>
        <v>Complete - No Adjustment</v>
      </c>
    </row>
    <row r="1230" spans="1:43" x14ac:dyDescent="0.2">
      <c r="A1230" s="46">
        <v>1220</v>
      </c>
      <c r="B1230" s="38" t="s">
        <v>266</v>
      </c>
      <c r="C1230" s="38" t="s">
        <v>2631</v>
      </c>
      <c r="D1230" s="38" t="s">
        <v>2632</v>
      </c>
      <c r="E1230" s="38" t="s">
        <v>3462</v>
      </c>
      <c r="F1230" s="38" t="s">
        <v>3039</v>
      </c>
      <c r="G1230" s="38" t="s">
        <v>111</v>
      </c>
      <c r="H1230" s="44">
        <v>44033</v>
      </c>
      <c r="I1230" s="44">
        <v>44041</v>
      </c>
      <c r="J1230">
        <v>10.77</v>
      </c>
      <c r="K1230">
        <v>10.77</v>
      </c>
      <c r="L1230" t="s">
        <v>3463</v>
      </c>
      <c r="M1230" s="45" t="s">
        <v>98</v>
      </c>
      <c r="N1230" s="38" t="s">
        <v>230</v>
      </c>
      <c r="O1230" s="38" t="s">
        <v>289</v>
      </c>
      <c r="P1230" s="38" t="s">
        <v>60</v>
      </c>
      <c r="Q1230" s="38" t="s">
        <v>41</v>
      </c>
      <c r="R1230" s="38" t="s">
        <v>270</v>
      </c>
      <c r="S1230" s="38" t="s">
        <v>3464</v>
      </c>
      <c r="T1230" s="38" t="s">
        <v>3465</v>
      </c>
      <c r="U1230" s="38"/>
      <c r="V1230" s="38"/>
      <c r="W1230" s="38"/>
      <c r="X1230" s="14"/>
      <c r="AN1230" s="7" t="s">
        <v>155</v>
      </c>
      <c r="AO1230" s="21">
        <f t="shared" si="63"/>
        <v>0</v>
      </c>
      <c r="AP1230" s="7">
        <f t="shared" si="62"/>
        <v>10.77</v>
      </c>
      <c r="AQ1230" s="31" t="str">
        <f t="shared" si="64"/>
        <v>Complete - No Adjustment</v>
      </c>
    </row>
    <row r="1231" spans="1:43" x14ac:dyDescent="0.2">
      <c r="A1231" s="46">
        <v>1221</v>
      </c>
      <c r="B1231" s="38" t="s">
        <v>266</v>
      </c>
      <c r="C1231" s="38" t="s">
        <v>614</v>
      </c>
      <c r="D1231" s="38" t="s">
        <v>613</v>
      </c>
      <c r="E1231" s="38" t="s">
        <v>3466</v>
      </c>
      <c r="F1231" s="38" t="s">
        <v>3003</v>
      </c>
      <c r="G1231" s="38" t="s">
        <v>111</v>
      </c>
      <c r="H1231" s="44">
        <v>43991</v>
      </c>
      <c r="I1231" s="44">
        <v>44013</v>
      </c>
      <c r="J1231">
        <v>14.36</v>
      </c>
      <c r="K1231">
        <v>14.36</v>
      </c>
      <c r="L1231" t="s">
        <v>3467</v>
      </c>
      <c r="M1231" s="45" t="s">
        <v>98</v>
      </c>
      <c r="N1231" s="38" t="s">
        <v>230</v>
      </c>
      <c r="O1231" s="38" t="s">
        <v>559</v>
      </c>
      <c r="P1231" s="38" t="s">
        <v>60</v>
      </c>
      <c r="Q1231" s="38" t="s">
        <v>41</v>
      </c>
      <c r="R1231" s="38" t="s">
        <v>270</v>
      </c>
      <c r="S1231" s="38" t="s">
        <v>3468</v>
      </c>
      <c r="T1231" s="38" t="s">
        <v>3469</v>
      </c>
      <c r="U1231" s="38"/>
      <c r="V1231" s="38"/>
      <c r="W1231" s="38"/>
      <c r="X1231" s="14"/>
      <c r="AL1231" s="14">
        <f>14.36</f>
        <v>14.36</v>
      </c>
      <c r="AN1231" s="7" t="s">
        <v>2957</v>
      </c>
      <c r="AO1231" s="21">
        <f t="shared" si="63"/>
        <v>14.36</v>
      </c>
      <c r="AP1231" s="7">
        <f t="shared" si="62"/>
        <v>0</v>
      </c>
      <c r="AQ1231" s="31" t="str">
        <f t="shared" si="64"/>
        <v>Complete - With Adjustment</v>
      </c>
    </row>
    <row r="1232" spans="1:43" x14ac:dyDescent="0.2">
      <c r="A1232" s="46">
        <v>1222</v>
      </c>
      <c r="B1232" s="38" t="s">
        <v>266</v>
      </c>
      <c r="C1232" s="38" t="s">
        <v>678</v>
      </c>
      <c r="D1232" s="38" t="s">
        <v>677</v>
      </c>
      <c r="E1232" s="38" t="s">
        <v>3470</v>
      </c>
      <c r="F1232" s="38" t="s">
        <v>3039</v>
      </c>
      <c r="G1232" s="38" t="s">
        <v>111</v>
      </c>
      <c r="H1232" s="44">
        <v>44034</v>
      </c>
      <c r="I1232" s="44">
        <v>44041</v>
      </c>
      <c r="J1232">
        <v>7.84</v>
      </c>
      <c r="K1232">
        <v>7.84</v>
      </c>
      <c r="L1232" t="s">
        <v>3471</v>
      </c>
      <c r="M1232" s="45" t="s">
        <v>98</v>
      </c>
      <c r="N1232" s="38" t="s">
        <v>230</v>
      </c>
      <c r="O1232" s="38" t="s">
        <v>78</v>
      </c>
      <c r="P1232" s="38" t="s">
        <v>60</v>
      </c>
      <c r="Q1232" s="38" t="s">
        <v>41</v>
      </c>
      <c r="R1232" s="38" t="s">
        <v>270</v>
      </c>
      <c r="S1232" s="38" t="s">
        <v>3472</v>
      </c>
      <c r="T1232" s="38" t="s">
        <v>3473</v>
      </c>
      <c r="U1232" s="38"/>
      <c r="V1232" s="38"/>
      <c r="W1232" s="38"/>
      <c r="X1232" s="14"/>
      <c r="AN1232" s="7" t="s">
        <v>155</v>
      </c>
      <c r="AO1232" s="21">
        <f t="shared" si="63"/>
        <v>0</v>
      </c>
      <c r="AP1232" s="7">
        <f t="shared" si="62"/>
        <v>7.84</v>
      </c>
      <c r="AQ1232" s="31" t="str">
        <f t="shared" si="64"/>
        <v>Complete - No Adjustment</v>
      </c>
    </row>
    <row r="1233" spans="1:43" x14ac:dyDescent="0.2">
      <c r="A1233" s="46">
        <v>1223</v>
      </c>
      <c r="B1233" s="38" t="s">
        <v>266</v>
      </c>
      <c r="C1233" s="38" t="s">
        <v>561</v>
      </c>
      <c r="D1233" s="38" t="s">
        <v>560</v>
      </c>
      <c r="E1233" s="38" t="s">
        <v>3474</v>
      </c>
      <c r="F1233" s="38" t="s">
        <v>3475</v>
      </c>
      <c r="G1233" s="38" t="s">
        <v>111</v>
      </c>
      <c r="H1233" s="44">
        <v>44027</v>
      </c>
      <c r="I1233" s="44">
        <v>44032</v>
      </c>
      <c r="J1233">
        <v>96.32</v>
      </c>
      <c r="K1233">
        <v>20.03</v>
      </c>
      <c r="L1233" t="s">
        <v>3476</v>
      </c>
      <c r="M1233" s="45" t="s">
        <v>98</v>
      </c>
      <c r="N1233" s="38" t="s">
        <v>230</v>
      </c>
      <c r="O1233" s="38" t="s">
        <v>281</v>
      </c>
      <c r="P1233" s="38" t="s">
        <v>60</v>
      </c>
      <c r="Q1233" s="38" t="s">
        <v>41</v>
      </c>
      <c r="R1233" s="38" t="s">
        <v>270</v>
      </c>
      <c r="S1233" s="38" t="s">
        <v>1395</v>
      </c>
      <c r="T1233" s="38" t="s">
        <v>3477</v>
      </c>
      <c r="U1233" s="38"/>
      <c r="V1233" s="38"/>
      <c r="W1233" s="38"/>
      <c r="X1233" s="14"/>
      <c r="AL1233" s="14">
        <f>20.03</f>
        <v>20.03</v>
      </c>
      <c r="AN1233" s="7" t="s">
        <v>2957</v>
      </c>
      <c r="AO1233" s="21">
        <f t="shared" si="63"/>
        <v>20.03</v>
      </c>
      <c r="AP1233" s="7">
        <f t="shared" si="62"/>
        <v>0</v>
      </c>
      <c r="AQ1233" s="31" t="str">
        <f t="shared" si="64"/>
        <v>Complete - With Adjustment</v>
      </c>
    </row>
    <row r="1234" spans="1:43" x14ac:dyDescent="0.2">
      <c r="A1234" s="46">
        <v>1224</v>
      </c>
      <c r="B1234" s="38" t="s">
        <v>266</v>
      </c>
      <c r="C1234" s="38" t="s">
        <v>561</v>
      </c>
      <c r="D1234" s="38" t="s">
        <v>560</v>
      </c>
      <c r="E1234" s="38" t="s">
        <v>3474</v>
      </c>
      <c r="F1234" s="38" t="s">
        <v>3475</v>
      </c>
      <c r="G1234" s="38" t="s">
        <v>111</v>
      </c>
      <c r="H1234" s="44">
        <v>44027</v>
      </c>
      <c r="I1234" s="44">
        <v>44032</v>
      </c>
      <c r="J1234">
        <v>96.32</v>
      </c>
      <c r="K1234">
        <v>16.239999999999998</v>
      </c>
      <c r="L1234" t="s">
        <v>3476</v>
      </c>
      <c r="M1234" s="45" t="s">
        <v>98</v>
      </c>
      <c r="N1234" s="38" t="s">
        <v>230</v>
      </c>
      <c r="O1234" s="38" t="s">
        <v>281</v>
      </c>
      <c r="P1234" s="38" t="s">
        <v>60</v>
      </c>
      <c r="Q1234" s="38" t="s">
        <v>41</v>
      </c>
      <c r="R1234" s="38" t="s">
        <v>270</v>
      </c>
      <c r="S1234" s="38" t="s">
        <v>1395</v>
      </c>
      <c r="T1234" s="38" t="s">
        <v>3477</v>
      </c>
      <c r="U1234" s="38"/>
      <c r="V1234" s="38"/>
      <c r="W1234" s="38"/>
      <c r="X1234" s="14"/>
      <c r="AL1234" s="14">
        <f>16.24</f>
        <v>16.239999999999998</v>
      </c>
      <c r="AN1234" s="7" t="s">
        <v>2957</v>
      </c>
      <c r="AO1234" s="21">
        <f t="shared" si="63"/>
        <v>16.239999999999998</v>
      </c>
      <c r="AP1234" s="7">
        <f t="shared" si="62"/>
        <v>0</v>
      </c>
      <c r="AQ1234" s="31" t="str">
        <f t="shared" si="64"/>
        <v>Complete - With Adjustment</v>
      </c>
    </row>
    <row r="1235" spans="1:43" x14ac:dyDescent="0.2">
      <c r="A1235" s="46">
        <v>1225</v>
      </c>
      <c r="B1235" s="38" t="s">
        <v>266</v>
      </c>
      <c r="C1235" s="38" t="s">
        <v>561</v>
      </c>
      <c r="D1235" s="38" t="s">
        <v>560</v>
      </c>
      <c r="E1235" s="38" t="s">
        <v>3474</v>
      </c>
      <c r="F1235" s="38" t="s">
        <v>3475</v>
      </c>
      <c r="G1235" s="38" t="s">
        <v>111</v>
      </c>
      <c r="H1235" s="44">
        <v>44027</v>
      </c>
      <c r="I1235" s="44">
        <v>44032</v>
      </c>
      <c r="J1235">
        <v>96.32</v>
      </c>
      <c r="K1235">
        <v>13.37</v>
      </c>
      <c r="L1235" t="s">
        <v>3476</v>
      </c>
      <c r="M1235" s="45" t="s">
        <v>98</v>
      </c>
      <c r="N1235" s="38" t="s">
        <v>230</v>
      </c>
      <c r="O1235" s="38" t="s">
        <v>281</v>
      </c>
      <c r="P1235" s="38" t="s">
        <v>60</v>
      </c>
      <c r="Q1235" s="38" t="s">
        <v>41</v>
      </c>
      <c r="R1235" s="38" t="s">
        <v>270</v>
      </c>
      <c r="S1235" s="38" t="s">
        <v>1395</v>
      </c>
      <c r="T1235" s="38" t="s">
        <v>1396</v>
      </c>
      <c r="U1235" s="38"/>
      <c r="V1235" s="38"/>
      <c r="W1235" s="38"/>
      <c r="X1235" s="14"/>
      <c r="AN1235" s="7" t="s">
        <v>155</v>
      </c>
      <c r="AO1235" s="21">
        <f t="shared" si="63"/>
        <v>0</v>
      </c>
      <c r="AP1235" s="7">
        <f t="shared" si="62"/>
        <v>13.37</v>
      </c>
      <c r="AQ1235" s="31" t="str">
        <f t="shared" si="64"/>
        <v>Complete - No Adjustment</v>
      </c>
    </row>
    <row r="1236" spans="1:43" x14ac:dyDescent="0.2">
      <c r="A1236" s="46">
        <v>1226</v>
      </c>
      <c r="B1236" s="38" t="s">
        <v>266</v>
      </c>
      <c r="C1236" s="38" t="s">
        <v>561</v>
      </c>
      <c r="D1236" s="38" t="s">
        <v>560</v>
      </c>
      <c r="E1236" s="38" t="s">
        <v>3474</v>
      </c>
      <c r="F1236" s="38" t="s">
        <v>3475</v>
      </c>
      <c r="G1236" s="38" t="s">
        <v>111</v>
      </c>
      <c r="H1236" s="44">
        <v>44027</v>
      </c>
      <c r="I1236" s="44">
        <v>44032</v>
      </c>
      <c r="J1236">
        <v>96.32</v>
      </c>
      <c r="K1236">
        <v>20.03</v>
      </c>
      <c r="L1236" t="s">
        <v>3476</v>
      </c>
      <c r="M1236" s="45" t="s">
        <v>98</v>
      </c>
      <c r="N1236" s="38" t="s">
        <v>230</v>
      </c>
      <c r="O1236" s="38" t="s">
        <v>281</v>
      </c>
      <c r="P1236" s="38" t="s">
        <v>60</v>
      </c>
      <c r="Q1236" s="38" t="s">
        <v>41</v>
      </c>
      <c r="R1236" s="38" t="s">
        <v>270</v>
      </c>
      <c r="S1236" s="38" t="s">
        <v>1395</v>
      </c>
      <c r="T1236" s="38" t="s">
        <v>3477</v>
      </c>
      <c r="U1236" s="38"/>
      <c r="V1236" s="38"/>
      <c r="W1236" s="38"/>
      <c r="X1236" s="14"/>
      <c r="AL1236" s="14">
        <f>20.03</f>
        <v>20.03</v>
      </c>
      <c r="AN1236" s="7" t="s">
        <v>2957</v>
      </c>
      <c r="AO1236" s="21">
        <f t="shared" si="63"/>
        <v>20.03</v>
      </c>
      <c r="AP1236" s="7">
        <f t="shared" si="62"/>
        <v>0</v>
      </c>
      <c r="AQ1236" s="31" t="str">
        <f t="shared" si="64"/>
        <v>Complete - With Adjustment</v>
      </c>
    </row>
    <row r="1237" spans="1:43" x14ac:dyDescent="0.2">
      <c r="A1237" s="46">
        <v>1227</v>
      </c>
      <c r="B1237" s="38" t="s">
        <v>266</v>
      </c>
      <c r="C1237" s="38" t="s">
        <v>561</v>
      </c>
      <c r="D1237" s="38" t="s">
        <v>560</v>
      </c>
      <c r="E1237" s="38" t="s">
        <v>3474</v>
      </c>
      <c r="F1237" s="38" t="s">
        <v>3475</v>
      </c>
      <c r="G1237" s="38" t="s">
        <v>111</v>
      </c>
      <c r="H1237" s="44">
        <v>44027</v>
      </c>
      <c r="I1237" s="44">
        <v>44032</v>
      </c>
      <c r="J1237">
        <v>96.32</v>
      </c>
      <c r="K1237">
        <v>26.65</v>
      </c>
      <c r="L1237" t="s">
        <v>3476</v>
      </c>
      <c r="M1237" s="45" t="s">
        <v>98</v>
      </c>
      <c r="N1237" s="38" t="s">
        <v>230</v>
      </c>
      <c r="O1237" s="38" t="s">
        <v>281</v>
      </c>
      <c r="P1237" s="38" t="s">
        <v>60</v>
      </c>
      <c r="Q1237" s="38" t="s">
        <v>41</v>
      </c>
      <c r="R1237" s="38" t="s">
        <v>270</v>
      </c>
      <c r="S1237" s="38" t="s">
        <v>1395</v>
      </c>
      <c r="T1237" s="38" t="s">
        <v>1396</v>
      </c>
      <c r="U1237" s="38"/>
      <c r="V1237" s="38"/>
      <c r="W1237" s="38"/>
      <c r="X1237" s="14"/>
      <c r="AN1237" s="7" t="s">
        <v>155</v>
      </c>
      <c r="AO1237" s="21">
        <f t="shared" si="63"/>
        <v>0</v>
      </c>
      <c r="AP1237" s="7">
        <f t="shared" si="62"/>
        <v>26.65</v>
      </c>
      <c r="AQ1237" s="31" t="str">
        <f t="shared" si="64"/>
        <v>Complete - No Adjustment</v>
      </c>
    </row>
    <row r="1238" spans="1:43" x14ac:dyDescent="0.2">
      <c r="A1238" s="46">
        <v>1228</v>
      </c>
      <c r="B1238" s="38" t="s">
        <v>266</v>
      </c>
      <c r="C1238" s="38" t="s">
        <v>446</v>
      </c>
      <c r="D1238" s="38" t="s">
        <v>445</v>
      </c>
      <c r="E1238" s="38" t="s">
        <v>3478</v>
      </c>
      <c r="F1238" s="38" t="s">
        <v>3475</v>
      </c>
      <c r="G1238" s="38" t="s">
        <v>111</v>
      </c>
      <c r="H1238" s="44">
        <v>44029</v>
      </c>
      <c r="I1238" s="44">
        <v>44032</v>
      </c>
      <c r="J1238">
        <v>21.27</v>
      </c>
      <c r="K1238">
        <v>21.27</v>
      </c>
      <c r="L1238" t="s">
        <v>3479</v>
      </c>
      <c r="M1238" s="45" t="s">
        <v>98</v>
      </c>
      <c r="N1238" s="38" t="s">
        <v>230</v>
      </c>
      <c r="O1238" s="38" t="s">
        <v>293</v>
      </c>
      <c r="P1238" s="38" t="s">
        <v>60</v>
      </c>
      <c r="Q1238" s="38" t="s">
        <v>79</v>
      </c>
      <c r="R1238" s="38" t="s">
        <v>270</v>
      </c>
      <c r="S1238" s="38" t="s">
        <v>1411</v>
      </c>
      <c r="T1238" s="38" t="s">
        <v>812</v>
      </c>
      <c r="U1238" s="38"/>
      <c r="V1238" s="38"/>
      <c r="W1238" s="38"/>
      <c r="X1238" s="14"/>
      <c r="AN1238" s="7" t="s">
        <v>70</v>
      </c>
      <c r="AO1238" s="21">
        <f t="shared" si="63"/>
        <v>0</v>
      </c>
      <c r="AP1238" s="7">
        <f t="shared" si="62"/>
        <v>21.27</v>
      </c>
      <c r="AQ1238" s="31" t="str">
        <f t="shared" si="64"/>
        <v>Complete - No Adjustment</v>
      </c>
    </row>
    <row r="1239" spans="1:43" x14ac:dyDescent="0.2">
      <c r="A1239" s="46">
        <v>1229</v>
      </c>
      <c r="B1239" s="38" t="s">
        <v>266</v>
      </c>
      <c r="C1239" s="38" t="s">
        <v>680</v>
      </c>
      <c r="D1239" s="38" t="s">
        <v>679</v>
      </c>
      <c r="E1239" s="38" t="s">
        <v>3480</v>
      </c>
      <c r="F1239" s="38" t="s">
        <v>3223</v>
      </c>
      <c r="G1239" s="38" t="s">
        <v>111</v>
      </c>
      <c r="H1239" s="44">
        <v>44033</v>
      </c>
      <c r="I1239" s="44">
        <v>44035</v>
      </c>
      <c r="J1239">
        <v>13.23</v>
      </c>
      <c r="K1239">
        <v>5.24</v>
      </c>
      <c r="L1239" t="s">
        <v>3481</v>
      </c>
      <c r="M1239" s="45" t="s">
        <v>98</v>
      </c>
      <c r="N1239" s="38" t="s">
        <v>230</v>
      </c>
      <c r="O1239" s="38" t="s">
        <v>404</v>
      </c>
      <c r="P1239" s="38" t="s">
        <v>60</v>
      </c>
      <c r="Q1239" s="38" t="s">
        <v>41</v>
      </c>
      <c r="R1239" s="38" t="s">
        <v>270</v>
      </c>
      <c r="S1239" s="38" t="s">
        <v>3482</v>
      </c>
      <c r="T1239" s="38" t="s">
        <v>3483</v>
      </c>
      <c r="U1239" s="38"/>
      <c r="V1239" s="38"/>
      <c r="W1239" s="38"/>
      <c r="X1239" s="14"/>
      <c r="AN1239" s="7" t="s">
        <v>155</v>
      </c>
      <c r="AO1239" s="21">
        <f t="shared" si="63"/>
        <v>0</v>
      </c>
      <c r="AP1239" s="7">
        <f t="shared" si="62"/>
        <v>5.24</v>
      </c>
      <c r="AQ1239" s="31" t="str">
        <f t="shared" si="64"/>
        <v>Complete - No Adjustment</v>
      </c>
    </row>
    <row r="1240" spans="1:43" x14ac:dyDescent="0.2">
      <c r="A1240" s="46">
        <v>1230</v>
      </c>
      <c r="B1240" s="38" t="s">
        <v>266</v>
      </c>
      <c r="C1240" s="38" t="s">
        <v>680</v>
      </c>
      <c r="D1240" s="38" t="s">
        <v>679</v>
      </c>
      <c r="E1240" s="38" t="s">
        <v>3480</v>
      </c>
      <c r="F1240" s="38" t="s">
        <v>3223</v>
      </c>
      <c r="G1240" s="38" t="s">
        <v>111</v>
      </c>
      <c r="H1240" s="44">
        <v>44033</v>
      </c>
      <c r="I1240" s="44">
        <v>44035</v>
      </c>
      <c r="J1240">
        <v>13.23</v>
      </c>
      <c r="K1240">
        <v>7.99</v>
      </c>
      <c r="L1240" t="s">
        <v>3481</v>
      </c>
      <c r="M1240" s="45" t="s">
        <v>98</v>
      </c>
      <c r="N1240" s="38" t="s">
        <v>230</v>
      </c>
      <c r="O1240" s="38" t="s">
        <v>404</v>
      </c>
      <c r="P1240" s="38" t="s">
        <v>60</v>
      </c>
      <c r="Q1240" s="38" t="s">
        <v>41</v>
      </c>
      <c r="R1240" s="38" t="s">
        <v>270</v>
      </c>
      <c r="S1240" s="38" t="s">
        <v>3482</v>
      </c>
      <c r="T1240" s="38" t="s">
        <v>3484</v>
      </c>
      <c r="U1240" s="38"/>
      <c r="V1240" s="38"/>
      <c r="W1240" s="38"/>
      <c r="X1240" s="14"/>
      <c r="AN1240" s="7" t="s">
        <v>155</v>
      </c>
      <c r="AO1240" s="21">
        <f t="shared" si="63"/>
        <v>0</v>
      </c>
      <c r="AP1240" s="7">
        <f t="shared" si="62"/>
        <v>7.99</v>
      </c>
      <c r="AQ1240" s="31" t="str">
        <f t="shared" si="64"/>
        <v>Complete - No Adjustment</v>
      </c>
    </row>
    <row r="1241" spans="1:43" x14ac:dyDescent="0.2">
      <c r="A1241" s="46">
        <v>1231</v>
      </c>
      <c r="B1241" s="38" t="s">
        <v>266</v>
      </c>
      <c r="C1241" s="38" t="s">
        <v>813</v>
      </c>
      <c r="D1241" s="38" t="s">
        <v>814</v>
      </c>
      <c r="E1241" s="38" t="s">
        <v>3485</v>
      </c>
      <c r="F1241" s="38" t="s">
        <v>3061</v>
      </c>
      <c r="G1241" s="38" t="s">
        <v>111</v>
      </c>
      <c r="H1241" s="44">
        <v>44027</v>
      </c>
      <c r="I1241" s="44">
        <v>44029</v>
      </c>
      <c r="J1241">
        <v>33.6</v>
      </c>
      <c r="K1241">
        <v>33.6</v>
      </c>
      <c r="L1241" t="s">
        <v>3486</v>
      </c>
      <c r="M1241" s="45" t="s">
        <v>97</v>
      </c>
      <c r="N1241" s="38" t="s">
        <v>230</v>
      </c>
      <c r="O1241" s="38" t="s">
        <v>269</v>
      </c>
      <c r="P1241" s="38" t="s">
        <v>42</v>
      </c>
      <c r="Q1241" s="38" t="s">
        <v>41</v>
      </c>
      <c r="R1241" s="38" t="s">
        <v>270</v>
      </c>
      <c r="S1241" s="38" t="s">
        <v>3487</v>
      </c>
      <c r="T1241" s="38" t="s">
        <v>3488</v>
      </c>
      <c r="U1241" s="38"/>
      <c r="V1241" s="38"/>
      <c r="W1241" s="38"/>
      <c r="X1241" s="14"/>
      <c r="AB1241" s="14">
        <f>27.76-25</f>
        <v>2.7600000000000016</v>
      </c>
      <c r="AN1241" s="7" t="s">
        <v>66</v>
      </c>
      <c r="AO1241" s="21">
        <f t="shared" si="63"/>
        <v>2.7600000000000016</v>
      </c>
      <c r="AP1241" s="7">
        <f t="shared" si="62"/>
        <v>30.84</v>
      </c>
      <c r="AQ1241" s="31" t="str">
        <f t="shared" si="64"/>
        <v>Complete - With Adjustment</v>
      </c>
    </row>
    <row r="1242" spans="1:43" x14ac:dyDescent="0.2">
      <c r="A1242" s="46">
        <v>1232</v>
      </c>
      <c r="B1242" s="38" t="s">
        <v>266</v>
      </c>
      <c r="C1242" s="38" t="s">
        <v>616</v>
      </c>
      <c r="D1242" s="38" t="s">
        <v>615</v>
      </c>
      <c r="E1242" s="38" t="s">
        <v>3489</v>
      </c>
      <c r="F1242" s="38" t="s">
        <v>3223</v>
      </c>
      <c r="G1242" s="38" t="s">
        <v>111</v>
      </c>
      <c r="H1242" s="44">
        <v>44034</v>
      </c>
      <c r="I1242" s="44">
        <v>44035</v>
      </c>
      <c r="J1242">
        <v>13.95</v>
      </c>
      <c r="K1242">
        <v>13.95</v>
      </c>
      <c r="L1242" t="s">
        <v>3490</v>
      </c>
      <c r="M1242" s="45" t="s">
        <v>98</v>
      </c>
      <c r="N1242" s="38" t="s">
        <v>230</v>
      </c>
      <c r="O1242" s="38" t="s">
        <v>378</v>
      </c>
      <c r="P1242" s="38" t="s">
        <v>60</v>
      </c>
      <c r="Q1242" s="38" t="s">
        <v>41</v>
      </c>
      <c r="R1242" s="38" t="s">
        <v>270</v>
      </c>
      <c r="S1242" s="38" t="s">
        <v>2660</v>
      </c>
      <c r="T1242" s="38" t="s">
        <v>2661</v>
      </c>
      <c r="U1242" s="38"/>
      <c r="V1242" s="38"/>
      <c r="W1242" s="38"/>
      <c r="X1242" s="14"/>
      <c r="AN1242" s="7" t="s">
        <v>155</v>
      </c>
      <c r="AO1242" s="21">
        <f t="shared" si="63"/>
        <v>0</v>
      </c>
      <c r="AP1242" s="7">
        <f t="shared" si="62"/>
        <v>13.95</v>
      </c>
      <c r="AQ1242" s="31" t="str">
        <f t="shared" si="64"/>
        <v>Complete - No Adjustment</v>
      </c>
    </row>
    <row r="1243" spans="1:43" x14ac:dyDescent="0.2">
      <c r="A1243" s="46">
        <v>1233</v>
      </c>
      <c r="B1243" s="38" t="s">
        <v>266</v>
      </c>
      <c r="C1243" s="38" t="s">
        <v>618</v>
      </c>
      <c r="D1243" s="38" t="s">
        <v>617</v>
      </c>
      <c r="E1243" s="38" t="s">
        <v>3491</v>
      </c>
      <c r="F1243" s="38" t="s">
        <v>3130</v>
      </c>
      <c r="G1243" s="38" t="s">
        <v>111</v>
      </c>
      <c r="H1243" s="44">
        <v>44010</v>
      </c>
      <c r="I1243" s="44">
        <v>44018</v>
      </c>
      <c r="J1243">
        <v>401.81</v>
      </c>
      <c r="K1243">
        <v>6.6</v>
      </c>
      <c r="L1243" t="s">
        <v>3492</v>
      </c>
      <c r="M1243" s="45" t="s">
        <v>98</v>
      </c>
      <c r="N1243" s="38" t="s">
        <v>230</v>
      </c>
      <c r="O1243" s="38" t="s">
        <v>444</v>
      </c>
      <c r="P1243" s="38" t="s">
        <v>60</v>
      </c>
      <c r="Q1243" s="38" t="s">
        <v>74</v>
      </c>
      <c r="R1243" s="38" t="s">
        <v>270</v>
      </c>
      <c r="S1243" s="38" t="s">
        <v>3493</v>
      </c>
      <c r="T1243" s="38" t="s">
        <v>3494</v>
      </c>
      <c r="U1243" s="38"/>
      <c r="V1243" s="38"/>
      <c r="W1243" s="38"/>
      <c r="X1243" s="14"/>
      <c r="AN1243" s="7" t="s">
        <v>70</v>
      </c>
      <c r="AO1243" s="21">
        <f t="shared" si="63"/>
        <v>0</v>
      </c>
      <c r="AP1243" s="7">
        <f t="shared" si="62"/>
        <v>6.6</v>
      </c>
      <c r="AQ1243" s="31" t="str">
        <f t="shared" si="64"/>
        <v>Complete - No Adjustment</v>
      </c>
    </row>
    <row r="1244" spans="1:43" x14ac:dyDescent="0.2">
      <c r="A1244" s="46">
        <v>1234</v>
      </c>
      <c r="B1244" s="38" t="s">
        <v>266</v>
      </c>
      <c r="C1244" s="38" t="s">
        <v>618</v>
      </c>
      <c r="D1244" s="38" t="s">
        <v>617</v>
      </c>
      <c r="E1244" s="38" t="s">
        <v>3491</v>
      </c>
      <c r="F1244" s="38" t="s">
        <v>3130</v>
      </c>
      <c r="G1244" s="38" t="s">
        <v>111</v>
      </c>
      <c r="H1244" s="44">
        <v>44010</v>
      </c>
      <c r="I1244" s="44">
        <v>44018</v>
      </c>
      <c r="J1244">
        <v>401.81</v>
      </c>
      <c r="K1244">
        <v>52.5</v>
      </c>
      <c r="L1244" t="s">
        <v>3492</v>
      </c>
      <c r="M1244" s="45" t="s">
        <v>98</v>
      </c>
      <c r="N1244" s="38" t="s">
        <v>230</v>
      </c>
      <c r="O1244" s="38" t="s">
        <v>444</v>
      </c>
      <c r="P1244" s="38" t="s">
        <v>60</v>
      </c>
      <c r="Q1244" s="38" t="s">
        <v>74</v>
      </c>
      <c r="R1244" s="38" t="s">
        <v>270</v>
      </c>
      <c r="S1244" s="38" t="s">
        <v>3493</v>
      </c>
      <c r="T1244" s="38" t="s">
        <v>3495</v>
      </c>
      <c r="U1244" s="38"/>
      <c r="V1244" s="38"/>
      <c r="W1244" s="38"/>
      <c r="X1244" s="14"/>
      <c r="AN1244" s="7" t="s">
        <v>70</v>
      </c>
      <c r="AO1244" s="21">
        <f t="shared" si="63"/>
        <v>0</v>
      </c>
      <c r="AP1244" s="7">
        <f t="shared" si="62"/>
        <v>52.5</v>
      </c>
      <c r="AQ1244" s="31" t="str">
        <f t="shared" si="64"/>
        <v>Complete - No Adjustment</v>
      </c>
    </row>
    <row r="1245" spans="1:43" x14ac:dyDescent="0.2">
      <c r="A1245" s="46">
        <v>1235</v>
      </c>
      <c r="B1245" s="38" t="s">
        <v>266</v>
      </c>
      <c r="C1245" s="38" t="s">
        <v>618</v>
      </c>
      <c r="D1245" s="38" t="s">
        <v>617</v>
      </c>
      <c r="E1245" s="38" t="s">
        <v>3491</v>
      </c>
      <c r="F1245" s="38" t="s">
        <v>3130</v>
      </c>
      <c r="G1245" s="38" t="s">
        <v>111</v>
      </c>
      <c r="H1245" s="44">
        <v>44010</v>
      </c>
      <c r="I1245" s="44">
        <v>44018</v>
      </c>
      <c r="J1245">
        <v>401.81</v>
      </c>
      <c r="K1245">
        <v>15.14</v>
      </c>
      <c r="L1245" t="s">
        <v>3492</v>
      </c>
      <c r="M1245" s="45" t="s">
        <v>98</v>
      </c>
      <c r="N1245" s="38" t="s">
        <v>230</v>
      </c>
      <c r="O1245" s="38" t="s">
        <v>444</v>
      </c>
      <c r="P1245" s="38" t="s">
        <v>60</v>
      </c>
      <c r="Q1245" s="38" t="s">
        <v>65</v>
      </c>
      <c r="R1245" s="38" t="s">
        <v>270</v>
      </c>
      <c r="S1245" s="38" t="s">
        <v>3493</v>
      </c>
      <c r="T1245" s="38" t="s">
        <v>3496</v>
      </c>
      <c r="U1245" s="38"/>
      <c r="V1245" s="38"/>
      <c r="W1245" s="38"/>
      <c r="X1245" s="14"/>
      <c r="AN1245" s="7" t="s">
        <v>70</v>
      </c>
      <c r="AO1245" s="21">
        <f t="shared" si="63"/>
        <v>0</v>
      </c>
      <c r="AP1245" s="7">
        <f t="shared" si="62"/>
        <v>15.14</v>
      </c>
      <c r="AQ1245" s="31" t="str">
        <f t="shared" si="64"/>
        <v>Complete - No Adjustment</v>
      </c>
    </row>
    <row r="1246" spans="1:43" x14ac:dyDescent="0.2">
      <c r="A1246" s="46">
        <v>1236</v>
      </c>
      <c r="B1246" s="38" t="s">
        <v>266</v>
      </c>
      <c r="C1246" s="38" t="s">
        <v>618</v>
      </c>
      <c r="D1246" s="38" t="s">
        <v>617</v>
      </c>
      <c r="E1246" s="38" t="s">
        <v>3491</v>
      </c>
      <c r="F1246" s="38" t="s">
        <v>3130</v>
      </c>
      <c r="G1246" s="38" t="s">
        <v>111</v>
      </c>
      <c r="H1246" s="44">
        <v>44010</v>
      </c>
      <c r="I1246" s="44">
        <v>44018</v>
      </c>
      <c r="J1246">
        <v>401.81</v>
      </c>
      <c r="K1246">
        <v>14.38</v>
      </c>
      <c r="L1246" t="s">
        <v>3492</v>
      </c>
      <c r="M1246" s="45" t="s">
        <v>98</v>
      </c>
      <c r="N1246" s="38" t="s">
        <v>230</v>
      </c>
      <c r="O1246" s="38" t="s">
        <v>444</v>
      </c>
      <c r="P1246" s="38" t="s">
        <v>60</v>
      </c>
      <c r="Q1246" s="38" t="s">
        <v>41</v>
      </c>
      <c r="R1246" s="38" t="s">
        <v>270</v>
      </c>
      <c r="S1246" s="38" t="s">
        <v>3493</v>
      </c>
      <c r="T1246" s="38" t="s">
        <v>3497</v>
      </c>
      <c r="U1246" s="38"/>
      <c r="V1246" s="38"/>
      <c r="W1246" s="38"/>
      <c r="X1246" s="14"/>
      <c r="AN1246" s="7" t="s">
        <v>155</v>
      </c>
      <c r="AO1246" s="21">
        <f t="shared" si="63"/>
        <v>0</v>
      </c>
      <c r="AP1246" s="7">
        <f t="shared" si="62"/>
        <v>14.38</v>
      </c>
      <c r="AQ1246" s="31" t="str">
        <f t="shared" si="64"/>
        <v>Complete - No Adjustment</v>
      </c>
    </row>
    <row r="1247" spans="1:43" x14ac:dyDescent="0.2">
      <c r="A1247" s="46">
        <v>1237</v>
      </c>
      <c r="B1247" s="38" t="s">
        <v>266</v>
      </c>
      <c r="C1247" s="38" t="s">
        <v>618</v>
      </c>
      <c r="D1247" s="38" t="s">
        <v>617</v>
      </c>
      <c r="E1247" s="38" t="s">
        <v>3491</v>
      </c>
      <c r="F1247" s="38" t="s">
        <v>3130</v>
      </c>
      <c r="G1247" s="38" t="s">
        <v>111</v>
      </c>
      <c r="H1247" s="44">
        <v>44010</v>
      </c>
      <c r="I1247" s="44">
        <v>44018</v>
      </c>
      <c r="J1247">
        <v>401.81</v>
      </c>
      <c r="K1247">
        <v>25</v>
      </c>
      <c r="L1247" t="s">
        <v>3492</v>
      </c>
      <c r="M1247" s="45" t="s">
        <v>98</v>
      </c>
      <c r="N1247" s="38" t="s">
        <v>230</v>
      </c>
      <c r="O1247" s="38" t="s">
        <v>444</v>
      </c>
      <c r="P1247" s="38" t="s">
        <v>60</v>
      </c>
      <c r="Q1247" s="38" t="s">
        <v>41</v>
      </c>
      <c r="R1247" s="38" t="s">
        <v>270</v>
      </c>
      <c r="S1247" s="38" t="s">
        <v>3493</v>
      </c>
      <c r="T1247" s="38" t="s">
        <v>3498</v>
      </c>
      <c r="U1247" s="38"/>
      <c r="V1247" s="38"/>
      <c r="W1247" s="38"/>
      <c r="X1247" s="14"/>
      <c r="AB1247" s="14">
        <f>25-15</f>
        <v>10</v>
      </c>
      <c r="AN1247" s="7" t="s">
        <v>2958</v>
      </c>
      <c r="AO1247" s="21">
        <f t="shared" si="63"/>
        <v>10</v>
      </c>
      <c r="AP1247" s="7">
        <f t="shared" si="62"/>
        <v>15</v>
      </c>
      <c r="AQ1247" s="31" t="str">
        <f t="shared" si="64"/>
        <v>Complete - With Adjustment</v>
      </c>
    </row>
    <row r="1248" spans="1:43" x14ac:dyDescent="0.2">
      <c r="A1248" s="46">
        <v>1238</v>
      </c>
      <c r="B1248" s="38" t="s">
        <v>266</v>
      </c>
      <c r="C1248" s="38" t="s">
        <v>618</v>
      </c>
      <c r="D1248" s="38" t="s">
        <v>617</v>
      </c>
      <c r="E1248" s="38" t="s">
        <v>3491</v>
      </c>
      <c r="F1248" s="38" t="s">
        <v>3130</v>
      </c>
      <c r="G1248" s="38" t="s">
        <v>111</v>
      </c>
      <c r="H1248" s="44">
        <v>44010</v>
      </c>
      <c r="I1248" s="44">
        <v>44018</v>
      </c>
      <c r="J1248">
        <v>401.81</v>
      </c>
      <c r="K1248">
        <v>35.6</v>
      </c>
      <c r="L1248" t="s">
        <v>3492</v>
      </c>
      <c r="M1248" s="45" t="s">
        <v>98</v>
      </c>
      <c r="N1248" s="38" t="s">
        <v>230</v>
      </c>
      <c r="O1248" s="38" t="s">
        <v>444</v>
      </c>
      <c r="P1248" s="38" t="s">
        <v>60</v>
      </c>
      <c r="Q1248" s="38" t="s">
        <v>62</v>
      </c>
      <c r="R1248" s="38" t="s">
        <v>270</v>
      </c>
      <c r="S1248" s="38" t="s">
        <v>3493</v>
      </c>
      <c r="T1248" s="38" t="s">
        <v>3499</v>
      </c>
      <c r="U1248" s="38"/>
      <c r="V1248" s="38"/>
      <c r="W1248" s="38"/>
      <c r="X1248" s="14"/>
      <c r="AN1248" s="7" t="s">
        <v>70</v>
      </c>
      <c r="AO1248" s="21">
        <f t="shared" si="63"/>
        <v>0</v>
      </c>
      <c r="AP1248" s="7">
        <f t="shared" si="62"/>
        <v>35.6</v>
      </c>
      <c r="AQ1248" s="31" t="str">
        <f t="shared" si="64"/>
        <v>Complete - No Adjustment</v>
      </c>
    </row>
    <row r="1249" spans="1:43" x14ac:dyDescent="0.2">
      <c r="A1249" s="46">
        <v>1239</v>
      </c>
      <c r="B1249" s="38" t="s">
        <v>266</v>
      </c>
      <c r="C1249" s="38" t="s">
        <v>618</v>
      </c>
      <c r="D1249" s="38" t="s">
        <v>617</v>
      </c>
      <c r="E1249" s="38" t="s">
        <v>3491</v>
      </c>
      <c r="F1249" s="38" t="s">
        <v>3130</v>
      </c>
      <c r="G1249" s="38" t="s">
        <v>111</v>
      </c>
      <c r="H1249" s="44">
        <v>44010</v>
      </c>
      <c r="I1249" s="44">
        <v>44018</v>
      </c>
      <c r="J1249">
        <v>401.81</v>
      </c>
      <c r="K1249">
        <v>15</v>
      </c>
      <c r="L1249" t="s">
        <v>3492</v>
      </c>
      <c r="M1249" s="45" t="s">
        <v>98</v>
      </c>
      <c r="N1249" s="38" t="s">
        <v>230</v>
      </c>
      <c r="O1249" s="38" t="s">
        <v>444</v>
      </c>
      <c r="P1249" s="38" t="s">
        <v>60</v>
      </c>
      <c r="Q1249" s="38" t="s">
        <v>41</v>
      </c>
      <c r="R1249" s="38" t="s">
        <v>270</v>
      </c>
      <c r="S1249" s="38" t="s">
        <v>3493</v>
      </c>
      <c r="T1249" s="38" t="s">
        <v>3500</v>
      </c>
      <c r="U1249" s="38"/>
      <c r="V1249" s="38"/>
      <c r="W1249" s="38"/>
      <c r="X1249" s="14"/>
      <c r="AL1249" s="14">
        <f>15</f>
        <v>15</v>
      </c>
      <c r="AN1249" s="7" t="s">
        <v>146</v>
      </c>
      <c r="AO1249" s="21">
        <f t="shared" si="63"/>
        <v>15</v>
      </c>
      <c r="AP1249" s="7">
        <f t="shared" si="62"/>
        <v>0</v>
      </c>
      <c r="AQ1249" s="31" t="str">
        <f t="shared" si="64"/>
        <v>Complete - With Adjustment</v>
      </c>
    </row>
    <row r="1250" spans="1:43" x14ac:dyDescent="0.2">
      <c r="A1250" s="46">
        <v>1240</v>
      </c>
      <c r="B1250" s="38" t="s">
        <v>266</v>
      </c>
      <c r="C1250" s="38" t="s">
        <v>618</v>
      </c>
      <c r="D1250" s="38" t="s">
        <v>617</v>
      </c>
      <c r="E1250" s="38" t="s">
        <v>3491</v>
      </c>
      <c r="F1250" s="38" t="s">
        <v>3130</v>
      </c>
      <c r="G1250" s="38" t="s">
        <v>111</v>
      </c>
      <c r="H1250" s="44">
        <v>44010</v>
      </c>
      <c r="I1250" s="44">
        <v>44018</v>
      </c>
      <c r="J1250">
        <v>401.81</v>
      </c>
      <c r="K1250">
        <v>15.43</v>
      </c>
      <c r="L1250" t="s">
        <v>3492</v>
      </c>
      <c r="M1250" s="45" t="s">
        <v>98</v>
      </c>
      <c r="N1250" s="38" t="s">
        <v>230</v>
      </c>
      <c r="O1250" s="38" t="s">
        <v>444</v>
      </c>
      <c r="P1250" s="38" t="s">
        <v>60</v>
      </c>
      <c r="Q1250" s="38" t="s">
        <v>74</v>
      </c>
      <c r="R1250" s="38" t="s">
        <v>270</v>
      </c>
      <c r="S1250" s="38" t="s">
        <v>3493</v>
      </c>
      <c r="T1250" s="38" t="s">
        <v>3501</v>
      </c>
      <c r="U1250" s="38"/>
      <c r="V1250" s="38"/>
      <c r="W1250" s="38"/>
      <c r="X1250" s="14"/>
      <c r="AN1250" s="7" t="s">
        <v>70</v>
      </c>
      <c r="AO1250" s="21">
        <f t="shared" si="63"/>
        <v>0</v>
      </c>
      <c r="AP1250" s="7">
        <f t="shared" si="62"/>
        <v>15.43</v>
      </c>
      <c r="AQ1250" s="31" t="str">
        <f t="shared" si="64"/>
        <v>Complete - No Adjustment</v>
      </c>
    </row>
    <row r="1251" spans="1:43" x14ac:dyDescent="0.2">
      <c r="A1251" s="46">
        <v>1241</v>
      </c>
      <c r="B1251" s="38" t="s">
        <v>266</v>
      </c>
      <c r="C1251" s="38" t="s">
        <v>618</v>
      </c>
      <c r="D1251" s="38" t="s">
        <v>617</v>
      </c>
      <c r="E1251" s="38" t="s">
        <v>3491</v>
      </c>
      <c r="F1251" s="38" t="s">
        <v>3130</v>
      </c>
      <c r="G1251" s="38" t="s">
        <v>111</v>
      </c>
      <c r="H1251" s="44">
        <v>44010</v>
      </c>
      <c r="I1251" s="44">
        <v>44018</v>
      </c>
      <c r="J1251">
        <v>401.81</v>
      </c>
      <c r="K1251">
        <v>99</v>
      </c>
      <c r="L1251" t="s">
        <v>3492</v>
      </c>
      <c r="M1251" s="45" t="s">
        <v>98</v>
      </c>
      <c r="N1251" s="38" t="s">
        <v>230</v>
      </c>
      <c r="O1251" s="38" t="s">
        <v>444</v>
      </c>
      <c r="P1251" s="38" t="s">
        <v>60</v>
      </c>
      <c r="Q1251" s="38" t="s">
        <v>74</v>
      </c>
      <c r="R1251" s="38" t="s">
        <v>270</v>
      </c>
      <c r="S1251" s="38" t="s">
        <v>3493</v>
      </c>
      <c r="T1251" s="38" t="s">
        <v>3502</v>
      </c>
      <c r="U1251" s="38"/>
      <c r="V1251" s="38"/>
      <c r="W1251" s="38"/>
      <c r="X1251" s="14"/>
      <c r="AN1251" s="7" t="s">
        <v>70</v>
      </c>
      <c r="AO1251" s="21">
        <f t="shared" si="63"/>
        <v>0</v>
      </c>
      <c r="AP1251" s="7">
        <f t="shared" si="62"/>
        <v>99</v>
      </c>
      <c r="AQ1251" s="31" t="str">
        <f t="shared" si="64"/>
        <v>Complete - No Adjustment</v>
      </c>
    </row>
    <row r="1252" spans="1:43" x14ac:dyDescent="0.2">
      <c r="A1252" s="46">
        <v>1242</v>
      </c>
      <c r="B1252" s="38" t="s">
        <v>266</v>
      </c>
      <c r="C1252" s="38" t="s">
        <v>618</v>
      </c>
      <c r="D1252" s="38" t="s">
        <v>617</v>
      </c>
      <c r="E1252" s="38" t="s">
        <v>3491</v>
      </c>
      <c r="F1252" s="38" t="s">
        <v>3130</v>
      </c>
      <c r="G1252" s="38" t="s">
        <v>111</v>
      </c>
      <c r="H1252" s="44">
        <v>44010</v>
      </c>
      <c r="I1252" s="44">
        <v>44018</v>
      </c>
      <c r="J1252">
        <v>401.81</v>
      </c>
      <c r="K1252">
        <v>39.72</v>
      </c>
      <c r="L1252" t="s">
        <v>3492</v>
      </c>
      <c r="M1252" s="45" t="s">
        <v>98</v>
      </c>
      <c r="N1252" s="38" t="s">
        <v>230</v>
      </c>
      <c r="O1252" s="38" t="s">
        <v>444</v>
      </c>
      <c r="P1252" s="38" t="s">
        <v>60</v>
      </c>
      <c r="Q1252" s="38" t="s">
        <v>74</v>
      </c>
      <c r="R1252" s="38" t="s">
        <v>270</v>
      </c>
      <c r="S1252" s="38" t="s">
        <v>3493</v>
      </c>
      <c r="T1252" s="38" t="s">
        <v>3503</v>
      </c>
      <c r="U1252" s="38"/>
      <c r="V1252" s="38"/>
      <c r="W1252" s="38"/>
      <c r="X1252" s="14"/>
      <c r="AN1252" s="7" t="s">
        <v>70</v>
      </c>
      <c r="AO1252" s="21">
        <f t="shared" si="63"/>
        <v>0</v>
      </c>
      <c r="AP1252" s="7">
        <f t="shared" si="62"/>
        <v>39.72</v>
      </c>
      <c r="AQ1252" s="31" t="str">
        <f t="shared" si="64"/>
        <v>Complete - No Adjustment</v>
      </c>
    </row>
    <row r="1253" spans="1:43" x14ac:dyDescent="0.2">
      <c r="A1253" s="46">
        <v>1243</v>
      </c>
      <c r="B1253" s="38" t="s">
        <v>266</v>
      </c>
      <c r="C1253" s="38" t="s">
        <v>618</v>
      </c>
      <c r="D1253" s="38" t="s">
        <v>617</v>
      </c>
      <c r="E1253" s="38" t="s">
        <v>3491</v>
      </c>
      <c r="F1253" s="38" t="s">
        <v>3130</v>
      </c>
      <c r="G1253" s="38" t="s">
        <v>111</v>
      </c>
      <c r="H1253" s="44">
        <v>44010</v>
      </c>
      <c r="I1253" s="44">
        <v>44018</v>
      </c>
      <c r="J1253">
        <v>401.81</v>
      </c>
      <c r="K1253">
        <v>21.64</v>
      </c>
      <c r="L1253" t="s">
        <v>3492</v>
      </c>
      <c r="M1253" s="45" t="s">
        <v>98</v>
      </c>
      <c r="N1253" s="38" t="s">
        <v>230</v>
      </c>
      <c r="O1253" s="38" t="s">
        <v>444</v>
      </c>
      <c r="P1253" s="38" t="s">
        <v>60</v>
      </c>
      <c r="Q1253" s="38" t="s">
        <v>74</v>
      </c>
      <c r="R1253" s="38" t="s">
        <v>270</v>
      </c>
      <c r="S1253" s="38" t="s">
        <v>3493</v>
      </c>
      <c r="T1253" s="38" t="s">
        <v>3504</v>
      </c>
      <c r="U1253" s="38"/>
      <c r="V1253" s="38"/>
      <c r="W1253" s="38"/>
      <c r="X1253" s="14"/>
      <c r="AN1253" s="7" t="s">
        <v>70</v>
      </c>
      <c r="AO1253" s="21">
        <f t="shared" si="63"/>
        <v>0</v>
      </c>
      <c r="AP1253" s="7">
        <f t="shared" si="62"/>
        <v>21.64</v>
      </c>
      <c r="AQ1253" s="31" t="str">
        <f t="shared" si="64"/>
        <v>Complete - No Adjustment</v>
      </c>
    </row>
    <row r="1254" spans="1:43" x14ac:dyDescent="0.2">
      <c r="A1254" s="46">
        <v>1244</v>
      </c>
      <c r="B1254" s="38" t="s">
        <v>266</v>
      </c>
      <c r="C1254" s="38" t="s">
        <v>618</v>
      </c>
      <c r="D1254" s="38" t="s">
        <v>617</v>
      </c>
      <c r="E1254" s="38" t="s">
        <v>3491</v>
      </c>
      <c r="F1254" s="38" t="s">
        <v>3130</v>
      </c>
      <c r="G1254" s="38" t="s">
        <v>111</v>
      </c>
      <c r="H1254" s="44">
        <v>44010</v>
      </c>
      <c r="I1254" s="44">
        <v>44018</v>
      </c>
      <c r="J1254">
        <v>401.81</v>
      </c>
      <c r="K1254">
        <v>57.71</v>
      </c>
      <c r="L1254" t="s">
        <v>3492</v>
      </c>
      <c r="M1254" s="45" t="s">
        <v>98</v>
      </c>
      <c r="N1254" s="38" t="s">
        <v>230</v>
      </c>
      <c r="O1254" s="38" t="s">
        <v>444</v>
      </c>
      <c r="P1254" s="38" t="s">
        <v>60</v>
      </c>
      <c r="Q1254" s="38" t="s">
        <v>41</v>
      </c>
      <c r="R1254" s="38" t="s">
        <v>270</v>
      </c>
      <c r="S1254" s="38" t="s">
        <v>3493</v>
      </c>
      <c r="T1254" s="38" t="s">
        <v>3505</v>
      </c>
      <c r="U1254" s="38"/>
      <c r="V1254" s="38"/>
      <c r="W1254" s="38"/>
      <c r="X1254" s="14"/>
      <c r="AL1254" s="14">
        <f>57.71</f>
        <v>57.71</v>
      </c>
      <c r="AN1254" s="7" t="s">
        <v>146</v>
      </c>
      <c r="AO1254" s="21">
        <f t="shared" si="63"/>
        <v>57.71</v>
      </c>
      <c r="AP1254" s="7">
        <f t="shared" si="62"/>
        <v>0</v>
      </c>
      <c r="AQ1254" s="31" t="str">
        <f t="shared" si="64"/>
        <v>Complete - With Adjustment</v>
      </c>
    </row>
    <row r="1255" spans="1:43" x14ac:dyDescent="0.2">
      <c r="A1255" s="46">
        <v>1245</v>
      </c>
      <c r="B1255" s="38" t="s">
        <v>266</v>
      </c>
      <c r="C1255" s="38" t="s">
        <v>618</v>
      </c>
      <c r="D1255" s="38" t="s">
        <v>617</v>
      </c>
      <c r="E1255" s="38" t="s">
        <v>3491</v>
      </c>
      <c r="F1255" s="38" t="s">
        <v>3130</v>
      </c>
      <c r="G1255" s="38" t="s">
        <v>111</v>
      </c>
      <c r="H1255" s="44">
        <v>44010</v>
      </c>
      <c r="I1255" s="44">
        <v>44018</v>
      </c>
      <c r="J1255">
        <v>401.81</v>
      </c>
      <c r="K1255">
        <v>4.09</v>
      </c>
      <c r="L1255" t="s">
        <v>3492</v>
      </c>
      <c r="M1255" s="45" t="s">
        <v>98</v>
      </c>
      <c r="N1255" s="38" t="s">
        <v>230</v>
      </c>
      <c r="O1255" s="38" t="s">
        <v>444</v>
      </c>
      <c r="P1255" s="38" t="s">
        <v>60</v>
      </c>
      <c r="Q1255" s="38" t="s">
        <v>74</v>
      </c>
      <c r="R1255" s="38" t="s">
        <v>270</v>
      </c>
      <c r="S1255" s="38" t="s">
        <v>3493</v>
      </c>
      <c r="T1255" s="38" t="s">
        <v>3506</v>
      </c>
      <c r="U1255" s="38"/>
      <c r="V1255" s="38"/>
      <c r="W1255" s="38"/>
      <c r="X1255" s="14"/>
      <c r="AN1255" s="7" t="s">
        <v>70</v>
      </c>
      <c r="AO1255" s="21">
        <f t="shared" si="63"/>
        <v>0</v>
      </c>
      <c r="AP1255" s="7">
        <f t="shared" si="62"/>
        <v>4.09</v>
      </c>
      <c r="AQ1255" s="31" t="str">
        <f t="shared" si="64"/>
        <v>Complete - No Adjustment</v>
      </c>
    </row>
    <row r="1256" spans="1:43" x14ac:dyDescent="0.2">
      <c r="A1256" s="46">
        <v>1246</v>
      </c>
      <c r="B1256" s="38" t="s">
        <v>266</v>
      </c>
      <c r="C1256" s="38" t="s">
        <v>564</v>
      </c>
      <c r="D1256" s="38" t="s">
        <v>1429</v>
      </c>
      <c r="E1256" s="38" t="s">
        <v>3507</v>
      </c>
      <c r="F1256" s="38" t="s">
        <v>2977</v>
      </c>
      <c r="G1256" s="38" t="s">
        <v>111</v>
      </c>
      <c r="H1256" s="44">
        <v>44015</v>
      </c>
      <c r="I1256" s="44">
        <v>44022</v>
      </c>
      <c r="J1256">
        <v>7.74</v>
      </c>
      <c r="K1256">
        <v>7.74</v>
      </c>
      <c r="L1256" t="s">
        <v>3508</v>
      </c>
      <c r="M1256" s="45" t="s">
        <v>98</v>
      </c>
      <c r="N1256" s="38" t="s">
        <v>230</v>
      </c>
      <c r="O1256" s="38" t="s">
        <v>269</v>
      </c>
      <c r="P1256" s="38" t="s">
        <v>60</v>
      </c>
      <c r="Q1256" s="38" t="s">
        <v>41</v>
      </c>
      <c r="R1256" s="38" t="s">
        <v>270</v>
      </c>
      <c r="S1256" s="38" t="s">
        <v>3509</v>
      </c>
      <c r="T1256" s="38" t="s">
        <v>3510</v>
      </c>
      <c r="U1256" s="38"/>
      <c r="V1256" s="38"/>
      <c r="W1256" s="38"/>
      <c r="X1256" s="14"/>
      <c r="AN1256" s="7" t="s">
        <v>70</v>
      </c>
      <c r="AO1256" s="21">
        <f t="shared" si="63"/>
        <v>0</v>
      </c>
      <c r="AP1256" s="7">
        <f t="shared" si="62"/>
        <v>7.74</v>
      </c>
      <c r="AQ1256" s="31" t="str">
        <f t="shared" si="64"/>
        <v>Complete - No Adjustment</v>
      </c>
    </row>
    <row r="1257" spans="1:43" x14ac:dyDescent="0.2">
      <c r="A1257" s="46">
        <v>1247</v>
      </c>
      <c r="B1257" s="38" t="s">
        <v>266</v>
      </c>
      <c r="C1257" s="38" t="s">
        <v>453</v>
      </c>
      <c r="D1257" s="38" t="s">
        <v>452</v>
      </c>
      <c r="E1257" s="38" t="s">
        <v>3511</v>
      </c>
      <c r="F1257" s="38" t="s">
        <v>3018</v>
      </c>
      <c r="G1257" s="38" t="s">
        <v>111</v>
      </c>
      <c r="H1257" s="44">
        <v>44026</v>
      </c>
      <c r="I1257" s="44">
        <v>44028</v>
      </c>
      <c r="J1257">
        <v>556.84</v>
      </c>
      <c r="K1257">
        <v>61.84</v>
      </c>
      <c r="L1257" t="s">
        <v>3512</v>
      </c>
      <c r="M1257" s="45" t="s">
        <v>98</v>
      </c>
      <c r="N1257" s="38" t="s">
        <v>230</v>
      </c>
      <c r="O1257" s="38" t="s">
        <v>362</v>
      </c>
      <c r="P1257" s="38" t="s">
        <v>60</v>
      </c>
      <c r="Q1257" s="38" t="s">
        <v>62</v>
      </c>
      <c r="R1257" s="38" t="s">
        <v>270</v>
      </c>
      <c r="S1257" s="38" t="s">
        <v>3513</v>
      </c>
      <c r="T1257" s="38" t="s">
        <v>3514</v>
      </c>
      <c r="U1257" s="38"/>
      <c r="V1257" s="38"/>
      <c r="W1257" s="38"/>
      <c r="X1257" s="14"/>
      <c r="AN1257" s="7" t="s">
        <v>70</v>
      </c>
      <c r="AO1257" s="21">
        <f t="shared" si="63"/>
        <v>0</v>
      </c>
      <c r="AP1257" s="7">
        <f t="shared" si="62"/>
        <v>61.84</v>
      </c>
      <c r="AQ1257" s="31" t="str">
        <f t="shared" si="64"/>
        <v>Complete - No Adjustment</v>
      </c>
    </row>
    <row r="1258" spans="1:43" x14ac:dyDescent="0.2">
      <c r="A1258" s="46">
        <v>1248</v>
      </c>
      <c r="B1258" s="38" t="s">
        <v>266</v>
      </c>
      <c r="C1258" s="38" t="s">
        <v>453</v>
      </c>
      <c r="D1258" s="38" t="s">
        <v>452</v>
      </c>
      <c r="E1258" s="38" t="s">
        <v>3511</v>
      </c>
      <c r="F1258" s="38" t="s">
        <v>3018</v>
      </c>
      <c r="G1258" s="38" t="s">
        <v>111</v>
      </c>
      <c r="H1258" s="44">
        <v>44026</v>
      </c>
      <c r="I1258" s="44">
        <v>44028</v>
      </c>
      <c r="J1258">
        <v>556.84</v>
      </c>
      <c r="K1258">
        <v>495</v>
      </c>
      <c r="L1258" t="s">
        <v>3512</v>
      </c>
      <c r="M1258" s="45" t="s">
        <v>98</v>
      </c>
      <c r="N1258" s="38" t="s">
        <v>230</v>
      </c>
      <c r="O1258" s="38" t="s">
        <v>362</v>
      </c>
      <c r="P1258" s="38" t="s">
        <v>60</v>
      </c>
      <c r="Q1258" s="38" t="s">
        <v>59</v>
      </c>
      <c r="R1258" s="38" t="s">
        <v>270</v>
      </c>
      <c r="S1258" s="38" t="s">
        <v>3513</v>
      </c>
      <c r="T1258" s="38" t="s">
        <v>3515</v>
      </c>
      <c r="U1258" s="38"/>
      <c r="V1258" s="38"/>
      <c r="W1258" s="38"/>
      <c r="X1258" s="14"/>
      <c r="AN1258" s="7" t="s">
        <v>70</v>
      </c>
      <c r="AO1258" s="21">
        <f t="shared" si="63"/>
        <v>0</v>
      </c>
      <c r="AP1258" s="7">
        <f t="shared" si="62"/>
        <v>495</v>
      </c>
      <c r="AQ1258" s="31" t="str">
        <f t="shared" si="64"/>
        <v>Complete - No Adjustment</v>
      </c>
    </row>
    <row r="1259" spans="1:43" x14ac:dyDescent="0.2">
      <c r="A1259" s="46">
        <v>1249</v>
      </c>
      <c r="B1259" s="38" t="s">
        <v>266</v>
      </c>
      <c r="C1259" s="38" t="s">
        <v>620</v>
      </c>
      <c r="D1259" s="38" t="s">
        <v>619</v>
      </c>
      <c r="E1259" s="38" t="s">
        <v>3516</v>
      </c>
      <c r="F1259" s="38" t="s">
        <v>2972</v>
      </c>
      <c r="G1259" s="38" t="s">
        <v>111</v>
      </c>
      <c r="H1259" s="44">
        <v>44035</v>
      </c>
      <c r="I1259" s="44">
        <v>44039</v>
      </c>
      <c r="J1259">
        <v>14</v>
      </c>
      <c r="K1259">
        <v>14</v>
      </c>
      <c r="L1259" t="s">
        <v>3517</v>
      </c>
      <c r="M1259" s="45" t="s">
        <v>98</v>
      </c>
      <c r="N1259" s="38" t="s">
        <v>230</v>
      </c>
      <c r="O1259" s="38" t="s">
        <v>320</v>
      </c>
      <c r="P1259" s="38" t="s">
        <v>60</v>
      </c>
      <c r="Q1259" s="38" t="s">
        <v>41</v>
      </c>
      <c r="R1259" s="38" t="s">
        <v>270</v>
      </c>
      <c r="S1259" s="38" t="s">
        <v>3518</v>
      </c>
      <c r="T1259" s="38" t="s">
        <v>3519</v>
      </c>
      <c r="U1259" s="38"/>
      <c r="V1259" s="38"/>
      <c r="W1259" s="38"/>
      <c r="X1259" s="14"/>
      <c r="AL1259" s="14">
        <f>14</f>
        <v>14</v>
      </c>
      <c r="AN1259" s="7" t="s">
        <v>2957</v>
      </c>
      <c r="AO1259" s="21">
        <f t="shared" si="63"/>
        <v>14</v>
      </c>
      <c r="AP1259" s="7">
        <f t="shared" si="62"/>
        <v>0</v>
      </c>
      <c r="AQ1259" s="31" t="str">
        <f t="shared" si="64"/>
        <v>Complete - With Adjustment</v>
      </c>
    </row>
    <row r="1260" spans="1:43" x14ac:dyDescent="0.2">
      <c r="A1260" s="46">
        <v>1250</v>
      </c>
      <c r="B1260" s="38" t="s">
        <v>266</v>
      </c>
      <c r="C1260" s="38" t="s">
        <v>568</v>
      </c>
      <c r="D1260" s="38" t="s">
        <v>567</v>
      </c>
      <c r="E1260" s="38" t="s">
        <v>3520</v>
      </c>
      <c r="F1260" s="38" t="s">
        <v>2994</v>
      </c>
      <c r="G1260" s="38" t="s">
        <v>111</v>
      </c>
      <c r="H1260" s="44">
        <v>44034</v>
      </c>
      <c r="I1260" s="44">
        <v>44043</v>
      </c>
      <c r="J1260">
        <v>16.23</v>
      </c>
      <c r="K1260">
        <v>16.23</v>
      </c>
      <c r="L1260" t="s">
        <v>3521</v>
      </c>
      <c r="M1260" s="45" t="s">
        <v>98</v>
      </c>
      <c r="N1260" s="38" t="s">
        <v>230</v>
      </c>
      <c r="O1260" s="38" t="s">
        <v>303</v>
      </c>
      <c r="P1260" s="38" t="s">
        <v>60</v>
      </c>
      <c r="Q1260" s="38" t="s">
        <v>41</v>
      </c>
      <c r="R1260" s="38" t="s">
        <v>270</v>
      </c>
      <c r="S1260" s="38" t="s">
        <v>3522</v>
      </c>
      <c r="T1260" s="38" t="s">
        <v>3523</v>
      </c>
      <c r="U1260" s="38"/>
      <c r="V1260" s="38"/>
      <c r="W1260" s="38"/>
      <c r="X1260" s="14"/>
      <c r="AN1260" s="7" t="s">
        <v>155</v>
      </c>
      <c r="AO1260" s="21">
        <f t="shared" si="63"/>
        <v>0</v>
      </c>
      <c r="AP1260" s="7">
        <f t="shared" si="62"/>
        <v>16.23</v>
      </c>
      <c r="AQ1260" s="31" t="str">
        <f t="shared" si="64"/>
        <v>Complete - No Adjustment</v>
      </c>
    </row>
    <row r="1261" spans="1:43" x14ac:dyDescent="0.2">
      <c r="A1261" s="46">
        <v>1251</v>
      </c>
      <c r="B1261" s="38" t="s">
        <v>266</v>
      </c>
      <c r="C1261" s="38" t="s">
        <v>462</v>
      </c>
      <c r="D1261" s="38" t="s">
        <v>461</v>
      </c>
      <c r="E1261" s="38" t="s">
        <v>3524</v>
      </c>
      <c r="F1261" s="38" t="s">
        <v>3039</v>
      </c>
      <c r="G1261" s="38" t="s">
        <v>111</v>
      </c>
      <c r="H1261" s="44">
        <v>44039</v>
      </c>
      <c r="I1261" s="44">
        <v>44041</v>
      </c>
      <c r="J1261">
        <v>8.1</v>
      </c>
      <c r="K1261">
        <v>8.1</v>
      </c>
      <c r="L1261" t="s">
        <v>3525</v>
      </c>
      <c r="M1261" s="45" t="s">
        <v>98</v>
      </c>
      <c r="N1261" s="38" t="s">
        <v>230</v>
      </c>
      <c r="O1261" s="38" t="s">
        <v>288</v>
      </c>
      <c r="P1261" s="38" t="s">
        <v>60</v>
      </c>
      <c r="Q1261" s="38" t="s">
        <v>41</v>
      </c>
      <c r="R1261" s="38" t="s">
        <v>270</v>
      </c>
      <c r="S1261" s="38" t="s">
        <v>3526</v>
      </c>
      <c r="T1261" s="38" t="s">
        <v>3527</v>
      </c>
      <c r="U1261" s="38"/>
      <c r="V1261" s="38"/>
      <c r="W1261" s="38"/>
      <c r="X1261" s="14"/>
      <c r="AN1261" s="7" t="s">
        <v>70</v>
      </c>
      <c r="AO1261" s="21">
        <f t="shared" si="63"/>
        <v>0</v>
      </c>
      <c r="AP1261" s="7">
        <f t="shared" si="62"/>
        <v>8.1</v>
      </c>
      <c r="AQ1261" s="31" t="str">
        <f t="shared" si="64"/>
        <v>Complete - No Adjustment</v>
      </c>
    </row>
    <row r="1262" spans="1:43" x14ac:dyDescent="0.2">
      <c r="A1262" s="46">
        <v>1252</v>
      </c>
      <c r="B1262" s="38" t="s">
        <v>266</v>
      </c>
      <c r="C1262" s="38" t="s">
        <v>462</v>
      </c>
      <c r="D1262" s="38" t="s">
        <v>461</v>
      </c>
      <c r="E1262" s="38" t="s">
        <v>3528</v>
      </c>
      <c r="F1262" s="38" t="s">
        <v>3074</v>
      </c>
      <c r="G1262" s="38" t="s">
        <v>111</v>
      </c>
      <c r="H1262" s="44">
        <v>44014</v>
      </c>
      <c r="I1262" s="44">
        <v>44020</v>
      </c>
      <c r="J1262">
        <v>11.36</v>
      </c>
      <c r="K1262">
        <v>11.36</v>
      </c>
      <c r="L1262" t="s">
        <v>3529</v>
      </c>
      <c r="M1262" s="45" t="s">
        <v>98</v>
      </c>
      <c r="N1262" s="38" t="s">
        <v>230</v>
      </c>
      <c r="O1262" s="38" t="s">
        <v>288</v>
      </c>
      <c r="P1262" s="38" t="s">
        <v>60</v>
      </c>
      <c r="Q1262" s="38" t="s">
        <v>41</v>
      </c>
      <c r="R1262" s="38" t="s">
        <v>270</v>
      </c>
      <c r="S1262" s="38" t="s">
        <v>3530</v>
      </c>
      <c r="T1262" s="38" t="s">
        <v>3531</v>
      </c>
      <c r="U1262" s="38"/>
      <c r="V1262" s="38"/>
      <c r="W1262" s="38"/>
      <c r="X1262" s="14"/>
      <c r="AN1262" s="7" t="s">
        <v>155</v>
      </c>
      <c r="AO1262" s="21">
        <f t="shared" si="63"/>
        <v>0</v>
      </c>
      <c r="AP1262" s="7">
        <f t="shared" si="62"/>
        <v>11.36</v>
      </c>
      <c r="AQ1262" s="31" t="str">
        <f t="shared" si="64"/>
        <v>Complete - No Adjustment</v>
      </c>
    </row>
    <row r="1263" spans="1:43" x14ac:dyDescent="0.2">
      <c r="A1263" s="46">
        <v>1253</v>
      </c>
      <c r="B1263" s="38" t="s">
        <v>266</v>
      </c>
      <c r="C1263" s="38" t="s">
        <v>462</v>
      </c>
      <c r="D1263" s="38" t="s">
        <v>461</v>
      </c>
      <c r="E1263" s="38" t="s">
        <v>3532</v>
      </c>
      <c r="F1263" s="38" t="s">
        <v>3149</v>
      </c>
      <c r="G1263" s="38" t="s">
        <v>111</v>
      </c>
      <c r="H1263" s="44">
        <v>44031</v>
      </c>
      <c r="I1263" s="44">
        <v>44033</v>
      </c>
      <c r="J1263">
        <v>11.36</v>
      </c>
      <c r="K1263">
        <v>11.36</v>
      </c>
      <c r="L1263" t="s">
        <v>3533</v>
      </c>
      <c r="M1263" s="45" t="s">
        <v>98</v>
      </c>
      <c r="N1263" s="38" t="s">
        <v>230</v>
      </c>
      <c r="O1263" s="38" t="s">
        <v>288</v>
      </c>
      <c r="P1263" s="38" t="s">
        <v>60</v>
      </c>
      <c r="Q1263" s="38" t="s">
        <v>41</v>
      </c>
      <c r="R1263" s="38" t="s">
        <v>270</v>
      </c>
      <c r="S1263" s="38" t="s">
        <v>3534</v>
      </c>
      <c r="T1263" s="38" t="s">
        <v>3535</v>
      </c>
      <c r="U1263" s="38"/>
      <c r="V1263" s="38"/>
      <c r="W1263" s="38"/>
      <c r="X1263" s="14"/>
      <c r="AL1263" s="14">
        <f>11.36</f>
        <v>11.36</v>
      </c>
      <c r="AN1263" s="7" t="s">
        <v>2957</v>
      </c>
      <c r="AO1263" s="21">
        <f t="shared" si="63"/>
        <v>11.36</v>
      </c>
      <c r="AP1263" s="7">
        <f t="shared" si="62"/>
        <v>0</v>
      </c>
      <c r="AQ1263" s="31" t="str">
        <f t="shared" si="64"/>
        <v>Complete - With Adjustment</v>
      </c>
    </row>
    <row r="1264" spans="1:43" x14ac:dyDescent="0.2">
      <c r="A1264" s="46">
        <v>1254</v>
      </c>
      <c r="B1264" s="38" t="s">
        <v>266</v>
      </c>
      <c r="C1264" s="38" t="s">
        <v>462</v>
      </c>
      <c r="D1264" s="38" t="s">
        <v>461</v>
      </c>
      <c r="E1264" s="38" t="s">
        <v>3536</v>
      </c>
      <c r="F1264" s="38" t="s">
        <v>3074</v>
      </c>
      <c r="G1264" s="38" t="s">
        <v>111</v>
      </c>
      <c r="H1264" s="44">
        <v>44014</v>
      </c>
      <c r="I1264" s="44">
        <v>44020</v>
      </c>
      <c r="J1264">
        <v>14.6</v>
      </c>
      <c r="K1264">
        <v>14.6</v>
      </c>
      <c r="L1264" t="s">
        <v>3537</v>
      </c>
      <c r="M1264" s="45" t="s">
        <v>98</v>
      </c>
      <c r="N1264" s="38" t="s">
        <v>230</v>
      </c>
      <c r="O1264" s="38" t="s">
        <v>288</v>
      </c>
      <c r="P1264" s="38" t="s">
        <v>60</v>
      </c>
      <c r="Q1264" s="38" t="s">
        <v>41</v>
      </c>
      <c r="R1264" s="38" t="s">
        <v>270</v>
      </c>
      <c r="S1264" s="38" t="s">
        <v>3538</v>
      </c>
      <c r="T1264" s="38" t="s">
        <v>3539</v>
      </c>
      <c r="U1264" s="38"/>
      <c r="V1264" s="38"/>
      <c r="W1264" s="38"/>
      <c r="X1264" s="14"/>
      <c r="AN1264" s="7" t="s">
        <v>155</v>
      </c>
      <c r="AO1264" s="21">
        <f t="shared" si="63"/>
        <v>0</v>
      </c>
      <c r="AP1264" s="7">
        <f t="shared" si="62"/>
        <v>14.6</v>
      </c>
      <c r="AQ1264" s="31" t="str">
        <f t="shared" si="64"/>
        <v>Complete - No Adjustment</v>
      </c>
    </row>
    <row r="1265" spans="1:43" x14ac:dyDescent="0.2">
      <c r="A1265" s="46">
        <v>1255</v>
      </c>
      <c r="B1265" s="38" t="s">
        <v>266</v>
      </c>
      <c r="C1265" s="38" t="s">
        <v>660</v>
      </c>
      <c r="D1265" s="38" t="s">
        <v>659</v>
      </c>
      <c r="E1265" s="38" t="s">
        <v>3540</v>
      </c>
      <c r="F1265" s="38" t="s">
        <v>3039</v>
      </c>
      <c r="G1265" s="38" t="s">
        <v>111</v>
      </c>
      <c r="H1265" s="44">
        <v>44036</v>
      </c>
      <c r="I1265" s="44">
        <v>44041</v>
      </c>
      <c r="J1265">
        <v>10.65</v>
      </c>
      <c r="K1265">
        <v>10.65</v>
      </c>
      <c r="L1265" t="s">
        <v>3541</v>
      </c>
      <c r="M1265" s="45" t="s">
        <v>98</v>
      </c>
      <c r="N1265" s="38" t="s">
        <v>230</v>
      </c>
      <c r="O1265" s="38" t="s">
        <v>320</v>
      </c>
      <c r="P1265" s="38" t="s">
        <v>60</v>
      </c>
      <c r="Q1265" s="38" t="s">
        <v>41</v>
      </c>
      <c r="R1265" s="38" t="s">
        <v>270</v>
      </c>
      <c r="S1265" s="38" t="s">
        <v>3542</v>
      </c>
      <c r="T1265" s="38" t="s">
        <v>3543</v>
      </c>
      <c r="U1265" s="38"/>
      <c r="V1265" s="38"/>
      <c r="W1265" s="38"/>
      <c r="X1265" s="14"/>
      <c r="AN1265" s="7" t="s">
        <v>155</v>
      </c>
      <c r="AO1265" s="21">
        <f t="shared" si="63"/>
        <v>0</v>
      </c>
      <c r="AP1265" s="7">
        <f t="shared" si="62"/>
        <v>10.65</v>
      </c>
      <c r="AQ1265" s="31" t="str">
        <f t="shared" si="64"/>
        <v>Complete - No Adjustment</v>
      </c>
    </row>
    <row r="1266" spans="1:43" x14ac:dyDescent="0.2">
      <c r="A1266" s="46">
        <v>1256</v>
      </c>
      <c r="B1266" s="38" t="s">
        <v>266</v>
      </c>
      <c r="C1266" s="38" t="s">
        <v>157</v>
      </c>
      <c r="D1266" s="38" t="s">
        <v>158</v>
      </c>
      <c r="E1266" s="38" t="s">
        <v>3544</v>
      </c>
      <c r="F1266" s="38" t="s">
        <v>3130</v>
      </c>
      <c r="G1266" s="38" t="s">
        <v>111</v>
      </c>
      <c r="H1266" s="44">
        <v>44014</v>
      </c>
      <c r="I1266" s="44">
        <v>44018</v>
      </c>
      <c r="J1266">
        <v>557.96</v>
      </c>
      <c r="K1266">
        <v>15</v>
      </c>
      <c r="L1266" t="s">
        <v>3545</v>
      </c>
      <c r="M1266" s="45" t="s">
        <v>98</v>
      </c>
      <c r="N1266" s="38" t="s">
        <v>230</v>
      </c>
      <c r="O1266" s="38" t="s">
        <v>362</v>
      </c>
      <c r="P1266" s="38" t="s">
        <v>60</v>
      </c>
      <c r="Q1266" s="38" t="s">
        <v>41</v>
      </c>
      <c r="R1266" s="38" t="s">
        <v>270</v>
      </c>
      <c r="S1266" s="38" t="s">
        <v>3546</v>
      </c>
      <c r="T1266" s="38" t="s">
        <v>3547</v>
      </c>
      <c r="U1266" s="38"/>
      <c r="V1266" s="38"/>
      <c r="W1266" s="38"/>
      <c r="X1266" s="14"/>
      <c r="AN1266" s="7" t="s">
        <v>155</v>
      </c>
      <c r="AO1266" s="21">
        <f t="shared" si="63"/>
        <v>0</v>
      </c>
      <c r="AP1266" s="7">
        <f t="shared" si="62"/>
        <v>15</v>
      </c>
      <c r="AQ1266" s="31" t="str">
        <f t="shared" si="64"/>
        <v>Complete - No Adjustment</v>
      </c>
    </row>
    <row r="1267" spans="1:43" x14ac:dyDescent="0.2">
      <c r="A1267" s="46">
        <v>1257</v>
      </c>
      <c r="B1267" s="38" t="s">
        <v>266</v>
      </c>
      <c r="C1267" s="38" t="s">
        <v>157</v>
      </c>
      <c r="D1267" s="38" t="s">
        <v>158</v>
      </c>
      <c r="E1267" s="38" t="s">
        <v>3544</v>
      </c>
      <c r="F1267" s="38" t="s">
        <v>3130</v>
      </c>
      <c r="G1267" s="38" t="s">
        <v>111</v>
      </c>
      <c r="H1267" s="44">
        <v>44014</v>
      </c>
      <c r="I1267" s="44">
        <v>44018</v>
      </c>
      <c r="J1267">
        <v>557.96</v>
      </c>
      <c r="K1267">
        <v>257.95999999999998</v>
      </c>
      <c r="L1267" t="s">
        <v>3545</v>
      </c>
      <c r="M1267" s="45" t="s">
        <v>98</v>
      </c>
      <c r="N1267" s="38" t="s">
        <v>230</v>
      </c>
      <c r="O1267" s="38" t="s">
        <v>362</v>
      </c>
      <c r="P1267" s="38" t="s">
        <v>60</v>
      </c>
      <c r="Q1267" s="38" t="s">
        <v>44</v>
      </c>
      <c r="R1267" s="38" t="s">
        <v>270</v>
      </c>
      <c r="S1267" s="38" t="s">
        <v>3546</v>
      </c>
      <c r="T1267" s="38" t="s">
        <v>3548</v>
      </c>
      <c r="U1267" s="38"/>
      <c r="V1267" s="38"/>
      <c r="W1267" s="38"/>
      <c r="X1267" s="14"/>
      <c r="AN1267" s="7" t="s">
        <v>70</v>
      </c>
      <c r="AO1267" s="21">
        <f t="shared" si="63"/>
        <v>0</v>
      </c>
      <c r="AP1267" s="7">
        <f t="shared" si="62"/>
        <v>257.95999999999998</v>
      </c>
      <c r="AQ1267" s="31" t="str">
        <f t="shared" si="64"/>
        <v>Complete - No Adjustment</v>
      </c>
    </row>
    <row r="1268" spans="1:43" x14ac:dyDescent="0.2">
      <c r="A1268" s="46">
        <v>1258</v>
      </c>
      <c r="B1268" s="38" t="s">
        <v>266</v>
      </c>
      <c r="C1268" s="38" t="s">
        <v>157</v>
      </c>
      <c r="D1268" s="38" t="s">
        <v>158</v>
      </c>
      <c r="E1268" s="38" t="s">
        <v>3544</v>
      </c>
      <c r="F1268" s="38" t="s">
        <v>3130</v>
      </c>
      <c r="G1268" s="38" t="s">
        <v>111</v>
      </c>
      <c r="H1268" s="44">
        <v>44014</v>
      </c>
      <c r="I1268" s="44">
        <v>44018</v>
      </c>
      <c r="J1268">
        <v>557.96</v>
      </c>
      <c r="K1268">
        <v>285</v>
      </c>
      <c r="L1268" t="s">
        <v>3545</v>
      </c>
      <c r="M1268" s="45" t="s">
        <v>98</v>
      </c>
      <c r="N1268" s="38" t="s">
        <v>230</v>
      </c>
      <c r="O1268" s="38" t="s">
        <v>362</v>
      </c>
      <c r="P1268" s="38" t="s">
        <v>60</v>
      </c>
      <c r="Q1268" s="38" t="s">
        <v>59</v>
      </c>
      <c r="R1268" s="38" t="s">
        <v>270</v>
      </c>
      <c r="S1268" s="38" t="s">
        <v>3546</v>
      </c>
      <c r="T1268" s="38" t="s">
        <v>3549</v>
      </c>
      <c r="U1268" s="38"/>
      <c r="V1268" s="38"/>
      <c r="W1268" s="38"/>
      <c r="X1268" s="14"/>
      <c r="AN1268" s="7" t="s">
        <v>70</v>
      </c>
      <c r="AO1268" s="21">
        <f t="shared" si="63"/>
        <v>0</v>
      </c>
      <c r="AP1268" s="7">
        <f t="shared" si="62"/>
        <v>285</v>
      </c>
      <c r="AQ1268" s="31" t="str">
        <f t="shared" si="64"/>
        <v>Complete - No Adjustment</v>
      </c>
    </row>
    <row r="1269" spans="1:43" x14ac:dyDescent="0.2">
      <c r="A1269" s="46">
        <v>1259</v>
      </c>
      <c r="B1269" s="38" t="s">
        <v>266</v>
      </c>
      <c r="C1269" s="38" t="s">
        <v>2740</v>
      </c>
      <c r="D1269" s="38" t="s">
        <v>2741</v>
      </c>
      <c r="E1269" s="38" t="s">
        <v>3550</v>
      </c>
      <c r="F1269" s="38" t="s">
        <v>3223</v>
      </c>
      <c r="G1269" s="38" t="s">
        <v>111</v>
      </c>
      <c r="H1269" s="44">
        <v>44033</v>
      </c>
      <c r="I1269" s="44">
        <v>44035</v>
      </c>
      <c r="J1269">
        <v>14.96</v>
      </c>
      <c r="K1269">
        <v>14.96</v>
      </c>
      <c r="L1269" t="s">
        <v>3551</v>
      </c>
      <c r="M1269" s="45" t="s">
        <v>98</v>
      </c>
      <c r="N1269" s="38" t="s">
        <v>230</v>
      </c>
      <c r="O1269" s="38" t="s">
        <v>280</v>
      </c>
      <c r="P1269" s="38" t="s">
        <v>60</v>
      </c>
      <c r="Q1269" s="38" t="s">
        <v>41</v>
      </c>
      <c r="R1269" s="38" t="s">
        <v>270</v>
      </c>
      <c r="S1269" s="38" t="s">
        <v>3552</v>
      </c>
      <c r="T1269" s="38" t="s">
        <v>3553</v>
      </c>
      <c r="U1269" s="38"/>
      <c r="V1269" s="38"/>
      <c r="W1269" s="38"/>
      <c r="X1269" s="14"/>
      <c r="AN1269" s="7" t="s">
        <v>155</v>
      </c>
      <c r="AO1269" s="21">
        <f t="shared" si="63"/>
        <v>0</v>
      </c>
      <c r="AP1269" s="7">
        <f t="shared" si="62"/>
        <v>14.96</v>
      </c>
      <c r="AQ1269" s="31" t="str">
        <f t="shared" si="64"/>
        <v>Complete - No Adjustment</v>
      </c>
    </row>
    <row r="1270" spans="1:43" x14ac:dyDescent="0.2">
      <c r="A1270" s="46">
        <v>1260</v>
      </c>
      <c r="B1270" s="38" t="s">
        <v>266</v>
      </c>
      <c r="C1270" s="38" t="s">
        <v>684</v>
      </c>
      <c r="D1270" s="38" t="s">
        <v>801</v>
      </c>
      <c r="E1270" s="38" t="s">
        <v>3554</v>
      </c>
      <c r="F1270" s="38" t="s">
        <v>3018</v>
      </c>
      <c r="G1270" s="38" t="s">
        <v>111</v>
      </c>
      <c r="H1270" s="44">
        <v>44027</v>
      </c>
      <c r="I1270" s="44">
        <v>44028</v>
      </c>
      <c r="J1270">
        <v>40</v>
      </c>
      <c r="K1270">
        <v>40</v>
      </c>
      <c r="L1270" t="s">
        <v>3555</v>
      </c>
      <c r="M1270" s="45" t="s">
        <v>98</v>
      </c>
      <c r="N1270" s="38" t="s">
        <v>230</v>
      </c>
      <c r="O1270" s="38" t="s">
        <v>293</v>
      </c>
      <c r="P1270" s="38" t="s">
        <v>60</v>
      </c>
      <c r="Q1270" s="38" t="s">
        <v>59</v>
      </c>
      <c r="R1270" s="38" t="s">
        <v>270</v>
      </c>
      <c r="S1270" s="38" t="s">
        <v>3556</v>
      </c>
      <c r="T1270" s="38" t="s">
        <v>3557</v>
      </c>
      <c r="U1270" s="38"/>
      <c r="V1270" s="38"/>
      <c r="W1270" s="38"/>
      <c r="X1270" s="14"/>
      <c r="AN1270" s="7" t="s">
        <v>70</v>
      </c>
      <c r="AO1270" s="21">
        <f t="shared" si="63"/>
        <v>0</v>
      </c>
      <c r="AP1270" s="7">
        <f t="shared" si="62"/>
        <v>40</v>
      </c>
      <c r="AQ1270" s="31" t="str">
        <f t="shared" si="64"/>
        <v>Complete - No Adjustment</v>
      </c>
    </row>
    <row r="1271" spans="1:43" x14ac:dyDescent="0.2">
      <c r="A1271" s="46">
        <v>1261</v>
      </c>
      <c r="B1271" s="38" t="s">
        <v>266</v>
      </c>
      <c r="C1271" s="38" t="s">
        <v>733</v>
      </c>
      <c r="D1271" s="38" t="s">
        <v>732</v>
      </c>
      <c r="E1271" s="38" t="s">
        <v>3558</v>
      </c>
      <c r="F1271" s="38" t="s">
        <v>2972</v>
      </c>
      <c r="G1271" s="38" t="s">
        <v>111</v>
      </c>
      <c r="H1271" s="44">
        <v>44033</v>
      </c>
      <c r="I1271" s="44">
        <v>44039</v>
      </c>
      <c r="J1271">
        <v>35.06</v>
      </c>
      <c r="K1271">
        <v>12.56</v>
      </c>
      <c r="L1271" t="s">
        <v>3559</v>
      </c>
      <c r="M1271" s="45" t="s">
        <v>98</v>
      </c>
      <c r="N1271" s="38" t="s">
        <v>230</v>
      </c>
      <c r="O1271" s="38" t="s">
        <v>378</v>
      </c>
      <c r="P1271" s="38" t="s">
        <v>60</v>
      </c>
      <c r="Q1271" s="38" t="s">
        <v>41</v>
      </c>
      <c r="R1271" s="38" t="s">
        <v>270</v>
      </c>
      <c r="S1271" s="38" t="s">
        <v>3560</v>
      </c>
      <c r="T1271" s="38" t="s">
        <v>3561</v>
      </c>
      <c r="U1271" s="38"/>
      <c r="V1271" s="38"/>
      <c r="W1271" s="38"/>
      <c r="X1271" s="14"/>
      <c r="AN1271" s="7" t="s">
        <v>155</v>
      </c>
      <c r="AO1271" s="21">
        <f t="shared" si="63"/>
        <v>0</v>
      </c>
      <c r="AP1271" s="7">
        <f t="shared" si="62"/>
        <v>12.56</v>
      </c>
      <c r="AQ1271" s="31" t="str">
        <f t="shared" si="64"/>
        <v>Complete - No Adjustment</v>
      </c>
    </row>
    <row r="1272" spans="1:43" x14ac:dyDescent="0.2">
      <c r="A1272" s="46">
        <v>1262</v>
      </c>
      <c r="B1272" s="38" t="s">
        <v>266</v>
      </c>
      <c r="C1272" s="38" t="s">
        <v>733</v>
      </c>
      <c r="D1272" s="38" t="s">
        <v>732</v>
      </c>
      <c r="E1272" s="38" t="s">
        <v>3558</v>
      </c>
      <c r="F1272" s="38" t="s">
        <v>2972</v>
      </c>
      <c r="G1272" s="38" t="s">
        <v>111</v>
      </c>
      <c r="H1272" s="44">
        <v>44033</v>
      </c>
      <c r="I1272" s="44">
        <v>44039</v>
      </c>
      <c r="J1272">
        <v>35.06</v>
      </c>
      <c r="K1272">
        <v>14.05</v>
      </c>
      <c r="L1272" t="s">
        <v>3559</v>
      </c>
      <c r="M1272" s="45" t="s">
        <v>98</v>
      </c>
      <c r="N1272" s="38" t="s">
        <v>230</v>
      </c>
      <c r="O1272" s="38" t="s">
        <v>378</v>
      </c>
      <c r="P1272" s="38" t="s">
        <v>60</v>
      </c>
      <c r="Q1272" s="38" t="s">
        <v>41</v>
      </c>
      <c r="R1272" s="38" t="s">
        <v>270</v>
      </c>
      <c r="S1272" s="38" t="s">
        <v>3560</v>
      </c>
      <c r="T1272" s="38" t="s">
        <v>3562</v>
      </c>
      <c r="U1272" s="38"/>
      <c r="V1272" s="38"/>
      <c r="W1272" s="38"/>
      <c r="X1272" s="14"/>
      <c r="AN1272" s="7" t="s">
        <v>155</v>
      </c>
      <c r="AO1272" s="21">
        <f t="shared" si="63"/>
        <v>0</v>
      </c>
      <c r="AP1272" s="7">
        <f t="shared" si="62"/>
        <v>14.05</v>
      </c>
      <c r="AQ1272" s="31" t="str">
        <f t="shared" si="64"/>
        <v>Complete - No Adjustment</v>
      </c>
    </row>
    <row r="1273" spans="1:43" x14ac:dyDescent="0.2">
      <c r="A1273" s="46">
        <v>1263</v>
      </c>
      <c r="B1273" s="38" t="s">
        <v>266</v>
      </c>
      <c r="C1273" s="38" t="s">
        <v>733</v>
      </c>
      <c r="D1273" s="38" t="s">
        <v>732</v>
      </c>
      <c r="E1273" s="38" t="s">
        <v>3558</v>
      </c>
      <c r="F1273" s="38" t="s">
        <v>2972</v>
      </c>
      <c r="G1273" s="38" t="s">
        <v>111</v>
      </c>
      <c r="H1273" s="44">
        <v>44033</v>
      </c>
      <c r="I1273" s="44">
        <v>44039</v>
      </c>
      <c r="J1273">
        <v>35.06</v>
      </c>
      <c r="K1273">
        <v>8.4499999999999993</v>
      </c>
      <c r="L1273" t="s">
        <v>3559</v>
      </c>
      <c r="M1273" s="45" t="s">
        <v>98</v>
      </c>
      <c r="N1273" s="38" t="s">
        <v>230</v>
      </c>
      <c r="O1273" s="38" t="s">
        <v>378</v>
      </c>
      <c r="P1273" s="38" t="s">
        <v>60</v>
      </c>
      <c r="Q1273" s="38" t="s">
        <v>41</v>
      </c>
      <c r="R1273" s="38" t="s">
        <v>270</v>
      </c>
      <c r="S1273" s="38" t="s">
        <v>3560</v>
      </c>
      <c r="T1273" s="38" t="s">
        <v>3563</v>
      </c>
      <c r="U1273" s="38"/>
      <c r="V1273" s="38"/>
      <c r="W1273" s="38"/>
      <c r="X1273" s="14"/>
      <c r="AN1273" s="7" t="s">
        <v>70</v>
      </c>
      <c r="AO1273" s="21">
        <f t="shared" si="63"/>
        <v>0</v>
      </c>
      <c r="AP1273" s="7">
        <f t="shared" si="62"/>
        <v>8.4499999999999993</v>
      </c>
      <c r="AQ1273" s="31" t="str">
        <f t="shared" si="64"/>
        <v>Complete - No Adjustment</v>
      </c>
    </row>
    <row r="1274" spans="1:43" x14ac:dyDescent="0.2">
      <c r="A1274" s="46">
        <v>1264</v>
      </c>
      <c r="B1274" s="38" t="s">
        <v>266</v>
      </c>
      <c r="C1274" s="38" t="s">
        <v>476</v>
      </c>
      <c r="D1274" s="38" t="s">
        <v>475</v>
      </c>
      <c r="E1274" s="38" t="s">
        <v>3564</v>
      </c>
      <c r="F1274" s="38" t="s">
        <v>3223</v>
      </c>
      <c r="G1274" s="38" t="s">
        <v>111</v>
      </c>
      <c r="H1274" s="44">
        <v>44033</v>
      </c>
      <c r="I1274" s="44">
        <v>44035</v>
      </c>
      <c r="J1274">
        <v>10.33</v>
      </c>
      <c r="K1274">
        <v>10.33</v>
      </c>
      <c r="L1274" t="s">
        <v>3565</v>
      </c>
      <c r="M1274" s="45" t="s">
        <v>98</v>
      </c>
      <c r="N1274" s="38" t="s">
        <v>230</v>
      </c>
      <c r="O1274" s="38" t="s">
        <v>320</v>
      </c>
      <c r="P1274" s="38" t="s">
        <v>60</v>
      </c>
      <c r="Q1274" s="38" t="s">
        <v>41</v>
      </c>
      <c r="R1274" s="38" t="s">
        <v>270</v>
      </c>
      <c r="S1274" s="38" t="s">
        <v>3566</v>
      </c>
      <c r="T1274" s="38" t="s">
        <v>3567</v>
      </c>
      <c r="U1274" s="38"/>
      <c r="V1274" s="38"/>
      <c r="W1274" s="38"/>
      <c r="X1274" s="14"/>
      <c r="AN1274" s="7" t="s">
        <v>155</v>
      </c>
      <c r="AO1274" s="21">
        <f t="shared" si="63"/>
        <v>0</v>
      </c>
      <c r="AP1274" s="7">
        <f t="shared" si="62"/>
        <v>10.33</v>
      </c>
      <c r="AQ1274" s="31" t="str">
        <f t="shared" si="64"/>
        <v>Complete - No Adjustment</v>
      </c>
    </row>
    <row r="1275" spans="1:43" x14ac:dyDescent="0.2">
      <c r="A1275" s="46">
        <v>1265</v>
      </c>
      <c r="B1275" s="38" t="s">
        <v>266</v>
      </c>
      <c r="C1275" s="38" t="s">
        <v>2767</v>
      </c>
      <c r="D1275" s="38" t="s">
        <v>2768</v>
      </c>
      <c r="E1275" s="38" t="s">
        <v>3568</v>
      </c>
      <c r="F1275" s="38" t="s">
        <v>2965</v>
      </c>
      <c r="G1275" s="38" t="s">
        <v>111</v>
      </c>
      <c r="H1275" s="44">
        <v>44033</v>
      </c>
      <c r="I1275" s="44">
        <v>44040</v>
      </c>
      <c r="J1275">
        <v>14.92</v>
      </c>
      <c r="K1275">
        <v>14.92</v>
      </c>
      <c r="L1275" t="s">
        <v>3569</v>
      </c>
      <c r="M1275" s="45" t="s">
        <v>98</v>
      </c>
      <c r="N1275" s="38" t="s">
        <v>230</v>
      </c>
      <c r="O1275" s="38" t="s">
        <v>280</v>
      </c>
      <c r="P1275" s="38" t="s">
        <v>60</v>
      </c>
      <c r="Q1275" s="38" t="s">
        <v>41</v>
      </c>
      <c r="R1275" s="38" t="s">
        <v>270</v>
      </c>
      <c r="S1275" s="38" t="s">
        <v>3570</v>
      </c>
      <c r="T1275" s="38" t="s">
        <v>3571</v>
      </c>
      <c r="U1275" s="38"/>
      <c r="V1275" s="38"/>
      <c r="W1275" s="38"/>
      <c r="X1275" s="14"/>
      <c r="AN1275" s="7" t="s">
        <v>155</v>
      </c>
      <c r="AO1275" s="21">
        <f t="shared" si="63"/>
        <v>0</v>
      </c>
      <c r="AP1275" s="7">
        <f t="shared" si="62"/>
        <v>14.92</v>
      </c>
      <c r="AQ1275" s="31" t="str">
        <f t="shared" si="64"/>
        <v>Complete - No Adjustment</v>
      </c>
    </row>
    <row r="1276" spans="1:43" x14ac:dyDescent="0.2">
      <c r="A1276" s="46">
        <v>1266</v>
      </c>
      <c r="B1276" s="38" t="s">
        <v>266</v>
      </c>
      <c r="C1276" s="38" t="s">
        <v>3572</v>
      </c>
      <c r="D1276" s="38" t="s">
        <v>3573</v>
      </c>
      <c r="E1276" s="38" t="s">
        <v>3574</v>
      </c>
      <c r="F1276" s="38" t="s">
        <v>3039</v>
      </c>
      <c r="G1276" s="38" t="s">
        <v>111</v>
      </c>
      <c r="H1276" s="44">
        <v>44033</v>
      </c>
      <c r="I1276" s="44">
        <v>44041</v>
      </c>
      <c r="J1276">
        <v>13.97</v>
      </c>
      <c r="K1276">
        <v>13.97</v>
      </c>
      <c r="L1276" t="s">
        <v>3575</v>
      </c>
      <c r="M1276" s="45" t="s">
        <v>98</v>
      </c>
      <c r="N1276" s="38" t="s">
        <v>230</v>
      </c>
      <c r="O1276" s="38" t="s">
        <v>559</v>
      </c>
      <c r="P1276" s="38" t="s">
        <v>60</v>
      </c>
      <c r="Q1276" s="38" t="s">
        <v>41</v>
      </c>
      <c r="R1276" s="38" t="s">
        <v>270</v>
      </c>
      <c r="S1276" s="38" t="s">
        <v>3576</v>
      </c>
      <c r="T1276" s="38" t="s">
        <v>3577</v>
      </c>
      <c r="U1276" s="38"/>
      <c r="V1276" s="38"/>
      <c r="W1276" s="38"/>
      <c r="X1276" s="14"/>
      <c r="AN1276" s="7" t="s">
        <v>155</v>
      </c>
      <c r="AO1276" s="21">
        <f t="shared" si="63"/>
        <v>0</v>
      </c>
      <c r="AP1276" s="7">
        <f t="shared" si="62"/>
        <v>13.97</v>
      </c>
      <c r="AQ1276" s="31" t="str">
        <f t="shared" si="64"/>
        <v>Complete - No Adjustment</v>
      </c>
    </row>
    <row r="1277" spans="1:43" x14ac:dyDescent="0.2">
      <c r="A1277" s="46">
        <v>1267</v>
      </c>
      <c r="B1277" s="38" t="s">
        <v>266</v>
      </c>
      <c r="C1277" s="38" t="s">
        <v>815</v>
      </c>
      <c r="D1277" s="38" t="s">
        <v>816</v>
      </c>
      <c r="E1277" s="38" t="s">
        <v>3578</v>
      </c>
      <c r="F1277" s="38" t="s">
        <v>3179</v>
      </c>
      <c r="G1277" s="38" t="s">
        <v>111</v>
      </c>
      <c r="H1277" s="44">
        <v>44020</v>
      </c>
      <c r="I1277" s="44">
        <v>44025</v>
      </c>
      <c r="J1277">
        <v>285</v>
      </c>
      <c r="K1277">
        <v>57</v>
      </c>
      <c r="L1277" t="s">
        <v>3579</v>
      </c>
      <c r="M1277" s="45" t="s">
        <v>98</v>
      </c>
      <c r="N1277" s="38" t="s">
        <v>230</v>
      </c>
      <c r="O1277" s="38" t="s">
        <v>791</v>
      </c>
      <c r="P1277" s="38" t="s">
        <v>60</v>
      </c>
      <c r="Q1277" s="38" t="s">
        <v>59</v>
      </c>
      <c r="R1277" s="38" t="s">
        <v>270</v>
      </c>
      <c r="S1277" s="38" t="s">
        <v>3580</v>
      </c>
      <c r="T1277" s="38" t="s">
        <v>3581</v>
      </c>
      <c r="U1277" s="38"/>
      <c r="V1277" s="38"/>
      <c r="W1277" s="38"/>
      <c r="X1277" s="14"/>
      <c r="AN1277" s="7" t="s">
        <v>70</v>
      </c>
      <c r="AO1277" s="21">
        <f t="shared" si="63"/>
        <v>0</v>
      </c>
      <c r="AP1277" s="7">
        <f t="shared" si="62"/>
        <v>57</v>
      </c>
      <c r="AQ1277" s="31" t="str">
        <f t="shared" si="64"/>
        <v>Complete - No Adjustment</v>
      </c>
    </row>
    <row r="1278" spans="1:43" x14ac:dyDescent="0.2">
      <c r="A1278" s="46">
        <v>1268</v>
      </c>
      <c r="B1278" s="38" t="s">
        <v>266</v>
      </c>
      <c r="C1278" s="38" t="s">
        <v>236</v>
      </c>
      <c r="D1278" s="38" t="s">
        <v>235</v>
      </c>
      <c r="E1278" s="38" t="s">
        <v>3582</v>
      </c>
      <c r="F1278" s="38" t="s">
        <v>3223</v>
      </c>
      <c r="G1278" s="38" t="s">
        <v>111</v>
      </c>
      <c r="H1278" s="44">
        <v>44027</v>
      </c>
      <c r="I1278" s="44">
        <v>44035</v>
      </c>
      <c r="J1278">
        <v>105.5</v>
      </c>
      <c r="K1278">
        <v>3.12</v>
      </c>
      <c r="L1278" t="s">
        <v>3583</v>
      </c>
      <c r="M1278" s="45" t="s">
        <v>98</v>
      </c>
      <c r="N1278" s="38" t="s">
        <v>230</v>
      </c>
      <c r="O1278" s="38" t="s">
        <v>326</v>
      </c>
      <c r="P1278" s="38" t="s">
        <v>60</v>
      </c>
      <c r="Q1278" s="38" t="s">
        <v>62</v>
      </c>
      <c r="R1278" s="38" t="s">
        <v>270</v>
      </c>
      <c r="S1278" s="38" t="s">
        <v>3584</v>
      </c>
      <c r="T1278" s="38" t="s">
        <v>3585</v>
      </c>
      <c r="U1278" s="38"/>
      <c r="V1278" s="38"/>
      <c r="W1278" s="38"/>
      <c r="X1278" s="14"/>
      <c r="AN1278" s="7" t="s">
        <v>155</v>
      </c>
      <c r="AO1278" s="21">
        <f t="shared" si="63"/>
        <v>0</v>
      </c>
      <c r="AP1278" s="7">
        <f t="shared" si="62"/>
        <v>3.12</v>
      </c>
      <c r="AQ1278" s="31" t="str">
        <f t="shared" si="64"/>
        <v>Complete - No Adjustment</v>
      </c>
    </row>
    <row r="1279" spans="1:43" x14ac:dyDescent="0.2">
      <c r="A1279" s="46">
        <v>1269</v>
      </c>
      <c r="B1279" s="38" t="s">
        <v>266</v>
      </c>
      <c r="C1279" s="38" t="s">
        <v>236</v>
      </c>
      <c r="D1279" s="38" t="s">
        <v>235</v>
      </c>
      <c r="E1279" s="38" t="s">
        <v>3582</v>
      </c>
      <c r="F1279" s="38" t="s">
        <v>3223</v>
      </c>
      <c r="G1279" s="38" t="s">
        <v>111</v>
      </c>
      <c r="H1279" s="44">
        <v>44027</v>
      </c>
      <c r="I1279" s="44">
        <v>44035</v>
      </c>
      <c r="J1279">
        <v>105.5</v>
      </c>
      <c r="K1279">
        <v>2.0099999999999998</v>
      </c>
      <c r="L1279" t="s">
        <v>3583</v>
      </c>
      <c r="M1279" s="45" t="s">
        <v>98</v>
      </c>
      <c r="N1279" s="38" t="s">
        <v>230</v>
      </c>
      <c r="O1279" s="38" t="s">
        <v>326</v>
      </c>
      <c r="P1279" s="38" t="s">
        <v>60</v>
      </c>
      <c r="Q1279" s="38" t="s">
        <v>62</v>
      </c>
      <c r="R1279" s="38" t="s">
        <v>270</v>
      </c>
      <c r="S1279" s="38" t="s">
        <v>3584</v>
      </c>
      <c r="T1279" s="38" t="s">
        <v>3586</v>
      </c>
      <c r="U1279" s="38"/>
      <c r="V1279" s="38"/>
      <c r="W1279" s="38"/>
      <c r="X1279" s="14"/>
      <c r="AN1279" s="7" t="s">
        <v>155</v>
      </c>
      <c r="AO1279" s="21">
        <f t="shared" si="63"/>
        <v>0</v>
      </c>
      <c r="AP1279" s="7">
        <f t="shared" si="62"/>
        <v>2.0099999999999998</v>
      </c>
      <c r="AQ1279" s="31" t="str">
        <f t="shared" si="64"/>
        <v>Complete - No Adjustment</v>
      </c>
    </row>
    <row r="1280" spans="1:43" x14ac:dyDescent="0.2">
      <c r="A1280" s="46">
        <v>1270</v>
      </c>
      <c r="B1280" s="38" t="s">
        <v>266</v>
      </c>
      <c r="C1280" s="38" t="s">
        <v>236</v>
      </c>
      <c r="D1280" s="38" t="s">
        <v>235</v>
      </c>
      <c r="E1280" s="38" t="s">
        <v>3582</v>
      </c>
      <c r="F1280" s="38" t="s">
        <v>3223</v>
      </c>
      <c r="G1280" s="38" t="s">
        <v>111</v>
      </c>
      <c r="H1280" s="44">
        <v>44027</v>
      </c>
      <c r="I1280" s="44">
        <v>44035</v>
      </c>
      <c r="J1280">
        <v>105.5</v>
      </c>
      <c r="K1280">
        <v>2.75</v>
      </c>
      <c r="L1280" t="s">
        <v>3583</v>
      </c>
      <c r="M1280" s="45" t="s">
        <v>98</v>
      </c>
      <c r="N1280" s="38" t="s">
        <v>230</v>
      </c>
      <c r="O1280" s="38" t="s">
        <v>326</v>
      </c>
      <c r="P1280" s="38" t="s">
        <v>60</v>
      </c>
      <c r="Q1280" s="38" t="s">
        <v>62</v>
      </c>
      <c r="R1280" s="38" t="s">
        <v>270</v>
      </c>
      <c r="S1280" s="38" t="s">
        <v>3584</v>
      </c>
      <c r="T1280" s="38" t="s">
        <v>3587</v>
      </c>
      <c r="U1280" s="38"/>
      <c r="V1280" s="38"/>
      <c r="W1280" s="38"/>
      <c r="X1280" s="14"/>
      <c r="AN1280" s="7" t="s">
        <v>155</v>
      </c>
      <c r="AO1280" s="21">
        <f t="shared" si="63"/>
        <v>0</v>
      </c>
      <c r="AP1280" s="7">
        <f t="shared" si="62"/>
        <v>2.75</v>
      </c>
      <c r="AQ1280" s="31" t="str">
        <f t="shared" si="64"/>
        <v>Complete - No Adjustment</v>
      </c>
    </row>
    <row r="1281" spans="1:43" x14ac:dyDescent="0.2">
      <c r="A1281" s="46">
        <v>1271</v>
      </c>
      <c r="B1281" s="38" t="s">
        <v>266</v>
      </c>
      <c r="C1281" s="38" t="s">
        <v>236</v>
      </c>
      <c r="D1281" s="38" t="s">
        <v>235</v>
      </c>
      <c r="E1281" s="38" t="s">
        <v>3582</v>
      </c>
      <c r="F1281" s="38" t="s">
        <v>3223</v>
      </c>
      <c r="G1281" s="38" t="s">
        <v>111</v>
      </c>
      <c r="H1281" s="44">
        <v>44027</v>
      </c>
      <c r="I1281" s="44">
        <v>44035</v>
      </c>
      <c r="J1281">
        <v>105.5</v>
      </c>
      <c r="K1281">
        <v>15.5</v>
      </c>
      <c r="L1281" t="s">
        <v>3583</v>
      </c>
      <c r="M1281" s="45" t="s">
        <v>98</v>
      </c>
      <c r="N1281" s="38" t="s">
        <v>230</v>
      </c>
      <c r="O1281" s="38" t="s">
        <v>326</v>
      </c>
      <c r="P1281" s="38" t="s">
        <v>60</v>
      </c>
      <c r="Q1281" s="38" t="s">
        <v>62</v>
      </c>
      <c r="R1281" s="38" t="s">
        <v>270</v>
      </c>
      <c r="S1281" s="38" t="s">
        <v>3584</v>
      </c>
      <c r="T1281" s="38" t="s">
        <v>3588</v>
      </c>
      <c r="U1281" s="38"/>
      <c r="V1281" s="38"/>
      <c r="W1281" s="38"/>
      <c r="X1281" s="14"/>
      <c r="AN1281" s="7" t="s">
        <v>155</v>
      </c>
      <c r="AO1281" s="21">
        <f t="shared" si="63"/>
        <v>0</v>
      </c>
      <c r="AP1281" s="7">
        <f t="shared" si="62"/>
        <v>15.5</v>
      </c>
      <c r="AQ1281" s="31" t="str">
        <f t="shared" si="64"/>
        <v>Complete - No Adjustment</v>
      </c>
    </row>
    <row r="1282" spans="1:43" x14ac:dyDescent="0.2">
      <c r="A1282" s="46">
        <v>1272</v>
      </c>
      <c r="B1282" s="38" t="s">
        <v>266</v>
      </c>
      <c r="C1282" s="38" t="s">
        <v>236</v>
      </c>
      <c r="D1282" s="38" t="s">
        <v>235</v>
      </c>
      <c r="E1282" s="38" t="s">
        <v>3582</v>
      </c>
      <c r="F1282" s="38" t="s">
        <v>3223</v>
      </c>
      <c r="G1282" s="38" t="s">
        <v>111</v>
      </c>
      <c r="H1282" s="44">
        <v>44027</v>
      </c>
      <c r="I1282" s="44">
        <v>44035</v>
      </c>
      <c r="J1282">
        <v>105.5</v>
      </c>
      <c r="K1282">
        <v>3</v>
      </c>
      <c r="L1282" t="s">
        <v>3583</v>
      </c>
      <c r="M1282" s="45" t="s">
        <v>98</v>
      </c>
      <c r="N1282" s="38" t="s">
        <v>230</v>
      </c>
      <c r="O1282" s="38" t="s">
        <v>326</v>
      </c>
      <c r="P1282" s="38" t="s">
        <v>60</v>
      </c>
      <c r="Q1282" s="38" t="s">
        <v>62</v>
      </c>
      <c r="R1282" s="38" t="s">
        <v>270</v>
      </c>
      <c r="S1282" s="38" t="s">
        <v>3584</v>
      </c>
      <c r="T1282" s="38" t="s">
        <v>3589</v>
      </c>
      <c r="U1282" s="38"/>
      <c r="V1282" s="38"/>
      <c r="W1282" s="38"/>
      <c r="X1282" s="14"/>
      <c r="AN1282" s="7" t="s">
        <v>155</v>
      </c>
      <c r="AO1282" s="21">
        <f t="shared" si="63"/>
        <v>0</v>
      </c>
      <c r="AP1282" s="7">
        <f t="shared" si="62"/>
        <v>3</v>
      </c>
      <c r="AQ1282" s="31" t="str">
        <f t="shared" si="64"/>
        <v>Complete - No Adjustment</v>
      </c>
    </row>
    <row r="1283" spans="1:43" x14ac:dyDescent="0.2">
      <c r="A1283" s="46">
        <v>1273</v>
      </c>
      <c r="B1283" s="38" t="s">
        <v>266</v>
      </c>
      <c r="C1283" s="38" t="s">
        <v>735</v>
      </c>
      <c r="D1283" s="38" t="s">
        <v>734</v>
      </c>
      <c r="E1283" s="38" t="s">
        <v>3590</v>
      </c>
      <c r="F1283" s="38" t="s">
        <v>3061</v>
      </c>
      <c r="G1283" s="38" t="s">
        <v>111</v>
      </c>
      <c r="H1283" s="44">
        <v>44027</v>
      </c>
      <c r="I1283" s="44">
        <v>44029</v>
      </c>
      <c r="J1283">
        <v>75</v>
      </c>
      <c r="K1283">
        <v>75</v>
      </c>
      <c r="L1283" t="s">
        <v>3591</v>
      </c>
      <c r="M1283" s="45" t="s">
        <v>98</v>
      </c>
      <c r="N1283" s="38" t="s">
        <v>230</v>
      </c>
      <c r="O1283" s="38" t="s">
        <v>717</v>
      </c>
      <c r="P1283" s="38" t="s">
        <v>60</v>
      </c>
      <c r="Q1283" s="38" t="s">
        <v>59</v>
      </c>
      <c r="R1283" s="38" t="s">
        <v>270</v>
      </c>
      <c r="S1283" s="38" t="s">
        <v>3592</v>
      </c>
      <c r="T1283" s="38" t="s">
        <v>3593</v>
      </c>
      <c r="U1283" s="38"/>
      <c r="V1283" s="38"/>
      <c r="W1283" s="38"/>
      <c r="X1283" s="14"/>
      <c r="AN1283" s="7" t="s">
        <v>70</v>
      </c>
      <c r="AO1283" s="21">
        <f t="shared" si="63"/>
        <v>0</v>
      </c>
      <c r="AP1283" s="7">
        <f t="shared" si="62"/>
        <v>75</v>
      </c>
      <c r="AQ1283" s="31" t="str">
        <f t="shared" si="64"/>
        <v>Complete - No Adjustment</v>
      </c>
    </row>
    <row r="1284" spans="1:43" x14ac:dyDescent="0.2">
      <c r="A1284" s="46">
        <v>1274</v>
      </c>
      <c r="B1284" s="38" t="s">
        <v>266</v>
      </c>
      <c r="C1284" s="38" t="s">
        <v>687</v>
      </c>
      <c r="D1284" s="38" t="s">
        <v>686</v>
      </c>
      <c r="E1284" s="38" t="s">
        <v>3594</v>
      </c>
      <c r="F1284" s="38" t="s">
        <v>3061</v>
      </c>
      <c r="G1284" s="38" t="s">
        <v>111</v>
      </c>
      <c r="H1284" s="44">
        <v>44022</v>
      </c>
      <c r="I1284" s="44">
        <v>44029</v>
      </c>
      <c r="J1284">
        <v>440</v>
      </c>
      <c r="K1284">
        <v>440</v>
      </c>
      <c r="L1284" t="s">
        <v>3595</v>
      </c>
      <c r="M1284" s="45" t="s">
        <v>98</v>
      </c>
      <c r="N1284" s="38" t="s">
        <v>230</v>
      </c>
      <c r="O1284" s="38" t="s">
        <v>514</v>
      </c>
      <c r="P1284" s="38" t="s">
        <v>60</v>
      </c>
      <c r="Q1284" s="38" t="s">
        <v>59</v>
      </c>
      <c r="R1284" s="38" t="s">
        <v>270</v>
      </c>
      <c r="S1284" s="38" t="s">
        <v>3596</v>
      </c>
      <c r="T1284" s="38" t="s">
        <v>3597</v>
      </c>
      <c r="U1284" s="38"/>
      <c r="V1284" s="38"/>
      <c r="W1284" s="38"/>
      <c r="X1284" s="14"/>
      <c r="AN1284" s="7" t="s">
        <v>70</v>
      </c>
      <c r="AO1284" s="21">
        <f t="shared" si="63"/>
        <v>0</v>
      </c>
      <c r="AP1284" s="7">
        <f t="shared" si="62"/>
        <v>440</v>
      </c>
      <c r="AQ1284" s="31" t="str">
        <f t="shared" si="64"/>
        <v>Complete - No Adjustment</v>
      </c>
    </row>
    <row r="1285" spans="1:43" x14ac:dyDescent="0.2">
      <c r="A1285" s="46">
        <v>1275</v>
      </c>
      <c r="B1285" s="38" t="s">
        <v>266</v>
      </c>
      <c r="C1285" s="38" t="s">
        <v>737</v>
      </c>
      <c r="D1285" s="38" t="s">
        <v>736</v>
      </c>
      <c r="E1285" s="38" t="s">
        <v>3598</v>
      </c>
      <c r="F1285" s="38" t="s">
        <v>2972</v>
      </c>
      <c r="G1285" s="38" t="s">
        <v>111</v>
      </c>
      <c r="H1285" s="44">
        <v>44033</v>
      </c>
      <c r="I1285" s="44">
        <v>44039</v>
      </c>
      <c r="J1285">
        <v>15</v>
      </c>
      <c r="K1285">
        <v>15</v>
      </c>
      <c r="L1285" t="s">
        <v>3599</v>
      </c>
      <c r="M1285" s="45" t="s">
        <v>98</v>
      </c>
      <c r="N1285" s="38" t="s">
        <v>230</v>
      </c>
      <c r="O1285" s="38" t="s">
        <v>397</v>
      </c>
      <c r="P1285" s="38" t="s">
        <v>60</v>
      </c>
      <c r="Q1285" s="38" t="s">
        <v>41</v>
      </c>
      <c r="R1285" s="38" t="s">
        <v>270</v>
      </c>
      <c r="S1285" s="38" t="s">
        <v>3600</v>
      </c>
      <c r="T1285" s="38" t="s">
        <v>3601</v>
      </c>
      <c r="U1285" s="38"/>
      <c r="V1285" s="38"/>
      <c r="W1285" s="38"/>
      <c r="X1285" s="14"/>
      <c r="AN1285" s="7" t="s">
        <v>155</v>
      </c>
      <c r="AO1285" s="21">
        <f t="shared" si="63"/>
        <v>0</v>
      </c>
      <c r="AP1285" s="7">
        <f t="shared" si="62"/>
        <v>15</v>
      </c>
      <c r="AQ1285" s="31" t="str">
        <f t="shared" si="64"/>
        <v>Complete - No Adjustment</v>
      </c>
    </row>
    <row r="1286" spans="1:43" x14ac:dyDescent="0.2">
      <c r="A1286" s="46">
        <v>1276</v>
      </c>
      <c r="B1286" s="38" t="s">
        <v>266</v>
      </c>
      <c r="C1286" s="38" t="s">
        <v>737</v>
      </c>
      <c r="D1286" s="38" t="s">
        <v>736</v>
      </c>
      <c r="E1286" s="38" t="s">
        <v>3602</v>
      </c>
      <c r="F1286" s="38" t="s">
        <v>3018</v>
      </c>
      <c r="G1286" s="38" t="s">
        <v>111</v>
      </c>
      <c r="H1286" s="44">
        <v>44026</v>
      </c>
      <c r="I1286" s="44">
        <v>44028</v>
      </c>
      <c r="J1286">
        <v>42.21</v>
      </c>
      <c r="K1286">
        <v>42.21</v>
      </c>
      <c r="L1286" t="s">
        <v>3603</v>
      </c>
      <c r="M1286" s="45" t="s">
        <v>98</v>
      </c>
      <c r="N1286" s="38" t="s">
        <v>230</v>
      </c>
      <c r="O1286" s="38" t="s">
        <v>397</v>
      </c>
      <c r="P1286" s="38" t="s">
        <v>60</v>
      </c>
      <c r="Q1286" s="38" t="s">
        <v>104</v>
      </c>
      <c r="R1286" s="38" t="s">
        <v>270</v>
      </c>
      <c r="S1286" s="38" t="s">
        <v>3604</v>
      </c>
      <c r="T1286" s="38" t="s">
        <v>3605</v>
      </c>
      <c r="U1286" s="38"/>
      <c r="V1286" s="38"/>
      <c r="W1286" s="38"/>
      <c r="X1286" s="14"/>
      <c r="AN1286" s="7" t="s">
        <v>155</v>
      </c>
      <c r="AO1286" s="21">
        <f t="shared" si="63"/>
        <v>0</v>
      </c>
      <c r="AP1286" s="7">
        <f t="shared" si="62"/>
        <v>42.21</v>
      </c>
      <c r="AQ1286" s="31" t="str">
        <f t="shared" si="64"/>
        <v>Complete - No Adjustment</v>
      </c>
    </row>
    <row r="1287" spans="1:43" x14ac:dyDescent="0.2">
      <c r="A1287" s="46">
        <v>1277</v>
      </c>
      <c r="B1287" s="38" t="s">
        <v>266</v>
      </c>
      <c r="C1287" s="38" t="s">
        <v>627</v>
      </c>
      <c r="D1287" s="38" t="s">
        <v>879</v>
      </c>
      <c r="E1287" s="38" t="s">
        <v>3691</v>
      </c>
      <c r="F1287" s="38" t="s">
        <v>2960</v>
      </c>
      <c r="G1287" s="38" t="s">
        <v>111</v>
      </c>
      <c r="H1287" s="44">
        <v>44034</v>
      </c>
      <c r="I1287" s="44">
        <v>44036</v>
      </c>
      <c r="J1287">
        <v>14.07</v>
      </c>
      <c r="K1287">
        <v>14.07</v>
      </c>
      <c r="L1287"/>
      <c r="M1287" s="45" t="s">
        <v>98</v>
      </c>
      <c r="N1287" s="38" t="s">
        <v>230</v>
      </c>
      <c r="O1287" s="38" t="s">
        <v>277</v>
      </c>
      <c r="P1287" s="38" t="s">
        <v>60</v>
      </c>
      <c r="Q1287" s="38" t="s">
        <v>46</v>
      </c>
      <c r="R1287" s="38" t="s">
        <v>270</v>
      </c>
      <c r="S1287" s="38" t="s">
        <v>3692</v>
      </c>
      <c r="T1287" s="38" t="s">
        <v>3693</v>
      </c>
      <c r="U1287" s="38"/>
      <c r="V1287" s="38"/>
      <c r="W1287" s="38"/>
      <c r="X1287" s="14"/>
      <c r="AL1287" s="14">
        <v>14.07</v>
      </c>
      <c r="AN1287" s="7" t="s">
        <v>155</v>
      </c>
      <c r="AO1287" s="21">
        <f t="shared" si="63"/>
        <v>14.07</v>
      </c>
      <c r="AP1287" s="7">
        <f t="shared" si="62"/>
        <v>0</v>
      </c>
      <c r="AQ1287" s="31" t="str">
        <f t="shared" si="64"/>
        <v>Complete - With Adjustment</v>
      </c>
    </row>
    <row r="1288" spans="1:43" x14ac:dyDescent="0.2">
      <c r="A1288" s="46">
        <v>1278</v>
      </c>
      <c r="B1288" s="38" t="s">
        <v>266</v>
      </c>
      <c r="C1288" s="38" t="s">
        <v>779</v>
      </c>
      <c r="D1288" s="38" t="s">
        <v>802</v>
      </c>
      <c r="E1288" s="38" t="s">
        <v>3606</v>
      </c>
      <c r="F1288" s="38" t="s">
        <v>2994</v>
      </c>
      <c r="G1288" s="38" t="s">
        <v>111</v>
      </c>
      <c r="H1288" s="44">
        <v>44033</v>
      </c>
      <c r="I1288" s="44">
        <v>44043</v>
      </c>
      <c r="J1288">
        <v>8.61</v>
      </c>
      <c r="K1288">
        <v>8.61</v>
      </c>
      <c r="L1288" t="s">
        <v>3607</v>
      </c>
      <c r="M1288" s="45" t="s">
        <v>98</v>
      </c>
      <c r="N1288" s="38" t="s">
        <v>230</v>
      </c>
      <c r="O1288" s="38" t="s">
        <v>404</v>
      </c>
      <c r="P1288" s="38" t="s">
        <v>60</v>
      </c>
      <c r="Q1288" s="38" t="s">
        <v>46</v>
      </c>
      <c r="R1288" s="38" t="s">
        <v>270</v>
      </c>
      <c r="S1288" s="38" t="s">
        <v>3608</v>
      </c>
      <c r="T1288" s="38" t="s">
        <v>3609</v>
      </c>
      <c r="U1288" s="38"/>
      <c r="V1288" s="38"/>
      <c r="W1288" s="38"/>
      <c r="X1288" s="14"/>
      <c r="AN1288" s="7" t="s">
        <v>155</v>
      </c>
      <c r="AO1288" s="21">
        <f t="shared" si="63"/>
        <v>0</v>
      </c>
      <c r="AP1288" s="7">
        <f t="shared" si="62"/>
        <v>8.61</v>
      </c>
      <c r="AQ1288" s="31" t="str">
        <f t="shared" si="64"/>
        <v>Complete - No Adjustment</v>
      </c>
    </row>
    <row r="1289" spans="1:43" x14ac:dyDescent="0.2">
      <c r="A1289" s="46">
        <v>1279</v>
      </c>
      <c r="B1289" s="38" t="s">
        <v>266</v>
      </c>
      <c r="C1289" s="38" t="s">
        <v>790</v>
      </c>
      <c r="D1289" s="38" t="s">
        <v>789</v>
      </c>
      <c r="E1289" s="38" t="s">
        <v>3610</v>
      </c>
      <c r="F1289" s="38" t="s">
        <v>2972</v>
      </c>
      <c r="G1289" s="38" t="s">
        <v>111</v>
      </c>
      <c r="H1289" s="44">
        <v>44033</v>
      </c>
      <c r="I1289" s="44">
        <v>44039</v>
      </c>
      <c r="J1289">
        <v>15</v>
      </c>
      <c r="K1289">
        <v>15</v>
      </c>
      <c r="L1289" t="s">
        <v>3611</v>
      </c>
      <c r="M1289" s="45" t="s">
        <v>98</v>
      </c>
      <c r="N1289" s="38" t="s">
        <v>230</v>
      </c>
      <c r="O1289" s="38" t="s">
        <v>303</v>
      </c>
      <c r="P1289" s="38" t="s">
        <v>60</v>
      </c>
      <c r="Q1289" s="38" t="s">
        <v>41</v>
      </c>
      <c r="R1289" s="38" t="s">
        <v>270</v>
      </c>
      <c r="S1289" s="38" t="s">
        <v>3612</v>
      </c>
      <c r="T1289" s="38" t="s">
        <v>3613</v>
      </c>
      <c r="U1289" s="38"/>
      <c r="V1289" s="38"/>
      <c r="W1289" s="38"/>
      <c r="X1289" s="14"/>
      <c r="AN1289" s="7" t="s">
        <v>155</v>
      </c>
      <c r="AO1289" s="21">
        <f t="shared" si="63"/>
        <v>0</v>
      </c>
      <c r="AP1289" s="7">
        <f t="shared" si="62"/>
        <v>15</v>
      </c>
      <c r="AQ1289" s="31" t="str">
        <f t="shared" si="64"/>
        <v>Complete - No Adjustment</v>
      </c>
    </row>
    <row r="1290" spans="1:43" x14ac:dyDescent="0.2">
      <c r="A1290" s="46">
        <v>1280</v>
      </c>
      <c r="B1290" s="38" t="s">
        <v>266</v>
      </c>
      <c r="C1290" s="38" t="s">
        <v>3614</v>
      </c>
      <c r="D1290" s="38" t="s">
        <v>3615</v>
      </c>
      <c r="E1290" s="38" t="s">
        <v>3616</v>
      </c>
      <c r="F1290" s="38" t="s">
        <v>3123</v>
      </c>
      <c r="G1290" s="38" t="s">
        <v>111</v>
      </c>
      <c r="H1290" s="44">
        <v>44032</v>
      </c>
      <c r="I1290" s="44">
        <v>44034</v>
      </c>
      <c r="J1290">
        <v>15</v>
      </c>
      <c r="K1290">
        <v>15</v>
      </c>
      <c r="L1290" t="s">
        <v>3617</v>
      </c>
      <c r="M1290" s="45" t="s">
        <v>98</v>
      </c>
      <c r="N1290" s="38" t="s">
        <v>230</v>
      </c>
      <c r="O1290" s="38" t="s">
        <v>280</v>
      </c>
      <c r="P1290" s="38" t="s">
        <v>60</v>
      </c>
      <c r="Q1290" s="38" t="s">
        <v>41</v>
      </c>
      <c r="R1290" s="38" t="s">
        <v>270</v>
      </c>
      <c r="S1290" s="38" t="s">
        <v>2180</v>
      </c>
      <c r="T1290" s="38" t="s">
        <v>2181</v>
      </c>
      <c r="U1290" s="38"/>
      <c r="V1290" s="38"/>
      <c r="W1290" s="38"/>
      <c r="X1290" s="14"/>
      <c r="AN1290" s="7" t="s">
        <v>155</v>
      </c>
      <c r="AO1290" s="21">
        <f t="shared" si="63"/>
        <v>0</v>
      </c>
      <c r="AP1290" s="7">
        <f t="shared" ref="AP1290:AP1353" si="65">K1290-AO1290</f>
        <v>15</v>
      </c>
      <c r="AQ1290" s="31" t="str">
        <f t="shared" si="64"/>
        <v>Complete - No Adjustment</v>
      </c>
    </row>
    <row r="1291" spans="1:43" x14ac:dyDescent="0.2">
      <c r="A1291" s="46">
        <v>1281</v>
      </c>
      <c r="B1291" s="38" t="s">
        <v>266</v>
      </c>
      <c r="C1291" s="38" t="s">
        <v>3618</v>
      </c>
      <c r="D1291" s="38" t="s">
        <v>3619</v>
      </c>
      <c r="E1291" s="38" t="s">
        <v>3620</v>
      </c>
      <c r="F1291" s="38" t="s">
        <v>2972</v>
      </c>
      <c r="G1291" s="38" t="s">
        <v>111</v>
      </c>
      <c r="H1291" s="44">
        <v>44034</v>
      </c>
      <c r="I1291" s="44">
        <v>44039</v>
      </c>
      <c r="J1291">
        <v>14.02</v>
      </c>
      <c r="K1291">
        <v>14.02</v>
      </c>
      <c r="L1291" t="s">
        <v>3621</v>
      </c>
      <c r="M1291" s="45" t="s">
        <v>98</v>
      </c>
      <c r="N1291" s="38" t="s">
        <v>230</v>
      </c>
      <c r="O1291" s="38" t="s">
        <v>592</v>
      </c>
      <c r="P1291" s="38" t="s">
        <v>60</v>
      </c>
      <c r="Q1291" s="38" t="s">
        <v>41</v>
      </c>
      <c r="R1291" s="38" t="s">
        <v>270</v>
      </c>
      <c r="S1291" s="38" t="s">
        <v>3622</v>
      </c>
      <c r="T1291" s="38" t="s">
        <v>3623</v>
      </c>
      <c r="U1291" s="38"/>
      <c r="V1291" s="38"/>
      <c r="W1291" s="38"/>
      <c r="X1291" s="14"/>
      <c r="AN1291" s="7" t="s">
        <v>155</v>
      </c>
      <c r="AO1291" s="21">
        <f t="shared" si="63"/>
        <v>0</v>
      </c>
      <c r="AP1291" s="7">
        <f t="shared" si="65"/>
        <v>14.02</v>
      </c>
      <c r="AQ1291" s="31" t="str">
        <f t="shared" si="64"/>
        <v>Complete - No Adjustment</v>
      </c>
    </row>
    <row r="1292" spans="1:43" x14ac:dyDescent="0.2">
      <c r="A1292" s="46">
        <v>1282</v>
      </c>
      <c r="B1292" s="38" t="s">
        <v>266</v>
      </c>
      <c r="C1292" s="38" t="s">
        <v>2844</v>
      </c>
      <c r="D1292" s="38" t="s">
        <v>2845</v>
      </c>
      <c r="E1292" s="38" t="s">
        <v>3624</v>
      </c>
      <c r="F1292" s="38" t="s">
        <v>3223</v>
      </c>
      <c r="G1292" s="38" t="s">
        <v>111</v>
      </c>
      <c r="H1292" s="44">
        <v>44033</v>
      </c>
      <c r="I1292" s="44">
        <v>44035</v>
      </c>
      <c r="J1292">
        <v>15.13</v>
      </c>
      <c r="K1292">
        <v>15.13</v>
      </c>
      <c r="L1292" t="s">
        <v>3625</v>
      </c>
      <c r="M1292" s="45" t="s">
        <v>98</v>
      </c>
      <c r="N1292" s="38" t="s">
        <v>230</v>
      </c>
      <c r="O1292" s="38" t="s">
        <v>514</v>
      </c>
      <c r="P1292" s="38" t="s">
        <v>60</v>
      </c>
      <c r="Q1292" s="38" t="s">
        <v>41</v>
      </c>
      <c r="R1292" s="38" t="s">
        <v>270</v>
      </c>
      <c r="S1292" s="38" t="s">
        <v>3626</v>
      </c>
      <c r="T1292" s="38" t="s">
        <v>3627</v>
      </c>
      <c r="U1292" s="38"/>
      <c r="V1292" s="38"/>
      <c r="W1292" s="38"/>
      <c r="X1292" s="14"/>
      <c r="AN1292" s="7" t="s">
        <v>155</v>
      </c>
      <c r="AO1292" s="21">
        <f t="shared" si="63"/>
        <v>0</v>
      </c>
      <c r="AP1292" s="7">
        <f t="shared" si="65"/>
        <v>15.13</v>
      </c>
      <c r="AQ1292" s="31" t="str">
        <f t="shared" si="64"/>
        <v>Complete - No Adjustment</v>
      </c>
    </row>
    <row r="1293" spans="1:43" x14ac:dyDescent="0.2">
      <c r="A1293" s="46">
        <v>1283</v>
      </c>
      <c r="B1293" s="38" t="s">
        <v>266</v>
      </c>
      <c r="C1293" s="38" t="s">
        <v>738</v>
      </c>
      <c r="D1293" s="38" t="s">
        <v>830</v>
      </c>
      <c r="E1293" s="38" t="s">
        <v>3628</v>
      </c>
      <c r="F1293" s="38" t="s">
        <v>2960</v>
      </c>
      <c r="G1293" s="38" t="s">
        <v>111</v>
      </c>
      <c r="H1293" s="44">
        <v>44034</v>
      </c>
      <c r="I1293" s="44">
        <v>44036</v>
      </c>
      <c r="J1293">
        <v>15</v>
      </c>
      <c r="K1293">
        <v>15</v>
      </c>
      <c r="L1293" t="s">
        <v>3629</v>
      </c>
      <c r="M1293" s="45" t="s">
        <v>98</v>
      </c>
      <c r="N1293" s="38" t="s">
        <v>230</v>
      </c>
      <c r="O1293" s="38" t="s">
        <v>292</v>
      </c>
      <c r="P1293" s="38" t="s">
        <v>60</v>
      </c>
      <c r="Q1293" s="38" t="s">
        <v>41</v>
      </c>
      <c r="R1293" s="38" t="s">
        <v>270</v>
      </c>
      <c r="S1293" s="38" t="s">
        <v>3630</v>
      </c>
      <c r="T1293" s="38" t="s">
        <v>3631</v>
      </c>
      <c r="U1293" s="38"/>
      <c r="V1293" s="38"/>
      <c r="W1293" s="38"/>
      <c r="X1293" s="14"/>
      <c r="AN1293" s="7" t="s">
        <v>155</v>
      </c>
      <c r="AO1293" s="21">
        <f t="shared" si="63"/>
        <v>0</v>
      </c>
      <c r="AP1293" s="7">
        <f t="shared" si="65"/>
        <v>15</v>
      </c>
      <c r="AQ1293" s="31" t="str">
        <f t="shared" si="64"/>
        <v>Complete - No Adjustment</v>
      </c>
    </row>
    <row r="1294" spans="1:43" x14ac:dyDescent="0.2">
      <c r="A1294" s="46">
        <v>1284</v>
      </c>
      <c r="B1294" s="38" t="s">
        <v>266</v>
      </c>
      <c r="C1294" s="38" t="s">
        <v>2862</v>
      </c>
      <c r="D1294" s="38" t="s">
        <v>2863</v>
      </c>
      <c r="E1294" s="38" t="s">
        <v>3632</v>
      </c>
      <c r="F1294" s="38" t="s">
        <v>3288</v>
      </c>
      <c r="G1294" s="38" t="s">
        <v>111</v>
      </c>
      <c r="H1294" s="44">
        <v>44033</v>
      </c>
      <c r="I1294" s="44">
        <v>44042</v>
      </c>
      <c r="J1294">
        <v>15</v>
      </c>
      <c r="K1294">
        <v>3</v>
      </c>
      <c r="L1294" t="s">
        <v>3633</v>
      </c>
      <c r="M1294" s="45" t="s">
        <v>98</v>
      </c>
      <c r="N1294" s="38" t="s">
        <v>230</v>
      </c>
      <c r="O1294" s="38" t="s">
        <v>791</v>
      </c>
      <c r="P1294" s="38" t="s">
        <v>60</v>
      </c>
      <c r="Q1294" s="38" t="s">
        <v>41</v>
      </c>
      <c r="R1294" s="38" t="s">
        <v>270</v>
      </c>
      <c r="S1294" s="38" t="s">
        <v>3634</v>
      </c>
      <c r="T1294" s="38" t="s">
        <v>3635</v>
      </c>
      <c r="U1294" s="38"/>
      <c r="V1294" s="38"/>
      <c r="W1294" s="38"/>
      <c r="X1294" s="14"/>
      <c r="AN1294" s="7" t="s">
        <v>155</v>
      </c>
      <c r="AO1294" s="21">
        <f t="shared" ref="AO1294:AO1320" si="66">SUM(Y1294:AL1294)</f>
        <v>0</v>
      </c>
      <c r="AP1294" s="7">
        <f t="shared" si="65"/>
        <v>3</v>
      </c>
      <c r="AQ1294" s="31" t="str">
        <f t="shared" ref="AQ1294:AQ1357" si="67">IF(AO1294&lt;&gt;0,"Complete - With Adjustment","Complete - No Adjustment")</f>
        <v>Complete - No Adjustment</v>
      </c>
    </row>
    <row r="1295" spans="1:43" x14ac:dyDescent="0.2">
      <c r="A1295" s="46">
        <v>1285</v>
      </c>
      <c r="B1295" s="38" t="s">
        <v>266</v>
      </c>
      <c r="C1295" s="38" t="s">
        <v>488</v>
      </c>
      <c r="D1295" s="38" t="s">
        <v>487</v>
      </c>
      <c r="E1295" s="38" t="s">
        <v>3636</v>
      </c>
      <c r="F1295" s="38" t="s">
        <v>3149</v>
      </c>
      <c r="G1295" s="38" t="s">
        <v>111</v>
      </c>
      <c r="H1295" s="44">
        <v>44029</v>
      </c>
      <c r="I1295" s="44">
        <v>44033</v>
      </c>
      <c r="J1295">
        <v>400</v>
      </c>
      <c r="K1295">
        <v>400</v>
      </c>
      <c r="L1295" t="s">
        <v>3637</v>
      </c>
      <c r="M1295" s="45" t="s">
        <v>98</v>
      </c>
      <c r="N1295" s="38" t="s">
        <v>230</v>
      </c>
      <c r="O1295" s="38" t="s">
        <v>277</v>
      </c>
      <c r="P1295" s="38" t="s">
        <v>60</v>
      </c>
      <c r="Q1295" s="38" t="s">
        <v>56</v>
      </c>
      <c r="R1295" s="38" t="s">
        <v>270</v>
      </c>
      <c r="S1295" s="38" t="s">
        <v>3638</v>
      </c>
      <c r="T1295" s="38" t="s">
        <v>3639</v>
      </c>
      <c r="U1295" s="38"/>
      <c r="V1295" s="38"/>
      <c r="W1295" s="38"/>
      <c r="X1295" s="14"/>
      <c r="AN1295" s="7" t="s">
        <v>70</v>
      </c>
      <c r="AO1295" s="21">
        <f t="shared" si="66"/>
        <v>0</v>
      </c>
      <c r="AP1295" s="7">
        <f t="shared" si="65"/>
        <v>400</v>
      </c>
      <c r="AQ1295" s="31" t="str">
        <f t="shared" si="67"/>
        <v>Complete - No Adjustment</v>
      </c>
    </row>
    <row r="1296" spans="1:43" x14ac:dyDescent="0.2">
      <c r="A1296" s="46">
        <v>1286</v>
      </c>
      <c r="B1296" s="38" t="s">
        <v>266</v>
      </c>
      <c r="C1296" s="38" t="s">
        <v>492</v>
      </c>
      <c r="D1296" s="38" t="s">
        <v>491</v>
      </c>
      <c r="E1296" s="38" t="s">
        <v>3640</v>
      </c>
      <c r="F1296" s="38" t="s">
        <v>3039</v>
      </c>
      <c r="G1296" s="38" t="s">
        <v>111</v>
      </c>
      <c r="H1296" s="44">
        <v>44033</v>
      </c>
      <c r="I1296" s="44">
        <v>44041</v>
      </c>
      <c r="J1296">
        <v>14.65</v>
      </c>
      <c r="K1296">
        <v>14.65</v>
      </c>
      <c r="L1296" t="s">
        <v>3641</v>
      </c>
      <c r="M1296" s="45" t="s">
        <v>98</v>
      </c>
      <c r="N1296" s="38" t="s">
        <v>230</v>
      </c>
      <c r="O1296" s="38" t="s">
        <v>292</v>
      </c>
      <c r="P1296" s="38" t="s">
        <v>60</v>
      </c>
      <c r="Q1296" s="38" t="s">
        <v>41</v>
      </c>
      <c r="R1296" s="38" t="s">
        <v>270</v>
      </c>
      <c r="S1296" s="38" t="s">
        <v>3642</v>
      </c>
      <c r="T1296" s="38" t="s">
        <v>3643</v>
      </c>
      <c r="U1296" s="38"/>
      <c r="V1296" s="38"/>
      <c r="W1296" s="38"/>
      <c r="X1296" s="14"/>
      <c r="AN1296" s="7" t="s">
        <v>155</v>
      </c>
      <c r="AO1296" s="21">
        <f t="shared" si="66"/>
        <v>0</v>
      </c>
      <c r="AP1296" s="7">
        <f t="shared" si="65"/>
        <v>14.65</v>
      </c>
      <c r="AQ1296" s="31" t="str">
        <f t="shared" si="67"/>
        <v>Complete - No Adjustment</v>
      </c>
    </row>
    <row r="1297" spans="1:43" x14ac:dyDescent="0.2">
      <c r="A1297" s="46">
        <v>1287</v>
      </c>
      <c r="B1297" s="38" t="s">
        <v>266</v>
      </c>
      <c r="C1297" s="38" t="s">
        <v>577</v>
      </c>
      <c r="D1297" s="38" t="s">
        <v>576</v>
      </c>
      <c r="E1297" s="38" t="s">
        <v>3644</v>
      </c>
      <c r="F1297" s="38" t="s">
        <v>3018</v>
      </c>
      <c r="G1297" s="38" t="s">
        <v>111</v>
      </c>
      <c r="H1297" s="44">
        <v>44027</v>
      </c>
      <c r="I1297" s="44">
        <v>44028</v>
      </c>
      <c r="J1297">
        <v>46.71</v>
      </c>
      <c r="K1297">
        <v>32.380000000000003</v>
      </c>
      <c r="L1297" t="s">
        <v>3645</v>
      </c>
      <c r="M1297" s="45" t="s">
        <v>98</v>
      </c>
      <c r="N1297" s="38" t="s">
        <v>230</v>
      </c>
      <c r="O1297" s="38" t="s">
        <v>78</v>
      </c>
      <c r="P1297" s="38" t="s">
        <v>60</v>
      </c>
      <c r="Q1297" s="38" t="s">
        <v>65</v>
      </c>
      <c r="R1297" s="38" t="s">
        <v>270</v>
      </c>
      <c r="S1297" s="38" t="s">
        <v>3646</v>
      </c>
      <c r="T1297" s="38" t="s">
        <v>3647</v>
      </c>
      <c r="U1297" s="38"/>
      <c r="V1297" s="38"/>
      <c r="W1297" s="38"/>
      <c r="X1297" s="14"/>
      <c r="AN1297" s="7" t="s">
        <v>70</v>
      </c>
      <c r="AO1297" s="21">
        <f t="shared" si="66"/>
        <v>0</v>
      </c>
      <c r="AP1297" s="7">
        <f t="shared" si="65"/>
        <v>32.380000000000003</v>
      </c>
      <c r="AQ1297" s="31" t="str">
        <f t="shared" si="67"/>
        <v>Complete - No Adjustment</v>
      </c>
    </row>
    <row r="1298" spans="1:43" x14ac:dyDescent="0.2">
      <c r="A1298" s="46">
        <v>1288</v>
      </c>
      <c r="B1298" s="38" t="s">
        <v>266</v>
      </c>
      <c r="C1298" s="38" t="s">
        <v>577</v>
      </c>
      <c r="D1298" s="38" t="s">
        <v>576</v>
      </c>
      <c r="E1298" s="38" t="s">
        <v>3644</v>
      </c>
      <c r="F1298" s="38" t="s">
        <v>3018</v>
      </c>
      <c r="G1298" s="38" t="s">
        <v>111</v>
      </c>
      <c r="H1298" s="44">
        <v>44027</v>
      </c>
      <c r="I1298" s="44">
        <v>44028</v>
      </c>
      <c r="J1298">
        <v>46.71</v>
      </c>
      <c r="K1298">
        <v>14.33</v>
      </c>
      <c r="L1298" t="s">
        <v>3645</v>
      </c>
      <c r="M1298" s="45" t="s">
        <v>98</v>
      </c>
      <c r="N1298" s="38" t="s">
        <v>230</v>
      </c>
      <c r="O1298" s="38" t="s">
        <v>78</v>
      </c>
      <c r="P1298" s="38" t="s">
        <v>60</v>
      </c>
      <c r="Q1298" s="38" t="s">
        <v>46</v>
      </c>
      <c r="R1298" s="38" t="s">
        <v>270</v>
      </c>
      <c r="S1298" s="38" t="s">
        <v>3646</v>
      </c>
      <c r="T1298" s="38" t="s">
        <v>3648</v>
      </c>
      <c r="U1298" s="38"/>
      <c r="V1298" s="38"/>
      <c r="W1298" s="38"/>
      <c r="X1298" s="14"/>
      <c r="AN1298" s="7" t="s">
        <v>155</v>
      </c>
      <c r="AO1298" s="21">
        <f t="shared" si="66"/>
        <v>0</v>
      </c>
      <c r="AP1298" s="7">
        <f t="shared" si="65"/>
        <v>14.33</v>
      </c>
      <c r="AQ1298" s="31" t="str">
        <f t="shared" si="67"/>
        <v>Complete - No Adjustment</v>
      </c>
    </row>
    <row r="1299" spans="1:43" x14ac:dyDescent="0.2">
      <c r="A1299" s="46">
        <v>1289</v>
      </c>
      <c r="B1299" s="38" t="s">
        <v>266</v>
      </c>
      <c r="C1299" s="38" t="s">
        <v>503</v>
      </c>
      <c r="D1299" s="38" t="s">
        <v>502</v>
      </c>
      <c r="E1299" s="38" t="s">
        <v>3649</v>
      </c>
      <c r="F1299" s="38" t="s">
        <v>3130</v>
      </c>
      <c r="G1299" s="38" t="s">
        <v>111</v>
      </c>
      <c r="H1299" s="44">
        <v>44013</v>
      </c>
      <c r="I1299" s="44">
        <v>44018</v>
      </c>
      <c r="J1299">
        <v>210.79</v>
      </c>
      <c r="K1299">
        <v>92</v>
      </c>
      <c r="L1299" t="s">
        <v>3650</v>
      </c>
      <c r="M1299" s="45" t="s">
        <v>98</v>
      </c>
      <c r="N1299" s="38" t="s">
        <v>230</v>
      </c>
      <c r="O1299" s="38" t="s">
        <v>277</v>
      </c>
      <c r="P1299" s="38" t="s">
        <v>60</v>
      </c>
      <c r="Q1299" s="38" t="s">
        <v>62</v>
      </c>
      <c r="R1299" s="38" t="s">
        <v>270</v>
      </c>
      <c r="S1299" s="38" t="s">
        <v>3651</v>
      </c>
      <c r="T1299" s="38" t="s">
        <v>3652</v>
      </c>
      <c r="U1299" s="38"/>
      <c r="V1299" s="38"/>
      <c r="W1299" s="38"/>
      <c r="X1299" s="14"/>
      <c r="AN1299" s="7" t="s">
        <v>70</v>
      </c>
      <c r="AO1299" s="21">
        <f t="shared" si="66"/>
        <v>0</v>
      </c>
      <c r="AP1299" s="7">
        <f t="shared" si="65"/>
        <v>92</v>
      </c>
      <c r="AQ1299" s="31" t="str">
        <f t="shared" si="67"/>
        <v>Complete - No Adjustment</v>
      </c>
    </row>
    <row r="1300" spans="1:43" x14ac:dyDescent="0.2">
      <c r="A1300" s="46">
        <v>1290</v>
      </c>
      <c r="B1300" s="38" t="s">
        <v>266</v>
      </c>
      <c r="C1300" s="38" t="s">
        <v>503</v>
      </c>
      <c r="D1300" s="38" t="s">
        <v>502</v>
      </c>
      <c r="E1300" s="38" t="s">
        <v>3649</v>
      </c>
      <c r="F1300" s="38" t="s">
        <v>3130</v>
      </c>
      <c r="G1300" s="38" t="s">
        <v>111</v>
      </c>
      <c r="H1300" s="44">
        <v>44013</v>
      </c>
      <c r="I1300" s="44">
        <v>44018</v>
      </c>
      <c r="J1300">
        <v>210.79</v>
      </c>
      <c r="K1300">
        <v>12.32</v>
      </c>
      <c r="L1300" t="s">
        <v>3650</v>
      </c>
      <c r="M1300" s="45" t="s">
        <v>98</v>
      </c>
      <c r="N1300" s="38" t="s">
        <v>230</v>
      </c>
      <c r="O1300" s="38" t="s">
        <v>277</v>
      </c>
      <c r="P1300" s="38" t="s">
        <v>60</v>
      </c>
      <c r="Q1300" s="38" t="s">
        <v>62</v>
      </c>
      <c r="R1300" s="38" t="s">
        <v>270</v>
      </c>
      <c r="S1300" s="38" t="s">
        <v>3651</v>
      </c>
      <c r="T1300" s="38" t="s">
        <v>3653</v>
      </c>
      <c r="U1300" s="38"/>
      <c r="V1300" s="38"/>
      <c r="W1300" s="38"/>
      <c r="X1300" s="14"/>
      <c r="AN1300" s="7" t="s">
        <v>70</v>
      </c>
      <c r="AO1300" s="21">
        <f t="shared" si="66"/>
        <v>0</v>
      </c>
      <c r="AP1300" s="7">
        <f t="shared" si="65"/>
        <v>12.32</v>
      </c>
      <c r="AQ1300" s="31" t="str">
        <f t="shared" si="67"/>
        <v>Complete - No Adjustment</v>
      </c>
    </row>
    <row r="1301" spans="1:43" x14ac:dyDescent="0.2">
      <c r="A1301" s="46">
        <v>1291</v>
      </c>
      <c r="B1301" s="38" t="s">
        <v>266</v>
      </c>
      <c r="C1301" s="38" t="s">
        <v>503</v>
      </c>
      <c r="D1301" s="38" t="s">
        <v>502</v>
      </c>
      <c r="E1301" s="38" t="s">
        <v>3649</v>
      </c>
      <c r="F1301" s="38" t="s">
        <v>3130</v>
      </c>
      <c r="G1301" s="38" t="s">
        <v>111</v>
      </c>
      <c r="H1301" s="44">
        <v>44013</v>
      </c>
      <c r="I1301" s="44">
        <v>44018</v>
      </c>
      <c r="J1301">
        <v>210.79</v>
      </c>
      <c r="K1301">
        <v>69.790000000000006</v>
      </c>
      <c r="L1301" t="s">
        <v>3650</v>
      </c>
      <c r="M1301" s="45" t="s">
        <v>98</v>
      </c>
      <c r="N1301" s="38" t="s">
        <v>230</v>
      </c>
      <c r="O1301" s="38" t="s">
        <v>277</v>
      </c>
      <c r="P1301" s="38" t="s">
        <v>60</v>
      </c>
      <c r="Q1301" s="38" t="s">
        <v>62</v>
      </c>
      <c r="R1301" s="38" t="s">
        <v>270</v>
      </c>
      <c r="S1301" s="38" t="s">
        <v>3651</v>
      </c>
      <c r="T1301" s="38" t="s">
        <v>3654</v>
      </c>
      <c r="U1301" s="38"/>
      <c r="V1301" s="38"/>
      <c r="W1301" s="38"/>
      <c r="X1301" s="14"/>
      <c r="AN1301" s="7" t="s">
        <v>70</v>
      </c>
      <c r="AO1301" s="21">
        <f t="shared" si="66"/>
        <v>0</v>
      </c>
      <c r="AP1301" s="7">
        <f t="shared" si="65"/>
        <v>69.790000000000006</v>
      </c>
      <c r="AQ1301" s="31" t="str">
        <f t="shared" si="67"/>
        <v>Complete - No Adjustment</v>
      </c>
    </row>
    <row r="1302" spans="1:43" x14ac:dyDescent="0.2">
      <c r="A1302" s="46">
        <v>1292</v>
      </c>
      <c r="B1302" s="38" t="s">
        <v>266</v>
      </c>
      <c r="C1302" s="38" t="s">
        <v>503</v>
      </c>
      <c r="D1302" s="38" t="s">
        <v>502</v>
      </c>
      <c r="E1302" s="38" t="s">
        <v>3649</v>
      </c>
      <c r="F1302" s="38" t="s">
        <v>3130</v>
      </c>
      <c r="G1302" s="38" t="s">
        <v>111</v>
      </c>
      <c r="H1302" s="44">
        <v>44013</v>
      </c>
      <c r="I1302" s="44">
        <v>44018</v>
      </c>
      <c r="J1302">
        <v>210.79</v>
      </c>
      <c r="K1302">
        <v>36.68</v>
      </c>
      <c r="L1302" t="s">
        <v>3650</v>
      </c>
      <c r="M1302" s="45" t="s">
        <v>98</v>
      </c>
      <c r="N1302" s="38" t="s">
        <v>230</v>
      </c>
      <c r="O1302" s="38" t="s">
        <v>277</v>
      </c>
      <c r="P1302" s="38" t="s">
        <v>60</v>
      </c>
      <c r="Q1302" s="38" t="s">
        <v>62</v>
      </c>
      <c r="R1302" s="38" t="s">
        <v>270</v>
      </c>
      <c r="S1302" s="38" t="s">
        <v>3651</v>
      </c>
      <c r="T1302" s="38" t="s">
        <v>3655</v>
      </c>
      <c r="U1302" s="38"/>
      <c r="V1302" s="38"/>
      <c r="W1302" s="38"/>
      <c r="X1302" s="14"/>
      <c r="AN1302" s="7" t="s">
        <v>70</v>
      </c>
      <c r="AO1302" s="21">
        <f t="shared" si="66"/>
        <v>0</v>
      </c>
      <c r="AP1302" s="7">
        <f t="shared" si="65"/>
        <v>36.68</v>
      </c>
      <c r="AQ1302" s="31" t="str">
        <f t="shared" si="67"/>
        <v>Complete - No Adjustment</v>
      </c>
    </row>
    <row r="1303" spans="1:43" x14ac:dyDescent="0.2">
      <c r="A1303" s="46">
        <v>1293</v>
      </c>
      <c r="B1303" s="38" t="s">
        <v>266</v>
      </c>
      <c r="C1303" s="38" t="s">
        <v>504</v>
      </c>
      <c r="D1303" s="38" t="s">
        <v>805</v>
      </c>
      <c r="E1303" s="38" t="s">
        <v>3656</v>
      </c>
      <c r="F1303" s="38" t="s">
        <v>3039</v>
      </c>
      <c r="G1303" s="38" t="s">
        <v>111</v>
      </c>
      <c r="H1303" s="44">
        <v>43991</v>
      </c>
      <c r="I1303" s="44">
        <v>44041</v>
      </c>
      <c r="J1303">
        <v>344.52</v>
      </c>
      <c r="K1303">
        <v>79.53</v>
      </c>
      <c r="L1303" t="s">
        <v>3657</v>
      </c>
      <c r="M1303" s="45" t="s">
        <v>98</v>
      </c>
      <c r="N1303" s="38" t="s">
        <v>230</v>
      </c>
      <c r="O1303" s="38" t="s">
        <v>484</v>
      </c>
      <c r="P1303" s="38" t="s">
        <v>60</v>
      </c>
      <c r="Q1303" s="38" t="s">
        <v>46</v>
      </c>
      <c r="R1303" s="38" t="s">
        <v>270</v>
      </c>
      <c r="S1303" s="38" t="s">
        <v>3658</v>
      </c>
      <c r="T1303" s="38" t="s">
        <v>3659</v>
      </c>
      <c r="U1303" s="38"/>
      <c r="V1303" s="38"/>
      <c r="W1303" s="38"/>
      <c r="X1303" s="14"/>
      <c r="AI1303" s="53">
        <f>79.53</f>
        <v>79.53</v>
      </c>
      <c r="AN1303" s="7" t="s">
        <v>145</v>
      </c>
      <c r="AO1303" s="21">
        <f t="shared" si="66"/>
        <v>79.53</v>
      </c>
      <c r="AP1303" s="7">
        <f t="shared" si="65"/>
        <v>0</v>
      </c>
      <c r="AQ1303" s="31" t="str">
        <f t="shared" si="67"/>
        <v>Complete - With Adjustment</v>
      </c>
    </row>
    <row r="1304" spans="1:43" x14ac:dyDescent="0.2">
      <c r="A1304" s="46">
        <v>1294</v>
      </c>
      <c r="B1304" s="38" t="s">
        <v>266</v>
      </c>
      <c r="C1304" s="38" t="s">
        <v>504</v>
      </c>
      <c r="D1304" s="38" t="s">
        <v>805</v>
      </c>
      <c r="E1304" s="38" t="s">
        <v>3656</v>
      </c>
      <c r="F1304" s="38" t="s">
        <v>3039</v>
      </c>
      <c r="G1304" s="38" t="s">
        <v>111</v>
      </c>
      <c r="H1304" s="44">
        <v>43991</v>
      </c>
      <c r="I1304" s="44">
        <v>44041</v>
      </c>
      <c r="J1304">
        <v>344.52</v>
      </c>
      <c r="K1304">
        <v>48.8</v>
      </c>
      <c r="L1304" t="s">
        <v>3657</v>
      </c>
      <c r="M1304" s="45" t="s">
        <v>98</v>
      </c>
      <c r="N1304" s="38" t="s">
        <v>230</v>
      </c>
      <c r="O1304" s="38" t="s">
        <v>484</v>
      </c>
      <c r="P1304" s="38" t="s">
        <v>60</v>
      </c>
      <c r="Q1304" s="38" t="s">
        <v>46</v>
      </c>
      <c r="R1304" s="38" t="s">
        <v>270</v>
      </c>
      <c r="S1304" s="38" t="s">
        <v>3658</v>
      </c>
      <c r="T1304" s="38" t="s">
        <v>3660</v>
      </c>
      <c r="U1304" s="38"/>
      <c r="V1304" s="38"/>
      <c r="W1304" s="38"/>
      <c r="X1304" s="14"/>
      <c r="AI1304" s="53">
        <f>48.8</f>
        <v>48.8</v>
      </c>
      <c r="AN1304" s="7" t="s">
        <v>145</v>
      </c>
      <c r="AO1304" s="21">
        <f t="shared" si="66"/>
        <v>48.8</v>
      </c>
      <c r="AP1304" s="7">
        <f t="shared" si="65"/>
        <v>0</v>
      </c>
      <c r="AQ1304" s="31" t="str">
        <f t="shared" si="67"/>
        <v>Complete - With Adjustment</v>
      </c>
    </row>
    <row r="1305" spans="1:43" x14ac:dyDescent="0.2">
      <c r="A1305" s="46">
        <v>1295</v>
      </c>
      <c r="B1305" s="38" t="s">
        <v>266</v>
      </c>
      <c r="C1305" s="38" t="s">
        <v>504</v>
      </c>
      <c r="D1305" s="38" t="s">
        <v>805</v>
      </c>
      <c r="E1305" s="38" t="s">
        <v>3656</v>
      </c>
      <c r="F1305" s="38" t="s">
        <v>3039</v>
      </c>
      <c r="G1305" s="38" t="s">
        <v>111</v>
      </c>
      <c r="H1305" s="44">
        <v>43991</v>
      </c>
      <c r="I1305" s="44">
        <v>44041</v>
      </c>
      <c r="J1305">
        <v>344.52</v>
      </c>
      <c r="K1305">
        <v>15</v>
      </c>
      <c r="L1305" t="s">
        <v>3657</v>
      </c>
      <c r="M1305" s="45" t="s">
        <v>98</v>
      </c>
      <c r="N1305" s="38" t="s">
        <v>230</v>
      </c>
      <c r="O1305" s="38" t="s">
        <v>507</v>
      </c>
      <c r="P1305" s="38" t="s">
        <v>60</v>
      </c>
      <c r="Q1305" s="38" t="s">
        <v>46</v>
      </c>
      <c r="R1305" s="38" t="s">
        <v>270</v>
      </c>
      <c r="S1305" s="38" t="s">
        <v>3658</v>
      </c>
      <c r="T1305" s="38" t="s">
        <v>3661</v>
      </c>
      <c r="U1305" s="38"/>
      <c r="V1305" s="38"/>
      <c r="W1305" s="38"/>
      <c r="X1305" s="14"/>
      <c r="AN1305" s="7" t="s">
        <v>155</v>
      </c>
      <c r="AO1305" s="21">
        <f t="shared" si="66"/>
        <v>0</v>
      </c>
      <c r="AP1305" s="7">
        <f t="shared" si="65"/>
        <v>15</v>
      </c>
      <c r="AQ1305" s="31" t="str">
        <f t="shared" si="67"/>
        <v>Complete - No Adjustment</v>
      </c>
    </row>
    <row r="1306" spans="1:43" x14ac:dyDescent="0.2">
      <c r="A1306" s="46">
        <v>1296</v>
      </c>
      <c r="B1306" s="38" t="s">
        <v>266</v>
      </c>
      <c r="C1306" s="38" t="s">
        <v>504</v>
      </c>
      <c r="D1306" s="38" t="s">
        <v>805</v>
      </c>
      <c r="E1306" s="38" t="s">
        <v>3656</v>
      </c>
      <c r="F1306" s="38" t="s">
        <v>3039</v>
      </c>
      <c r="G1306" s="38" t="s">
        <v>111</v>
      </c>
      <c r="H1306" s="44">
        <v>43991</v>
      </c>
      <c r="I1306" s="44">
        <v>44041</v>
      </c>
      <c r="J1306">
        <v>344.52</v>
      </c>
      <c r="K1306">
        <v>47.57</v>
      </c>
      <c r="L1306" t="s">
        <v>3657</v>
      </c>
      <c r="M1306" s="45" t="s">
        <v>98</v>
      </c>
      <c r="N1306" s="38" t="s">
        <v>230</v>
      </c>
      <c r="O1306" s="38" t="s">
        <v>484</v>
      </c>
      <c r="P1306" s="38" t="s">
        <v>60</v>
      </c>
      <c r="Q1306" s="38" t="s">
        <v>46</v>
      </c>
      <c r="R1306" s="38" t="s">
        <v>270</v>
      </c>
      <c r="S1306" s="38" t="s">
        <v>3658</v>
      </c>
      <c r="T1306" s="38" t="s">
        <v>3660</v>
      </c>
      <c r="U1306" s="38"/>
      <c r="V1306" s="38"/>
      <c r="W1306" s="38"/>
      <c r="X1306" s="14"/>
      <c r="AI1306" s="53">
        <f>47.57</f>
        <v>47.57</v>
      </c>
      <c r="AN1306" s="7" t="s">
        <v>145</v>
      </c>
      <c r="AO1306" s="21">
        <f t="shared" si="66"/>
        <v>47.57</v>
      </c>
      <c r="AP1306" s="7">
        <f t="shared" si="65"/>
        <v>0</v>
      </c>
      <c r="AQ1306" s="31" t="str">
        <f t="shared" si="67"/>
        <v>Complete - With Adjustment</v>
      </c>
    </row>
    <row r="1307" spans="1:43" x14ac:dyDescent="0.2">
      <c r="A1307" s="46">
        <v>1297</v>
      </c>
      <c r="B1307" s="38" t="s">
        <v>266</v>
      </c>
      <c r="C1307" s="38" t="s">
        <v>504</v>
      </c>
      <c r="D1307" s="38" t="s">
        <v>805</v>
      </c>
      <c r="E1307" s="38" t="s">
        <v>3656</v>
      </c>
      <c r="F1307" s="38" t="s">
        <v>3039</v>
      </c>
      <c r="G1307" s="38" t="s">
        <v>111</v>
      </c>
      <c r="H1307" s="44">
        <v>43991</v>
      </c>
      <c r="I1307" s="44">
        <v>44041</v>
      </c>
      <c r="J1307">
        <v>344.52</v>
      </c>
      <c r="K1307">
        <v>49.3</v>
      </c>
      <c r="L1307" t="s">
        <v>3657</v>
      </c>
      <c r="M1307" s="45" t="s">
        <v>98</v>
      </c>
      <c r="N1307" s="38" t="s">
        <v>230</v>
      </c>
      <c r="O1307" s="38" t="s">
        <v>484</v>
      </c>
      <c r="P1307" s="38" t="s">
        <v>60</v>
      </c>
      <c r="Q1307" s="38" t="s">
        <v>46</v>
      </c>
      <c r="R1307" s="38" t="s">
        <v>270</v>
      </c>
      <c r="S1307" s="38" t="s">
        <v>3658</v>
      </c>
      <c r="T1307" s="38" t="s">
        <v>3660</v>
      </c>
      <c r="U1307" s="38"/>
      <c r="V1307" s="38"/>
      <c r="W1307" s="38"/>
      <c r="X1307" s="14"/>
      <c r="AI1307" s="53">
        <f>49.3</f>
        <v>49.3</v>
      </c>
      <c r="AN1307" s="7" t="s">
        <v>145</v>
      </c>
      <c r="AO1307" s="21">
        <f t="shared" si="66"/>
        <v>49.3</v>
      </c>
      <c r="AP1307" s="7">
        <f t="shared" si="65"/>
        <v>0</v>
      </c>
      <c r="AQ1307" s="31" t="str">
        <f t="shared" si="67"/>
        <v>Complete - With Adjustment</v>
      </c>
    </row>
    <row r="1308" spans="1:43" x14ac:dyDescent="0.2">
      <c r="A1308" s="46">
        <v>1298</v>
      </c>
      <c r="B1308" s="38" t="s">
        <v>266</v>
      </c>
      <c r="C1308" s="38" t="s">
        <v>504</v>
      </c>
      <c r="D1308" s="38" t="s">
        <v>805</v>
      </c>
      <c r="E1308" s="38" t="s">
        <v>3656</v>
      </c>
      <c r="F1308" s="38" t="s">
        <v>3039</v>
      </c>
      <c r="G1308" s="38" t="s">
        <v>111</v>
      </c>
      <c r="H1308" s="44">
        <v>43991</v>
      </c>
      <c r="I1308" s="44">
        <v>44041</v>
      </c>
      <c r="J1308">
        <v>344.52</v>
      </c>
      <c r="K1308">
        <v>56.43</v>
      </c>
      <c r="L1308" t="s">
        <v>3657</v>
      </c>
      <c r="M1308" s="45" t="s">
        <v>98</v>
      </c>
      <c r="N1308" s="38" t="s">
        <v>230</v>
      </c>
      <c r="O1308" s="38" t="s">
        <v>484</v>
      </c>
      <c r="P1308" s="38" t="s">
        <v>60</v>
      </c>
      <c r="Q1308" s="38" t="s">
        <v>46</v>
      </c>
      <c r="R1308" s="38" t="s">
        <v>270</v>
      </c>
      <c r="S1308" s="38" t="s">
        <v>3658</v>
      </c>
      <c r="T1308" s="38" t="s">
        <v>3660</v>
      </c>
      <c r="U1308" s="38"/>
      <c r="V1308" s="38"/>
      <c r="W1308" s="38"/>
      <c r="X1308" s="14"/>
      <c r="AI1308" s="53">
        <f>56.43</f>
        <v>56.43</v>
      </c>
      <c r="AN1308" s="7" t="s">
        <v>145</v>
      </c>
      <c r="AO1308" s="21">
        <f t="shared" si="66"/>
        <v>56.43</v>
      </c>
      <c r="AP1308" s="7">
        <f t="shared" si="65"/>
        <v>0</v>
      </c>
      <c r="AQ1308" s="31" t="str">
        <f t="shared" si="67"/>
        <v>Complete - With Adjustment</v>
      </c>
    </row>
    <row r="1309" spans="1:43" x14ac:dyDescent="0.2">
      <c r="A1309" s="46">
        <v>1299</v>
      </c>
      <c r="B1309" s="38" t="s">
        <v>266</v>
      </c>
      <c r="C1309" s="38" t="s">
        <v>504</v>
      </c>
      <c r="D1309" s="38" t="s">
        <v>805</v>
      </c>
      <c r="E1309" s="38" t="s">
        <v>3656</v>
      </c>
      <c r="F1309" s="38" t="s">
        <v>3039</v>
      </c>
      <c r="G1309" s="38" t="s">
        <v>111</v>
      </c>
      <c r="H1309" s="44">
        <v>43991</v>
      </c>
      <c r="I1309" s="44">
        <v>44041</v>
      </c>
      <c r="J1309">
        <v>344.52</v>
      </c>
      <c r="K1309">
        <v>47.89</v>
      </c>
      <c r="L1309" t="s">
        <v>3657</v>
      </c>
      <c r="M1309" s="45" t="s">
        <v>98</v>
      </c>
      <c r="N1309" s="38" t="s">
        <v>230</v>
      </c>
      <c r="O1309" s="38" t="s">
        <v>484</v>
      </c>
      <c r="P1309" s="38" t="s">
        <v>60</v>
      </c>
      <c r="Q1309" s="38" t="s">
        <v>46</v>
      </c>
      <c r="R1309" s="38" t="s">
        <v>270</v>
      </c>
      <c r="S1309" s="38" t="s">
        <v>3658</v>
      </c>
      <c r="T1309" s="38" t="s">
        <v>3660</v>
      </c>
      <c r="U1309" s="38"/>
      <c r="V1309" s="38"/>
      <c r="W1309" s="38"/>
      <c r="X1309" s="14"/>
      <c r="AI1309" s="53">
        <f>47.89</f>
        <v>47.89</v>
      </c>
      <c r="AN1309" s="7" t="s">
        <v>145</v>
      </c>
      <c r="AO1309" s="21">
        <f t="shared" si="66"/>
        <v>47.89</v>
      </c>
      <c r="AP1309" s="7">
        <f t="shared" si="65"/>
        <v>0</v>
      </c>
      <c r="AQ1309" s="31" t="str">
        <f t="shared" si="67"/>
        <v>Complete - With Adjustment</v>
      </c>
    </row>
    <row r="1310" spans="1:43" x14ac:dyDescent="0.2">
      <c r="A1310" s="46">
        <v>1300</v>
      </c>
      <c r="B1310" s="38" t="s">
        <v>266</v>
      </c>
      <c r="C1310" s="38" t="s">
        <v>579</v>
      </c>
      <c r="D1310" s="38" t="s">
        <v>578</v>
      </c>
      <c r="E1310" s="38" t="s">
        <v>3662</v>
      </c>
      <c r="F1310" s="38" t="s">
        <v>2965</v>
      </c>
      <c r="G1310" s="38" t="s">
        <v>111</v>
      </c>
      <c r="H1310" s="44">
        <v>44033</v>
      </c>
      <c r="I1310" s="44">
        <v>44040</v>
      </c>
      <c r="J1310">
        <v>15</v>
      </c>
      <c r="K1310">
        <v>7.5</v>
      </c>
      <c r="L1310" t="s">
        <v>3663</v>
      </c>
      <c r="M1310" s="45" t="s">
        <v>98</v>
      </c>
      <c r="N1310" s="38" t="s">
        <v>230</v>
      </c>
      <c r="O1310" s="38" t="s">
        <v>294</v>
      </c>
      <c r="P1310" s="38" t="s">
        <v>60</v>
      </c>
      <c r="Q1310" s="38" t="s">
        <v>41</v>
      </c>
      <c r="R1310" s="38" t="s">
        <v>270</v>
      </c>
      <c r="S1310" s="38" t="s">
        <v>1610</v>
      </c>
      <c r="T1310" s="38" t="s">
        <v>1611</v>
      </c>
      <c r="U1310" s="38"/>
      <c r="V1310" s="38"/>
      <c r="W1310" s="38"/>
      <c r="X1310" s="14"/>
      <c r="AN1310" s="7" t="s">
        <v>155</v>
      </c>
      <c r="AO1310" s="21">
        <f t="shared" si="66"/>
        <v>0</v>
      </c>
      <c r="AP1310" s="7">
        <f t="shared" si="65"/>
        <v>7.5</v>
      </c>
      <c r="AQ1310" s="31" t="str">
        <f t="shared" si="67"/>
        <v>Complete - No Adjustment</v>
      </c>
    </row>
    <row r="1311" spans="1:43" x14ac:dyDescent="0.2">
      <c r="A1311" s="46">
        <v>1301</v>
      </c>
      <c r="B1311" s="38" t="s">
        <v>266</v>
      </c>
      <c r="C1311" s="38" t="s">
        <v>579</v>
      </c>
      <c r="D1311" s="38" t="s">
        <v>578</v>
      </c>
      <c r="E1311" s="38" t="s">
        <v>3662</v>
      </c>
      <c r="F1311" s="38" t="s">
        <v>2965</v>
      </c>
      <c r="G1311" s="38" t="s">
        <v>111</v>
      </c>
      <c r="H1311" s="44">
        <v>44033</v>
      </c>
      <c r="I1311" s="44">
        <v>44040</v>
      </c>
      <c r="J1311">
        <v>15</v>
      </c>
      <c r="K1311">
        <v>7.5</v>
      </c>
      <c r="L1311" t="s">
        <v>3663</v>
      </c>
      <c r="M1311" s="45" t="s">
        <v>98</v>
      </c>
      <c r="N1311" s="38" t="s">
        <v>230</v>
      </c>
      <c r="O1311" s="38" t="s">
        <v>297</v>
      </c>
      <c r="P1311" s="38" t="s">
        <v>60</v>
      </c>
      <c r="Q1311" s="38" t="s">
        <v>41</v>
      </c>
      <c r="R1311" s="38" t="s">
        <v>270</v>
      </c>
      <c r="S1311" s="38" t="s">
        <v>1610</v>
      </c>
      <c r="T1311" s="38" t="s">
        <v>1611</v>
      </c>
      <c r="U1311" s="38"/>
      <c r="V1311" s="38"/>
      <c r="W1311" s="38"/>
      <c r="X1311" s="14"/>
      <c r="AN1311" s="7" t="s">
        <v>155</v>
      </c>
      <c r="AO1311" s="21">
        <f t="shared" si="66"/>
        <v>0</v>
      </c>
      <c r="AP1311" s="7">
        <f t="shared" si="65"/>
        <v>7.5</v>
      </c>
      <c r="AQ1311" s="31" t="str">
        <f t="shared" si="67"/>
        <v>Complete - No Adjustment</v>
      </c>
    </row>
    <row r="1312" spans="1:43" x14ac:dyDescent="0.2">
      <c r="A1312" s="46">
        <v>1302</v>
      </c>
      <c r="B1312" s="38" t="s">
        <v>266</v>
      </c>
      <c r="C1312" s="38" t="s">
        <v>3664</v>
      </c>
      <c r="D1312" s="38" t="s">
        <v>3665</v>
      </c>
      <c r="E1312" s="38" t="s">
        <v>3666</v>
      </c>
      <c r="F1312" s="38" t="s">
        <v>2972</v>
      </c>
      <c r="G1312" s="38" t="s">
        <v>111</v>
      </c>
      <c r="H1312" s="44">
        <v>44035</v>
      </c>
      <c r="I1312" s="44">
        <v>44039</v>
      </c>
      <c r="J1312">
        <v>30</v>
      </c>
      <c r="K1312">
        <v>15</v>
      </c>
      <c r="L1312" t="s">
        <v>3667</v>
      </c>
      <c r="M1312" s="45" t="s">
        <v>98</v>
      </c>
      <c r="N1312" s="38" t="s">
        <v>230</v>
      </c>
      <c r="O1312" s="38" t="s">
        <v>280</v>
      </c>
      <c r="P1312" s="38" t="s">
        <v>60</v>
      </c>
      <c r="Q1312" s="38" t="s">
        <v>46</v>
      </c>
      <c r="R1312" s="38" t="s">
        <v>270</v>
      </c>
      <c r="S1312" s="38" t="s">
        <v>3668</v>
      </c>
      <c r="T1312" s="38" t="s">
        <v>3669</v>
      </c>
      <c r="U1312" s="38"/>
      <c r="V1312" s="38"/>
      <c r="W1312" s="38"/>
      <c r="X1312" s="14"/>
      <c r="AN1312" s="7" t="s">
        <v>155</v>
      </c>
      <c r="AO1312" s="21">
        <f t="shared" si="66"/>
        <v>0</v>
      </c>
      <c r="AP1312" s="7">
        <f t="shared" si="65"/>
        <v>15</v>
      </c>
      <c r="AQ1312" s="31" t="str">
        <f t="shared" si="67"/>
        <v>Complete - No Adjustment</v>
      </c>
    </row>
    <row r="1313" spans="1:43" x14ac:dyDescent="0.2">
      <c r="A1313" s="46">
        <v>1303</v>
      </c>
      <c r="B1313" s="38" t="s">
        <v>266</v>
      </c>
      <c r="C1313" s="38" t="s">
        <v>3664</v>
      </c>
      <c r="D1313" s="38" t="s">
        <v>3665</v>
      </c>
      <c r="E1313" s="38" t="s">
        <v>3666</v>
      </c>
      <c r="F1313" s="38" t="s">
        <v>2972</v>
      </c>
      <c r="G1313" s="38" t="s">
        <v>111</v>
      </c>
      <c r="H1313" s="44">
        <v>44035</v>
      </c>
      <c r="I1313" s="44">
        <v>44039</v>
      </c>
      <c r="J1313">
        <v>30</v>
      </c>
      <c r="K1313">
        <v>15</v>
      </c>
      <c r="L1313" t="s">
        <v>3667</v>
      </c>
      <c r="M1313" s="45" t="s">
        <v>98</v>
      </c>
      <c r="N1313" s="38" t="s">
        <v>230</v>
      </c>
      <c r="O1313" s="38" t="s">
        <v>280</v>
      </c>
      <c r="P1313" s="38" t="s">
        <v>60</v>
      </c>
      <c r="Q1313" s="38" t="s">
        <v>46</v>
      </c>
      <c r="R1313" s="38" t="s">
        <v>270</v>
      </c>
      <c r="S1313" s="38" t="s">
        <v>3668</v>
      </c>
      <c r="T1313" s="38" t="s">
        <v>3670</v>
      </c>
      <c r="U1313" s="38"/>
      <c r="V1313" s="38"/>
      <c r="W1313" s="38"/>
      <c r="X1313" s="14"/>
      <c r="AN1313" s="7" t="s">
        <v>155</v>
      </c>
      <c r="AO1313" s="21">
        <f t="shared" si="66"/>
        <v>0</v>
      </c>
      <c r="AP1313" s="7">
        <f t="shared" si="65"/>
        <v>15</v>
      </c>
      <c r="AQ1313" s="31" t="str">
        <f t="shared" si="67"/>
        <v>Complete - No Adjustment</v>
      </c>
    </row>
    <row r="1314" spans="1:43" x14ac:dyDescent="0.2">
      <c r="A1314" s="46">
        <v>1304</v>
      </c>
      <c r="B1314" s="38" t="s">
        <v>266</v>
      </c>
      <c r="C1314" s="38" t="s">
        <v>581</v>
      </c>
      <c r="D1314" s="38" t="s">
        <v>580</v>
      </c>
      <c r="E1314" s="38" t="s">
        <v>3671</v>
      </c>
      <c r="F1314" s="38" t="s">
        <v>2965</v>
      </c>
      <c r="G1314" s="38" t="s">
        <v>111</v>
      </c>
      <c r="H1314" s="44">
        <v>44021</v>
      </c>
      <c r="I1314" s="44">
        <v>44040</v>
      </c>
      <c r="J1314">
        <v>1735.9</v>
      </c>
      <c r="K1314">
        <v>20.86</v>
      </c>
      <c r="L1314" t="s">
        <v>3672</v>
      </c>
      <c r="M1314" s="45" t="s">
        <v>98</v>
      </c>
      <c r="N1314" s="38" t="s">
        <v>230</v>
      </c>
      <c r="O1314" s="38" t="s">
        <v>706</v>
      </c>
      <c r="P1314" s="38" t="s">
        <v>60</v>
      </c>
      <c r="Q1314" s="38" t="s">
        <v>46</v>
      </c>
      <c r="R1314" s="38" t="s">
        <v>270</v>
      </c>
      <c r="S1314" s="38" t="s">
        <v>3673</v>
      </c>
      <c r="T1314" s="38" t="s">
        <v>3674</v>
      </c>
      <c r="U1314" s="38"/>
      <c r="V1314" s="38"/>
      <c r="W1314" s="38"/>
      <c r="X1314" s="14"/>
      <c r="AI1314" s="53">
        <f>20.86</f>
        <v>20.86</v>
      </c>
      <c r="AN1314" s="7" t="s">
        <v>145</v>
      </c>
      <c r="AO1314" s="21">
        <f t="shared" si="66"/>
        <v>20.86</v>
      </c>
      <c r="AP1314" s="7">
        <f t="shared" si="65"/>
        <v>0</v>
      </c>
      <c r="AQ1314" s="31" t="str">
        <f t="shared" si="67"/>
        <v>Complete - With Adjustment</v>
      </c>
    </row>
    <row r="1315" spans="1:43" x14ac:dyDescent="0.2">
      <c r="A1315" s="46">
        <v>1305</v>
      </c>
      <c r="B1315" s="38" t="s">
        <v>266</v>
      </c>
      <c r="C1315" s="38" t="s">
        <v>581</v>
      </c>
      <c r="D1315" s="38" t="s">
        <v>580</v>
      </c>
      <c r="E1315" s="38" t="s">
        <v>3671</v>
      </c>
      <c r="F1315" s="38" t="s">
        <v>2965</v>
      </c>
      <c r="G1315" s="38" t="s">
        <v>111</v>
      </c>
      <c r="H1315" s="44">
        <v>44021</v>
      </c>
      <c r="I1315" s="44">
        <v>44040</v>
      </c>
      <c r="J1315">
        <v>1735.9</v>
      </c>
      <c r="K1315">
        <v>139.91</v>
      </c>
      <c r="L1315" t="s">
        <v>3672</v>
      </c>
      <c r="M1315" s="45" t="s">
        <v>97</v>
      </c>
      <c r="N1315" s="38" t="s">
        <v>230</v>
      </c>
      <c r="O1315" s="38" t="s">
        <v>706</v>
      </c>
      <c r="P1315" s="38" t="s">
        <v>42</v>
      </c>
      <c r="Q1315" s="38" t="s">
        <v>55</v>
      </c>
      <c r="R1315" s="38" t="s">
        <v>270</v>
      </c>
      <c r="S1315" s="38" t="s">
        <v>3673</v>
      </c>
      <c r="T1315" s="38" t="s">
        <v>3675</v>
      </c>
      <c r="U1315" s="38"/>
      <c r="V1315" s="38"/>
      <c r="W1315" s="38"/>
      <c r="X1315" s="14"/>
      <c r="AI1315" s="53">
        <f>139.91</f>
        <v>139.91</v>
      </c>
      <c r="AN1315" s="7" t="s">
        <v>145</v>
      </c>
      <c r="AO1315" s="21">
        <f t="shared" si="66"/>
        <v>139.91</v>
      </c>
      <c r="AP1315" s="7">
        <f t="shared" si="65"/>
        <v>0</v>
      </c>
      <c r="AQ1315" s="31" t="str">
        <f t="shared" si="67"/>
        <v>Complete - With Adjustment</v>
      </c>
    </row>
    <row r="1316" spans="1:43" x14ac:dyDescent="0.2">
      <c r="A1316" s="46">
        <v>1306</v>
      </c>
      <c r="B1316" s="38" t="s">
        <v>266</v>
      </c>
      <c r="C1316" s="38" t="s">
        <v>581</v>
      </c>
      <c r="D1316" s="38" t="s">
        <v>580</v>
      </c>
      <c r="E1316" s="38" t="s">
        <v>3671</v>
      </c>
      <c r="F1316" s="38" t="s">
        <v>2965</v>
      </c>
      <c r="G1316" s="38" t="s">
        <v>111</v>
      </c>
      <c r="H1316" s="44">
        <v>44021</v>
      </c>
      <c r="I1316" s="44">
        <v>44040</v>
      </c>
      <c r="J1316">
        <v>1735.9</v>
      </c>
      <c r="K1316">
        <v>560</v>
      </c>
      <c r="L1316" t="s">
        <v>3672</v>
      </c>
      <c r="M1316" s="45" t="s">
        <v>98</v>
      </c>
      <c r="N1316" s="38" t="s">
        <v>230</v>
      </c>
      <c r="O1316" s="38" t="s">
        <v>706</v>
      </c>
      <c r="P1316" s="38" t="s">
        <v>60</v>
      </c>
      <c r="Q1316" s="38" t="s">
        <v>119</v>
      </c>
      <c r="R1316" s="38" t="s">
        <v>270</v>
      </c>
      <c r="S1316" s="38" t="s">
        <v>3673</v>
      </c>
      <c r="T1316" s="38" t="s">
        <v>3676</v>
      </c>
      <c r="U1316" s="38"/>
      <c r="V1316" s="38"/>
      <c r="W1316" s="38"/>
      <c r="X1316" s="14"/>
      <c r="AN1316" s="7" t="s">
        <v>70</v>
      </c>
      <c r="AO1316" s="21">
        <f t="shared" si="66"/>
        <v>0</v>
      </c>
      <c r="AP1316" s="7">
        <f t="shared" si="65"/>
        <v>560</v>
      </c>
      <c r="AQ1316" s="31" t="str">
        <f t="shared" si="67"/>
        <v>Complete - No Adjustment</v>
      </c>
    </row>
    <row r="1317" spans="1:43" x14ac:dyDescent="0.2">
      <c r="A1317" s="46">
        <v>1307</v>
      </c>
      <c r="B1317" s="38" t="s">
        <v>266</v>
      </c>
      <c r="C1317" s="38" t="s">
        <v>581</v>
      </c>
      <c r="D1317" s="38" t="s">
        <v>580</v>
      </c>
      <c r="E1317" s="38" t="s">
        <v>3671</v>
      </c>
      <c r="F1317" s="38" t="s">
        <v>2965</v>
      </c>
      <c r="G1317" s="38" t="s">
        <v>111</v>
      </c>
      <c r="H1317" s="44">
        <v>44021</v>
      </c>
      <c r="I1317" s="44">
        <v>44040</v>
      </c>
      <c r="J1317">
        <v>1735.9</v>
      </c>
      <c r="K1317">
        <v>12</v>
      </c>
      <c r="L1317" t="s">
        <v>3672</v>
      </c>
      <c r="M1317" s="45" t="s">
        <v>98</v>
      </c>
      <c r="N1317" s="38" t="s">
        <v>230</v>
      </c>
      <c r="O1317" s="38" t="s">
        <v>706</v>
      </c>
      <c r="P1317" s="38" t="s">
        <v>60</v>
      </c>
      <c r="Q1317" s="38" t="s">
        <v>46</v>
      </c>
      <c r="R1317" s="38" t="s">
        <v>270</v>
      </c>
      <c r="S1317" s="38" t="s">
        <v>3673</v>
      </c>
      <c r="T1317" s="38" t="s">
        <v>3677</v>
      </c>
      <c r="U1317" s="38"/>
      <c r="V1317" s="38"/>
      <c r="W1317" s="38"/>
      <c r="X1317" s="14"/>
      <c r="AL1317" s="14">
        <f>12</f>
        <v>12</v>
      </c>
      <c r="AN1317" s="7" t="s">
        <v>2957</v>
      </c>
      <c r="AO1317" s="21">
        <f t="shared" si="66"/>
        <v>12</v>
      </c>
      <c r="AP1317" s="7">
        <f t="shared" si="65"/>
        <v>0</v>
      </c>
      <c r="AQ1317" s="31" t="str">
        <f t="shared" si="67"/>
        <v>Complete - With Adjustment</v>
      </c>
    </row>
    <row r="1318" spans="1:43" x14ac:dyDescent="0.2">
      <c r="A1318" s="46">
        <v>1308</v>
      </c>
      <c r="B1318" s="38" t="s">
        <v>266</v>
      </c>
      <c r="C1318" s="38" t="s">
        <v>581</v>
      </c>
      <c r="D1318" s="38" t="s">
        <v>580</v>
      </c>
      <c r="E1318" s="38" t="s">
        <v>3671</v>
      </c>
      <c r="F1318" s="38" t="s">
        <v>2965</v>
      </c>
      <c r="G1318" s="38" t="s">
        <v>111</v>
      </c>
      <c r="H1318" s="44">
        <v>44021</v>
      </c>
      <c r="I1318" s="44">
        <v>44040</v>
      </c>
      <c r="J1318">
        <v>1735.9</v>
      </c>
      <c r="K1318">
        <v>95.95</v>
      </c>
      <c r="L1318" t="s">
        <v>3672</v>
      </c>
      <c r="M1318" s="45" t="s">
        <v>97</v>
      </c>
      <c r="N1318" s="38" t="s">
        <v>230</v>
      </c>
      <c r="O1318" s="38" t="s">
        <v>706</v>
      </c>
      <c r="P1318" s="38" t="s">
        <v>42</v>
      </c>
      <c r="Q1318" s="38" t="s">
        <v>55</v>
      </c>
      <c r="R1318" s="38" t="s">
        <v>270</v>
      </c>
      <c r="S1318" s="38" t="s">
        <v>3673</v>
      </c>
      <c r="T1318" s="38" t="s">
        <v>3675</v>
      </c>
      <c r="U1318" s="38"/>
      <c r="V1318" s="38"/>
      <c r="W1318" s="38"/>
      <c r="X1318" s="14"/>
      <c r="AI1318" s="53">
        <f>95.95</f>
        <v>95.95</v>
      </c>
      <c r="AN1318" s="7" t="s">
        <v>145</v>
      </c>
      <c r="AO1318" s="21">
        <f t="shared" si="66"/>
        <v>95.95</v>
      </c>
      <c r="AP1318" s="7">
        <f t="shared" si="65"/>
        <v>0</v>
      </c>
      <c r="AQ1318" s="31" t="str">
        <f t="shared" si="67"/>
        <v>Complete - With Adjustment</v>
      </c>
    </row>
    <row r="1319" spans="1:43" x14ac:dyDescent="0.2">
      <c r="A1319" s="46">
        <v>1309</v>
      </c>
      <c r="B1319" s="38" t="s">
        <v>266</v>
      </c>
      <c r="C1319" s="38" t="s">
        <v>665</v>
      </c>
      <c r="D1319" s="38" t="s">
        <v>664</v>
      </c>
      <c r="E1319" s="38" t="s">
        <v>3678</v>
      </c>
      <c r="F1319" s="38" t="s">
        <v>2960</v>
      </c>
      <c r="G1319" s="38" t="s">
        <v>111</v>
      </c>
      <c r="H1319" s="44">
        <v>44034</v>
      </c>
      <c r="I1319" s="44">
        <v>44036</v>
      </c>
      <c r="J1319">
        <v>15</v>
      </c>
      <c r="K1319">
        <v>15</v>
      </c>
      <c r="L1319" t="s">
        <v>3679</v>
      </c>
      <c r="M1319" s="45" t="s">
        <v>98</v>
      </c>
      <c r="N1319" s="38" t="s">
        <v>230</v>
      </c>
      <c r="O1319" s="38" t="s">
        <v>78</v>
      </c>
      <c r="P1319" s="38" t="s">
        <v>60</v>
      </c>
      <c r="Q1319" s="38" t="s">
        <v>41</v>
      </c>
      <c r="R1319" s="38" t="s">
        <v>270</v>
      </c>
      <c r="S1319" s="38" t="s">
        <v>2955</v>
      </c>
      <c r="T1319" s="38" t="s">
        <v>2956</v>
      </c>
      <c r="U1319" s="38"/>
      <c r="V1319" s="38"/>
      <c r="W1319" s="38"/>
      <c r="X1319" s="14"/>
      <c r="AN1319" s="7" t="s">
        <v>155</v>
      </c>
      <c r="AO1319" s="21">
        <f t="shared" si="66"/>
        <v>0</v>
      </c>
      <c r="AP1319" s="7">
        <f t="shared" si="65"/>
        <v>15</v>
      </c>
      <c r="AQ1319" s="31" t="str">
        <f t="shared" si="67"/>
        <v>Complete - No Adjustment</v>
      </c>
    </row>
    <row r="1320" spans="1:43" x14ac:dyDescent="0.2">
      <c r="A1320" s="46">
        <v>1310</v>
      </c>
      <c r="B1320" s="38" t="s">
        <v>266</v>
      </c>
      <c r="C1320" s="38" t="s">
        <v>665</v>
      </c>
      <c r="D1320" s="38" t="s">
        <v>664</v>
      </c>
      <c r="E1320" s="38" t="s">
        <v>3680</v>
      </c>
      <c r="F1320" s="38" t="s">
        <v>3018</v>
      </c>
      <c r="G1320" s="38" t="s">
        <v>111</v>
      </c>
      <c r="H1320" s="44">
        <v>44025</v>
      </c>
      <c r="I1320" s="44">
        <v>44028</v>
      </c>
      <c r="J1320">
        <v>149</v>
      </c>
      <c r="K1320">
        <v>149</v>
      </c>
      <c r="L1320" t="s">
        <v>3681</v>
      </c>
      <c r="M1320" s="45" t="s">
        <v>98</v>
      </c>
      <c r="N1320" s="38" t="s">
        <v>230</v>
      </c>
      <c r="O1320" s="38" t="s">
        <v>78</v>
      </c>
      <c r="P1320" s="38" t="s">
        <v>60</v>
      </c>
      <c r="Q1320" s="38" t="s">
        <v>123</v>
      </c>
      <c r="R1320" s="38" t="s">
        <v>270</v>
      </c>
      <c r="S1320" s="38" t="s">
        <v>3682</v>
      </c>
      <c r="T1320" s="38" t="s">
        <v>3683</v>
      </c>
      <c r="U1320" s="38"/>
      <c r="V1320" s="38"/>
      <c r="W1320" s="38"/>
      <c r="X1320" s="14"/>
      <c r="AN1320" s="7" t="s">
        <v>70</v>
      </c>
      <c r="AO1320" s="21">
        <f t="shared" si="66"/>
        <v>0</v>
      </c>
      <c r="AP1320" s="7">
        <f t="shared" si="65"/>
        <v>149</v>
      </c>
      <c r="AQ1320" s="31" t="str">
        <f t="shared" si="67"/>
        <v>Complete - No Adjustment</v>
      </c>
    </row>
    <row r="1321" spans="1:43" x14ac:dyDescent="0.2">
      <c r="A1321" s="46">
        <v>1311</v>
      </c>
      <c r="B1321" s="38" t="s">
        <v>266</v>
      </c>
      <c r="C1321" s="38" t="s">
        <v>2082</v>
      </c>
      <c r="D1321" s="38" t="s">
        <v>2083</v>
      </c>
      <c r="E1321" s="38" t="s">
        <v>3694</v>
      </c>
      <c r="F1321" s="38" t="s">
        <v>3695</v>
      </c>
      <c r="G1321" s="38" t="s">
        <v>111</v>
      </c>
      <c r="H1321" s="44">
        <v>44033</v>
      </c>
      <c r="I1321" s="44">
        <v>44048</v>
      </c>
      <c r="J1321">
        <v>15</v>
      </c>
      <c r="K1321">
        <v>15</v>
      </c>
      <c r="L1321" t="s">
        <v>3696</v>
      </c>
      <c r="M1321" s="45" t="s">
        <v>98</v>
      </c>
      <c r="N1321" s="38" t="s">
        <v>230</v>
      </c>
      <c r="O1321" s="38" t="s">
        <v>365</v>
      </c>
      <c r="P1321" s="38" t="s">
        <v>60</v>
      </c>
      <c r="Q1321" s="38" t="s">
        <v>41</v>
      </c>
      <c r="R1321" s="38" t="s">
        <v>270</v>
      </c>
      <c r="S1321" s="38" t="s">
        <v>3697</v>
      </c>
      <c r="T1321" s="38" t="s">
        <v>3698</v>
      </c>
      <c r="U1321" s="38"/>
      <c r="V1321" s="38"/>
      <c r="W1321" s="38"/>
      <c r="X1321" s="14"/>
      <c r="AN1321" s="7" t="s">
        <v>155</v>
      </c>
      <c r="AO1321" s="21">
        <f t="shared" ref="AO1321:AO1384" si="68">SUM(Y1321:AL1321)</f>
        <v>0</v>
      </c>
      <c r="AP1321" s="7">
        <f t="shared" si="65"/>
        <v>15</v>
      </c>
      <c r="AQ1321" s="31" t="str">
        <f t="shared" si="67"/>
        <v>Complete - No Adjustment</v>
      </c>
    </row>
    <row r="1322" spans="1:43" x14ac:dyDescent="0.2">
      <c r="A1322" s="46">
        <v>1312</v>
      </c>
      <c r="B1322" s="38" t="s">
        <v>266</v>
      </c>
      <c r="C1322" s="38" t="s">
        <v>718</v>
      </c>
      <c r="D1322" s="38" t="s">
        <v>809</v>
      </c>
      <c r="E1322" s="38" t="s">
        <v>3699</v>
      </c>
      <c r="F1322" s="38" t="s">
        <v>3700</v>
      </c>
      <c r="G1322" s="38" t="s">
        <v>111</v>
      </c>
      <c r="H1322" s="44">
        <v>44067</v>
      </c>
      <c r="I1322" s="44">
        <v>44069</v>
      </c>
      <c r="J1322">
        <v>11.67</v>
      </c>
      <c r="K1322">
        <v>11.67</v>
      </c>
      <c r="L1322" t="s">
        <v>3701</v>
      </c>
      <c r="M1322" s="45" t="s">
        <v>98</v>
      </c>
      <c r="N1322" s="38" t="s">
        <v>230</v>
      </c>
      <c r="O1322" s="38" t="s">
        <v>378</v>
      </c>
      <c r="P1322" s="38" t="s">
        <v>60</v>
      </c>
      <c r="Q1322" s="38" t="s">
        <v>41</v>
      </c>
      <c r="R1322" s="38" t="s">
        <v>270</v>
      </c>
      <c r="S1322" s="38" t="s">
        <v>3702</v>
      </c>
      <c r="T1322" s="38" t="s">
        <v>3703</v>
      </c>
      <c r="U1322" s="38"/>
      <c r="V1322" s="38"/>
      <c r="W1322" s="38"/>
      <c r="X1322" s="14"/>
      <c r="AN1322" s="7" t="s">
        <v>155</v>
      </c>
      <c r="AO1322" s="21">
        <f t="shared" si="68"/>
        <v>0</v>
      </c>
      <c r="AP1322" s="7">
        <f t="shared" si="65"/>
        <v>11.67</v>
      </c>
      <c r="AQ1322" s="31" t="str">
        <f t="shared" si="67"/>
        <v>Complete - No Adjustment</v>
      </c>
    </row>
    <row r="1323" spans="1:43" x14ac:dyDescent="0.2">
      <c r="A1323" s="46">
        <v>1313</v>
      </c>
      <c r="B1323" s="38" t="s">
        <v>266</v>
      </c>
      <c r="C1323" s="38" t="s">
        <v>691</v>
      </c>
      <c r="D1323" s="38" t="s">
        <v>690</v>
      </c>
      <c r="E1323" s="38" t="s">
        <v>3704</v>
      </c>
      <c r="F1323" s="38" t="s">
        <v>3700</v>
      </c>
      <c r="G1323" s="38" t="s">
        <v>111</v>
      </c>
      <c r="H1323" s="44">
        <v>44067</v>
      </c>
      <c r="I1323" s="44">
        <v>44069</v>
      </c>
      <c r="J1323">
        <v>9.85</v>
      </c>
      <c r="K1323">
        <v>9.85</v>
      </c>
      <c r="L1323" t="s">
        <v>3705</v>
      </c>
      <c r="M1323" s="45" t="s">
        <v>98</v>
      </c>
      <c r="N1323" s="38" t="s">
        <v>230</v>
      </c>
      <c r="O1323" s="38" t="s">
        <v>292</v>
      </c>
      <c r="P1323" s="38" t="s">
        <v>60</v>
      </c>
      <c r="Q1323" s="38" t="s">
        <v>46</v>
      </c>
      <c r="R1323" s="38" t="s">
        <v>270</v>
      </c>
      <c r="S1323" s="38" t="s">
        <v>3706</v>
      </c>
      <c r="T1323" s="38" t="s">
        <v>3707</v>
      </c>
      <c r="U1323" s="38"/>
      <c r="V1323" s="38"/>
      <c r="W1323" s="38"/>
      <c r="X1323" s="14"/>
      <c r="AN1323" s="7" t="s">
        <v>155</v>
      </c>
      <c r="AO1323" s="21">
        <f t="shared" si="68"/>
        <v>0</v>
      </c>
      <c r="AP1323" s="7">
        <f t="shared" si="65"/>
        <v>9.85</v>
      </c>
      <c r="AQ1323" s="31" t="str">
        <f t="shared" si="67"/>
        <v>Complete - No Adjustment</v>
      </c>
    </row>
    <row r="1324" spans="1:43" x14ac:dyDescent="0.2">
      <c r="A1324" s="46">
        <v>1314</v>
      </c>
      <c r="B1324" s="38" t="s">
        <v>266</v>
      </c>
      <c r="C1324" s="38" t="s">
        <v>833</v>
      </c>
      <c r="D1324" s="38" t="s">
        <v>834</v>
      </c>
      <c r="E1324" s="38" t="s">
        <v>3708</v>
      </c>
      <c r="F1324" s="38" t="s">
        <v>3709</v>
      </c>
      <c r="G1324" s="38" t="s">
        <v>111</v>
      </c>
      <c r="H1324" s="44">
        <v>44049</v>
      </c>
      <c r="I1324" s="44">
        <v>44055</v>
      </c>
      <c r="J1324">
        <v>12.89</v>
      </c>
      <c r="K1324">
        <v>12.89</v>
      </c>
      <c r="L1324" t="s">
        <v>3710</v>
      </c>
      <c r="M1324" s="45" t="s">
        <v>98</v>
      </c>
      <c r="N1324" s="38" t="s">
        <v>230</v>
      </c>
      <c r="O1324" s="38" t="s">
        <v>323</v>
      </c>
      <c r="P1324" s="38" t="s">
        <v>60</v>
      </c>
      <c r="Q1324" s="38" t="s">
        <v>41</v>
      </c>
      <c r="R1324" s="38" t="s">
        <v>270</v>
      </c>
      <c r="S1324" s="38" t="s">
        <v>3711</v>
      </c>
      <c r="T1324" s="38" t="s">
        <v>3712</v>
      </c>
      <c r="U1324" s="38"/>
      <c r="V1324" s="38"/>
      <c r="W1324" s="38"/>
      <c r="X1324" s="14"/>
      <c r="AN1324" s="7" t="s">
        <v>70</v>
      </c>
      <c r="AO1324" s="21">
        <f t="shared" si="68"/>
        <v>0</v>
      </c>
      <c r="AP1324" s="7">
        <f t="shared" si="65"/>
        <v>12.89</v>
      </c>
      <c r="AQ1324" s="31" t="str">
        <f t="shared" si="67"/>
        <v>Complete - No Adjustment</v>
      </c>
    </row>
    <row r="1325" spans="1:43" x14ac:dyDescent="0.2">
      <c r="A1325" s="46">
        <v>1315</v>
      </c>
      <c r="B1325" s="38" t="s">
        <v>266</v>
      </c>
      <c r="C1325" s="38" t="s">
        <v>833</v>
      </c>
      <c r="D1325" s="38" t="s">
        <v>834</v>
      </c>
      <c r="E1325" s="38" t="s">
        <v>3713</v>
      </c>
      <c r="F1325" s="38" t="s">
        <v>3695</v>
      </c>
      <c r="G1325" s="38" t="s">
        <v>111</v>
      </c>
      <c r="H1325" s="44">
        <v>44046</v>
      </c>
      <c r="I1325" s="44">
        <v>44048</v>
      </c>
      <c r="J1325">
        <v>15</v>
      </c>
      <c r="K1325">
        <v>15</v>
      </c>
      <c r="L1325" t="s">
        <v>3714</v>
      </c>
      <c r="M1325" s="45" t="s">
        <v>98</v>
      </c>
      <c r="N1325" s="38" t="s">
        <v>230</v>
      </c>
      <c r="O1325" s="38" t="s">
        <v>323</v>
      </c>
      <c r="P1325" s="38" t="s">
        <v>60</v>
      </c>
      <c r="Q1325" s="38" t="s">
        <v>41</v>
      </c>
      <c r="R1325" s="38" t="s">
        <v>270</v>
      </c>
      <c r="S1325" s="38" t="s">
        <v>3715</v>
      </c>
      <c r="T1325" s="38" t="s">
        <v>3716</v>
      </c>
      <c r="U1325" s="38"/>
      <c r="V1325" s="38"/>
      <c r="W1325" s="38"/>
      <c r="X1325" s="14"/>
      <c r="AN1325" s="7" t="s">
        <v>155</v>
      </c>
      <c r="AO1325" s="21">
        <f t="shared" si="68"/>
        <v>0</v>
      </c>
      <c r="AP1325" s="7">
        <f t="shared" si="65"/>
        <v>15</v>
      </c>
      <c r="AQ1325" s="31" t="str">
        <f t="shared" si="67"/>
        <v>Complete - No Adjustment</v>
      </c>
    </row>
    <row r="1326" spans="1:43" x14ac:dyDescent="0.2">
      <c r="A1326" s="46">
        <v>1316</v>
      </c>
      <c r="B1326" s="38" t="s">
        <v>266</v>
      </c>
      <c r="C1326" s="38" t="s">
        <v>833</v>
      </c>
      <c r="D1326" s="38" t="s">
        <v>834</v>
      </c>
      <c r="E1326" s="38" t="s">
        <v>3717</v>
      </c>
      <c r="F1326" s="38" t="s">
        <v>3709</v>
      </c>
      <c r="G1326" s="38" t="s">
        <v>111</v>
      </c>
      <c r="H1326" s="44">
        <v>44048</v>
      </c>
      <c r="I1326" s="44">
        <v>44055</v>
      </c>
      <c r="J1326">
        <v>15.05</v>
      </c>
      <c r="K1326">
        <v>15.05</v>
      </c>
      <c r="L1326" t="s">
        <v>3718</v>
      </c>
      <c r="M1326" s="45" t="s">
        <v>98</v>
      </c>
      <c r="N1326" s="38" t="s">
        <v>230</v>
      </c>
      <c r="O1326" s="38" t="s">
        <v>323</v>
      </c>
      <c r="P1326" s="38" t="s">
        <v>60</v>
      </c>
      <c r="Q1326" s="38" t="s">
        <v>41</v>
      </c>
      <c r="R1326" s="38" t="s">
        <v>270</v>
      </c>
      <c r="S1326" s="38" t="s">
        <v>3719</v>
      </c>
      <c r="T1326" s="38" t="s">
        <v>3720</v>
      </c>
      <c r="U1326" s="38"/>
      <c r="V1326" s="38"/>
      <c r="W1326" s="38"/>
      <c r="X1326" s="14"/>
      <c r="AN1326" s="7" t="s">
        <v>70</v>
      </c>
      <c r="AO1326" s="21">
        <f t="shared" si="68"/>
        <v>0</v>
      </c>
      <c r="AP1326" s="7">
        <f t="shared" si="65"/>
        <v>15.05</v>
      </c>
      <c r="AQ1326" s="31" t="str">
        <f t="shared" si="67"/>
        <v>Complete - No Adjustment</v>
      </c>
    </row>
    <row r="1327" spans="1:43" x14ac:dyDescent="0.2">
      <c r="A1327" s="46">
        <v>1317</v>
      </c>
      <c r="B1327" s="38" t="s">
        <v>266</v>
      </c>
      <c r="C1327" s="38" t="s">
        <v>833</v>
      </c>
      <c r="D1327" s="38" t="s">
        <v>834</v>
      </c>
      <c r="E1327" s="38" t="s">
        <v>3721</v>
      </c>
      <c r="F1327" s="38" t="s">
        <v>3722</v>
      </c>
      <c r="G1327" s="38" t="s">
        <v>111</v>
      </c>
      <c r="H1327" s="44">
        <v>44053</v>
      </c>
      <c r="I1327" s="44">
        <v>44060</v>
      </c>
      <c r="J1327">
        <v>690</v>
      </c>
      <c r="K1327">
        <v>690</v>
      </c>
      <c r="L1327" t="s">
        <v>3723</v>
      </c>
      <c r="M1327" s="45" t="s">
        <v>98</v>
      </c>
      <c r="N1327" s="38" t="s">
        <v>230</v>
      </c>
      <c r="O1327" s="38" t="s">
        <v>323</v>
      </c>
      <c r="P1327" s="38" t="s">
        <v>60</v>
      </c>
      <c r="Q1327" s="38" t="s">
        <v>48</v>
      </c>
      <c r="R1327" s="38" t="s">
        <v>270</v>
      </c>
      <c r="S1327" s="38" t="s">
        <v>3724</v>
      </c>
      <c r="T1327" s="38" t="s">
        <v>3725</v>
      </c>
      <c r="U1327" s="38"/>
      <c r="V1327" s="38"/>
      <c r="W1327" s="38"/>
      <c r="X1327" s="14"/>
      <c r="AN1327" s="7" t="s">
        <v>70</v>
      </c>
      <c r="AO1327" s="21">
        <f t="shared" si="68"/>
        <v>0</v>
      </c>
      <c r="AP1327" s="7">
        <f t="shared" si="65"/>
        <v>690</v>
      </c>
      <c r="AQ1327" s="31" t="str">
        <f t="shared" si="67"/>
        <v>Complete - No Adjustment</v>
      </c>
    </row>
    <row r="1328" spans="1:43" x14ac:dyDescent="0.2">
      <c r="A1328" s="46">
        <v>1318</v>
      </c>
      <c r="B1328" s="38" t="s">
        <v>266</v>
      </c>
      <c r="C1328" s="38" t="s">
        <v>796</v>
      </c>
      <c r="D1328" s="38" t="s">
        <v>819</v>
      </c>
      <c r="E1328" s="38" t="s">
        <v>3726</v>
      </c>
      <c r="F1328" s="38" t="s">
        <v>3727</v>
      </c>
      <c r="G1328" s="38" t="s">
        <v>111</v>
      </c>
      <c r="H1328" s="44">
        <v>44041</v>
      </c>
      <c r="I1328" s="44">
        <v>44047</v>
      </c>
      <c r="J1328">
        <v>500</v>
      </c>
      <c r="K1328">
        <v>142.5</v>
      </c>
      <c r="L1328" t="s">
        <v>3728</v>
      </c>
      <c r="M1328" s="45" t="s">
        <v>98</v>
      </c>
      <c r="N1328" s="38" t="s">
        <v>230</v>
      </c>
      <c r="O1328" s="38" t="s">
        <v>791</v>
      </c>
      <c r="P1328" s="38" t="s">
        <v>60</v>
      </c>
      <c r="Q1328" s="38" t="s">
        <v>59</v>
      </c>
      <c r="R1328" s="38" t="s">
        <v>270</v>
      </c>
      <c r="S1328" s="38" t="s">
        <v>3729</v>
      </c>
      <c r="T1328" s="38" t="s">
        <v>3730</v>
      </c>
      <c r="U1328" s="38"/>
      <c r="V1328" s="38"/>
      <c r="W1328" s="38"/>
      <c r="X1328" s="14"/>
      <c r="AN1328" s="7" t="s">
        <v>70</v>
      </c>
      <c r="AO1328" s="21">
        <f t="shared" si="68"/>
        <v>0</v>
      </c>
      <c r="AP1328" s="7">
        <f t="shared" si="65"/>
        <v>142.5</v>
      </c>
      <c r="AQ1328" s="31" t="str">
        <f t="shared" si="67"/>
        <v>Complete - No Adjustment</v>
      </c>
    </row>
    <row r="1329" spans="1:43" x14ac:dyDescent="0.2">
      <c r="A1329" s="46">
        <v>1319</v>
      </c>
      <c r="B1329" s="38" t="s">
        <v>266</v>
      </c>
      <c r="C1329" s="38" t="s">
        <v>796</v>
      </c>
      <c r="D1329" s="38" t="s">
        <v>819</v>
      </c>
      <c r="E1329" s="38" t="s">
        <v>3726</v>
      </c>
      <c r="F1329" s="38" t="s">
        <v>3727</v>
      </c>
      <c r="G1329" s="38" t="s">
        <v>111</v>
      </c>
      <c r="H1329" s="44">
        <v>44041</v>
      </c>
      <c r="I1329" s="44">
        <v>44047</v>
      </c>
      <c r="J1329">
        <v>500</v>
      </c>
      <c r="K1329">
        <v>107.5</v>
      </c>
      <c r="L1329" t="s">
        <v>3728</v>
      </c>
      <c r="M1329" s="45" t="s">
        <v>98</v>
      </c>
      <c r="N1329" s="38" t="s">
        <v>230</v>
      </c>
      <c r="O1329" s="38" t="s">
        <v>791</v>
      </c>
      <c r="P1329" s="38" t="s">
        <v>60</v>
      </c>
      <c r="Q1329" s="38" t="s">
        <v>59</v>
      </c>
      <c r="R1329" s="38" t="s">
        <v>270</v>
      </c>
      <c r="S1329" s="38" t="s">
        <v>3729</v>
      </c>
      <c r="T1329" s="38" t="s">
        <v>3731</v>
      </c>
      <c r="U1329" s="38"/>
      <c r="V1329" s="38"/>
      <c r="W1329" s="38"/>
      <c r="X1329" s="14"/>
      <c r="AN1329" s="7" t="s">
        <v>70</v>
      </c>
      <c r="AO1329" s="21">
        <f t="shared" si="68"/>
        <v>0</v>
      </c>
      <c r="AP1329" s="7">
        <f t="shared" si="65"/>
        <v>107.5</v>
      </c>
      <c r="AQ1329" s="31" t="str">
        <f t="shared" si="67"/>
        <v>Complete - No Adjustment</v>
      </c>
    </row>
    <row r="1330" spans="1:43" x14ac:dyDescent="0.2">
      <c r="A1330" s="46">
        <v>1320</v>
      </c>
      <c r="B1330" s="38" t="s">
        <v>266</v>
      </c>
      <c r="C1330" s="38" t="s">
        <v>279</v>
      </c>
      <c r="D1330" s="38" t="s">
        <v>278</v>
      </c>
      <c r="E1330" s="38" t="s">
        <v>3732</v>
      </c>
      <c r="F1330" s="38" t="s">
        <v>3733</v>
      </c>
      <c r="G1330" s="38" t="s">
        <v>111</v>
      </c>
      <c r="H1330" s="44">
        <v>44068</v>
      </c>
      <c r="I1330" s="44">
        <v>44070</v>
      </c>
      <c r="J1330">
        <v>895</v>
      </c>
      <c r="K1330">
        <v>895</v>
      </c>
      <c r="L1330" t="s">
        <v>3734</v>
      </c>
      <c r="M1330" s="45" t="s">
        <v>98</v>
      </c>
      <c r="N1330" s="38" t="s">
        <v>230</v>
      </c>
      <c r="O1330" s="38" t="s">
        <v>280</v>
      </c>
      <c r="P1330" s="38" t="s">
        <v>60</v>
      </c>
      <c r="Q1330" s="38" t="s">
        <v>123</v>
      </c>
      <c r="R1330" s="38" t="s">
        <v>270</v>
      </c>
      <c r="S1330" s="38" t="s">
        <v>3735</v>
      </c>
      <c r="T1330" s="38" t="s">
        <v>3736</v>
      </c>
      <c r="U1330" s="38"/>
      <c r="V1330" s="38"/>
      <c r="W1330" s="38"/>
      <c r="X1330" s="14"/>
      <c r="AN1330" s="7" t="s">
        <v>70</v>
      </c>
      <c r="AO1330" s="21">
        <f t="shared" si="68"/>
        <v>0</v>
      </c>
      <c r="AP1330" s="7">
        <f t="shared" si="65"/>
        <v>895</v>
      </c>
      <c r="AQ1330" s="31" t="str">
        <f t="shared" si="67"/>
        <v>Complete - No Adjustment</v>
      </c>
    </row>
    <row r="1331" spans="1:43" x14ac:dyDescent="0.2">
      <c r="A1331" s="46">
        <v>1321</v>
      </c>
      <c r="B1331" s="38" t="s">
        <v>266</v>
      </c>
      <c r="C1331" s="38" t="s">
        <v>513</v>
      </c>
      <c r="D1331" s="38" t="s">
        <v>512</v>
      </c>
      <c r="E1331" s="38" t="s">
        <v>3737</v>
      </c>
      <c r="F1331" s="38" t="s">
        <v>3738</v>
      </c>
      <c r="G1331" s="38" t="s">
        <v>111</v>
      </c>
      <c r="H1331" s="44">
        <v>44034</v>
      </c>
      <c r="I1331" s="44">
        <v>44053</v>
      </c>
      <c r="J1331">
        <v>15.46</v>
      </c>
      <c r="K1331">
        <v>15.46</v>
      </c>
      <c r="L1331" t="s">
        <v>3739</v>
      </c>
      <c r="M1331" s="45" t="s">
        <v>98</v>
      </c>
      <c r="N1331" s="38" t="s">
        <v>230</v>
      </c>
      <c r="O1331" s="38" t="s">
        <v>514</v>
      </c>
      <c r="P1331" s="38" t="s">
        <v>60</v>
      </c>
      <c r="Q1331" s="38" t="s">
        <v>46</v>
      </c>
      <c r="R1331" s="38" t="s">
        <v>270</v>
      </c>
      <c r="S1331" s="38" t="s">
        <v>3740</v>
      </c>
      <c r="T1331" s="38" t="s">
        <v>3741</v>
      </c>
      <c r="U1331" s="38"/>
      <c r="V1331" s="38"/>
      <c r="W1331" s="38"/>
      <c r="X1331" s="14"/>
      <c r="AN1331" s="7" t="s">
        <v>155</v>
      </c>
      <c r="AO1331" s="21">
        <f t="shared" si="68"/>
        <v>0</v>
      </c>
      <c r="AP1331" s="7">
        <f t="shared" si="65"/>
        <v>15.46</v>
      </c>
      <c r="AQ1331" s="31" t="str">
        <f t="shared" si="67"/>
        <v>Complete - No Adjustment</v>
      </c>
    </row>
    <row r="1332" spans="1:43" x14ac:dyDescent="0.2">
      <c r="A1332" s="46">
        <v>1322</v>
      </c>
      <c r="B1332" s="38" t="s">
        <v>266</v>
      </c>
      <c r="C1332" s="38" t="s">
        <v>286</v>
      </c>
      <c r="D1332" s="38" t="s">
        <v>285</v>
      </c>
      <c r="E1332" s="38" t="s">
        <v>3742</v>
      </c>
      <c r="F1332" s="38" t="s">
        <v>3743</v>
      </c>
      <c r="G1332" s="38" t="s">
        <v>111</v>
      </c>
      <c r="H1332" s="44">
        <v>44057</v>
      </c>
      <c r="I1332" s="44">
        <v>44071</v>
      </c>
      <c r="J1332">
        <v>139.05000000000001</v>
      </c>
      <c r="K1332">
        <v>22.99</v>
      </c>
      <c r="L1332" t="s">
        <v>3744</v>
      </c>
      <c r="M1332" s="45" t="s">
        <v>98</v>
      </c>
      <c r="N1332" s="38" t="s">
        <v>230</v>
      </c>
      <c r="O1332" s="38" t="s">
        <v>287</v>
      </c>
      <c r="P1332" s="38" t="s">
        <v>60</v>
      </c>
      <c r="Q1332" s="38" t="s">
        <v>104</v>
      </c>
      <c r="R1332" s="38" t="s">
        <v>270</v>
      </c>
      <c r="S1332" s="38" t="s">
        <v>3745</v>
      </c>
      <c r="T1332" s="38" t="s">
        <v>3746</v>
      </c>
      <c r="U1332" s="38"/>
      <c r="V1332" s="38"/>
      <c r="W1332" s="38"/>
      <c r="X1332" s="14"/>
      <c r="AN1332" s="7" t="s">
        <v>155</v>
      </c>
      <c r="AO1332" s="21">
        <f t="shared" si="68"/>
        <v>0</v>
      </c>
      <c r="AP1332" s="7">
        <f t="shared" si="65"/>
        <v>22.99</v>
      </c>
      <c r="AQ1332" s="31" t="str">
        <f t="shared" si="67"/>
        <v>Complete - No Adjustment</v>
      </c>
    </row>
    <row r="1333" spans="1:43" x14ac:dyDescent="0.2">
      <c r="A1333" s="46">
        <v>1323</v>
      </c>
      <c r="B1333" s="38" t="s">
        <v>266</v>
      </c>
      <c r="C1333" s="38" t="s">
        <v>286</v>
      </c>
      <c r="D1333" s="38" t="s">
        <v>285</v>
      </c>
      <c r="E1333" s="38" t="s">
        <v>3742</v>
      </c>
      <c r="F1333" s="38" t="s">
        <v>3743</v>
      </c>
      <c r="G1333" s="38" t="s">
        <v>111</v>
      </c>
      <c r="H1333" s="44">
        <v>44057</v>
      </c>
      <c r="I1333" s="44">
        <v>44071</v>
      </c>
      <c r="J1333">
        <v>139.05000000000001</v>
      </c>
      <c r="K1333">
        <v>18.72</v>
      </c>
      <c r="L1333" t="s">
        <v>3744</v>
      </c>
      <c r="M1333" s="45" t="s">
        <v>98</v>
      </c>
      <c r="N1333" s="38" t="s">
        <v>230</v>
      </c>
      <c r="O1333" s="38" t="s">
        <v>287</v>
      </c>
      <c r="P1333" s="38" t="s">
        <v>60</v>
      </c>
      <c r="Q1333" s="38" t="s">
        <v>174</v>
      </c>
      <c r="R1333" s="38" t="s">
        <v>270</v>
      </c>
      <c r="S1333" s="38" t="s">
        <v>3745</v>
      </c>
      <c r="T1333" s="38" t="s">
        <v>3747</v>
      </c>
      <c r="U1333" s="38"/>
      <c r="V1333" s="38"/>
      <c r="W1333" s="38"/>
      <c r="X1333" s="14"/>
      <c r="AN1333" s="7" t="s">
        <v>155</v>
      </c>
      <c r="AO1333" s="21">
        <f t="shared" si="68"/>
        <v>0</v>
      </c>
      <c r="AP1333" s="7">
        <f t="shared" si="65"/>
        <v>18.72</v>
      </c>
      <c r="AQ1333" s="31" t="str">
        <f t="shared" si="67"/>
        <v>Complete - No Adjustment</v>
      </c>
    </row>
    <row r="1334" spans="1:43" x14ac:dyDescent="0.2">
      <c r="A1334" s="46">
        <v>1324</v>
      </c>
      <c r="B1334" s="38" t="s">
        <v>266</v>
      </c>
      <c r="C1334" s="38" t="s">
        <v>286</v>
      </c>
      <c r="D1334" s="38" t="s">
        <v>285</v>
      </c>
      <c r="E1334" s="38" t="s">
        <v>3742</v>
      </c>
      <c r="F1334" s="38" t="s">
        <v>3743</v>
      </c>
      <c r="G1334" s="38" t="s">
        <v>111</v>
      </c>
      <c r="H1334" s="44">
        <v>44057</v>
      </c>
      <c r="I1334" s="44">
        <v>44071</v>
      </c>
      <c r="J1334">
        <v>139.05000000000001</v>
      </c>
      <c r="K1334">
        <v>59.53</v>
      </c>
      <c r="L1334" t="s">
        <v>3744</v>
      </c>
      <c r="M1334" s="45" t="s">
        <v>98</v>
      </c>
      <c r="N1334" s="38" t="s">
        <v>230</v>
      </c>
      <c r="O1334" s="38" t="s">
        <v>287</v>
      </c>
      <c r="P1334" s="38" t="s">
        <v>60</v>
      </c>
      <c r="Q1334" s="38" t="s">
        <v>104</v>
      </c>
      <c r="R1334" s="38" t="s">
        <v>270</v>
      </c>
      <c r="S1334" s="38" t="s">
        <v>3745</v>
      </c>
      <c r="T1334" s="38" t="s">
        <v>3746</v>
      </c>
      <c r="U1334" s="38"/>
      <c r="V1334" s="38"/>
      <c r="W1334" s="38"/>
      <c r="X1334" s="14"/>
      <c r="AN1334" s="7" t="s">
        <v>155</v>
      </c>
      <c r="AO1334" s="21">
        <f t="shared" si="68"/>
        <v>0</v>
      </c>
      <c r="AP1334" s="7">
        <f t="shared" si="65"/>
        <v>59.53</v>
      </c>
      <c r="AQ1334" s="31" t="str">
        <f t="shared" si="67"/>
        <v>Complete - No Adjustment</v>
      </c>
    </row>
    <row r="1335" spans="1:43" x14ac:dyDescent="0.2">
      <c r="A1335" s="46">
        <v>1325</v>
      </c>
      <c r="B1335" s="38" t="s">
        <v>266</v>
      </c>
      <c r="C1335" s="38" t="s">
        <v>286</v>
      </c>
      <c r="D1335" s="38" t="s">
        <v>285</v>
      </c>
      <c r="E1335" s="38" t="s">
        <v>3742</v>
      </c>
      <c r="F1335" s="38" t="s">
        <v>3743</v>
      </c>
      <c r="G1335" s="38" t="s">
        <v>111</v>
      </c>
      <c r="H1335" s="44">
        <v>44057</v>
      </c>
      <c r="I1335" s="44">
        <v>44071</v>
      </c>
      <c r="J1335">
        <v>139.05000000000001</v>
      </c>
      <c r="K1335">
        <v>37.81</v>
      </c>
      <c r="L1335" t="s">
        <v>3744</v>
      </c>
      <c r="M1335" s="45" t="s">
        <v>98</v>
      </c>
      <c r="N1335" s="38" t="s">
        <v>230</v>
      </c>
      <c r="O1335" s="38" t="s">
        <v>287</v>
      </c>
      <c r="P1335" s="38" t="s">
        <v>60</v>
      </c>
      <c r="Q1335" s="38" t="s">
        <v>174</v>
      </c>
      <c r="R1335" s="38" t="s">
        <v>270</v>
      </c>
      <c r="S1335" s="38" t="s">
        <v>3745</v>
      </c>
      <c r="T1335" s="38" t="s">
        <v>3747</v>
      </c>
      <c r="U1335" s="38"/>
      <c r="V1335" s="38"/>
      <c r="W1335" s="38"/>
      <c r="X1335" s="14"/>
      <c r="AN1335" s="7" t="s">
        <v>155</v>
      </c>
      <c r="AO1335" s="21">
        <f t="shared" si="68"/>
        <v>0</v>
      </c>
      <c r="AP1335" s="7">
        <f t="shared" si="65"/>
        <v>37.81</v>
      </c>
      <c r="AQ1335" s="31" t="str">
        <f t="shared" si="67"/>
        <v>Complete - No Adjustment</v>
      </c>
    </row>
    <row r="1336" spans="1:43" x14ac:dyDescent="0.2">
      <c r="A1336" s="46">
        <v>1326</v>
      </c>
      <c r="B1336" s="38" t="s">
        <v>266</v>
      </c>
      <c r="C1336" s="38" t="s">
        <v>719</v>
      </c>
      <c r="D1336" s="38" t="s">
        <v>2121</v>
      </c>
      <c r="E1336" s="38" t="s">
        <v>3748</v>
      </c>
      <c r="F1336" s="38" t="s">
        <v>3700</v>
      </c>
      <c r="G1336" s="38" t="s">
        <v>111</v>
      </c>
      <c r="H1336" s="44">
        <v>44067</v>
      </c>
      <c r="I1336" s="44">
        <v>44069</v>
      </c>
      <c r="J1336">
        <v>15</v>
      </c>
      <c r="K1336">
        <v>10.5</v>
      </c>
      <c r="L1336" t="s">
        <v>3749</v>
      </c>
      <c r="M1336" s="45" t="s">
        <v>98</v>
      </c>
      <c r="N1336" s="38" t="s">
        <v>230</v>
      </c>
      <c r="O1336" s="38" t="s">
        <v>559</v>
      </c>
      <c r="P1336" s="38" t="s">
        <v>60</v>
      </c>
      <c r="Q1336" s="38" t="s">
        <v>41</v>
      </c>
      <c r="R1336" s="38" t="s">
        <v>270</v>
      </c>
      <c r="S1336" s="38" t="s">
        <v>3750</v>
      </c>
      <c r="T1336" s="38" t="s">
        <v>3751</v>
      </c>
      <c r="U1336" s="38"/>
      <c r="V1336" s="38"/>
      <c r="W1336" s="38"/>
      <c r="X1336" s="14"/>
      <c r="AN1336" s="7" t="s">
        <v>155</v>
      </c>
      <c r="AO1336" s="21">
        <f t="shared" si="68"/>
        <v>0</v>
      </c>
      <c r="AP1336" s="7">
        <f t="shared" si="65"/>
        <v>10.5</v>
      </c>
      <c r="AQ1336" s="31" t="str">
        <f t="shared" si="67"/>
        <v>Complete - No Adjustment</v>
      </c>
    </row>
    <row r="1337" spans="1:43" x14ac:dyDescent="0.2">
      <c r="A1337" s="46">
        <v>1327</v>
      </c>
      <c r="B1337" s="38" t="s">
        <v>266</v>
      </c>
      <c r="C1337" s="38" t="s">
        <v>719</v>
      </c>
      <c r="D1337" s="38" t="s">
        <v>2121</v>
      </c>
      <c r="E1337" s="38" t="s">
        <v>3748</v>
      </c>
      <c r="F1337" s="38" t="s">
        <v>3700</v>
      </c>
      <c r="G1337" s="38" t="s">
        <v>111</v>
      </c>
      <c r="H1337" s="44">
        <v>44067</v>
      </c>
      <c r="I1337" s="44">
        <v>44069</v>
      </c>
      <c r="J1337">
        <v>15</v>
      </c>
      <c r="K1337">
        <v>4.5</v>
      </c>
      <c r="L1337" t="s">
        <v>3749</v>
      </c>
      <c r="M1337" s="45" t="s">
        <v>97</v>
      </c>
      <c r="N1337" s="38" t="s">
        <v>230</v>
      </c>
      <c r="O1337" s="38" t="s">
        <v>50</v>
      </c>
      <c r="P1337" s="38" t="s">
        <v>72</v>
      </c>
      <c r="Q1337" s="38" t="s">
        <v>41</v>
      </c>
      <c r="R1337" s="38" t="s">
        <v>270</v>
      </c>
      <c r="S1337" s="38" t="s">
        <v>3750</v>
      </c>
      <c r="T1337" s="38" t="s">
        <v>3751</v>
      </c>
      <c r="U1337" s="38"/>
      <c r="V1337" s="38"/>
      <c r="W1337" s="38"/>
      <c r="X1337" s="14"/>
      <c r="AN1337" s="7" t="s">
        <v>155</v>
      </c>
      <c r="AO1337" s="21">
        <f t="shared" si="68"/>
        <v>0</v>
      </c>
      <c r="AP1337" s="7">
        <f t="shared" si="65"/>
        <v>4.5</v>
      </c>
      <c r="AQ1337" s="31" t="str">
        <f t="shared" si="67"/>
        <v>Complete - No Adjustment</v>
      </c>
    </row>
    <row r="1338" spans="1:43" x14ac:dyDescent="0.2">
      <c r="A1338" s="46">
        <v>1328</v>
      </c>
      <c r="B1338" s="38" t="s">
        <v>266</v>
      </c>
      <c r="C1338" s="38" t="s">
        <v>302</v>
      </c>
      <c r="D1338" s="38" t="s">
        <v>301</v>
      </c>
      <c r="E1338" s="38" t="s">
        <v>3752</v>
      </c>
      <c r="F1338" s="38" t="s">
        <v>3753</v>
      </c>
      <c r="G1338" s="38" t="s">
        <v>111</v>
      </c>
      <c r="H1338" s="44">
        <v>44040</v>
      </c>
      <c r="I1338" s="44">
        <v>44046</v>
      </c>
      <c r="J1338">
        <v>285</v>
      </c>
      <c r="K1338">
        <v>285</v>
      </c>
      <c r="L1338" t="s">
        <v>3754</v>
      </c>
      <c r="M1338" s="45" t="s">
        <v>98</v>
      </c>
      <c r="N1338" s="38" t="s">
        <v>230</v>
      </c>
      <c r="O1338" s="38" t="s">
        <v>303</v>
      </c>
      <c r="P1338" s="38" t="s">
        <v>60</v>
      </c>
      <c r="Q1338" s="38" t="s">
        <v>59</v>
      </c>
      <c r="R1338" s="38" t="s">
        <v>270</v>
      </c>
      <c r="S1338" s="38" t="s">
        <v>3755</v>
      </c>
      <c r="T1338" s="38" t="s">
        <v>3756</v>
      </c>
      <c r="U1338" s="38"/>
      <c r="V1338" s="38"/>
      <c r="W1338" s="38"/>
      <c r="X1338" s="14"/>
      <c r="AN1338" s="7" t="s">
        <v>70</v>
      </c>
      <c r="AO1338" s="21">
        <f t="shared" si="68"/>
        <v>0</v>
      </c>
      <c r="AP1338" s="7">
        <f t="shared" si="65"/>
        <v>285</v>
      </c>
      <c r="AQ1338" s="31" t="str">
        <f t="shared" si="67"/>
        <v>Complete - No Adjustment</v>
      </c>
    </row>
    <row r="1339" spans="1:43" x14ac:dyDescent="0.2">
      <c r="A1339" s="46">
        <v>1329</v>
      </c>
      <c r="B1339" s="38" t="s">
        <v>266</v>
      </c>
      <c r="C1339" s="38" t="s">
        <v>518</v>
      </c>
      <c r="D1339" s="38" t="s">
        <v>517</v>
      </c>
      <c r="E1339" s="38" t="s">
        <v>3757</v>
      </c>
      <c r="F1339" s="38" t="s">
        <v>3758</v>
      </c>
      <c r="G1339" s="38" t="s">
        <v>111</v>
      </c>
      <c r="H1339" s="44">
        <v>44048</v>
      </c>
      <c r="I1339" s="44">
        <v>44049</v>
      </c>
      <c r="J1339">
        <v>116.55</v>
      </c>
      <c r="K1339">
        <v>24.22</v>
      </c>
      <c r="L1339" t="s">
        <v>3759</v>
      </c>
      <c r="M1339" s="45" t="s">
        <v>98</v>
      </c>
      <c r="N1339" s="38" t="s">
        <v>230</v>
      </c>
      <c r="O1339" s="38" t="s">
        <v>519</v>
      </c>
      <c r="P1339" s="38" t="s">
        <v>60</v>
      </c>
      <c r="Q1339" s="38" t="s">
        <v>41</v>
      </c>
      <c r="R1339" s="38" t="s">
        <v>270</v>
      </c>
      <c r="S1339" s="38" t="s">
        <v>3760</v>
      </c>
      <c r="T1339" s="38" t="s">
        <v>3761</v>
      </c>
      <c r="U1339" s="38"/>
      <c r="V1339" s="38"/>
      <c r="W1339" s="38"/>
      <c r="X1339" s="14"/>
      <c r="AN1339" s="7" t="s">
        <v>155</v>
      </c>
      <c r="AO1339" s="21">
        <f t="shared" si="68"/>
        <v>0</v>
      </c>
      <c r="AP1339" s="7">
        <f t="shared" si="65"/>
        <v>24.22</v>
      </c>
      <c r="AQ1339" s="31" t="str">
        <f t="shared" si="67"/>
        <v>Complete - No Adjustment</v>
      </c>
    </row>
    <row r="1340" spans="1:43" x14ac:dyDescent="0.2">
      <c r="A1340" s="46">
        <v>1330</v>
      </c>
      <c r="B1340" s="38" t="s">
        <v>266</v>
      </c>
      <c r="C1340" s="38" t="s">
        <v>518</v>
      </c>
      <c r="D1340" s="38" t="s">
        <v>517</v>
      </c>
      <c r="E1340" s="38" t="s">
        <v>3757</v>
      </c>
      <c r="F1340" s="38" t="s">
        <v>3758</v>
      </c>
      <c r="G1340" s="38" t="s">
        <v>111</v>
      </c>
      <c r="H1340" s="44">
        <v>44048</v>
      </c>
      <c r="I1340" s="44">
        <v>44049</v>
      </c>
      <c r="J1340">
        <v>116.55</v>
      </c>
      <c r="K1340">
        <v>38.340000000000003</v>
      </c>
      <c r="L1340" t="s">
        <v>3759</v>
      </c>
      <c r="M1340" s="45" t="s">
        <v>98</v>
      </c>
      <c r="N1340" s="38" t="s">
        <v>230</v>
      </c>
      <c r="O1340" s="38" t="s">
        <v>519</v>
      </c>
      <c r="P1340" s="38" t="s">
        <v>60</v>
      </c>
      <c r="Q1340" s="38" t="s">
        <v>41</v>
      </c>
      <c r="R1340" s="38" t="s">
        <v>270</v>
      </c>
      <c r="S1340" s="38" t="s">
        <v>3760</v>
      </c>
      <c r="T1340" s="38" t="s">
        <v>3762</v>
      </c>
      <c r="U1340" s="38"/>
      <c r="V1340" s="38"/>
      <c r="W1340" s="38"/>
      <c r="X1340" s="14"/>
      <c r="AN1340" s="7" t="s">
        <v>155</v>
      </c>
      <c r="AO1340" s="21">
        <f t="shared" si="68"/>
        <v>0</v>
      </c>
      <c r="AP1340" s="7">
        <f t="shared" si="65"/>
        <v>38.340000000000003</v>
      </c>
      <c r="AQ1340" s="31" t="str">
        <f t="shared" si="67"/>
        <v>Complete - No Adjustment</v>
      </c>
    </row>
    <row r="1341" spans="1:43" x14ac:dyDescent="0.2">
      <c r="A1341" s="46">
        <v>1331</v>
      </c>
      <c r="B1341" s="38" t="s">
        <v>266</v>
      </c>
      <c r="C1341" s="38" t="s">
        <v>518</v>
      </c>
      <c r="D1341" s="38" t="s">
        <v>517</v>
      </c>
      <c r="E1341" s="38" t="s">
        <v>3757</v>
      </c>
      <c r="F1341" s="38" t="s">
        <v>3758</v>
      </c>
      <c r="G1341" s="38" t="s">
        <v>111</v>
      </c>
      <c r="H1341" s="44">
        <v>44048</v>
      </c>
      <c r="I1341" s="44">
        <v>44049</v>
      </c>
      <c r="J1341">
        <v>116.55</v>
      </c>
      <c r="K1341">
        <v>22.55</v>
      </c>
      <c r="L1341" t="s">
        <v>3759</v>
      </c>
      <c r="M1341" s="45" t="s">
        <v>98</v>
      </c>
      <c r="N1341" s="38" t="s">
        <v>230</v>
      </c>
      <c r="O1341" s="38" t="s">
        <v>519</v>
      </c>
      <c r="P1341" s="38" t="s">
        <v>60</v>
      </c>
      <c r="Q1341" s="38" t="s">
        <v>41</v>
      </c>
      <c r="R1341" s="38" t="s">
        <v>270</v>
      </c>
      <c r="S1341" s="38" t="s">
        <v>3760</v>
      </c>
      <c r="T1341" s="38" t="s">
        <v>3762</v>
      </c>
      <c r="U1341" s="38"/>
      <c r="V1341" s="38"/>
      <c r="W1341" s="38"/>
      <c r="X1341" s="14"/>
      <c r="AN1341" s="7" t="s">
        <v>155</v>
      </c>
      <c r="AO1341" s="21">
        <f t="shared" si="68"/>
        <v>0</v>
      </c>
      <c r="AP1341" s="7">
        <f t="shared" si="65"/>
        <v>22.55</v>
      </c>
      <c r="AQ1341" s="31" t="str">
        <f t="shared" si="67"/>
        <v>Complete - No Adjustment</v>
      </c>
    </row>
    <row r="1342" spans="1:43" x14ac:dyDescent="0.2">
      <c r="A1342" s="46">
        <v>1332</v>
      </c>
      <c r="B1342" s="38" t="s">
        <v>266</v>
      </c>
      <c r="C1342" s="38" t="s">
        <v>518</v>
      </c>
      <c r="D1342" s="38" t="s">
        <v>517</v>
      </c>
      <c r="E1342" s="38" t="s">
        <v>3757</v>
      </c>
      <c r="F1342" s="38" t="s">
        <v>3758</v>
      </c>
      <c r="G1342" s="38" t="s">
        <v>111</v>
      </c>
      <c r="H1342" s="44">
        <v>44048</v>
      </c>
      <c r="I1342" s="44">
        <v>44049</v>
      </c>
      <c r="J1342">
        <v>116.55</v>
      </c>
      <c r="K1342">
        <v>31.44</v>
      </c>
      <c r="L1342" t="s">
        <v>3759</v>
      </c>
      <c r="M1342" s="45" t="s">
        <v>98</v>
      </c>
      <c r="N1342" s="38" t="s">
        <v>230</v>
      </c>
      <c r="O1342" s="38" t="s">
        <v>519</v>
      </c>
      <c r="P1342" s="38" t="s">
        <v>60</v>
      </c>
      <c r="Q1342" s="38" t="s">
        <v>41</v>
      </c>
      <c r="R1342" s="38" t="s">
        <v>270</v>
      </c>
      <c r="S1342" s="38" t="s">
        <v>3760</v>
      </c>
      <c r="T1342" s="38" t="s">
        <v>3761</v>
      </c>
      <c r="U1342" s="38"/>
      <c r="V1342" s="38"/>
      <c r="W1342" s="38"/>
      <c r="X1342" s="14"/>
      <c r="AN1342" s="7" t="s">
        <v>155</v>
      </c>
      <c r="AO1342" s="21">
        <f t="shared" si="68"/>
        <v>0</v>
      </c>
      <c r="AP1342" s="7">
        <f t="shared" si="65"/>
        <v>31.44</v>
      </c>
      <c r="AQ1342" s="31" t="str">
        <f t="shared" si="67"/>
        <v>Complete - No Adjustment</v>
      </c>
    </row>
    <row r="1343" spans="1:43" x14ac:dyDescent="0.2">
      <c r="A1343" s="46">
        <v>1333</v>
      </c>
      <c r="B1343" s="38" t="s">
        <v>266</v>
      </c>
      <c r="C1343" s="38" t="s">
        <v>583</v>
      </c>
      <c r="D1343" s="38" t="s">
        <v>582</v>
      </c>
      <c r="E1343" s="38" t="s">
        <v>3763</v>
      </c>
      <c r="F1343" s="38" t="s">
        <v>3700</v>
      </c>
      <c r="G1343" s="38" t="s">
        <v>111</v>
      </c>
      <c r="H1343" s="44">
        <v>44068</v>
      </c>
      <c r="I1343" s="44">
        <v>44069</v>
      </c>
      <c r="J1343">
        <v>15</v>
      </c>
      <c r="K1343">
        <v>15</v>
      </c>
      <c r="L1343" t="s">
        <v>3764</v>
      </c>
      <c r="M1343" s="45" t="s">
        <v>98</v>
      </c>
      <c r="N1343" s="38" t="s">
        <v>230</v>
      </c>
      <c r="O1343" s="38" t="s">
        <v>292</v>
      </c>
      <c r="P1343" s="38" t="s">
        <v>60</v>
      </c>
      <c r="Q1343" s="38" t="s">
        <v>46</v>
      </c>
      <c r="R1343" s="38" t="s">
        <v>270</v>
      </c>
      <c r="S1343" s="38" t="s">
        <v>3765</v>
      </c>
      <c r="T1343" s="38" t="s">
        <v>3766</v>
      </c>
      <c r="U1343" s="38"/>
      <c r="V1343" s="38"/>
      <c r="W1343" s="38"/>
      <c r="X1343" s="14"/>
      <c r="AN1343" s="7" t="s">
        <v>155</v>
      </c>
      <c r="AO1343" s="21">
        <f t="shared" si="68"/>
        <v>0</v>
      </c>
      <c r="AP1343" s="7">
        <f t="shared" si="65"/>
        <v>15</v>
      </c>
      <c r="AQ1343" s="31" t="str">
        <f t="shared" si="67"/>
        <v>Complete - No Adjustment</v>
      </c>
    </row>
    <row r="1344" spans="1:43" x14ac:dyDescent="0.2">
      <c r="A1344" s="46">
        <v>1334</v>
      </c>
      <c r="B1344" s="38" t="s">
        <v>266</v>
      </c>
      <c r="C1344" s="38" t="s">
        <v>721</v>
      </c>
      <c r="D1344" s="38" t="s">
        <v>797</v>
      </c>
      <c r="E1344" s="38" t="s">
        <v>3767</v>
      </c>
      <c r="F1344" s="38" t="s">
        <v>3768</v>
      </c>
      <c r="G1344" s="38" t="s">
        <v>111</v>
      </c>
      <c r="H1344" s="44">
        <v>44053</v>
      </c>
      <c r="I1344" s="44">
        <v>44057</v>
      </c>
      <c r="J1344">
        <v>162.36000000000001</v>
      </c>
      <c r="K1344">
        <v>162.36000000000001</v>
      </c>
      <c r="L1344" t="s">
        <v>3769</v>
      </c>
      <c r="M1344" s="45" t="s">
        <v>98</v>
      </c>
      <c r="N1344" s="38" t="s">
        <v>230</v>
      </c>
      <c r="O1344" s="38" t="s">
        <v>277</v>
      </c>
      <c r="P1344" s="38" t="s">
        <v>60</v>
      </c>
      <c r="Q1344" s="38" t="s">
        <v>62</v>
      </c>
      <c r="R1344" s="38" t="s">
        <v>270</v>
      </c>
      <c r="S1344" s="38" t="s">
        <v>3770</v>
      </c>
      <c r="T1344" s="38" t="s">
        <v>3771</v>
      </c>
      <c r="U1344" s="38"/>
      <c r="V1344" s="38"/>
      <c r="W1344" s="38"/>
      <c r="X1344" s="14"/>
      <c r="AN1344" s="7" t="s">
        <v>155</v>
      </c>
      <c r="AO1344" s="21">
        <f t="shared" si="68"/>
        <v>0</v>
      </c>
      <c r="AP1344" s="7">
        <f t="shared" si="65"/>
        <v>162.36000000000001</v>
      </c>
      <c r="AQ1344" s="31" t="str">
        <f t="shared" si="67"/>
        <v>Complete - No Adjustment</v>
      </c>
    </row>
    <row r="1345" spans="1:43" x14ac:dyDescent="0.2">
      <c r="A1345" s="46">
        <v>1335</v>
      </c>
      <c r="B1345" s="38" t="s">
        <v>266</v>
      </c>
      <c r="C1345" s="38" t="s">
        <v>742</v>
      </c>
      <c r="D1345" s="38" t="s">
        <v>741</v>
      </c>
      <c r="E1345" s="38" t="s">
        <v>3772</v>
      </c>
      <c r="F1345" s="38" t="s">
        <v>3773</v>
      </c>
      <c r="G1345" s="38" t="s">
        <v>111</v>
      </c>
      <c r="H1345" s="44">
        <v>44070</v>
      </c>
      <c r="I1345" s="44">
        <v>44074</v>
      </c>
      <c r="J1345">
        <v>8.8699999999999992</v>
      </c>
      <c r="K1345">
        <v>8.8699999999999992</v>
      </c>
      <c r="L1345" t="s">
        <v>3774</v>
      </c>
      <c r="M1345" s="45" t="s">
        <v>98</v>
      </c>
      <c r="N1345" s="38" t="s">
        <v>230</v>
      </c>
      <c r="O1345" s="38" t="s">
        <v>288</v>
      </c>
      <c r="P1345" s="38" t="s">
        <v>60</v>
      </c>
      <c r="Q1345" s="38" t="s">
        <v>41</v>
      </c>
      <c r="R1345" s="38" t="s">
        <v>270</v>
      </c>
      <c r="S1345" s="38" t="s">
        <v>3775</v>
      </c>
      <c r="T1345" s="38" t="s">
        <v>3776</v>
      </c>
      <c r="U1345" s="38"/>
      <c r="V1345" s="38"/>
      <c r="W1345" s="38"/>
      <c r="X1345" s="14"/>
      <c r="AN1345" s="7" t="s">
        <v>155</v>
      </c>
      <c r="AO1345" s="21">
        <f t="shared" si="68"/>
        <v>0</v>
      </c>
      <c r="AP1345" s="7">
        <f t="shared" si="65"/>
        <v>8.8699999999999992</v>
      </c>
      <c r="AQ1345" s="31" t="str">
        <f t="shared" si="67"/>
        <v>Complete - No Adjustment</v>
      </c>
    </row>
    <row r="1346" spans="1:43" x14ac:dyDescent="0.2">
      <c r="A1346" s="46">
        <v>1336</v>
      </c>
      <c r="B1346" s="38" t="s">
        <v>266</v>
      </c>
      <c r="C1346" s="38" t="s">
        <v>742</v>
      </c>
      <c r="D1346" s="38" t="s">
        <v>741</v>
      </c>
      <c r="E1346" s="38" t="s">
        <v>3777</v>
      </c>
      <c r="F1346" s="38" t="s">
        <v>3722</v>
      </c>
      <c r="G1346" s="38" t="s">
        <v>111</v>
      </c>
      <c r="H1346" s="44">
        <v>44056</v>
      </c>
      <c r="I1346" s="44">
        <v>44060</v>
      </c>
      <c r="J1346">
        <v>10.71</v>
      </c>
      <c r="K1346">
        <v>10.71</v>
      </c>
      <c r="L1346" t="s">
        <v>3778</v>
      </c>
      <c r="M1346" s="45" t="s">
        <v>98</v>
      </c>
      <c r="N1346" s="38" t="s">
        <v>230</v>
      </c>
      <c r="O1346" s="38" t="s">
        <v>288</v>
      </c>
      <c r="P1346" s="38" t="s">
        <v>60</v>
      </c>
      <c r="Q1346" s="38" t="s">
        <v>41</v>
      </c>
      <c r="R1346" s="38" t="s">
        <v>270</v>
      </c>
      <c r="S1346" s="38" t="s">
        <v>3067</v>
      </c>
      <c r="T1346" s="38" t="s">
        <v>3068</v>
      </c>
      <c r="U1346" s="38"/>
      <c r="V1346" s="38"/>
      <c r="W1346" s="38"/>
      <c r="X1346" s="14"/>
      <c r="AL1346" s="14">
        <f>10.71</f>
        <v>10.71</v>
      </c>
      <c r="AN1346" s="7" t="s">
        <v>146</v>
      </c>
      <c r="AO1346" s="21">
        <f t="shared" si="68"/>
        <v>10.71</v>
      </c>
      <c r="AP1346" s="7">
        <f t="shared" si="65"/>
        <v>0</v>
      </c>
      <c r="AQ1346" s="31" t="str">
        <f t="shared" si="67"/>
        <v>Complete - With Adjustment</v>
      </c>
    </row>
    <row r="1347" spans="1:43" x14ac:dyDescent="0.2">
      <c r="A1347" s="46">
        <v>1337</v>
      </c>
      <c r="B1347" s="38" t="s">
        <v>266</v>
      </c>
      <c r="C1347" s="38" t="s">
        <v>742</v>
      </c>
      <c r="D1347" s="38" t="s">
        <v>741</v>
      </c>
      <c r="E1347" s="38" t="s">
        <v>3779</v>
      </c>
      <c r="F1347" s="38" t="s">
        <v>3780</v>
      </c>
      <c r="G1347" s="38" t="s">
        <v>111</v>
      </c>
      <c r="H1347" s="44">
        <v>44064</v>
      </c>
      <c r="I1347" s="44">
        <v>44068</v>
      </c>
      <c r="J1347">
        <v>10.83</v>
      </c>
      <c r="K1347">
        <v>10.83</v>
      </c>
      <c r="L1347" t="s">
        <v>3781</v>
      </c>
      <c r="M1347" s="45" t="s">
        <v>98</v>
      </c>
      <c r="N1347" s="38" t="s">
        <v>230</v>
      </c>
      <c r="O1347" s="38" t="s">
        <v>288</v>
      </c>
      <c r="P1347" s="38" t="s">
        <v>60</v>
      </c>
      <c r="Q1347" s="38" t="s">
        <v>41</v>
      </c>
      <c r="R1347" s="38" t="s">
        <v>270</v>
      </c>
      <c r="S1347" s="38" t="s">
        <v>3782</v>
      </c>
      <c r="T1347" s="38" t="s">
        <v>3783</v>
      </c>
      <c r="U1347" s="38"/>
      <c r="V1347" s="38"/>
      <c r="W1347" s="38"/>
      <c r="X1347" s="14"/>
      <c r="AL1347" s="14">
        <f>10.83</f>
        <v>10.83</v>
      </c>
      <c r="AN1347" s="7" t="s">
        <v>146</v>
      </c>
      <c r="AO1347" s="21">
        <f t="shared" si="68"/>
        <v>10.83</v>
      </c>
      <c r="AP1347" s="7">
        <f t="shared" si="65"/>
        <v>0</v>
      </c>
      <c r="AQ1347" s="31" t="str">
        <f t="shared" si="67"/>
        <v>Complete - With Adjustment</v>
      </c>
    </row>
    <row r="1348" spans="1:43" x14ac:dyDescent="0.2">
      <c r="A1348" s="46">
        <v>1338</v>
      </c>
      <c r="B1348" s="38" t="s">
        <v>266</v>
      </c>
      <c r="C1348" s="38" t="s">
        <v>742</v>
      </c>
      <c r="D1348" s="38" t="s">
        <v>741</v>
      </c>
      <c r="E1348" s="38" t="s">
        <v>3784</v>
      </c>
      <c r="F1348" s="38" t="s">
        <v>3738</v>
      </c>
      <c r="G1348" s="38" t="s">
        <v>111</v>
      </c>
      <c r="H1348" s="44">
        <v>44049</v>
      </c>
      <c r="I1348" s="44">
        <v>44053</v>
      </c>
      <c r="J1348">
        <v>14.07</v>
      </c>
      <c r="K1348">
        <v>14.07</v>
      </c>
      <c r="L1348" t="s">
        <v>3785</v>
      </c>
      <c r="M1348" s="45" t="s">
        <v>98</v>
      </c>
      <c r="N1348" s="38" t="s">
        <v>230</v>
      </c>
      <c r="O1348" s="38" t="s">
        <v>288</v>
      </c>
      <c r="P1348" s="38" t="s">
        <v>60</v>
      </c>
      <c r="Q1348" s="38" t="s">
        <v>41</v>
      </c>
      <c r="R1348" s="38" t="s">
        <v>270</v>
      </c>
      <c r="S1348" s="38" t="s">
        <v>3067</v>
      </c>
      <c r="T1348" s="38" t="s">
        <v>3068</v>
      </c>
      <c r="U1348" s="38"/>
      <c r="V1348" s="38"/>
      <c r="W1348" s="38"/>
      <c r="X1348" s="14"/>
      <c r="AL1348" s="14">
        <f>14.07</f>
        <v>14.07</v>
      </c>
      <c r="AN1348" s="7" t="s">
        <v>146</v>
      </c>
      <c r="AO1348" s="21">
        <f t="shared" si="68"/>
        <v>14.07</v>
      </c>
      <c r="AP1348" s="7">
        <f t="shared" si="65"/>
        <v>0</v>
      </c>
      <c r="AQ1348" s="31" t="str">
        <f t="shared" si="67"/>
        <v>Complete - With Adjustment</v>
      </c>
    </row>
    <row r="1349" spans="1:43" x14ac:dyDescent="0.2">
      <c r="A1349" s="46">
        <v>1339</v>
      </c>
      <c r="B1349" s="38" t="s">
        <v>266</v>
      </c>
      <c r="C1349" s="38" t="s">
        <v>316</v>
      </c>
      <c r="D1349" s="38" t="s">
        <v>315</v>
      </c>
      <c r="E1349" s="38" t="s">
        <v>3786</v>
      </c>
      <c r="F1349" s="38" t="s">
        <v>3787</v>
      </c>
      <c r="G1349" s="38" t="s">
        <v>111</v>
      </c>
      <c r="H1349" s="44">
        <v>44056</v>
      </c>
      <c r="I1349" s="44">
        <v>44062</v>
      </c>
      <c r="J1349">
        <v>89.53</v>
      </c>
      <c r="K1349">
        <v>15</v>
      </c>
      <c r="L1349" t="s">
        <v>3788</v>
      </c>
      <c r="M1349" s="45" t="s">
        <v>98</v>
      </c>
      <c r="N1349" s="38" t="s">
        <v>230</v>
      </c>
      <c r="O1349" s="38" t="s">
        <v>317</v>
      </c>
      <c r="P1349" s="38" t="s">
        <v>60</v>
      </c>
      <c r="Q1349" s="38" t="s">
        <v>41</v>
      </c>
      <c r="R1349" s="38" t="s">
        <v>270</v>
      </c>
      <c r="S1349" s="38" t="s">
        <v>3789</v>
      </c>
      <c r="T1349" s="38" t="s">
        <v>3790</v>
      </c>
      <c r="U1349" s="38"/>
      <c r="V1349" s="38"/>
      <c r="W1349" s="38"/>
      <c r="X1349" s="14"/>
      <c r="AN1349" s="7" t="s">
        <v>155</v>
      </c>
      <c r="AO1349" s="21">
        <f t="shared" si="68"/>
        <v>0</v>
      </c>
      <c r="AP1349" s="7">
        <f t="shared" si="65"/>
        <v>15</v>
      </c>
      <c r="AQ1349" s="31" t="str">
        <f t="shared" si="67"/>
        <v>Complete - No Adjustment</v>
      </c>
    </row>
    <row r="1350" spans="1:43" x14ac:dyDescent="0.2">
      <c r="A1350" s="46">
        <v>1340</v>
      </c>
      <c r="B1350" s="38" t="s">
        <v>266</v>
      </c>
      <c r="C1350" s="38" t="s">
        <v>316</v>
      </c>
      <c r="D1350" s="38" t="s">
        <v>315</v>
      </c>
      <c r="E1350" s="38" t="s">
        <v>3786</v>
      </c>
      <c r="F1350" s="38" t="s">
        <v>3787</v>
      </c>
      <c r="G1350" s="38" t="s">
        <v>111</v>
      </c>
      <c r="H1350" s="44">
        <v>44056</v>
      </c>
      <c r="I1350" s="44">
        <v>44062</v>
      </c>
      <c r="J1350">
        <v>89.53</v>
      </c>
      <c r="K1350">
        <v>16.13</v>
      </c>
      <c r="L1350" t="s">
        <v>3788</v>
      </c>
      <c r="M1350" s="45" t="s">
        <v>98</v>
      </c>
      <c r="N1350" s="38" t="s">
        <v>230</v>
      </c>
      <c r="O1350" s="38" t="s">
        <v>317</v>
      </c>
      <c r="P1350" s="38" t="s">
        <v>60</v>
      </c>
      <c r="Q1350" s="38" t="s">
        <v>41</v>
      </c>
      <c r="R1350" s="38" t="s">
        <v>270</v>
      </c>
      <c r="S1350" s="38" t="s">
        <v>3789</v>
      </c>
      <c r="T1350" s="38" t="s">
        <v>3791</v>
      </c>
      <c r="U1350" s="38"/>
      <c r="V1350" s="38"/>
      <c r="W1350" s="38"/>
      <c r="X1350" s="14"/>
      <c r="AN1350" s="7" t="s">
        <v>70</v>
      </c>
      <c r="AO1350" s="21">
        <f t="shared" si="68"/>
        <v>0</v>
      </c>
      <c r="AP1350" s="7">
        <f t="shared" si="65"/>
        <v>16.13</v>
      </c>
      <c r="AQ1350" s="31" t="str">
        <f t="shared" si="67"/>
        <v>Complete - No Adjustment</v>
      </c>
    </row>
    <row r="1351" spans="1:43" x14ac:dyDescent="0.2">
      <c r="A1351" s="46">
        <v>1341</v>
      </c>
      <c r="B1351" s="38" t="s">
        <v>266</v>
      </c>
      <c r="C1351" s="38" t="s">
        <v>316</v>
      </c>
      <c r="D1351" s="38" t="s">
        <v>315</v>
      </c>
      <c r="E1351" s="38" t="s">
        <v>3786</v>
      </c>
      <c r="F1351" s="38" t="s">
        <v>3787</v>
      </c>
      <c r="G1351" s="38" t="s">
        <v>111</v>
      </c>
      <c r="H1351" s="44">
        <v>44056</v>
      </c>
      <c r="I1351" s="44">
        <v>44062</v>
      </c>
      <c r="J1351">
        <v>89.53</v>
      </c>
      <c r="K1351">
        <v>16.13</v>
      </c>
      <c r="L1351" t="s">
        <v>3788</v>
      </c>
      <c r="M1351" s="45" t="s">
        <v>98</v>
      </c>
      <c r="N1351" s="38" t="s">
        <v>230</v>
      </c>
      <c r="O1351" s="38" t="s">
        <v>317</v>
      </c>
      <c r="P1351" s="38" t="s">
        <v>60</v>
      </c>
      <c r="Q1351" s="38" t="s">
        <v>41</v>
      </c>
      <c r="R1351" s="38" t="s">
        <v>270</v>
      </c>
      <c r="S1351" s="38" t="s">
        <v>3789</v>
      </c>
      <c r="T1351" s="38" t="s">
        <v>3791</v>
      </c>
      <c r="U1351" s="38"/>
      <c r="V1351" s="38"/>
      <c r="W1351" s="38"/>
      <c r="X1351" s="14"/>
      <c r="AN1351" s="7" t="s">
        <v>70</v>
      </c>
      <c r="AO1351" s="21">
        <f t="shared" si="68"/>
        <v>0</v>
      </c>
      <c r="AP1351" s="7">
        <f t="shared" si="65"/>
        <v>16.13</v>
      </c>
      <c r="AQ1351" s="31" t="str">
        <f t="shared" si="67"/>
        <v>Complete - No Adjustment</v>
      </c>
    </row>
    <row r="1352" spans="1:43" x14ac:dyDescent="0.2">
      <c r="A1352" s="46">
        <v>1342</v>
      </c>
      <c r="B1352" s="38" t="s">
        <v>266</v>
      </c>
      <c r="C1352" s="38" t="s">
        <v>316</v>
      </c>
      <c r="D1352" s="38" t="s">
        <v>315</v>
      </c>
      <c r="E1352" s="38" t="s">
        <v>3786</v>
      </c>
      <c r="F1352" s="38" t="s">
        <v>3787</v>
      </c>
      <c r="G1352" s="38" t="s">
        <v>111</v>
      </c>
      <c r="H1352" s="44">
        <v>44056</v>
      </c>
      <c r="I1352" s="44">
        <v>44062</v>
      </c>
      <c r="J1352">
        <v>89.53</v>
      </c>
      <c r="K1352">
        <v>12.99</v>
      </c>
      <c r="L1352" t="s">
        <v>3788</v>
      </c>
      <c r="M1352" s="45" t="s">
        <v>98</v>
      </c>
      <c r="N1352" s="38" t="s">
        <v>230</v>
      </c>
      <c r="O1352" s="38" t="s">
        <v>317</v>
      </c>
      <c r="P1352" s="38" t="s">
        <v>60</v>
      </c>
      <c r="Q1352" s="38" t="s">
        <v>41</v>
      </c>
      <c r="R1352" s="38" t="s">
        <v>270</v>
      </c>
      <c r="S1352" s="38" t="s">
        <v>3789</v>
      </c>
      <c r="T1352" s="38" t="s">
        <v>3791</v>
      </c>
      <c r="U1352" s="38"/>
      <c r="V1352" s="38"/>
      <c r="W1352" s="38"/>
      <c r="X1352" s="14"/>
      <c r="AN1352" s="7" t="s">
        <v>70</v>
      </c>
      <c r="AO1352" s="21">
        <f t="shared" si="68"/>
        <v>0</v>
      </c>
      <c r="AP1352" s="7">
        <f t="shared" si="65"/>
        <v>12.99</v>
      </c>
      <c r="AQ1352" s="31" t="str">
        <f t="shared" si="67"/>
        <v>Complete - No Adjustment</v>
      </c>
    </row>
    <row r="1353" spans="1:43" x14ac:dyDescent="0.2">
      <c r="A1353" s="46">
        <v>1343</v>
      </c>
      <c r="B1353" s="38" t="s">
        <v>266</v>
      </c>
      <c r="C1353" s="38" t="s">
        <v>316</v>
      </c>
      <c r="D1353" s="38" t="s">
        <v>315</v>
      </c>
      <c r="E1353" s="38" t="s">
        <v>3786</v>
      </c>
      <c r="F1353" s="38" t="s">
        <v>3787</v>
      </c>
      <c r="G1353" s="38" t="s">
        <v>111</v>
      </c>
      <c r="H1353" s="44">
        <v>44056</v>
      </c>
      <c r="I1353" s="44">
        <v>44062</v>
      </c>
      <c r="J1353">
        <v>89.53</v>
      </c>
      <c r="K1353">
        <v>12.5</v>
      </c>
      <c r="L1353" t="s">
        <v>3788</v>
      </c>
      <c r="M1353" s="45" t="s">
        <v>98</v>
      </c>
      <c r="N1353" s="38" t="s">
        <v>230</v>
      </c>
      <c r="O1353" s="38" t="s">
        <v>317</v>
      </c>
      <c r="P1353" s="38" t="s">
        <v>60</v>
      </c>
      <c r="Q1353" s="38" t="s">
        <v>41</v>
      </c>
      <c r="R1353" s="38" t="s">
        <v>270</v>
      </c>
      <c r="S1353" s="38" t="s">
        <v>3789</v>
      </c>
      <c r="T1353" s="38" t="s">
        <v>3791</v>
      </c>
      <c r="U1353" s="38"/>
      <c r="V1353" s="38"/>
      <c r="W1353" s="38"/>
      <c r="X1353" s="14"/>
      <c r="AN1353" s="7" t="s">
        <v>70</v>
      </c>
      <c r="AO1353" s="21">
        <f t="shared" si="68"/>
        <v>0</v>
      </c>
      <c r="AP1353" s="7">
        <f t="shared" si="65"/>
        <v>12.5</v>
      </c>
      <c r="AQ1353" s="31" t="str">
        <f t="shared" si="67"/>
        <v>Complete - No Adjustment</v>
      </c>
    </row>
    <row r="1354" spans="1:43" x14ac:dyDescent="0.2">
      <c r="A1354" s="46">
        <v>1344</v>
      </c>
      <c r="B1354" s="38" t="s">
        <v>266</v>
      </c>
      <c r="C1354" s="38" t="s">
        <v>316</v>
      </c>
      <c r="D1354" s="38" t="s">
        <v>315</v>
      </c>
      <c r="E1354" s="38" t="s">
        <v>3786</v>
      </c>
      <c r="F1354" s="38" t="s">
        <v>3787</v>
      </c>
      <c r="G1354" s="38" t="s">
        <v>111</v>
      </c>
      <c r="H1354" s="44">
        <v>44056</v>
      </c>
      <c r="I1354" s="44">
        <v>44062</v>
      </c>
      <c r="J1354">
        <v>89.53</v>
      </c>
      <c r="K1354">
        <v>16.78</v>
      </c>
      <c r="L1354" t="s">
        <v>3788</v>
      </c>
      <c r="M1354" s="45" t="s">
        <v>98</v>
      </c>
      <c r="N1354" s="38" t="s">
        <v>230</v>
      </c>
      <c r="O1354" s="38" t="s">
        <v>317</v>
      </c>
      <c r="P1354" s="38" t="s">
        <v>60</v>
      </c>
      <c r="Q1354" s="38" t="s">
        <v>41</v>
      </c>
      <c r="R1354" s="38" t="s">
        <v>270</v>
      </c>
      <c r="S1354" s="38" t="s">
        <v>3789</v>
      </c>
      <c r="T1354" s="38" t="s">
        <v>3791</v>
      </c>
      <c r="U1354" s="38"/>
      <c r="V1354" s="38"/>
      <c r="W1354" s="38"/>
      <c r="X1354" s="14"/>
      <c r="AN1354" s="7" t="s">
        <v>70</v>
      </c>
      <c r="AO1354" s="21">
        <f t="shared" si="68"/>
        <v>0</v>
      </c>
      <c r="AP1354" s="7">
        <f t="shared" ref="AP1354:AP1417" si="69">K1354-AO1354</f>
        <v>16.78</v>
      </c>
      <c r="AQ1354" s="31" t="str">
        <f t="shared" si="67"/>
        <v>Complete - No Adjustment</v>
      </c>
    </row>
    <row r="1355" spans="1:43" x14ac:dyDescent="0.2">
      <c r="A1355" s="46">
        <v>1345</v>
      </c>
      <c r="B1355" s="38" t="s">
        <v>266</v>
      </c>
      <c r="C1355" s="38" t="s">
        <v>546</v>
      </c>
      <c r="D1355" s="38" t="s">
        <v>835</v>
      </c>
      <c r="E1355" s="38" t="s">
        <v>3792</v>
      </c>
      <c r="F1355" s="38" t="s">
        <v>3768</v>
      </c>
      <c r="G1355" s="38" t="s">
        <v>111</v>
      </c>
      <c r="H1355" s="44">
        <v>44047</v>
      </c>
      <c r="I1355" s="44">
        <v>44057</v>
      </c>
      <c r="J1355">
        <v>995</v>
      </c>
      <c r="K1355">
        <v>995</v>
      </c>
      <c r="L1355" t="s">
        <v>3793</v>
      </c>
      <c r="M1355" s="45" t="s">
        <v>98</v>
      </c>
      <c r="N1355" s="38" t="s">
        <v>230</v>
      </c>
      <c r="O1355" s="38" t="s">
        <v>277</v>
      </c>
      <c r="P1355" s="38" t="s">
        <v>60</v>
      </c>
      <c r="Q1355" s="38" t="s">
        <v>56</v>
      </c>
      <c r="R1355" s="38" t="s">
        <v>270</v>
      </c>
      <c r="S1355" s="38" t="s">
        <v>3794</v>
      </c>
      <c r="T1355" s="38" t="s">
        <v>3795</v>
      </c>
      <c r="U1355" s="38"/>
      <c r="V1355" s="38"/>
      <c r="W1355" s="38"/>
      <c r="X1355" s="14"/>
      <c r="AN1355" s="7" t="s">
        <v>70</v>
      </c>
      <c r="AO1355" s="21">
        <f t="shared" si="68"/>
        <v>0</v>
      </c>
      <c r="AP1355" s="7">
        <f t="shared" si="69"/>
        <v>995</v>
      </c>
      <c r="AQ1355" s="31" t="str">
        <f t="shared" si="67"/>
        <v>Complete - No Adjustment</v>
      </c>
    </row>
    <row r="1356" spans="1:43" x14ac:dyDescent="0.2">
      <c r="A1356" s="46">
        <v>1346</v>
      </c>
      <c r="B1356" s="38" t="s">
        <v>266</v>
      </c>
      <c r="C1356" s="38" t="s">
        <v>3796</v>
      </c>
      <c r="D1356" s="38" t="s">
        <v>3797</v>
      </c>
      <c r="E1356" s="38" t="s">
        <v>3798</v>
      </c>
      <c r="F1356" s="38" t="s">
        <v>3768</v>
      </c>
      <c r="G1356" s="38" t="s">
        <v>111</v>
      </c>
      <c r="H1356" s="44">
        <v>44056</v>
      </c>
      <c r="I1356" s="44">
        <v>44057</v>
      </c>
      <c r="J1356">
        <v>212.75</v>
      </c>
      <c r="K1356">
        <v>212.75</v>
      </c>
      <c r="L1356" t="s">
        <v>3799</v>
      </c>
      <c r="M1356" s="45" t="s">
        <v>98</v>
      </c>
      <c r="N1356" s="38" t="s">
        <v>230</v>
      </c>
      <c r="O1356" s="38" t="s">
        <v>272</v>
      </c>
      <c r="P1356" s="38" t="s">
        <v>60</v>
      </c>
      <c r="Q1356" s="38" t="s">
        <v>56</v>
      </c>
      <c r="R1356" s="38" t="s">
        <v>270</v>
      </c>
      <c r="S1356" s="38" t="s">
        <v>3800</v>
      </c>
      <c r="T1356" s="38" t="s">
        <v>3801</v>
      </c>
      <c r="U1356" s="38"/>
      <c r="V1356" s="38"/>
      <c r="W1356" s="38"/>
      <c r="X1356" s="14"/>
      <c r="AN1356" s="7" t="s">
        <v>70</v>
      </c>
      <c r="AO1356" s="21">
        <f t="shared" si="68"/>
        <v>0</v>
      </c>
      <c r="AP1356" s="7">
        <f t="shared" si="69"/>
        <v>212.75</v>
      </c>
      <c r="AQ1356" s="31" t="str">
        <f t="shared" si="67"/>
        <v>Complete - No Adjustment</v>
      </c>
    </row>
    <row r="1357" spans="1:43" x14ac:dyDescent="0.2">
      <c r="A1357" s="46">
        <v>1347</v>
      </c>
      <c r="B1357" s="38" t="s">
        <v>266</v>
      </c>
      <c r="C1357" s="38" t="s">
        <v>77</v>
      </c>
      <c r="D1357" s="38" t="s">
        <v>100</v>
      </c>
      <c r="E1357" s="38" t="s">
        <v>3802</v>
      </c>
      <c r="F1357" s="38" t="s">
        <v>3700</v>
      </c>
      <c r="G1357" s="38" t="s">
        <v>111</v>
      </c>
      <c r="H1357" s="44">
        <v>44068</v>
      </c>
      <c r="I1357" s="44">
        <v>44069</v>
      </c>
      <c r="J1357">
        <v>563.41999999999996</v>
      </c>
      <c r="K1357">
        <v>200</v>
      </c>
      <c r="L1357" t="s">
        <v>3803</v>
      </c>
      <c r="M1357" s="45" t="s">
        <v>98</v>
      </c>
      <c r="N1357" s="38" t="s">
        <v>230</v>
      </c>
      <c r="O1357" s="38" t="s">
        <v>78</v>
      </c>
      <c r="P1357" s="38" t="s">
        <v>60</v>
      </c>
      <c r="Q1357" s="38" t="s">
        <v>48</v>
      </c>
      <c r="R1357" s="38" t="s">
        <v>270</v>
      </c>
      <c r="S1357" s="38" t="s">
        <v>3804</v>
      </c>
      <c r="T1357" s="38" t="s">
        <v>3805</v>
      </c>
      <c r="U1357" s="38"/>
      <c r="V1357" s="38"/>
      <c r="W1357" s="38"/>
      <c r="X1357" s="14"/>
      <c r="AN1357" s="7" t="s">
        <v>70</v>
      </c>
      <c r="AO1357" s="21">
        <f t="shared" si="68"/>
        <v>0</v>
      </c>
      <c r="AP1357" s="7">
        <f t="shared" si="69"/>
        <v>200</v>
      </c>
      <c r="AQ1357" s="31" t="str">
        <f t="shared" si="67"/>
        <v>Complete - No Adjustment</v>
      </c>
    </row>
    <row r="1358" spans="1:43" x14ac:dyDescent="0.2">
      <c r="A1358" s="46">
        <v>1348</v>
      </c>
      <c r="B1358" s="38" t="s">
        <v>266</v>
      </c>
      <c r="C1358" s="38" t="s">
        <v>77</v>
      </c>
      <c r="D1358" s="38" t="s">
        <v>100</v>
      </c>
      <c r="E1358" s="38" t="s">
        <v>3802</v>
      </c>
      <c r="F1358" s="38" t="s">
        <v>3700</v>
      </c>
      <c r="G1358" s="38" t="s">
        <v>111</v>
      </c>
      <c r="H1358" s="44">
        <v>44068</v>
      </c>
      <c r="I1358" s="44">
        <v>44069</v>
      </c>
      <c r="J1358">
        <v>563.41999999999996</v>
      </c>
      <c r="K1358">
        <v>13.42</v>
      </c>
      <c r="L1358" t="s">
        <v>3803</v>
      </c>
      <c r="M1358" s="45" t="s">
        <v>98</v>
      </c>
      <c r="N1358" s="38" t="s">
        <v>230</v>
      </c>
      <c r="O1358" s="38" t="s">
        <v>78</v>
      </c>
      <c r="P1358" s="38" t="s">
        <v>60</v>
      </c>
      <c r="Q1358" s="38" t="s">
        <v>41</v>
      </c>
      <c r="R1358" s="38" t="s">
        <v>270</v>
      </c>
      <c r="S1358" s="38" t="s">
        <v>3804</v>
      </c>
      <c r="T1358" s="38" t="s">
        <v>3806</v>
      </c>
      <c r="U1358" s="38"/>
      <c r="V1358" s="38"/>
      <c r="W1358" s="38"/>
      <c r="X1358" s="14"/>
      <c r="AN1358" s="7" t="s">
        <v>155</v>
      </c>
      <c r="AO1358" s="21">
        <f t="shared" si="68"/>
        <v>0</v>
      </c>
      <c r="AP1358" s="7">
        <f t="shared" si="69"/>
        <v>13.42</v>
      </c>
      <c r="AQ1358" s="31" t="str">
        <f t="shared" ref="AQ1358:AQ1423" si="70">IF(AO1358&lt;&gt;0,"Complete - With Adjustment","Complete - No Adjustment")</f>
        <v>Complete - No Adjustment</v>
      </c>
    </row>
    <row r="1359" spans="1:43" x14ac:dyDescent="0.2">
      <c r="A1359" s="46">
        <v>1349</v>
      </c>
      <c r="B1359" s="38" t="s">
        <v>266</v>
      </c>
      <c r="C1359" s="38" t="s">
        <v>77</v>
      </c>
      <c r="D1359" s="38" t="s">
        <v>100</v>
      </c>
      <c r="E1359" s="38" t="s">
        <v>3802</v>
      </c>
      <c r="F1359" s="38" t="s">
        <v>3700</v>
      </c>
      <c r="G1359" s="38" t="s">
        <v>111</v>
      </c>
      <c r="H1359" s="44">
        <v>44068</v>
      </c>
      <c r="I1359" s="44">
        <v>44069</v>
      </c>
      <c r="J1359">
        <v>563.41999999999996</v>
      </c>
      <c r="K1359">
        <v>350</v>
      </c>
      <c r="L1359" t="s">
        <v>3803</v>
      </c>
      <c r="M1359" s="45" t="s">
        <v>98</v>
      </c>
      <c r="N1359" s="38" t="s">
        <v>230</v>
      </c>
      <c r="O1359" s="38" t="s">
        <v>78</v>
      </c>
      <c r="P1359" s="38" t="s">
        <v>60</v>
      </c>
      <c r="Q1359" s="38" t="s">
        <v>48</v>
      </c>
      <c r="R1359" s="38" t="s">
        <v>270</v>
      </c>
      <c r="S1359" s="38" t="s">
        <v>3804</v>
      </c>
      <c r="T1359" s="38" t="s">
        <v>3807</v>
      </c>
      <c r="U1359" s="38"/>
      <c r="V1359" s="38"/>
      <c r="W1359" s="38"/>
      <c r="X1359" s="14"/>
      <c r="AN1359" s="7" t="s">
        <v>70</v>
      </c>
      <c r="AO1359" s="21">
        <f t="shared" si="68"/>
        <v>0</v>
      </c>
      <c r="AP1359" s="7">
        <f t="shared" si="69"/>
        <v>350</v>
      </c>
      <c r="AQ1359" s="31" t="str">
        <f t="shared" si="70"/>
        <v>Complete - No Adjustment</v>
      </c>
    </row>
    <row r="1360" spans="1:43" x14ac:dyDescent="0.2">
      <c r="A1360" s="46">
        <v>1350</v>
      </c>
      <c r="B1360" s="38" t="s">
        <v>266</v>
      </c>
      <c r="C1360" s="38" t="s">
        <v>325</v>
      </c>
      <c r="D1360" s="38" t="s">
        <v>324</v>
      </c>
      <c r="E1360" s="38" t="s">
        <v>3808</v>
      </c>
      <c r="F1360" s="38" t="s">
        <v>3727</v>
      </c>
      <c r="G1360" s="38" t="s">
        <v>111</v>
      </c>
      <c r="H1360" s="44">
        <v>44043</v>
      </c>
      <c r="I1360" s="44">
        <v>44047</v>
      </c>
      <c r="J1360">
        <v>16.71</v>
      </c>
      <c r="K1360">
        <v>16.71</v>
      </c>
      <c r="L1360" t="s">
        <v>3809</v>
      </c>
      <c r="M1360" s="45" t="s">
        <v>98</v>
      </c>
      <c r="N1360" s="38" t="s">
        <v>230</v>
      </c>
      <c r="O1360" s="38" t="s">
        <v>288</v>
      </c>
      <c r="P1360" s="38" t="s">
        <v>60</v>
      </c>
      <c r="Q1360" s="38" t="s">
        <v>41</v>
      </c>
      <c r="R1360" s="38" t="s">
        <v>270</v>
      </c>
      <c r="S1360" s="38" t="s">
        <v>3810</v>
      </c>
      <c r="T1360" s="38" t="s">
        <v>3811</v>
      </c>
      <c r="U1360" s="38"/>
      <c r="V1360" s="38"/>
      <c r="W1360" s="38"/>
      <c r="X1360" s="14"/>
      <c r="AN1360" s="7" t="s">
        <v>155</v>
      </c>
      <c r="AO1360" s="21">
        <f t="shared" si="68"/>
        <v>0</v>
      </c>
      <c r="AP1360" s="7">
        <f t="shared" si="69"/>
        <v>16.71</v>
      </c>
      <c r="AQ1360" s="31" t="str">
        <f t="shared" si="70"/>
        <v>Complete - No Adjustment</v>
      </c>
    </row>
    <row r="1361" spans="1:43" x14ac:dyDescent="0.2">
      <c r="A1361" s="46">
        <v>1351</v>
      </c>
      <c r="B1361" s="38" t="s">
        <v>266</v>
      </c>
      <c r="C1361" s="38" t="s">
        <v>325</v>
      </c>
      <c r="D1361" s="38" t="s">
        <v>324</v>
      </c>
      <c r="E1361" s="38" t="s">
        <v>3812</v>
      </c>
      <c r="F1361" s="38" t="s">
        <v>3773</v>
      </c>
      <c r="G1361" s="38" t="s">
        <v>111</v>
      </c>
      <c r="H1361" s="44">
        <v>44068</v>
      </c>
      <c r="I1361" s="44">
        <v>44074</v>
      </c>
      <c r="J1361">
        <v>38.619999999999997</v>
      </c>
      <c r="K1361">
        <v>19.309999999999999</v>
      </c>
      <c r="L1361" t="s">
        <v>3813</v>
      </c>
      <c r="M1361" s="45" t="s">
        <v>98</v>
      </c>
      <c r="N1361" s="38" t="s">
        <v>230</v>
      </c>
      <c r="O1361" s="38" t="s">
        <v>288</v>
      </c>
      <c r="P1361" s="38" t="s">
        <v>60</v>
      </c>
      <c r="Q1361" s="38" t="s">
        <v>41</v>
      </c>
      <c r="R1361" s="38" t="s">
        <v>270</v>
      </c>
      <c r="S1361" s="38" t="s">
        <v>3814</v>
      </c>
      <c r="T1361" s="38" t="s">
        <v>3815</v>
      </c>
      <c r="U1361" s="38"/>
      <c r="V1361" s="38"/>
      <c r="W1361" s="38"/>
      <c r="X1361" s="14"/>
      <c r="AL1361" s="14">
        <f>19.31</f>
        <v>19.309999999999999</v>
      </c>
      <c r="AN1361" s="7" t="s">
        <v>146</v>
      </c>
      <c r="AO1361" s="21">
        <f t="shared" si="68"/>
        <v>19.309999999999999</v>
      </c>
      <c r="AP1361" s="7">
        <f t="shared" si="69"/>
        <v>0</v>
      </c>
      <c r="AQ1361" s="31" t="str">
        <f t="shared" si="70"/>
        <v>Complete - With Adjustment</v>
      </c>
    </row>
    <row r="1362" spans="1:43" x14ac:dyDescent="0.2">
      <c r="A1362" s="46">
        <v>1352</v>
      </c>
      <c r="B1362" s="38" t="s">
        <v>266</v>
      </c>
      <c r="C1362" s="38" t="s">
        <v>325</v>
      </c>
      <c r="D1362" s="38" t="s">
        <v>324</v>
      </c>
      <c r="E1362" s="38" t="s">
        <v>3812</v>
      </c>
      <c r="F1362" s="38" t="s">
        <v>3773</v>
      </c>
      <c r="G1362" s="38" t="s">
        <v>111</v>
      </c>
      <c r="H1362" s="44">
        <v>44068</v>
      </c>
      <c r="I1362" s="44">
        <v>44074</v>
      </c>
      <c r="J1362">
        <v>38.619999999999997</v>
      </c>
      <c r="K1362">
        <v>19.309999999999999</v>
      </c>
      <c r="L1362" t="s">
        <v>3813</v>
      </c>
      <c r="M1362" s="45" t="s">
        <v>98</v>
      </c>
      <c r="N1362" s="38" t="s">
        <v>230</v>
      </c>
      <c r="O1362" s="38" t="s">
        <v>288</v>
      </c>
      <c r="P1362" s="38" t="s">
        <v>60</v>
      </c>
      <c r="Q1362" s="38" t="s">
        <v>41</v>
      </c>
      <c r="R1362" s="38" t="s">
        <v>270</v>
      </c>
      <c r="S1362" s="38" t="s">
        <v>3814</v>
      </c>
      <c r="T1362" s="38" t="s">
        <v>3816</v>
      </c>
      <c r="U1362" s="38"/>
      <c r="V1362" s="38"/>
      <c r="W1362" s="38"/>
      <c r="X1362" s="14"/>
      <c r="AL1362" s="14">
        <f>19.31</f>
        <v>19.309999999999999</v>
      </c>
      <c r="AN1362" s="7" t="s">
        <v>146</v>
      </c>
      <c r="AO1362" s="21">
        <f t="shared" si="68"/>
        <v>19.309999999999999</v>
      </c>
      <c r="AP1362" s="7">
        <f t="shared" si="69"/>
        <v>0</v>
      </c>
      <c r="AQ1362" s="31" t="str">
        <f t="shared" si="70"/>
        <v>Complete - With Adjustment</v>
      </c>
    </row>
    <row r="1363" spans="1:43" x14ac:dyDescent="0.2">
      <c r="A1363" s="46">
        <v>1353</v>
      </c>
      <c r="B1363" s="38" t="s">
        <v>266</v>
      </c>
      <c r="C1363" s="38" t="s">
        <v>232</v>
      </c>
      <c r="D1363" s="38" t="s">
        <v>231</v>
      </c>
      <c r="E1363" s="38" t="s">
        <v>3817</v>
      </c>
      <c r="F1363" s="38" t="s">
        <v>3743</v>
      </c>
      <c r="G1363" s="38" t="s">
        <v>111</v>
      </c>
      <c r="H1363" s="44">
        <v>44067</v>
      </c>
      <c r="I1363" s="44">
        <v>44071</v>
      </c>
      <c r="J1363">
        <v>29.07</v>
      </c>
      <c r="K1363">
        <v>9.83</v>
      </c>
      <c r="L1363" t="s">
        <v>3818</v>
      </c>
      <c r="M1363" s="45" t="s">
        <v>98</v>
      </c>
      <c r="N1363" s="38" t="s">
        <v>230</v>
      </c>
      <c r="O1363" s="38" t="s">
        <v>311</v>
      </c>
      <c r="P1363" s="38" t="s">
        <v>60</v>
      </c>
      <c r="Q1363" s="38" t="s">
        <v>41</v>
      </c>
      <c r="R1363" s="38" t="s">
        <v>270</v>
      </c>
      <c r="S1363" s="38" t="s">
        <v>3819</v>
      </c>
      <c r="T1363" s="38" t="s">
        <v>3820</v>
      </c>
      <c r="U1363" s="38"/>
      <c r="V1363" s="38"/>
      <c r="W1363" s="38"/>
      <c r="X1363" s="14"/>
      <c r="AN1363" s="7" t="s">
        <v>155</v>
      </c>
      <c r="AO1363" s="21">
        <f t="shared" si="68"/>
        <v>0</v>
      </c>
      <c r="AP1363" s="7">
        <f t="shared" si="69"/>
        <v>9.83</v>
      </c>
      <c r="AQ1363" s="31" t="str">
        <f t="shared" si="70"/>
        <v>Complete - No Adjustment</v>
      </c>
    </row>
    <row r="1364" spans="1:43" x14ac:dyDescent="0.2">
      <c r="A1364" s="46">
        <v>1354</v>
      </c>
      <c r="B1364" s="38" t="s">
        <v>266</v>
      </c>
      <c r="C1364" s="38" t="s">
        <v>232</v>
      </c>
      <c r="D1364" s="38" t="s">
        <v>231</v>
      </c>
      <c r="E1364" s="38" t="s">
        <v>3817</v>
      </c>
      <c r="F1364" s="38" t="s">
        <v>3743</v>
      </c>
      <c r="G1364" s="38" t="s">
        <v>111</v>
      </c>
      <c r="H1364" s="44">
        <v>44067</v>
      </c>
      <c r="I1364" s="44">
        <v>44071</v>
      </c>
      <c r="J1364">
        <v>29.07</v>
      </c>
      <c r="K1364">
        <v>8.2200000000000006</v>
      </c>
      <c r="L1364" t="s">
        <v>3818</v>
      </c>
      <c r="M1364" s="45" t="s">
        <v>98</v>
      </c>
      <c r="N1364" s="38" t="s">
        <v>230</v>
      </c>
      <c r="O1364" s="38" t="s">
        <v>311</v>
      </c>
      <c r="P1364" s="38" t="s">
        <v>60</v>
      </c>
      <c r="Q1364" s="38" t="s">
        <v>41</v>
      </c>
      <c r="R1364" s="38" t="s">
        <v>270</v>
      </c>
      <c r="S1364" s="38" t="s">
        <v>3819</v>
      </c>
      <c r="T1364" s="38" t="s">
        <v>3820</v>
      </c>
      <c r="U1364" s="38"/>
      <c r="V1364" s="38"/>
      <c r="W1364" s="38"/>
      <c r="X1364" s="14"/>
      <c r="AN1364" s="7" t="s">
        <v>155</v>
      </c>
      <c r="AO1364" s="21">
        <f t="shared" si="68"/>
        <v>0</v>
      </c>
      <c r="AP1364" s="7">
        <f t="shared" si="69"/>
        <v>8.2200000000000006</v>
      </c>
      <c r="AQ1364" s="31" t="str">
        <f t="shared" si="70"/>
        <v>Complete - No Adjustment</v>
      </c>
    </row>
    <row r="1365" spans="1:43" x14ac:dyDescent="0.2">
      <c r="A1365" s="46">
        <v>1355</v>
      </c>
      <c r="B1365" s="38" t="s">
        <v>266</v>
      </c>
      <c r="C1365" s="38" t="s">
        <v>232</v>
      </c>
      <c r="D1365" s="38" t="s">
        <v>231</v>
      </c>
      <c r="E1365" s="38" t="s">
        <v>3817</v>
      </c>
      <c r="F1365" s="38" t="s">
        <v>3743</v>
      </c>
      <c r="G1365" s="38" t="s">
        <v>111</v>
      </c>
      <c r="H1365" s="44">
        <v>44067</v>
      </c>
      <c r="I1365" s="44">
        <v>44071</v>
      </c>
      <c r="J1365">
        <v>29.07</v>
      </c>
      <c r="K1365">
        <v>11.02</v>
      </c>
      <c r="L1365" t="s">
        <v>3818</v>
      </c>
      <c r="M1365" s="45" t="s">
        <v>98</v>
      </c>
      <c r="N1365" s="38" t="s">
        <v>230</v>
      </c>
      <c r="O1365" s="38" t="s">
        <v>311</v>
      </c>
      <c r="P1365" s="38" t="s">
        <v>60</v>
      </c>
      <c r="Q1365" s="38" t="s">
        <v>41</v>
      </c>
      <c r="R1365" s="38" t="s">
        <v>270</v>
      </c>
      <c r="S1365" s="38" t="s">
        <v>3819</v>
      </c>
      <c r="T1365" s="38" t="s">
        <v>3820</v>
      </c>
      <c r="U1365" s="38"/>
      <c r="V1365" s="38"/>
      <c r="W1365" s="38"/>
      <c r="X1365" s="14"/>
      <c r="AN1365" s="7" t="s">
        <v>155</v>
      </c>
      <c r="AO1365" s="21">
        <f t="shared" si="68"/>
        <v>0</v>
      </c>
      <c r="AP1365" s="7">
        <f t="shared" si="69"/>
        <v>11.02</v>
      </c>
      <c r="AQ1365" s="31" t="str">
        <f t="shared" si="70"/>
        <v>Complete - No Adjustment</v>
      </c>
    </row>
    <row r="1366" spans="1:43" x14ac:dyDescent="0.2">
      <c r="A1366" s="46">
        <v>1356</v>
      </c>
      <c r="B1366" s="38" t="s">
        <v>266</v>
      </c>
      <c r="C1366" s="38" t="s">
        <v>670</v>
      </c>
      <c r="D1366" s="38" t="s">
        <v>2277</v>
      </c>
      <c r="E1366" s="38" t="s">
        <v>3821</v>
      </c>
      <c r="F1366" s="38" t="s">
        <v>3822</v>
      </c>
      <c r="G1366" s="38" t="s">
        <v>111</v>
      </c>
      <c r="H1366" s="44">
        <v>44033</v>
      </c>
      <c r="I1366" s="44">
        <v>44064</v>
      </c>
      <c r="J1366">
        <v>12.99</v>
      </c>
      <c r="K1366">
        <v>1</v>
      </c>
      <c r="L1366" t="s">
        <v>3823</v>
      </c>
      <c r="M1366" s="45" t="s">
        <v>98</v>
      </c>
      <c r="N1366" s="38" t="s">
        <v>230</v>
      </c>
      <c r="O1366" s="38" t="s">
        <v>592</v>
      </c>
      <c r="P1366" s="38" t="s">
        <v>60</v>
      </c>
      <c r="Q1366" s="38" t="s">
        <v>41</v>
      </c>
      <c r="R1366" s="38" t="s">
        <v>270</v>
      </c>
      <c r="S1366" s="38" t="s">
        <v>3824</v>
      </c>
      <c r="T1366" s="38" t="s">
        <v>3825</v>
      </c>
      <c r="U1366" s="38"/>
      <c r="V1366" s="38"/>
      <c r="W1366" s="38"/>
      <c r="X1366" s="14"/>
      <c r="AN1366" s="7" t="s">
        <v>155</v>
      </c>
      <c r="AO1366" s="21">
        <f t="shared" si="68"/>
        <v>0</v>
      </c>
      <c r="AP1366" s="7">
        <f t="shared" si="69"/>
        <v>1</v>
      </c>
      <c r="AQ1366" s="31" t="str">
        <f t="shared" si="70"/>
        <v>Complete - No Adjustment</v>
      </c>
    </row>
    <row r="1367" spans="1:43" x14ac:dyDescent="0.2">
      <c r="A1367" s="46">
        <v>1357</v>
      </c>
      <c r="B1367" s="38" t="s">
        <v>266</v>
      </c>
      <c r="C1367" s="38" t="s">
        <v>670</v>
      </c>
      <c r="D1367" s="38" t="s">
        <v>2277</v>
      </c>
      <c r="E1367" s="38" t="s">
        <v>3821</v>
      </c>
      <c r="F1367" s="38" t="s">
        <v>3822</v>
      </c>
      <c r="G1367" s="38" t="s">
        <v>111</v>
      </c>
      <c r="H1367" s="44">
        <v>44033</v>
      </c>
      <c r="I1367" s="44">
        <v>44064</v>
      </c>
      <c r="J1367">
        <v>12.99</v>
      </c>
      <c r="K1367">
        <v>11.99</v>
      </c>
      <c r="L1367" t="s">
        <v>3823</v>
      </c>
      <c r="M1367" s="45" t="s">
        <v>98</v>
      </c>
      <c r="N1367" s="38" t="s">
        <v>230</v>
      </c>
      <c r="O1367" s="38" t="s">
        <v>592</v>
      </c>
      <c r="P1367" s="38" t="s">
        <v>60</v>
      </c>
      <c r="Q1367" s="38" t="s">
        <v>41</v>
      </c>
      <c r="R1367" s="38" t="s">
        <v>270</v>
      </c>
      <c r="S1367" s="38" t="s">
        <v>3824</v>
      </c>
      <c r="T1367" s="38" t="s">
        <v>3826</v>
      </c>
      <c r="U1367" s="38"/>
      <c r="V1367" s="38"/>
      <c r="W1367" s="38"/>
      <c r="X1367" s="14"/>
      <c r="AN1367" s="7" t="s">
        <v>155</v>
      </c>
      <c r="AO1367" s="21">
        <f t="shared" si="68"/>
        <v>0</v>
      </c>
      <c r="AP1367" s="7">
        <f t="shared" si="69"/>
        <v>11.99</v>
      </c>
      <c r="AQ1367" s="31" t="str">
        <f t="shared" si="70"/>
        <v>Complete - No Adjustment</v>
      </c>
    </row>
    <row r="1368" spans="1:43" x14ac:dyDescent="0.2">
      <c r="A1368" s="46">
        <v>1358</v>
      </c>
      <c r="B1368" s="38" t="s">
        <v>266</v>
      </c>
      <c r="C1368" s="38" t="s">
        <v>336</v>
      </c>
      <c r="D1368" s="38" t="s">
        <v>335</v>
      </c>
      <c r="E1368" s="38" t="s">
        <v>3827</v>
      </c>
      <c r="F1368" s="38" t="s">
        <v>3738</v>
      </c>
      <c r="G1368" s="38" t="s">
        <v>111</v>
      </c>
      <c r="H1368" s="44">
        <v>44049</v>
      </c>
      <c r="I1368" s="44">
        <v>44053</v>
      </c>
      <c r="J1368">
        <v>13</v>
      </c>
      <c r="K1368">
        <v>13</v>
      </c>
      <c r="L1368" t="s">
        <v>3828</v>
      </c>
      <c r="M1368" s="45" t="s">
        <v>98</v>
      </c>
      <c r="N1368" s="38" t="s">
        <v>230</v>
      </c>
      <c r="O1368" s="38" t="s">
        <v>271</v>
      </c>
      <c r="P1368" s="38" t="s">
        <v>60</v>
      </c>
      <c r="Q1368" s="38" t="s">
        <v>41</v>
      </c>
      <c r="R1368" s="38" t="s">
        <v>270</v>
      </c>
      <c r="S1368" s="38" t="s">
        <v>3829</v>
      </c>
      <c r="T1368" s="38" t="s">
        <v>3830</v>
      </c>
      <c r="U1368" s="38"/>
      <c r="V1368" s="38"/>
      <c r="W1368" s="38"/>
      <c r="X1368" s="14"/>
      <c r="AN1368" s="7" t="s">
        <v>155</v>
      </c>
      <c r="AO1368" s="21">
        <f t="shared" si="68"/>
        <v>0</v>
      </c>
      <c r="AP1368" s="7">
        <f t="shared" si="69"/>
        <v>13</v>
      </c>
      <c r="AQ1368" s="31" t="str">
        <f t="shared" si="70"/>
        <v>Complete - No Adjustment</v>
      </c>
    </row>
    <row r="1369" spans="1:43" x14ac:dyDescent="0.2">
      <c r="A1369" s="46">
        <v>1359</v>
      </c>
      <c r="B1369" s="38" t="s">
        <v>266</v>
      </c>
      <c r="C1369" s="38" t="s">
        <v>780</v>
      </c>
      <c r="D1369" s="38" t="s">
        <v>798</v>
      </c>
      <c r="E1369" s="38" t="s">
        <v>3831</v>
      </c>
      <c r="F1369" s="38" t="s">
        <v>3753</v>
      </c>
      <c r="G1369" s="38" t="s">
        <v>111</v>
      </c>
      <c r="H1369" s="44">
        <v>44043</v>
      </c>
      <c r="I1369" s="44">
        <v>44046</v>
      </c>
      <c r="J1369">
        <v>25.2</v>
      </c>
      <c r="K1369">
        <v>25.2</v>
      </c>
      <c r="L1369" t="s">
        <v>3832</v>
      </c>
      <c r="M1369" s="45" t="s">
        <v>98</v>
      </c>
      <c r="N1369" s="38" t="s">
        <v>230</v>
      </c>
      <c r="O1369" s="38" t="s">
        <v>288</v>
      </c>
      <c r="P1369" s="38" t="s">
        <v>60</v>
      </c>
      <c r="Q1369" s="38" t="s">
        <v>41</v>
      </c>
      <c r="R1369" s="38" t="s">
        <v>270</v>
      </c>
      <c r="S1369" s="38" t="s">
        <v>1135</v>
      </c>
      <c r="T1369" s="38" t="s">
        <v>1136</v>
      </c>
      <c r="U1369" s="38"/>
      <c r="V1369" s="38"/>
      <c r="W1369" s="38"/>
      <c r="X1369" s="14"/>
      <c r="AN1369" s="7" t="s">
        <v>155</v>
      </c>
      <c r="AO1369" s="21">
        <f t="shared" si="68"/>
        <v>0</v>
      </c>
      <c r="AP1369" s="7">
        <f t="shared" si="69"/>
        <v>25.2</v>
      </c>
      <c r="AQ1369" s="31" t="str">
        <f t="shared" si="70"/>
        <v>Complete - No Adjustment</v>
      </c>
    </row>
    <row r="1370" spans="1:43" x14ac:dyDescent="0.2">
      <c r="A1370" s="46">
        <v>1360</v>
      </c>
      <c r="B1370" s="38" t="s">
        <v>266</v>
      </c>
      <c r="C1370" s="38" t="s">
        <v>780</v>
      </c>
      <c r="D1370" s="38" t="s">
        <v>798</v>
      </c>
      <c r="E1370" s="38" t="s">
        <v>3833</v>
      </c>
      <c r="F1370" s="38" t="s">
        <v>3773</v>
      </c>
      <c r="G1370" s="38" t="s">
        <v>111</v>
      </c>
      <c r="H1370" s="44">
        <v>44070</v>
      </c>
      <c r="I1370" s="44">
        <v>44074</v>
      </c>
      <c r="J1370">
        <v>25.79</v>
      </c>
      <c r="K1370">
        <v>25.79</v>
      </c>
      <c r="L1370" t="s">
        <v>3834</v>
      </c>
      <c r="M1370" s="45" t="s">
        <v>98</v>
      </c>
      <c r="N1370" s="38" t="s">
        <v>230</v>
      </c>
      <c r="O1370" s="38" t="s">
        <v>288</v>
      </c>
      <c r="P1370" s="38" t="s">
        <v>60</v>
      </c>
      <c r="Q1370" s="38" t="s">
        <v>41</v>
      </c>
      <c r="R1370" s="38" t="s">
        <v>270</v>
      </c>
      <c r="S1370" s="38" t="s">
        <v>3835</v>
      </c>
      <c r="T1370" s="38" t="s">
        <v>3836</v>
      </c>
      <c r="U1370" s="38"/>
      <c r="V1370" s="38"/>
      <c r="W1370" s="38"/>
      <c r="X1370" s="14"/>
      <c r="AN1370" s="7" t="s">
        <v>155</v>
      </c>
      <c r="AO1370" s="21">
        <f t="shared" si="68"/>
        <v>0</v>
      </c>
      <c r="AP1370" s="7">
        <f t="shared" si="69"/>
        <v>25.79</v>
      </c>
      <c r="AQ1370" s="31" t="str">
        <f t="shared" si="70"/>
        <v>Complete - No Adjustment</v>
      </c>
    </row>
    <row r="1371" spans="1:43" x14ac:dyDescent="0.2">
      <c r="A1371" s="46">
        <v>1361</v>
      </c>
      <c r="B1371" s="38" t="s">
        <v>266</v>
      </c>
      <c r="C1371" s="38" t="s">
        <v>780</v>
      </c>
      <c r="D1371" s="38" t="s">
        <v>798</v>
      </c>
      <c r="E1371" s="38" t="s">
        <v>3837</v>
      </c>
      <c r="F1371" s="38" t="s">
        <v>3758</v>
      </c>
      <c r="G1371" s="38" t="s">
        <v>111</v>
      </c>
      <c r="H1371" s="44">
        <v>44048</v>
      </c>
      <c r="I1371" s="44">
        <v>44049</v>
      </c>
      <c r="J1371">
        <v>25.82</v>
      </c>
      <c r="K1371">
        <v>25.82</v>
      </c>
      <c r="L1371" t="s">
        <v>3838</v>
      </c>
      <c r="M1371" s="45" t="s">
        <v>98</v>
      </c>
      <c r="N1371" s="38" t="s">
        <v>230</v>
      </c>
      <c r="O1371" s="38" t="s">
        <v>288</v>
      </c>
      <c r="P1371" s="38" t="s">
        <v>60</v>
      </c>
      <c r="Q1371" s="38" t="s">
        <v>41</v>
      </c>
      <c r="R1371" s="38" t="s">
        <v>270</v>
      </c>
      <c r="S1371" s="38" t="s">
        <v>1130</v>
      </c>
      <c r="T1371" s="38" t="s">
        <v>1131</v>
      </c>
      <c r="U1371" s="38"/>
      <c r="V1371" s="38"/>
      <c r="W1371" s="38"/>
      <c r="X1371" s="14"/>
      <c r="AN1371" s="7" t="s">
        <v>155</v>
      </c>
      <c r="AO1371" s="21">
        <f t="shared" si="68"/>
        <v>0</v>
      </c>
      <c r="AP1371" s="7">
        <f t="shared" si="69"/>
        <v>25.82</v>
      </c>
      <c r="AQ1371" s="31" t="str">
        <f t="shared" si="70"/>
        <v>Complete - No Adjustment</v>
      </c>
    </row>
    <row r="1372" spans="1:43" x14ac:dyDescent="0.2">
      <c r="A1372" s="46">
        <v>1362</v>
      </c>
      <c r="B1372" s="38" t="s">
        <v>266</v>
      </c>
      <c r="C1372" s="38" t="s">
        <v>780</v>
      </c>
      <c r="D1372" s="38" t="s">
        <v>798</v>
      </c>
      <c r="E1372" s="38" t="s">
        <v>3839</v>
      </c>
      <c r="F1372" s="38" t="s">
        <v>3780</v>
      </c>
      <c r="G1372" s="38" t="s">
        <v>111</v>
      </c>
      <c r="H1372" s="44">
        <v>44065</v>
      </c>
      <c r="I1372" s="44">
        <v>44068</v>
      </c>
      <c r="J1372">
        <v>26.14</v>
      </c>
      <c r="K1372">
        <v>26.14</v>
      </c>
      <c r="L1372" t="s">
        <v>3840</v>
      </c>
      <c r="M1372" s="45" t="s">
        <v>98</v>
      </c>
      <c r="N1372" s="38" t="s">
        <v>230</v>
      </c>
      <c r="O1372" s="38" t="s">
        <v>288</v>
      </c>
      <c r="P1372" s="38" t="s">
        <v>60</v>
      </c>
      <c r="Q1372" s="38" t="s">
        <v>41</v>
      </c>
      <c r="R1372" s="38" t="s">
        <v>270</v>
      </c>
      <c r="S1372" s="38" t="s">
        <v>3841</v>
      </c>
      <c r="T1372" s="38" t="s">
        <v>3842</v>
      </c>
      <c r="U1372" s="38"/>
      <c r="V1372" s="38"/>
      <c r="W1372" s="38"/>
      <c r="X1372" s="14"/>
      <c r="AN1372" s="7" t="s">
        <v>155</v>
      </c>
      <c r="AO1372" s="21">
        <f t="shared" si="68"/>
        <v>0</v>
      </c>
      <c r="AP1372" s="7">
        <f t="shared" si="69"/>
        <v>26.14</v>
      </c>
      <c r="AQ1372" s="31" t="str">
        <f t="shared" si="70"/>
        <v>Complete - No Adjustment</v>
      </c>
    </row>
    <row r="1373" spans="1:43" x14ac:dyDescent="0.2">
      <c r="A1373" s="46">
        <v>1363</v>
      </c>
      <c r="B1373" s="38" t="s">
        <v>266</v>
      </c>
      <c r="C1373" s="38" t="s">
        <v>780</v>
      </c>
      <c r="D1373" s="38" t="s">
        <v>798</v>
      </c>
      <c r="E1373" s="38" t="s">
        <v>3843</v>
      </c>
      <c r="F1373" s="38" t="s">
        <v>3844</v>
      </c>
      <c r="G1373" s="38" t="s">
        <v>111</v>
      </c>
      <c r="H1373" s="44">
        <v>44055</v>
      </c>
      <c r="I1373" s="44">
        <v>44056</v>
      </c>
      <c r="J1373">
        <v>27.15</v>
      </c>
      <c r="K1373">
        <v>27.15</v>
      </c>
      <c r="L1373" t="s">
        <v>3845</v>
      </c>
      <c r="M1373" s="45" t="s">
        <v>98</v>
      </c>
      <c r="N1373" s="38" t="s">
        <v>230</v>
      </c>
      <c r="O1373" s="38" t="s">
        <v>288</v>
      </c>
      <c r="P1373" s="38" t="s">
        <v>60</v>
      </c>
      <c r="Q1373" s="38" t="s">
        <v>41</v>
      </c>
      <c r="R1373" s="38" t="s">
        <v>270</v>
      </c>
      <c r="S1373" s="38" t="s">
        <v>3181</v>
      </c>
      <c r="T1373" s="38" t="s">
        <v>3182</v>
      </c>
      <c r="U1373" s="38"/>
      <c r="V1373" s="38"/>
      <c r="W1373" s="38"/>
      <c r="X1373" s="14"/>
      <c r="AN1373" s="7" t="s">
        <v>155</v>
      </c>
      <c r="AO1373" s="21">
        <f t="shared" si="68"/>
        <v>0</v>
      </c>
      <c r="AP1373" s="7">
        <f t="shared" si="69"/>
        <v>27.15</v>
      </c>
      <c r="AQ1373" s="31" t="str">
        <f t="shared" si="70"/>
        <v>Complete - No Adjustment</v>
      </c>
    </row>
    <row r="1374" spans="1:43" x14ac:dyDescent="0.2">
      <c r="A1374" s="46">
        <v>1364</v>
      </c>
      <c r="B1374" s="38" t="s">
        <v>266</v>
      </c>
      <c r="C1374" s="38" t="s">
        <v>346</v>
      </c>
      <c r="D1374" s="38" t="s">
        <v>345</v>
      </c>
      <c r="E1374" s="38" t="s">
        <v>3846</v>
      </c>
      <c r="F1374" s="38" t="s">
        <v>3847</v>
      </c>
      <c r="G1374" s="38" t="s">
        <v>111</v>
      </c>
      <c r="H1374" s="44">
        <v>44054</v>
      </c>
      <c r="I1374" s="44">
        <v>44061</v>
      </c>
      <c r="J1374">
        <v>1884.47</v>
      </c>
      <c r="K1374">
        <v>107.82</v>
      </c>
      <c r="L1374" t="s">
        <v>3848</v>
      </c>
      <c r="M1374" s="45" t="s">
        <v>98</v>
      </c>
      <c r="N1374" s="38" t="s">
        <v>230</v>
      </c>
      <c r="O1374" s="38" t="s">
        <v>347</v>
      </c>
      <c r="P1374" s="38" t="s">
        <v>60</v>
      </c>
      <c r="Q1374" s="38" t="s">
        <v>41</v>
      </c>
      <c r="R1374" s="38" t="s">
        <v>270</v>
      </c>
      <c r="S1374" s="38" t="s">
        <v>3849</v>
      </c>
      <c r="T1374" s="38" t="s">
        <v>3850</v>
      </c>
      <c r="U1374" s="38"/>
      <c r="V1374" s="38"/>
      <c r="W1374" s="38"/>
      <c r="X1374" s="14"/>
      <c r="AN1374" s="7" t="s">
        <v>70</v>
      </c>
      <c r="AO1374" s="21">
        <f t="shared" si="68"/>
        <v>0</v>
      </c>
      <c r="AP1374" s="7">
        <f t="shared" si="69"/>
        <v>107.82</v>
      </c>
      <c r="AQ1374" s="31" t="str">
        <f t="shared" si="70"/>
        <v>Complete - No Adjustment</v>
      </c>
    </row>
    <row r="1375" spans="1:43" x14ac:dyDescent="0.2">
      <c r="A1375" s="46">
        <v>1365</v>
      </c>
      <c r="B1375" s="38" t="s">
        <v>266</v>
      </c>
      <c r="C1375" s="38" t="s">
        <v>346</v>
      </c>
      <c r="D1375" s="38" t="s">
        <v>345</v>
      </c>
      <c r="E1375" s="38" t="s">
        <v>3846</v>
      </c>
      <c r="F1375" s="38" t="s">
        <v>3847</v>
      </c>
      <c r="G1375" s="38" t="s">
        <v>111</v>
      </c>
      <c r="H1375" s="44">
        <v>44054</v>
      </c>
      <c r="I1375" s="44">
        <v>44061</v>
      </c>
      <c r="J1375">
        <v>1884.47</v>
      </c>
      <c r="K1375">
        <v>143.25</v>
      </c>
      <c r="L1375" t="s">
        <v>3848</v>
      </c>
      <c r="M1375" s="45" t="s">
        <v>98</v>
      </c>
      <c r="N1375" s="38" t="s">
        <v>230</v>
      </c>
      <c r="O1375" s="38" t="s">
        <v>347</v>
      </c>
      <c r="P1375" s="38" t="s">
        <v>60</v>
      </c>
      <c r="Q1375" s="38" t="s">
        <v>174</v>
      </c>
      <c r="R1375" s="38" t="s">
        <v>270</v>
      </c>
      <c r="S1375" s="38" t="s">
        <v>3849</v>
      </c>
      <c r="T1375" s="38" t="s">
        <v>3851</v>
      </c>
      <c r="U1375" s="38"/>
      <c r="V1375" s="38"/>
      <c r="W1375" s="38"/>
      <c r="X1375" s="14"/>
      <c r="AN1375" s="7" t="s">
        <v>70</v>
      </c>
      <c r="AO1375" s="21">
        <f t="shared" si="68"/>
        <v>0</v>
      </c>
      <c r="AP1375" s="7">
        <f t="shared" si="69"/>
        <v>143.25</v>
      </c>
      <c r="AQ1375" s="31" t="str">
        <f t="shared" si="70"/>
        <v>Complete - No Adjustment</v>
      </c>
    </row>
    <row r="1376" spans="1:43" x14ac:dyDescent="0.2">
      <c r="A1376" s="46">
        <v>1366</v>
      </c>
      <c r="B1376" s="38" t="s">
        <v>266</v>
      </c>
      <c r="C1376" s="38" t="s">
        <v>346</v>
      </c>
      <c r="D1376" s="38" t="s">
        <v>345</v>
      </c>
      <c r="E1376" s="38" t="s">
        <v>3846</v>
      </c>
      <c r="F1376" s="38" t="s">
        <v>3847</v>
      </c>
      <c r="G1376" s="38" t="s">
        <v>111</v>
      </c>
      <c r="H1376" s="44">
        <v>44054</v>
      </c>
      <c r="I1376" s="44">
        <v>44061</v>
      </c>
      <c r="J1376">
        <v>1884.47</v>
      </c>
      <c r="K1376">
        <v>308.77999999999997</v>
      </c>
      <c r="L1376" t="s">
        <v>3848</v>
      </c>
      <c r="M1376" s="45" t="s">
        <v>98</v>
      </c>
      <c r="N1376" s="38" t="s">
        <v>230</v>
      </c>
      <c r="O1376" s="38" t="s">
        <v>347</v>
      </c>
      <c r="P1376" s="38" t="s">
        <v>60</v>
      </c>
      <c r="Q1376" s="38" t="s">
        <v>44</v>
      </c>
      <c r="R1376" s="38" t="s">
        <v>270</v>
      </c>
      <c r="S1376" s="38" t="s">
        <v>3849</v>
      </c>
      <c r="T1376" s="38" t="s">
        <v>3852</v>
      </c>
      <c r="U1376" s="38"/>
      <c r="V1376" s="38"/>
      <c r="W1376" s="38"/>
      <c r="X1376" s="14"/>
      <c r="AN1376" s="7" t="s">
        <v>70</v>
      </c>
      <c r="AO1376" s="21">
        <f t="shared" si="68"/>
        <v>0</v>
      </c>
      <c r="AP1376" s="7">
        <f t="shared" si="69"/>
        <v>308.77999999999997</v>
      </c>
      <c r="AQ1376" s="31" t="str">
        <f t="shared" si="70"/>
        <v>Complete - No Adjustment</v>
      </c>
    </row>
    <row r="1377" spans="1:45" x14ac:dyDescent="0.2">
      <c r="A1377" s="46">
        <v>1367</v>
      </c>
      <c r="B1377" s="38" t="s">
        <v>266</v>
      </c>
      <c r="C1377" s="38" t="s">
        <v>346</v>
      </c>
      <c r="D1377" s="38" t="s">
        <v>345</v>
      </c>
      <c r="E1377" s="38" t="s">
        <v>3846</v>
      </c>
      <c r="F1377" s="38" t="s">
        <v>3847</v>
      </c>
      <c r="G1377" s="38" t="s">
        <v>111</v>
      </c>
      <c r="H1377" s="44">
        <v>44054</v>
      </c>
      <c r="I1377" s="44">
        <v>44061</v>
      </c>
      <c r="J1377">
        <v>1884.47</v>
      </c>
      <c r="K1377">
        <v>67.849999999999994</v>
      </c>
      <c r="L1377" t="s">
        <v>3848</v>
      </c>
      <c r="M1377" s="45" t="s">
        <v>98</v>
      </c>
      <c r="N1377" s="38" t="s">
        <v>230</v>
      </c>
      <c r="O1377" s="38" t="s">
        <v>347</v>
      </c>
      <c r="P1377" s="38" t="s">
        <v>60</v>
      </c>
      <c r="Q1377" s="38" t="s">
        <v>44</v>
      </c>
      <c r="R1377" s="38" t="s">
        <v>270</v>
      </c>
      <c r="S1377" s="38" t="s">
        <v>3849</v>
      </c>
      <c r="T1377" s="38" t="s">
        <v>3853</v>
      </c>
      <c r="U1377" s="38"/>
      <c r="V1377" s="38"/>
      <c r="W1377" s="38"/>
      <c r="X1377" s="14"/>
      <c r="AN1377" s="7" t="s">
        <v>70</v>
      </c>
      <c r="AO1377" s="21">
        <f t="shared" si="68"/>
        <v>0</v>
      </c>
      <c r="AP1377" s="7">
        <f t="shared" si="69"/>
        <v>67.849999999999994</v>
      </c>
      <c r="AQ1377" s="31" t="str">
        <f t="shared" si="70"/>
        <v>Complete - No Adjustment</v>
      </c>
    </row>
    <row r="1378" spans="1:45" x14ac:dyDescent="0.2">
      <c r="A1378" s="46">
        <v>1368</v>
      </c>
      <c r="B1378" s="38" t="s">
        <v>266</v>
      </c>
      <c r="C1378" s="38" t="s">
        <v>346</v>
      </c>
      <c r="D1378" s="38" t="s">
        <v>345</v>
      </c>
      <c r="E1378" s="38" t="s">
        <v>3846</v>
      </c>
      <c r="F1378" s="38" t="s">
        <v>3847</v>
      </c>
      <c r="G1378" s="38" t="s">
        <v>111</v>
      </c>
      <c r="H1378" s="44">
        <v>44054</v>
      </c>
      <c r="I1378" s="44">
        <v>44061</v>
      </c>
      <c r="J1378">
        <v>1884.47</v>
      </c>
      <c r="K1378">
        <v>49.97</v>
      </c>
      <c r="L1378" t="s">
        <v>3848</v>
      </c>
      <c r="M1378" s="45" t="s">
        <v>98</v>
      </c>
      <c r="N1378" s="38" t="s">
        <v>230</v>
      </c>
      <c r="O1378" s="38" t="s">
        <v>347</v>
      </c>
      <c r="P1378" s="38" t="s">
        <v>60</v>
      </c>
      <c r="Q1378" s="38" t="s">
        <v>41</v>
      </c>
      <c r="R1378" s="38" t="s">
        <v>270</v>
      </c>
      <c r="S1378" s="38" t="s">
        <v>3849</v>
      </c>
      <c r="T1378" s="38" t="s">
        <v>3854</v>
      </c>
      <c r="U1378" s="38"/>
      <c r="V1378" s="38"/>
      <c r="W1378" s="38"/>
      <c r="X1378" s="14"/>
      <c r="AN1378" s="7" t="s">
        <v>70</v>
      </c>
      <c r="AO1378" s="21">
        <f t="shared" si="68"/>
        <v>0</v>
      </c>
      <c r="AP1378" s="7">
        <f t="shared" si="69"/>
        <v>49.97</v>
      </c>
      <c r="AQ1378" s="31" t="str">
        <f t="shared" si="70"/>
        <v>Complete - No Adjustment</v>
      </c>
    </row>
    <row r="1379" spans="1:45" x14ac:dyDescent="0.2">
      <c r="A1379" s="46">
        <v>1369</v>
      </c>
      <c r="B1379" s="38" t="s">
        <v>266</v>
      </c>
      <c r="C1379" s="38" t="s">
        <v>346</v>
      </c>
      <c r="D1379" s="38" t="s">
        <v>345</v>
      </c>
      <c r="E1379" s="38" t="s">
        <v>3846</v>
      </c>
      <c r="F1379" s="38" t="s">
        <v>3847</v>
      </c>
      <c r="G1379" s="38" t="s">
        <v>111</v>
      </c>
      <c r="H1379" s="44">
        <v>44054</v>
      </c>
      <c r="I1379" s="44">
        <v>44061</v>
      </c>
      <c r="J1379">
        <v>1884.47</v>
      </c>
      <c r="K1379">
        <v>67.849999999999994</v>
      </c>
      <c r="L1379" t="s">
        <v>3848</v>
      </c>
      <c r="M1379" s="45" t="s">
        <v>98</v>
      </c>
      <c r="N1379" s="38" t="s">
        <v>230</v>
      </c>
      <c r="O1379" s="38" t="s">
        <v>347</v>
      </c>
      <c r="P1379" s="38" t="s">
        <v>60</v>
      </c>
      <c r="Q1379" s="38" t="s">
        <v>44</v>
      </c>
      <c r="R1379" s="38" t="s">
        <v>270</v>
      </c>
      <c r="S1379" s="38" t="s">
        <v>3849</v>
      </c>
      <c r="T1379" s="38" t="s">
        <v>3855</v>
      </c>
      <c r="U1379" s="38"/>
      <c r="V1379" s="38"/>
      <c r="W1379" s="38"/>
      <c r="X1379" s="14"/>
      <c r="AN1379" s="7" t="s">
        <v>70</v>
      </c>
      <c r="AO1379" s="21">
        <f t="shared" si="68"/>
        <v>0</v>
      </c>
      <c r="AP1379" s="7">
        <f t="shared" si="69"/>
        <v>67.849999999999994</v>
      </c>
      <c r="AQ1379" s="31" t="str">
        <f t="shared" si="70"/>
        <v>Complete - No Adjustment</v>
      </c>
    </row>
    <row r="1380" spans="1:45" x14ac:dyDescent="0.2">
      <c r="A1380" s="46">
        <v>1370</v>
      </c>
      <c r="B1380" s="38" t="s">
        <v>266</v>
      </c>
      <c r="C1380" s="38" t="s">
        <v>346</v>
      </c>
      <c r="D1380" s="38" t="s">
        <v>345</v>
      </c>
      <c r="E1380" s="38" t="s">
        <v>3846</v>
      </c>
      <c r="F1380" s="38" t="s">
        <v>3847</v>
      </c>
      <c r="G1380" s="38" t="s">
        <v>111</v>
      </c>
      <c r="H1380" s="44">
        <v>44054</v>
      </c>
      <c r="I1380" s="44">
        <v>44061</v>
      </c>
      <c r="J1380">
        <v>1884.47</v>
      </c>
      <c r="K1380">
        <v>108.1</v>
      </c>
      <c r="L1380" t="s">
        <v>3848</v>
      </c>
      <c r="M1380" s="45" t="s">
        <v>98</v>
      </c>
      <c r="N1380" s="38" t="s">
        <v>230</v>
      </c>
      <c r="O1380" s="38" t="s">
        <v>347</v>
      </c>
      <c r="P1380" s="38" t="s">
        <v>60</v>
      </c>
      <c r="Q1380" s="38" t="s">
        <v>44</v>
      </c>
      <c r="R1380" s="38" t="s">
        <v>270</v>
      </c>
      <c r="S1380" s="38" t="s">
        <v>3849</v>
      </c>
      <c r="T1380" s="38" t="s">
        <v>3856</v>
      </c>
      <c r="U1380" s="38"/>
      <c r="V1380" s="38"/>
      <c r="W1380" s="38"/>
      <c r="X1380" s="14"/>
      <c r="AN1380" s="7" t="s">
        <v>70</v>
      </c>
      <c r="AO1380" s="21">
        <f t="shared" si="68"/>
        <v>0</v>
      </c>
      <c r="AP1380" s="7">
        <f t="shared" si="69"/>
        <v>108.1</v>
      </c>
      <c r="AQ1380" s="31" t="str">
        <f t="shared" si="70"/>
        <v>Complete - No Adjustment</v>
      </c>
    </row>
    <row r="1381" spans="1:45" x14ac:dyDescent="0.2">
      <c r="A1381" s="46">
        <v>1371</v>
      </c>
      <c r="B1381" s="38" t="s">
        <v>266</v>
      </c>
      <c r="C1381" s="38" t="s">
        <v>346</v>
      </c>
      <c r="D1381" s="38" t="s">
        <v>345</v>
      </c>
      <c r="E1381" s="38" t="s">
        <v>3846</v>
      </c>
      <c r="F1381" s="38" t="s">
        <v>3847</v>
      </c>
      <c r="G1381" s="38" t="s">
        <v>111</v>
      </c>
      <c r="H1381" s="44">
        <v>44054</v>
      </c>
      <c r="I1381" s="44">
        <v>44061</v>
      </c>
      <c r="J1381">
        <v>1884.47</v>
      </c>
      <c r="K1381">
        <v>30.85</v>
      </c>
      <c r="L1381" t="s">
        <v>3848</v>
      </c>
      <c r="M1381" s="45" t="s">
        <v>98</v>
      </c>
      <c r="N1381" s="38" t="s">
        <v>230</v>
      </c>
      <c r="O1381" s="38" t="s">
        <v>347</v>
      </c>
      <c r="P1381" s="38" t="s">
        <v>60</v>
      </c>
      <c r="Q1381" s="38" t="s">
        <v>41</v>
      </c>
      <c r="R1381" s="38" t="s">
        <v>270</v>
      </c>
      <c r="S1381" s="38" t="s">
        <v>3849</v>
      </c>
      <c r="T1381" s="38" t="s">
        <v>3857</v>
      </c>
      <c r="U1381" s="38"/>
      <c r="V1381" s="38"/>
      <c r="W1381" s="38"/>
      <c r="X1381" s="14"/>
      <c r="AN1381" s="7" t="s">
        <v>70</v>
      </c>
      <c r="AO1381" s="21">
        <f t="shared" si="68"/>
        <v>0</v>
      </c>
      <c r="AP1381" s="7">
        <f t="shared" si="69"/>
        <v>30.85</v>
      </c>
      <c r="AQ1381" s="31" t="str">
        <f t="shared" si="70"/>
        <v>Complete - No Adjustment</v>
      </c>
    </row>
    <row r="1382" spans="1:45" x14ac:dyDescent="0.2">
      <c r="A1382" s="46">
        <v>1372</v>
      </c>
      <c r="B1382" s="38" t="s">
        <v>266</v>
      </c>
      <c r="C1382" s="38" t="s">
        <v>346</v>
      </c>
      <c r="D1382" s="38" t="s">
        <v>345</v>
      </c>
      <c r="E1382" s="38" t="s">
        <v>3846</v>
      </c>
      <c r="F1382" s="38" t="s">
        <v>3847</v>
      </c>
      <c r="G1382" s="38" t="s">
        <v>111</v>
      </c>
      <c r="H1382" s="44">
        <v>44054</v>
      </c>
      <c r="I1382" s="44">
        <v>44061</v>
      </c>
      <c r="J1382">
        <v>1884.47</v>
      </c>
      <c r="K1382">
        <v>1000</v>
      </c>
      <c r="L1382" t="s">
        <v>3848</v>
      </c>
      <c r="M1382" s="45" t="s">
        <v>98</v>
      </c>
      <c r="N1382" s="38" t="s">
        <v>230</v>
      </c>
      <c r="O1382" s="38" t="s">
        <v>347</v>
      </c>
      <c r="P1382" s="38" t="s">
        <v>60</v>
      </c>
      <c r="Q1382" s="38" t="s">
        <v>48</v>
      </c>
      <c r="R1382" s="38" t="s">
        <v>270</v>
      </c>
      <c r="S1382" s="38" t="s">
        <v>3849</v>
      </c>
      <c r="T1382" s="38" t="s">
        <v>3858</v>
      </c>
      <c r="U1382" s="38"/>
      <c r="V1382" s="38"/>
      <c r="W1382" s="38"/>
      <c r="X1382" s="14"/>
      <c r="AN1382" s="7" t="s">
        <v>70</v>
      </c>
      <c r="AO1382" s="21">
        <f t="shared" si="68"/>
        <v>0</v>
      </c>
      <c r="AP1382" s="7">
        <f t="shared" si="69"/>
        <v>1000</v>
      </c>
      <c r="AQ1382" s="31" t="str">
        <f t="shared" si="70"/>
        <v>Complete - No Adjustment</v>
      </c>
    </row>
    <row r="1383" spans="1:45" x14ac:dyDescent="0.2">
      <c r="A1383" s="46">
        <v>1373</v>
      </c>
      <c r="B1383" s="38" t="s">
        <v>266</v>
      </c>
      <c r="C1383" s="38" t="s">
        <v>352</v>
      </c>
      <c r="D1383" s="38" t="s">
        <v>351</v>
      </c>
      <c r="E1383" s="38" t="s">
        <v>3859</v>
      </c>
      <c r="F1383" s="38" t="s">
        <v>3780</v>
      </c>
      <c r="G1383" s="38" t="s">
        <v>111</v>
      </c>
      <c r="H1383" s="44">
        <v>44039</v>
      </c>
      <c r="I1383" s="44">
        <v>44068</v>
      </c>
      <c r="J1383">
        <v>20.399999999999999</v>
      </c>
      <c r="K1383">
        <v>7.46</v>
      </c>
      <c r="L1383" t="s">
        <v>3860</v>
      </c>
      <c r="M1383" s="45" t="s">
        <v>98</v>
      </c>
      <c r="N1383" s="38" t="s">
        <v>230</v>
      </c>
      <c r="O1383" s="38" t="s">
        <v>311</v>
      </c>
      <c r="P1383" s="38" t="s">
        <v>60</v>
      </c>
      <c r="Q1383" s="38" t="s">
        <v>41</v>
      </c>
      <c r="R1383" s="38" t="s">
        <v>270</v>
      </c>
      <c r="S1383" s="38" t="s">
        <v>3861</v>
      </c>
      <c r="T1383" s="38" t="s">
        <v>3862</v>
      </c>
      <c r="U1383" s="38"/>
      <c r="V1383" s="38"/>
      <c r="W1383" s="38"/>
      <c r="X1383" s="14"/>
      <c r="AI1383" s="53">
        <f>7.46</f>
        <v>7.46</v>
      </c>
      <c r="AN1383" s="7" t="s">
        <v>145</v>
      </c>
      <c r="AO1383" s="21">
        <f t="shared" si="68"/>
        <v>7.46</v>
      </c>
      <c r="AP1383" s="7">
        <f t="shared" si="69"/>
        <v>0</v>
      </c>
      <c r="AQ1383" s="31" t="str">
        <f t="shared" si="70"/>
        <v>Complete - With Adjustment</v>
      </c>
    </row>
    <row r="1384" spans="1:45" x14ac:dyDescent="0.2">
      <c r="A1384" s="46">
        <v>1374</v>
      </c>
      <c r="B1384" s="38" t="s">
        <v>266</v>
      </c>
      <c r="C1384" s="38" t="s">
        <v>352</v>
      </c>
      <c r="D1384" s="38" t="s">
        <v>351</v>
      </c>
      <c r="E1384" s="38" t="s">
        <v>3859</v>
      </c>
      <c r="F1384" s="38" t="s">
        <v>3780</v>
      </c>
      <c r="G1384" s="38" t="s">
        <v>111</v>
      </c>
      <c r="H1384" s="44">
        <v>44039</v>
      </c>
      <c r="I1384" s="44">
        <v>44068</v>
      </c>
      <c r="J1384">
        <v>20.399999999999999</v>
      </c>
      <c r="K1384">
        <v>12.94</v>
      </c>
      <c r="L1384" t="s">
        <v>3860</v>
      </c>
      <c r="M1384" s="45" t="s">
        <v>98</v>
      </c>
      <c r="N1384" s="38" t="s">
        <v>230</v>
      </c>
      <c r="O1384" s="38" t="s">
        <v>271</v>
      </c>
      <c r="P1384" s="38" t="s">
        <v>60</v>
      </c>
      <c r="Q1384" s="38" t="s">
        <v>41</v>
      </c>
      <c r="R1384" s="38" t="s">
        <v>270</v>
      </c>
      <c r="S1384" s="38" t="s">
        <v>3861</v>
      </c>
      <c r="T1384" s="38" t="s">
        <v>3863</v>
      </c>
      <c r="U1384" s="38"/>
      <c r="V1384" s="38"/>
      <c r="W1384" s="38"/>
      <c r="X1384" s="14"/>
      <c r="AN1384" s="7" t="s">
        <v>155</v>
      </c>
      <c r="AO1384" s="21">
        <f t="shared" si="68"/>
        <v>0</v>
      </c>
      <c r="AP1384" s="7">
        <f t="shared" si="69"/>
        <v>12.94</v>
      </c>
      <c r="AQ1384" s="31" t="str">
        <f t="shared" si="70"/>
        <v>Complete - No Adjustment</v>
      </c>
    </row>
    <row r="1385" spans="1:45" x14ac:dyDescent="0.2">
      <c r="A1385" s="46">
        <v>1375</v>
      </c>
      <c r="B1385" s="38" t="s">
        <v>266</v>
      </c>
      <c r="C1385" s="38" t="s">
        <v>354</v>
      </c>
      <c r="D1385" s="38" t="s">
        <v>353</v>
      </c>
      <c r="E1385" s="38" t="s">
        <v>4203</v>
      </c>
      <c r="F1385" s="38" t="s">
        <v>3700</v>
      </c>
      <c r="G1385" s="38" t="s">
        <v>111</v>
      </c>
      <c r="H1385" s="44">
        <v>44068</v>
      </c>
      <c r="I1385" s="44">
        <v>44069</v>
      </c>
      <c r="J1385">
        <v>550</v>
      </c>
      <c r="K1385">
        <v>75</v>
      </c>
      <c r="L1385"/>
      <c r="M1385" s="45" t="s">
        <v>97</v>
      </c>
      <c r="N1385" s="38" t="s">
        <v>230</v>
      </c>
      <c r="O1385" s="38" t="s">
        <v>355</v>
      </c>
      <c r="P1385" s="38" t="s">
        <v>42</v>
      </c>
      <c r="Q1385" s="38" t="s">
        <v>59</v>
      </c>
      <c r="R1385" s="38" t="s">
        <v>270</v>
      </c>
      <c r="S1385" s="38" t="s">
        <v>2150</v>
      </c>
      <c r="T1385" s="38" t="s">
        <v>4204</v>
      </c>
      <c r="U1385" s="38"/>
      <c r="V1385" s="38"/>
      <c r="W1385" s="38"/>
      <c r="X1385" s="14"/>
      <c r="AL1385" s="14">
        <v>75</v>
      </c>
      <c r="AN1385" s="7" t="s">
        <v>70</v>
      </c>
      <c r="AO1385" s="21">
        <f>SUM(Y1385:AL1385)</f>
        <v>75</v>
      </c>
      <c r="AP1385" s="7">
        <f t="shared" si="69"/>
        <v>0</v>
      </c>
      <c r="AQ1385" s="31" t="str">
        <f t="shared" si="70"/>
        <v>Complete - With Adjustment</v>
      </c>
      <c r="AS1385" s="12"/>
    </row>
    <row r="1386" spans="1:45" x14ac:dyDescent="0.2">
      <c r="A1386" s="46">
        <v>1376</v>
      </c>
      <c r="B1386" s="38" t="s">
        <v>266</v>
      </c>
      <c r="C1386" s="38" t="s">
        <v>354</v>
      </c>
      <c r="D1386" s="38" t="s">
        <v>353</v>
      </c>
      <c r="E1386" s="38" t="s">
        <v>4203</v>
      </c>
      <c r="F1386" s="38" t="s">
        <v>3700</v>
      </c>
      <c r="G1386" s="38" t="s">
        <v>111</v>
      </c>
      <c r="H1386" s="44">
        <v>44068</v>
      </c>
      <c r="I1386" s="44">
        <v>44069</v>
      </c>
      <c r="J1386">
        <v>550</v>
      </c>
      <c r="K1386">
        <v>475</v>
      </c>
      <c r="L1386"/>
      <c r="M1386" s="45" t="s">
        <v>97</v>
      </c>
      <c r="N1386" s="38" t="s">
        <v>230</v>
      </c>
      <c r="O1386" s="38" t="s">
        <v>355</v>
      </c>
      <c r="P1386" s="38" t="s">
        <v>42</v>
      </c>
      <c r="Q1386" s="38" t="s">
        <v>59</v>
      </c>
      <c r="R1386" s="38" t="s">
        <v>270</v>
      </c>
      <c r="S1386" s="38" t="s">
        <v>2150</v>
      </c>
      <c r="T1386" s="38" t="s">
        <v>4205</v>
      </c>
      <c r="U1386" s="38"/>
      <c r="V1386" s="38"/>
      <c r="W1386" s="38"/>
      <c r="X1386" s="14"/>
      <c r="AL1386" s="14">
        <v>475</v>
      </c>
      <c r="AN1386" s="7" t="s">
        <v>70</v>
      </c>
      <c r="AO1386" s="21">
        <f t="shared" ref="AO1386" si="71">SUM(Y1386:AL1386)</f>
        <v>475</v>
      </c>
      <c r="AP1386" s="7">
        <f t="shared" si="69"/>
        <v>0</v>
      </c>
      <c r="AQ1386" s="31" t="str">
        <f t="shared" si="70"/>
        <v>Complete - With Adjustment</v>
      </c>
      <c r="AS1386" s="12"/>
    </row>
    <row r="1387" spans="1:45" x14ac:dyDescent="0.2">
      <c r="A1387" s="46">
        <v>1377</v>
      </c>
      <c r="B1387" s="38" t="s">
        <v>266</v>
      </c>
      <c r="C1387" s="38" t="s">
        <v>359</v>
      </c>
      <c r="D1387" s="38" t="s">
        <v>358</v>
      </c>
      <c r="E1387" s="38" t="s">
        <v>3864</v>
      </c>
      <c r="F1387" s="38" t="s">
        <v>3847</v>
      </c>
      <c r="G1387" s="38" t="s">
        <v>111</v>
      </c>
      <c r="H1387" s="44">
        <v>44033</v>
      </c>
      <c r="I1387" s="44">
        <v>44061</v>
      </c>
      <c r="J1387">
        <v>14.15</v>
      </c>
      <c r="K1387">
        <v>14.15</v>
      </c>
      <c r="L1387" t="s">
        <v>3865</v>
      </c>
      <c r="M1387" s="45" t="s">
        <v>98</v>
      </c>
      <c r="N1387" s="38" t="s">
        <v>230</v>
      </c>
      <c r="O1387" s="38" t="s">
        <v>277</v>
      </c>
      <c r="P1387" s="38" t="s">
        <v>60</v>
      </c>
      <c r="Q1387" s="38" t="s">
        <v>41</v>
      </c>
      <c r="R1387" s="38" t="s">
        <v>270</v>
      </c>
      <c r="S1387" s="38" t="s">
        <v>3866</v>
      </c>
      <c r="T1387" s="38" t="s">
        <v>3867</v>
      </c>
      <c r="U1387" s="38"/>
      <c r="V1387" s="38"/>
      <c r="W1387" s="38"/>
      <c r="X1387" s="14"/>
      <c r="AN1387" s="7" t="s">
        <v>155</v>
      </c>
      <c r="AO1387" s="21">
        <f t="shared" ref="AO1387:AO1451" si="72">SUM(Y1387:AL1387)</f>
        <v>0</v>
      </c>
      <c r="AP1387" s="7">
        <f t="shared" si="69"/>
        <v>14.15</v>
      </c>
      <c r="AQ1387" s="31" t="str">
        <f t="shared" si="70"/>
        <v>Complete - No Adjustment</v>
      </c>
    </row>
    <row r="1388" spans="1:45" x14ac:dyDescent="0.2">
      <c r="A1388" s="46">
        <v>1378</v>
      </c>
      <c r="B1388" s="38" t="s">
        <v>266</v>
      </c>
      <c r="C1388" s="38" t="s">
        <v>359</v>
      </c>
      <c r="D1388" s="38" t="s">
        <v>358</v>
      </c>
      <c r="E1388" s="38" t="s">
        <v>3868</v>
      </c>
      <c r="F1388" s="38" t="s">
        <v>3787</v>
      </c>
      <c r="G1388" s="38" t="s">
        <v>111</v>
      </c>
      <c r="H1388" s="44">
        <v>44057</v>
      </c>
      <c r="I1388" s="44">
        <v>44062</v>
      </c>
      <c r="J1388">
        <v>225.75</v>
      </c>
      <c r="K1388">
        <v>134.75</v>
      </c>
      <c r="L1388" t="s">
        <v>3869</v>
      </c>
      <c r="M1388" s="45" t="s">
        <v>98</v>
      </c>
      <c r="N1388" s="38" t="s">
        <v>230</v>
      </c>
      <c r="O1388" s="38" t="s">
        <v>277</v>
      </c>
      <c r="P1388" s="38" t="s">
        <v>60</v>
      </c>
      <c r="Q1388" s="38" t="s">
        <v>59</v>
      </c>
      <c r="R1388" s="38" t="s">
        <v>270</v>
      </c>
      <c r="S1388" s="38" t="s">
        <v>3870</v>
      </c>
      <c r="T1388" s="38" t="s">
        <v>3871</v>
      </c>
      <c r="U1388" s="38"/>
      <c r="V1388" s="38"/>
      <c r="W1388" s="38"/>
      <c r="X1388" s="14"/>
      <c r="AN1388" s="7" t="s">
        <v>70</v>
      </c>
      <c r="AO1388" s="21">
        <f t="shared" si="72"/>
        <v>0</v>
      </c>
      <c r="AP1388" s="7">
        <f t="shared" si="69"/>
        <v>134.75</v>
      </c>
      <c r="AQ1388" s="31" t="str">
        <f t="shared" si="70"/>
        <v>Complete - No Adjustment</v>
      </c>
    </row>
    <row r="1389" spans="1:45" x14ac:dyDescent="0.2">
      <c r="A1389" s="46">
        <v>1379</v>
      </c>
      <c r="B1389" s="38" t="s">
        <v>266</v>
      </c>
      <c r="C1389" s="38" t="s">
        <v>359</v>
      </c>
      <c r="D1389" s="38" t="s">
        <v>358</v>
      </c>
      <c r="E1389" s="38" t="s">
        <v>3868</v>
      </c>
      <c r="F1389" s="38" t="s">
        <v>3787</v>
      </c>
      <c r="G1389" s="38" t="s">
        <v>111</v>
      </c>
      <c r="H1389" s="44">
        <v>44057</v>
      </c>
      <c r="I1389" s="44">
        <v>44062</v>
      </c>
      <c r="J1389">
        <v>225.75</v>
      </c>
      <c r="K1389">
        <v>91</v>
      </c>
      <c r="L1389" t="s">
        <v>3869</v>
      </c>
      <c r="M1389" s="45" t="s">
        <v>98</v>
      </c>
      <c r="N1389" s="38" t="s">
        <v>230</v>
      </c>
      <c r="O1389" s="38" t="s">
        <v>277</v>
      </c>
      <c r="P1389" s="38" t="s">
        <v>60</v>
      </c>
      <c r="Q1389" s="38" t="s">
        <v>119</v>
      </c>
      <c r="R1389" s="38" t="s">
        <v>270</v>
      </c>
      <c r="S1389" s="38" t="s">
        <v>3870</v>
      </c>
      <c r="T1389" s="38" t="s">
        <v>3872</v>
      </c>
      <c r="U1389" s="38"/>
      <c r="V1389" s="38"/>
      <c r="W1389" s="38"/>
      <c r="X1389" s="14"/>
      <c r="AN1389" s="7" t="s">
        <v>70</v>
      </c>
      <c r="AO1389" s="21">
        <f t="shared" si="72"/>
        <v>0</v>
      </c>
      <c r="AP1389" s="7">
        <f t="shared" si="69"/>
        <v>91</v>
      </c>
      <c r="AQ1389" s="31" t="str">
        <f t="shared" si="70"/>
        <v>Complete - No Adjustment</v>
      </c>
    </row>
    <row r="1390" spans="1:45" x14ac:dyDescent="0.2">
      <c r="A1390" s="46">
        <v>1380</v>
      </c>
      <c r="B1390" s="38" t="s">
        <v>266</v>
      </c>
      <c r="C1390" s="38" t="s">
        <v>648</v>
      </c>
      <c r="D1390" s="38" t="s">
        <v>647</v>
      </c>
      <c r="E1390" s="38" t="s">
        <v>3873</v>
      </c>
      <c r="F1390" s="38" t="s">
        <v>3695</v>
      </c>
      <c r="G1390" s="38" t="s">
        <v>111</v>
      </c>
      <c r="H1390" s="44">
        <v>44047</v>
      </c>
      <c r="I1390" s="44">
        <v>44048</v>
      </c>
      <c r="J1390">
        <v>68.180000000000007</v>
      </c>
      <c r="K1390">
        <v>68.180000000000007</v>
      </c>
      <c r="L1390" t="s">
        <v>3874</v>
      </c>
      <c r="M1390" s="45" t="s">
        <v>98</v>
      </c>
      <c r="N1390" s="38" t="s">
        <v>230</v>
      </c>
      <c r="O1390" s="38" t="s">
        <v>784</v>
      </c>
      <c r="P1390" s="38" t="s">
        <v>60</v>
      </c>
      <c r="Q1390" s="38" t="s">
        <v>62</v>
      </c>
      <c r="R1390" s="38" t="s">
        <v>270</v>
      </c>
      <c r="S1390" s="38" t="s">
        <v>3875</v>
      </c>
      <c r="T1390" s="38" t="s">
        <v>3876</v>
      </c>
      <c r="U1390" s="38"/>
      <c r="V1390" s="38"/>
      <c r="W1390" s="38"/>
      <c r="X1390" s="14"/>
      <c r="AN1390" s="7" t="s">
        <v>155</v>
      </c>
      <c r="AO1390" s="21">
        <f t="shared" si="72"/>
        <v>0</v>
      </c>
      <c r="AP1390" s="7">
        <f t="shared" si="69"/>
        <v>68.180000000000007</v>
      </c>
      <c r="AQ1390" s="31" t="str">
        <f t="shared" si="70"/>
        <v>Complete - No Adjustment</v>
      </c>
    </row>
    <row r="1391" spans="1:45" x14ac:dyDescent="0.2">
      <c r="A1391" s="46">
        <v>1381</v>
      </c>
      <c r="B1391" s="38" t="s">
        <v>266</v>
      </c>
      <c r="C1391" s="38" t="s">
        <v>672</v>
      </c>
      <c r="D1391" s="38" t="s">
        <v>671</v>
      </c>
      <c r="E1391" s="38" t="s">
        <v>3877</v>
      </c>
      <c r="F1391" s="38" t="s">
        <v>3878</v>
      </c>
      <c r="G1391" s="38" t="s">
        <v>111</v>
      </c>
      <c r="H1391" s="44">
        <v>44033</v>
      </c>
      <c r="I1391" s="44">
        <v>44054</v>
      </c>
      <c r="J1391">
        <v>15</v>
      </c>
      <c r="K1391">
        <v>15</v>
      </c>
      <c r="L1391" t="s">
        <v>3879</v>
      </c>
      <c r="M1391" s="45" t="s">
        <v>98</v>
      </c>
      <c r="N1391" s="38" t="s">
        <v>230</v>
      </c>
      <c r="O1391" s="38" t="s">
        <v>673</v>
      </c>
      <c r="P1391" s="38" t="s">
        <v>60</v>
      </c>
      <c r="Q1391" s="38" t="s">
        <v>46</v>
      </c>
      <c r="R1391" s="38" t="s">
        <v>270</v>
      </c>
      <c r="S1391" s="38" t="s">
        <v>2397</v>
      </c>
      <c r="T1391" s="38" t="s">
        <v>2398</v>
      </c>
      <c r="U1391" s="38"/>
      <c r="V1391" s="38"/>
      <c r="W1391" s="38"/>
      <c r="X1391" s="14"/>
      <c r="AL1391" s="14">
        <f>15</f>
        <v>15</v>
      </c>
      <c r="AN1391" s="7" t="s">
        <v>2957</v>
      </c>
      <c r="AO1391" s="21">
        <f t="shared" si="72"/>
        <v>15</v>
      </c>
      <c r="AP1391" s="7">
        <f t="shared" si="69"/>
        <v>0</v>
      </c>
      <c r="AQ1391" s="31" t="str">
        <f t="shared" si="70"/>
        <v>Complete - With Adjustment</v>
      </c>
    </row>
    <row r="1392" spans="1:45" x14ac:dyDescent="0.2">
      <c r="A1392" s="46">
        <v>1382</v>
      </c>
      <c r="B1392" s="38" t="s">
        <v>266</v>
      </c>
      <c r="C1392" s="38" t="s">
        <v>371</v>
      </c>
      <c r="D1392" s="38" t="s">
        <v>370</v>
      </c>
      <c r="E1392" s="38" t="s">
        <v>3880</v>
      </c>
      <c r="F1392" s="38" t="s">
        <v>3878</v>
      </c>
      <c r="G1392" s="38" t="s">
        <v>111</v>
      </c>
      <c r="H1392" s="44">
        <v>44052</v>
      </c>
      <c r="I1392" s="44">
        <v>44054</v>
      </c>
      <c r="J1392">
        <v>132.81</v>
      </c>
      <c r="K1392">
        <v>11.13</v>
      </c>
      <c r="L1392" t="s">
        <v>3881</v>
      </c>
      <c r="M1392" s="45" t="s">
        <v>98</v>
      </c>
      <c r="N1392" s="38" t="s">
        <v>230</v>
      </c>
      <c r="O1392" s="38" t="s">
        <v>269</v>
      </c>
      <c r="P1392" s="38" t="s">
        <v>60</v>
      </c>
      <c r="Q1392" s="38" t="s">
        <v>41</v>
      </c>
      <c r="R1392" s="38" t="s">
        <v>270</v>
      </c>
      <c r="S1392" s="38" t="s">
        <v>3882</v>
      </c>
      <c r="T1392" s="38" t="s">
        <v>3883</v>
      </c>
      <c r="U1392" s="38"/>
      <c r="V1392" s="38"/>
      <c r="W1392" s="38"/>
      <c r="X1392" s="14"/>
      <c r="AN1392" s="7" t="s">
        <v>70</v>
      </c>
      <c r="AO1392" s="21">
        <f t="shared" si="72"/>
        <v>0</v>
      </c>
      <c r="AP1392" s="7">
        <f t="shared" si="69"/>
        <v>11.13</v>
      </c>
      <c r="AQ1392" s="31" t="str">
        <f t="shared" si="70"/>
        <v>Complete - No Adjustment</v>
      </c>
    </row>
    <row r="1393" spans="1:43" x14ac:dyDescent="0.2">
      <c r="A1393" s="46">
        <v>1383</v>
      </c>
      <c r="B1393" s="38" t="s">
        <v>266</v>
      </c>
      <c r="C1393" s="38" t="s">
        <v>371</v>
      </c>
      <c r="D1393" s="38" t="s">
        <v>370</v>
      </c>
      <c r="E1393" s="38" t="s">
        <v>3880</v>
      </c>
      <c r="F1393" s="38" t="s">
        <v>3878</v>
      </c>
      <c r="G1393" s="38" t="s">
        <v>111</v>
      </c>
      <c r="H1393" s="44">
        <v>44052</v>
      </c>
      <c r="I1393" s="44">
        <v>44054</v>
      </c>
      <c r="J1393">
        <v>132.81</v>
      </c>
      <c r="K1393">
        <v>18.940000000000001</v>
      </c>
      <c r="L1393" t="s">
        <v>3881</v>
      </c>
      <c r="M1393" s="45" t="s">
        <v>98</v>
      </c>
      <c r="N1393" s="38" t="s">
        <v>230</v>
      </c>
      <c r="O1393" s="38" t="s">
        <v>269</v>
      </c>
      <c r="P1393" s="38" t="s">
        <v>60</v>
      </c>
      <c r="Q1393" s="38" t="s">
        <v>41</v>
      </c>
      <c r="R1393" s="38" t="s">
        <v>270</v>
      </c>
      <c r="S1393" s="38" t="s">
        <v>3882</v>
      </c>
      <c r="T1393" s="38" t="s">
        <v>3884</v>
      </c>
      <c r="U1393" s="38"/>
      <c r="V1393" s="38"/>
      <c r="W1393" s="38"/>
      <c r="X1393" s="14"/>
      <c r="AN1393" s="7" t="s">
        <v>70</v>
      </c>
      <c r="AO1393" s="21">
        <f t="shared" si="72"/>
        <v>0</v>
      </c>
      <c r="AP1393" s="7">
        <f t="shared" si="69"/>
        <v>18.940000000000001</v>
      </c>
      <c r="AQ1393" s="31" t="str">
        <f t="shared" si="70"/>
        <v>Complete - No Adjustment</v>
      </c>
    </row>
    <row r="1394" spans="1:43" x14ac:dyDescent="0.2">
      <c r="A1394" s="46">
        <v>1384</v>
      </c>
      <c r="B1394" s="38" t="s">
        <v>266</v>
      </c>
      <c r="C1394" s="38" t="s">
        <v>371</v>
      </c>
      <c r="D1394" s="38" t="s">
        <v>370</v>
      </c>
      <c r="E1394" s="38" t="s">
        <v>3880</v>
      </c>
      <c r="F1394" s="38" t="s">
        <v>3878</v>
      </c>
      <c r="G1394" s="38" t="s">
        <v>111</v>
      </c>
      <c r="H1394" s="44">
        <v>44052</v>
      </c>
      <c r="I1394" s="44">
        <v>44054</v>
      </c>
      <c r="J1394">
        <v>132.81</v>
      </c>
      <c r="K1394">
        <v>64.94</v>
      </c>
      <c r="L1394" t="s">
        <v>3881</v>
      </c>
      <c r="M1394" s="45" t="s">
        <v>98</v>
      </c>
      <c r="N1394" s="38" t="s">
        <v>230</v>
      </c>
      <c r="O1394" s="38" t="s">
        <v>269</v>
      </c>
      <c r="P1394" s="38" t="s">
        <v>60</v>
      </c>
      <c r="Q1394" s="38" t="s">
        <v>104</v>
      </c>
      <c r="R1394" s="38" t="s">
        <v>270</v>
      </c>
      <c r="S1394" s="38" t="s">
        <v>3882</v>
      </c>
      <c r="T1394" s="38" t="s">
        <v>3885</v>
      </c>
      <c r="U1394" s="38"/>
      <c r="V1394" s="38"/>
      <c r="W1394" s="38"/>
      <c r="X1394" s="14"/>
      <c r="AN1394" s="7" t="s">
        <v>70</v>
      </c>
      <c r="AO1394" s="21">
        <f t="shared" si="72"/>
        <v>0</v>
      </c>
      <c r="AP1394" s="7">
        <f t="shared" si="69"/>
        <v>64.94</v>
      </c>
      <c r="AQ1394" s="31" t="str">
        <f t="shared" si="70"/>
        <v>Complete - No Adjustment</v>
      </c>
    </row>
    <row r="1395" spans="1:43" x14ac:dyDescent="0.2">
      <c r="A1395" s="46">
        <v>1385</v>
      </c>
      <c r="B1395" s="38" t="s">
        <v>266</v>
      </c>
      <c r="C1395" s="38" t="s">
        <v>371</v>
      </c>
      <c r="D1395" s="38" t="s">
        <v>370</v>
      </c>
      <c r="E1395" s="38" t="s">
        <v>3880</v>
      </c>
      <c r="F1395" s="38" t="s">
        <v>3878</v>
      </c>
      <c r="G1395" s="38" t="s">
        <v>111</v>
      </c>
      <c r="H1395" s="44">
        <v>44052</v>
      </c>
      <c r="I1395" s="44">
        <v>44054</v>
      </c>
      <c r="J1395">
        <v>132.81</v>
      </c>
      <c r="K1395">
        <v>10.06</v>
      </c>
      <c r="L1395" t="s">
        <v>3881</v>
      </c>
      <c r="M1395" s="45" t="s">
        <v>98</v>
      </c>
      <c r="N1395" s="38" t="s">
        <v>230</v>
      </c>
      <c r="O1395" s="38" t="s">
        <v>269</v>
      </c>
      <c r="P1395" s="38" t="s">
        <v>60</v>
      </c>
      <c r="Q1395" s="38" t="s">
        <v>41</v>
      </c>
      <c r="R1395" s="38" t="s">
        <v>270</v>
      </c>
      <c r="S1395" s="38" t="s">
        <v>3882</v>
      </c>
      <c r="T1395" s="38" t="s">
        <v>3886</v>
      </c>
      <c r="U1395" s="38"/>
      <c r="V1395" s="38"/>
      <c r="W1395" s="38"/>
      <c r="X1395" s="14"/>
      <c r="AN1395" s="7" t="s">
        <v>70</v>
      </c>
      <c r="AO1395" s="21">
        <f t="shared" si="72"/>
        <v>0</v>
      </c>
      <c r="AP1395" s="7">
        <f t="shared" si="69"/>
        <v>10.06</v>
      </c>
      <c r="AQ1395" s="31" t="str">
        <f t="shared" si="70"/>
        <v>Complete - No Adjustment</v>
      </c>
    </row>
    <row r="1396" spans="1:43" x14ac:dyDescent="0.2">
      <c r="A1396" s="46">
        <v>1386</v>
      </c>
      <c r="B1396" s="38" t="s">
        <v>266</v>
      </c>
      <c r="C1396" s="38" t="s">
        <v>371</v>
      </c>
      <c r="D1396" s="38" t="s">
        <v>370</v>
      </c>
      <c r="E1396" s="38" t="s">
        <v>3880</v>
      </c>
      <c r="F1396" s="38" t="s">
        <v>3878</v>
      </c>
      <c r="G1396" s="38" t="s">
        <v>111</v>
      </c>
      <c r="H1396" s="44">
        <v>44052</v>
      </c>
      <c r="I1396" s="44">
        <v>44054</v>
      </c>
      <c r="J1396">
        <v>132.81</v>
      </c>
      <c r="K1396">
        <v>27.74</v>
      </c>
      <c r="L1396" t="s">
        <v>3881</v>
      </c>
      <c r="M1396" s="45" t="s">
        <v>98</v>
      </c>
      <c r="N1396" s="38" t="s">
        <v>230</v>
      </c>
      <c r="O1396" s="38" t="s">
        <v>269</v>
      </c>
      <c r="P1396" s="38" t="s">
        <v>60</v>
      </c>
      <c r="Q1396" s="38" t="s">
        <v>41</v>
      </c>
      <c r="R1396" s="38" t="s">
        <v>270</v>
      </c>
      <c r="S1396" s="38" t="s">
        <v>3882</v>
      </c>
      <c r="T1396" s="38" t="s">
        <v>3887</v>
      </c>
      <c r="U1396" s="38"/>
      <c r="V1396" s="38"/>
      <c r="W1396" s="38"/>
      <c r="X1396" s="14"/>
      <c r="AN1396" s="7" t="s">
        <v>70</v>
      </c>
      <c r="AO1396" s="21">
        <f t="shared" si="72"/>
        <v>0</v>
      </c>
      <c r="AP1396" s="7">
        <f t="shared" si="69"/>
        <v>27.74</v>
      </c>
      <c r="AQ1396" s="31" t="str">
        <f t="shared" si="70"/>
        <v>Complete - No Adjustment</v>
      </c>
    </row>
    <row r="1397" spans="1:43" x14ac:dyDescent="0.2">
      <c r="A1397" s="46">
        <v>1387</v>
      </c>
      <c r="B1397" s="38" t="s">
        <v>266</v>
      </c>
      <c r="C1397" s="38" t="s">
        <v>650</v>
      </c>
      <c r="D1397" s="38" t="s">
        <v>649</v>
      </c>
      <c r="E1397" s="38" t="s">
        <v>3888</v>
      </c>
      <c r="F1397" s="38" t="s">
        <v>3700</v>
      </c>
      <c r="G1397" s="38" t="s">
        <v>111</v>
      </c>
      <c r="H1397" s="44">
        <v>44064</v>
      </c>
      <c r="I1397" s="44">
        <v>44069</v>
      </c>
      <c r="J1397">
        <v>38.92</v>
      </c>
      <c r="K1397">
        <v>38.92</v>
      </c>
      <c r="L1397" t="s">
        <v>3889</v>
      </c>
      <c r="M1397" s="45" t="s">
        <v>98</v>
      </c>
      <c r="N1397" s="38" t="s">
        <v>230</v>
      </c>
      <c r="O1397" s="38" t="s">
        <v>317</v>
      </c>
      <c r="P1397" s="38" t="s">
        <v>60</v>
      </c>
      <c r="Q1397" s="38" t="s">
        <v>41</v>
      </c>
      <c r="R1397" s="38" t="s">
        <v>270</v>
      </c>
      <c r="S1397" s="38" t="s">
        <v>3890</v>
      </c>
      <c r="T1397" s="38" t="s">
        <v>3891</v>
      </c>
      <c r="U1397" s="38"/>
      <c r="V1397" s="38"/>
      <c r="W1397" s="38"/>
      <c r="X1397" s="14"/>
      <c r="AI1397" s="53">
        <f>38.92</f>
        <v>38.92</v>
      </c>
      <c r="AN1397" s="7" t="s">
        <v>145</v>
      </c>
      <c r="AO1397" s="21">
        <f t="shared" si="72"/>
        <v>38.92</v>
      </c>
      <c r="AP1397" s="7">
        <f t="shared" si="69"/>
        <v>0</v>
      </c>
      <c r="AQ1397" s="31" t="str">
        <f t="shared" si="70"/>
        <v>Complete - With Adjustment</v>
      </c>
    </row>
    <row r="1398" spans="1:43" x14ac:dyDescent="0.2">
      <c r="A1398" s="46">
        <v>1388</v>
      </c>
      <c r="B1398" s="38" t="s">
        <v>266</v>
      </c>
      <c r="C1398" s="38" t="s">
        <v>650</v>
      </c>
      <c r="D1398" s="38" t="s">
        <v>649</v>
      </c>
      <c r="E1398" s="38" t="s">
        <v>3892</v>
      </c>
      <c r="F1398" s="38" t="s">
        <v>3709</v>
      </c>
      <c r="G1398" s="38" t="s">
        <v>111</v>
      </c>
      <c r="H1398" s="44">
        <v>44050</v>
      </c>
      <c r="I1398" s="44">
        <v>44055</v>
      </c>
      <c r="J1398">
        <v>85.31</v>
      </c>
      <c r="K1398">
        <v>20.440000000000001</v>
      </c>
      <c r="L1398" t="s">
        <v>3893</v>
      </c>
      <c r="M1398" s="45" t="s">
        <v>98</v>
      </c>
      <c r="N1398" s="38" t="s">
        <v>230</v>
      </c>
      <c r="O1398" s="38" t="s">
        <v>317</v>
      </c>
      <c r="P1398" s="38" t="s">
        <v>60</v>
      </c>
      <c r="Q1398" s="38" t="s">
        <v>41</v>
      </c>
      <c r="R1398" s="38" t="s">
        <v>270</v>
      </c>
      <c r="S1398" s="38" t="s">
        <v>3894</v>
      </c>
      <c r="T1398" s="38" t="s">
        <v>3895</v>
      </c>
      <c r="U1398" s="38"/>
      <c r="V1398" s="38"/>
      <c r="W1398" s="38"/>
      <c r="X1398" s="14"/>
      <c r="AN1398" s="7" t="s">
        <v>70</v>
      </c>
      <c r="AO1398" s="21">
        <f t="shared" si="72"/>
        <v>0</v>
      </c>
      <c r="AP1398" s="7">
        <f t="shared" si="69"/>
        <v>20.440000000000001</v>
      </c>
      <c r="AQ1398" s="31" t="str">
        <f t="shared" si="70"/>
        <v>Complete - No Adjustment</v>
      </c>
    </row>
    <row r="1399" spans="1:43" x14ac:dyDescent="0.2">
      <c r="A1399" s="46">
        <v>1389</v>
      </c>
      <c r="B1399" s="38" t="s">
        <v>266</v>
      </c>
      <c r="C1399" s="38" t="s">
        <v>650</v>
      </c>
      <c r="D1399" s="38" t="s">
        <v>649</v>
      </c>
      <c r="E1399" s="38" t="s">
        <v>3892</v>
      </c>
      <c r="F1399" s="38" t="s">
        <v>3709</v>
      </c>
      <c r="G1399" s="38" t="s">
        <v>111</v>
      </c>
      <c r="H1399" s="44">
        <v>44050</v>
      </c>
      <c r="I1399" s="44">
        <v>44055</v>
      </c>
      <c r="J1399">
        <v>85.31</v>
      </c>
      <c r="K1399">
        <v>20.399999999999999</v>
      </c>
      <c r="L1399" t="s">
        <v>3893</v>
      </c>
      <c r="M1399" s="45" t="s">
        <v>98</v>
      </c>
      <c r="N1399" s="38" t="s">
        <v>230</v>
      </c>
      <c r="O1399" s="38" t="s">
        <v>317</v>
      </c>
      <c r="P1399" s="38" t="s">
        <v>60</v>
      </c>
      <c r="Q1399" s="38" t="s">
        <v>41</v>
      </c>
      <c r="R1399" s="38" t="s">
        <v>270</v>
      </c>
      <c r="S1399" s="38" t="s">
        <v>3894</v>
      </c>
      <c r="T1399" s="38" t="s">
        <v>3896</v>
      </c>
      <c r="U1399" s="38"/>
      <c r="V1399" s="38"/>
      <c r="W1399" s="38"/>
      <c r="X1399" s="14"/>
      <c r="AN1399" s="7" t="s">
        <v>70</v>
      </c>
      <c r="AO1399" s="21">
        <f t="shared" si="72"/>
        <v>0</v>
      </c>
      <c r="AP1399" s="7">
        <f t="shared" si="69"/>
        <v>20.399999999999999</v>
      </c>
      <c r="AQ1399" s="31" t="str">
        <f t="shared" si="70"/>
        <v>Complete - No Adjustment</v>
      </c>
    </row>
    <row r="1400" spans="1:43" x14ac:dyDescent="0.2">
      <c r="A1400" s="46">
        <v>1390</v>
      </c>
      <c r="B1400" s="38" t="s">
        <v>266</v>
      </c>
      <c r="C1400" s="38" t="s">
        <v>650</v>
      </c>
      <c r="D1400" s="38" t="s">
        <v>649</v>
      </c>
      <c r="E1400" s="38" t="s">
        <v>3892</v>
      </c>
      <c r="F1400" s="38" t="s">
        <v>3709</v>
      </c>
      <c r="G1400" s="38" t="s">
        <v>111</v>
      </c>
      <c r="H1400" s="44">
        <v>44050</v>
      </c>
      <c r="I1400" s="44">
        <v>44055</v>
      </c>
      <c r="J1400">
        <v>85.31</v>
      </c>
      <c r="K1400">
        <v>44.47</v>
      </c>
      <c r="L1400" t="s">
        <v>3893</v>
      </c>
      <c r="M1400" s="45" t="s">
        <v>98</v>
      </c>
      <c r="N1400" s="38" t="s">
        <v>230</v>
      </c>
      <c r="O1400" s="38" t="s">
        <v>317</v>
      </c>
      <c r="P1400" s="38" t="s">
        <v>60</v>
      </c>
      <c r="Q1400" s="38" t="s">
        <v>41</v>
      </c>
      <c r="R1400" s="38" t="s">
        <v>270</v>
      </c>
      <c r="S1400" s="38" t="s">
        <v>3894</v>
      </c>
      <c r="T1400" s="38" t="s">
        <v>3897</v>
      </c>
      <c r="U1400" s="38"/>
      <c r="V1400" s="38"/>
      <c r="W1400" s="38"/>
      <c r="X1400" s="14"/>
      <c r="AI1400" s="53">
        <f>44.47</f>
        <v>44.47</v>
      </c>
      <c r="AN1400" s="7" t="s">
        <v>145</v>
      </c>
      <c r="AO1400" s="21">
        <f t="shared" si="72"/>
        <v>44.47</v>
      </c>
      <c r="AP1400" s="7">
        <f t="shared" si="69"/>
        <v>0</v>
      </c>
      <c r="AQ1400" s="31" t="str">
        <f t="shared" si="70"/>
        <v>Complete - With Adjustment</v>
      </c>
    </row>
    <row r="1401" spans="1:43" x14ac:dyDescent="0.2">
      <c r="A1401" s="46">
        <v>1391</v>
      </c>
      <c r="B1401" s="38" t="s">
        <v>266</v>
      </c>
      <c r="C1401" s="38" t="s">
        <v>723</v>
      </c>
      <c r="D1401" s="38" t="s">
        <v>722</v>
      </c>
      <c r="E1401" s="38" t="s">
        <v>3898</v>
      </c>
      <c r="F1401" s="38" t="s">
        <v>3768</v>
      </c>
      <c r="G1401" s="38" t="s">
        <v>111</v>
      </c>
      <c r="H1401" s="44">
        <v>44055</v>
      </c>
      <c r="I1401" s="44">
        <v>44057</v>
      </c>
      <c r="J1401">
        <v>36.119999999999997</v>
      </c>
      <c r="K1401">
        <v>13.72</v>
      </c>
      <c r="L1401" t="s">
        <v>3899</v>
      </c>
      <c r="M1401" s="45" t="s">
        <v>98</v>
      </c>
      <c r="N1401" s="38" t="s">
        <v>230</v>
      </c>
      <c r="O1401" s="38" t="s">
        <v>281</v>
      </c>
      <c r="P1401" s="38" t="s">
        <v>60</v>
      </c>
      <c r="Q1401" s="38" t="s">
        <v>41</v>
      </c>
      <c r="R1401" s="38" t="s">
        <v>270</v>
      </c>
      <c r="S1401" s="38" t="s">
        <v>3900</v>
      </c>
      <c r="T1401" s="38" t="s">
        <v>3901</v>
      </c>
      <c r="U1401" s="38"/>
      <c r="V1401" s="38"/>
      <c r="W1401" s="38"/>
      <c r="X1401" s="14"/>
      <c r="AN1401" s="7" t="s">
        <v>155</v>
      </c>
      <c r="AO1401" s="21">
        <f t="shared" si="72"/>
        <v>0</v>
      </c>
      <c r="AP1401" s="7">
        <f t="shared" si="69"/>
        <v>13.72</v>
      </c>
      <c r="AQ1401" s="31" t="str">
        <f t="shared" si="70"/>
        <v>Complete - No Adjustment</v>
      </c>
    </row>
    <row r="1402" spans="1:43" x14ac:dyDescent="0.2">
      <c r="A1402" s="46">
        <v>1392</v>
      </c>
      <c r="B1402" s="38" t="s">
        <v>266</v>
      </c>
      <c r="C1402" s="38" t="s">
        <v>723</v>
      </c>
      <c r="D1402" s="38" t="s">
        <v>722</v>
      </c>
      <c r="E1402" s="38" t="s">
        <v>3898</v>
      </c>
      <c r="F1402" s="38" t="s">
        <v>3768</v>
      </c>
      <c r="G1402" s="38" t="s">
        <v>111</v>
      </c>
      <c r="H1402" s="44">
        <v>44055</v>
      </c>
      <c r="I1402" s="44">
        <v>44057</v>
      </c>
      <c r="J1402">
        <v>36.119999999999997</v>
      </c>
      <c r="K1402">
        <v>15.7</v>
      </c>
      <c r="L1402" t="s">
        <v>3899</v>
      </c>
      <c r="M1402" s="45" t="s">
        <v>98</v>
      </c>
      <c r="N1402" s="38" t="s">
        <v>230</v>
      </c>
      <c r="O1402" s="38" t="s">
        <v>281</v>
      </c>
      <c r="P1402" s="38" t="s">
        <v>60</v>
      </c>
      <c r="Q1402" s="38" t="s">
        <v>41</v>
      </c>
      <c r="R1402" s="38" t="s">
        <v>270</v>
      </c>
      <c r="S1402" s="38" t="s">
        <v>3900</v>
      </c>
      <c r="T1402" s="38" t="s">
        <v>3902</v>
      </c>
      <c r="U1402" s="38"/>
      <c r="V1402" s="38"/>
      <c r="W1402" s="38"/>
      <c r="X1402" s="14"/>
      <c r="AN1402" s="7" t="s">
        <v>155</v>
      </c>
      <c r="AO1402" s="21">
        <f t="shared" si="72"/>
        <v>0</v>
      </c>
      <c r="AP1402" s="7">
        <f t="shared" si="69"/>
        <v>15.7</v>
      </c>
      <c r="AQ1402" s="31" t="str">
        <f t="shared" si="70"/>
        <v>Complete - No Adjustment</v>
      </c>
    </row>
    <row r="1403" spans="1:43" x14ac:dyDescent="0.2">
      <c r="A1403" s="46">
        <v>1393</v>
      </c>
      <c r="B1403" s="38" t="s">
        <v>266</v>
      </c>
      <c r="C1403" s="38" t="s">
        <v>723</v>
      </c>
      <c r="D1403" s="38" t="s">
        <v>722</v>
      </c>
      <c r="E1403" s="38" t="s">
        <v>3898</v>
      </c>
      <c r="F1403" s="38" t="s">
        <v>3768</v>
      </c>
      <c r="G1403" s="38" t="s">
        <v>111</v>
      </c>
      <c r="H1403" s="44">
        <v>44055</v>
      </c>
      <c r="I1403" s="44">
        <v>44057</v>
      </c>
      <c r="J1403">
        <v>36.119999999999997</v>
      </c>
      <c r="K1403">
        <v>6.7</v>
      </c>
      <c r="L1403" t="s">
        <v>3899</v>
      </c>
      <c r="M1403" s="45" t="s">
        <v>98</v>
      </c>
      <c r="N1403" s="38" t="s">
        <v>230</v>
      </c>
      <c r="O1403" s="38" t="s">
        <v>281</v>
      </c>
      <c r="P1403" s="38" t="s">
        <v>60</v>
      </c>
      <c r="Q1403" s="38" t="s">
        <v>41</v>
      </c>
      <c r="R1403" s="38" t="s">
        <v>270</v>
      </c>
      <c r="S1403" s="38" t="s">
        <v>3900</v>
      </c>
      <c r="T1403" s="38" t="s">
        <v>3901</v>
      </c>
      <c r="U1403" s="38"/>
      <c r="V1403" s="38"/>
      <c r="W1403" s="38"/>
      <c r="X1403" s="14"/>
      <c r="AN1403" s="7" t="s">
        <v>155</v>
      </c>
      <c r="AO1403" s="21">
        <f t="shared" si="72"/>
        <v>0</v>
      </c>
      <c r="AP1403" s="7">
        <f t="shared" si="69"/>
        <v>6.7</v>
      </c>
      <c r="AQ1403" s="31" t="str">
        <f t="shared" si="70"/>
        <v>Complete - No Adjustment</v>
      </c>
    </row>
    <row r="1404" spans="1:43" x14ac:dyDescent="0.2">
      <c r="A1404" s="46">
        <v>1394</v>
      </c>
      <c r="B1404" s="38" t="s">
        <v>266</v>
      </c>
      <c r="C1404" s="38" t="s">
        <v>244</v>
      </c>
      <c r="D1404" s="38" t="s">
        <v>243</v>
      </c>
      <c r="E1404" s="38" t="s">
        <v>3903</v>
      </c>
      <c r="F1404" s="38" t="s">
        <v>3844</v>
      </c>
      <c r="G1404" s="38" t="s">
        <v>111</v>
      </c>
      <c r="H1404" s="44">
        <v>44027</v>
      </c>
      <c r="I1404" s="44">
        <v>44056</v>
      </c>
      <c r="J1404">
        <v>78.22</v>
      </c>
      <c r="K1404">
        <v>15.53</v>
      </c>
      <c r="L1404" t="s">
        <v>3904</v>
      </c>
      <c r="M1404" s="45" t="s">
        <v>96</v>
      </c>
      <c r="N1404" s="38" t="s">
        <v>230</v>
      </c>
      <c r="O1404" s="38" t="s">
        <v>50</v>
      </c>
      <c r="P1404" s="38" t="s">
        <v>51</v>
      </c>
      <c r="Q1404" s="38" t="s">
        <v>44</v>
      </c>
      <c r="R1404" s="38" t="s">
        <v>270</v>
      </c>
      <c r="S1404" s="38" t="s">
        <v>3905</v>
      </c>
      <c r="T1404" s="38" t="s">
        <v>3906</v>
      </c>
      <c r="U1404" s="38" t="s">
        <v>3907</v>
      </c>
      <c r="V1404" s="38" t="s">
        <v>112</v>
      </c>
      <c r="W1404" s="38" t="s">
        <v>116</v>
      </c>
      <c r="X1404" s="14"/>
      <c r="AN1404" s="7" t="s">
        <v>70</v>
      </c>
      <c r="AO1404" s="21">
        <f t="shared" si="72"/>
        <v>0</v>
      </c>
      <c r="AP1404" s="7">
        <f t="shared" si="69"/>
        <v>15.53</v>
      </c>
      <c r="AQ1404" s="31" t="str">
        <f t="shared" si="70"/>
        <v>Complete - No Adjustment</v>
      </c>
    </row>
    <row r="1405" spans="1:43" x14ac:dyDescent="0.2">
      <c r="A1405" s="46">
        <v>1395</v>
      </c>
      <c r="B1405" s="38" t="s">
        <v>266</v>
      </c>
      <c r="C1405" s="38" t="s">
        <v>244</v>
      </c>
      <c r="D1405" s="38" t="s">
        <v>243</v>
      </c>
      <c r="E1405" s="38" t="s">
        <v>3903</v>
      </c>
      <c r="F1405" s="38" t="s">
        <v>3844</v>
      </c>
      <c r="G1405" s="38" t="s">
        <v>111</v>
      </c>
      <c r="H1405" s="44">
        <v>44027</v>
      </c>
      <c r="I1405" s="44">
        <v>44056</v>
      </c>
      <c r="J1405">
        <v>78.22</v>
      </c>
      <c r="K1405">
        <v>21.28</v>
      </c>
      <c r="L1405" t="s">
        <v>3904</v>
      </c>
      <c r="M1405" s="45" t="s">
        <v>96</v>
      </c>
      <c r="N1405" s="38" t="s">
        <v>230</v>
      </c>
      <c r="O1405" s="38" t="s">
        <v>50</v>
      </c>
      <c r="P1405" s="38" t="s">
        <v>51</v>
      </c>
      <c r="Q1405" s="38" t="s">
        <v>44</v>
      </c>
      <c r="R1405" s="38" t="s">
        <v>270</v>
      </c>
      <c r="S1405" s="38" t="s">
        <v>3905</v>
      </c>
      <c r="T1405" s="38" t="s">
        <v>3908</v>
      </c>
      <c r="U1405" s="38" t="s">
        <v>3907</v>
      </c>
      <c r="V1405" s="38" t="s">
        <v>112</v>
      </c>
      <c r="W1405" s="38" t="s">
        <v>116</v>
      </c>
      <c r="X1405" s="14"/>
      <c r="AN1405" s="7" t="s">
        <v>70</v>
      </c>
      <c r="AO1405" s="21">
        <f t="shared" si="72"/>
        <v>0</v>
      </c>
      <c r="AP1405" s="7">
        <f t="shared" si="69"/>
        <v>21.28</v>
      </c>
      <c r="AQ1405" s="31" t="str">
        <f t="shared" si="70"/>
        <v>Complete - No Adjustment</v>
      </c>
    </row>
    <row r="1406" spans="1:43" x14ac:dyDescent="0.2">
      <c r="A1406" s="46">
        <v>1396</v>
      </c>
      <c r="B1406" s="38" t="s">
        <v>266</v>
      </c>
      <c r="C1406" s="38" t="s">
        <v>244</v>
      </c>
      <c r="D1406" s="38" t="s">
        <v>243</v>
      </c>
      <c r="E1406" s="38" t="s">
        <v>3903</v>
      </c>
      <c r="F1406" s="38" t="s">
        <v>3844</v>
      </c>
      <c r="G1406" s="38" t="s">
        <v>111</v>
      </c>
      <c r="H1406" s="44">
        <v>44027</v>
      </c>
      <c r="I1406" s="44">
        <v>44056</v>
      </c>
      <c r="J1406">
        <v>78.22</v>
      </c>
      <c r="K1406">
        <v>20.13</v>
      </c>
      <c r="L1406" t="s">
        <v>3904</v>
      </c>
      <c r="M1406" s="45" t="s">
        <v>96</v>
      </c>
      <c r="N1406" s="38" t="s">
        <v>230</v>
      </c>
      <c r="O1406" s="38" t="s">
        <v>50</v>
      </c>
      <c r="P1406" s="38" t="s">
        <v>51</v>
      </c>
      <c r="Q1406" s="38" t="s">
        <v>44</v>
      </c>
      <c r="R1406" s="38" t="s">
        <v>270</v>
      </c>
      <c r="S1406" s="38" t="s">
        <v>3905</v>
      </c>
      <c r="T1406" s="38" t="s">
        <v>3909</v>
      </c>
      <c r="U1406" s="38" t="s">
        <v>3907</v>
      </c>
      <c r="V1406" s="38" t="s">
        <v>112</v>
      </c>
      <c r="W1406" s="38" t="s">
        <v>116</v>
      </c>
      <c r="X1406" s="14"/>
      <c r="AN1406" s="7" t="s">
        <v>70</v>
      </c>
      <c r="AO1406" s="21">
        <f t="shared" si="72"/>
        <v>0</v>
      </c>
      <c r="AP1406" s="7">
        <f t="shared" si="69"/>
        <v>20.13</v>
      </c>
      <c r="AQ1406" s="31" t="str">
        <f t="shared" si="70"/>
        <v>Complete - No Adjustment</v>
      </c>
    </row>
    <row r="1407" spans="1:43" x14ac:dyDescent="0.2">
      <c r="A1407" s="46">
        <v>1397</v>
      </c>
      <c r="B1407" s="38" t="s">
        <v>266</v>
      </c>
      <c r="C1407" s="38" t="s">
        <v>244</v>
      </c>
      <c r="D1407" s="38" t="s">
        <v>243</v>
      </c>
      <c r="E1407" s="38" t="s">
        <v>3903</v>
      </c>
      <c r="F1407" s="38" t="s">
        <v>3844</v>
      </c>
      <c r="G1407" s="38" t="s">
        <v>111</v>
      </c>
      <c r="H1407" s="44">
        <v>44027</v>
      </c>
      <c r="I1407" s="44">
        <v>44056</v>
      </c>
      <c r="J1407">
        <v>78.22</v>
      </c>
      <c r="K1407">
        <v>21.28</v>
      </c>
      <c r="L1407" t="s">
        <v>3904</v>
      </c>
      <c r="M1407" s="45" t="s">
        <v>96</v>
      </c>
      <c r="N1407" s="38" t="s">
        <v>230</v>
      </c>
      <c r="O1407" s="38" t="s">
        <v>50</v>
      </c>
      <c r="P1407" s="38" t="s">
        <v>51</v>
      </c>
      <c r="Q1407" s="38" t="s">
        <v>44</v>
      </c>
      <c r="R1407" s="38" t="s">
        <v>270</v>
      </c>
      <c r="S1407" s="38" t="s">
        <v>3905</v>
      </c>
      <c r="T1407" s="38" t="s">
        <v>3910</v>
      </c>
      <c r="U1407" s="38" t="s">
        <v>3907</v>
      </c>
      <c r="V1407" s="38" t="s">
        <v>112</v>
      </c>
      <c r="W1407" s="38" t="s">
        <v>116</v>
      </c>
      <c r="X1407" s="14"/>
      <c r="AN1407" s="7" t="s">
        <v>70</v>
      </c>
      <c r="AO1407" s="21">
        <f t="shared" si="72"/>
        <v>0</v>
      </c>
      <c r="AP1407" s="7">
        <f t="shared" si="69"/>
        <v>21.28</v>
      </c>
      <c r="AQ1407" s="31" t="str">
        <f t="shared" si="70"/>
        <v>Complete - No Adjustment</v>
      </c>
    </row>
    <row r="1408" spans="1:43" x14ac:dyDescent="0.2">
      <c r="A1408" s="46">
        <v>1398</v>
      </c>
      <c r="B1408" s="38" t="s">
        <v>266</v>
      </c>
      <c r="C1408" s="38" t="s">
        <v>3911</v>
      </c>
      <c r="D1408" s="38" t="s">
        <v>3912</v>
      </c>
      <c r="E1408" s="38" t="s">
        <v>3913</v>
      </c>
      <c r="F1408" s="38" t="s">
        <v>3847</v>
      </c>
      <c r="G1408" s="38" t="s">
        <v>111</v>
      </c>
      <c r="H1408" s="44">
        <v>43921</v>
      </c>
      <c r="I1408" s="44">
        <v>44061</v>
      </c>
      <c r="J1408">
        <v>1552.5</v>
      </c>
      <c r="K1408">
        <v>1552.5</v>
      </c>
      <c r="L1408" t="s">
        <v>3914</v>
      </c>
      <c r="M1408" s="45" t="s">
        <v>98</v>
      </c>
      <c r="N1408" s="38" t="s">
        <v>230</v>
      </c>
      <c r="O1408" s="38" t="s">
        <v>314</v>
      </c>
      <c r="P1408" s="38" t="s">
        <v>60</v>
      </c>
      <c r="Q1408" s="38" t="s">
        <v>44</v>
      </c>
      <c r="R1408" s="38" t="s">
        <v>270</v>
      </c>
      <c r="S1408" s="38" t="s">
        <v>3915</v>
      </c>
      <c r="T1408" s="38" t="s">
        <v>3916</v>
      </c>
      <c r="U1408" s="38"/>
      <c r="V1408" s="38"/>
      <c r="W1408" s="38"/>
      <c r="X1408" s="14"/>
      <c r="AN1408" s="7" t="s">
        <v>70</v>
      </c>
      <c r="AO1408" s="21">
        <f t="shared" si="72"/>
        <v>0</v>
      </c>
      <c r="AP1408" s="7">
        <f t="shared" si="69"/>
        <v>1552.5</v>
      </c>
      <c r="AQ1408" s="31" t="str">
        <f t="shared" si="70"/>
        <v>Complete - No Adjustment</v>
      </c>
    </row>
    <row r="1409" spans="1:43" x14ac:dyDescent="0.2">
      <c r="A1409" s="46">
        <v>1399</v>
      </c>
      <c r="B1409" s="38" t="s">
        <v>266</v>
      </c>
      <c r="C1409" s="38" t="s">
        <v>530</v>
      </c>
      <c r="D1409" s="38" t="s">
        <v>529</v>
      </c>
      <c r="E1409" s="38" t="s">
        <v>3917</v>
      </c>
      <c r="F1409" s="38" t="s">
        <v>3700</v>
      </c>
      <c r="G1409" s="38" t="s">
        <v>111</v>
      </c>
      <c r="H1409" s="44">
        <v>44067</v>
      </c>
      <c r="I1409" s="44">
        <v>44069</v>
      </c>
      <c r="J1409">
        <v>15</v>
      </c>
      <c r="K1409">
        <v>15</v>
      </c>
      <c r="L1409" t="s">
        <v>3918</v>
      </c>
      <c r="M1409" s="45" t="s">
        <v>98</v>
      </c>
      <c r="N1409" s="38" t="s">
        <v>230</v>
      </c>
      <c r="O1409" s="38" t="s">
        <v>292</v>
      </c>
      <c r="P1409" s="38" t="s">
        <v>60</v>
      </c>
      <c r="Q1409" s="38" t="s">
        <v>41</v>
      </c>
      <c r="R1409" s="38" t="s">
        <v>270</v>
      </c>
      <c r="S1409" s="38" t="s">
        <v>3919</v>
      </c>
      <c r="T1409" s="38" t="s">
        <v>3920</v>
      </c>
      <c r="U1409" s="38"/>
      <c r="V1409" s="38"/>
      <c r="W1409" s="38"/>
      <c r="X1409" s="14"/>
      <c r="AN1409" s="7" t="s">
        <v>155</v>
      </c>
      <c r="AO1409" s="21">
        <f t="shared" si="72"/>
        <v>0</v>
      </c>
      <c r="AP1409" s="7">
        <f t="shared" si="69"/>
        <v>15</v>
      </c>
      <c r="AQ1409" s="31" t="str">
        <f t="shared" si="70"/>
        <v>Complete - No Adjustment</v>
      </c>
    </row>
    <row r="1410" spans="1:43" x14ac:dyDescent="0.2">
      <c r="A1410" s="46">
        <v>1400</v>
      </c>
      <c r="B1410" s="38" t="s">
        <v>266</v>
      </c>
      <c r="C1410" s="38" t="s">
        <v>532</v>
      </c>
      <c r="D1410" s="38" t="s">
        <v>531</v>
      </c>
      <c r="E1410" s="38" t="s">
        <v>3921</v>
      </c>
      <c r="F1410" s="38" t="s">
        <v>3773</v>
      </c>
      <c r="G1410" s="38" t="s">
        <v>111</v>
      </c>
      <c r="H1410" s="44">
        <v>44071</v>
      </c>
      <c r="I1410" s="44">
        <v>44074</v>
      </c>
      <c r="J1410">
        <v>52</v>
      </c>
      <c r="K1410">
        <v>52</v>
      </c>
      <c r="L1410" t="s">
        <v>3922</v>
      </c>
      <c r="M1410" s="45" t="s">
        <v>98</v>
      </c>
      <c r="N1410" s="38" t="s">
        <v>230</v>
      </c>
      <c r="O1410" s="38" t="s">
        <v>533</v>
      </c>
      <c r="P1410" s="38" t="s">
        <v>60</v>
      </c>
      <c r="Q1410" s="38" t="s">
        <v>48</v>
      </c>
      <c r="R1410" s="38" t="s">
        <v>270</v>
      </c>
      <c r="S1410" s="38" t="s">
        <v>3923</v>
      </c>
      <c r="T1410" s="38" t="s">
        <v>3924</v>
      </c>
      <c r="U1410" s="38"/>
      <c r="V1410" s="38"/>
      <c r="W1410" s="38"/>
      <c r="X1410" s="14"/>
      <c r="AN1410" s="7" t="s">
        <v>70</v>
      </c>
      <c r="AO1410" s="21">
        <f t="shared" si="72"/>
        <v>0</v>
      </c>
      <c r="AP1410" s="7">
        <f t="shared" si="69"/>
        <v>52</v>
      </c>
      <c r="AQ1410" s="31" t="str">
        <f t="shared" si="70"/>
        <v>Complete - No Adjustment</v>
      </c>
    </row>
    <row r="1411" spans="1:43" x14ac:dyDescent="0.2">
      <c r="A1411" s="46">
        <v>1401</v>
      </c>
      <c r="B1411" s="38" t="s">
        <v>266</v>
      </c>
      <c r="C1411" s="38" t="s">
        <v>391</v>
      </c>
      <c r="D1411" s="38" t="s">
        <v>390</v>
      </c>
      <c r="E1411" s="38" t="s">
        <v>3925</v>
      </c>
      <c r="F1411" s="38" t="s">
        <v>3738</v>
      </c>
      <c r="G1411" s="38" t="s">
        <v>111</v>
      </c>
      <c r="H1411" s="44">
        <v>43990</v>
      </c>
      <c r="I1411" s="44">
        <v>44053</v>
      </c>
      <c r="J1411">
        <v>259.33</v>
      </c>
      <c r="K1411">
        <v>34.5</v>
      </c>
      <c r="L1411" t="s">
        <v>3926</v>
      </c>
      <c r="M1411" s="45" t="s">
        <v>98</v>
      </c>
      <c r="N1411" s="38" t="s">
        <v>230</v>
      </c>
      <c r="O1411" s="38" t="s">
        <v>271</v>
      </c>
      <c r="P1411" s="38" t="s">
        <v>60</v>
      </c>
      <c r="Q1411" s="38" t="s">
        <v>44</v>
      </c>
      <c r="R1411" s="38" t="s">
        <v>270</v>
      </c>
      <c r="S1411" s="38" t="s">
        <v>3927</v>
      </c>
      <c r="T1411" s="38" t="s">
        <v>3928</v>
      </c>
      <c r="U1411" s="38"/>
      <c r="V1411" s="38"/>
      <c r="W1411" s="38"/>
      <c r="X1411" s="14"/>
      <c r="AN1411" s="7" t="s">
        <v>70</v>
      </c>
      <c r="AO1411" s="21">
        <f t="shared" si="72"/>
        <v>0</v>
      </c>
      <c r="AP1411" s="7">
        <f t="shared" si="69"/>
        <v>34.5</v>
      </c>
      <c r="AQ1411" s="31" t="str">
        <f t="shared" si="70"/>
        <v>Complete - No Adjustment</v>
      </c>
    </row>
    <row r="1412" spans="1:43" x14ac:dyDescent="0.2">
      <c r="A1412" s="46">
        <v>1402</v>
      </c>
      <c r="B1412" s="38" t="s">
        <v>266</v>
      </c>
      <c r="C1412" s="38" t="s">
        <v>391</v>
      </c>
      <c r="D1412" s="38" t="s">
        <v>390</v>
      </c>
      <c r="E1412" s="38" t="s">
        <v>3925</v>
      </c>
      <c r="F1412" s="38" t="s">
        <v>3738</v>
      </c>
      <c r="G1412" s="38" t="s">
        <v>111</v>
      </c>
      <c r="H1412" s="44">
        <v>43990</v>
      </c>
      <c r="I1412" s="44">
        <v>44053</v>
      </c>
      <c r="J1412">
        <v>259.33</v>
      </c>
      <c r="K1412">
        <v>28.75</v>
      </c>
      <c r="L1412" t="s">
        <v>3926</v>
      </c>
      <c r="M1412" s="45" t="s">
        <v>98</v>
      </c>
      <c r="N1412" s="38" t="s">
        <v>230</v>
      </c>
      <c r="O1412" s="38" t="s">
        <v>271</v>
      </c>
      <c r="P1412" s="38" t="s">
        <v>60</v>
      </c>
      <c r="Q1412" s="38" t="s">
        <v>44</v>
      </c>
      <c r="R1412" s="38" t="s">
        <v>270</v>
      </c>
      <c r="S1412" s="38" t="s">
        <v>3927</v>
      </c>
      <c r="T1412" s="38" t="s">
        <v>3929</v>
      </c>
      <c r="U1412" s="38"/>
      <c r="V1412" s="38"/>
      <c r="W1412" s="38"/>
      <c r="X1412" s="14"/>
      <c r="AN1412" s="7" t="s">
        <v>70</v>
      </c>
      <c r="AO1412" s="21">
        <f t="shared" si="72"/>
        <v>0</v>
      </c>
      <c r="AP1412" s="7">
        <f t="shared" si="69"/>
        <v>28.75</v>
      </c>
      <c r="AQ1412" s="31" t="str">
        <f t="shared" si="70"/>
        <v>Complete - No Adjustment</v>
      </c>
    </row>
    <row r="1413" spans="1:43" x14ac:dyDescent="0.2">
      <c r="A1413" s="46">
        <v>1403</v>
      </c>
      <c r="B1413" s="38" t="s">
        <v>266</v>
      </c>
      <c r="C1413" s="38" t="s">
        <v>391</v>
      </c>
      <c r="D1413" s="38" t="s">
        <v>390</v>
      </c>
      <c r="E1413" s="38" t="s">
        <v>3925</v>
      </c>
      <c r="F1413" s="38" t="s">
        <v>3738</v>
      </c>
      <c r="G1413" s="38" t="s">
        <v>111</v>
      </c>
      <c r="H1413" s="44">
        <v>43990</v>
      </c>
      <c r="I1413" s="44">
        <v>44053</v>
      </c>
      <c r="J1413">
        <v>259.33</v>
      </c>
      <c r="K1413">
        <v>17.25</v>
      </c>
      <c r="L1413" t="s">
        <v>3926</v>
      </c>
      <c r="M1413" s="45" t="s">
        <v>98</v>
      </c>
      <c r="N1413" s="38" t="s">
        <v>230</v>
      </c>
      <c r="O1413" s="38" t="s">
        <v>271</v>
      </c>
      <c r="P1413" s="38" t="s">
        <v>60</v>
      </c>
      <c r="Q1413" s="38" t="s">
        <v>44</v>
      </c>
      <c r="R1413" s="38" t="s">
        <v>270</v>
      </c>
      <c r="S1413" s="38" t="s">
        <v>3927</v>
      </c>
      <c r="T1413" s="38" t="s">
        <v>3930</v>
      </c>
      <c r="U1413" s="38"/>
      <c r="V1413" s="38"/>
      <c r="W1413" s="38"/>
      <c r="X1413" s="14"/>
      <c r="AN1413" s="7" t="s">
        <v>70</v>
      </c>
      <c r="AO1413" s="21">
        <f t="shared" si="72"/>
        <v>0</v>
      </c>
      <c r="AP1413" s="7">
        <f t="shared" si="69"/>
        <v>17.25</v>
      </c>
      <c r="AQ1413" s="31" t="str">
        <f t="shared" si="70"/>
        <v>Complete - No Adjustment</v>
      </c>
    </row>
    <row r="1414" spans="1:43" x14ac:dyDescent="0.2">
      <c r="A1414" s="46">
        <v>1404</v>
      </c>
      <c r="B1414" s="38" t="s">
        <v>266</v>
      </c>
      <c r="C1414" s="38" t="s">
        <v>391</v>
      </c>
      <c r="D1414" s="38" t="s">
        <v>390</v>
      </c>
      <c r="E1414" s="38" t="s">
        <v>3925</v>
      </c>
      <c r="F1414" s="38" t="s">
        <v>3738</v>
      </c>
      <c r="G1414" s="38" t="s">
        <v>111</v>
      </c>
      <c r="H1414" s="44">
        <v>43990</v>
      </c>
      <c r="I1414" s="44">
        <v>44053</v>
      </c>
      <c r="J1414">
        <v>259.33</v>
      </c>
      <c r="K1414">
        <v>3.45</v>
      </c>
      <c r="L1414" t="s">
        <v>3926</v>
      </c>
      <c r="M1414" s="45" t="s">
        <v>98</v>
      </c>
      <c r="N1414" s="38" t="s">
        <v>230</v>
      </c>
      <c r="O1414" s="38" t="s">
        <v>271</v>
      </c>
      <c r="P1414" s="38" t="s">
        <v>60</v>
      </c>
      <c r="Q1414" s="38" t="s">
        <v>44</v>
      </c>
      <c r="R1414" s="38" t="s">
        <v>270</v>
      </c>
      <c r="S1414" s="38" t="s">
        <v>3927</v>
      </c>
      <c r="T1414" s="38" t="s">
        <v>3931</v>
      </c>
      <c r="U1414" s="38"/>
      <c r="V1414" s="38"/>
      <c r="W1414" s="38"/>
      <c r="X1414" s="14"/>
      <c r="AK1414" s="53">
        <f>3.45</f>
        <v>3.45</v>
      </c>
      <c r="AN1414" s="7" t="s">
        <v>148</v>
      </c>
      <c r="AO1414" s="21">
        <f t="shared" si="72"/>
        <v>3.45</v>
      </c>
      <c r="AP1414" s="7">
        <f t="shared" si="69"/>
        <v>0</v>
      </c>
      <c r="AQ1414" s="31" t="str">
        <f t="shared" si="70"/>
        <v>Complete - With Adjustment</v>
      </c>
    </row>
    <row r="1415" spans="1:43" x14ac:dyDescent="0.2">
      <c r="A1415" s="46">
        <v>1405</v>
      </c>
      <c r="B1415" s="38" t="s">
        <v>266</v>
      </c>
      <c r="C1415" s="38" t="s">
        <v>391</v>
      </c>
      <c r="D1415" s="38" t="s">
        <v>390</v>
      </c>
      <c r="E1415" s="38" t="s">
        <v>3925</v>
      </c>
      <c r="F1415" s="38" t="s">
        <v>3738</v>
      </c>
      <c r="G1415" s="38" t="s">
        <v>111</v>
      </c>
      <c r="H1415" s="44">
        <v>43990</v>
      </c>
      <c r="I1415" s="44">
        <v>44053</v>
      </c>
      <c r="J1415">
        <v>259.33</v>
      </c>
      <c r="K1415">
        <v>31.63</v>
      </c>
      <c r="L1415" t="s">
        <v>3926</v>
      </c>
      <c r="M1415" s="45" t="s">
        <v>98</v>
      </c>
      <c r="N1415" s="38" t="s">
        <v>230</v>
      </c>
      <c r="O1415" s="38" t="s">
        <v>271</v>
      </c>
      <c r="P1415" s="38" t="s">
        <v>60</v>
      </c>
      <c r="Q1415" s="38" t="s">
        <v>44</v>
      </c>
      <c r="R1415" s="38" t="s">
        <v>270</v>
      </c>
      <c r="S1415" s="38" t="s">
        <v>3927</v>
      </c>
      <c r="T1415" s="38" t="s">
        <v>3932</v>
      </c>
      <c r="U1415" s="38"/>
      <c r="V1415" s="38"/>
      <c r="W1415" s="38"/>
      <c r="X1415" s="14"/>
      <c r="AK1415" s="53">
        <f>31.63</f>
        <v>31.63</v>
      </c>
      <c r="AN1415" s="7" t="s">
        <v>148</v>
      </c>
      <c r="AO1415" s="21">
        <f t="shared" si="72"/>
        <v>31.63</v>
      </c>
      <c r="AP1415" s="7">
        <f t="shared" si="69"/>
        <v>0</v>
      </c>
      <c r="AQ1415" s="31" t="str">
        <f t="shared" si="70"/>
        <v>Complete - With Adjustment</v>
      </c>
    </row>
    <row r="1416" spans="1:43" x14ac:dyDescent="0.2">
      <c r="A1416" s="46">
        <v>1406</v>
      </c>
      <c r="B1416" s="38" t="s">
        <v>266</v>
      </c>
      <c r="C1416" s="38" t="s">
        <v>391</v>
      </c>
      <c r="D1416" s="38" t="s">
        <v>390</v>
      </c>
      <c r="E1416" s="38" t="s">
        <v>3925</v>
      </c>
      <c r="F1416" s="38" t="s">
        <v>3738</v>
      </c>
      <c r="G1416" s="38" t="s">
        <v>111</v>
      </c>
      <c r="H1416" s="44">
        <v>43990</v>
      </c>
      <c r="I1416" s="44">
        <v>44053</v>
      </c>
      <c r="J1416">
        <v>259.33</v>
      </c>
      <c r="K1416">
        <v>17.25</v>
      </c>
      <c r="L1416" t="s">
        <v>3926</v>
      </c>
      <c r="M1416" s="45" t="s">
        <v>98</v>
      </c>
      <c r="N1416" s="38" t="s">
        <v>230</v>
      </c>
      <c r="O1416" s="38" t="s">
        <v>271</v>
      </c>
      <c r="P1416" s="38" t="s">
        <v>60</v>
      </c>
      <c r="Q1416" s="38" t="s">
        <v>44</v>
      </c>
      <c r="R1416" s="38" t="s">
        <v>270</v>
      </c>
      <c r="S1416" s="38" t="s">
        <v>3927</v>
      </c>
      <c r="T1416" s="38" t="s">
        <v>3933</v>
      </c>
      <c r="U1416" s="38"/>
      <c r="V1416" s="38"/>
      <c r="W1416" s="38"/>
      <c r="X1416" s="14"/>
      <c r="AN1416" s="7" t="s">
        <v>70</v>
      </c>
      <c r="AO1416" s="21">
        <f t="shared" si="72"/>
        <v>0</v>
      </c>
      <c r="AP1416" s="7">
        <f t="shared" si="69"/>
        <v>17.25</v>
      </c>
      <c r="AQ1416" s="31" t="str">
        <f t="shared" si="70"/>
        <v>Complete - No Adjustment</v>
      </c>
    </row>
    <row r="1417" spans="1:43" x14ac:dyDescent="0.2">
      <c r="A1417" s="46">
        <v>1407</v>
      </c>
      <c r="B1417" s="38" t="s">
        <v>266</v>
      </c>
      <c r="C1417" s="38" t="s">
        <v>391</v>
      </c>
      <c r="D1417" s="38" t="s">
        <v>390</v>
      </c>
      <c r="E1417" s="38" t="s">
        <v>3925</v>
      </c>
      <c r="F1417" s="38" t="s">
        <v>3738</v>
      </c>
      <c r="G1417" s="38" t="s">
        <v>111</v>
      </c>
      <c r="H1417" s="44">
        <v>43990</v>
      </c>
      <c r="I1417" s="44">
        <v>44053</v>
      </c>
      <c r="J1417">
        <v>259.33</v>
      </c>
      <c r="K1417">
        <v>17.25</v>
      </c>
      <c r="L1417" t="s">
        <v>3926</v>
      </c>
      <c r="M1417" s="45" t="s">
        <v>98</v>
      </c>
      <c r="N1417" s="38" t="s">
        <v>230</v>
      </c>
      <c r="O1417" s="38" t="s">
        <v>271</v>
      </c>
      <c r="P1417" s="38" t="s">
        <v>60</v>
      </c>
      <c r="Q1417" s="38" t="s">
        <v>44</v>
      </c>
      <c r="R1417" s="38" t="s">
        <v>270</v>
      </c>
      <c r="S1417" s="38" t="s">
        <v>3927</v>
      </c>
      <c r="T1417" s="38" t="s">
        <v>3934</v>
      </c>
      <c r="U1417" s="38"/>
      <c r="V1417" s="38"/>
      <c r="W1417" s="38"/>
      <c r="X1417" s="14"/>
      <c r="AN1417" s="7" t="s">
        <v>70</v>
      </c>
      <c r="AO1417" s="21">
        <f t="shared" si="72"/>
        <v>0</v>
      </c>
      <c r="AP1417" s="7">
        <f t="shared" si="69"/>
        <v>17.25</v>
      </c>
      <c r="AQ1417" s="31" t="str">
        <f t="shared" si="70"/>
        <v>Complete - No Adjustment</v>
      </c>
    </row>
    <row r="1418" spans="1:43" x14ac:dyDescent="0.2">
      <c r="A1418" s="46">
        <v>1408</v>
      </c>
      <c r="B1418" s="38" t="s">
        <v>266</v>
      </c>
      <c r="C1418" s="38" t="s">
        <v>391</v>
      </c>
      <c r="D1418" s="38" t="s">
        <v>390</v>
      </c>
      <c r="E1418" s="38" t="s">
        <v>3925</v>
      </c>
      <c r="F1418" s="38" t="s">
        <v>3738</v>
      </c>
      <c r="G1418" s="38" t="s">
        <v>111</v>
      </c>
      <c r="H1418" s="44">
        <v>43990</v>
      </c>
      <c r="I1418" s="44">
        <v>44053</v>
      </c>
      <c r="J1418">
        <v>259.33</v>
      </c>
      <c r="K1418">
        <v>17.25</v>
      </c>
      <c r="L1418" t="s">
        <v>3926</v>
      </c>
      <c r="M1418" s="45" t="s">
        <v>98</v>
      </c>
      <c r="N1418" s="38" t="s">
        <v>230</v>
      </c>
      <c r="O1418" s="38" t="s">
        <v>271</v>
      </c>
      <c r="P1418" s="38" t="s">
        <v>60</v>
      </c>
      <c r="Q1418" s="38" t="s">
        <v>44</v>
      </c>
      <c r="R1418" s="38" t="s">
        <v>270</v>
      </c>
      <c r="S1418" s="38" t="s">
        <v>3927</v>
      </c>
      <c r="T1418" s="38" t="s">
        <v>3935</v>
      </c>
      <c r="U1418" s="38"/>
      <c r="V1418" s="38"/>
      <c r="W1418" s="38"/>
      <c r="X1418" s="14"/>
      <c r="AN1418" s="7" t="s">
        <v>70</v>
      </c>
      <c r="AO1418" s="21">
        <f t="shared" si="72"/>
        <v>0</v>
      </c>
      <c r="AP1418" s="7">
        <f t="shared" ref="AP1418:AP1481" si="73">K1418-AO1418</f>
        <v>17.25</v>
      </c>
      <c r="AQ1418" s="31" t="str">
        <f t="shared" si="70"/>
        <v>Complete - No Adjustment</v>
      </c>
    </row>
    <row r="1419" spans="1:43" x14ac:dyDescent="0.2">
      <c r="A1419" s="46">
        <v>1409</v>
      </c>
      <c r="B1419" s="38" t="s">
        <v>266</v>
      </c>
      <c r="C1419" s="38" t="s">
        <v>391</v>
      </c>
      <c r="D1419" s="38" t="s">
        <v>390</v>
      </c>
      <c r="E1419" s="38" t="s">
        <v>3925</v>
      </c>
      <c r="F1419" s="38" t="s">
        <v>3738</v>
      </c>
      <c r="G1419" s="38" t="s">
        <v>111</v>
      </c>
      <c r="H1419" s="44">
        <v>43990</v>
      </c>
      <c r="I1419" s="44">
        <v>44053</v>
      </c>
      <c r="J1419">
        <v>259.33</v>
      </c>
      <c r="K1419">
        <v>92</v>
      </c>
      <c r="L1419" t="s">
        <v>3926</v>
      </c>
      <c r="M1419" s="45" t="s">
        <v>98</v>
      </c>
      <c r="N1419" s="38" t="s">
        <v>230</v>
      </c>
      <c r="O1419" s="38" t="s">
        <v>271</v>
      </c>
      <c r="P1419" s="38" t="s">
        <v>60</v>
      </c>
      <c r="Q1419" s="38" t="s">
        <v>44</v>
      </c>
      <c r="R1419" s="38" t="s">
        <v>270</v>
      </c>
      <c r="S1419" s="38" t="s">
        <v>3927</v>
      </c>
      <c r="T1419" s="38" t="s">
        <v>3936</v>
      </c>
      <c r="U1419" s="38"/>
      <c r="V1419" s="38"/>
      <c r="W1419" s="38"/>
      <c r="X1419" s="14"/>
      <c r="AN1419" s="7" t="s">
        <v>70</v>
      </c>
      <c r="AO1419" s="21">
        <f t="shared" si="72"/>
        <v>0</v>
      </c>
      <c r="AP1419" s="7">
        <f t="shared" si="73"/>
        <v>92</v>
      </c>
      <c r="AQ1419" s="31" t="str">
        <f t="shared" si="70"/>
        <v>Complete - No Adjustment</v>
      </c>
    </row>
    <row r="1420" spans="1:43" x14ac:dyDescent="0.2">
      <c r="A1420" s="46">
        <v>1410</v>
      </c>
      <c r="B1420" s="38" t="s">
        <v>266</v>
      </c>
      <c r="C1420" s="38" t="s">
        <v>675</v>
      </c>
      <c r="D1420" s="38" t="s">
        <v>674</v>
      </c>
      <c r="E1420" s="38" t="s">
        <v>3937</v>
      </c>
      <c r="F1420" s="38" t="s">
        <v>3753</v>
      </c>
      <c r="G1420" s="38" t="s">
        <v>111</v>
      </c>
      <c r="H1420" s="44">
        <v>43990</v>
      </c>
      <c r="I1420" s="44">
        <v>44046</v>
      </c>
      <c r="J1420">
        <v>1215.1400000000001</v>
      </c>
      <c r="K1420">
        <v>1200</v>
      </c>
      <c r="L1420" t="s">
        <v>3938</v>
      </c>
      <c r="M1420" s="45" t="s">
        <v>98</v>
      </c>
      <c r="N1420" s="38" t="s">
        <v>230</v>
      </c>
      <c r="O1420" s="38" t="s">
        <v>592</v>
      </c>
      <c r="P1420" s="38" t="s">
        <v>60</v>
      </c>
      <c r="Q1420" s="38" t="s">
        <v>56</v>
      </c>
      <c r="R1420" s="38" t="s">
        <v>270</v>
      </c>
      <c r="S1420" s="38" t="s">
        <v>3939</v>
      </c>
      <c r="T1420" s="38" t="s">
        <v>3940</v>
      </c>
      <c r="U1420" s="38"/>
      <c r="V1420" s="38"/>
      <c r="W1420" s="38"/>
      <c r="X1420" s="14"/>
      <c r="AN1420" s="7" t="s">
        <v>70</v>
      </c>
      <c r="AO1420" s="21">
        <f t="shared" si="72"/>
        <v>0</v>
      </c>
      <c r="AP1420" s="7">
        <f t="shared" si="73"/>
        <v>1200</v>
      </c>
      <c r="AQ1420" s="31" t="str">
        <f t="shared" si="70"/>
        <v>Complete - No Adjustment</v>
      </c>
    </row>
    <row r="1421" spans="1:43" x14ac:dyDescent="0.2">
      <c r="A1421" s="46">
        <v>1411</v>
      </c>
      <c r="B1421" s="38" t="s">
        <v>266</v>
      </c>
      <c r="C1421" s="38" t="s">
        <v>675</v>
      </c>
      <c r="D1421" s="38" t="s">
        <v>674</v>
      </c>
      <c r="E1421" s="38" t="s">
        <v>3937</v>
      </c>
      <c r="F1421" s="38" t="s">
        <v>3753</v>
      </c>
      <c r="G1421" s="38" t="s">
        <v>111</v>
      </c>
      <c r="H1421" s="44">
        <v>43990</v>
      </c>
      <c r="I1421" s="44">
        <v>44046</v>
      </c>
      <c r="J1421">
        <v>1215.1400000000001</v>
      </c>
      <c r="K1421">
        <v>15.14</v>
      </c>
      <c r="L1421" t="s">
        <v>3938</v>
      </c>
      <c r="M1421" s="45" t="s">
        <v>98</v>
      </c>
      <c r="N1421" s="38" t="s">
        <v>230</v>
      </c>
      <c r="O1421" s="38" t="s">
        <v>592</v>
      </c>
      <c r="P1421" s="38" t="s">
        <v>60</v>
      </c>
      <c r="Q1421" s="38" t="s">
        <v>46</v>
      </c>
      <c r="R1421" s="38" t="s">
        <v>270</v>
      </c>
      <c r="S1421" s="38" t="s">
        <v>3939</v>
      </c>
      <c r="T1421" s="38" t="s">
        <v>3941</v>
      </c>
      <c r="U1421" s="38"/>
      <c r="V1421" s="38"/>
      <c r="W1421" s="38"/>
      <c r="X1421" s="14"/>
      <c r="AN1421" s="7" t="s">
        <v>155</v>
      </c>
      <c r="AO1421" s="21">
        <f t="shared" si="72"/>
        <v>0</v>
      </c>
      <c r="AP1421" s="7">
        <f t="shared" si="73"/>
        <v>15.14</v>
      </c>
      <c r="AQ1421" s="31" t="str">
        <f t="shared" si="70"/>
        <v>Complete - No Adjustment</v>
      </c>
    </row>
    <row r="1422" spans="1:43" x14ac:dyDescent="0.2">
      <c r="A1422" s="46">
        <v>1412</v>
      </c>
      <c r="B1422" s="38" t="s">
        <v>266</v>
      </c>
      <c r="C1422" s="38" t="s">
        <v>603</v>
      </c>
      <c r="D1422" s="38" t="s">
        <v>602</v>
      </c>
      <c r="E1422" s="38" t="s">
        <v>3942</v>
      </c>
      <c r="F1422" s="38" t="s">
        <v>3822</v>
      </c>
      <c r="G1422" s="38" t="s">
        <v>111</v>
      </c>
      <c r="H1422" s="44">
        <v>44033</v>
      </c>
      <c r="I1422" s="44">
        <v>44064</v>
      </c>
      <c r="J1422">
        <v>15</v>
      </c>
      <c r="K1422">
        <v>15</v>
      </c>
      <c r="L1422" t="s">
        <v>3943</v>
      </c>
      <c r="M1422" s="45" t="s">
        <v>98</v>
      </c>
      <c r="N1422" s="38" t="s">
        <v>230</v>
      </c>
      <c r="O1422" s="38" t="s">
        <v>323</v>
      </c>
      <c r="P1422" s="38" t="s">
        <v>60</v>
      </c>
      <c r="Q1422" s="38" t="s">
        <v>41</v>
      </c>
      <c r="R1422" s="38" t="s">
        <v>270</v>
      </c>
      <c r="S1422" s="38" t="s">
        <v>3944</v>
      </c>
      <c r="T1422" s="38" t="s">
        <v>3945</v>
      </c>
      <c r="U1422" s="38"/>
      <c r="V1422" s="38"/>
      <c r="W1422" s="38"/>
      <c r="X1422" s="14"/>
      <c r="AN1422" s="7" t="s">
        <v>155</v>
      </c>
      <c r="AO1422" s="21">
        <f t="shared" si="72"/>
        <v>0</v>
      </c>
      <c r="AP1422" s="7">
        <f t="shared" si="73"/>
        <v>15</v>
      </c>
      <c r="AQ1422" s="31" t="str">
        <f t="shared" si="70"/>
        <v>Complete - No Adjustment</v>
      </c>
    </row>
    <row r="1423" spans="1:43" x14ac:dyDescent="0.2">
      <c r="A1423" s="46">
        <v>1413</v>
      </c>
      <c r="B1423" s="38" t="s">
        <v>266</v>
      </c>
      <c r="C1423" s="38" t="s">
        <v>3946</v>
      </c>
      <c r="D1423" s="38" t="s">
        <v>3947</v>
      </c>
      <c r="E1423" s="38" t="s">
        <v>3948</v>
      </c>
      <c r="F1423" s="38" t="s">
        <v>3949</v>
      </c>
      <c r="G1423" s="38" t="s">
        <v>111</v>
      </c>
      <c r="H1423" s="44">
        <v>44057</v>
      </c>
      <c r="I1423" s="44">
        <v>44067</v>
      </c>
      <c r="J1423">
        <v>197.75</v>
      </c>
      <c r="K1423">
        <v>197.75</v>
      </c>
      <c r="L1423" t="s">
        <v>3950</v>
      </c>
      <c r="M1423" s="45" t="s">
        <v>98</v>
      </c>
      <c r="N1423" s="38" t="s">
        <v>230</v>
      </c>
      <c r="O1423" s="38" t="s">
        <v>378</v>
      </c>
      <c r="P1423" s="38" t="s">
        <v>60</v>
      </c>
      <c r="Q1423" s="38" t="s">
        <v>104</v>
      </c>
      <c r="R1423" s="38" t="s">
        <v>270</v>
      </c>
      <c r="S1423" s="38" t="s">
        <v>3951</v>
      </c>
      <c r="T1423" s="38" t="s">
        <v>3952</v>
      </c>
      <c r="U1423" s="38"/>
      <c r="V1423" s="38"/>
      <c r="W1423" s="38"/>
      <c r="X1423" s="14"/>
      <c r="AN1423" s="7" t="s">
        <v>155</v>
      </c>
      <c r="AO1423" s="21">
        <f t="shared" si="72"/>
        <v>0</v>
      </c>
      <c r="AP1423" s="7">
        <f t="shared" si="73"/>
        <v>197.75</v>
      </c>
      <c r="AQ1423" s="31" t="str">
        <f t="shared" si="70"/>
        <v>Complete - No Adjustment</v>
      </c>
    </row>
    <row r="1424" spans="1:43" x14ac:dyDescent="0.2">
      <c r="A1424" s="46">
        <v>1414</v>
      </c>
      <c r="B1424" s="38" t="s">
        <v>266</v>
      </c>
      <c r="C1424" s="38" t="s">
        <v>399</v>
      </c>
      <c r="D1424" s="38" t="s">
        <v>398</v>
      </c>
      <c r="E1424" s="38" t="s">
        <v>3953</v>
      </c>
      <c r="F1424" s="38" t="s">
        <v>3954</v>
      </c>
      <c r="G1424" s="38" t="s">
        <v>111</v>
      </c>
      <c r="H1424" s="44">
        <v>44048</v>
      </c>
      <c r="I1424" s="44">
        <v>44050</v>
      </c>
      <c r="J1424">
        <v>30</v>
      </c>
      <c r="K1424">
        <v>6</v>
      </c>
      <c r="L1424" t="s">
        <v>3955</v>
      </c>
      <c r="M1424" s="45" t="s">
        <v>97</v>
      </c>
      <c r="N1424" s="38" t="s">
        <v>230</v>
      </c>
      <c r="O1424" s="38" t="s">
        <v>50</v>
      </c>
      <c r="P1424" s="38" t="s">
        <v>72</v>
      </c>
      <c r="Q1424" s="38" t="s">
        <v>41</v>
      </c>
      <c r="R1424" s="38" t="s">
        <v>270</v>
      </c>
      <c r="S1424" s="38" t="s">
        <v>3956</v>
      </c>
      <c r="T1424" s="38" t="s">
        <v>3957</v>
      </c>
      <c r="U1424" s="38"/>
      <c r="V1424" s="38"/>
      <c r="W1424" s="38"/>
      <c r="X1424" s="14"/>
      <c r="AN1424" s="7" t="s">
        <v>155</v>
      </c>
      <c r="AO1424" s="21">
        <f t="shared" si="72"/>
        <v>0</v>
      </c>
      <c r="AP1424" s="7">
        <f t="shared" si="73"/>
        <v>6</v>
      </c>
      <c r="AQ1424" s="31" t="str">
        <f t="shared" ref="AQ1424:AQ1488" si="74">IF(AO1424&lt;&gt;0,"Complete - With Adjustment","Complete - No Adjustment")</f>
        <v>Complete - No Adjustment</v>
      </c>
    </row>
    <row r="1425" spans="1:45" x14ac:dyDescent="0.2">
      <c r="A1425" s="46">
        <v>1415</v>
      </c>
      <c r="B1425" s="38" t="s">
        <v>266</v>
      </c>
      <c r="C1425" s="38" t="s">
        <v>399</v>
      </c>
      <c r="D1425" s="38" t="s">
        <v>398</v>
      </c>
      <c r="E1425" s="38" t="s">
        <v>3953</v>
      </c>
      <c r="F1425" s="38" t="s">
        <v>3954</v>
      </c>
      <c r="G1425" s="38" t="s">
        <v>111</v>
      </c>
      <c r="H1425" s="44">
        <v>44048</v>
      </c>
      <c r="I1425" s="44">
        <v>44050</v>
      </c>
      <c r="J1425">
        <v>30</v>
      </c>
      <c r="K1425">
        <v>9</v>
      </c>
      <c r="L1425" t="s">
        <v>3955</v>
      </c>
      <c r="M1425" s="45" t="s">
        <v>98</v>
      </c>
      <c r="N1425" s="38" t="s">
        <v>230</v>
      </c>
      <c r="O1425" s="38" t="s">
        <v>356</v>
      </c>
      <c r="P1425" s="38" t="s">
        <v>60</v>
      </c>
      <c r="Q1425" s="38" t="s">
        <v>41</v>
      </c>
      <c r="R1425" s="38" t="s">
        <v>270</v>
      </c>
      <c r="S1425" s="38" t="s">
        <v>3956</v>
      </c>
      <c r="T1425" s="38" t="s">
        <v>3957</v>
      </c>
      <c r="U1425" s="38"/>
      <c r="V1425" s="38"/>
      <c r="W1425" s="38"/>
      <c r="X1425" s="14"/>
      <c r="AN1425" s="7" t="s">
        <v>155</v>
      </c>
      <c r="AO1425" s="21">
        <f t="shared" si="72"/>
        <v>0</v>
      </c>
      <c r="AP1425" s="7">
        <f t="shared" si="73"/>
        <v>9</v>
      </c>
      <c r="AQ1425" s="31" t="str">
        <f t="shared" si="74"/>
        <v>Complete - No Adjustment</v>
      </c>
    </row>
    <row r="1426" spans="1:45" x14ac:dyDescent="0.2">
      <c r="A1426" s="46">
        <v>1416</v>
      </c>
      <c r="B1426" s="38" t="s">
        <v>266</v>
      </c>
      <c r="C1426" s="38" t="s">
        <v>399</v>
      </c>
      <c r="D1426" s="38" t="s">
        <v>398</v>
      </c>
      <c r="E1426" s="38" t="s">
        <v>3953</v>
      </c>
      <c r="F1426" s="38" t="s">
        <v>3954</v>
      </c>
      <c r="G1426" s="38" t="s">
        <v>111</v>
      </c>
      <c r="H1426" s="44">
        <v>44048</v>
      </c>
      <c r="I1426" s="44">
        <v>44050</v>
      </c>
      <c r="J1426">
        <v>30</v>
      </c>
      <c r="K1426">
        <v>6</v>
      </c>
      <c r="L1426" t="s">
        <v>3955</v>
      </c>
      <c r="M1426" s="45" t="s">
        <v>97</v>
      </c>
      <c r="N1426" s="38" t="s">
        <v>230</v>
      </c>
      <c r="O1426" s="38" t="s">
        <v>50</v>
      </c>
      <c r="P1426" s="38" t="s">
        <v>72</v>
      </c>
      <c r="Q1426" s="38" t="s">
        <v>41</v>
      </c>
      <c r="R1426" s="38" t="s">
        <v>270</v>
      </c>
      <c r="S1426" s="38" t="s">
        <v>3956</v>
      </c>
      <c r="T1426" s="38" t="s">
        <v>3958</v>
      </c>
      <c r="U1426" s="38"/>
      <c r="V1426" s="38"/>
      <c r="W1426" s="38"/>
      <c r="X1426" s="14"/>
      <c r="AN1426" s="7" t="s">
        <v>155</v>
      </c>
      <c r="AO1426" s="21">
        <f t="shared" si="72"/>
        <v>0</v>
      </c>
      <c r="AP1426" s="7">
        <f t="shared" si="73"/>
        <v>6</v>
      </c>
      <c r="AQ1426" s="31" t="str">
        <f t="shared" si="74"/>
        <v>Complete - No Adjustment</v>
      </c>
    </row>
    <row r="1427" spans="1:45" x14ac:dyDescent="0.2">
      <c r="A1427" s="46">
        <v>1417</v>
      </c>
      <c r="B1427" s="38" t="s">
        <v>266</v>
      </c>
      <c r="C1427" s="38" t="s">
        <v>399</v>
      </c>
      <c r="D1427" s="38" t="s">
        <v>398</v>
      </c>
      <c r="E1427" s="38" t="s">
        <v>3953</v>
      </c>
      <c r="F1427" s="38" t="s">
        <v>3954</v>
      </c>
      <c r="G1427" s="38" t="s">
        <v>111</v>
      </c>
      <c r="H1427" s="44">
        <v>44048</v>
      </c>
      <c r="I1427" s="44">
        <v>44050</v>
      </c>
      <c r="J1427">
        <v>30</v>
      </c>
      <c r="K1427">
        <v>9</v>
      </c>
      <c r="L1427" t="s">
        <v>3955</v>
      </c>
      <c r="M1427" s="45" t="s">
        <v>98</v>
      </c>
      <c r="N1427" s="38" t="s">
        <v>230</v>
      </c>
      <c r="O1427" s="38" t="s">
        <v>356</v>
      </c>
      <c r="P1427" s="38" t="s">
        <v>60</v>
      </c>
      <c r="Q1427" s="38" t="s">
        <v>41</v>
      </c>
      <c r="R1427" s="38" t="s">
        <v>270</v>
      </c>
      <c r="S1427" s="38" t="s">
        <v>3956</v>
      </c>
      <c r="T1427" s="38" t="s">
        <v>3958</v>
      </c>
      <c r="U1427" s="38"/>
      <c r="V1427" s="38"/>
      <c r="W1427" s="38"/>
      <c r="X1427" s="14"/>
      <c r="AN1427" s="7" t="s">
        <v>155</v>
      </c>
      <c r="AO1427" s="21">
        <f t="shared" si="72"/>
        <v>0</v>
      </c>
      <c r="AP1427" s="7">
        <f t="shared" si="73"/>
        <v>9</v>
      </c>
      <c r="AQ1427" s="31" t="str">
        <f t="shared" si="74"/>
        <v>Complete - No Adjustment</v>
      </c>
    </row>
    <row r="1428" spans="1:45" x14ac:dyDescent="0.2">
      <c r="A1428" s="46">
        <v>1418</v>
      </c>
      <c r="B1428" s="38" t="s">
        <v>266</v>
      </c>
      <c r="C1428" s="38" t="s">
        <v>1830</v>
      </c>
      <c r="D1428" s="38" t="s">
        <v>1831</v>
      </c>
      <c r="E1428" s="38" t="s">
        <v>3959</v>
      </c>
      <c r="F1428" s="38" t="s">
        <v>3695</v>
      </c>
      <c r="G1428" s="38" t="s">
        <v>111</v>
      </c>
      <c r="H1428" s="44">
        <v>44043</v>
      </c>
      <c r="I1428" s="44">
        <v>44048</v>
      </c>
      <c r="J1428">
        <v>15</v>
      </c>
      <c r="K1428">
        <v>15</v>
      </c>
      <c r="L1428" t="s">
        <v>3960</v>
      </c>
      <c r="M1428" s="45" t="s">
        <v>98</v>
      </c>
      <c r="N1428" s="38" t="s">
        <v>230</v>
      </c>
      <c r="O1428" s="38" t="s">
        <v>426</v>
      </c>
      <c r="P1428" s="38" t="s">
        <v>60</v>
      </c>
      <c r="Q1428" s="38" t="s">
        <v>41</v>
      </c>
      <c r="R1428" s="38" t="s">
        <v>270</v>
      </c>
      <c r="S1428" s="38" t="s">
        <v>3961</v>
      </c>
      <c r="T1428" s="38" t="s">
        <v>3962</v>
      </c>
      <c r="U1428" s="38"/>
      <c r="V1428" s="38"/>
      <c r="W1428" s="38"/>
      <c r="X1428" s="14"/>
      <c r="AN1428" s="7" t="s">
        <v>155</v>
      </c>
      <c r="AO1428" s="21">
        <f t="shared" si="72"/>
        <v>0</v>
      </c>
      <c r="AP1428" s="7">
        <f t="shared" si="73"/>
        <v>15</v>
      </c>
      <c r="AQ1428" s="31" t="str">
        <f t="shared" si="74"/>
        <v>Complete - No Adjustment</v>
      </c>
    </row>
    <row r="1429" spans="1:45" x14ac:dyDescent="0.2">
      <c r="A1429" s="46">
        <v>1419</v>
      </c>
      <c r="B1429" s="38" t="s">
        <v>266</v>
      </c>
      <c r="C1429" s="38" t="s">
        <v>401</v>
      </c>
      <c r="D1429" s="38" t="s">
        <v>400</v>
      </c>
      <c r="E1429" s="38" t="s">
        <v>4206</v>
      </c>
      <c r="F1429" s="38" t="s">
        <v>3738</v>
      </c>
      <c r="G1429" s="38" t="s">
        <v>111</v>
      </c>
      <c r="H1429" s="44">
        <v>44050</v>
      </c>
      <c r="I1429" s="44">
        <v>44053</v>
      </c>
      <c r="J1429">
        <v>94.23</v>
      </c>
      <c r="K1429">
        <v>94.23</v>
      </c>
      <c r="L1429"/>
      <c r="M1429" s="45" t="s">
        <v>97</v>
      </c>
      <c r="N1429" s="38" t="s">
        <v>230</v>
      </c>
      <c r="O1429" s="38" t="s">
        <v>402</v>
      </c>
      <c r="P1429" s="38" t="s">
        <v>42</v>
      </c>
      <c r="Q1429" s="38" t="s">
        <v>57</v>
      </c>
      <c r="R1429" s="38" t="s">
        <v>270</v>
      </c>
      <c r="S1429" s="38" t="s">
        <v>4207</v>
      </c>
      <c r="T1429" s="38" t="s">
        <v>4208</v>
      </c>
      <c r="U1429" s="38"/>
      <c r="V1429" s="38"/>
      <c r="W1429" s="38"/>
      <c r="X1429" s="14"/>
      <c r="Z1429" s="14">
        <f>94.23</f>
        <v>94.23</v>
      </c>
      <c r="AN1429" s="7" t="s">
        <v>39</v>
      </c>
      <c r="AO1429" s="21">
        <f t="shared" si="72"/>
        <v>94.23</v>
      </c>
      <c r="AP1429" s="7">
        <f t="shared" si="73"/>
        <v>0</v>
      </c>
      <c r="AQ1429" s="31" t="str">
        <f t="shared" si="74"/>
        <v>Complete - With Adjustment</v>
      </c>
      <c r="AS1429" s="12"/>
    </row>
    <row r="1430" spans="1:45" x14ac:dyDescent="0.2">
      <c r="A1430" s="46">
        <v>1420</v>
      </c>
      <c r="B1430" s="38" t="s">
        <v>266</v>
      </c>
      <c r="C1430" s="38" t="s">
        <v>654</v>
      </c>
      <c r="D1430" s="38" t="s">
        <v>653</v>
      </c>
      <c r="E1430" s="38" t="s">
        <v>3963</v>
      </c>
      <c r="F1430" s="38" t="s">
        <v>3878</v>
      </c>
      <c r="G1430" s="38" t="s">
        <v>111</v>
      </c>
      <c r="H1430" s="44">
        <v>44033</v>
      </c>
      <c r="I1430" s="44">
        <v>44054</v>
      </c>
      <c r="J1430">
        <v>15</v>
      </c>
      <c r="K1430">
        <v>15</v>
      </c>
      <c r="L1430" t="s">
        <v>3964</v>
      </c>
      <c r="M1430" s="45" t="s">
        <v>98</v>
      </c>
      <c r="N1430" s="38" t="s">
        <v>230</v>
      </c>
      <c r="O1430" s="38" t="s">
        <v>397</v>
      </c>
      <c r="P1430" s="38" t="s">
        <v>60</v>
      </c>
      <c r="Q1430" s="38" t="s">
        <v>41</v>
      </c>
      <c r="R1430" s="38" t="s">
        <v>270</v>
      </c>
      <c r="S1430" s="38" t="s">
        <v>3965</v>
      </c>
      <c r="T1430" s="38" t="s">
        <v>3966</v>
      </c>
      <c r="U1430" s="38"/>
      <c r="V1430" s="38"/>
      <c r="W1430" s="38"/>
      <c r="X1430" s="14"/>
      <c r="AN1430" s="7" t="s">
        <v>155</v>
      </c>
      <c r="AO1430" s="21">
        <f t="shared" si="72"/>
        <v>0</v>
      </c>
      <c r="AP1430" s="7">
        <f t="shared" si="73"/>
        <v>15</v>
      </c>
      <c r="AQ1430" s="31" t="str">
        <f t="shared" si="74"/>
        <v>Complete - No Adjustment</v>
      </c>
    </row>
    <row r="1431" spans="1:45" x14ac:dyDescent="0.2">
      <c r="A1431" s="46">
        <v>1421</v>
      </c>
      <c r="B1431" s="38" t="s">
        <v>266</v>
      </c>
      <c r="C1431" s="38" t="s">
        <v>701</v>
      </c>
      <c r="D1431" s="38" t="s">
        <v>840</v>
      </c>
      <c r="E1431" s="38" t="s">
        <v>3967</v>
      </c>
      <c r="F1431" s="38" t="s">
        <v>3822</v>
      </c>
      <c r="G1431" s="38" t="s">
        <v>111</v>
      </c>
      <c r="H1431" s="44">
        <v>44062</v>
      </c>
      <c r="I1431" s="44">
        <v>44064</v>
      </c>
      <c r="J1431">
        <v>84.45</v>
      </c>
      <c r="K1431">
        <v>84.45</v>
      </c>
      <c r="L1431" t="s">
        <v>3968</v>
      </c>
      <c r="M1431" s="45" t="s">
        <v>98</v>
      </c>
      <c r="N1431" s="38" t="s">
        <v>230</v>
      </c>
      <c r="O1431" s="38" t="s">
        <v>289</v>
      </c>
      <c r="P1431" s="38" t="s">
        <v>60</v>
      </c>
      <c r="Q1431" s="38" t="s">
        <v>74</v>
      </c>
      <c r="R1431" s="38" t="s">
        <v>270</v>
      </c>
      <c r="S1431" s="38" t="s">
        <v>3969</v>
      </c>
      <c r="T1431" s="38" t="s">
        <v>3970</v>
      </c>
      <c r="U1431" s="38"/>
      <c r="V1431" s="38"/>
      <c r="W1431" s="38"/>
      <c r="X1431" s="14"/>
      <c r="AN1431" s="7" t="s">
        <v>70</v>
      </c>
      <c r="AO1431" s="21">
        <f t="shared" si="72"/>
        <v>0</v>
      </c>
      <c r="AP1431" s="7">
        <f t="shared" si="73"/>
        <v>84.45</v>
      </c>
      <c r="AQ1431" s="31" t="str">
        <f t="shared" si="74"/>
        <v>Complete - No Adjustment</v>
      </c>
    </row>
    <row r="1432" spans="1:45" x14ac:dyDescent="0.2">
      <c r="A1432" s="46">
        <v>1422</v>
      </c>
      <c r="B1432" s="38" t="s">
        <v>266</v>
      </c>
      <c r="C1432" s="38" t="s">
        <v>701</v>
      </c>
      <c r="D1432" s="38" t="s">
        <v>840</v>
      </c>
      <c r="E1432" s="38" t="s">
        <v>3971</v>
      </c>
      <c r="F1432" s="38" t="s">
        <v>3822</v>
      </c>
      <c r="G1432" s="38" t="s">
        <v>111</v>
      </c>
      <c r="H1432" s="44">
        <v>44055</v>
      </c>
      <c r="I1432" s="44">
        <v>44064</v>
      </c>
      <c r="J1432">
        <v>87.54</v>
      </c>
      <c r="K1432">
        <v>12.78</v>
      </c>
      <c r="L1432" t="s">
        <v>3972</v>
      </c>
      <c r="M1432" s="45" t="s">
        <v>98</v>
      </c>
      <c r="N1432" s="38" t="s">
        <v>230</v>
      </c>
      <c r="O1432" s="38" t="s">
        <v>289</v>
      </c>
      <c r="P1432" s="38" t="s">
        <v>60</v>
      </c>
      <c r="Q1432" s="38" t="s">
        <v>74</v>
      </c>
      <c r="R1432" s="38" t="s">
        <v>270</v>
      </c>
      <c r="S1432" s="38" t="s">
        <v>3973</v>
      </c>
      <c r="T1432" s="38" t="s">
        <v>3974</v>
      </c>
      <c r="U1432" s="38"/>
      <c r="V1432" s="38"/>
      <c r="W1432" s="38"/>
      <c r="X1432" s="14"/>
      <c r="AN1432" s="7" t="s">
        <v>70</v>
      </c>
      <c r="AO1432" s="21">
        <f t="shared" si="72"/>
        <v>0</v>
      </c>
      <c r="AP1432" s="7">
        <f t="shared" si="73"/>
        <v>12.78</v>
      </c>
      <c r="AQ1432" s="31" t="str">
        <f t="shared" si="74"/>
        <v>Complete - No Adjustment</v>
      </c>
    </row>
    <row r="1433" spans="1:45" x14ac:dyDescent="0.2">
      <c r="A1433" s="46">
        <v>1423</v>
      </c>
      <c r="B1433" s="38" t="s">
        <v>266</v>
      </c>
      <c r="C1433" s="38" t="s">
        <v>701</v>
      </c>
      <c r="D1433" s="38" t="s">
        <v>840</v>
      </c>
      <c r="E1433" s="38" t="s">
        <v>3971</v>
      </c>
      <c r="F1433" s="38" t="s">
        <v>3822</v>
      </c>
      <c r="G1433" s="38" t="s">
        <v>111</v>
      </c>
      <c r="H1433" s="44">
        <v>44055</v>
      </c>
      <c r="I1433" s="44">
        <v>44064</v>
      </c>
      <c r="J1433">
        <v>87.54</v>
      </c>
      <c r="K1433">
        <v>66.709999999999994</v>
      </c>
      <c r="L1433" t="s">
        <v>3972</v>
      </c>
      <c r="M1433" s="45" t="s">
        <v>98</v>
      </c>
      <c r="N1433" s="38" t="s">
        <v>230</v>
      </c>
      <c r="O1433" s="38" t="s">
        <v>289</v>
      </c>
      <c r="P1433" s="38" t="s">
        <v>60</v>
      </c>
      <c r="Q1433" s="38" t="s">
        <v>74</v>
      </c>
      <c r="R1433" s="38" t="s">
        <v>270</v>
      </c>
      <c r="S1433" s="38" t="s">
        <v>3973</v>
      </c>
      <c r="T1433" s="38" t="s">
        <v>3975</v>
      </c>
      <c r="U1433" s="38"/>
      <c r="V1433" s="38"/>
      <c r="W1433" s="38"/>
      <c r="X1433" s="14"/>
      <c r="AN1433" s="7" t="s">
        <v>70</v>
      </c>
      <c r="AO1433" s="21">
        <f t="shared" si="72"/>
        <v>0</v>
      </c>
      <c r="AP1433" s="7">
        <f t="shared" si="73"/>
        <v>66.709999999999994</v>
      </c>
      <c r="AQ1433" s="31" t="str">
        <f t="shared" si="74"/>
        <v>Complete - No Adjustment</v>
      </c>
    </row>
    <row r="1434" spans="1:45" x14ac:dyDescent="0.2">
      <c r="A1434" s="46">
        <v>1424</v>
      </c>
      <c r="B1434" s="38" t="s">
        <v>266</v>
      </c>
      <c r="C1434" s="38" t="s">
        <v>701</v>
      </c>
      <c r="D1434" s="38" t="s">
        <v>840</v>
      </c>
      <c r="E1434" s="38" t="s">
        <v>3971</v>
      </c>
      <c r="F1434" s="38" t="s">
        <v>3822</v>
      </c>
      <c r="G1434" s="38" t="s">
        <v>111</v>
      </c>
      <c r="H1434" s="44">
        <v>44055</v>
      </c>
      <c r="I1434" s="44">
        <v>44064</v>
      </c>
      <c r="J1434">
        <v>87.54</v>
      </c>
      <c r="K1434">
        <v>8.0500000000000007</v>
      </c>
      <c r="L1434" t="s">
        <v>3972</v>
      </c>
      <c r="M1434" s="45" t="s">
        <v>98</v>
      </c>
      <c r="N1434" s="38" t="s">
        <v>230</v>
      </c>
      <c r="O1434" s="38" t="s">
        <v>289</v>
      </c>
      <c r="P1434" s="38" t="s">
        <v>60</v>
      </c>
      <c r="Q1434" s="38" t="s">
        <v>74</v>
      </c>
      <c r="R1434" s="38" t="s">
        <v>270</v>
      </c>
      <c r="S1434" s="38" t="s">
        <v>3973</v>
      </c>
      <c r="T1434" s="38" t="s">
        <v>3974</v>
      </c>
      <c r="U1434" s="38"/>
      <c r="V1434" s="38"/>
      <c r="W1434" s="38"/>
      <c r="X1434" s="14"/>
      <c r="AN1434" s="7" t="s">
        <v>70</v>
      </c>
      <c r="AO1434" s="21">
        <f t="shared" si="72"/>
        <v>0</v>
      </c>
      <c r="AP1434" s="7">
        <f t="shared" si="73"/>
        <v>8.0500000000000007</v>
      </c>
      <c r="AQ1434" s="31" t="str">
        <f t="shared" si="74"/>
        <v>Complete - No Adjustment</v>
      </c>
    </row>
    <row r="1435" spans="1:45" x14ac:dyDescent="0.2">
      <c r="A1435" s="46">
        <v>1425</v>
      </c>
      <c r="B1435" s="38" t="s">
        <v>266</v>
      </c>
      <c r="C1435" s="38" t="s">
        <v>841</v>
      </c>
      <c r="D1435" s="38" t="s">
        <v>842</v>
      </c>
      <c r="E1435" s="38" t="s">
        <v>3976</v>
      </c>
      <c r="F1435" s="38" t="s">
        <v>3758</v>
      </c>
      <c r="G1435" s="38" t="s">
        <v>111</v>
      </c>
      <c r="H1435" s="44">
        <v>44043</v>
      </c>
      <c r="I1435" s="44">
        <v>44049</v>
      </c>
      <c r="J1435">
        <v>644.09</v>
      </c>
      <c r="K1435">
        <v>644.09</v>
      </c>
      <c r="L1435" t="s">
        <v>3977</v>
      </c>
      <c r="M1435" s="45" t="s">
        <v>98</v>
      </c>
      <c r="N1435" s="38" t="s">
        <v>230</v>
      </c>
      <c r="O1435" s="38" t="s">
        <v>277</v>
      </c>
      <c r="P1435" s="38" t="s">
        <v>60</v>
      </c>
      <c r="Q1435" s="38" t="s">
        <v>73</v>
      </c>
      <c r="R1435" s="38" t="s">
        <v>270</v>
      </c>
      <c r="S1435" s="38" t="s">
        <v>3978</v>
      </c>
      <c r="T1435" s="38" t="s">
        <v>3979</v>
      </c>
      <c r="U1435" s="38"/>
      <c r="V1435" s="38"/>
      <c r="W1435" s="38"/>
      <c r="X1435" s="14"/>
      <c r="AN1435" s="7" t="s">
        <v>155</v>
      </c>
      <c r="AO1435" s="21">
        <f t="shared" si="72"/>
        <v>0</v>
      </c>
      <c r="AP1435" s="7">
        <f t="shared" si="73"/>
        <v>644.09</v>
      </c>
      <c r="AQ1435" s="31" t="str">
        <f t="shared" si="74"/>
        <v>Complete - No Adjustment</v>
      </c>
    </row>
    <row r="1436" spans="1:45" x14ac:dyDescent="0.2">
      <c r="A1436" s="46">
        <v>1426</v>
      </c>
      <c r="B1436" s="38" t="s">
        <v>266</v>
      </c>
      <c r="C1436" s="38" t="s">
        <v>410</v>
      </c>
      <c r="D1436" s="38" t="s">
        <v>409</v>
      </c>
      <c r="E1436" s="38" t="s">
        <v>3980</v>
      </c>
      <c r="F1436" s="38" t="s">
        <v>3780</v>
      </c>
      <c r="G1436" s="38" t="s">
        <v>111</v>
      </c>
      <c r="H1436" s="44">
        <v>44064</v>
      </c>
      <c r="I1436" s="44">
        <v>44068</v>
      </c>
      <c r="J1436">
        <v>966.71</v>
      </c>
      <c r="K1436">
        <v>34.270000000000003</v>
      </c>
      <c r="L1436" t="s">
        <v>3981</v>
      </c>
      <c r="M1436" s="45" t="s">
        <v>98</v>
      </c>
      <c r="N1436" s="38" t="s">
        <v>230</v>
      </c>
      <c r="O1436" s="38" t="s">
        <v>292</v>
      </c>
      <c r="P1436" s="38" t="s">
        <v>60</v>
      </c>
      <c r="Q1436" s="38" t="s">
        <v>46</v>
      </c>
      <c r="R1436" s="38" t="s">
        <v>270</v>
      </c>
      <c r="S1436" s="38" t="s">
        <v>3982</v>
      </c>
      <c r="T1436" s="38" t="s">
        <v>3983</v>
      </c>
      <c r="U1436" s="38"/>
      <c r="V1436" s="38"/>
      <c r="W1436" s="38"/>
      <c r="X1436" s="14"/>
      <c r="AI1436" s="53">
        <f>34.27</f>
        <v>34.270000000000003</v>
      </c>
      <c r="AN1436" s="7" t="s">
        <v>145</v>
      </c>
      <c r="AO1436" s="21">
        <f t="shared" si="72"/>
        <v>34.270000000000003</v>
      </c>
      <c r="AP1436" s="7">
        <f t="shared" si="73"/>
        <v>0</v>
      </c>
      <c r="AQ1436" s="31" t="str">
        <f t="shared" si="74"/>
        <v>Complete - With Adjustment</v>
      </c>
    </row>
    <row r="1437" spans="1:45" x14ac:dyDescent="0.2">
      <c r="A1437" s="46">
        <v>1427</v>
      </c>
      <c r="B1437" s="38" t="s">
        <v>266</v>
      </c>
      <c r="C1437" s="38" t="s">
        <v>410</v>
      </c>
      <c r="D1437" s="38" t="s">
        <v>409</v>
      </c>
      <c r="E1437" s="38" t="s">
        <v>3980</v>
      </c>
      <c r="F1437" s="38" t="s">
        <v>3780</v>
      </c>
      <c r="G1437" s="38" t="s">
        <v>111</v>
      </c>
      <c r="H1437" s="44">
        <v>44064</v>
      </c>
      <c r="I1437" s="44">
        <v>44068</v>
      </c>
      <c r="J1437">
        <v>966.71</v>
      </c>
      <c r="K1437">
        <v>58.69</v>
      </c>
      <c r="L1437" t="s">
        <v>3981</v>
      </c>
      <c r="M1437" s="45" t="s">
        <v>98</v>
      </c>
      <c r="N1437" s="38" t="s">
        <v>230</v>
      </c>
      <c r="O1437" s="38" t="s">
        <v>292</v>
      </c>
      <c r="P1437" s="38" t="s">
        <v>60</v>
      </c>
      <c r="Q1437" s="38" t="s">
        <v>75</v>
      </c>
      <c r="R1437" s="38" t="s">
        <v>270</v>
      </c>
      <c r="S1437" s="38" t="s">
        <v>3982</v>
      </c>
      <c r="T1437" s="38" t="s">
        <v>3984</v>
      </c>
      <c r="U1437" s="38"/>
      <c r="V1437" s="38"/>
      <c r="W1437" s="38"/>
      <c r="X1437" s="14"/>
      <c r="AN1437" s="7" t="s">
        <v>70</v>
      </c>
      <c r="AO1437" s="21">
        <f t="shared" si="72"/>
        <v>0</v>
      </c>
      <c r="AP1437" s="7">
        <f t="shared" si="73"/>
        <v>58.69</v>
      </c>
      <c r="AQ1437" s="31" t="str">
        <f t="shared" si="74"/>
        <v>Complete - No Adjustment</v>
      </c>
    </row>
    <row r="1438" spans="1:45" x14ac:dyDescent="0.2">
      <c r="A1438" s="46">
        <v>1428</v>
      </c>
      <c r="B1438" s="38" t="s">
        <v>266</v>
      </c>
      <c r="C1438" s="38" t="s">
        <v>410</v>
      </c>
      <c r="D1438" s="38" t="s">
        <v>409</v>
      </c>
      <c r="E1438" s="38" t="s">
        <v>3980</v>
      </c>
      <c r="F1438" s="38" t="s">
        <v>3780</v>
      </c>
      <c r="G1438" s="38" t="s">
        <v>111</v>
      </c>
      <c r="H1438" s="44">
        <v>44064</v>
      </c>
      <c r="I1438" s="44">
        <v>44068</v>
      </c>
      <c r="J1438">
        <v>966.71</v>
      </c>
      <c r="K1438">
        <v>59.4</v>
      </c>
      <c r="L1438" t="s">
        <v>3981</v>
      </c>
      <c r="M1438" s="45" t="s">
        <v>98</v>
      </c>
      <c r="N1438" s="38" t="s">
        <v>230</v>
      </c>
      <c r="O1438" s="38" t="s">
        <v>292</v>
      </c>
      <c r="P1438" s="38" t="s">
        <v>60</v>
      </c>
      <c r="Q1438" s="38" t="s">
        <v>75</v>
      </c>
      <c r="R1438" s="38" t="s">
        <v>270</v>
      </c>
      <c r="S1438" s="38" t="s">
        <v>3982</v>
      </c>
      <c r="T1438" s="38" t="s">
        <v>3985</v>
      </c>
      <c r="U1438" s="38"/>
      <c r="V1438" s="38"/>
      <c r="W1438" s="38"/>
      <c r="X1438" s="14"/>
      <c r="AN1438" s="7" t="s">
        <v>70</v>
      </c>
      <c r="AO1438" s="21">
        <f t="shared" si="72"/>
        <v>0</v>
      </c>
      <c r="AP1438" s="7">
        <f t="shared" si="73"/>
        <v>59.4</v>
      </c>
      <c r="AQ1438" s="31" t="str">
        <f t="shared" si="74"/>
        <v>Complete - No Adjustment</v>
      </c>
    </row>
    <row r="1439" spans="1:45" x14ac:dyDescent="0.2">
      <c r="A1439" s="46">
        <v>1429</v>
      </c>
      <c r="B1439" s="38" t="s">
        <v>266</v>
      </c>
      <c r="C1439" s="38" t="s">
        <v>410</v>
      </c>
      <c r="D1439" s="38" t="s">
        <v>409</v>
      </c>
      <c r="E1439" s="38" t="s">
        <v>3980</v>
      </c>
      <c r="F1439" s="38" t="s">
        <v>3780</v>
      </c>
      <c r="G1439" s="38" t="s">
        <v>111</v>
      </c>
      <c r="H1439" s="44">
        <v>44064</v>
      </c>
      <c r="I1439" s="44">
        <v>44068</v>
      </c>
      <c r="J1439">
        <v>966.71</v>
      </c>
      <c r="K1439">
        <v>59.4</v>
      </c>
      <c r="L1439" t="s">
        <v>3981</v>
      </c>
      <c r="M1439" s="45" t="s">
        <v>98</v>
      </c>
      <c r="N1439" s="38" t="s">
        <v>230</v>
      </c>
      <c r="O1439" s="38" t="s">
        <v>292</v>
      </c>
      <c r="P1439" s="38" t="s">
        <v>60</v>
      </c>
      <c r="Q1439" s="38" t="s">
        <v>75</v>
      </c>
      <c r="R1439" s="38" t="s">
        <v>270</v>
      </c>
      <c r="S1439" s="38" t="s">
        <v>3982</v>
      </c>
      <c r="T1439" s="38" t="s">
        <v>3986</v>
      </c>
      <c r="U1439" s="38"/>
      <c r="V1439" s="38"/>
      <c r="W1439" s="38"/>
      <c r="X1439" s="14"/>
      <c r="AN1439" s="7" t="s">
        <v>70</v>
      </c>
      <c r="AO1439" s="21">
        <f t="shared" si="72"/>
        <v>0</v>
      </c>
      <c r="AP1439" s="7">
        <f t="shared" si="73"/>
        <v>59.4</v>
      </c>
      <c r="AQ1439" s="31" t="str">
        <f t="shared" si="74"/>
        <v>Complete - No Adjustment</v>
      </c>
    </row>
    <row r="1440" spans="1:45" x14ac:dyDescent="0.2">
      <c r="A1440" s="46">
        <v>1430</v>
      </c>
      <c r="B1440" s="38" t="s">
        <v>266</v>
      </c>
      <c r="C1440" s="38" t="s">
        <v>410</v>
      </c>
      <c r="D1440" s="38" t="s">
        <v>409</v>
      </c>
      <c r="E1440" s="38" t="s">
        <v>3980</v>
      </c>
      <c r="F1440" s="38" t="s">
        <v>3780</v>
      </c>
      <c r="G1440" s="38" t="s">
        <v>111</v>
      </c>
      <c r="H1440" s="44">
        <v>44064</v>
      </c>
      <c r="I1440" s="44">
        <v>44068</v>
      </c>
      <c r="J1440">
        <v>966.71</v>
      </c>
      <c r="K1440">
        <v>111.26</v>
      </c>
      <c r="L1440" t="s">
        <v>3981</v>
      </c>
      <c r="M1440" s="45" t="s">
        <v>98</v>
      </c>
      <c r="N1440" s="38" t="s">
        <v>230</v>
      </c>
      <c r="O1440" s="38" t="s">
        <v>292</v>
      </c>
      <c r="P1440" s="38" t="s">
        <v>60</v>
      </c>
      <c r="Q1440" s="38" t="s">
        <v>75</v>
      </c>
      <c r="R1440" s="38" t="s">
        <v>270</v>
      </c>
      <c r="S1440" s="38" t="s">
        <v>3982</v>
      </c>
      <c r="T1440" s="38" t="s">
        <v>3987</v>
      </c>
      <c r="U1440" s="38"/>
      <c r="V1440" s="38"/>
      <c r="W1440" s="38"/>
      <c r="X1440" s="14"/>
      <c r="AN1440" s="7" t="s">
        <v>70</v>
      </c>
      <c r="AO1440" s="21">
        <f t="shared" si="72"/>
        <v>0</v>
      </c>
      <c r="AP1440" s="7">
        <f t="shared" si="73"/>
        <v>111.26</v>
      </c>
      <c r="AQ1440" s="31" t="str">
        <f t="shared" si="74"/>
        <v>Complete - No Adjustment</v>
      </c>
    </row>
    <row r="1441" spans="1:43" x14ac:dyDescent="0.2">
      <c r="A1441" s="46">
        <v>1431</v>
      </c>
      <c r="B1441" s="38" t="s">
        <v>266</v>
      </c>
      <c r="C1441" s="38" t="s">
        <v>410</v>
      </c>
      <c r="D1441" s="38" t="s">
        <v>409</v>
      </c>
      <c r="E1441" s="38" t="s">
        <v>3980</v>
      </c>
      <c r="F1441" s="38" t="s">
        <v>3780</v>
      </c>
      <c r="G1441" s="38" t="s">
        <v>111</v>
      </c>
      <c r="H1441" s="44">
        <v>44064</v>
      </c>
      <c r="I1441" s="44">
        <v>44068</v>
      </c>
      <c r="J1441">
        <v>966.71</v>
      </c>
      <c r="K1441">
        <v>59.39</v>
      </c>
      <c r="L1441" t="s">
        <v>3981</v>
      </c>
      <c r="M1441" s="45" t="s">
        <v>98</v>
      </c>
      <c r="N1441" s="38" t="s">
        <v>230</v>
      </c>
      <c r="O1441" s="38" t="s">
        <v>292</v>
      </c>
      <c r="P1441" s="38" t="s">
        <v>60</v>
      </c>
      <c r="Q1441" s="38" t="s">
        <v>75</v>
      </c>
      <c r="R1441" s="38" t="s">
        <v>270</v>
      </c>
      <c r="S1441" s="38" t="s">
        <v>3982</v>
      </c>
      <c r="T1441" s="38" t="s">
        <v>3988</v>
      </c>
      <c r="U1441" s="38"/>
      <c r="V1441" s="38"/>
      <c r="W1441" s="38"/>
      <c r="X1441" s="14"/>
      <c r="AN1441" s="7" t="s">
        <v>70</v>
      </c>
      <c r="AO1441" s="21">
        <f t="shared" si="72"/>
        <v>0</v>
      </c>
      <c r="AP1441" s="7">
        <f t="shared" si="73"/>
        <v>59.39</v>
      </c>
      <c r="AQ1441" s="31" t="str">
        <f t="shared" si="74"/>
        <v>Complete - No Adjustment</v>
      </c>
    </row>
    <row r="1442" spans="1:43" x14ac:dyDescent="0.2">
      <c r="A1442" s="46">
        <v>1432</v>
      </c>
      <c r="B1442" s="38" t="s">
        <v>266</v>
      </c>
      <c r="C1442" s="38" t="s">
        <v>410</v>
      </c>
      <c r="D1442" s="38" t="s">
        <v>409</v>
      </c>
      <c r="E1442" s="38" t="s">
        <v>3980</v>
      </c>
      <c r="F1442" s="38" t="s">
        <v>3780</v>
      </c>
      <c r="G1442" s="38" t="s">
        <v>111</v>
      </c>
      <c r="H1442" s="44">
        <v>44064</v>
      </c>
      <c r="I1442" s="44">
        <v>44068</v>
      </c>
      <c r="J1442">
        <v>966.71</v>
      </c>
      <c r="K1442">
        <v>103</v>
      </c>
      <c r="L1442" t="s">
        <v>3981</v>
      </c>
      <c r="M1442" s="45" t="s">
        <v>98</v>
      </c>
      <c r="N1442" s="38" t="s">
        <v>230</v>
      </c>
      <c r="O1442" s="38" t="s">
        <v>292</v>
      </c>
      <c r="P1442" s="38" t="s">
        <v>60</v>
      </c>
      <c r="Q1442" s="38" t="s">
        <v>56</v>
      </c>
      <c r="R1442" s="38" t="s">
        <v>270</v>
      </c>
      <c r="S1442" s="38" t="s">
        <v>3982</v>
      </c>
      <c r="T1442" s="38" t="s">
        <v>3989</v>
      </c>
      <c r="U1442" s="38"/>
      <c r="V1442" s="38"/>
      <c r="W1442" s="38"/>
      <c r="X1442" s="14"/>
      <c r="AN1442" s="7" t="s">
        <v>70</v>
      </c>
      <c r="AO1442" s="21">
        <f t="shared" si="72"/>
        <v>0</v>
      </c>
      <c r="AP1442" s="7">
        <f t="shared" si="73"/>
        <v>103</v>
      </c>
      <c r="AQ1442" s="31" t="str">
        <f t="shared" si="74"/>
        <v>Complete - No Adjustment</v>
      </c>
    </row>
    <row r="1443" spans="1:43" x14ac:dyDescent="0.2">
      <c r="A1443" s="46">
        <v>1433</v>
      </c>
      <c r="B1443" s="38" t="s">
        <v>266</v>
      </c>
      <c r="C1443" s="38" t="s">
        <v>410</v>
      </c>
      <c r="D1443" s="38" t="s">
        <v>409</v>
      </c>
      <c r="E1443" s="38" t="s">
        <v>3980</v>
      </c>
      <c r="F1443" s="38" t="s">
        <v>3780</v>
      </c>
      <c r="G1443" s="38" t="s">
        <v>111</v>
      </c>
      <c r="H1443" s="44">
        <v>44064</v>
      </c>
      <c r="I1443" s="44">
        <v>44068</v>
      </c>
      <c r="J1443">
        <v>966.71</v>
      </c>
      <c r="K1443">
        <v>61</v>
      </c>
      <c r="L1443" t="s">
        <v>3981</v>
      </c>
      <c r="M1443" s="45" t="s">
        <v>98</v>
      </c>
      <c r="N1443" s="38" t="s">
        <v>230</v>
      </c>
      <c r="O1443" s="38" t="s">
        <v>292</v>
      </c>
      <c r="P1443" s="38" t="s">
        <v>60</v>
      </c>
      <c r="Q1443" s="38" t="s">
        <v>75</v>
      </c>
      <c r="R1443" s="38" t="s">
        <v>270</v>
      </c>
      <c r="S1443" s="38" t="s">
        <v>3982</v>
      </c>
      <c r="T1443" s="38" t="s">
        <v>3990</v>
      </c>
      <c r="U1443" s="38"/>
      <c r="V1443" s="38"/>
      <c r="W1443" s="38"/>
      <c r="X1443" s="14"/>
      <c r="AN1443" s="7" t="s">
        <v>70</v>
      </c>
      <c r="AO1443" s="21">
        <f t="shared" si="72"/>
        <v>0</v>
      </c>
      <c r="AP1443" s="7">
        <f t="shared" si="73"/>
        <v>61</v>
      </c>
      <c r="AQ1443" s="31" t="str">
        <f t="shared" si="74"/>
        <v>Complete - No Adjustment</v>
      </c>
    </row>
    <row r="1444" spans="1:43" x14ac:dyDescent="0.2">
      <c r="A1444" s="46">
        <v>1434</v>
      </c>
      <c r="B1444" s="38" t="s">
        <v>266</v>
      </c>
      <c r="C1444" s="38" t="s">
        <v>410</v>
      </c>
      <c r="D1444" s="38" t="s">
        <v>409</v>
      </c>
      <c r="E1444" s="38" t="s">
        <v>3980</v>
      </c>
      <c r="F1444" s="38" t="s">
        <v>3780</v>
      </c>
      <c r="G1444" s="38" t="s">
        <v>111</v>
      </c>
      <c r="H1444" s="44">
        <v>44064</v>
      </c>
      <c r="I1444" s="44">
        <v>44068</v>
      </c>
      <c r="J1444">
        <v>966.71</v>
      </c>
      <c r="K1444">
        <v>127.68</v>
      </c>
      <c r="L1444" t="s">
        <v>3981</v>
      </c>
      <c r="M1444" s="45" t="s">
        <v>98</v>
      </c>
      <c r="N1444" s="38" t="s">
        <v>230</v>
      </c>
      <c r="O1444" s="38" t="s">
        <v>292</v>
      </c>
      <c r="P1444" s="38" t="s">
        <v>60</v>
      </c>
      <c r="Q1444" s="38" t="s">
        <v>75</v>
      </c>
      <c r="R1444" s="38" t="s">
        <v>270</v>
      </c>
      <c r="S1444" s="38" t="s">
        <v>3982</v>
      </c>
      <c r="T1444" s="38" t="s">
        <v>3991</v>
      </c>
      <c r="U1444" s="38"/>
      <c r="V1444" s="38"/>
      <c r="W1444" s="38"/>
      <c r="X1444" s="14"/>
      <c r="AN1444" s="7" t="s">
        <v>70</v>
      </c>
      <c r="AO1444" s="21">
        <f t="shared" si="72"/>
        <v>0</v>
      </c>
      <c r="AP1444" s="7">
        <f t="shared" si="73"/>
        <v>127.68</v>
      </c>
      <c r="AQ1444" s="31" t="str">
        <f t="shared" si="74"/>
        <v>Complete - No Adjustment</v>
      </c>
    </row>
    <row r="1445" spans="1:43" x14ac:dyDescent="0.2">
      <c r="A1445" s="46">
        <v>1435</v>
      </c>
      <c r="B1445" s="38" t="s">
        <v>266</v>
      </c>
      <c r="C1445" s="38" t="s">
        <v>410</v>
      </c>
      <c r="D1445" s="38" t="s">
        <v>409</v>
      </c>
      <c r="E1445" s="38" t="s">
        <v>3980</v>
      </c>
      <c r="F1445" s="38" t="s">
        <v>3780</v>
      </c>
      <c r="G1445" s="38" t="s">
        <v>111</v>
      </c>
      <c r="H1445" s="44">
        <v>44064</v>
      </c>
      <c r="I1445" s="44">
        <v>44068</v>
      </c>
      <c r="J1445">
        <v>966.71</v>
      </c>
      <c r="K1445">
        <v>34.619999999999997</v>
      </c>
      <c r="L1445" t="s">
        <v>3981</v>
      </c>
      <c r="M1445" s="45" t="s">
        <v>98</v>
      </c>
      <c r="N1445" s="38" t="s">
        <v>230</v>
      </c>
      <c r="O1445" s="38" t="s">
        <v>292</v>
      </c>
      <c r="P1445" s="38" t="s">
        <v>60</v>
      </c>
      <c r="Q1445" s="38" t="s">
        <v>46</v>
      </c>
      <c r="R1445" s="38" t="s">
        <v>270</v>
      </c>
      <c r="S1445" s="38" t="s">
        <v>3982</v>
      </c>
      <c r="T1445" s="38" t="s">
        <v>3992</v>
      </c>
      <c r="U1445" s="38"/>
      <c r="V1445" s="38"/>
      <c r="W1445" s="38"/>
      <c r="X1445" s="14"/>
      <c r="AI1445" s="53">
        <f>34.62</f>
        <v>34.619999999999997</v>
      </c>
      <c r="AN1445" s="7" t="s">
        <v>145</v>
      </c>
      <c r="AO1445" s="21">
        <f t="shared" si="72"/>
        <v>34.619999999999997</v>
      </c>
      <c r="AP1445" s="7">
        <f t="shared" si="73"/>
        <v>0</v>
      </c>
      <c r="AQ1445" s="31" t="str">
        <f t="shared" si="74"/>
        <v>Complete - With Adjustment</v>
      </c>
    </row>
    <row r="1446" spans="1:43" x14ac:dyDescent="0.2">
      <c r="A1446" s="46">
        <v>1436</v>
      </c>
      <c r="B1446" s="38" t="s">
        <v>266</v>
      </c>
      <c r="C1446" s="38" t="s">
        <v>410</v>
      </c>
      <c r="D1446" s="38" t="s">
        <v>409</v>
      </c>
      <c r="E1446" s="38" t="s">
        <v>3980</v>
      </c>
      <c r="F1446" s="38" t="s">
        <v>3780</v>
      </c>
      <c r="G1446" s="38" t="s">
        <v>111</v>
      </c>
      <c r="H1446" s="44">
        <v>44064</v>
      </c>
      <c r="I1446" s="44">
        <v>44068</v>
      </c>
      <c r="J1446">
        <v>966.71</v>
      </c>
      <c r="K1446">
        <v>258</v>
      </c>
      <c r="L1446" t="s">
        <v>3981</v>
      </c>
      <c r="M1446" s="45" t="s">
        <v>98</v>
      </c>
      <c r="N1446" s="38" t="s">
        <v>230</v>
      </c>
      <c r="O1446" s="38" t="s">
        <v>292</v>
      </c>
      <c r="P1446" s="38" t="s">
        <v>60</v>
      </c>
      <c r="Q1446" s="38" t="s">
        <v>56</v>
      </c>
      <c r="R1446" s="38" t="s">
        <v>270</v>
      </c>
      <c r="S1446" s="38" t="s">
        <v>3982</v>
      </c>
      <c r="T1446" s="38" t="s">
        <v>3993</v>
      </c>
      <c r="U1446" s="38"/>
      <c r="V1446" s="38"/>
      <c r="W1446" s="38"/>
      <c r="X1446" s="14"/>
      <c r="AN1446" s="7" t="s">
        <v>70</v>
      </c>
      <c r="AO1446" s="21">
        <f t="shared" si="72"/>
        <v>0</v>
      </c>
      <c r="AP1446" s="7">
        <f t="shared" si="73"/>
        <v>258</v>
      </c>
      <c r="AQ1446" s="31" t="str">
        <f t="shared" si="74"/>
        <v>Complete - No Adjustment</v>
      </c>
    </row>
    <row r="1447" spans="1:43" x14ac:dyDescent="0.2">
      <c r="A1447" s="46">
        <v>1437</v>
      </c>
      <c r="B1447" s="38" t="s">
        <v>266</v>
      </c>
      <c r="C1447" s="38" t="s">
        <v>414</v>
      </c>
      <c r="D1447" s="38" t="s">
        <v>413</v>
      </c>
      <c r="E1447" s="38" t="s">
        <v>3994</v>
      </c>
      <c r="F1447" s="38" t="s">
        <v>3822</v>
      </c>
      <c r="G1447" s="38" t="s">
        <v>111</v>
      </c>
      <c r="H1447" s="44">
        <v>44047</v>
      </c>
      <c r="I1447" s="44">
        <v>44064</v>
      </c>
      <c r="J1447">
        <v>73.489999999999995</v>
      </c>
      <c r="K1447">
        <v>22.92</v>
      </c>
      <c r="L1447" t="s">
        <v>3995</v>
      </c>
      <c r="M1447" s="45" t="s">
        <v>98</v>
      </c>
      <c r="N1447" s="38" t="s">
        <v>230</v>
      </c>
      <c r="O1447" s="38" t="s">
        <v>317</v>
      </c>
      <c r="P1447" s="38" t="s">
        <v>60</v>
      </c>
      <c r="Q1447" s="38" t="s">
        <v>41</v>
      </c>
      <c r="R1447" s="38" t="s">
        <v>270</v>
      </c>
      <c r="S1447" s="38" t="s">
        <v>3996</v>
      </c>
      <c r="T1447" s="38" t="s">
        <v>3997</v>
      </c>
      <c r="U1447" s="38"/>
      <c r="V1447" s="38"/>
      <c r="W1447" s="38"/>
      <c r="X1447" s="14"/>
      <c r="AN1447" s="7" t="s">
        <v>70</v>
      </c>
      <c r="AO1447" s="21">
        <f t="shared" si="72"/>
        <v>0</v>
      </c>
      <c r="AP1447" s="7">
        <f t="shared" si="73"/>
        <v>22.92</v>
      </c>
      <c r="AQ1447" s="31" t="str">
        <f t="shared" si="74"/>
        <v>Complete - No Adjustment</v>
      </c>
    </row>
    <row r="1448" spans="1:43" x14ac:dyDescent="0.2">
      <c r="A1448" s="46">
        <v>1438</v>
      </c>
      <c r="B1448" s="38" t="s">
        <v>266</v>
      </c>
      <c r="C1448" s="38" t="s">
        <v>414</v>
      </c>
      <c r="D1448" s="38" t="s">
        <v>413</v>
      </c>
      <c r="E1448" s="38" t="s">
        <v>3994</v>
      </c>
      <c r="F1448" s="38" t="s">
        <v>3822</v>
      </c>
      <c r="G1448" s="38" t="s">
        <v>111</v>
      </c>
      <c r="H1448" s="44">
        <v>44047</v>
      </c>
      <c r="I1448" s="44">
        <v>44064</v>
      </c>
      <c r="J1448">
        <v>73.489999999999995</v>
      </c>
      <c r="K1448">
        <v>12.26</v>
      </c>
      <c r="L1448" t="s">
        <v>3995</v>
      </c>
      <c r="M1448" s="45" t="s">
        <v>98</v>
      </c>
      <c r="N1448" s="38" t="s">
        <v>230</v>
      </c>
      <c r="O1448" s="38" t="s">
        <v>317</v>
      </c>
      <c r="P1448" s="38" t="s">
        <v>60</v>
      </c>
      <c r="Q1448" s="38" t="s">
        <v>41</v>
      </c>
      <c r="R1448" s="38" t="s">
        <v>270</v>
      </c>
      <c r="S1448" s="38" t="s">
        <v>3996</v>
      </c>
      <c r="T1448" s="38" t="s">
        <v>3998</v>
      </c>
      <c r="U1448" s="38"/>
      <c r="V1448" s="38"/>
      <c r="W1448" s="38"/>
      <c r="X1448" s="14"/>
      <c r="AN1448" s="7" t="s">
        <v>155</v>
      </c>
      <c r="AO1448" s="21">
        <f t="shared" si="72"/>
        <v>0</v>
      </c>
      <c r="AP1448" s="7">
        <f t="shared" si="73"/>
        <v>12.26</v>
      </c>
      <c r="AQ1448" s="31" t="str">
        <f t="shared" si="74"/>
        <v>Complete - No Adjustment</v>
      </c>
    </row>
    <row r="1449" spans="1:43" x14ac:dyDescent="0.2">
      <c r="A1449" s="46">
        <v>1439</v>
      </c>
      <c r="B1449" s="38" t="s">
        <v>266</v>
      </c>
      <c r="C1449" s="38" t="s">
        <v>414</v>
      </c>
      <c r="D1449" s="38" t="s">
        <v>413</v>
      </c>
      <c r="E1449" s="38" t="s">
        <v>3994</v>
      </c>
      <c r="F1449" s="38" t="s">
        <v>3822</v>
      </c>
      <c r="G1449" s="38" t="s">
        <v>111</v>
      </c>
      <c r="H1449" s="44">
        <v>44047</v>
      </c>
      <c r="I1449" s="44">
        <v>44064</v>
      </c>
      <c r="J1449">
        <v>73.489999999999995</v>
      </c>
      <c r="K1449">
        <v>26.05</v>
      </c>
      <c r="L1449" t="s">
        <v>3995</v>
      </c>
      <c r="M1449" s="45" t="s">
        <v>98</v>
      </c>
      <c r="N1449" s="38" t="s">
        <v>230</v>
      </c>
      <c r="O1449" s="38" t="s">
        <v>317</v>
      </c>
      <c r="P1449" s="38" t="s">
        <v>60</v>
      </c>
      <c r="Q1449" s="38" t="s">
        <v>41</v>
      </c>
      <c r="R1449" s="38" t="s">
        <v>270</v>
      </c>
      <c r="S1449" s="38" t="s">
        <v>3996</v>
      </c>
      <c r="T1449" s="38" t="s">
        <v>3997</v>
      </c>
      <c r="U1449" s="38"/>
      <c r="V1449" s="38"/>
      <c r="W1449" s="38"/>
      <c r="X1449" s="14"/>
      <c r="AN1449" s="7" t="s">
        <v>70</v>
      </c>
      <c r="AO1449" s="21">
        <f t="shared" si="72"/>
        <v>0</v>
      </c>
      <c r="AP1449" s="7">
        <f t="shared" si="73"/>
        <v>26.05</v>
      </c>
      <c r="AQ1449" s="31" t="str">
        <f t="shared" si="74"/>
        <v>Complete - No Adjustment</v>
      </c>
    </row>
    <row r="1450" spans="1:43" x14ac:dyDescent="0.2">
      <c r="A1450" s="46">
        <v>1440</v>
      </c>
      <c r="B1450" s="38" t="s">
        <v>266</v>
      </c>
      <c r="C1450" s="38" t="s">
        <v>414</v>
      </c>
      <c r="D1450" s="38" t="s">
        <v>413</v>
      </c>
      <c r="E1450" s="38" t="s">
        <v>3994</v>
      </c>
      <c r="F1450" s="38" t="s">
        <v>3822</v>
      </c>
      <c r="G1450" s="38" t="s">
        <v>111</v>
      </c>
      <c r="H1450" s="44">
        <v>44047</v>
      </c>
      <c r="I1450" s="44">
        <v>44064</v>
      </c>
      <c r="J1450">
        <v>73.489999999999995</v>
      </c>
      <c r="K1450">
        <v>12.26</v>
      </c>
      <c r="L1450" t="s">
        <v>3995</v>
      </c>
      <c r="M1450" s="45" t="s">
        <v>98</v>
      </c>
      <c r="N1450" s="38" t="s">
        <v>230</v>
      </c>
      <c r="O1450" s="38" t="s">
        <v>317</v>
      </c>
      <c r="P1450" s="38" t="s">
        <v>60</v>
      </c>
      <c r="Q1450" s="38" t="s">
        <v>41</v>
      </c>
      <c r="R1450" s="38" t="s">
        <v>270</v>
      </c>
      <c r="S1450" s="38" t="s">
        <v>3996</v>
      </c>
      <c r="T1450" s="38" t="s">
        <v>3999</v>
      </c>
      <c r="U1450" s="38"/>
      <c r="V1450" s="38"/>
      <c r="W1450" s="38"/>
      <c r="X1450" s="14"/>
      <c r="AN1450" s="7" t="s">
        <v>155</v>
      </c>
      <c r="AO1450" s="21">
        <f t="shared" si="72"/>
        <v>0</v>
      </c>
      <c r="AP1450" s="7">
        <f t="shared" si="73"/>
        <v>12.26</v>
      </c>
      <c r="AQ1450" s="31" t="str">
        <f t="shared" si="74"/>
        <v>Complete - No Adjustment</v>
      </c>
    </row>
    <row r="1451" spans="1:43" x14ac:dyDescent="0.2">
      <c r="A1451" s="46">
        <v>1441</v>
      </c>
      <c r="B1451" s="38" t="s">
        <v>266</v>
      </c>
      <c r="C1451" s="38" t="s">
        <v>609</v>
      </c>
      <c r="D1451" s="38" t="s">
        <v>608</v>
      </c>
      <c r="E1451" s="38" t="s">
        <v>4000</v>
      </c>
      <c r="F1451" s="38" t="s">
        <v>3753</v>
      </c>
      <c r="G1451" s="38" t="s">
        <v>111</v>
      </c>
      <c r="H1451" s="44">
        <v>44042</v>
      </c>
      <c r="I1451" s="44">
        <v>44046</v>
      </c>
      <c r="J1451">
        <v>19.66</v>
      </c>
      <c r="K1451">
        <v>9.6199999999999992</v>
      </c>
      <c r="L1451" t="s">
        <v>4001</v>
      </c>
      <c r="M1451" s="45" t="s">
        <v>98</v>
      </c>
      <c r="N1451" s="38" t="s">
        <v>230</v>
      </c>
      <c r="O1451" s="38" t="s">
        <v>303</v>
      </c>
      <c r="P1451" s="38" t="s">
        <v>60</v>
      </c>
      <c r="Q1451" s="38" t="s">
        <v>41</v>
      </c>
      <c r="R1451" s="38" t="s">
        <v>270</v>
      </c>
      <c r="S1451" s="38" t="s">
        <v>4002</v>
      </c>
      <c r="T1451" s="38" t="s">
        <v>4003</v>
      </c>
      <c r="U1451" s="38"/>
      <c r="V1451" s="38"/>
      <c r="W1451" s="38"/>
      <c r="X1451" s="14"/>
      <c r="AI1451" s="53">
        <f>9.62</f>
        <v>9.6199999999999992</v>
      </c>
      <c r="AN1451" s="7" t="s">
        <v>145</v>
      </c>
      <c r="AO1451" s="21">
        <f t="shared" si="72"/>
        <v>9.6199999999999992</v>
      </c>
      <c r="AP1451" s="7">
        <f t="shared" si="73"/>
        <v>0</v>
      </c>
      <c r="AQ1451" s="31" t="str">
        <f t="shared" si="74"/>
        <v>Complete - With Adjustment</v>
      </c>
    </row>
    <row r="1452" spans="1:43" x14ac:dyDescent="0.2">
      <c r="A1452" s="46">
        <v>1442</v>
      </c>
      <c r="B1452" s="38" t="s">
        <v>266</v>
      </c>
      <c r="C1452" s="38" t="s">
        <v>609</v>
      </c>
      <c r="D1452" s="38" t="s">
        <v>608</v>
      </c>
      <c r="E1452" s="38" t="s">
        <v>4000</v>
      </c>
      <c r="F1452" s="38" t="s">
        <v>3753</v>
      </c>
      <c r="G1452" s="38" t="s">
        <v>111</v>
      </c>
      <c r="H1452" s="44">
        <v>44042</v>
      </c>
      <c r="I1452" s="44">
        <v>44046</v>
      </c>
      <c r="J1452">
        <v>19.66</v>
      </c>
      <c r="K1452">
        <v>10.039999999999999</v>
      </c>
      <c r="L1452" t="s">
        <v>4001</v>
      </c>
      <c r="M1452" s="45" t="s">
        <v>98</v>
      </c>
      <c r="N1452" s="38" t="s">
        <v>230</v>
      </c>
      <c r="O1452" s="38" t="s">
        <v>303</v>
      </c>
      <c r="P1452" s="38" t="s">
        <v>60</v>
      </c>
      <c r="Q1452" s="38" t="s">
        <v>41</v>
      </c>
      <c r="R1452" s="38" t="s">
        <v>270</v>
      </c>
      <c r="S1452" s="38" t="s">
        <v>4002</v>
      </c>
      <c r="T1452" s="38" t="s">
        <v>4004</v>
      </c>
      <c r="U1452" s="38"/>
      <c r="V1452" s="38"/>
      <c r="W1452" s="38"/>
      <c r="X1452" s="14"/>
      <c r="AN1452" s="7" t="s">
        <v>155</v>
      </c>
      <c r="AO1452" s="21">
        <f t="shared" ref="AO1452:AO1515" si="75">SUM(Y1452:AL1452)</f>
        <v>0</v>
      </c>
      <c r="AP1452" s="7">
        <f t="shared" si="73"/>
        <v>10.039999999999999</v>
      </c>
      <c r="AQ1452" s="31" t="str">
        <f t="shared" si="74"/>
        <v>Complete - No Adjustment</v>
      </c>
    </row>
    <row r="1453" spans="1:43" x14ac:dyDescent="0.2">
      <c r="A1453" s="46">
        <v>1443</v>
      </c>
      <c r="B1453" s="38" t="s">
        <v>266</v>
      </c>
      <c r="C1453" s="38" t="s">
        <v>2548</v>
      </c>
      <c r="D1453" s="38" t="s">
        <v>2549</v>
      </c>
      <c r="E1453" s="38" t="s">
        <v>4005</v>
      </c>
      <c r="F1453" s="38" t="s">
        <v>3773</v>
      </c>
      <c r="G1453" s="38" t="s">
        <v>111</v>
      </c>
      <c r="H1453" s="44">
        <v>44067</v>
      </c>
      <c r="I1453" s="44">
        <v>44074</v>
      </c>
      <c r="J1453">
        <v>14.88</v>
      </c>
      <c r="K1453">
        <v>14.88</v>
      </c>
      <c r="L1453" t="s">
        <v>4006</v>
      </c>
      <c r="M1453" s="45" t="s">
        <v>98</v>
      </c>
      <c r="N1453" s="38" t="s">
        <v>230</v>
      </c>
      <c r="O1453" s="38" t="s">
        <v>559</v>
      </c>
      <c r="P1453" s="38" t="s">
        <v>60</v>
      </c>
      <c r="Q1453" s="38" t="s">
        <v>46</v>
      </c>
      <c r="R1453" s="38" t="s">
        <v>270</v>
      </c>
      <c r="S1453" s="38" t="s">
        <v>4007</v>
      </c>
      <c r="T1453" s="38" t="s">
        <v>4008</v>
      </c>
      <c r="U1453" s="38"/>
      <c r="V1453" s="38"/>
      <c r="W1453" s="38"/>
      <c r="X1453" s="14"/>
      <c r="AN1453" s="7" t="s">
        <v>155</v>
      </c>
      <c r="AO1453" s="21">
        <f t="shared" si="75"/>
        <v>0</v>
      </c>
      <c r="AP1453" s="7">
        <f t="shared" si="73"/>
        <v>14.88</v>
      </c>
      <c r="AQ1453" s="31" t="str">
        <f t="shared" si="74"/>
        <v>Complete - No Adjustment</v>
      </c>
    </row>
    <row r="1454" spans="1:43" x14ac:dyDescent="0.2">
      <c r="A1454" s="46">
        <v>1444</v>
      </c>
      <c r="B1454" s="38" t="s">
        <v>266</v>
      </c>
      <c r="C1454" s="38" t="s">
        <v>428</v>
      </c>
      <c r="D1454" s="38" t="s">
        <v>2570</v>
      </c>
      <c r="E1454" s="38" t="s">
        <v>4009</v>
      </c>
      <c r="F1454" s="38" t="s">
        <v>3844</v>
      </c>
      <c r="G1454" s="38" t="s">
        <v>111</v>
      </c>
      <c r="H1454" s="44">
        <v>44041</v>
      </c>
      <c r="I1454" s="44">
        <v>44056</v>
      </c>
      <c r="J1454">
        <v>46.34</v>
      </c>
      <c r="K1454">
        <v>13.9</v>
      </c>
      <c r="L1454" t="s">
        <v>4010</v>
      </c>
      <c r="M1454" s="45" t="s">
        <v>97</v>
      </c>
      <c r="N1454" s="38" t="s">
        <v>230</v>
      </c>
      <c r="O1454" s="38" t="s">
        <v>50</v>
      </c>
      <c r="P1454" s="38" t="s">
        <v>72</v>
      </c>
      <c r="Q1454" s="38" t="s">
        <v>62</v>
      </c>
      <c r="R1454" s="38" t="s">
        <v>270</v>
      </c>
      <c r="S1454" s="38" t="s">
        <v>4011</v>
      </c>
      <c r="T1454" s="38" t="s">
        <v>4012</v>
      </c>
      <c r="U1454" s="38"/>
      <c r="V1454" s="38"/>
      <c r="W1454" s="38"/>
      <c r="X1454" s="14"/>
      <c r="AN1454" s="7" t="s">
        <v>70</v>
      </c>
      <c r="AO1454" s="21">
        <f t="shared" si="75"/>
        <v>0</v>
      </c>
      <c r="AP1454" s="7">
        <f t="shared" si="73"/>
        <v>13.9</v>
      </c>
      <c r="AQ1454" s="31" t="str">
        <f t="shared" si="74"/>
        <v>Complete - No Adjustment</v>
      </c>
    </row>
    <row r="1455" spans="1:43" x14ac:dyDescent="0.2">
      <c r="A1455" s="46">
        <v>1445</v>
      </c>
      <c r="B1455" s="38" t="s">
        <v>266</v>
      </c>
      <c r="C1455" s="38" t="s">
        <v>428</v>
      </c>
      <c r="D1455" s="38" t="s">
        <v>2570</v>
      </c>
      <c r="E1455" s="38" t="s">
        <v>4009</v>
      </c>
      <c r="F1455" s="38" t="s">
        <v>3844</v>
      </c>
      <c r="G1455" s="38" t="s">
        <v>111</v>
      </c>
      <c r="H1455" s="44">
        <v>44041</v>
      </c>
      <c r="I1455" s="44">
        <v>44056</v>
      </c>
      <c r="J1455">
        <v>46.34</v>
      </c>
      <c r="K1455">
        <v>32.44</v>
      </c>
      <c r="L1455" t="s">
        <v>4010</v>
      </c>
      <c r="M1455" s="45" t="s">
        <v>98</v>
      </c>
      <c r="N1455" s="38" t="s">
        <v>230</v>
      </c>
      <c r="O1455" s="38" t="s">
        <v>356</v>
      </c>
      <c r="P1455" s="38" t="s">
        <v>60</v>
      </c>
      <c r="Q1455" s="38" t="s">
        <v>62</v>
      </c>
      <c r="R1455" s="38" t="s">
        <v>270</v>
      </c>
      <c r="S1455" s="38" t="s">
        <v>4011</v>
      </c>
      <c r="T1455" s="38" t="s">
        <v>4012</v>
      </c>
      <c r="U1455" s="38"/>
      <c r="V1455" s="38"/>
      <c r="W1455" s="38"/>
      <c r="X1455" s="14"/>
      <c r="AN1455" s="7" t="s">
        <v>70</v>
      </c>
      <c r="AO1455" s="21">
        <f t="shared" si="75"/>
        <v>0</v>
      </c>
      <c r="AP1455" s="7">
        <f t="shared" si="73"/>
        <v>32.44</v>
      </c>
      <c r="AQ1455" s="31" t="str">
        <f t="shared" si="74"/>
        <v>Complete - No Adjustment</v>
      </c>
    </row>
    <row r="1456" spans="1:43" x14ac:dyDescent="0.2">
      <c r="A1456" s="46">
        <v>1446</v>
      </c>
      <c r="B1456" s="38" t="s">
        <v>266</v>
      </c>
      <c r="C1456" s="38" t="s">
        <v>4013</v>
      </c>
      <c r="D1456" s="38" t="s">
        <v>4014</v>
      </c>
      <c r="E1456" s="38" t="s">
        <v>4015</v>
      </c>
      <c r="F1456" s="38" t="s">
        <v>3700</v>
      </c>
      <c r="G1456" s="38" t="s">
        <v>111</v>
      </c>
      <c r="H1456" s="44">
        <v>44068</v>
      </c>
      <c r="I1456" s="44">
        <v>44069</v>
      </c>
      <c r="J1456">
        <v>924.71</v>
      </c>
      <c r="K1456">
        <v>55.78</v>
      </c>
      <c r="L1456" t="s">
        <v>4016</v>
      </c>
      <c r="M1456" s="45" t="s">
        <v>98</v>
      </c>
      <c r="N1456" s="38" t="s">
        <v>230</v>
      </c>
      <c r="O1456" s="38" t="s">
        <v>293</v>
      </c>
      <c r="P1456" s="38" t="s">
        <v>60</v>
      </c>
      <c r="Q1456" s="38" t="s">
        <v>44</v>
      </c>
      <c r="R1456" s="38" t="s">
        <v>270</v>
      </c>
      <c r="S1456" s="38" t="s">
        <v>4017</v>
      </c>
      <c r="T1456" s="38" t="s">
        <v>4018</v>
      </c>
      <c r="U1456" s="38"/>
      <c r="V1456" s="38"/>
      <c r="W1456" s="38"/>
      <c r="X1456" s="14"/>
      <c r="AN1456" s="7" t="s">
        <v>70</v>
      </c>
      <c r="AO1456" s="21">
        <f t="shared" si="75"/>
        <v>0</v>
      </c>
      <c r="AP1456" s="7">
        <f t="shared" si="73"/>
        <v>55.78</v>
      </c>
      <c r="AQ1456" s="31" t="str">
        <f t="shared" si="74"/>
        <v>Complete - No Adjustment</v>
      </c>
    </row>
    <row r="1457" spans="1:43" x14ac:dyDescent="0.2">
      <c r="A1457" s="46">
        <v>1447</v>
      </c>
      <c r="B1457" s="38" t="s">
        <v>266</v>
      </c>
      <c r="C1457" s="38" t="s">
        <v>4013</v>
      </c>
      <c r="D1457" s="38" t="s">
        <v>4014</v>
      </c>
      <c r="E1457" s="38" t="s">
        <v>4015</v>
      </c>
      <c r="F1457" s="38" t="s">
        <v>3700</v>
      </c>
      <c r="G1457" s="38" t="s">
        <v>111</v>
      </c>
      <c r="H1457" s="44">
        <v>44068</v>
      </c>
      <c r="I1457" s="44">
        <v>44069</v>
      </c>
      <c r="J1457">
        <v>924.71</v>
      </c>
      <c r="K1457">
        <v>10.93</v>
      </c>
      <c r="L1457" t="s">
        <v>4016</v>
      </c>
      <c r="M1457" s="45" t="s">
        <v>98</v>
      </c>
      <c r="N1457" s="38" t="s">
        <v>230</v>
      </c>
      <c r="O1457" s="38" t="s">
        <v>293</v>
      </c>
      <c r="P1457" s="38" t="s">
        <v>60</v>
      </c>
      <c r="Q1457" s="38" t="s">
        <v>44</v>
      </c>
      <c r="R1457" s="38" t="s">
        <v>270</v>
      </c>
      <c r="S1457" s="38" t="s">
        <v>4017</v>
      </c>
      <c r="T1457" s="38" t="s">
        <v>4019</v>
      </c>
      <c r="U1457" s="38"/>
      <c r="V1457" s="38"/>
      <c r="W1457" s="38"/>
      <c r="X1457" s="14"/>
      <c r="AN1457" s="7" t="s">
        <v>70</v>
      </c>
      <c r="AO1457" s="21">
        <f t="shared" si="75"/>
        <v>0</v>
      </c>
      <c r="AP1457" s="7">
        <f t="shared" si="73"/>
        <v>10.93</v>
      </c>
      <c r="AQ1457" s="31" t="str">
        <f t="shared" si="74"/>
        <v>Complete - No Adjustment</v>
      </c>
    </row>
    <row r="1458" spans="1:43" x14ac:dyDescent="0.2">
      <c r="A1458" s="46">
        <v>1448</v>
      </c>
      <c r="B1458" s="38" t="s">
        <v>266</v>
      </c>
      <c r="C1458" s="38" t="s">
        <v>4013</v>
      </c>
      <c r="D1458" s="38" t="s">
        <v>4014</v>
      </c>
      <c r="E1458" s="38" t="s">
        <v>4015</v>
      </c>
      <c r="F1458" s="38" t="s">
        <v>3700</v>
      </c>
      <c r="G1458" s="38" t="s">
        <v>111</v>
      </c>
      <c r="H1458" s="44">
        <v>44068</v>
      </c>
      <c r="I1458" s="44">
        <v>44069</v>
      </c>
      <c r="J1458">
        <v>924.71</v>
      </c>
      <c r="K1458">
        <v>858</v>
      </c>
      <c r="L1458" t="s">
        <v>4016</v>
      </c>
      <c r="M1458" s="45" t="s">
        <v>98</v>
      </c>
      <c r="N1458" s="38" t="s">
        <v>230</v>
      </c>
      <c r="O1458" s="38" t="s">
        <v>293</v>
      </c>
      <c r="P1458" s="38" t="s">
        <v>60</v>
      </c>
      <c r="Q1458" s="38" t="s">
        <v>56</v>
      </c>
      <c r="R1458" s="38" t="s">
        <v>270</v>
      </c>
      <c r="S1458" s="38" t="s">
        <v>4017</v>
      </c>
      <c r="T1458" s="38" t="s">
        <v>4020</v>
      </c>
      <c r="U1458" s="38"/>
      <c r="V1458" s="38"/>
      <c r="W1458" s="38"/>
      <c r="X1458" s="14"/>
      <c r="AN1458" s="7" t="s">
        <v>70</v>
      </c>
      <c r="AO1458" s="21">
        <f t="shared" si="75"/>
        <v>0</v>
      </c>
      <c r="AP1458" s="7">
        <f t="shared" si="73"/>
        <v>858</v>
      </c>
      <c r="AQ1458" s="31" t="str">
        <f t="shared" si="74"/>
        <v>Complete - No Adjustment</v>
      </c>
    </row>
    <row r="1459" spans="1:43" x14ac:dyDescent="0.2">
      <c r="A1459" s="46">
        <v>1449</v>
      </c>
      <c r="B1459" s="38" t="s">
        <v>266</v>
      </c>
      <c r="C1459" s="38" t="s">
        <v>612</v>
      </c>
      <c r="D1459" s="38" t="s">
        <v>845</v>
      </c>
      <c r="E1459" s="38" t="s">
        <v>4021</v>
      </c>
      <c r="F1459" s="38" t="s">
        <v>3780</v>
      </c>
      <c r="G1459" s="38" t="s">
        <v>111</v>
      </c>
      <c r="H1459" s="44">
        <v>44049</v>
      </c>
      <c r="I1459" s="44">
        <v>44068</v>
      </c>
      <c r="J1459">
        <v>20.68</v>
      </c>
      <c r="K1459">
        <v>20.68</v>
      </c>
      <c r="L1459" t="s">
        <v>4022</v>
      </c>
      <c r="M1459" s="45" t="s">
        <v>98</v>
      </c>
      <c r="N1459" s="38" t="s">
        <v>230</v>
      </c>
      <c r="O1459" s="38" t="s">
        <v>323</v>
      </c>
      <c r="P1459" s="38" t="s">
        <v>60</v>
      </c>
      <c r="Q1459" s="38" t="s">
        <v>41</v>
      </c>
      <c r="R1459" s="38" t="s">
        <v>270</v>
      </c>
      <c r="S1459" s="38" t="s">
        <v>4023</v>
      </c>
      <c r="T1459" s="38" t="s">
        <v>4024</v>
      </c>
      <c r="U1459" s="38"/>
      <c r="V1459" s="38"/>
      <c r="W1459" s="38"/>
      <c r="X1459" s="14"/>
      <c r="AN1459" s="7" t="s">
        <v>70</v>
      </c>
      <c r="AO1459" s="21">
        <f t="shared" si="75"/>
        <v>0</v>
      </c>
      <c r="AP1459" s="7">
        <f t="shared" si="73"/>
        <v>20.68</v>
      </c>
      <c r="AQ1459" s="31" t="str">
        <f t="shared" si="74"/>
        <v>Complete - No Adjustment</v>
      </c>
    </row>
    <row r="1460" spans="1:43" x14ac:dyDescent="0.2">
      <c r="A1460" s="46">
        <v>1450</v>
      </c>
      <c r="B1460" s="38" t="s">
        <v>266</v>
      </c>
      <c r="C1460" s="38" t="s">
        <v>612</v>
      </c>
      <c r="D1460" s="38" t="s">
        <v>845</v>
      </c>
      <c r="E1460" s="38" t="s">
        <v>4025</v>
      </c>
      <c r="F1460" s="38" t="s">
        <v>3780</v>
      </c>
      <c r="G1460" s="38" t="s">
        <v>111</v>
      </c>
      <c r="H1460" s="44">
        <v>44048</v>
      </c>
      <c r="I1460" s="44">
        <v>44068</v>
      </c>
      <c r="J1460">
        <v>22.34</v>
      </c>
      <c r="K1460">
        <v>22.34</v>
      </c>
      <c r="L1460" t="s">
        <v>4026</v>
      </c>
      <c r="M1460" s="45" t="s">
        <v>98</v>
      </c>
      <c r="N1460" s="38" t="s">
        <v>230</v>
      </c>
      <c r="O1460" s="38" t="s">
        <v>323</v>
      </c>
      <c r="P1460" s="38" t="s">
        <v>60</v>
      </c>
      <c r="Q1460" s="38" t="s">
        <v>41</v>
      </c>
      <c r="R1460" s="38" t="s">
        <v>270</v>
      </c>
      <c r="S1460" s="38" t="s">
        <v>2608</v>
      </c>
      <c r="T1460" s="38" t="s">
        <v>2609</v>
      </c>
      <c r="U1460" s="38"/>
      <c r="V1460" s="38"/>
      <c r="W1460" s="38"/>
      <c r="X1460" s="14"/>
      <c r="AN1460" s="7" t="s">
        <v>70</v>
      </c>
      <c r="AO1460" s="21">
        <f t="shared" si="75"/>
        <v>0</v>
      </c>
      <c r="AP1460" s="7">
        <f t="shared" si="73"/>
        <v>22.34</v>
      </c>
      <c r="AQ1460" s="31" t="str">
        <f t="shared" si="74"/>
        <v>Complete - No Adjustment</v>
      </c>
    </row>
    <row r="1461" spans="1:43" x14ac:dyDescent="0.2">
      <c r="A1461" s="46">
        <v>1451</v>
      </c>
      <c r="B1461" s="38" t="s">
        <v>266</v>
      </c>
      <c r="C1461" s="38" t="s">
        <v>846</v>
      </c>
      <c r="D1461" s="38" t="s">
        <v>847</v>
      </c>
      <c r="E1461" s="38" t="s">
        <v>4027</v>
      </c>
      <c r="F1461" s="38" t="s">
        <v>3722</v>
      </c>
      <c r="G1461" s="38" t="s">
        <v>111</v>
      </c>
      <c r="H1461" s="44">
        <v>44057</v>
      </c>
      <c r="I1461" s="44">
        <v>44060</v>
      </c>
      <c r="J1461">
        <v>657.8</v>
      </c>
      <c r="K1461">
        <v>657.8</v>
      </c>
      <c r="L1461" t="s">
        <v>4028</v>
      </c>
      <c r="M1461" s="45" t="s">
        <v>98</v>
      </c>
      <c r="N1461" s="38" t="s">
        <v>230</v>
      </c>
      <c r="O1461" s="38" t="s">
        <v>314</v>
      </c>
      <c r="P1461" s="38" t="s">
        <v>60</v>
      </c>
      <c r="Q1461" s="38" t="s">
        <v>44</v>
      </c>
      <c r="R1461" s="38" t="s">
        <v>270</v>
      </c>
      <c r="S1461" s="38" t="s">
        <v>4029</v>
      </c>
      <c r="T1461" s="38" t="s">
        <v>4030</v>
      </c>
      <c r="U1461" s="38"/>
      <c r="V1461" s="38"/>
      <c r="W1461" s="38"/>
      <c r="X1461" s="14"/>
      <c r="AN1461" s="7" t="s">
        <v>70</v>
      </c>
      <c r="AO1461" s="21">
        <f t="shared" si="75"/>
        <v>0</v>
      </c>
      <c r="AP1461" s="7">
        <f t="shared" si="73"/>
        <v>657.8</v>
      </c>
      <c r="AQ1461" s="31" t="str">
        <f t="shared" si="74"/>
        <v>Complete - No Adjustment</v>
      </c>
    </row>
    <row r="1462" spans="1:43" x14ac:dyDescent="0.2">
      <c r="A1462" s="46">
        <v>1452</v>
      </c>
      <c r="B1462" s="38" t="s">
        <v>266</v>
      </c>
      <c r="C1462" s="38" t="s">
        <v>439</v>
      </c>
      <c r="D1462" s="38" t="s">
        <v>438</v>
      </c>
      <c r="E1462" s="38" t="s">
        <v>4031</v>
      </c>
      <c r="F1462" s="38" t="s">
        <v>3758</v>
      </c>
      <c r="G1462" s="38" t="s">
        <v>111</v>
      </c>
      <c r="H1462" s="44">
        <v>44047</v>
      </c>
      <c r="I1462" s="44">
        <v>44049</v>
      </c>
      <c r="J1462">
        <v>101.11</v>
      </c>
      <c r="K1462">
        <v>75.760000000000005</v>
      </c>
      <c r="L1462" t="s">
        <v>4032</v>
      </c>
      <c r="M1462" s="45" t="s">
        <v>98</v>
      </c>
      <c r="N1462" s="38" t="s">
        <v>230</v>
      </c>
      <c r="O1462" s="38" t="s">
        <v>271</v>
      </c>
      <c r="P1462" s="38" t="s">
        <v>60</v>
      </c>
      <c r="Q1462" s="38" t="s">
        <v>104</v>
      </c>
      <c r="R1462" s="38" t="s">
        <v>270</v>
      </c>
      <c r="S1462" s="38" t="s">
        <v>4033</v>
      </c>
      <c r="T1462" s="38" t="s">
        <v>4034</v>
      </c>
      <c r="U1462" s="38"/>
      <c r="V1462" s="38"/>
      <c r="W1462" s="38"/>
      <c r="X1462" s="14"/>
      <c r="AN1462" s="7" t="s">
        <v>155</v>
      </c>
      <c r="AO1462" s="21">
        <f t="shared" si="75"/>
        <v>0</v>
      </c>
      <c r="AP1462" s="7">
        <f t="shared" si="73"/>
        <v>75.760000000000005</v>
      </c>
      <c r="AQ1462" s="31" t="str">
        <f t="shared" si="74"/>
        <v>Complete - No Adjustment</v>
      </c>
    </row>
    <row r="1463" spans="1:43" x14ac:dyDescent="0.2">
      <c r="A1463" s="46">
        <v>1453</v>
      </c>
      <c r="B1463" s="38" t="s">
        <v>266</v>
      </c>
      <c r="C1463" s="38" t="s">
        <v>439</v>
      </c>
      <c r="D1463" s="38" t="s">
        <v>438</v>
      </c>
      <c r="E1463" s="38" t="s">
        <v>4031</v>
      </c>
      <c r="F1463" s="38" t="s">
        <v>3758</v>
      </c>
      <c r="G1463" s="38" t="s">
        <v>111</v>
      </c>
      <c r="H1463" s="44">
        <v>44047</v>
      </c>
      <c r="I1463" s="44">
        <v>44049</v>
      </c>
      <c r="J1463">
        <v>101.11</v>
      </c>
      <c r="K1463">
        <v>15</v>
      </c>
      <c r="L1463" t="s">
        <v>4032</v>
      </c>
      <c r="M1463" s="45" t="s">
        <v>98</v>
      </c>
      <c r="N1463" s="38" t="s">
        <v>230</v>
      </c>
      <c r="O1463" s="38" t="s">
        <v>271</v>
      </c>
      <c r="P1463" s="38" t="s">
        <v>60</v>
      </c>
      <c r="Q1463" s="38" t="s">
        <v>41</v>
      </c>
      <c r="R1463" s="38" t="s">
        <v>270</v>
      </c>
      <c r="S1463" s="38" t="s">
        <v>4033</v>
      </c>
      <c r="T1463" s="38" t="s">
        <v>4035</v>
      </c>
      <c r="U1463" s="38"/>
      <c r="V1463" s="38"/>
      <c r="W1463" s="38"/>
      <c r="X1463" s="14"/>
      <c r="AN1463" s="7" t="s">
        <v>155</v>
      </c>
      <c r="AO1463" s="21">
        <f t="shared" si="75"/>
        <v>0</v>
      </c>
      <c r="AP1463" s="7">
        <f t="shared" si="73"/>
        <v>15</v>
      </c>
      <c r="AQ1463" s="31" t="str">
        <f t="shared" si="74"/>
        <v>Complete - No Adjustment</v>
      </c>
    </row>
    <row r="1464" spans="1:43" x14ac:dyDescent="0.2">
      <c r="A1464" s="46">
        <v>1454</v>
      </c>
      <c r="B1464" s="38" t="s">
        <v>266</v>
      </c>
      <c r="C1464" s="38" t="s">
        <v>439</v>
      </c>
      <c r="D1464" s="38" t="s">
        <v>438</v>
      </c>
      <c r="E1464" s="38" t="s">
        <v>4031</v>
      </c>
      <c r="F1464" s="38" t="s">
        <v>3758</v>
      </c>
      <c r="G1464" s="38" t="s">
        <v>111</v>
      </c>
      <c r="H1464" s="44">
        <v>44047</v>
      </c>
      <c r="I1464" s="44">
        <v>44049</v>
      </c>
      <c r="J1464">
        <v>101.11</v>
      </c>
      <c r="K1464">
        <v>10.35</v>
      </c>
      <c r="L1464" t="s">
        <v>4032</v>
      </c>
      <c r="M1464" s="45" t="s">
        <v>98</v>
      </c>
      <c r="N1464" s="38" t="s">
        <v>230</v>
      </c>
      <c r="O1464" s="38" t="s">
        <v>271</v>
      </c>
      <c r="P1464" s="38" t="s">
        <v>60</v>
      </c>
      <c r="Q1464" s="38" t="s">
        <v>44</v>
      </c>
      <c r="R1464" s="38" t="s">
        <v>270</v>
      </c>
      <c r="S1464" s="38" t="s">
        <v>4033</v>
      </c>
      <c r="T1464" s="38" t="s">
        <v>4036</v>
      </c>
      <c r="U1464" s="38"/>
      <c r="V1464" s="38"/>
      <c r="W1464" s="38"/>
      <c r="X1464" s="14"/>
      <c r="AN1464" s="7" t="s">
        <v>70</v>
      </c>
      <c r="AO1464" s="21">
        <f t="shared" si="75"/>
        <v>0</v>
      </c>
      <c r="AP1464" s="7">
        <f t="shared" si="73"/>
        <v>10.35</v>
      </c>
      <c r="AQ1464" s="31" t="str">
        <f t="shared" si="74"/>
        <v>Complete - No Adjustment</v>
      </c>
    </row>
    <row r="1465" spans="1:43" x14ac:dyDescent="0.2">
      <c r="A1465" s="46">
        <v>1455</v>
      </c>
      <c r="B1465" s="38" t="s">
        <v>266</v>
      </c>
      <c r="C1465" s="38" t="s">
        <v>446</v>
      </c>
      <c r="D1465" s="38" t="s">
        <v>445</v>
      </c>
      <c r="E1465" s="38" t="s">
        <v>4037</v>
      </c>
      <c r="F1465" s="38" t="s">
        <v>3847</v>
      </c>
      <c r="G1465" s="38" t="s">
        <v>111</v>
      </c>
      <c r="H1465" s="44">
        <v>44060</v>
      </c>
      <c r="I1465" s="44">
        <v>44061</v>
      </c>
      <c r="J1465">
        <v>171.27</v>
      </c>
      <c r="K1465">
        <v>150</v>
      </c>
      <c r="L1465" t="s">
        <v>4038</v>
      </c>
      <c r="M1465" s="45" t="s">
        <v>98</v>
      </c>
      <c r="N1465" s="38" t="s">
        <v>230</v>
      </c>
      <c r="O1465" s="38" t="s">
        <v>293</v>
      </c>
      <c r="P1465" s="38" t="s">
        <v>60</v>
      </c>
      <c r="Q1465" s="38" t="s">
        <v>56</v>
      </c>
      <c r="R1465" s="38" t="s">
        <v>270</v>
      </c>
      <c r="S1465" s="38" t="s">
        <v>1411</v>
      </c>
      <c r="T1465" s="38" t="s">
        <v>4039</v>
      </c>
      <c r="U1465" s="38"/>
      <c r="V1465" s="38"/>
      <c r="W1465" s="38"/>
      <c r="X1465" s="14"/>
      <c r="AN1465" s="7" t="s">
        <v>70</v>
      </c>
      <c r="AO1465" s="21">
        <f t="shared" si="75"/>
        <v>0</v>
      </c>
      <c r="AP1465" s="7">
        <f t="shared" si="73"/>
        <v>150</v>
      </c>
      <c r="AQ1465" s="31" t="str">
        <f t="shared" si="74"/>
        <v>Complete - No Adjustment</v>
      </c>
    </row>
    <row r="1466" spans="1:43" x14ac:dyDescent="0.2">
      <c r="A1466" s="46">
        <v>1456</v>
      </c>
      <c r="B1466" s="38" t="s">
        <v>266</v>
      </c>
      <c r="C1466" s="38" t="s">
        <v>446</v>
      </c>
      <c r="D1466" s="38" t="s">
        <v>445</v>
      </c>
      <c r="E1466" s="38" t="s">
        <v>4037</v>
      </c>
      <c r="F1466" s="38" t="s">
        <v>3847</v>
      </c>
      <c r="G1466" s="38" t="s">
        <v>111</v>
      </c>
      <c r="H1466" s="44">
        <v>44060</v>
      </c>
      <c r="I1466" s="44">
        <v>44061</v>
      </c>
      <c r="J1466">
        <v>171.27</v>
      </c>
      <c r="K1466">
        <v>21.27</v>
      </c>
      <c r="L1466" t="s">
        <v>4038</v>
      </c>
      <c r="M1466" s="45" t="s">
        <v>98</v>
      </c>
      <c r="N1466" s="38" t="s">
        <v>230</v>
      </c>
      <c r="O1466" s="38" t="s">
        <v>293</v>
      </c>
      <c r="P1466" s="38" t="s">
        <v>60</v>
      </c>
      <c r="Q1466" s="38" t="s">
        <v>79</v>
      </c>
      <c r="R1466" s="38" t="s">
        <v>270</v>
      </c>
      <c r="S1466" s="38" t="s">
        <v>1411</v>
      </c>
      <c r="T1466" s="38" t="s">
        <v>812</v>
      </c>
      <c r="U1466" s="38"/>
      <c r="V1466" s="38"/>
      <c r="W1466" s="38"/>
      <c r="X1466" s="14"/>
      <c r="AN1466" s="7" t="s">
        <v>70</v>
      </c>
      <c r="AO1466" s="21">
        <f t="shared" si="75"/>
        <v>0</v>
      </c>
      <c r="AP1466" s="7">
        <f t="shared" si="73"/>
        <v>21.27</v>
      </c>
      <c r="AQ1466" s="31" t="str">
        <f t="shared" si="74"/>
        <v>Complete - No Adjustment</v>
      </c>
    </row>
    <row r="1467" spans="1:43" x14ac:dyDescent="0.2">
      <c r="A1467" s="46">
        <v>1457</v>
      </c>
      <c r="B1467" s="38" t="s">
        <v>266</v>
      </c>
      <c r="C1467" s="38" t="s">
        <v>813</v>
      </c>
      <c r="D1467" s="38" t="s">
        <v>814</v>
      </c>
      <c r="E1467" s="38" t="s">
        <v>4040</v>
      </c>
      <c r="F1467" s="38" t="s">
        <v>3954</v>
      </c>
      <c r="G1467" s="38" t="s">
        <v>111</v>
      </c>
      <c r="H1467" s="44">
        <v>44033</v>
      </c>
      <c r="I1467" s="44">
        <v>44050</v>
      </c>
      <c r="J1467">
        <v>13.3</v>
      </c>
      <c r="K1467">
        <v>13.3</v>
      </c>
      <c r="L1467" t="s">
        <v>4041</v>
      </c>
      <c r="M1467" s="45" t="s">
        <v>98</v>
      </c>
      <c r="N1467" s="38" t="s">
        <v>230</v>
      </c>
      <c r="O1467" s="38" t="s">
        <v>269</v>
      </c>
      <c r="P1467" s="38" t="s">
        <v>60</v>
      </c>
      <c r="Q1467" s="38" t="s">
        <v>41</v>
      </c>
      <c r="R1467" s="38" t="s">
        <v>270</v>
      </c>
      <c r="S1467" s="38" t="s">
        <v>4042</v>
      </c>
      <c r="T1467" s="38" t="s">
        <v>4043</v>
      </c>
      <c r="U1467" s="38"/>
      <c r="V1467" s="38"/>
      <c r="W1467" s="38"/>
      <c r="X1467" s="14"/>
      <c r="AN1467" s="7" t="s">
        <v>155</v>
      </c>
      <c r="AO1467" s="21">
        <f t="shared" si="75"/>
        <v>0</v>
      </c>
      <c r="AP1467" s="7">
        <f t="shared" si="73"/>
        <v>13.3</v>
      </c>
      <c r="AQ1467" s="31" t="str">
        <f t="shared" si="74"/>
        <v>Complete - No Adjustment</v>
      </c>
    </row>
    <row r="1468" spans="1:43" x14ac:dyDescent="0.2">
      <c r="A1468" s="46">
        <v>1458</v>
      </c>
      <c r="B1468" s="38" t="s">
        <v>266</v>
      </c>
      <c r="C1468" s="38" t="s">
        <v>616</v>
      </c>
      <c r="D1468" s="38" t="s">
        <v>615</v>
      </c>
      <c r="E1468" s="38" t="s">
        <v>4044</v>
      </c>
      <c r="F1468" s="38" t="s">
        <v>3700</v>
      </c>
      <c r="G1468" s="38" t="s">
        <v>111</v>
      </c>
      <c r="H1468" s="44">
        <v>44068</v>
      </c>
      <c r="I1468" s="44">
        <v>44069</v>
      </c>
      <c r="J1468">
        <v>10.82</v>
      </c>
      <c r="K1468">
        <v>10.82</v>
      </c>
      <c r="L1468" t="s">
        <v>4045</v>
      </c>
      <c r="M1468" s="45" t="s">
        <v>98</v>
      </c>
      <c r="N1468" s="38" t="s">
        <v>230</v>
      </c>
      <c r="O1468" s="38" t="s">
        <v>378</v>
      </c>
      <c r="P1468" s="38" t="s">
        <v>60</v>
      </c>
      <c r="Q1468" s="38" t="s">
        <v>41</v>
      </c>
      <c r="R1468" s="38" t="s">
        <v>270</v>
      </c>
      <c r="S1468" s="38" t="s">
        <v>4046</v>
      </c>
      <c r="T1468" s="38" t="s">
        <v>4047</v>
      </c>
      <c r="U1468" s="38"/>
      <c r="V1468" s="38"/>
      <c r="W1468" s="38"/>
      <c r="X1468" s="14"/>
      <c r="AN1468" s="7" t="s">
        <v>155</v>
      </c>
      <c r="AO1468" s="21">
        <f t="shared" si="75"/>
        <v>0</v>
      </c>
      <c r="AP1468" s="7">
        <f t="shared" si="73"/>
        <v>10.82</v>
      </c>
      <c r="AQ1468" s="31" t="str">
        <f t="shared" si="74"/>
        <v>Complete - No Adjustment</v>
      </c>
    </row>
    <row r="1469" spans="1:43" x14ac:dyDescent="0.2">
      <c r="A1469" s="46">
        <v>1459</v>
      </c>
      <c r="B1469" s="38" t="s">
        <v>266</v>
      </c>
      <c r="C1469" s="38" t="s">
        <v>4048</v>
      </c>
      <c r="D1469" s="38" t="s">
        <v>4049</v>
      </c>
      <c r="E1469" s="38" t="s">
        <v>4050</v>
      </c>
      <c r="F1469" s="38" t="s">
        <v>3695</v>
      </c>
      <c r="G1469" s="38" t="s">
        <v>111</v>
      </c>
      <c r="H1469" s="44">
        <v>44047</v>
      </c>
      <c r="I1469" s="44">
        <v>44048</v>
      </c>
      <c r="J1469">
        <v>15</v>
      </c>
      <c r="K1469">
        <v>15</v>
      </c>
      <c r="L1469" t="s">
        <v>4051</v>
      </c>
      <c r="M1469" s="45" t="s">
        <v>98</v>
      </c>
      <c r="N1469" s="38" t="s">
        <v>230</v>
      </c>
      <c r="O1469" s="38" t="s">
        <v>592</v>
      </c>
      <c r="P1469" s="38" t="s">
        <v>60</v>
      </c>
      <c r="Q1469" s="38" t="s">
        <v>46</v>
      </c>
      <c r="R1469" s="38" t="s">
        <v>270</v>
      </c>
      <c r="S1469" s="38" t="s">
        <v>4052</v>
      </c>
      <c r="T1469" s="38" t="s">
        <v>4053</v>
      </c>
      <c r="U1469" s="38"/>
      <c r="V1469" s="38"/>
      <c r="W1469" s="38"/>
      <c r="X1469" s="14"/>
      <c r="AN1469" s="7" t="s">
        <v>155</v>
      </c>
      <c r="AO1469" s="21">
        <f t="shared" si="75"/>
        <v>0</v>
      </c>
      <c r="AP1469" s="7">
        <f t="shared" si="73"/>
        <v>15</v>
      </c>
      <c r="AQ1469" s="31" t="str">
        <f t="shared" si="74"/>
        <v>Complete - No Adjustment</v>
      </c>
    </row>
    <row r="1470" spans="1:43" x14ac:dyDescent="0.2">
      <c r="A1470" s="46">
        <v>1460</v>
      </c>
      <c r="B1470" s="38" t="s">
        <v>266</v>
      </c>
      <c r="C1470" s="38" t="s">
        <v>4048</v>
      </c>
      <c r="D1470" s="38" t="s">
        <v>4049</v>
      </c>
      <c r="E1470" s="38" t="s">
        <v>4054</v>
      </c>
      <c r="F1470" s="38" t="s">
        <v>3695</v>
      </c>
      <c r="G1470" s="38" t="s">
        <v>111</v>
      </c>
      <c r="H1470" s="44">
        <v>44047</v>
      </c>
      <c r="I1470" s="44">
        <v>44048</v>
      </c>
      <c r="J1470">
        <v>15</v>
      </c>
      <c r="K1470">
        <v>15</v>
      </c>
      <c r="L1470" t="s">
        <v>4055</v>
      </c>
      <c r="M1470" s="45" t="s">
        <v>98</v>
      </c>
      <c r="N1470" s="38" t="s">
        <v>230</v>
      </c>
      <c r="O1470" s="38" t="s">
        <v>592</v>
      </c>
      <c r="P1470" s="38" t="s">
        <v>60</v>
      </c>
      <c r="Q1470" s="38" t="s">
        <v>46</v>
      </c>
      <c r="R1470" s="38" t="s">
        <v>270</v>
      </c>
      <c r="S1470" s="38" t="s">
        <v>4056</v>
      </c>
      <c r="T1470" s="38" t="s">
        <v>4057</v>
      </c>
      <c r="U1470" s="38"/>
      <c r="V1470" s="38"/>
      <c r="W1470" s="38"/>
      <c r="X1470" s="14"/>
      <c r="AN1470" s="7" t="s">
        <v>155</v>
      </c>
      <c r="AO1470" s="21">
        <f t="shared" si="75"/>
        <v>0</v>
      </c>
      <c r="AP1470" s="7">
        <f t="shared" si="73"/>
        <v>15</v>
      </c>
      <c r="AQ1470" s="31" t="str">
        <f t="shared" si="74"/>
        <v>Complete - No Adjustment</v>
      </c>
    </row>
    <row r="1471" spans="1:43" x14ac:dyDescent="0.2">
      <c r="A1471" s="46">
        <v>1461</v>
      </c>
      <c r="B1471" s="38" t="s">
        <v>266</v>
      </c>
      <c r="C1471" s="38" t="s">
        <v>458</v>
      </c>
      <c r="D1471" s="38" t="s">
        <v>457</v>
      </c>
      <c r="E1471" s="38" t="s">
        <v>4058</v>
      </c>
      <c r="F1471" s="38" t="s">
        <v>3700</v>
      </c>
      <c r="G1471" s="38" t="s">
        <v>111</v>
      </c>
      <c r="H1471" s="44">
        <v>44062</v>
      </c>
      <c r="I1471" s="44">
        <v>44069</v>
      </c>
      <c r="J1471">
        <v>109.15</v>
      </c>
      <c r="K1471">
        <v>26.75</v>
      </c>
      <c r="L1471" t="s">
        <v>4059</v>
      </c>
      <c r="M1471" s="45" t="s">
        <v>98</v>
      </c>
      <c r="N1471" s="38" t="s">
        <v>230</v>
      </c>
      <c r="O1471" s="38" t="s">
        <v>281</v>
      </c>
      <c r="P1471" s="38" t="s">
        <v>60</v>
      </c>
      <c r="Q1471" s="38" t="s">
        <v>174</v>
      </c>
      <c r="R1471" s="38" t="s">
        <v>270</v>
      </c>
      <c r="S1471" s="38" t="s">
        <v>4060</v>
      </c>
      <c r="T1471" s="38" t="s">
        <v>4061</v>
      </c>
      <c r="U1471" s="38"/>
      <c r="V1471" s="38"/>
      <c r="W1471" s="38"/>
      <c r="X1471" s="14"/>
      <c r="AN1471" s="7" t="s">
        <v>70</v>
      </c>
      <c r="AO1471" s="21">
        <f t="shared" si="75"/>
        <v>0</v>
      </c>
      <c r="AP1471" s="7">
        <f t="shared" si="73"/>
        <v>26.75</v>
      </c>
      <c r="AQ1471" s="31" t="str">
        <f t="shared" si="74"/>
        <v>Complete - No Adjustment</v>
      </c>
    </row>
    <row r="1472" spans="1:43" x14ac:dyDescent="0.2">
      <c r="A1472" s="46">
        <v>1462</v>
      </c>
      <c r="B1472" s="38" t="s">
        <v>266</v>
      </c>
      <c r="C1472" s="38" t="s">
        <v>458</v>
      </c>
      <c r="D1472" s="38" t="s">
        <v>457</v>
      </c>
      <c r="E1472" s="38" t="s">
        <v>4058</v>
      </c>
      <c r="F1472" s="38" t="s">
        <v>3700</v>
      </c>
      <c r="G1472" s="38" t="s">
        <v>111</v>
      </c>
      <c r="H1472" s="44">
        <v>44062</v>
      </c>
      <c r="I1472" s="44">
        <v>44069</v>
      </c>
      <c r="J1472">
        <v>109.15</v>
      </c>
      <c r="K1472">
        <v>18.18</v>
      </c>
      <c r="L1472" t="s">
        <v>4059</v>
      </c>
      <c r="M1472" s="45" t="s">
        <v>98</v>
      </c>
      <c r="N1472" s="38" t="s">
        <v>230</v>
      </c>
      <c r="O1472" s="38" t="s">
        <v>281</v>
      </c>
      <c r="P1472" s="38" t="s">
        <v>60</v>
      </c>
      <c r="Q1472" s="38" t="s">
        <v>174</v>
      </c>
      <c r="R1472" s="38" t="s">
        <v>270</v>
      </c>
      <c r="S1472" s="38" t="s">
        <v>4060</v>
      </c>
      <c r="T1472" s="38" t="s">
        <v>4062</v>
      </c>
      <c r="U1472" s="38"/>
      <c r="V1472" s="38"/>
      <c r="W1472" s="38"/>
      <c r="X1472" s="14"/>
      <c r="AN1472" s="7" t="s">
        <v>70</v>
      </c>
      <c r="AO1472" s="21">
        <f t="shared" si="75"/>
        <v>0</v>
      </c>
      <c r="AP1472" s="7">
        <f t="shared" si="73"/>
        <v>18.18</v>
      </c>
      <c r="AQ1472" s="31" t="str">
        <f t="shared" si="74"/>
        <v>Complete - No Adjustment</v>
      </c>
    </row>
    <row r="1473" spans="1:43" x14ac:dyDescent="0.2">
      <c r="A1473" s="46">
        <v>1463</v>
      </c>
      <c r="B1473" s="38" t="s">
        <v>266</v>
      </c>
      <c r="C1473" s="38" t="s">
        <v>458</v>
      </c>
      <c r="D1473" s="38" t="s">
        <v>457</v>
      </c>
      <c r="E1473" s="38" t="s">
        <v>4058</v>
      </c>
      <c r="F1473" s="38" t="s">
        <v>3700</v>
      </c>
      <c r="G1473" s="38" t="s">
        <v>111</v>
      </c>
      <c r="H1473" s="44">
        <v>44062</v>
      </c>
      <c r="I1473" s="44">
        <v>44069</v>
      </c>
      <c r="J1473">
        <v>109.15</v>
      </c>
      <c r="K1473">
        <v>10.48</v>
      </c>
      <c r="L1473" t="s">
        <v>4059</v>
      </c>
      <c r="M1473" s="45" t="s">
        <v>98</v>
      </c>
      <c r="N1473" s="38" t="s">
        <v>230</v>
      </c>
      <c r="O1473" s="38" t="s">
        <v>281</v>
      </c>
      <c r="P1473" s="38" t="s">
        <v>60</v>
      </c>
      <c r="Q1473" s="38" t="s">
        <v>41</v>
      </c>
      <c r="R1473" s="38" t="s">
        <v>270</v>
      </c>
      <c r="S1473" s="38" t="s">
        <v>4060</v>
      </c>
      <c r="T1473" s="38" t="s">
        <v>4063</v>
      </c>
      <c r="U1473" s="38"/>
      <c r="V1473" s="38"/>
      <c r="W1473" s="38"/>
      <c r="X1473" s="14"/>
      <c r="AN1473" s="7" t="s">
        <v>155</v>
      </c>
      <c r="AO1473" s="21">
        <f t="shared" si="75"/>
        <v>0</v>
      </c>
      <c r="AP1473" s="7">
        <f t="shared" si="73"/>
        <v>10.48</v>
      </c>
      <c r="AQ1473" s="31" t="str">
        <f t="shared" si="74"/>
        <v>Complete - No Adjustment</v>
      </c>
    </row>
    <row r="1474" spans="1:43" x14ac:dyDescent="0.2">
      <c r="A1474" s="46">
        <v>1464</v>
      </c>
      <c r="B1474" s="38" t="s">
        <v>266</v>
      </c>
      <c r="C1474" s="38" t="s">
        <v>458</v>
      </c>
      <c r="D1474" s="38" t="s">
        <v>457</v>
      </c>
      <c r="E1474" s="38" t="s">
        <v>4058</v>
      </c>
      <c r="F1474" s="38" t="s">
        <v>3700</v>
      </c>
      <c r="G1474" s="38" t="s">
        <v>111</v>
      </c>
      <c r="H1474" s="44">
        <v>44062</v>
      </c>
      <c r="I1474" s="44">
        <v>44069</v>
      </c>
      <c r="J1474">
        <v>109.15</v>
      </c>
      <c r="K1474">
        <v>53.74</v>
      </c>
      <c r="L1474" t="s">
        <v>4059</v>
      </c>
      <c r="M1474" s="45" t="s">
        <v>98</v>
      </c>
      <c r="N1474" s="38" t="s">
        <v>230</v>
      </c>
      <c r="O1474" s="38" t="s">
        <v>281</v>
      </c>
      <c r="P1474" s="38" t="s">
        <v>60</v>
      </c>
      <c r="Q1474" s="38" t="s">
        <v>62</v>
      </c>
      <c r="R1474" s="38" t="s">
        <v>270</v>
      </c>
      <c r="S1474" s="38" t="s">
        <v>4060</v>
      </c>
      <c r="T1474" s="38" t="s">
        <v>4064</v>
      </c>
      <c r="U1474" s="38"/>
      <c r="V1474" s="38"/>
      <c r="W1474" s="38"/>
      <c r="X1474" s="14"/>
      <c r="AN1474" s="7" t="s">
        <v>155</v>
      </c>
      <c r="AO1474" s="21">
        <f t="shared" si="75"/>
        <v>0</v>
      </c>
      <c r="AP1474" s="7">
        <f t="shared" si="73"/>
        <v>53.74</v>
      </c>
      <c r="AQ1474" s="31" t="str">
        <f t="shared" si="74"/>
        <v>Complete - No Adjustment</v>
      </c>
    </row>
    <row r="1475" spans="1:43" x14ac:dyDescent="0.2">
      <c r="A1475" s="46">
        <v>1465</v>
      </c>
      <c r="B1475" s="38" t="s">
        <v>266</v>
      </c>
      <c r="C1475" s="38" t="s">
        <v>4065</v>
      </c>
      <c r="D1475" s="38" t="s">
        <v>4066</v>
      </c>
      <c r="E1475" s="38" t="s">
        <v>4067</v>
      </c>
      <c r="F1475" s="38" t="s">
        <v>3758</v>
      </c>
      <c r="G1475" s="38" t="s">
        <v>111</v>
      </c>
      <c r="H1475" s="44">
        <v>44046</v>
      </c>
      <c r="I1475" s="44">
        <v>44049</v>
      </c>
      <c r="J1475">
        <v>1700</v>
      </c>
      <c r="K1475">
        <v>1700</v>
      </c>
      <c r="L1475" t="s">
        <v>4068</v>
      </c>
      <c r="M1475" s="45" t="s">
        <v>98</v>
      </c>
      <c r="N1475" s="38" t="s">
        <v>230</v>
      </c>
      <c r="O1475" s="38" t="s">
        <v>277</v>
      </c>
      <c r="P1475" s="38" t="s">
        <v>60</v>
      </c>
      <c r="Q1475" s="38" t="s">
        <v>122</v>
      </c>
      <c r="R1475" s="38" t="s">
        <v>270</v>
      </c>
      <c r="S1475" s="38" t="s">
        <v>4069</v>
      </c>
      <c r="T1475" s="38" t="s">
        <v>4070</v>
      </c>
      <c r="U1475" s="38"/>
      <c r="V1475" s="38"/>
      <c r="W1475" s="38"/>
      <c r="X1475" s="14"/>
      <c r="AN1475" s="7" t="s">
        <v>70</v>
      </c>
      <c r="AO1475" s="21">
        <f t="shared" si="75"/>
        <v>0</v>
      </c>
      <c r="AP1475" s="7">
        <f t="shared" si="73"/>
        <v>1700</v>
      </c>
      <c r="AQ1475" s="31" t="str">
        <f t="shared" si="74"/>
        <v>Complete - No Adjustment</v>
      </c>
    </row>
    <row r="1476" spans="1:43" x14ac:dyDescent="0.2">
      <c r="A1476" s="46">
        <v>1466</v>
      </c>
      <c r="B1476" s="38" t="s">
        <v>266</v>
      </c>
      <c r="C1476" s="38" t="s">
        <v>462</v>
      </c>
      <c r="D1476" s="38" t="s">
        <v>461</v>
      </c>
      <c r="E1476" s="38" t="s">
        <v>4071</v>
      </c>
      <c r="F1476" s="38" t="s">
        <v>3695</v>
      </c>
      <c r="G1476" s="38" t="s">
        <v>111</v>
      </c>
      <c r="H1476" s="44">
        <v>44046</v>
      </c>
      <c r="I1476" s="44">
        <v>44048</v>
      </c>
      <c r="J1476">
        <v>9.73</v>
      </c>
      <c r="K1476">
        <v>9.73</v>
      </c>
      <c r="L1476" t="s">
        <v>4072</v>
      </c>
      <c r="M1476" s="45" t="s">
        <v>98</v>
      </c>
      <c r="N1476" s="38" t="s">
        <v>230</v>
      </c>
      <c r="O1476" s="38" t="s">
        <v>288</v>
      </c>
      <c r="P1476" s="38" t="s">
        <v>60</v>
      </c>
      <c r="Q1476" s="38" t="s">
        <v>41</v>
      </c>
      <c r="R1476" s="38" t="s">
        <v>270</v>
      </c>
      <c r="S1476" s="38" t="s">
        <v>4073</v>
      </c>
      <c r="T1476" s="38" t="s">
        <v>4074</v>
      </c>
      <c r="U1476" s="38"/>
      <c r="V1476" s="38"/>
      <c r="W1476" s="38"/>
      <c r="X1476" s="14"/>
      <c r="AN1476" s="7" t="s">
        <v>70</v>
      </c>
      <c r="AO1476" s="21">
        <f t="shared" si="75"/>
        <v>0</v>
      </c>
      <c r="AP1476" s="7">
        <f t="shared" si="73"/>
        <v>9.73</v>
      </c>
      <c r="AQ1476" s="31" t="str">
        <f t="shared" si="74"/>
        <v>Complete - No Adjustment</v>
      </c>
    </row>
    <row r="1477" spans="1:43" x14ac:dyDescent="0.2">
      <c r="A1477" s="46">
        <v>1467</v>
      </c>
      <c r="B1477" s="38" t="s">
        <v>266</v>
      </c>
      <c r="C1477" s="38" t="s">
        <v>462</v>
      </c>
      <c r="D1477" s="38" t="s">
        <v>461</v>
      </c>
      <c r="E1477" s="38" t="s">
        <v>4075</v>
      </c>
      <c r="F1477" s="38" t="s">
        <v>3709</v>
      </c>
      <c r="G1477" s="38" t="s">
        <v>111</v>
      </c>
      <c r="H1477" s="44">
        <v>44054</v>
      </c>
      <c r="I1477" s="44">
        <v>44055</v>
      </c>
      <c r="J1477">
        <v>10.8</v>
      </c>
      <c r="K1477">
        <v>10.8</v>
      </c>
      <c r="L1477" t="s">
        <v>4076</v>
      </c>
      <c r="M1477" s="45" t="s">
        <v>98</v>
      </c>
      <c r="N1477" s="38" t="s">
        <v>230</v>
      </c>
      <c r="O1477" s="38" t="s">
        <v>288</v>
      </c>
      <c r="P1477" s="38" t="s">
        <v>60</v>
      </c>
      <c r="Q1477" s="38" t="s">
        <v>41</v>
      </c>
      <c r="R1477" s="38" t="s">
        <v>270</v>
      </c>
      <c r="S1477" s="38" t="s">
        <v>4077</v>
      </c>
      <c r="T1477" s="38" t="s">
        <v>4078</v>
      </c>
      <c r="U1477" s="38"/>
      <c r="V1477" s="38"/>
      <c r="W1477" s="38"/>
      <c r="X1477" s="14"/>
      <c r="AN1477" s="7" t="s">
        <v>155</v>
      </c>
      <c r="AO1477" s="21">
        <f t="shared" si="75"/>
        <v>0</v>
      </c>
      <c r="AP1477" s="7">
        <f t="shared" si="73"/>
        <v>10.8</v>
      </c>
      <c r="AQ1477" s="31" t="str">
        <f t="shared" si="74"/>
        <v>Complete - No Adjustment</v>
      </c>
    </row>
    <row r="1478" spans="1:43" x14ac:dyDescent="0.2">
      <c r="A1478" s="46">
        <v>1468</v>
      </c>
      <c r="B1478" s="38" t="s">
        <v>266</v>
      </c>
      <c r="C1478" s="38" t="s">
        <v>462</v>
      </c>
      <c r="D1478" s="38" t="s">
        <v>461</v>
      </c>
      <c r="E1478" s="38" t="s">
        <v>4079</v>
      </c>
      <c r="F1478" s="38" t="s">
        <v>3709</v>
      </c>
      <c r="G1478" s="38" t="s">
        <v>111</v>
      </c>
      <c r="H1478" s="44">
        <v>44054</v>
      </c>
      <c r="I1478" s="44">
        <v>44055</v>
      </c>
      <c r="J1478">
        <v>18.16</v>
      </c>
      <c r="K1478">
        <v>18.16</v>
      </c>
      <c r="L1478" t="s">
        <v>4080</v>
      </c>
      <c r="M1478" s="45" t="s">
        <v>98</v>
      </c>
      <c r="N1478" s="38" t="s">
        <v>230</v>
      </c>
      <c r="O1478" s="38" t="s">
        <v>288</v>
      </c>
      <c r="P1478" s="38" t="s">
        <v>60</v>
      </c>
      <c r="Q1478" s="38" t="s">
        <v>41</v>
      </c>
      <c r="R1478" s="38" t="s">
        <v>270</v>
      </c>
      <c r="S1478" s="38" t="s">
        <v>4077</v>
      </c>
      <c r="T1478" s="38" t="s">
        <v>4078</v>
      </c>
      <c r="U1478" s="38"/>
      <c r="V1478" s="38"/>
      <c r="W1478" s="38"/>
      <c r="X1478" s="14"/>
      <c r="AN1478" s="7" t="s">
        <v>155</v>
      </c>
      <c r="AO1478" s="21">
        <f t="shared" si="75"/>
        <v>0</v>
      </c>
      <c r="AP1478" s="7">
        <f t="shared" si="73"/>
        <v>18.16</v>
      </c>
      <c r="AQ1478" s="31" t="str">
        <f t="shared" si="74"/>
        <v>Complete - No Adjustment</v>
      </c>
    </row>
    <row r="1479" spans="1:43" x14ac:dyDescent="0.2">
      <c r="A1479" s="46">
        <v>1469</v>
      </c>
      <c r="B1479" s="38" t="s">
        <v>266</v>
      </c>
      <c r="C1479" s="38" t="s">
        <v>265</v>
      </c>
      <c r="D1479" s="38" t="s">
        <v>264</v>
      </c>
      <c r="E1479" s="38" t="s">
        <v>4081</v>
      </c>
      <c r="F1479" s="38" t="s">
        <v>3773</v>
      </c>
      <c r="G1479" s="38" t="s">
        <v>111</v>
      </c>
      <c r="H1479" s="44">
        <v>44018</v>
      </c>
      <c r="I1479" s="44">
        <v>44074</v>
      </c>
      <c r="J1479">
        <v>677.71</v>
      </c>
      <c r="K1479">
        <v>109.33</v>
      </c>
      <c r="L1479" t="s">
        <v>4082</v>
      </c>
      <c r="M1479" s="45" t="s">
        <v>98</v>
      </c>
      <c r="N1479" s="38" t="s">
        <v>230</v>
      </c>
      <c r="O1479" s="38" t="s">
        <v>342</v>
      </c>
      <c r="P1479" s="38" t="s">
        <v>60</v>
      </c>
      <c r="Q1479" s="38" t="s">
        <v>46</v>
      </c>
      <c r="R1479" s="38" t="s">
        <v>270</v>
      </c>
      <c r="S1479" s="38" t="s">
        <v>4083</v>
      </c>
      <c r="T1479" s="38" t="s">
        <v>4084</v>
      </c>
      <c r="U1479" s="38"/>
      <c r="V1479" s="38"/>
      <c r="W1479" s="38"/>
      <c r="X1479" s="14"/>
      <c r="AI1479" s="53">
        <f>109.33</f>
        <v>109.33</v>
      </c>
      <c r="AN1479" s="7" t="s">
        <v>145</v>
      </c>
      <c r="AO1479" s="21">
        <f t="shared" si="75"/>
        <v>109.33</v>
      </c>
      <c r="AP1479" s="7">
        <f t="shared" si="73"/>
        <v>0</v>
      </c>
      <c r="AQ1479" s="31" t="str">
        <f t="shared" si="74"/>
        <v>Complete - With Adjustment</v>
      </c>
    </row>
    <row r="1480" spans="1:43" x14ac:dyDescent="0.2">
      <c r="A1480" s="46">
        <v>1470</v>
      </c>
      <c r="B1480" s="38" t="s">
        <v>266</v>
      </c>
      <c r="C1480" s="38" t="s">
        <v>265</v>
      </c>
      <c r="D1480" s="38" t="s">
        <v>264</v>
      </c>
      <c r="E1480" s="38" t="s">
        <v>4081</v>
      </c>
      <c r="F1480" s="38" t="s">
        <v>3773</v>
      </c>
      <c r="G1480" s="38" t="s">
        <v>111</v>
      </c>
      <c r="H1480" s="44">
        <v>44018</v>
      </c>
      <c r="I1480" s="44">
        <v>44074</v>
      </c>
      <c r="J1480">
        <v>677.71</v>
      </c>
      <c r="K1480">
        <v>102.5</v>
      </c>
      <c r="L1480" t="s">
        <v>4082</v>
      </c>
      <c r="M1480" s="45" t="s">
        <v>98</v>
      </c>
      <c r="N1480" s="38" t="s">
        <v>230</v>
      </c>
      <c r="O1480" s="38" t="s">
        <v>342</v>
      </c>
      <c r="P1480" s="38" t="s">
        <v>60</v>
      </c>
      <c r="Q1480" s="38" t="s">
        <v>46</v>
      </c>
      <c r="R1480" s="38" t="s">
        <v>270</v>
      </c>
      <c r="S1480" s="38" t="s">
        <v>4083</v>
      </c>
      <c r="T1480" s="38" t="s">
        <v>4085</v>
      </c>
      <c r="U1480" s="38"/>
      <c r="V1480" s="38"/>
      <c r="W1480" s="38"/>
      <c r="X1480" s="14"/>
      <c r="AI1480" s="53">
        <f>102.5</f>
        <v>102.5</v>
      </c>
      <c r="AN1480" s="7" t="s">
        <v>145</v>
      </c>
      <c r="AO1480" s="21">
        <f t="shared" si="75"/>
        <v>102.5</v>
      </c>
      <c r="AP1480" s="7">
        <f t="shared" si="73"/>
        <v>0</v>
      </c>
      <c r="AQ1480" s="31" t="str">
        <f t="shared" si="74"/>
        <v>Complete - With Adjustment</v>
      </c>
    </row>
    <row r="1481" spans="1:43" x14ac:dyDescent="0.2">
      <c r="A1481" s="46">
        <v>1471</v>
      </c>
      <c r="B1481" s="38" t="s">
        <v>266</v>
      </c>
      <c r="C1481" s="38" t="s">
        <v>265</v>
      </c>
      <c r="D1481" s="38" t="s">
        <v>264</v>
      </c>
      <c r="E1481" s="38" t="s">
        <v>4081</v>
      </c>
      <c r="F1481" s="38" t="s">
        <v>3773</v>
      </c>
      <c r="G1481" s="38" t="s">
        <v>111</v>
      </c>
      <c r="H1481" s="44">
        <v>44018</v>
      </c>
      <c r="I1481" s="44">
        <v>44074</v>
      </c>
      <c r="J1481">
        <v>677.71</v>
      </c>
      <c r="K1481">
        <v>134.03</v>
      </c>
      <c r="L1481" t="s">
        <v>4082</v>
      </c>
      <c r="M1481" s="45" t="s">
        <v>98</v>
      </c>
      <c r="N1481" s="38" t="s">
        <v>230</v>
      </c>
      <c r="O1481" s="38" t="s">
        <v>342</v>
      </c>
      <c r="P1481" s="38" t="s">
        <v>60</v>
      </c>
      <c r="Q1481" s="38" t="s">
        <v>46</v>
      </c>
      <c r="R1481" s="38" t="s">
        <v>270</v>
      </c>
      <c r="S1481" s="38" t="s">
        <v>4083</v>
      </c>
      <c r="T1481" s="38" t="s">
        <v>4086</v>
      </c>
      <c r="U1481" s="38"/>
      <c r="V1481" s="38"/>
      <c r="W1481" s="38"/>
      <c r="X1481" s="14"/>
      <c r="AI1481" s="53">
        <f>134.03</f>
        <v>134.03</v>
      </c>
      <c r="AN1481" s="7" t="s">
        <v>145</v>
      </c>
      <c r="AO1481" s="21">
        <f t="shared" si="75"/>
        <v>134.03</v>
      </c>
      <c r="AP1481" s="7">
        <f t="shared" si="73"/>
        <v>0</v>
      </c>
      <c r="AQ1481" s="31" t="str">
        <f t="shared" si="74"/>
        <v>Complete - With Adjustment</v>
      </c>
    </row>
    <row r="1482" spans="1:43" x14ac:dyDescent="0.2">
      <c r="A1482" s="46">
        <v>1472</v>
      </c>
      <c r="B1482" s="38" t="s">
        <v>266</v>
      </c>
      <c r="C1482" s="38" t="s">
        <v>265</v>
      </c>
      <c r="D1482" s="38" t="s">
        <v>264</v>
      </c>
      <c r="E1482" s="38" t="s">
        <v>4081</v>
      </c>
      <c r="F1482" s="38" t="s">
        <v>3773</v>
      </c>
      <c r="G1482" s="38" t="s">
        <v>111</v>
      </c>
      <c r="H1482" s="44">
        <v>44018</v>
      </c>
      <c r="I1482" s="44">
        <v>44074</v>
      </c>
      <c r="J1482">
        <v>677.71</v>
      </c>
      <c r="K1482">
        <v>108.25</v>
      </c>
      <c r="L1482" t="s">
        <v>4082</v>
      </c>
      <c r="M1482" s="45" t="s">
        <v>98</v>
      </c>
      <c r="N1482" s="38" t="s">
        <v>230</v>
      </c>
      <c r="O1482" s="38" t="s">
        <v>342</v>
      </c>
      <c r="P1482" s="38" t="s">
        <v>60</v>
      </c>
      <c r="Q1482" s="38" t="s">
        <v>46</v>
      </c>
      <c r="R1482" s="38" t="s">
        <v>270</v>
      </c>
      <c r="S1482" s="38" t="s">
        <v>4083</v>
      </c>
      <c r="T1482" s="38" t="s">
        <v>4087</v>
      </c>
      <c r="U1482" s="38"/>
      <c r="V1482" s="38"/>
      <c r="W1482" s="38"/>
      <c r="X1482" s="14"/>
      <c r="AI1482" s="53">
        <f>108.25</f>
        <v>108.25</v>
      </c>
      <c r="AN1482" s="7" t="s">
        <v>145</v>
      </c>
      <c r="AO1482" s="21">
        <f t="shared" si="75"/>
        <v>108.25</v>
      </c>
      <c r="AP1482" s="7">
        <f t="shared" ref="AP1482:AP1545" si="76">K1482-AO1482</f>
        <v>0</v>
      </c>
      <c r="AQ1482" s="31" t="str">
        <f t="shared" si="74"/>
        <v>Complete - With Adjustment</v>
      </c>
    </row>
    <row r="1483" spans="1:43" x14ac:dyDescent="0.2">
      <c r="A1483" s="46">
        <v>1473</v>
      </c>
      <c r="B1483" s="38" t="s">
        <v>266</v>
      </c>
      <c r="C1483" s="38" t="s">
        <v>265</v>
      </c>
      <c r="D1483" s="38" t="s">
        <v>264</v>
      </c>
      <c r="E1483" s="38" t="s">
        <v>4081</v>
      </c>
      <c r="F1483" s="38" t="s">
        <v>3773</v>
      </c>
      <c r="G1483" s="38" t="s">
        <v>111</v>
      </c>
      <c r="H1483" s="44">
        <v>44018</v>
      </c>
      <c r="I1483" s="44">
        <v>44074</v>
      </c>
      <c r="J1483">
        <v>677.71</v>
      </c>
      <c r="K1483">
        <v>104.9</v>
      </c>
      <c r="L1483" t="s">
        <v>4082</v>
      </c>
      <c r="M1483" s="45" t="s">
        <v>98</v>
      </c>
      <c r="N1483" s="38" t="s">
        <v>230</v>
      </c>
      <c r="O1483" s="38" t="s">
        <v>342</v>
      </c>
      <c r="P1483" s="38" t="s">
        <v>60</v>
      </c>
      <c r="Q1483" s="38" t="s">
        <v>46</v>
      </c>
      <c r="R1483" s="38" t="s">
        <v>270</v>
      </c>
      <c r="S1483" s="38" t="s">
        <v>4083</v>
      </c>
      <c r="T1483" s="38" t="s">
        <v>4088</v>
      </c>
      <c r="U1483" s="38"/>
      <c r="V1483" s="38"/>
      <c r="W1483" s="38"/>
      <c r="X1483" s="14"/>
      <c r="AI1483" s="53">
        <f>104.9</f>
        <v>104.9</v>
      </c>
      <c r="AN1483" s="7" t="s">
        <v>145</v>
      </c>
      <c r="AO1483" s="21">
        <f t="shared" si="75"/>
        <v>104.9</v>
      </c>
      <c r="AP1483" s="7">
        <f t="shared" si="76"/>
        <v>0</v>
      </c>
      <c r="AQ1483" s="31" t="str">
        <f t="shared" si="74"/>
        <v>Complete - With Adjustment</v>
      </c>
    </row>
    <row r="1484" spans="1:43" x14ac:dyDescent="0.2">
      <c r="A1484" s="46">
        <v>1474</v>
      </c>
      <c r="B1484" s="38" t="s">
        <v>266</v>
      </c>
      <c r="C1484" s="38" t="s">
        <v>265</v>
      </c>
      <c r="D1484" s="38" t="s">
        <v>264</v>
      </c>
      <c r="E1484" s="38" t="s">
        <v>4081</v>
      </c>
      <c r="F1484" s="38" t="s">
        <v>3773</v>
      </c>
      <c r="G1484" s="38" t="s">
        <v>111</v>
      </c>
      <c r="H1484" s="44">
        <v>44018</v>
      </c>
      <c r="I1484" s="44">
        <v>44074</v>
      </c>
      <c r="J1484">
        <v>677.71</v>
      </c>
      <c r="K1484">
        <v>118.7</v>
      </c>
      <c r="L1484" t="s">
        <v>4082</v>
      </c>
      <c r="M1484" s="45" t="s">
        <v>98</v>
      </c>
      <c r="N1484" s="38" t="s">
        <v>230</v>
      </c>
      <c r="O1484" s="38" t="s">
        <v>342</v>
      </c>
      <c r="P1484" s="38" t="s">
        <v>60</v>
      </c>
      <c r="Q1484" s="38" t="s">
        <v>46</v>
      </c>
      <c r="R1484" s="38" t="s">
        <v>270</v>
      </c>
      <c r="S1484" s="38" t="s">
        <v>4083</v>
      </c>
      <c r="T1484" s="38" t="s">
        <v>4089</v>
      </c>
      <c r="U1484" s="38"/>
      <c r="V1484" s="38"/>
      <c r="W1484" s="38"/>
      <c r="X1484" s="14"/>
      <c r="AI1484" s="53">
        <f>118.7</f>
        <v>118.7</v>
      </c>
      <c r="AN1484" s="7" t="s">
        <v>145</v>
      </c>
      <c r="AO1484" s="21">
        <f t="shared" si="75"/>
        <v>118.7</v>
      </c>
      <c r="AP1484" s="7">
        <f t="shared" si="76"/>
        <v>0</v>
      </c>
      <c r="AQ1484" s="31" t="str">
        <f t="shared" si="74"/>
        <v>Complete - With Adjustment</v>
      </c>
    </row>
    <row r="1485" spans="1:43" x14ac:dyDescent="0.2">
      <c r="A1485" s="46">
        <v>1475</v>
      </c>
      <c r="B1485" s="38" t="s">
        <v>266</v>
      </c>
      <c r="C1485" s="38" t="s">
        <v>684</v>
      </c>
      <c r="D1485" s="38" t="s">
        <v>801</v>
      </c>
      <c r="E1485" s="38" t="s">
        <v>4090</v>
      </c>
      <c r="F1485" s="38" t="s">
        <v>3733</v>
      </c>
      <c r="G1485" s="38" t="s">
        <v>111</v>
      </c>
      <c r="H1485" s="44">
        <v>44067</v>
      </c>
      <c r="I1485" s="44">
        <v>44070</v>
      </c>
      <c r="J1485">
        <v>15</v>
      </c>
      <c r="K1485">
        <v>15</v>
      </c>
      <c r="L1485" t="s">
        <v>4091</v>
      </c>
      <c r="M1485" s="45" t="s">
        <v>98</v>
      </c>
      <c r="N1485" s="38" t="s">
        <v>230</v>
      </c>
      <c r="O1485" s="38" t="s">
        <v>293</v>
      </c>
      <c r="P1485" s="38" t="s">
        <v>60</v>
      </c>
      <c r="Q1485" s="38" t="s">
        <v>41</v>
      </c>
      <c r="R1485" s="38" t="s">
        <v>270</v>
      </c>
      <c r="S1485" s="38" t="s">
        <v>4092</v>
      </c>
      <c r="T1485" s="38" t="s">
        <v>4093</v>
      </c>
      <c r="U1485" s="38"/>
      <c r="V1485" s="38"/>
      <c r="W1485" s="38"/>
      <c r="X1485" s="14"/>
      <c r="AN1485" s="7" t="s">
        <v>155</v>
      </c>
      <c r="AO1485" s="21">
        <f t="shared" si="75"/>
        <v>0</v>
      </c>
      <c r="AP1485" s="7">
        <f t="shared" si="76"/>
        <v>15</v>
      </c>
      <c r="AQ1485" s="31" t="str">
        <f t="shared" si="74"/>
        <v>Complete - No Adjustment</v>
      </c>
    </row>
    <row r="1486" spans="1:43" x14ac:dyDescent="0.2">
      <c r="A1486" s="46">
        <v>1476</v>
      </c>
      <c r="B1486" s="38" t="s">
        <v>266</v>
      </c>
      <c r="C1486" s="38" t="s">
        <v>152</v>
      </c>
      <c r="D1486" s="38" t="s">
        <v>153</v>
      </c>
      <c r="E1486" s="38" t="s">
        <v>4094</v>
      </c>
      <c r="F1486" s="38" t="s">
        <v>3709</v>
      </c>
      <c r="G1486" s="38" t="s">
        <v>111</v>
      </c>
      <c r="H1486" s="44">
        <v>44053</v>
      </c>
      <c r="I1486" s="44">
        <v>44055</v>
      </c>
      <c r="J1486">
        <v>572.54</v>
      </c>
      <c r="K1486">
        <v>22.54</v>
      </c>
      <c r="L1486" t="s">
        <v>4095</v>
      </c>
      <c r="M1486" s="45" t="s">
        <v>98</v>
      </c>
      <c r="N1486" s="38" t="s">
        <v>230</v>
      </c>
      <c r="O1486" s="38" t="s">
        <v>78</v>
      </c>
      <c r="P1486" s="38" t="s">
        <v>60</v>
      </c>
      <c r="Q1486" s="38" t="s">
        <v>41</v>
      </c>
      <c r="R1486" s="38" t="s">
        <v>270</v>
      </c>
      <c r="S1486" s="38" t="s">
        <v>4096</v>
      </c>
      <c r="T1486" s="38" t="s">
        <v>4097</v>
      </c>
      <c r="U1486" s="38"/>
      <c r="V1486" s="38"/>
      <c r="W1486" s="38"/>
      <c r="X1486" s="14"/>
      <c r="AL1486" s="14">
        <f>22.54</f>
        <v>22.54</v>
      </c>
      <c r="AN1486" s="7" t="s">
        <v>2957</v>
      </c>
      <c r="AO1486" s="21">
        <f t="shared" si="75"/>
        <v>22.54</v>
      </c>
      <c r="AP1486" s="7">
        <f t="shared" si="76"/>
        <v>0</v>
      </c>
      <c r="AQ1486" s="31" t="str">
        <f t="shared" si="74"/>
        <v>Complete - With Adjustment</v>
      </c>
    </row>
    <row r="1487" spans="1:43" x14ac:dyDescent="0.2">
      <c r="A1487" s="46">
        <v>1477</v>
      </c>
      <c r="B1487" s="38" t="s">
        <v>266</v>
      </c>
      <c r="C1487" s="38" t="s">
        <v>152</v>
      </c>
      <c r="D1487" s="38" t="s">
        <v>153</v>
      </c>
      <c r="E1487" s="38" t="s">
        <v>4094</v>
      </c>
      <c r="F1487" s="38" t="s">
        <v>3709</v>
      </c>
      <c r="G1487" s="38" t="s">
        <v>111</v>
      </c>
      <c r="H1487" s="44">
        <v>44053</v>
      </c>
      <c r="I1487" s="44">
        <v>44055</v>
      </c>
      <c r="J1487">
        <v>572.54</v>
      </c>
      <c r="K1487">
        <v>550</v>
      </c>
      <c r="L1487" t="s">
        <v>4095</v>
      </c>
      <c r="M1487" s="45" t="s">
        <v>98</v>
      </c>
      <c r="N1487" s="38" t="s">
        <v>230</v>
      </c>
      <c r="O1487" s="38" t="s">
        <v>78</v>
      </c>
      <c r="P1487" s="38" t="s">
        <v>60</v>
      </c>
      <c r="Q1487" s="38" t="s">
        <v>48</v>
      </c>
      <c r="R1487" s="38" t="s">
        <v>270</v>
      </c>
      <c r="S1487" s="38" t="s">
        <v>4096</v>
      </c>
      <c r="T1487" s="38" t="s">
        <v>4098</v>
      </c>
      <c r="U1487" s="38"/>
      <c r="V1487" s="38"/>
      <c r="W1487" s="38"/>
      <c r="X1487" s="14"/>
      <c r="AN1487" s="7" t="s">
        <v>70</v>
      </c>
      <c r="AO1487" s="21">
        <f t="shared" si="75"/>
        <v>0</v>
      </c>
      <c r="AP1487" s="7">
        <f t="shared" si="76"/>
        <v>550</v>
      </c>
      <c r="AQ1487" s="31" t="str">
        <f t="shared" si="74"/>
        <v>Complete - No Adjustment</v>
      </c>
    </row>
    <row r="1488" spans="1:43" x14ac:dyDescent="0.2">
      <c r="A1488" s="46">
        <v>1478</v>
      </c>
      <c r="B1488" s="38" t="s">
        <v>266</v>
      </c>
      <c r="C1488" s="38" t="s">
        <v>714</v>
      </c>
      <c r="D1488" s="38" t="s">
        <v>713</v>
      </c>
      <c r="E1488" s="38" t="s">
        <v>4099</v>
      </c>
      <c r="F1488" s="38" t="s">
        <v>3700</v>
      </c>
      <c r="G1488" s="38" t="s">
        <v>111</v>
      </c>
      <c r="H1488" s="44">
        <v>44067</v>
      </c>
      <c r="I1488" s="44">
        <v>44069</v>
      </c>
      <c r="J1488">
        <v>26.35</v>
      </c>
      <c r="K1488">
        <v>26.35</v>
      </c>
      <c r="L1488" t="s">
        <v>4100</v>
      </c>
      <c r="M1488" s="45" t="s">
        <v>98</v>
      </c>
      <c r="N1488" s="38" t="s">
        <v>230</v>
      </c>
      <c r="O1488" s="38" t="s">
        <v>272</v>
      </c>
      <c r="P1488" s="38" t="s">
        <v>60</v>
      </c>
      <c r="Q1488" s="38" t="s">
        <v>74</v>
      </c>
      <c r="R1488" s="38" t="s">
        <v>270</v>
      </c>
      <c r="S1488" s="38" t="s">
        <v>4101</v>
      </c>
      <c r="T1488" s="38" t="s">
        <v>4102</v>
      </c>
      <c r="U1488" s="38"/>
      <c r="V1488" s="38"/>
      <c r="W1488" s="38"/>
      <c r="X1488" s="14"/>
      <c r="AN1488" s="7" t="s">
        <v>70</v>
      </c>
      <c r="AO1488" s="21">
        <f t="shared" si="75"/>
        <v>0</v>
      </c>
      <c r="AP1488" s="7">
        <f t="shared" si="76"/>
        <v>26.35</v>
      </c>
      <c r="AQ1488" s="31" t="str">
        <f t="shared" si="74"/>
        <v>Complete - No Adjustment</v>
      </c>
    </row>
    <row r="1489" spans="1:43" x14ac:dyDescent="0.2">
      <c r="A1489" s="46">
        <v>1479</v>
      </c>
      <c r="B1489" s="38" t="s">
        <v>266</v>
      </c>
      <c r="C1489" s="38" t="s">
        <v>624</v>
      </c>
      <c r="D1489" s="38" t="s">
        <v>623</v>
      </c>
      <c r="E1489" s="38" t="s">
        <v>4103</v>
      </c>
      <c r="F1489" s="38" t="s">
        <v>3822</v>
      </c>
      <c r="G1489" s="38" t="s">
        <v>111</v>
      </c>
      <c r="H1489" s="44">
        <v>44060</v>
      </c>
      <c r="I1489" s="44">
        <v>44064</v>
      </c>
      <c r="J1489">
        <v>125.35</v>
      </c>
      <c r="K1489">
        <v>125.35</v>
      </c>
      <c r="L1489" t="s">
        <v>4104</v>
      </c>
      <c r="M1489" s="45" t="s">
        <v>98</v>
      </c>
      <c r="N1489" s="38" t="s">
        <v>230</v>
      </c>
      <c r="O1489" s="38" t="s">
        <v>559</v>
      </c>
      <c r="P1489" s="38" t="s">
        <v>60</v>
      </c>
      <c r="Q1489" s="38" t="s">
        <v>44</v>
      </c>
      <c r="R1489" s="38" t="s">
        <v>270</v>
      </c>
      <c r="S1489" s="38" t="s">
        <v>4105</v>
      </c>
      <c r="T1489" s="38" t="s">
        <v>4106</v>
      </c>
      <c r="U1489" s="38"/>
      <c r="V1489" s="38"/>
      <c r="W1489" s="38"/>
      <c r="X1489" s="14"/>
      <c r="AN1489" s="7" t="s">
        <v>70</v>
      </c>
      <c r="AO1489" s="21">
        <f t="shared" si="75"/>
        <v>0</v>
      </c>
      <c r="AP1489" s="7">
        <f t="shared" si="76"/>
        <v>125.35</v>
      </c>
      <c r="AQ1489" s="31" t="str">
        <f t="shared" ref="AQ1489:AQ1552" si="77">IF(AO1489&lt;&gt;0,"Complete - With Adjustment","Complete - No Adjustment")</f>
        <v>Complete - No Adjustment</v>
      </c>
    </row>
    <row r="1490" spans="1:43" x14ac:dyDescent="0.2">
      <c r="A1490" s="46">
        <v>1480</v>
      </c>
      <c r="B1490" s="38" t="s">
        <v>266</v>
      </c>
      <c r="C1490" s="38" t="s">
        <v>2017</v>
      </c>
      <c r="D1490" s="38" t="s">
        <v>2018</v>
      </c>
      <c r="E1490" s="38" t="s">
        <v>4107</v>
      </c>
      <c r="F1490" s="38" t="s">
        <v>4108</v>
      </c>
      <c r="G1490" s="38" t="s">
        <v>111</v>
      </c>
      <c r="H1490" s="44">
        <v>44061</v>
      </c>
      <c r="I1490" s="44">
        <v>44063</v>
      </c>
      <c r="J1490">
        <v>14.85</v>
      </c>
      <c r="K1490">
        <v>14.85</v>
      </c>
      <c r="L1490" t="s">
        <v>4109</v>
      </c>
      <c r="M1490" s="45" t="s">
        <v>98</v>
      </c>
      <c r="N1490" s="38" t="s">
        <v>230</v>
      </c>
      <c r="O1490" s="38" t="s">
        <v>429</v>
      </c>
      <c r="P1490" s="38" t="s">
        <v>60</v>
      </c>
      <c r="Q1490" s="38" t="s">
        <v>46</v>
      </c>
      <c r="R1490" s="38" t="s">
        <v>270</v>
      </c>
      <c r="S1490" s="38" t="s">
        <v>4110</v>
      </c>
      <c r="T1490" s="38" t="s">
        <v>4111</v>
      </c>
      <c r="U1490" s="38"/>
      <c r="V1490" s="38"/>
      <c r="W1490" s="38"/>
      <c r="X1490" s="14"/>
      <c r="AL1490" s="14">
        <f>14.85</f>
        <v>14.85</v>
      </c>
      <c r="AN1490" s="7" t="s">
        <v>2957</v>
      </c>
      <c r="AO1490" s="21">
        <f t="shared" si="75"/>
        <v>14.85</v>
      </c>
      <c r="AP1490" s="7">
        <f t="shared" si="76"/>
        <v>0</v>
      </c>
      <c r="AQ1490" s="31" t="str">
        <f t="shared" si="77"/>
        <v>Complete - With Adjustment</v>
      </c>
    </row>
    <row r="1491" spans="1:43" x14ac:dyDescent="0.2">
      <c r="A1491" s="46">
        <v>1481</v>
      </c>
      <c r="B1491" s="38" t="s">
        <v>266</v>
      </c>
      <c r="C1491" s="38" t="s">
        <v>2017</v>
      </c>
      <c r="D1491" s="38" t="s">
        <v>2018</v>
      </c>
      <c r="E1491" s="38" t="s">
        <v>4112</v>
      </c>
      <c r="F1491" s="38" t="s">
        <v>3695</v>
      </c>
      <c r="G1491" s="38" t="s">
        <v>111</v>
      </c>
      <c r="H1491" s="44">
        <v>44042</v>
      </c>
      <c r="I1491" s="44">
        <v>44048</v>
      </c>
      <c r="J1491">
        <v>75.760000000000005</v>
      </c>
      <c r="K1491">
        <v>75.760000000000005</v>
      </c>
      <c r="L1491" t="s">
        <v>4113</v>
      </c>
      <c r="M1491" s="45" t="s">
        <v>98</v>
      </c>
      <c r="N1491" s="38" t="s">
        <v>230</v>
      </c>
      <c r="O1491" s="38" t="s">
        <v>429</v>
      </c>
      <c r="P1491" s="38" t="s">
        <v>60</v>
      </c>
      <c r="Q1491" s="38" t="s">
        <v>104</v>
      </c>
      <c r="R1491" s="38" t="s">
        <v>270</v>
      </c>
      <c r="S1491" s="38" t="s">
        <v>4114</v>
      </c>
      <c r="T1491" s="38" t="s">
        <v>4115</v>
      </c>
      <c r="U1491" s="38"/>
      <c r="V1491" s="38"/>
      <c r="W1491" s="38"/>
      <c r="X1491" s="14"/>
      <c r="AN1491" s="7" t="s">
        <v>70</v>
      </c>
      <c r="AO1491" s="21">
        <f t="shared" si="75"/>
        <v>0</v>
      </c>
      <c r="AP1491" s="7">
        <f t="shared" si="76"/>
        <v>75.760000000000005</v>
      </c>
      <c r="AQ1491" s="31" t="str">
        <f t="shared" si="77"/>
        <v>Complete - No Adjustment</v>
      </c>
    </row>
    <row r="1492" spans="1:43" x14ac:dyDescent="0.2">
      <c r="A1492" s="46">
        <v>1482</v>
      </c>
      <c r="B1492" s="38" t="s">
        <v>266</v>
      </c>
      <c r="C1492" s="38" t="s">
        <v>575</v>
      </c>
      <c r="D1492" s="38" t="s">
        <v>574</v>
      </c>
      <c r="E1492" s="38" t="s">
        <v>4116</v>
      </c>
      <c r="F1492" s="38" t="s">
        <v>3847</v>
      </c>
      <c r="G1492" s="38" t="s">
        <v>111</v>
      </c>
      <c r="H1492" s="44">
        <v>44059</v>
      </c>
      <c r="I1492" s="44">
        <v>44061</v>
      </c>
      <c r="J1492">
        <v>950</v>
      </c>
      <c r="K1492">
        <v>400</v>
      </c>
      <c r="L1492" t="s">
        <v>4117</v>
      </c>
      <c r="M1492" s="45" t="s">
        <v>98</v>
      </c>
      <c r="N1492" s="38" t="s">
        <v>230</v>
      </c>
      <c r="O1492" s="38" t="s">
        <v>78</v>
      </c>
      <c r="P1492" s="38" t="s">
        <v>60</v>
      </c>
      <c r="Q1492" s="38" t="s">
        <v>48</v>
      </c>
      <c r="R1492" s="38" t="s">
        <v>270</v>
      </c>
      <c r="S1492" s="38" t="s">
        <v>4118</v>
      </c>
      <c r="T1492" s="38" t="s">
        <v>4119</v>
      </c>
      <c r="U1492" s="38"/>
      <c r="V1492" s="38"/>
      <c r="W1492" s="38"/>
      <c r="X1492" s="14"/>
      <c r="AN1492" s="7" t="s">
        <v>70</v>
      </c>
      <c r="AO1492" s="21">
        <f t="shared" si="75"/>
        <v>0</v>
      </c>
      <c r="AP1492" s="7">
        <f t="shared" si="76"/>
        <v>400</v>
      </c>
      <c r="AQ1492" s="31" t="str">
        <f t="shared" si="77"/>
        <v>Complete - No Adjustment</v>
      </c>
    </row>
    <row r="1493" spans="1:43" x14ac:dyDescent="0.2">
      <c r="A1493" s="46">
        <v>1483</v>
      </c>
      <c r="B1493" s="38" t="s">
        <v>266</v>
      </c>
      <c r="C1493" s="38" t="s">
        <v>575</v>
      </c>
      <c r="D1493" s="38" t="s">
        <v>574</v>
      </c>
      <c r="E1493" s="38" t="s">
        <v>4116</v>
      </c>
      <c r="F1493" s="38" t="s">
        <v>3847</v>
      </c>
      <c r="G1493" s="38" t="s">
        <v>111</v>
      </c>
      <c r="H1493" s="44">
        <v>44059</v>
      </c>
      <c r="I1493" s="44">
        <v>44061</v>
      </c>
      <c r="J1493">
        <v>950</v>
      </c>
      <c r="K1493">
        <v>550</v>
      </c>
      <c r="L1493" t="s">
        <v>4117</v>
      </c>
      <c r="M1493" s="45" t="s">
        <v>98</v>
      </c>
      <c r="N1493" s="38" t="s">
        <v>230</v>
      </c>
      <c r="O1493" s="38" t="s">
        <v>78</v>
      </c>
      <c r="P1493" s="38" t="s">
        <v>60</v>
      </c>
      <c r="Q1493" s="38" t="s">
        <v>56</v>
      </c>
      <c r="R1493" s="38" t="s">
        <v>270</v>
      </c>
      <c r="S1493" s="38" t="s">
        <v>4118</v>
      </c>
      <c r="T1493" s="38" t="s">
        <v>4120</v>
      </c>
      <c r="U1493" s="38"/>
      <c r="V1493" s="38"/>
      <c r="W1493" s="38"/>
      <c r="X1493" s="14"/>
      <c r="AN1493" s="7" t="s">
        <v>70</v>
      </c>
      <c r="AO1493" s="21">
        <f t="shared" si="75"/>
        <v>0</v>
      </c>
      <c r="AP1493" s="7">
        <f t="shared" si="76"/>
        <v>550</v>
      </c>
      <c r="AQ1493" s="31" t="str">
        <f t="shared" si="77"/>
        <v>Complete - No Adjustment</v>
      </c>
    </row>
    <row r="1494" spans="1:43" x14ac:dyDescent="0.2">
      <c r="A1494" s="46">
        <v>1484</v>
      </c>
      <c r="B1494" s="38" t="s">
        <v>266</v>
      </c>
      <c r="C1494" s="38" t="s">
        <v>236</v>
      </c>
      <c r="D1494" s="38" t="s">
        <v>235</v>
      </c>
      <c r="E1494" s="38" t="s">
        <v>4121</v>
      </c>
      <c r="F1494" s="38" t="s">
        <v>3949</v>
      </c>
      <c r="G1494" s="38" t="s">
        <v>111</v>
      </c>
      <c r="H1494" s="44">
        <v>44062</v>
      </c>
      <c r="I1494" s="44">
        <v>44067</v>
      </c>
      <c r="J1494">
        <v>18.850000000000001</v>
      </c>
      <c r="K1494">
        <v>4.71</v>
      </c>
      <c r="L1494" t="s">
        <v>4122</v>
      </c>
      <c r="M1494" s="45" t="s">
        <v>98</v>
      </c>
      <c r="N1494" s="38" t="s">
        <v>230</v>
      </c>
      <c r="O1494" s="38" t="s">
        <v>326</v>
      </c>
      <c r="P1494" s="38" t="s">
        <v>60</v>
      </c>
      <c r="Q1494" s="38" t="s">
        <v>74</v>
      </c>
      <c r="R1494" s="38" t="s">
        <v>270</v>
      </c>
      <c r="S1494" s="38" t="s">
        <v>4123</v>
      </c>
      <c r="T1494" s="38" t="s">
        <v>4124</v>
      </c>
      <c r="U1494" s="38"/>
      <c r="V1494" s="38"/>
      <c r="W1494" s="38"/>
      <c r="X1494" s="14"/>
      <c r="AN1494" s="7" t="s">
        <v>70</v>
      </c>
      <c r="AO1494" s="21">
        <f t="shared" si="75"/>
        <v>0</v>
      </c>
      <c r="AP1494" s="7">
        <f t="shared" si="76"/>
        <v>4.71</v>
      </c>
      <c r="AQ1494" s="31" t="str">
        <f t="shared" si="77"/>
        <v>Complete - No Adjustment</v>
      </c>
    </row>
    <row r="1495" spans="1:43" x14ac:dyDescent="0.2">
      <c r="A1495" s="46">
        <v>1485</v>
      </c>
      <c r="B1495" s="38" t="s">
        <v>266</v>
      </c>
      <c r="C1495" s="38" t="s">
        <v>629</v>
      </c>
      <c r="D1495" s="38" t="s">
        <v>628</v>
      </c>
      <c r="E1495" s="38" t="s">
        <v>4125</v>
      </c>
      <c r="F1495" s="38" t="s">
        <v>3695</v>
      </c>
      <c r="G1495" s="38" t="s">
        <v>111</v>
      </c>
      <c r="H1495" s="44">
        <v>44039</v>
      </c>
      <c r="I1495" s="44">
        <v>44048</v>
      </c>
      <c r="J1495">
        <v>530.02</v>
      </c>
      <c r="K1495">
        <v>10.81</v>
      </c>
      <c r="L1495" t="s">
        <v>4126</v>
      </c>
      <c r="M1495" s="45" t="s">
        <v>98</v>
      </c>
      <c r="N1495" s="38" t="s">
        <v>230</v>
      </c>
      <c r="O1495" s="38" t="s">
        <v>506</v>
      </c>
      <c r="P1495" s="38" t="s">
        <v>60</v>
      </c>
      <c r="Q1495" s="38" t="s">
        <v>62</v>
      </c>
      <c r="R1495" s="38" t="s">
        <v>270</v>
      </c>
      <c r="S1495" s="38" t="s">
        <v>4127</v>
      </c>
      <c r="T1495" s="38" t="s">
        <v>4128</v>
      </c>
      <c r="U1495" s="38"/>
      <c r="V1495" s="38"/>
      <c r="W1495" s="38"/>
      <c r="X1495" s="14"/>
      <c r="AN1495" s="7" t="s">
        <v>155</v>
      </c>
      <c r="AO1495" s="21">
        <f t="shared" si="75"/>
        <v>0</v>
      </c>
      <c r="AP1495" s="7">
        <f t="shared" si="76"/>
        <v>10.81</v>
      </c>
      <c r="AQ1495" s="31" t="str">
        <f t="shared" si="77"/>
        <v>Complete - No Adjustment</v>
      </c>
    </row>
    <row r="1496" spans="1:43" x14ac:dyDescent="0.2">
      <c r="A1496" s="46">
        <v>1486</v>
      </c>
      <c r="B1496" s="38" t="s">
        <v>266</v>
      </c>
      <c r="C1496" s="38" t="s">
        <v>629</v>
      </c>
      <c r="D1496" s="38" t="s">
        <v>628</v>
      </c>
      <c r="E1496" s="38" t="s">
        <v>4125</v>
      </c>
      <c r="F1496" s="38" t="s">
        <v>3695</v>
      </c>
      <c r="G1496" s="38" t="s">
        <v>111</v>
      </c>
      <c r="H1496" s="44">
        <v>44039</v>
      </c>
      <c r="I1496" s="44">
        <v>44048</v>
      </c>
      <c r="J1496">
        <v>530.02</v>
      </c>
      <c r="K1496">
        <v>33.17</v>
      </c>
      <c r="L1496" t="s">
        <v>4126</v>
      </c>
      <c r="M1496" s="45" t="s">
        <v>98</v>
      </c>
      <c r="N1496" s="38" t="s">
        <v>230</v>
      </c>
      <c r="O1496" s="38" t="s">
        <v>506</v>
      </c>
      <c r="P1496" s="38" t="s">
        <v>60</v>
      </c>
      <c r="Q1496" s="38" t="s">
        <v>62</v>
      </c>
      <c r="R1496" s="38" t="s">
        <v>270</v>
      </c>
      <c r="S1496" s="38" t="s">
        <v>4127</v>
      </c>
      <c r="T1496" s="38" t="s">
        <v>4129</v>
      </c>
      <c r="U1496" s="38"/>
      <c r="V1496" s="38"/>
      <c r="W1496" s="38"/>
      <c r="X1496" s="14"/>
      <c r="AN1496" s="7" t="s">
        <v>155</v>
      </c>
      <c r="AO1496" s="21">
        <f t="shared" si="75"/>
        <v>0</v>
      </c>
      <c r="AP1496" s="7">
        <f t="shared" si="76"/>
        <v>33.17</v>
      </c>
      <c r="AQ1496" s="31" t="str">
        <f t="shared" si="77"/>
        <v>Complete - No Adjustment</v>
      </c>
    </row>
    <row r="1497" spans="1:43" x14ac:dyDescent="0.2">
      <c r="A1497" s="46">
        <v>1487</v>
      </c>
      <c r="B1497" s="38" t="s">
        <v>266</v>
      </c>
      <c r="C1497" s="38" t="s">
        <v>629</v>
      </c>
      <c r="D1497" s="38" t="s">
        <v>628</v>
      </c>
      <c r="E1497" s="38" t="s">
        <v>4125</v>
      </c>
      <c r="F1497" s="38" t="s">
        <v>3695</v>
      </c>
      <c r="G1497" s="38" t="s">
        <v>111</v>
      </c>
      <c r="H1497" s="44">
        <v>44039</v>
      </c>
      <c r="I1497" s="44">
        <v>44048</v>
      </c>
      <c r="J1497">
        <v>530.02</v>
      </c>
      <c r="K1497">
        <v>486.04</v>
      </c>
      <c r="L1497" t="s">
        <v>4126</v>
      </c>
      <c r="M1497" s="45" t="s">
        <v>98</v>
      </c>
      <c r="N1497" s="38" t="s">
        <v>230</v>
      </c>
      <c r="O1497" s="38" t="s">
        <v>506</v>
      </c>
      <c r="P1497" s="38" t="s">
        <v>60</v>
      </c>
      <c r="Q1497" s="38" t="s">
        <v>104</v>
      </c>
      <c r="R1497" s="38" t="s">
        <v>270</v>
      </c>
      <c r="S1497" s="38" t="s">
        <v>4127</v>
      </c>
      <c r="T1497" s="38" t="s">
        <v>4130</v>
      </c>
      <c r="U1497" s="38"/>
      <c r="V1497" s="38"/>
      <c r="W1497" s="38"/>
      <c r="X1497" s="14"/>
      <c r="AN1497" s="7" t="s">
        <v>155</v>
      </c>
      <c r="AO1497" s="21">
        <f t="shared" si="75"/>
        <v>0</v>
      </c>
      <c r="AP1497" s="7">
        <f t="shared" si="76"/>
        <v>486.04</v>
      </c>
      <c r="AQ1497" s="31" t="str">
        <f t="shared" si="77"/>
        <v>Complete - No Adjustment</v>
      </c>
    </row>
    <row r="1498" spans="1:43" x14ac:dyDescent="0.2">
      <c r="A1498" s="46">
        <v>1488</v>
      </c>
      <c r="B1498" s="38" t="s">
        <v>266</v>
      </c>
      <c r="C1498" s="38" t="s">
        <v>629</v>
      </c>
      <c r="D1498" s="38" t="s">
        <v>628</v>
      </c>
      <c r="E1498" s="38" t="s">
        <v>4131</v>
      </c>
      <c r="F1498" s="38" t="s">
        <v>4108</v>
      </c>
      <c r="G1498" s="38" t="s">
        <v>111</v>
      </c>
      <c r="H1498" s="44">
        <v>44062</v>
      </c>
      <c r="I1498" s="44">
        <v>44063</v>
      </c>
      <c r="J1498">
        <v>1016.74</v>
      </c>
      <c r="K1498">
        <v>574.44000000000005</v>
      </c>
      <c r="L1498" t="s">
        <v>4132</v>
      </c>
      <c r="M1498" s="45" t="s">
        <v>98</v>
      </c>
      <c r="N1498" s="38" t="s">
        <v>230</v>
      </c>
      <c r="O1498" s="38" t="s">
        <v>506</v>
      </c>
      <c r="P1498" s="38" t="s">
        <v>60</v>
      </c>
      <c r="Q1498" s="38" t="s">
        <v>104</v>
      </c>
      <c r="R1498" s="38" t="s">
        <v>270</v>
      </c>
      <c r="S1498" s="38" t="s">
        <v>4133</v>
      </c>
      <c r="T1498" s="38" t="s">
        <v>4134</v>
      </c>
      <c r="U1498" s="38"/>
      <c r="V1498" s="38"/>
      <c r="W1498" s="38"/>
      <c r="X1498" s="14"/>
      <c r="AN1498" s="7" t="s">
        <v>70</v>
      </c>
      <c r="AO1498" s="21">
        <f t="shared" si="75"/>
        <v>0</v>
      </c>
      <c r="AP1498" s="7">
        <f t="shared" si="76"/>
        <v>574.44000000000005</v>
      </c>
      <c r="AQ1498" s="31" t="str">
        <f t="shared" si="77"/>
        <v>Complete - No Adjustment</v>
      </c>
    </row>
    <row r="1499" spans="1:43" x14ac:dyDescent="0.2">
      <c r="A1499" s="46">
        <v>1489</v>
      </c>
      <c r="B1499" s="38" t="s">
        <v>266</v>
      </c>
      <c r="C1499" s="38" t="s">
        <v>629</v>
      </c>
      <c r="D1499" s="38" t="s">
        <v>628</v>
      </c>
      <c r="E1499" s="38" t="s">
        <v>4131</v>
      </c>
      <c r="F1499" s="38" t="s">
        <v>4108</v>
      </c>
      <c r="G1499" s="38" t="s">
        <v>111</v>
      </c>
      <c r="H1499" s="44">
        <v>44062</v>
      </c>
      <c r="I1499" s="44">
        <v>44063</v>
      </c>
      <c r="J1499">
        <v>1016.74</v>
      </c>
      <c r="K1499">
        <v>20.66</v>
      </c>
      <c r="L1499" t="s">
        <v>4132</v>
      </c>
      <c r="M1499" s="45" t="s">
        <v>98</v>
      </c>
      <c r="N1499" s="38" t="s">
        <v>230</v>
      </c>
      <c r="O1499" s="38" t="s">
        <v>506</v>
      </c>
      <c r="P1499" s="38" t="s">
        <v>60</v>
      </c>
      <c r="Q1499" s="38" t="s">
        <v>62</v>
      </c>
      <c r="R1499" s="38" t="s">
        <v>270</v>
      </c>
      <c r="S1499" s="38" t="s">
        <v>4133</v>
      </c>
      <c r="T1499" s="38" t="s">
        <v>4135</v>
      </c>
      <c r="U1499" s="38"/>
      <c r="V1499" s="38"/>
      <c r="W1499" s="38"/>
      <c r="X1499" s="14"/>
      <c r="AN1499" s="7" t="s">
        <v>70</v>
      </c>
      <c r="AO1499" s="21">
        <f t="shared" si="75"/>
        <v>0</v>
      </c>
      <c r="AP1499" s="7">
        <f t="shared" si="76"/>
        <v>20.66</v>
      </c>
      <c r="AQ1499" s="31" t="str">
        <f t="shared" si="77"/>
        <v>Complete - No Adjustment</v>
      </c>
    </row>
    <row r="1500" spans="1:43" x14ac:dyDescent="0.2">
      <c r="A1500" s="46">
        <v>1490</v>
      </c>
      <c r="B1500" s="38" t="s">
        <v>266</v>
      </c>
      <c r="C1500" s="38" t="s">
        <v>629</v>
      </c>
      <c r="D1500" s="38" t="s">
        <v>628</v>
      </c>
      <c r="E1500" s="38" t="s">
        <v>4131</v>
      </c>
      <c r="F1500" s="38" t="s">
        <v>4108</v>
      </c>
      <c r="G1500" s="38" t="s">
        <v>111</v>
      </c>
      <c r="H1500" s="44">
        <v>44062</v>
      </c>
      <c r="I1500" s="44">
        <v>44063</v>
      </c>
      <c r="J1500">
        <v>1016.74</v>
      </c>
      <c r="K1500">
        <v>400</v>
      </c>
      <c r="L1500" t="s">
        <v>4132</v>
      </c>
      <c r="M1500" s="45" t="s">
        <v>98</v>
      </c>
      <c r="N1500" s="38" t="s">
        <v>230</v>
      </c>
      <c r="O1500" s="38" t="s">
        <v>506</v>
      </c>
      <c r="P1500" s="38" t="s">
        <v>60</v>
      </c>
      <c r="Q1500" s="38" t="s">
        <v>48</v>
      </c>
      <c r="R1500" s="38" t="s">
        <v>270</v>
      </c>
      <c r="S1500" s="38" t="s">
        <v>4133</v>
      </c>
      <c r="T1500" s="38" t="s">
        <v>4136</v>
      </c>
      <c r="U1500" s="38"/>
      <c r="V1500" s="38"/>
      <c r="W1500" s="38"/>
      <c r="X1500" s="14"/>
      <c r="AN1500" s="7" t="s">
        <v>70</v>
      </c>
      <c r="AO1500" s="21">
        <f t="shared" si="75"/>
        <v>0</v>
      </c>
      <c r="AP1500" s="7">
        <f t="shared" si="76"/>
        <v>400</v>
      </c>
      <c r="AQ1500" s="31" t="str">
        <f t="shared" si="77"/>
        <v>Complete - No Adjustment</v>
      </c>
    </row>
    <row r="1501" spans="1:43" x14ac:dyDescent="0.2">
      <c r="A1501" s="46">
        <v>1491</v>
      </c>
      <c r="B1501" s="38" t="s">
        <v>266</v>
      </c>
      <c r="C1501" s="38" t="s">
        <v>629</v>
      </c>
      <c r="D1501" s="38" t="s">
        <v>628</v>
      </c>
      <c r="E1501" s="38" t="s">
        <v>4131</v>
      </c>
      <c r="F1501" s="38" t="s">
        <v>4108</v>
      </c>
      <c r="G1501" s="38" t="s">
        <v>111</v>
      </c>
      <c r="H1501" s="44">
        <v>44062</v>
      </c>
      <c r="I1501" s="44">
        <v>44063</v>
      </c>
      <c r="J1501">
        <v>1016.74</v>
      </c>
      <c r="K1501">
        <v>21.64</v>
      </c>
      <c r="L1501" t="s">
        <v>4132</v>
      </c>
      <c r="M1501" s="45" t="s">
        <v>98</v>
      </c>
      <c r="N1501" s="38" t="s">
        <v>230</v>
      </c>
      <c r="O1501" s="38" t="s">
        <v>506</v>
      </c>
      <c r="P1501" s="38" t="s">
        <v>60</v>
      </c>
      <c r="Q1501" s="38" t="s">
        <v>65</v>
      </c>
      <c r="R1501" s="38" t="s">
        <v>270</v>
      </c>
      <c r="S1501" s="38" t="s">
        <v>4133</v>
      </c>
      <c r="T1501" s="38" t="s">
        <v>4137</v>
      </c>
      <c r="U1501" s="38"/>
      <c r="V1501" s="38"/>
      <c r="W1501" s="38"/>
      <c r="X1501" s="14"/>
      <c r="AN1501" s="7" t="s">
        <v>70</v>
      </c>
      <c r="AO1501" s="21">
        <f t="shared" si="75"/>
        <v>0</v>
      </c>
      <c r="AP1501" s="7">
        <f t="shared" si="76"/>
        <v>21.64</v>
      </c>
      <c r="AQ1501" s="31" t="str">
        <f t="shared" si="77"/>
        <v>Complete - No Adjustment</v>
      </c>
    </row>
    <row r="1502" spans="1:43" x14ac:dyDescent="0.2">
      <c r="A1502" s="46">
        <v>1492</v>
      </c>
      <c r="B1502" s="38" t="s">
        <v>266</v>
      </c>
      <c r="C1502" s="38" t="s">
        <v>4138</v>
      </c>
      <c r="D1502" s="38" t="s">
        <v>4139</v>
      </c>
      <c r="E1502" s="38" t="s">
        <v>4140</v>
      </c>
      <c r="F1502" s="38" t="s">
        <v>3695</v>
      </c>
      <c r="G1502" s="38" t="s">
        <v>111</v>
      </c>
      <c r="H1502" s="44">
        <v>44046</v>
      </c>
      <c r="I1502" s="44">
        <v>44048</v>
      </c>
      <c r="J1502">
        <v>375</v>
      </c>
      <c r="K1502">
        <v>100</v>
      </c>
      <c r="L1502" t="s">
        <v>4141</v>
      </c>
      <c r="M1502" s="45" t="s">
        <v>98</v>
      </c>
      <c r="N1502" s="38" t="s">
        <v>230</v>
      </c>
      <c r="O1502" s="38" t="s">
        <v>78</v>
      </c>
      <c r="P1502" s="38" t="s">
        <v>60</v>
      </c>
      <c r="Q1502" s="38" t="s">
        <v>59</v>
      </c>
      <c r="R1502" s="38" t="s">
        <v>270</v>
      </c>
      <c r="S1502" s="38" t="s">
        <v>4142</v>
      </c>
      <c r="T1502" s="38" t="s">
        <v>4143</v>
      </c>
      <c r="U1502" s="38"/>
      <c r="V1502" s="38"/>
      <c r="W1502" s="38"/>
      <c r="X1502" s="14"/>
      <c r="AN1502" s="7" t="s">
        <v>70</v>
      </c>
      <c r="AO1502" s="21">
        <f t="shared" si="75"/>
        <v>0</v>
      </c>
      <c r="AP1502" s="7">
        <f t="shared" si="76"/>
        <v>100</v>
      </c>
      <c r="AQ1502" s="31" t="str">
        <f t="shared" si="77"/>
        <v>Complete - No Adjustment</v>
      </c>
    </row>
    <row r="1503" spans="1:43" x14ac:dyDescent="0.2">
      <c r="A1503" s="46">
        <v>1493</v>
      </c>
      <c r="B1503" s="38" t="s">
        <v>266</v>
      </c>
      <c r="C1503" s="38" t="s">
        <v>4138</v>
      </c>
      <c r="D1503" s="38" t="s">
        <v>4139</v>
      </c>
      <c r="E1503" s="38" t="s">
        <v>4140</v>
      </c>
      <c r="F1503" s="38" t="s">
        <v>3695</v>
      </c>
      <c r="G1503" s="38" t="s">
        <v>111</v>
      </c>
      <c r="H1503" s="44">
        <v>44046</v>
      </c>
      <c r="I1503" s="44">
        <v>44048</v>
      </c>
      <c r="J1503">
        <v>375</v>
      </c>
      <c r="K1503">
        <v>275</v>
      </c>
      <c r="L1503" t="s">
        <v>4141</v>
      </c>
      <c r="M1503" s="45" t="s">
        <v>98</v>
      </c>
      <c r="N1503" s="38" t="s">
        <v>230</v>
      </c>
      <c r="O1503" s="38" t="s">
        <v>78</v>
      </c>
      <c r="P1503" s="38" t="s">
        <v>60</v>
      </c>
      <c r="Q1503" s="38" t="s">
        <v>59</v>
      </c>
      <c r="R1503" s="38" t="s">
        <v>270</v>
      </c>
      <c r="S1503" s="38" t="s">
        <v>4142</v>
      </c>
      <c r="T1503" s="38" t="s">
        <v>4144</v>
      </c>
      <c r="U1503" s="38"/>
      <c r="V1503" s="38"/>
      <c r="W1503" s="38"/>
      <c r="X1503" s="14"/>
      <c r="AO1503" s="21">
        <f t="shared" si="75"/>
        <v>0</v>
      </c>
      <c r="AP1503" s="7">
        <f t="shared" si="76"/>
        <v>275</v>
      </c>
      <c r="AQ1503" s="31" t="str">
        <f t="shared" si="77"/>
        <v>Complete - No Adjustment</v>
      </c>
    </row>
    <row r="1504" spans="1:43" x14ac:dyDescent="0.2">
      <c r="A1504" s="46">
        <v>1494</v>
      </c>
      <c r="B1504" s="38" t="s">
        <v>266</v>
      </c>
      <c r="C1504" s="38" t="s">
        <v>738</v>
      </c>
      <c r="D1504" s="38" t="s">
        <v>830</v>
      </c>
      <c r="E1504" s="38" t="s">
        <v>4145</v>
      </c>
      <c r="F1504" s="38" t="s">
        <v>3700</v>
      </c>
      <c r="G1504" s="38" t="s">
        <v>111</v>
      </c>
      <c r="H1504" s="44">
        <v>44067</v>
      </c>
      <c r="I1504" s="44">
        <v>44069</v>
      </c>
      <c r="J1504">
        <v>13.4</v>
      </c>
      <c r="K1504">
        <v>13.4</v>
      </c>
      <c r="L1504" t="s">
        <v>4146</v>
      </c>
      <c r="M1504" s="45" t="s">
        <v>98</v>
      </c>
      <c r="N1504" s="38" t="s">
        <v>230</v>
      </c>
      <c r="O1504" s="38" t="s">
        <v>292</v>
      </c>
      <c r="P1504" s="38" t="s">
        <v>60</v>
      </c>
      <c r="Q1504" s="38" t="s">
        <v>41</v>
      </c>
      <c r="R1504" s="38" t="s">
        <v>270</v>
      </c>
      <c r="S1504" s="38" t="s">
        <v>4147</v>
      </c>
      <c r="T1504" s="38" t="s">
        <v>4148</v>
      </c>
      <c r="U1504" s="38"/>
      <c r="V1504" s="38"/>
      <c r="W1504" s="38"/>
      <c r="X1504" s="14"/>
      <c r="AN1504" s="7" t="s">
        <v>155</v>
      </c>
      <c r="AO1504" s="21">
        <f t="shared" si="75"/>
        <v>0</v>
      </c>
      <c r="AP1504" s="7">
        <f t="shared" si="76"/>
        <v>13.4</v>
      </c>
      <c r="AQ1504" s="31" t="str">
        <f t="shared" si="77"/>
        <v>Complete - No Adjustment</v>
      </c>
    </row>
    <row r="1505" spans="1:43" x14ac:dyDescent="0.2">
      <c r="A1505" s="46">
        <v>1495</v>
      </c>
      <c r="B1505" s="38" t="s">
        <v>266</v>
      </c>
      <c r="C1505" s="38" t="s">
        <v>238</v>
      </c>
      <c r="D1505" s="38" t="s">
        <v>237</v>
      </c>
      <c r="E1505" s="38" t="s">
        <v>4149</v>
      </c>
      <c r="F1505" s="38" t="s">
        <v>3727</v>
      </c>
      <c r="G1505" s="38" t="s">
        <v>111</v>
      </c>
      <c r="H1505" s="44">
        <v>44043</v>
      </c>
      <c r="I1505" s="44">
        <v>44047</v>
      </c>
      <c r="J1505">
        <v>15.52</v>
      </c>
      <c r="K1505">
        <v>15.52</v>
      </c>
      <c r="L1505" t="s">
        <v>4150</v>
      </c>
      <c r="M1505" s="45" t="s">
        <v>98</v>
      </c>
      <c r="N1505" s="38" t="s">
        <v>230</v>
      </c>
      <c r="O1505" s="38" t="s">
        <v>311</v>
      </c>
      <c r="P1505" s="38" t="s">
        <v>61</v>
      </c>
      <c r="Q1505" s="38" t="s">
        <v>41</v>
      </c>
      <c r="R1505" s="38" t="s">
        <v>270</v>
      </c>
      <c r="S1505" s="38" t="s">
        <v>4151</v>
      </c>
      <c r="T1505" s="38" t="s">
        <v>4152</v>
      </c>
      <c r="U1505" s="38"/>
      <c r="V1505" s="38"/>
      <c r="W1505" s="38"/>
      <c r="X1505" s="14"/>
      <c r="AI1505" s="53">
        <f>15.52</f>
        <v>15.52</v>
      </c>
      <c r="AN1505" s="7" t="s">
        <v>145</v>
      </c>
      <c r="AO1505" s="21">
        <f t="shared" si="75"/>
        <v>15.52</v>
      </c>
      <c r="AP1505" s="7">
        <f t="shared" si="76"/>
        <v>0</v>
      </c>
      <c r="AQ1505" s="31" t="str">
        <f t="shared" si="77"/>
        <v>Complete - With Adjustment</v>
      </c>
    </row>
    <row r="1506" spans="1:43" x14ac:dyDescent="0.2">
      <c r="A1506" s="46">
        <v>1496</v>
      </c>
      <c r="B1506" s="38" t="s">
        <v>266</v>
      </c>
      <c r="C1506" s="38" t="s">
        <v>492</v>
      </c>
      <c r="D1506" s="38" t="s">
        <v>491</v>
      </c>
      <c r="E1506" s="38" t="s">
        <v>4153</v>
      </c>
      <c r="F1506" s="38" t="s">
        <v>3743</v>
      </c>
      <c r="G1506" s="38" t="s">
        <v>111</v>
      </c>
      <c r="H1506" s="44">
        <v>44069</v>
      </c>
      <c r="I1506" s="44">
        <v>44071</v>
      </c>
      <c r="J1506">
        <v>519.94000000000005</v>
      </c>
      <c r="K1506">
        <v>36.89</v>
      </c>
      <c r="L1506" t="s">
        <v>4154</v>
      </c>
      <c r="M1506" s="45" t="s">
        <v>98</v>
      </c>
      <c r="N1506" s="38" t="s">
        <v>230</v>
      </c>
      <c r="O1506" s="38" t="s">
        <v>292</v>
      </c>
      <c r="P1506" s="38" t="s">
        <v>60</v>
      </c>
      <c r="Q1506" s="38" t="s">
        <v>41</v>
      </c>
      <c r="R1506" s="38" t="s">
        <v>270</v>
      </c>
      <c r="S1506" s="38" t="s">
        <v>4155</v>
      </c>
      <c r="T1506" s="38" t="s">
        <v>4156</v>
      </c>
      <c r="U1506" s="38"/>
      <c r="V1506" s="38"/>
      <c r="W1506" s="38"/>
      <c r="X1506" s="14"/>
      <c r="AI1506" s="53">
        <f>36.89</f>
        <v>36.89</v>
      </c>
      <c r="AN1506" s="7" t="s">
        <v>145</v>
      </c>
      <c r="AO1506" s="21">
        <f t="shared" si="75"/>
        <v>36.89</v>
      </c>
      <c r="AP1506" s="7">
        <f t="shared" si="76"/>
        <v>0</v>
      </c>
      <c r="AQ1506" s="31" t="str">
        <f t="shared" si="77"/>
        <v>Complete - With Adjustment</v>
      </c>
    </row>
    <row r="1507" spans="1:43" x14ac:dyDescent="0.2">
      <c r="A1507" s="46">
        <v>1497</v>
      </c>
      <c r="B1507" s="38" t="s">
        <v>266</v>
      </c>
      <c r="C1507" s="38" t="s">
        <v>492</v>
      </c>
      <c r="D1507" s="38" t="s">
        <v>491</v>
      </c>
      <c r="E1507" s="38" t="s">
        <v>4153</v>
      </c>
      <c r="F1507" s="38" t="s">
        <v>3743</v>
      </c>
      <c r="G1507" s="38" t="s">
        <v>111</v>
      </c>
      <c r="H1507" s="44">
        <v>44069</v>
      </c>
      <c r="I1507" s="44">
        <v>44071</v>
      </c>
      <c r="J1507">
        <v>519.94000000000005</v>
      </c>
      <c r="K1507">
        <v>36.450000000000003</v>
      </c>
      <c r="L1507" t="s">
        <v>4154</v>
      </c>
      <c r="M1507" s="45" t="s">
        <v>98</v>
      </c>
      <c r="N1507" s="38" t="s">
        <v>230</v>
      </c>
      <c r="O1507" s="38" t="s">
        <v>292</v>
      </c>
      <c r="P1507" s="38" t="s">
        <v>60</v>
      </c>
      <c r="Q1507" s="38" t="s">
        <v>41</v>
      </c>
      <c r="R1507" s="38" t="s">
        <v>270</v>
      </c>
      <c r="S1507" s="38" t="s">
        <v>4155</v>
      </c>
      <c r="T1507" s="38" t="s">
        <v>4157</v>
      </c>
      <c r="U1507" s="38"/>
      <c r="V1507" s="38"/>
      <c r="W1507" s="38"/>
      <c r="X1507" s="14"/>
      <c r="AI1507" s="53">
        <f>36.45</f>
        <v>36.450000000000003</v>
      </c>
      <c r="AN1507" s="7" t="s">
        <v>145</v>
      </c>
      <c r="AO1507" s="21">
        <f t="shared" si="75"/>
        <v>36.450000000000003</v>
      </c>
      <c r="AP1507" s="7">
        <f t="shared" si="76"/>
        <v>0</v>
      </c>
      <c r="AQ1507" s="31" t="str">
        <f t="shared" si="77"/>
        <v>Complete - With Adjustment</v>
      </c>
    </row>
    <row r="1508" spans="1:43" x14ac:dyDescent="0.2">
      <c r="A1508" s="46">
        <v>1498</v>
      </c>
      <c r="B1508" s="38" t="s">
        <v>266</v>
      </c>
      <c r="C1508" s="38" t="s">
        <v>492</v>
      </c>
      <c r="D1508" s="38" t="s">
        <v>491</v>
      </c>
      <c r="E1508" s="38" t="s">
        <v>4153</v>
      </c>
      <c r="F1508" s="38" t="s">
        <v>3743</v>
      </c>
      <c r="G1508" s="38" t="s">
        <v>111</v>
      </c>
      <c r="H1508" s="44">
        <v>44069</v>
      </c>
      <c r="I1508" s="44">
        <v>44071</v>
      </c>
      <c r="J1508">
        <v>519.94000000000005</v>
      </c>
      <c r="K1508">
        <v>36.880000000000003</v>
      </c>
      <c r="L1508" t="s">
        <v>4154</v>
      </c>
      <c r="M1508" s="45" t="s">
        <v>98</v>
      </c>
      <c r="N1508" s="38" t="s">
        <v>230</v>
      </c>
      <c r="O1508" s="38" t="s">
        <v>292</v>
      </c>
      <c r="P1508" s="38" t="s">
        <v>60</v>
      </c>
      <c r="Q1508" s="38" t="s">
        <v>41</v>
      </c>
      <c r="R1508" s="38" t="s">
        <v>270</v>
      </c>
      <c r="S1508" s="38" t="s">
        <v>4155</v>
      </c>
      <c r="T1508" s="38" t="s">
        <v>4158</v>
      </c>
      <c r="U1508" s="38"/>
      <c r="V1508" s="38"/>
      <c r="W1508" s="38"/>
      <c r="X1508" s="14"/>
      <c r="AI1508" s="53">
        <f>36.88</f>
        <v>36.880000000000003</v>
      </c>
      <c r="AN1508" s="7" t="s">
        <v>145</v>
      </c>
      <c r="AO1508" s="21">
        <f t="shared" si="75"/>
        <v>36.880000000000003</v>
      </c>
      <c r="AP1508" s="7">
        <f t="shared" si="76"/>
        <v>0</v>
      </c>
      <c r="AQ1508" s="31" t="str">
        <f t="shared" si="77"/>
        <v>Complete - With Adjustment</v>
      </c>
    </row>
    <row r="1509" spans="1:43" x14ac:dyDescent="0.2">
      <c r="A1509" s="46">
        <v>1499</v>
      </c>
      <c r="B1509" s="38" t="s">
        <v>266</v>
      </c>
      <c r="C1509" s="38" t="s">
        <v>492</v>
      </c>
      <c r="D1509" s="38" t="s">
        <v>491</v>
      </c>
      <c r="E1509" s="38" t="s">
        <v>4153</v>
      </c>
      <c r="F1509" s="38" t="s">
        <v>3743</v>
      </c>
      <c r="G1509" s="38" t="s">
        <v>111</v>
      </c>
      <c r="H1509" s="44">
        <v>44069</v>
      </c>
      <c r="I1509" s="44">
        <v>44071</v>
      </c>
      <c r="J1509">
        <v>519.94000000000005</v>
      </c>
      <c r="K1509">
        <v>36.450000000000003</v>
      </c>
      <c r="L1509" t="s">
        <v>4154</v>
      </c>
      <c r="M1509" s="45" t="s">
        <v>98</v>
      </c>
      <c r="N1509" s="38" t="s">
        <v>230</v>
      </c>
      <c r="O1509" s="38" t="s">
        <v>292</v>
      </c>
      <c r="P1509" s="38" t="s">
        <v>60</v>
      </c>
      <c r="Q1509" s="38" t="s">
        <v>41</v>
      </c>
      <c r="R1509" s="38" t="s">
        <v>270</v>
      </c>
      <c r="S1509" s="38" t="s">
        <v>4155</v>
      </c>
      <c r="T1509" s="38" t="s">
        <v>4159</v>
      </c>
      <c r="U1509" s="38"/>
      <c r="V1509" s="38"/>
      <c r="W1509" s="38"/>
      <c r="X1509" s="14"/>
      <c r="AI1509" s="53">
        <f>36.45</f>
        <v>36.450000000000003</v>
      </c>
      <c r="AN1509" s="7" t="s">
        <v>145</v>
      </c>
      <c r="AO1509" s="21">
        <f t="shared" si="75"/>
        <v>36.450000000000003</v>
      </c>
      <c r="AP1509" s="7">
        <f t="shared" si="76"/>
        <v>0</v>
      </c>
      <c r="AQ1509" s="31" t="str">
        <f t="shared" si="77"/>
        <v>Complete - With Adjustment</v>
      </c>
    </row>
    <row r="1510" spans="1:43" x14ac:dyDescent="0.2">
      <c r="A1510" s="46">
        <v>1500</v>
      </c>
      <c r="B1510" s="38" t="s">
        <v>266</v>
      </c>
      <c r="C1510" s="38" t="s">
        <v>492</v>
      </c>
      <c r="D1510" s="38" t="s">
        <v>491</v>
      </c>
      <c r="E1510" s="38" t="s">
        <v>4153</v>
      </c>
      <c r="F1510" s="38" t="s">
        <v>3743</v>
      </c>
      <c r="G1510" s="38" t="s">
        <v>111</v>
      </c>
      <c r="H1510" s="44">
        <v>44069</v>
      </c>
      <c r="I1510" s="44">
        <v>44071</v>
      </c>
      <c r="J1510">
        <v>519.94000000000005</v>
      </c>
      <c r="K1510">
        <v>36.450000000000003</v>
      </c>
      <c r="L1510" t="s">
        <v>4154</v>
      </c>
      <c r="M1510" s="45" t="s">
        <v>98</v>
      </c>
      <c r="N1510" s="38" t="s">
        <v>230</v>
      </c>
      <c r="O1510" s="38" t="s">
        <v>292</v>
      </c>
      <c r="P1510" s="38" t="s">
        <v>60</v>
      </c>
      <c r="Q1510" s="38" t="s">
        <v>41</v>
      </c>
      <c r="R1510" s="38" t="s">
        <v>270</v>
      </c>
      <c r="S1510" s="38" t="s">
        <v>4155</v>
      </c>
      <c r="T1510" s="38" t="s">
        <v>4160</v>
      </c>
      <c r="U1510" s="38"/>
      <c r="V1510" s="38"/>
      <c r="W1510" s="38"/>
      <c r="X1510" s="14"/>
      <c r="AI1510" s="53">
        <f>36.45</f>
        <v>36.450000000000003</v>
      </c>
      <c r="AN1510" s="7" t="s">
        <v>145</v>
      </c>
      <c r="AO1510" s="21">
        <f t="shared" si="75"/>
        <v>36.450000000000003</v>
      </c>
      <c r="AP1510" s="7">
        <f t="shared" si="76"/>
        <v>0</v>
      </c>
      <c r="AQ1510" s="31" t="str">
        <f t="shared" si="77"/>
        <v>Complete - With Adjustment</v>
      </c>
    </row>
    <row r="1511" spans="1:43" x14ac:dyDescent="0.2">
      <c r="A1511" s="46">
        <v>1501</v>
      </c>
      <c r="B1511" s="38" t="s">
        <v>266</v>
      </c>
      <c r="C1511" s="38" t="s">
        <v>492</v>
      </c>
      <c r="D1511" s="38" t="s">
        <v>491</v>
      </c>
      <c r="E1511" s="38" t="s">
        <v>4153</v>
      </c>
      <c r="F1511" s="38" t="s">
        <v>3743</v>
      </c>
      <c r="G1511" s="38" t="s">
        <v>111</v>
      </c>
      <c r="H1511" s="44">
        <v>44069</v>
      </c>
      <c r="I1511" s="44">
        <v>44071</v>
      </c>
      <c r="J1511">
        <v>519.94000000000005</v>
      </c>
      <c r="K1511">
        <v>36.450000000000003</v>
      </c>
      <c r="L1511" t="s">
        <v>4154</v>
      </c>
      <c r="M1511" s="45" t="s">
        <v>98</v>
      </c>
      <c r="N1511" s="38" t="s">
        <v>230</v>
      </c>
      <c r="O1511" s="38" t="s">
        <v>292</v>
      </c>
      <c r="P1511" s="38" t="s">
        <v>60</v>
      </c>
      <c r="Q1511" s="38" t="s">
        <v>41</v>
      </c>
      <c r="R1511" s="38" t="s">
        <v>270</v>
      </c>
      <c r="S1511" s="38" t="s">
        <v>4155</v>
      </c>
      <c r="T1511" s="38" t="s">
        <v>4161</v>
      </c>
      <c r="U1511" s="38"/>
      <c r="V1511" s="38"/>
      <c r="W1511" s="38"/>
      <c r="X1511" s="14"/>
      <c r="AI1511" s="53">
        <f>36.45</f>
        <v>36.450000000000003</v>
      </c>
      <c r="AN1511" s="7" t="s">
        <v>145</v>
      </c>
      <c r="AO1511" s="21">
        <f t="shared" si="75"/>
        <v>36.450000000000003</v>
      </c>
      <c r="AP1511" s="7">
        <f t="shared" si="76"/>
        <v>0</v>
      </c>
      <c r="AQ1511" s="31" t="str">
        <f t="shared" si="77"/>
        <v>Complete - With Adjustment</v>
      </c>
    </row>
    <row r="1512" spans="1:43" x14ac:dyDescent="0.2">
      <c r="A1512" s="46">
        <v>1502</v>
      </c>
      <c r="B1512" s="38" t="s">
        <v>266</v>
      </c>
      <c r="C1512" s="38" t="s">
        <v>492</v>
      </c>
      <c r="D1512" s="38" t="s">
        <v>491</v>
      </c>
      <c r="E1512" s="38" t="s">
        <v>4153</v>
      </c>
      <c r="F1512" s="38" t="s">
        <v>3743</v>
      </c>
      <c r="G1512" s="38" t="s">
        <v>111</v>
      </c>
      <c r="H1512" s="44">
        <v>44069</v>
      </c>
      <c r="I1512" s="44">
        <v>44071</v>
      </c>
      <c r="J1512">
        <v>519.94000000000005</v>
      </c>
      <c r="K1512">
        <v>42.16</v>
      </c>
      <c r="L1512" t="s">
        <v>4154</v>
      </c>
      <c r="M1512" s="45" t="s">
        <v>98</v>
      </c>
      <c r="N1512" s="38" t="s">
        <v>230</v>
      </c>
      <c r="O1512" s="38" t="s">
        <v>292</v>
      </c>
      <c r="P1512" s="38" t="s">
        <v>60</v>
      </c>
      <c r="Q1512" s="38" t="s">
        <v>41</v>
      </c>
      <c r="R1512" s="38" t="s">
        <v>270</v>
      </c>
      <c r="S1512" s="38" t="s">
        <v>4155</v>
      </c>
      <c r="T1512" s="38" t="s">
        <v>4162</v>
      </c>
      <c r="U1512" s="38"/>
      <c r="V1512" s="38"/>
      <c r="W1512" s="38"/>
      <c r="X1512" s="14"/>
      <c r="AI1512" s="53">
        <f>42.16</f>
        <v>42.16</v>
      </c>
      <c r="AN1512" s="7" t="s">
        <v>145</v>
      </c>
      <c r="AO1512" s="21">
        <f t="shared" si="75"/>
        <v>42.16</v>
      </c>
      <c r="AP1512" s="7">
        <f t="shared" si="76"/>
        <v>0</v>
      </c>
      <c r="AQ1512" s="31" t="str">
        <f t="shared" si="77"/>
        <v>Complete - With Adjustment</v>
      </c>
    </row>
    <row r="1513" spans="1:43" x14ac:dyDescent="0.2">
      <c r="A1513" s="46">
        <v>1503</v>
      </c>
      <c r="B1513" s="38" t="s">
        <v>266</v>
      </c>
      <c r="C1513" s="38" t="s">
        <v>492</v>
      </c>
      <c r="D1513" s="38" t="s">
        <v>491</v>
      </c>
      <c r="E1513" s="38" t="s">
        <v>4153</v>
      </c>
      <c r="F1513" s="38" t="s">
        <v>3743</v>
      </c>
      <c r="G1513" s="38" t="s">
        <v>111</v>
      </c>
      <c r="H1513" s="44">
        <v>44069</v>
      </c>
      <c r="I1513" s="44">
        <v>44071</v>
      </c>
      <c r="J1513">
        <v>519.94000000000005</v>
      </c>
      <c r="K1513">
        <v>36.89</v>
      </c>
      <c r="L1513" t="s">
        <v>4154</v>
      </c>
      <c r="M1513" s="45" t="s">
        <v>98</v>
      </c>
      <c r="N1513" s="38" t="s">
        <v>230</v>
      </c>
      <c r="O1513" s="38" t="s">
        <v>292</v>
      </c>
      <c r="P1513" s="38" t="s">
        <v>60</v>
      </c>
      <c r="Q1513" s="38" t="s">
        <v>41</v>
      </c>
      <c r="R1513" s="38" t="s">
        <v>270</v>
      </c>
      <c r="S1513" s="38" t="s">
        <v>4155</v>
      </c>
      <c r="T1513" s="38" t="s">
        <v>4163</v>
      </c>
      <c r="U1513" s="38"/>
      <c r="V1513" s="38"/>
      <c r="W1513" s="38"/>
      <c r="X1513" s="14"/>
      <c r="AI1513" s="53">
        <f>36.89</f>
        <v>36.89</v>
      </c>
      <c r="AN1513" s="7" t="s">
        <v>145</v>
      </c>
      <c r="AO1513" s="21">
        <f t="shared" si="75"/>
        <v>36.89</v>
      </c>
      <c r="AP1513" s="7">
        <f t="shared" si="76"/>
        <v>0</v>
      </c>
      <c r="AQ1513" s="31" t="str">
        <f t="shared" si="77"/>
        <v>Complete - With Adjustment</v>
      </c>
    </row>
    <row r="1514" spans="1:43" x14ac:dyDescent="0.2">
      <c r="A1514" s="46">
        <v>1504</v>
      </c>
      <c r="B1514" s="38" t="s">
        <v>266</v>
      </c>
      <c r="C1514" s="38" t="s">
        <v>492</v>
      </c>
      <c r="D1514" s="38" t="s">
        <v>491</v>
      </c>
      <c r="E1514" s="38" t="s">
        <v>4153</v>
      </c>
      <c r="F1514" s="38" t="s">
        <v>3743</v>
      </c>
      <c r="G1514" s="38" t="s">
        <v>111</v>
      </c>
      <c r="H1514" s="44">
        <v>44069</v>
      </c>
      <c r="I1514" s="44">
        <v>44071</v>
      </c>
      <c r="J1514">
        <v>519.94000000000005</v>
      </c>
      <c r="K1514">
        <v>36.89</v>
      </c>
      <c r="L1514" t="s">
        <v>4154</v>
      </c>
      <c r="M1514" s="45" t="s">
        <v>98</v>
      </c>
      <c r="N1514" s="38" t="s">
        <v>230</v>
      </c>
      <c r="O1514" s="38" t="s">
        <v>292</v>
      </c>
      <c r="P1514" s="38" t="s">
        <v>60</v>
      </c>
      <c r="Q1514" s="38" t="s">
        <v>41</v>
      </c>
      <c r="R1514" s="38" t="s">
        <v>270</v>
      </c>
      <c r="S1514" s="38" t="s">
        <v>4155</v>
      </c>
      <c r="T1514" s="38" t="s">
        <v>4164</v>
      </c>
      <c r="U1514" s="38"/>
      <c r="V1514" s="38"/>
      <c r="W1514" s="38"/>
      <c r="X1514" s="14"/>
      <c r="AI1514" s="53">
        <f>36.89</f>
        <v>36.89</v>
      </c>
      <c r="AN1514" s="7" t="s">
        <v>145</v>
      </c>
      <c r="AO1514" s="21">
        <f t="shared" si="75"/>
        <v>36.89</v>
      </c>
      <c r="AP1514" s="7">
        <f t="shared" si="76"/>
        <v>0</v>
      </c>
      <c r="AQ1514" s="31" t="str">
        <f t="shared" si="77"/>
        <v>Complete - With Adjustment</v>
      </c>
    </row>
    <row r="1515" spans="1:43" x14ac:dyDescent="0.2">
      <c r="A1515" s="46">
        <v>1505</v>
      </c>
      <c r="B1515" s="38" t="s">
        <v>266</v>
      </c>
      <c r="C1515" s="38" t="s">
        <v>492</v>
      </c>
      <c r="D1515" s="38" t="s">
        <v>491</v>
      </c>
      <c r="E1515" s="38" t="s">
        <v>4153</v>
      </c>
      <c r="F1515" s="38" t="s">
        <v>3743</v>
      </c>
      <c r="G1515" s="38" t="s">
        <v>111</v>
      </c>
      <c r="H1515" s="44">
        <v>44069</v>
      </c>
      <c r="I1515" s="44">
        <v>44071</v>
      </c>
      <c r="J1515">
        <v>519.94000000000005</v>
      </c>
      <c r="K1515">
        <v>36.880000000000003</v>
      </c>
      <c r="L1515" t="s">
        <v>4154</v>
      </c>
      <c r="M1515" s="45" t="s">
        <v>98</v>
      </c>
      <c r="N1515" s="38" t="s">
        <v>230</v>
      </c>
      <c r="O1515" s="38" t="s">
        <v>292</v>
      </c>
      <c r="P1515" s="38" t="s">
        <v>60</v>
      </c>
      <c r="Q1515" s="38" t="s">
        <v>41</v>
      </c>
      <c r="R1515" s="38" t="s">
        <v>270</v>
      </c>
      <c r="S1515" s="38" t="s">
        <v>4155</v>
      </c>
      <c r="T1515" s="38" t="s">
        <v>4165</v>
      </c>
      <c r="U1515" s="38"/>
      <c r="V1515" s="38"/>
      <c r="W1515" s="38"/>
      <c r="X1515" s="14"/>
      <c r="AI1515" s="53">
        <f>36.88</f>
        <v>36.880000000000003</v>
      </c>
      <c r="AN1515" s="7" t="s">
        <v>145</v>
      </c>
      <c r="AO1515" s="21">
        <f t="shared" si="75"/>
        <v>36.880000000000003</v>
      </c>
      <c r="AP1515" s="7">
        <f t="shared" si="76"/>
        <v>0</v>
      </c>
      <c r="AQ1515" s="31" t="str">
        <f t="shared" si="77"/>
        <v>Complete - With Adjustment</v>
      </c>
    </row>
    <row r="1516" spans="1:43" x14ac:dyDescent="0.2">
      <c r="A1516" s="46">
        <v>1506</v>
      </c>
      <c r="B1516" s="38" t="s">
        <v>266</v>
      </c>
      <c r="C1516" s="38" t="s">
        <v>492</v>
      </c>
      <c r="D1516" s="38" t="s">
        <v>491</v>
      </c>
      <c r="E1516" s="38" t="s">
        <v>4153</v>
      </c>
      <c r="F1516" s="38" t="s">
        <v>3743</v>
      </c>
      <c r="G1516" s="38" t="s">
        <v>111</v>
      </c>
      <c r="H1516" s="44">
        <v>44069</v>
      </c>
      <c r="I1516" s="44">
        <v>44071</v>
      </c>
      <c r="J1516">
        <v>519.94000000000005</v>
      </c>
      <c r="K1516">
        <v>36.880000000000003</v>
      </c>
      <c r="L1516" t="s">
        <v>4154</v>
      </c>
      <c r="M1516" s="45" t="s">
        <v>98</v>
      </c>
      <c r="N1516" s="38" t="s">
        <v>230</v>
      </c>
      <c r="O1516" s="38" t="s">
        <v>292</v>
      </c>
      <c r="P1516" s="38" t="s">
        <v>60</v>
      </c>
      <c r="Q1516" s="38" t="s">
        <v>41</v>
      </c>
      <c r="R1516" s="38" t="s">
        <v>270</v>
      </c>
      <c r="S1516" s="38" t="s">
        <v>4155</v>
      </c>
      <c r="T1516" s="38" t="s">
        <v>4166</v>
      </c>
      <c r="U1516" s="38"/>
      <c r="V1516" s="38"/>
      <c r="W1516" s="38"/>
      <c r="X1516" s="14"/>
      <c r="AI1516" s="53">
        <f>36.88</f>
        <v>36.880000000000003</v>
      </c>
      <c r="AN1516" s="7" t="s">
        <v>145</v>
      </c>
      <c r="AO1516" s="21">
        <f t="shared" ref="AO1516:AO1545" si="78">SUM(Y1516:AL1516)</f>
        <v>36.880000000000003</v>
      </c>
      <c r="AP1516" s="7">
        <f t="shared" si="76"/>
        <v>0</v>
      </c>
      <c r="AQ1516" s="31" t="str">
        <f t="shared" si="77"/>
        <v>Complete - With Adjustment</v>
      </c>
    </row>
    <row r="1517" spans="1:43" x14ac:dyDescent="0.2">
      <c r="A1517" s="46">
        <v>1507</v>
      </c>
      <c r="B1517" s="38" t="s">
        <v>266</v>
      </c>
      <c r="C1517" s="38" t="s">
        <v>492</v>
      </c>
      <c r="D1517" s="38" t="s">
        <v>491</v>
      </c>
      <c r="E1517" s="38" t="s">
        <v>4153</v>
      </c>
      <c r="F1517" s="38" t="s">
        <v>3743</v>
      </c>
      <c r="G1517" s="38" t="s">
        <v>111</v>
      </c>
      <c r="H1517" s="44">
        <v>44069</v>
      </c>
      <c r="I1517" s="44">
        <v>44071</v>
      </c>
      <c r="J1517">
        <v>519.94000000000005</v>
      </c>
      <c r="K1517">
        <v>36.89</v>
      </c>
      <c r="L1517" t="s">
        <v>4154</v>
      </c>
      <c r="M1517" s="45" t="s">
        <v>98</v>
      </c>
      <c r="N1517" s="38" t="s">
        <v>230</v>
      </c>
      <c r="O1517" s="38" t="s">
        <v>292</v>
      </c>
      <c r="P1517" s="38" t="s">
        <v>60</v>
      </c>
      <c r="Q1517" s="38" t="s">
        <v>41</v>
      </c>
      <c r="R1517" s="38" t="s">
        <v>270</v>
      </c>
      <c r="S1517" s="38" t="s">
        <v>4155</v>
      </c>
      <c r="T1517" s="38" t="s">
        <v>4167</v>
      </c>
      <c r="U1517" s="38"/>
      <c r="V1517" s="38"/>
      <c r="W1517" s="38"/>
      <c r="X1517" s="14"/>
      <c r="AI1517" s="53">
        <f>36.89</f>
        <v>36.89</v>
      </c>
      <c r="AN1517" s="7" t="s">
        <v>145</v>
      </c>
      <c r="AO1517" s="21">
        <f t="shared" si="78"/>
        <v>36.89</v>
      </c>
      <c r="AP1517" s="7">
        <f t="shared" si="76"/>
        <v>0</v>
      </c>
      <c r="AQ1517" s="31" t="str">
        <f t="shared" si="77"/>
        <v>Complete - With Adjustment</v>
      </c>
    </row>
    <row r="1518" spans="1:43" x14ac:dyDescent="0.2">
      <c r="A1518" s="46">
        <v>1508</v>
      </c>
      <c r="B1518" s="38" t="s">
        <v>266</v>
      </c>
      <c r="C1518" s="38" t="s">
        <v>492</v>
      </c>
      <c r="D1518" s="38" t="s">
        <v>491</v>
      </c>
      <c r="E1518" s="38" t="s">
        <v>4153</v>
      </c>
      <c r="F1518" s="38" t="s">
        <v>3743</v>
      </c>
      <c r="G1518" s="38" t="s">
        <v>111</v>
      </c>
      <c r="H1518" s="44">
        <v>44069</v>
      </c>
      <c r="I1518" s="44">
        <v>44071</v>
      </c>
      <c r="J1518">
        <v>519.94000000000005</v>
      </c>
      <c r="K1518">
        <v>36.9</v>
      </c>
      <c r="L1518" t="s">
        <v>4154</v>
      </c>
      <c r="M1518" s="45" t="s">
        <v>98</v>
      </c>
      <c r="N1518" s="38" t="s">
        <v>230</v>
      </c>
      <c r="O1518" s="38" t="s">
        <v>292</v>
      </c>
      <c r="P1518" s="38" t="s">
        <v>60</v>
      </c>
      <c r="Q1518" s="38" t="s">
        <v>41</v>
      </c>
      <c r="R1518" s="38" t="s">
        <v>270</v>
      </c>
      <c r="S1518" s="38" t="s">
        <v>4155</v>
      </c>
      <c r="T1518" s="38" t="s">
        <v>4168</v>
      </c>
      <c r="U1518" s="38"/>
      <c r="V1518" s="38"/>
      <c r="W1518" s="38"/>
      <c r="X1518" s="14"/>
      <c r="AI1518" s="53">
        <f>36.9</f>
        <v>36.9</v>
      </c>
      <c r="AN1518" s="7" t="s">
        <v>145</v>
      </c>
      <c r="AO1518" s="21">
        <f t="shared" si="78"/>
        <v>36.9</v>
      </c>
      <c r="AP1518" s="7">
        <f t="shared" si="76"/>
        <v>0</v>
      </c>
      <c r="AQ1518" s="31" t="str">
        <f t="shared" si="77"/>
        <v>Complete - With Adjustment</v>
      </c>
    </row>
    <row r="1519" spans="1:43" x14ac:dyDescent="0.2">
      <c r="A1519" s="46">
        <v>1509</v>
      </c>
      <c r="B1519" s="38" t="s">
        <v>266</v>
      </c>
      <c r="C1519" s="38" t="s">
        <v>492</v>
      </c>
      <c r="D1519" s="38" t="s">
        <v>491</v>
      </c>
      <c r="E1519" s="38" t="s">
        <v>4153</v>
      </c>
      <c r="F1519" s="38" t="s">
        <v>3743</v>
      </c>
      <c r="G1519" s="38" t="s">
        <v>111</v>
      </c>
      <c r="H1519" s="44">
        <v>44069</v>
      </c>
      <c r="I1519" s="44">
        <v>44071</v>
      </c>
      <c r="J1519">
        <v>519.94000000000005</v>
      </c>
      <c r="K1519">
        <v>36.880000000000003</v>
      </c>
      <c r="L1519" t="s">
        <v>4154</v>
      </c>
      <c r="M1519" s="45" t="s">
        <v>98</v>
      </c>
      <c r="N1519" s="38" t="s">
        <v>230</v>
      </c>
      <c r="O1519" s="38" t="s">
        <v>292</v>
      </c>
      <c r="P1519" s="38" t="s">
        <v>60</v>
      </c>
      <c r="Q1519" s="38" t="s">
        <v>41</v>
      </c>
      <c r="R1519" s="38" t="s">
        <v>270</v>
      </c>
      <c r="S1519" s="38" t="s">
        <v>4155</v>
      </c>
      <c r="T1519" s="38" t="s">
        <v>4169</v>
      </c>
      <c r="U1519" s="38"/>
      <c r="V1519" s="38"/>
      <c r="W1519" s="38"/>
      <c r="X1519" s="14"/>
      <c r="AI1519" s="53">
        <f>36.88</f>
        <v>36.880000000000003</v>
      </c>
      <c r="AN1519" s="7" t="s">
        <v>145</v>
      </c>
      <c r="AO1519" s="21">
        <f t="shared" si="78"/>
        <v>36.880000000000003</v>
      </c>
      <c r="AP1519" s="7">
        <f t="shared" si="76"/>
        <v>0</v>
      </c>
      <c r="AQ1519" s="31" t="str">
        <f t="shared" si="77"/>
        <v>Complete - With Adjustment</v>
      </c>
    </row>
    <row r="1520" spans="1:43" x14ac:dyDescent="0.2">
      <c r="A1520" s="46">
        <v>1510</v>
      </c>
      <c r="B1520" s="38" t="s">
        <v>266</v>
      </c>
      <c r="C1520" s="38" t="s">
        <v>496</v>
      </c>
      <c r="D1520" s="38" t="s">
        <v>495</v>
      </c>
      <c r="E1520" s="38" t="s">
        <v>4170</v>
      </c>
      <c r="F1520" s="38" t="s">
        <v>3743</v>
      </c>
      <c r="G1520" s="38" t="s">
        <v>111</v>
      </c>
      <c r="H1520" s="44">
        <v>44068</v>
      </c>
      <c r="I1520" s="44">
        <v>44071</v>
      </c>
      <c r="J1520">
        <v>91.23</v>
      </c>
      <c r="K1520">
        <v>20</v>
      </c>
      <c r="L1520" t="s">
        <v>4171</v>
      </c>
      <c r="M1520" s="45" t="s">
        <v>98</v>
      </c>
      <c r="N1520" s="38" t="s">
        <v>230</v>
      </c>
      <c r="O1520" s="38" t="s">
        <v>375</v>
      </c>
      <c r="P1520" s="38" t="s">
        <v>60</v>
      </c>
      <c r="Q1520" s="38" t="s">
        <v>73</v>
      </c>
      <c r="R1520" s="38" t="s">
        <v>270</v>
      </c>
      <c r="S1520" s="38" t="s">
        <v>4172</v>
      </c>
      <c r="T1520" s="38" t="s">
        <v>4173</v>
      </c>
      <c r="U1520" s="38"/>
      <c r="V1520" s="38"/>
      <c r="W1520" s="38"/>
      <c r="X1520" s="14"/>
      <c r="AN1520" s="7" t="s">
        <v>70</v>
      </c>
      <c r="AO1520" s="21">
        <f t="shared" si="78"/>
        <v>0</v>
      </c>
      <c r="AP1520" s="7">
        <f t="shared" si="76"/>
        <v>20</v>
      </c>
      <c r="AQ1520" s="31" t="str">
        <f t="shared" si="77"/>
        <v>Complete - No Adjustment</v>
      </c>
    </row>
    <row r="1521" spans="1:43" x14ac:dyDescent="0.2">
      <c r="A1521" s="46">
        <v>1511</v>
      </c>
      <c r="B1521" s="38" t="s">
        <v>266</v>
      </c>
      <c r="C1521" s="38" t="s">
        <v>496</v>
      </c>
      <c r="D1521" s="38" t="s">
        <v>495</v>
      </c>
      <c r="E1521" s="38" t="s">
        <v>4170</v>
      </c>
      <c r="F1521" s="38" t="s">
        <v>3743</v>
      </c>
      <c r="G1521" s="38" t="s">
        <v>111</v>
      </c>
      <c r="H1521" s="44">
        <v>44068</v>
      </c>
      <c r="I1521" s="44">
        <v>44071</v>
      </c>
      <c r="J1521">
        <v>91.23</v>
      </c>
      <c r="K1521">
        <v>6.68</v>
      </c>
      <c r="L1521" t="s">
        <v>4171</v>
      </c>
      <c r="M1521" s="45" t="s">
        <v>98</v>
      </c>
      <c r="N1521" s="38" t="s">
        <v>230</v>
      </c>
      <c r="O1521" s="38" t="s">
        <v>320</v>
      </c>
      <c r="P1521" s="38" t="s">
        <v>60</v>
      </c>
      <c r="Q1521" s="38" t="s">
        <v>73</v>
      </c>
      <c r="R1521" s="38" t="s">
        <v>270</v>
      </c>
      <c r="S1521" s="38" t="s">
        <v>4172</v>
      </c>
      <c r="T1521" s="38" t="s">
        <v>4174</v>
      </c>
      <c r="U1521" s="38"/>
      <c r="V1521" s="38"/>
      <c r="W1521" s="38"/>
      <c r="X1521" s="14"/>
      <c r="AN1521" s="7" t="s">
        <v>70</v>
      </c>
      <c r="AO1521" s="21">
        <f t="shared" si="78"/>
        <v>0</v>
      </c>
      <c r="AP1521" s="7">
        <f t="shared" si="76"/>
        <v>6.68</v>
      </c>
      <c r="AQ1521" s="31" t="str">
        <f t="shared" si="77"/>
        <v>Complete - No Adjustment</v>
      </c>
    </row>
    <row r="1522" spans="1:43" x14ac:dyDescent="0.2">
      <c r="A1522" s="46">
        <v>1512</v>
      </c>
      <c r="B1522" s="38" t="s">
        <v>266</v>
      </c>
      <c r="C1522" s="38" t="s">
        <v>496</v>
      </c>
      <c r="D1522" s="38" t="s">
        <v>495</v>
      </c>
      <c r="E1522" s="38" t="s">
        <v>4170</v>
      </c>
      <c r="F1522" s="38" t="s">
        <v>3743</v>
      </c>
      <c r="G1522" s="38" t="s">
        <v>111</v>
      </c>
      <c r="H1522" s="44">
        <v>44068</v>
      </c>
      <c r="I1522" s="44">
        <v>44071</v>
      </c>
      <c r="J1522">
        <v>91.23</v>
      </c>
      <c r="K1522">
        <v>6.66</v>
      </c>
      <c r="L1522" t="s">
        <v>4171</v>
      </c>
      <c r="M1522" s="45" t="s">
        <v>98</v>
      </c>
      <c r="N1522" s="38" t="s">
        <v>230</v>
      </c>
      <c r="O1522" s="38" t="s">
        <v>383</v>
      </c>
      <c r="P1522" s="38" t="s">
        <v>60</v>
      </c>
      <c r="Q1522" s="38" t="s">
        <v>73</v>
      </c>
      <c r="R1522" s="38" t="s">
        <v>270</v>
      </c>
      <c r="S1522" s="38" t="s">
        <v>4172</v>
      </c>
      <c r="T1522" s="38" t="s">
        <v>4174</v>
      </c>
      <c r="U1522" s="38"/>
      <c r="V1522" s="38"/>
      <c r="W1522" s="38"/>
      <c r="X1522" s="14"/>
      <c r="AN1522" s="7" t="s">
        <v>70</v>
      </c>
      <c r="AO1522" s="21">
        <f t="shared" si="78"/>
        <v>0</v>
      </c>
      <c r="AP1522" s="7">
        <f t="shared" si="76"/>
        <v>6.66</v>
      </c>
      <c r="AQ1522" s="31" t="str">
        <f t="shared" si="77"/>
        <v>Complete - No Adjustment</v>
      </c>
    </row>
    <row r="1523" spans="1:43" x14ac:dyDescent="0.2">
      <c r="A1523" s="46">
        <v>1513</v>
      </c>
      <c r="B1523" s="38" t="s">
        <v>266</v>
      </c>
      <c r="C1523" s="38" t="s">
        <v>496</v>
      </c>
      <c r="D1523" s="38" t="s">
        <v>495</v>
      </c>
      <c r="E1523" s="38" t="s">
        <v>4170</v>
      </c>
      <c r="F1523" s="38" t="s">
        <v>3743</v>
      </c>
      <c r="G1523" s="38" t="s">
        <v>111</v>
      </c>
      <c r="H1523" s="44">
        <v>44068</v>
      </c>
      <c r="I1523" s="44">
        <v>44071</v>
      </c>
      <c r="J1523">
        <v>91.23</v>
      </c>
      <c r="K1523">
        <v>51.23</v>
      </c>
      <c r="L1523" t="s">
        <v>4171</v>
      </c>
      <c r="M1523" s="45" t="s">
        <v>97</v>
      </c>
      <c r="N1523" s="38" t="s">
        <v>230</v>
      </c>
      <c r="O1523" s="38" t="s">
        <v>355</v>
      </c>
      <c r="P1523" s="38" t="s">
        <v>42</v>
      </c>
      <c r="Q1523" s="38" t="s">
        <v>56</v>
      </c>
      <c r="R1523" s="38" t="s">
        <v>270</v>
      </c>
      <c r="S1523" s="38" t="s">
        <v>4172</v>
      </c>
      <c r="T1523" s="38" t="s">
        <v>4175</v>
      </c>
      <c r="U1523" s="38"/>
      <c r="V1523" s="38"/>
      <c r="W1523" s="38"/>
      <c r="X1523" s="14"/>
      <c r="AN1523" s="7" t="s">
        <v>70</v>
      </c>
      <c r="AO1523" s="21">
        <f t="shared" si="78"/>
        <v>0</v>
      </c>
      <c r="AP1523" s="7">
        <f t="shared" si="76"/>
        <v>51.23</v>
      </c>
      <c r="AQ1523" s="31" t="str">
        <f t="shared" si="77"/>
        <v>Complete - No Adjustment</v>
      </c>
    </row>
    <row r="1524" spans="1:43" x14ac:dyDescent="0.2">
      <c r="A1524" s="46">
        <v>1514</v>
      </c>
      <c r="B1524" s="38" t="s">
        <v>266</v>
      </c>
      <c r="C1524" s="38" t="s">
        <v>496</v>
      </c>
      <c r="D1524" s="38" t="s">
        <v>495</v>
      </c>
      <c r="E1524" s="38" t="s">
        <v>4170</v>
      </c>
      <c r="F1524" s="38" t="s">
        <v>3743</v>
      </c>
      <c r="G1524" s="38" t="s">
        <v>111</v>
      </c>
      <c r="H1524" s="44">
        <v>44068</v>
      </c>
      <c r="I1524" s="44">
        <v>44071</v>
      </c>
      <c r="J1524">
        <v>91.23</v>
      </c>
      <c r="K1524">
        <v>6.66</v>
      </c>
      <c r="L1524" t="s">
        <v>4171</v>
      </c>
      <c r="M1524" s="45" t="s">
        <v>98</v>
      </c>
      <c r="N1524" s="38" t="s">
        <v>230</v>
      </c>
      <c r="O1524" s="38" t="s">
        <v>444</v>
      </c>
      <c r="P1524" s="38" t="s">
        <v>60</v>
      </c>
      <c r="Q1524" s="38" t="s">
        <v>73</v>
      </c>
      <c r="R1524" s="38" t="s">
        <v>270</v>
      </c>
      <c r="S1524" s="38" t="s">
        <v>4172</v>
      </c>
      <c r="T1524" s="38" t="s">
        <v>4174</v>
      </c>
      <c r="U1524" s="38"/>
      <c r="V1524" s="38"/>
      <c r="W1524" s="38"/>
      <c r="X1524" s="14"/>
      <c r="AN1524" s="7" t="s">
        <v>70</v>
      </c>
      <c r="AO1524" s="21">
        <f t="shared" si="78"/>
        <v>0</v>
      </c>
      <c r="AP1524" s="7">
        <f t="shared" si="76"/>
        <v>6.66</v>
      </c>
      <c r="AQ1524" s="31" t="str">
        <f t="shared" si="77"/>
        <v>Complete - No Adjustment</v>
      </c>
    </row>
    <row r="1525" spans="1:43" x14ac:dyDescent="0.2">
      <c r="A1525" s="46">
        <v>1515</v>
      </c>
      <c r="B1525" s="38" t="s">
        <v>266</v>
      </c>
      <c r="C1525" s="38" t="s">
        <v>496</v>
      </c>
      <c r="D1525" s="38" t="s">
        <v>495</v>
      </c>
      <c r="E1525" s="38" t="s">
        <v>4176</v>
      </c>
      <c r="F1525" s="38" t="s">
        <v>3695</v>
      </c>
      <c r="G1525" s="38" t="s">
        <v>111</v>
      </c>
      <c r="H1525" s="44">
        <v>44042</v>
      </c>
      <c r="I1525" s="44">
        <v>44048</v>
      </c>
      <c r="J1525">
        <v>177.23</v>
      </c>
      <c r="K1525">
        <v>20</v>
      </c>
      <c r="L1525" t="s">
        <v>4177</v>
      </c>
      <c r="M1525" s="45" t="s">
        <v>98</v>
      </c>
      <c r="N1525" s="38" t="s">
        <v>230</v>
      </c>
      <c r="O1525" s="38" t="s">
        <v>326</v>
      </c>
      <c r="P1525" s="38" t="s">
        <v>60</v>
      </c>
      <c r="Q1525" s="38" t="s">
        <v>73</v>
      </c>
      <c r="R1525" s="38" t="s">
        <v>270</v>
      </c>
      <c r="S1525" s="38" t="s">
        <v>4178</v>
      </c>
      <c r="T1525" s="38" t="s">
        <v>4179</v>
      </c>
      <c r="U1525" s="38"/>
      <c r="V1525" s="38"/>
      <c r="W1525" s="38"/>
      <c r="X1525" s="14"/>
      <c r="AN1525" s="7" t="s">
        <v>70</v>
      </c>
      <c r="AO1525" s="21">
        <f t="shared" si="78"/>
        <v>0</v>
      </c>
      <c r="AP1525" s="7">
        <f t="shared" si="76"/>
        <v>20</v>
      </c>
      <c r="AQ1525" s="31" t="str">
        <f t="shared" si="77"/>
        <v>Complete - No Adjustment</v>
      </c>
    </row>
    <row r="1526" spans="1:43" x14ac:dyDescent="0.2">
      <c r="A1526" s="46">
        <v>1516</v>
      </c>
      <c r="B1526" s="38" t="s">
        <v>266</v>
      </c>
      <c r="C1526" s="38" t="s">
        <v>496</v>
      </c>
      <c r="D1526" s="38" t="s">
        <v>495</v>
      </c>
      <c r="E1526" s="38" t="s">
        <v>4176</v>
      </c>
      <c r="F1526" s="38" t="s">
        <v>3695</v>
      </c>
      <c r="G1526" s="38" t="s">
        <v>111</v>
      </c>
      <c r="H1526" s="44">
        <v>44042</v>
      </c>
      <c r="I1526" s="44">
        <v>44048</v>
      </c>
      <c r="J1526">
        <v>177.23</v>
      </c>
      <c r="K1526">
        <v>6.66</v>
      </c>
      <c r="L1526" t="s">
        <v>4177</v>
      </c>
      <c r="M1526" s="45" t="s">
        <v>98</v>
      </c>
      <c r="N1526" s="38" t="s">
        <v>230</v>
      </c>
      <c r="O1526" s="38" t="s">
        <v>444</v>
      </c>
      <c r="P1526" s="38" t="s">
        <v>60</v>
      </c>
      <c r="Q1526" s="38" t="s">
        <v>73</v>
      </c>
      <c r="R1526" s="38" t="s">
        <v>270</v>
      </c>
      <c r="S1526" s="38" t="s">
        <v>4178</v>
      </c>
      <c r="T1526" s="38" t="s">
        <v>4180</v>
      </c>
      <c r="U1526" s="38"/>
      <c r="V1526" s="38"/>
      <c r="W1526" s="38"/>
      <c r="X1526" s="14"/>
      <c r="AN1526" s="7" t="s">
        <v>70</v>
      </c>
      <c r="AO1526" s="21">
        <f t="shared" si="78"/>
        <v>0</v>
      </c>
      <c r="AP1526" s="7">
        <f t="shared" si="76"/>
        <v>6.66</v>
      </c>
      <c r="AQ1526" s="31" t="str">
        <f t="shared" si="77"/>
        <v>Complete - No Adjustment</v>
      </c>
    </row>
    <row r="1527" spans="1:43" x14ac:dyDescent="0.2">
      <c r="A1527" s="46">
        <v>1517</v>
      </c>
      <c r="B1527" s="38" t="s">
        <v>266</v>
      </c>
      <c r="C1527" s="38" t="s">
        <v>496</v>
      </c>
      <c r="D1527" s="38" t="s">
        <v>495</v>
      </c>
      <c r="E1527" s="38" t="s">
        <v>4176</v>
      </c>
      <c r="F1527" s="38" t="s">
        <v>3695</v>
      </c>
      <c r="G1527" s="38" t="s">
        <v>111</v>
      </c>
      <c r="H1527" s="44">
        <v>44042</v>
      </c>
      <c r="I1527" s="44">
        <v>44048</v>
      </c>
      <c r="J1527">
        <v>177.23</v>
      </c>
      <c r="K1527">
        <v>6.66</v>
      </c>
      <c r="L1527" t="s">
        <v>4177</v>
      </c>
      <c r="M1527" s="45" t="s">
        <v>98</v>
      </c>
      <c r="N1527" s="38" t="s">
        <v>230</v>
      </c>
      <c r="O1527" s="38" t="s">
        <v>383</v>
      </c>
      <c r="P1527" s="38" t="s">
        <v>60</v>
      </c>
      <c r="Q1527" s="38" t="s">
        <v>73</v>
      </c>
      <c r="R1527" s="38" t="s">
        <v>270</v>
      </c>
      <c r="S1527" s="38" t="s">
        <v>4178</v>
      </c>
      <c r="T1527" s="38" t="s">
        <v>4180</v>
      </c>
      <c r="U1527" s="38"/>
      <c r="V1527" s="38"/>
      <c r="W1527" s="38"/>
      <c r="X1527" s="14"/>
      <c r="AN1527" s="7" t="s">
        <v>70</v>
      </c>
      <c r="AO1527" s="21">
        <f t="shared" si="78"/>
        <v>0</v>
      </c>
      <c r="AP1527" s="7">
        <f t="shared" si="76"/>
        <v>6.66</v>
      </c>
      <c r="AQ1527" s="31" t="str">
        <f t="shared" si="77"/>
        <v>Complete - No Adjustment</v>
      </c>
    </row>
    <row r="1528" spans="1:43" x14ac:dyDescent="0.2">
      <c r="A1528" s="46">
        <v>1518</v>
      </c>
      <c r="B1528" s="38" t="s">
        <v>266</v>
      </c>
      <c r="C1528" s="38" t="s">
        <v>496</v>
      </c>
      <c r="D1528" s="38" t="s">
        <v>495</v>
      </c>
      <c r="E1528" s="38" t="s">
        <v>4176</v>
      </c>
      <c r="F1528" s="38" t="s">
        <v>3695</v>
      </c>
      <c r="G1528" s="38" t="s">
        <v>111</v>
      </c>
      <c r="H1528" s="44">
        <v>44042</v>
      </c>
      <c r="I1528" s="44">
        <v>44048</v>
      </c>
      <c r="J1528">
        <v>177.23</v>
      </c>
      <c r="K1528">
        <v>6.68</v>
      </c>
      <c r="L1528" t="s">
        <v>4177</v>
      </c>
      <c r="M1528" s="45" t="s">
        <v>98</v>
      </c>
      <c r="N1528" s="38" t="s">
        <v>230</v>
      </c>
      <c r="O1528" s="38" t="s">
        <v>320</v>
      </c>
      <c r="P1528" s="38" t="s">
        <v>60</v>
      </c>
      <c r="Q1528" s="38" t="s">
        <v>73</v>
      </c>
      <c r="R1528" s="38" t="s">
        <v>270</v>
      </c>
      <c r="S1528" s="38" t="s">
        <v>4178</v>
      </c>
      <c r="T1528" s="38" t="s">
        <v>4180</v>
      </c>
      <c r="U1528" s="38"/>
      <c r="V1528" s="38"/>
      <c r="W1528" s="38"/>
      <c r="X1528" s="14"/>
      <c r="AN1528" s="7" t="s">
        <v>70</v>
      </c>
      <c r="AO1528" s="21">
        <f t="shared" si="78"/>
        <v>0</v>
      </c>
      <c r="AP1528" s="7">
        <f t="shared" si="76"/>
        <v>6.68</v>
      </c>
      <c r="AQ1528" s="31" t="str">
        <f t="shared" si="77"/>
        <v>Complete - No Adjustment</v>
      </c>
    </row>
    <row r="1529" spans="1:43" x14ac:dyDescent="0.2">
      <c r="A1529" s="46">
        <v>1519</v>
      </c>
      <c r="B1529" s="38" t="s">
        <v>266</v>
      </c>
      <c r="C1529" s="38" t="s">
        <v>496</v>
      </c>
      <c r="D1529" s="38" t="s">
        <v>495</v>
      </c>
      <c r="E1529" s="38" t="s">
        <v>4176</v>
      </c>
      <c r="F1529" s="38" t="s">
        <v>3695</v>
      </c>
      <c r="G1529" s="38" t="s">
        <v>111</v>
      </c>
      <c r="H1529" s="44">
        <v>44042</v>
      </c>
      <c r="I1529" s="44">
        <v>44048</v>
      </c>
      <c r="J1529">
        <v>177.23</v>
      </c>
      <c r="K1529">
        <v>51.23</v>
      </c>
      <c r="L1529" t="s">
        <v>4177</v>
      </c>
      <c r="M1529" s="45" t="s">
        <v>97</v>
      </c>
      <c r="N1529" s="38" t="s">
        <v>230</v>
      </c>
      <c r="O1529" s="38" t="s">
        <v>355</v>
      </c>
      <c r="P1529" s="38" t="s">
        <v>42</v>
      </c>
      <c r="Q1529" s="38" t="s">
        <v>57</v>
      </c>
      <c r="R1529" s="38" t="s">
        <v>270</v>
      </c>
      <c r="S1529" s="38" t="s">
        <v>4178</v>
      </c>
      <c r="T1529" s="38" t="s">
        <v>4181</v>
      </c>
      <c r="U1529" s="38"/>
      <c r="V1529" s="38"/>
      <c r="W1529" s="38"/>
      <c r="X1529" s="14"/>
      <c r="AN1529" s="7" t="s">
        <v>70</v>
      </c>
      <c r="AO1529" s="21">
        <f t="shared" si="78"/>
        <v>0</v>
      </c>
      <c r="AP1529" s="7">
        <f t="shared" si="76"/>
        <v>51.23</v>
      </c>
      <c r="AQ1529" s="31" t="str">
        <f t="shared" si="77"/>
        <v>Complete - No Adjustment</v>
      </c>
    </row>
    <row r="1530" spans="1:43" x14ac:dyDescent="0.2">
      <c r="A1530" s="46">
        <v>1520</v>
      </c>
      <c r="B1530" s="38" t="s">
        <v>266</v>
      </c>
      <c r="C1530" s="38" t="s">
        <v>496</v>
      </c>
      <c r="D1530" s="38" t="s">
        <v>495</v>
      </c>
      <c r="E1530" s="38" t="s">
        <v>4176</v>
      </c>
      <c r="F1530" s="38" t="s">
        <v>3695</v>
      </c>
      <c r="G1530" s="38" t="s">
        <v>111</v>
      </c>
      <c r="H1530" s="44">
        <v>44042</v>
      </c>
      <c r="I1530" s="44">
        <v>44048</v>
      </c>
      <c r="J1530">
        <v>177.23</v>
      </c>
      <c r="K1530">
        <v>86</v>
      </c>
      <c r="L1530" t="s">
        <v>4177</v>
      </c>
      <c r="M1530" s="45" t="s">
        <v>98</v>
      </c>
      <c r="N1530" s="38" t="s">
        <v>230</v>
      </c>
      <c r="O1530" s="38" t="s">
        <v>383</v>
      </c>
      <c r="P1530" s="38" t="s">
        <v>60</v>
      </c>
      <c r="Q1530" s="38" t="s">
        <v>46</v>
      </c>
      <c r="R1530" s="38" t="s">
        <v>270</v>
      </c>
      <c r="S1530" s="38" t="s">
        <v>4178</v>
      </c>
      <c r="T1530" s="38" t="s">
        <v>4182</v>
      </c>
      <c r="U1530" s="38"/>
      <c r="V1530" s="38"/>
      <c r="W1530" s="38"/>
      <c r="X1530" s="14"/>
      <c r="AI1530" s="53">
        <f>86</f>
        <v>86</v>
      </c>
      <c r="AN1530" s="7" t="s">
        <v>145</v>
      </c>
      <c r="AO1530" s="21">
        <f t="shared" si="78"/>
        <v>86</v>
      </c>
      <c r="AP1530" s="7">
        <f t="shared" si="76"/>
        <v>0</v>
      </c>
      <c r="AQ1530" s="31" t="str">
        <f t="shared" si="77"/>
        <v>Complete - With Adjustment</v>
      </c>
    </row>
    <row r="1531" spans="1:43" x14ac:dyDescent="0.2">
      <c r="A1531" s="46">
        <v>1521</v>
      </c>
      <c r="B1531" s="38" t="s">
        <v>266</v>
      </c>
      <c r="C1531" s="38" t="s">
        <v>499</v>
      </c>
      <c r="D1531" s="38" t="s">
        <v>498</v>
      </c>
      <c r="E1531" s="38" t="s">
        <v>4183</v>
      </c>
      <c r="F1531" s="38" t="s">
        <v>3773</v>
      </c>
      <c r="G1531" s="38" t="s">
        <v>111</v>
      </c>
      <c r="H1531" s="44">
        <v>44067</v>
      </c>
      <c r="I1531" s="44">
        <v>44074</v>
      </c>
      <c r="J1531">
        <v>13.42</v>
      </c>
      <c r="K1531">
        <v>13.42</v>
      </c>
      <c r="L1531" t="s">
        <v>4184</v>
      </c>
      <c r="M1531" s="45" t="s">
        <v>98</v>
      </c>
      <c r="N1531" s="38" t="s">
        <v>230</v>
      </c>
      <c r="O1531" s="38" t="s">
        <v>378</v>
      </c>
      <c r="P1531" s="38" t="s">
        <v>60</v>
      </c>
      <c r="Q1531" s="38" t="s">
        <v>41</v>
      </c>
      <c r="R1531" s="38" t="s">
        <v>270</v>
      </c>
      <c r="S1531" s="38" t="s">
        <v>3765</v>
      </c>
      <c r="T1531" s="38" t="s">
        <v>4185</v>
      </c>
      <c r="U1531" s="38"/>
      <c r="V1531" s="38"/>
      <c r="W1531" s="38"/>
      <c r="X1531" s="14"/>
      <c r="AN1531" s="7" t="s">
        <v>155</v>
      </c>
      <c r="AO1531" s="21">
        <f t="shared" si="78"/>
        <v>0</v>
      </c>
      <c r="AP1531" s="7">
        <f t="shared" si="76"/>
        <v>13.42</v>
      </c>
      <c r="AQ1531" s="31" t="str">
        <f t="shared" si="77"/>
        <v>Complete - No Adjustment</v>
      </c>
    </row>
    <row r="1532" spans="1:43" x14ac:dyDescent="0.2">
      <c r="A1532" s="46">
        <v>1522</v>
      </c>
      <c r="B1532" s="38" t="s">
        <v>266</v>
      </c>
      <c r="C1532" s="38" t="s">
        <v>689</v>
      </c>
      <c r="D1532" s="38" t="s">
        <v>688</v>
      </c>
      <c r="E1532" s="38" t="s">
        <v>4186</v>
      </c>
      <c r="F1532" s="38" t="s">
        <v>3878</v>
      </c>
      <c r="G1532" s="38" t="s">
        <v>111</v>
      </c>
      <c r="H1532" s="44">
        <v>44036</v>
      </c>
      <c r="I1532" s="44">
        <v>44054</v>
      </c>
      <c r="J1532">
        <v>15</v>
      </c>
      <c r="K1532">
        <v>15</v>
      </c>
      <c r="L1532" t="s">
        <v>4187</v>
      </c>
      <c r="M1532" s="45" t="s">
        <v>98</v>
      </c>
      <c r="N1532" s="38" t="s">
        <v>230</v>
      </c>
      <c r="O1532" s="38" t="s">
        <v>658</v>
      </c>
      <c r="P1532" s="38" t="s">
        <v>60</v>
      </c>
      <c r="Q1532" s="38" t="s">
        <v>41</v>
      </c>
      <c r="R1532" s="38" t="s">
        <v>270</v>
      </c>
      <c r="S1532" s="38" t="s">
        <v>4188</v>
      </c>
      <c r="T1532" s="38" t="s">
        <v>4189</v>
      </c>
      <c r="U1532" s="38"/>
      <c r="V1532" s="38"/>
      <c r="W1532" s="38"/>
      <c r="X1532" s="14"/>
      <c r="AN1532" s="7" t="s">
        <v>155</v>
      </c>
      <c r="AO1532" s="21">
        <f t="shared" si="78"/>
        <v>0</v>
      </c>
      <c r="AP1532" s="7">
        <f t="shared" si="76"/>
        <v>15</v>
      </c>
      <c r="AQ1532" s="31" t="str">
        <f t="shared" si="77"/>
        <v>Complete - No Adjustment</v>
      </c>
    </row>
    <row r="1533" spans="1:43" x14ac:dyDescent="0.2">
      <c r="A1533" s="46">
        <v>1523</v>
      </c>
      <c r="B1533" s="38" t="s">
        <v>266</v>
      </c>
      <c r="C1533" s="38" t="s">
        <v>504</v>
      </c>
      <c r="D1533" s="38" t="s">
        <v>805</v>
      </c>
      <c r="E1533" s="38" t="s">
        <v>4190</v>
      </c>
      <c r="F1533" s="38" t="s">
        <v>3722</v>
      </c>
      <c r="G1533" s="38" t="s">
        <v>111</v>
      </c>
      <c r="H1533" s="44">
        <v>44056</v>
      </c>
      <c r="I1533" s="44">
        <v>44060</v>
      </c>
      <c r="J1533">
        <v>299.39999999999998</v>
      </c>
      <c r="K1533">
        <v>25.18</v>
      </c>
      <c r="L1533" t="s">
        <v>4191</v>
      </c>
      <c r="M1533" s="45" t="s">
        <v>98</v>
      </c>
      <c r="N1533" s="38" t="s">
        <v>230</v>
      </c>
      <c r="O1533" s="38" t="s">
        <v>592</v>
      </c>
      <c r="P1533" s="38" t="s">
        <v>60</v>
      </c>
      <c r="Q1533" s="38" t="s">
        <v>46</v>
      </c>
      <c r="R1533" s="38" t="s">
        <v>270</v>
      </c>
      <c r="S1533" s="38" t="s">
        <v>4192</v>
      </c>
      <c r="T1533" s="38" t="s">
        <v>4193</v>
      </c>
      <c r="U1533" s="38"/>
      <c r="V1533" s="38"/>
      <c r="W1533" s="38"/>
      <c r="X1533" s="14"/>
      <c r="AI1533" s="53">
        <f>25.18</f>
        <v>25.18</v>
      </c>
      <c r="AN1533" s="7" t="s">
        <v>145</v>
      </c>
      <c r="AO1533" s="21">
        <f t="shared" si="78"/>
        <v>25.18</v>
      </c>
      <c r="AP1533" s="7">
        <f t="shared" si="76"/>
        <v>0</v>
      </c>
      <c r="AQ1533" s="31" t="str">
        <f t="shared" si="77"/>
        <v>Complete - With Adjustment</v>
      </c>
    </row>
    <row r="1534" spans="1:43" x14ac:dyDescent="0.2">
      <c r="A1534" s="46">
        <v>1524</v>
      </c>
      <c r="B1534" s="38" t="s">
        <v>266</v>
      </c>
      <c r="C1534" s="38" t="s">
        <v>504</v>
      </c>
      <c r="D1534" s="38" t="s">
        <v>805</v>
      </c>
      <c r="E1534" s="38" t="s">
        <v>4190</v>
      </c>
      <c r="F1534" s="38" t="s">
        <v>3722</v>
      </c>
      <c r="G1534" s="38" t="s">
        <v>111</v>
      </c>
      <c r="H1534" s="44">
        <v>44056</v>
      </c>
      <c r="I1534" s="44">
        <v>44060</v>
      </c>
      <c r="J1534">
        <v>299.39999999999998</v>
      </c>
      <c r="K1534">
        <v>26.34</v>
      </c>
      <c r="L1534" t="s">
        <v>4191</v>
      </c>
      <c r="M1534" s="45" t="s">
        <v>98</v>
      </c>
      <c r="N1534" s="38" t="s">
        <v>230</v>
      </c>
      <c r="O1534" s="38" t="s">
        <v>592</v>
      </c>
      <c r="P1534" s="38" t="s">
        <v>60</v>
      </c>
      <c r="Q1534" s="38" t="s">
        <v>46</v>
      </c>
      <c r="R1534" s="38" t="s">
        <v>270</v>
      </c>
      <c r="S1534" s="38" t="s">
        <v>4192</v>
      </c>
      <c r="T1534" s="38" t="s">
        <v>4193</v>
      </c>
      <c r="U1534" s="38"/>
      <c r="V1534" s="38"/>
      <c r="W1534" s="38"/>
      <c r="X1534" s="14"/>
      <c r="AI1534" s="53">
        <f>26.34</f>
        <v>26.34</v>
      </c>
      <c r="AN1534" s="7" t="s">
        <v>145</v>
      </c>
      <c r="AO1534" s="21">
        <f t="shared" si="78"/>
        <v>26.34</v>
      </c>
      <c r="AP1534" s="7">
        <f t="shared" si="76"/>
        <v>0</v>
      </c>
      <c r="AQ1534" s="31" t="str">
        <f t="shared" si="77"/>
        <v>Complete - With Adjustment</v>
      </c>
    </row>
    <row r="1535" spans="1:43" x14ac:dyDescent="0.2">
      <c r="A1535" s="46">
        <v>1525</v>
      </c>
      <c r="B1535" s="38" t="s">
        <v>266</v>
      </c>
      <c r="C1535" s="38" t="s">
        <v>504</v>
      </c>
      <c r="D1535" s="38" t="s">
        <v>805</v>
      </c>
      <c r="E1535" s="38" t="s">
        <v>4190</v>
      </c>
      <c r="F1535" s="38" t="s">
        <v>3722</v>
      </c>
      <c r="G1535" s="38" t="s">
        <v>111</v>
      </c>
      <c r="H1535" s="44">
        <v>44056</v>
      </c>
      <c r="I1535" s="44">
        <v>44060</v>
      </c>
      <c r="J1535">
        <v>299.39999999999998</v>
      </c>
      <c r="K1535">
        <v>19.5</v>
      </c>
      <c r="L1535" t="s">
        <v>4191</v>
      </c>
      <c r="M1535" s="45" t="s">
        <v>98</v>
      </c>
      <c r="N1535" s="38" t="s">
        <v>230</v>
      </c>
      <c r="O1535" s="38" t="s">
        <v>592</v>
      </c>
      <c r="P1535" s="38" t="s">
        <v>60</v>
      </c>
      <c r="Q1535" s="38" t="s">
        <v>46</v>
      </c>
      <c r="R1535" s="38" t="s">
        <v>270</v>
      </c>
      <c r="S1535" s="38" t="s">
        <v>4192</v>
      </c>
      <c r="T1535" s="38" t="s">
        <v>4193</v>
      </c>
      <c r="U1535" s="38"/>
      <c r="V1535" s="38"/>
      <c r="W1535" s="38"/>
      <c r="X1535" s="14"/>
      <c r="AI1535" s="53">
        <f>19.5</f>
        <v>19.5</v>
      </c>
      <c r="AN1535" s="7" t="s">
        <v>145</v>
      </c>
      <c r="AO1535" s="21">
        <f t="shared" si="78"/>
        <v>19.5</v>
      </c>
      <c r="AP1535" s="7">
        <f t="shared" si="76"/>
        <v>0</v>
      </c>
      <c r="AQ1535" s="31" t="str">
        <f t="shared" si="77"/>
        <v>Complete - With Adjustment</v>
      </c>
    </row>
    <row r="1536" spans="1:43" x14ac:dyDescent="0.2">
      <c r="A1536" s="46">
        <v>1526</v>
      </c>
      <c r="B1536" s="38" t="s">
        <v>266</v>
      </c>
      <c r="C1536" s="38" t="s">
        <v>504</v>
      </c>
      <c r="D1536" s="38" t="s">
        <v>805</v>
      </c>
      <c r="E1536" s="38" t="s">
        <v>4190</v>
      </c>
      <c r="F1536" s="38" t="s">
        <v>3722</v>
      </c>
      <c r="G1536" s="38" t="s">
        <v>111</v>
      </c>
      <c r="H1536" s="44">
        <v>44056</v>
      </c>
      <c r="I1536" s="44">
        <v>44060</v>
      </c>
      <c r="J1536">
        <v>299.39999999999998</v>
      </c>
      <c r="K1536">
        <v>23.18</v>
      </c>
      <c r="L1536" t="s">
        <v>4191</v>
      </c>
      <c r="M1536" s="45" t="s">
        <v>98</v>
      </c>
      <c r="N1536" s="38" t="s">
        <v>230</v>
      </c>
      <c r="O1536" s="38" t="s">
        <v>592</v>
      </c>
      <c r="P1536" s="38" t="s">
        <v>60</v>
      </c>
      <c r="Q1536" s="38" t="s">
        <v>46</v>
      </c>
      <c r="R1536" s="38" t="s">
        <v>270</v>
      </c>
      <c r="S1536" s="38" t="s">
        <v>4192</v>
      </c>
      <c r="T1536" s="38" t="s">
        <v>4193</v>
      </c>
      <c r="U1536" s="38"/>
      <c r="V1536" s="38"/>
      <c r="W1536" s="38"/>
      <c r="X1536" s="14"/>
      <c r="AI1536" s="53">
        <f>23.18</f>
        <v>23.18</v>
      </c>
      <c r="AN1536" s="7" t="s">
        <v>145</v>
      </c>
      <c r="AO1536" s="21">
        <f t="shared" si="78"/>
        <v>23.18</v>
      </c>
      <c r="AP1536" s="7">
        <f t="shared" si="76"/>
        <v>0</v>
      </c>
      <c r="AQ1536" s="31" t="str">
        <f t="shared" si="77"/>
        <v>Complete - With Adjustment</v>
      </c>
    </row>
    <row r="1537" spans="1:43" x14ac:dyDescent="0.2">
      <c r="A1537" s="46">
        <v>1527</v>
      </c>
      <c r="B1537" s="38" t="s">
        <v>266</v>
      </c>
      <c r="C1537" s="38" t="s">
        <v>504</v>
      </c>
      <c r="D1537" s="38" t="s">
        <v>805</v>
      </c>
      <c r="E1537" s="38" t="s">
        <v>4190</v>
      </c>
      <c r="F1537" s="38" t="s">
        <v>3722</v>
      </c>
      <c r="G1537" s="38" t="s">
        <v>111</v>
      </c>
      <c r="H1537" s="44">
        <v>44056</v>
      </c>
      <c r="I1537" s="44">
        <v>44060</v>
      </c>
      <c r="J1537">
        <v>299.39999999999998</v>
      </c>
      <c r="K1537">
        <v>32.71</v>
      </c>
      <c r="L1537" t="s">
        <v>4191</v>
      </c>
      <c r="M1537" s="45" t="s">
        <v>98</v>
      </c>
      <c r="N1537" s="38" t="s">
        <v>230</v>
      </c>
      <c r="O1537" s="38" t="s">
        <v>592</v>
      </c>
      <c r="P1537" s="38" t="s">
        <v>60</v>
      </c>
      <c r="Q1537" s="38" t="s">
        <v>46</v>
      </c>
      <c r="R1537" s="38" t="s">
        <v>270</v>
      </c>
      <c r="S1537" s="38" t="s">
        <v>4192</v>
      </c>
      <c r="T1537" s="38" t="s">
        <v>4193</v>
      </c>
      <c r="U1537" s="38"/>
      <c r="V1537" s="38"/>
      <c r="W1537" s="38"/>
      <c r="X1537" s="14"/>
      <c r="AI1537" s="53">
        <f>32.71</f>
        <v>32.71</v>
      </c>
      <c r="AN1537" s="7" t="s">
        <v>145</v>
      </c>
      <c r="AO1537" s="21">
        <f t="shared" si="78"/>
        <v>32.71</v>
      </c>
      <c r="AP1537" s="7">
        <f t="shared" si="76"/>
        <v>0</v>
      </c>
      <c r="AQ1537" s="31" t="str">
        <f t="shared" si="77"/>
        <v>Complete - With Adjustment</v>
      </c>
    </row>
    <row r="1538" spans="1:43" x14ac:dyDescent="0.2">
      <c r="A1538" s="46">
        <v>1528</v>
      </c>
      <c r="B1538" s="38" t="s">
        <v>266</v>
      </c>
      <c r="C1538" s="38" t="s">
        <v>504</v>
      </c>
      <c r="D1538" s="38" t="s">
        <v>805</v>
      </c>
      <c r="E1538" s="38" t="s">
        <v>4190</v>
      </c>
      <c r="F1538" s="38" t="s">
        <v>3722</v>
      </c>
      <c r="G1538" s="38" t="s">
        <v>111</v>
      </c>
      <c r="H1538" s="44">
        <v>44056</v>
      </c>
      <c r="I1538" s="44">
        <v>44060</v>
      </c>
      <c r="J1538">
        <v>299.39999999999998</v>
      </c>
      <c r="K1538">
        <v>81.38</v>
      </c>
      <c r="L1538" t="s">
        <v>4191</v>
      </c>
      <c r="M1538" s="45" t="s">
        <v>98</v>
      </c>
      <c r="N1538" s="38" t="s">
        <v>230</v>
      </c>
      <c r="O1538" s="38" t="s">
        <v>506</v>
      </c>
      <c r="P1538" s="38" t="s">
        <v>60</v>
      </c>
      <c r="Q1538" s="38" t="s">
        <v>46</v>
      </c>
      <c r="R1538" s="38" t="s">
        <v>270</v>
      </c>
      <c r="S1538" s="38" t="s">
        <v>4192</v>
      </c>
      <c r="T1538" s="38" t="s">
        <v>4194</v>
      </c>
      <c r="U1538" s="38"/>
      <c r="V1538" s="38"/>
      <c r="W1538" s="38"/>
      <c r="X1538" s="14"/>
      <c r="AI1538" s="53">
        <f>81.38</f>
        <v>81.38</v>
      </c>
      <c r="AN1538" s="7" t="s">
        <v>145</v>
      </c>
      <c r="AO1538" s="21">
        <f t="shared" si="78"/>
        <v>81.38</v>
      </c>
      <c r="AP1538" s="7">
        <f t="shared" si="76"/>
        <v>0</v>
      </c>
      <c r="AQ1538" s="31" t="str">
        <f t="shared" si="77"/>
        <v>Complete - With Adjustment</v>
      </c>
    </row>
    <row r="1539" spans="1:43" x14ac:dyDescent="0.2">
      <c r="A1539" s="46">
        <v>1529</v>
      </c>
      <c r="B1539" s="38" t="s">
        <v>266</v>
      </c>
      <c r="C1539" s="38" t="s">
        <v>504</v>
      </c>
      <c r="D1539" s="38" t="s">
        <v>805</v>
      </c>
      <c r="E1539" s="38" t="s">
        <v>4190</v>
      </c>
      <c r="F1539" s="38" t="s">
        <v>3722</v>
      </c>
      <c r="G1539" s="38" t="s">
        <v>111</v>
      </c>
      <c r="H1539" s="44">
        <v>44056</v>
      </c>
      <c r="I1539" s="44">
        <v>44060</v>
      </c>
      <c r="J1539">
        <v>299.39999999999998</v>
      </c>
      <c r="K1539">
        <v>30.14</v>
      </c>
      <c r="L1539" t="s">
        <v>4191</v>
      </c>
      <c r="M1539" s="45" t="s">
        <v>98</v>
      </c>
      <c r="N1539" s="38" t="s">
        <v>230</v>
      </c>
      <c r="O1539" s="38" t="s">
        <v>592</v>
      </c>
      <c r="P1539" s="38" t="s">
        <v>60</v>
      </c>
      <c r="Q1539" s="38" t="s">
        <v>46</v>
      </c>
      <c r="R1539" s="38" t="s">
        <v>270</v>
      </c>
      <c r="S1539" s="38" t="s">
        <v>4192</v>
      </c>
      <c r="T1539" s="38" t="s">
        <v>4193</v>
      </c>
      <c r="U1539" s="38"/>
      <c r="V1539" s="38"/>
      <c r="W1539" s="38"/>
      <c r="X1539" s="14"/>
      <c r="AI1539" s="53">
        <f>30.14</f>
        <v>30.14</v>
      </c>
      <c r="AN1539" s="7" t="s">
        <v>145</v>
      </c>
      <c r="AO1539" s="21">
        <f t="shared" si="78"/>
        <v>30.14</v>
      </c>
      <c r="AP1539" s="7">
        <f t="shared" si="76"/>
        <v>0</v>
      </c>
      <c r="AQ1539" s="31" t="str">
        <f t="shared" si="77"/>
        <v>Complete - With Adjustment</v>
      </c>
    </row>
    <row r="1540" spans="1:43" x14ac:dyDescent="0.2">
      <c r="A1540" s="46">
        <v>1530</v>
      </c>
      <c r="B1540" s="38" t="s">
        <v>266</v>
      </c>
      <c r="C1540" s="38" t="s">
        <v>504</v>
      </c>
      <c r="D1540" s="38" t="s">
        <v>805</v>
      </c>
      <c r="E1540" s="38" t="s">
        <v>4190</v>
      </c>
      <c r="F1540" s="38" t="s">
        <v>3722</v>
      </c>
      <c r="G1540" s="38" t="s">
        <v>111</v>
      </c>
      <c r="H1540" s="44">
        <v>44056</v>
      </c>
      <c r="I1540" s="44">
        <v>44060</v>
      </c>
      <c r="J1540">
        <v>299.39999999999998</v>
      </c>
      <c r="K1540">
        <v>26.34</v>
      </c>
      <c r="L1540" t="s">
        <v>4191</v>
      </c>
      <c r="M1540" s="45" t="s">
        <v>98</v>
      </c>
      <c r="N1540" s="38" t="s">
        <v>230</v>
      </c>
      <c r="O1540" s="38" t="s">
        <v>592</v>
      </c>
      <c r="P1540" s="38" t="s">
        <v>60</v>
      </c>
      <c r="Q1540" s="38" t="s">
        <v>46</v>
      </c>
      <c r="R1540" s="38" t="s">
        <v>270</v>
      </c>
      <c r="S1540" s="38" t="s">
        <v>4192</v>
      </c>
      <c r="T1540" s="38" t="s">
        <v>4195</v>
      </c>
      <c r="U1540" s="38"/>
      <c r="V1540" s="38"/>
      <c r="W1540" s="38"/>
      <c r="X1540" s="14"/>
      <c r="AI1540" s="53">
        <f>26.34</f>
        <v>26.34</v>
      </c>
      <c r="AN1540" s="7" t="s">
        <v>145</v>
      </c>
      <c r="AO1540" s="21">
        <f t="shared" si="78"/>
        <v>26.34</v>
      </c>
      <c r="AP1540" s="7">
        <f t="shared" si="76"/>
        <v>0</v>
      </c>
      <c r="AQ1540" s="31" t="str">
        <f t="shared" si="77"/>
        <v>Complete - With Adjustment</v>
      </c>
    </row>
    <row r="1541" spans="1:43" x14ac:dyDescent="0.2">
      <c r="A1541" s="46">
        <v>1531</v>
      </c>
      <c r="B1541" s="38" t="s">
        <v>266</v>
      </c>
      <c r="C1541" s="38" t="s">
        <v>504</v>
      </c>
      <c r="D1541" s="38" t="s">
        <v>805</v>
      </c>
      <c r="E1541" s="38" t="s">
        <v>4190</v>
      </c>
      <c r="F1541" s="38" t="s">
        <v>3722</v>
      </c>
      <c r="G1541" s="38" t="s">
        <v>111</v>
      </c>
      <c r="H1541" s="44">
        <v>44056</v>
      </c>
      <c r="I1541" s="44">
        <v>44060</v>
      </c>
      <c r="J1541">
        <v>299.39999999999998</v>
      </c>
      <c r="K1541">
        <v>34.630000000000003</v>
      </c>
      <c r="L1541" t="s">
        <v>4191</v>
      </c>
      <c r="M1541" s="45" t="s">
        <v>98</v>
      </c>
      <c r="N1541" s="38" t="s">
        <v>230</v>
      </c>
      <c r="O1541" s="38" t="s">
        <v>592</v>
      </c>
      <c r="P1541" s="38" t="s">
        <v>60</v>
      </c>
      <c r="Q1541" s="38" t="s">
        <v>46</v>
      </c>
      <c r="R1541" s="38" t="s">
        <v>270</v>
      </c>
      <c r="S1541" s="38" t="s">
        <v>4192</v>
      </c>
      <c r="T1541" s="38" t="s">
        <v>4193</v>
      </c>
      <c r="U1541" s="38"/>
      <c r="V1541" s="38"/>
      <c r="W1541" s="38"/>
      <c r="X1541" s="14"/>
      <c r="AI1541" s="53">
        <f>34.63</f>
        <v>34.630000000000003</v>
      </c>
      <c r="AN1541" s="7" t="s">
        <v>145</v>
      </c>
      <c r="AO1541" s="21">
        <f t="shared" si="78"/>
        <v>34.630000000000003</v>
      </c>
      <c r="AP1541" s="7">
        <f t="shared" si="76"/>
        <v>0</v>
      </c>
      <c r="AQ1541" s="31" t="str">
        <f t="shared" si="77"/>
        <v>Complete - With Adjustment</v>
      </c>
    </row>
    <row r="1542" spans="1:43" x14ac:dyDescent="0.2">
      <c r="A1542" s="46">
        <v>1532</v>
      </c>
      <c r="B1542" s="38" t="s">
        <v>266</v>
      </c>
      <c r="C1542" s="38" t="s">
        <v>509</v>
      </c>
      <c r="D1542" s="38" t="s">
        <v>508</v>
      </c>
      <c r="E1542" s="38" t="s">
        <v>4196</v>
      </c>
      <c r="F1542" s="38" t="s">
        <v>3727</v>
      </c>
      <c r="G1542" s="38" t="s">
        <v>111</v>
      </c>
      <c r="H1542" s="44">
        <v>44043</v>
      </c>
      <c r="I1542" s="44">
        <v>44047</v>
      </c>
      <c r="J1542">
        <v>12.55</v>
      </c>
      <c r="K1542">
        <v>12.55</v>
      </c>
      <c r="L1542" t="s">
        <v>4197</v>
      </c>
      <c r="M1542" s="45" t="s">
        <v>98</v>
      </c>
      <c r="N1542" s="38" t="s">
        <v>230</v>
      </c>
      <c r="O1542" s="38" t="s">
        <v>472</v>
      </c>
      <c r="P1542" s="38" t="s">
        <v>60</v>
      </c>
      <c r="Q1542" s="38" t="s">
        <v>41</v>
      </c>
      <c r="R1542" s="38" t="s">
        <v>270</v>
      </c>
      <c r="S1542" s="38" t="s">
        <v>2938</v>
      </c>
      <c r="T1542" s="38" t="s">
        <v>2939</v>
      </c>
      <c r="U1542" s="38"/>
      <c r="V1542" s="38"/>
      <c r="W1542" s="38"/>
      <c r="X1542" s="14"/>
      <c r="AN1542" s="7" t="s">
        <v>155</v>
      </c>
      <c r="AO1542" s="21">
        <f t="shared" si="78"/>
        <v>0</v>
      </c>
      <c r="AP1542" s="7">
        <f t="shared" si="76"/>
        <v>12.55</v>
      </c>
      <c r="AQ1542" s="31" t="str">
        <f t="shared" si="77"/>
        <v>Complete - No Adjustment</v>
      </c>
    </row>
    <row r="1543" spans="1:43" x14ac:dyDescent="0.2">
      <c r="A1543" s="46">
        <v>1533</v>
      </c>
      <c r="B1543" s="38" t="s">
        <v>266</v>
      </c>
      <c r="C1543" s="38" t="s">
        <v>581</v>
      </c>
      <c r="D1543" s="38" t="s">
        <v>580</v>
      </c>
      <c r="E1543" s="38" t="s">
        <v>4198</v>
      </c>
      <c r="F1543" s="38" t="s">
        <v>3949</v>
      </c>
      <c r="G1543" s="38" t="s">
        <v>111</v>
      </c>
      <c r="H1543" s="44">
        <v>44063</v>
      </c>
      <c r="I1543" s="44">
        <v>44067</v>
      </c>
      <c r="J1543">
        <v>276.76</v>
      </c>
      <c r="K1543">
        <v>75.98</v>
      </c>
      <c r="L1543" t="s">
        <v>4199</v>
      </c>
      <c r="M1543" s="45" t="s">
        <v>98</v>
      </c>
      <c r="N1543" s="38" t="s">
        <v>230</v>
      </c>
      <c r="O1543" s="38" t="s">
        <v>706</v>
      </c>
      <c r="P1543" s="38" t="s">
        <v>60</v>
      </c>
      <c r="Q1543" s="38" t="s">
        <v>46</v>
      </c>
      <c r="R1543" s="38" t="s">
        <v>270</v>
      </c>
      <c r="S1543" s="38" t="s">
        <v>4200</v>
      </c>
      <c r="T1543" s="38" t="s">
        <v>4201</v>
      </c>
      <c r="U1543" s="38"/>
      <c r="V1543" s="38"/>
      <c r="W1543" s="38"/>
      <c r="X1543" s="14"/>
      <c r="AI1543" s="53">
        <f>75.98</f>
        <v>75.98</v>
      </c>
      <c r="AN1543" s="7" t="s">
        <v>145</v>
      </c>
      <c r="AO1543" s="21">
        <f t="shared" si="78"/>
        <v>75.98</v>
      </c>
      <c r="AP1543" s="7">
        <f t="shared" si="76"/>
        <v>0</v>
      </c>
      <c r="AQ1543" s="31" t="str">
        <f t="shared" si="77"/>
        <v>Complete - With Adjustment</v>
      </c>
    </row>
    <row r="1544" spans="1:43" x14ac:dyDescent="0.2">
      <c r="A1544" s="46">
        <v>1534</v>
      </c>
      <c r="B1544" s="38" t="s">
        <v>266</v>
      </c>
      <c r="C1544" s="38" t="s">
        <v>581</v>
      </c>
      <c r="D1544" s="38" t="s">
        <v>580</v>
      </c>
      <c r="E1544" s="38" t="s">
        <v>4198</v>
      </c>
      <c r="F1544" s="38" t="s">
        <v>3949</v>
      </c>
      <c r="G1544" s="38" t="s">
        <v>111</v>
      </c>
      <c r="H1544" s="44">
        <v>44063</v>
      </c>
      <c r="I1544" s="44">
        <v>44067</v>
      </c>
      <c r="J1544">
        <v>276.76</v>
      </c>
      <c r="K1544">
        <v>100.8</v>
      </c>
      <c r="L1544" t="s">
        <v>4199</v>
      </c>
      <c r="M1544" s="45" t="s">
        <v>98</v>
      </c>
      <c r="N1544" s="38" t="s">
        <v>230</v>
      </c>
      <c r="O1544" s="38" t="s">
        <v>706</v>
      </c>
      <c r="P1544" s="38" t="s">
        <v>60</v>
      </c>
      <c r="Q1544" s="38" t="s">
        <v>46</v>
      </c>
      <c r="R1544" s="38" t="s">
        <v>270</v>
      </c>
      <c r="S1544" s="38" t="s">
        <v>4200</v>
      </c>
      <c r="T1544" s="38" t="s">
        <v>4202</v>
      </c>
      <c r="U1544" s="38"/>
      <c r="V1544" s="38"/>
      <c r="W1544" s="38"/>
      <c r="X1544" s="14"/>
      <c r="AL1544" s="14">
        <f>100.8</f>
        <v>100.8</v>
      </c>
      <c r="AN1544" s="7" t="s">
        <v>146</v>
      </c>
      <c r="AO1544" s="21">
        <f t="shared" si="78"/>
        <v>100.8</v>
      </c>
      <c r="AP1544" s="7">
        <f t="shared" si="76"/>
        <v>0</v>
      </c>
      <c r="AQ1544" s="31" t="str">
        <f t="shared" si="77"/>
        <v>Complete - With Adjustment</v>
      </c>
    </row>
    <row r="1545" spans="1:43" x14ac:dyDescent="0.2">
      <c r="A1545" s="46">
        <v>1535</v>
      </c>
      <c r="B1545" s="38" t="s">
        <v>266</v>
      </c>
      <c r="C1545" s="38" t="s">
        <v>581</v>
      </c>
      <c r="D1545" s="38" t="s">
        <v>580</v>
      </c>
      <c r="E1545" s="38" t="s">
        <v>4198</v>
      </c>
      <c r="F1545" s="38" t="s">
        <v>3949</v>
      </c>
      <c r="G1545" s="38" t="s">
        <v>111</v>
      </c>
      <c r="H1545" s="44">
        <v>44063</v>
      </c>
      <c r="I1545" s="44">
        <v>44067</v>
      </c>
      <c r="J1545">
        <v>276.76</v>
      </c>
      <c r="K1545">
        <v>44.62</v>
      </c>
      <c r="L1545" t="s">
        <v>4199</v>
      </c>
      <c r="M1545" s="45" t="s">
        <v>98</v>
      </c>
      <c r="N1545" s="38" t="s">
        <v>230</v>
      </c>
      <c r="O1545" s="38" t="s">
        <v>706</v>
      </c>
      <c r="P1545" s="38" t="s">
        <v>60</v>
      </c>
      <c r="Q1545" s="38" t="s">
        <v>46</v>
      </c>
      <c r="R1545" s="38" t="s">
        <v>270</v>
      </c>
      <c r="S1545" s="38" t="s">
        <v>4200</v>
      </c>
      <c r="T1545" s="38" t="s">
        <v>4202</v>
      </c>
      <c r="U1545" s="38"/>
      <c r="V1545" s="38"/>
      <c r="W1545" s="38"/>
      <c r="X1545" s="14"/>
      <c r="AL1545" s="14">
        <f>44.62</f>
        <v>44.62</v>
      </c>
      <c r="AN1545" s="7" t="s">
        <v>146</v>
      </c>
      <c r="AO1545" s="21">
        <f t="shared" si="78"/>
        <v>44.62</v>
      </c>
      <c r="AP1545" s="7">
        <f t="shared" si="76"/>
        <v>0</v>
      </c>
      <c r="AQ1545" s="31" t="str">
        <f t="shared" si="77"/>
        <v>Complete - With Adjustment</v>
      </c>
    </row>
    <row r="1546" spans="1:43" x14ac:dyDescent="0.2">
      <c r="A1546" s="46">
        <v>1536</v>
      </c>
      <c r="B1546" s="38" t="s">
        <v>266</v>
      </c>
      <c r="C1546" s="38" t="s">
        <v>268</v>
      </c>
      <c r="D1546" s="38" t="s">
        <v>267</v>
      </c>
      <c r="E1546" s="38" t="s">
        <v>4209</v>
      </c>
      <c r="F1546" s="38" t="s">
        <v>4210</v>
      </c>
      <c r="G1546" s="38" t="s">
        <v>111</v>
      </c>
      <c r="H1546" s="44">
        <v>44071</v>
      </c>
      <c r="I1546" s="44">
        <v>44076</v>
      </c>
      <c r="J1546">
        <v>31.62</v>
      </c>
      <c r="K1546">
        <v>31.62</v>
      </c>
      <c r="L1546" t="s">
        <v>4211</v>
      </c>
      <c r="M1546" s="45" t="s">
        <v>98</v>
      </c>
      <c r="N1546" s="38" t="s">
        <v>230</v>
      </c>
      <c r="O1546" s="38" t="s">
        <v>269</v>
      </c>
      <c r="P1546" s="38" t="s">
        <v>60</v>
      </c>
      <c r="Q1546" s="38" t="s">
        <v>41</v>
      </c>
      <c r="R1546" s="38" t="s">
        <v>270</v>
      </c>
      <c r="S1546" s="38" t="s">
        <v>4212</v>
      </c>
      <c r="T1546" s="38" t="s">
        <v>4213</v>
      </c>
      <c r="U1546" s="38"/>
      <c r="V1546" s="38"/>
      <c r="W1546" s="38"/>
      <c r="X1546" s="14"/>
      <c r="AN1546" s="7" t="s">
        <v>70</v>
      </c>
      <c r="AO1546" s="21">
        <f t="shared" ref="AO1546:AO1609" si="79">SUM(Y1546:AL1546)</f>
        <v>0</v>
      </c>
      <c r="AP1546" s="7">
        <f t="shared" ref="AP1546:AP1609" si="80">K1546-AO1546</f>
        <v>31.62</v>
      </c>
      <c r="AQ1546" s="31" t="str">
        <f t="shared" si="77"/>
        <v>Complete - No Adjustment</v>
      </c>
    </row>
    <row r="1547" spans="1:43" x14ac:dyDescent="0.2">
      <c r="A1547" s="46">
        <v>1537</v>
      </c>
      <c r="B1547" s="38" t="s">
        <v>266</v>
      </c>
      <c r="C1547" s="38" t="s">
        <v>807</v>
      </c>
      <c r="D1547" s="38" t="s">
        <v>808</v>
      </c>
      <c r="E1547" s="38" t="s">
        <v>4214</v>
      </c>
      <c r="F1547" s="38" t="s">
        <v>4215</v>
      </c>
      <c r="G1547" s="38" t="s">
        <v>111</v>
      </c>
      <c r="H1547" s="44">
        <v>44090</v>
      </c>
      <c r="I1547" s="44">
        <v>44096</v>
      </c>
      <c r="J1547">
        <v>15</v>
      </c>
      <c r="K1547">
        <v>15</v>
      </c>
      <c r="L1547" t="s">
        <v>4216</v>
      </c>
      <c r="M1547" s="45" t="s">
        <v>98</v>
      </c>
      <c r="N1547" s="38" t="s">
        <v>230</v>
      </c>
      <c r="O1547" s="38" t="s">
        <v>465</v>
      </c>
      <c r="P1547" s="38" t="s">
        <v>60</v>
      </c>
      <c r="Q1547" s="38" t="s">
        <v>46</v>
      </c>
      <c r="R1547" s="38" t="s">
        <v>270</v>
      </c>
      <c r="S1547" s="38" t="s">
        <v>4217</v>
      </c>
      <c r="T1547" s="38" t="s">
        <v>4218</v>
      </c>
      <c r="U1547" s="38"/>
      <c r="V1547" s="38"/>
      <c r="W1547" s="38"/>
      <c r="X1547" s="14"/>
      <c r="AN1547" s="7" t="s">
        <v>4219</v>
      </c>
      <c r="AO1547" s="21">
        <f t="shared" si="79"/>
        <v>0</v>
      </c>
      <c r="AP1547" s="7">
        <f t="shared" si="80"/>
        <v>15</v>
      </c>
      <c r="AQ1547" s="31" t="str">
        <f t="shared" si="77"/>
        <v>Complete - No Adjustment</v>
      </c>
    </row>
    <row r="1548" spans="1:43" x14ac:dyDescent="0.2">
      <c r="A1548" s="46">
        <v>1538</v>
      </c>
      <c r="B1548" s="38" t="s">
        <v>266</v>
      </c>
      <c r="C1548" s="38" t="s">
        <v>883</v>
      </c>
      <c r="D1548" s="38" t="s">
        <v>884</v>
      </c>
      <c r="E1548" s="38" t="s">
        <v>4220</v>
      </c>
      <c r="F1548" s="38" t="s">
        <v>4221</v>
      </c>
      <c r="G1548" s="38" t="s">
        <v>111</v>
      </c>
      <c r="H1548" s="44">
        <v>44090</v>
      </c>
      <c r="I1548" s="44">
        <v>44097</v>
      </c>
      <c r="J1548">
        <v>15.21</v>
      </c>
      <c r="K1548">
        <v>15.21</v>
      </c>
      <c r="L1548" t="s">
        <v>4222</v>
      </c>
      <c r="M1548" s="45" t="s">
        <v>98</v>
      </c>
      <c r="N1548" s="38" t="s">
        <v>230</v>
      </c>
      <c r="O1548" s="38" t="s">
        <v>451</v>
      </c>
      <c r="P1548" s="38" t="s">
        <v>60</v>
      </c>
      <c r="Q1548" s="38" t="s">
        <v>41</v>
      </c>
      <c r="R1548" s="38" t="s">
        <v>270</v>
      </c>
      <c r="S1548" s="38" t="s">
        <v>1637</v>
      </c>
      <c r="T1548" s="38" t="s">
        <v>1638</v>
      </c>
      <c r="U1548" s="38"/>
      <c r="V1548" s="38"/>
      <c r="W1548" s="38"/>
      <c r="X1548" s="14"/>
      <c r="AN1548" s="7" t="s">
        <v>155</v>
      </c>
      <c r="AO1548" s="21">
        <f t="shared" si="79"/>
        <v>0</v>
      </c>
      <c r="AP1548" s="7">
        <f t="shared" si="80"/>
        <v>15.21</v>
      </c>
      <c r="AQ1548" s="31" t="str">
        <f t="shared" si="77"/>
        <v>Complete - No Adjustment</v>
      </c>
    </row>
    <row r="1549" spans="1:43" x14ac:dyDescent="0.2">
      <c r="A1549" s="46">
        <v>1539</v>
      </c>
      <c r="B1549" s="38" t="s">
        <v>266</v>
      </c>
      <c r="C1549" s="38" t="s">
        <v>718</v>
      </c>
      <c r="D1549" s="38" t="s">
        <v>809</v>
      </c>
      <c r="E1549" s="38" t="s">
        <v>4223</v>
      </c>
      <c r="F1549" s="38" t="s">
        <v>4224</v>
      </c>
      <c r="G1549" s="38" t="s">
        <v>111</v>
      </c>
      <c r="H1549" s="44">
        <v>44090</v>
      </c>
      <c r="I1549" s="44">
        <v>44092</v>
      </c>
      <c r="J1549">
        <v>15.69</v>
      </c>
      <c r="K1549">
        <v>15.69</v>
      </c>
      <c r="L1549" t="s">
        <v>4225</v>
      </c>
      <c r="M1549" s="45" t="s">
        <v>98</v>
      </c>
      <c r="N1549" s="38" t="s">
        <v>230</v>
      </c>
      <c r="O1549" s="38" t="s">
        <v>378</v>
      </c>
      <c r="P1549" s="38" t="s">
        <v>60</v>
      </c>
      <c r="Q1549" s="38" t="s">
        <v>41</v>
      </c>
      <c r="R1549" s="38" t="s">
        <v>270</v>
      </c>
      <c r="S1549" s="38" t="s">
        <v>4226</v>
      </c>
      <c r="T1549" s="38" t="s">
        <v>4227</v>
      </c>
      <c r="U1549" s="38"/>
      <c r="V1549" s="38"/>
      <c r="W1549" s="38"/>
      <c r="X1549" s="14"/>
      <c r="AL1549" s="14">
        <f>15.69</f>
        <v>15.69</v>
      </c>
      <c r="AN1549" s="7" t="s">
        <v>146</v>
      </c>
      <c r="AO1549" s="21">
        <f t="shared" si="79"/>
        <v>15.69</v>
      </c>
      <c r="AP1549" s="7">
        <f t="shared" si="80"/>
        <v>0</v>
      </c>
      <c r="AQ1549" s="31" t="str">
        <f t="shared" si="77"/>
        <v>Complete - With Adjustment</v>
      </c>
    </row>
    <row r="1550" spans="1:43" x14ac:dyDescent="0.2">
      <c r="A1550" s="46">
        <v>1540</v>
      </c>
      <c r="B1550" s="38" t="s">
        <v>266</v>
      </c>
      <c r="C1550" s="38" t="s">
        <v>691</v>
      </c>
      <c r="D1550" s="38" t="s">
        <v>690</v>
      </c>
      <c r="E1550" s="38" t="s">
        <v>4228</v>
      </c>
      <c r="F1550" s="38" t="s">
        <v>4224</v>
      </c>
      <c r="G1550" s="38" t="s">
        <v>111</v>
      </c>
      <c r="H1550" s="44">
        <v>44090</v>
      </c>
      <c r="I1550" s="44">
        <v>44092</v>
      </c>
      <c r="J1550">
        <v>14.2</v>
      </c>
      <c r="K1550">
        <v>14.2</v>
      </c>
      <c r="L1550" t="s">
        <v>4229</v>
      </c>
      <c r="M1550" s="45" t="s">
        <v>98</v>
      </c>
      <c r="N1550" s="38" t="s">
        <v>230</v>
      </c>
      <c r="O1550" s="38" t="s">
        <v>292</v>
      </c>
      <c r="P1550" s="38" t="s">
        <v>60</v>
      </c>
      <c r="Q1550" s="38" t="s">
        <v>41</v>
      </c>
      <c r="R1550" s="38" t="s">
        <v>270</v>
      </c>
      <c r="S1550" s="38" t="s">
        <v>4230</v>
      </c>
      <c r="T1550" s="38" t="s">
        <v>4231</v>
      </c>
      <c r="U1550" s="38"/>
      <c r="V1550" s="38"/>
      <c r="W1550" s="38"/>
      <c r="X1550" s="14"/>
      <c r="AN1550" s="7" t="s">
        <v>4219</v>
      </c>
      <c r="AO1550" s="21">
        <f t="shared" si="79"/>
        <v>0</v>
      </c>
      <c r="AP1550" s="7">
        <f t="shared" si="80"/>
        <v>14.2</v>
      </c>
      <c r="AQ1550" s="31" t="str">
        <f t="shared" si="77"/>
        <v>Complete - No Adjustment</v>
      </c>
    </row>
    <row r="1551" spans="1:43" x14ac:dyDescent="0.2">
      <c r="A1551" s="46">
        <v>1541</v>
      </c>
      <c r="B1551" s="38" t="s">
        <v>266</v>
      </c>
      <c r="C1551" s="38" t="s">
        <v>833</v>
      </c>
      <c r="D1551" s="38" t="s">
        <v>834</v>
      </c>
      <c r="E1551" s="38" t="s">
        <v>4232</v>
      </c>
      <c r="F1551" s="38" t="s">
        <v>4233</v>
      </c>
      <c r="G1551" s="38" t="s">
        <v>111</v>
      </c>
      <c r="H1551" s="44">
        <v>44078</v>
      </c>
      <c r="I1551" s="44">
        <v>44095</v>
      </c>
      <c r="J1551">
        <v>11.8</v>
      </c>
      <c r="K1551">
        <v>11.8</v>
      </c>
      <c r="L1551" t="s">
        <v>4234</v>
      </c>
      <c r="M1551" s="45" t="s">
        <v>98</v>
      </c>
      <c r="N1551" s="38" t="s">
        <v>230</v>
      </c>
      <c r="O1551" s="38" t="s">
        <v>323</v>
      </c>
      <c r="P1551" s="38" t="s">
        <v>60</v>
      </c>
      <c r="Q1551" s="38" t="s">
        <v>41</v>
      </c>
      <c r="R1551" s="38" t="s">
        <v>270</v>
      </c>
      <c r="S1551" s="38" t="s">
        <v>4235</v>
      </c>
      <c r="T1551" s="38" t="s">
        <v>4236</v>
      </c>
      <c r="U1551" s="38"/>
      <c r="V1551" s="38"/>
      <c r="W1551" s="38"/>
      <c r="X1551" s="14"/>
      <c r="AN1551" s="7" t="s">
        <v>70</v>
      </c>
      <c r="AO1551" s="21">
        <f t="shared" si="79"/>
        <v>0</v>
      </c>
      <c r="AP1551" s="7">
        <f t="shared" si="80"/>
        <v>11.8</v>
      </c>
      <c r="AQ1551" s="31" t="str">
        <f t="shared" si="77"/>
        <v>Complete - No Adjustment</v>
      </c>
    </row>
    <row r="1552" spans="1:43" x14ac:dyDescent="0.2">
      <c r="A1552" s="46">
        <v>1542</v>
      </c>
      <c r="B1552" s="38" t="s">
        <v>266</v>
      </c>
      <c r="C1552" s="38" t="s">
        <v>833</v>
      </c>
      <c r="D1552" s="38" t="s">
        <v>834</v>
      </c>
      <c r="E1552" s="38" t="s">
        <v>4237</v>
      </c>
      <c r="F1552" s="38" t="s">
        <v>4238</v>
      </c>
      <c r="G1552" s="38" t="s">
        <v>111</v>
      </c>
      <c r="H1552" s="44">
        <v>44095</v>
      </c>
      <c r="I1552" s="44">
        <v>44102</v>
      </c>
      <c r="J1552">
        <v>12.32</v>
      </c>
      <c r="K1552">
        <v>12.32</v>
      </c>
      <c r="L1552" t="s">
        <v>4239</v>
      </c>
      <c r="M1552" s="45" t="s">
        <v>98</v>
      </c>
      <c r="N1552" s="38" t="s">
        <v>230</v>
      </c>
      <c r="O1552" s="38" t="s">
        <v>323</v>
      </c>
      <c r="P1552" s="38" t="s">
        <v>60</v>
      </c>
      <c r="Q1552" s="38" t="s">
        <v>41</v>
      </c>
      <c r="R1552" s="38" t="s">
        <v>270</v>
      </c>
      <c r="S1552" s="38" t="s">
        <v>4240</v>
      </c>
      <c r="T1552" s="38" t="s">
        <v>4241</v>
      </c>
      <c r="U1552" s="38"/>
      <c r="V1552" s="38"/>
      <c r="W1552" s="38"/>
      <c r="X1552" s="14"/>
      <c r="AN1552" s="7" t="s">
        <v>4219</v>
      </c>
      <c r="AO1552" s="21">
        <f t="shared" si="79"/>
        <v>0</v>
      </c>
      <c r="AP1552" s="7">
        <f t="shared" si="80"/>
        <v>12.32</v>
      </c>
      <c r="AQ1552" s="31" t="str">
        <f t="shared" si="77"/>
        <v>Complete - No Adjustment</v>
      </c>
    </row>
    <row r="1553" spans="1:43" x14ac:dyDescent="0.2">
      <c r="A1553" s="46">
        <v>1543</v>
      </c>
      <c r="B1553" s="38" t="s">
        <v>266</v>
      </c>
      <c r="C1553" s="38" t="s">
        <v>833</v>
      </c>
      <c r="D1553" s="38" t="s">
        <v>834</v>
      </c>
      <c r="E1553" s="38" t="s">
        <v>4242</v>
      </c>
      <c r="F1553" s="38" t="s">
        <v>4233</v>
      </c>
      <c r="G1553" s="38" t="s">
        <v>111</v>
      </c>
      <c r="H1553" s="44">
        <v>44077</v>
      </c>
      <c r="I1553" s="44">
        <v>44095</v>
      </c>
      <c r="J1553">
        <v>13.64</v>
      </c>
      <c r="K1553">
        <v>13.64</v>
      </c>
      <c r="L1553" t="s">
        <v>4243</v>
      </c>
      <c r="M1553" s="45" t="s">
        <v>98</v>
      </c>
      <c r="N1553" s="38" t="s">
        <v>230</v>
      </c>
      <c r="O1553" s="38" t="s">
        <v>323</v>
      </c>
      <c r="P1553" s="38" t="s">
        <v>60</v>
      </c>
      <c r="Q1553" s="38" t="s">
        <v>41</v>
      </c>
      <c r="R1553" s="38" t="s">
        <v>270</v>
      </c>
      <c r="S1553" s="38" t="s">
        <v>4244</v>
      </c>
      <c r="T1553" s="38" t="s">
        <v>4245</v>
      </c>
      <c r="U1553" s="38"/>
      <c r="V1553" s="38"/>
      <c r="W1553" s="38"/>
      <c r="X1553" s="14"/>
      <c r="AN1553" s="7" t="s">
        <v>70</v>
      </c>
      <c r="AO1553" s="21">
        <f t="shared" si="79"/>
        <v>0</v>
      </c>
      <c r="AP1553" s="7">
        <f t="shared" si="80"/>
        <v>13.64</v>
      </c>
      <c r="AQ1553" s="31" t="str">
        <f t="shared" ref="AQ1553:AQ1616" si="81">IF(AO1553&lt;&gt;0,"Complete - With Adjustment","Complete - No Adjustment")</f>
        <v>Complete - No Adjustment</v>
      </c>
    </row>
    <row r="1554" spans="1:43" x14ac:dyDescent="0.2">
      <c r="A1554" s="46">
        <v>1544</v>
      </c>
      <c r="B1554" s="38" t="s">
        <v>266</v>
      </c>
      <c r="C1554" s="38" t="s">
        <v>793</v>
      </c>
      <c r="D1554" s="38" t="s">
        <v>792</v>
      </c>
      <c r="E1554" s="38" t="s">
        <v>4246</v>
      </c>
      <c r="F1554" s="38" t="s">
        <v>4238</v>
      </c>
      <c r="G1554" s="38" t="s">
        <v>111</v>
      </c>
      <c r="H1554" s="44">
        <v>44095</v>
      </c>
      <c r="I1554" s="44">
        <v>44102</v>
      </c>
      <c r="J1554">
        <v>137.91999999999999</v>
      </c>
      <c r="K1554">
        <v>23.42</v>
      </c>
      <c r="L1554" t="s">
        <v>4247</v>
      </c>
      <c r="M1554" s="45" t="s">
        <v>98</v>
      </c>
      <c r="N1554" s="38" t="s">
        <v>230</v>
      </c>
      <c r="O1554" s="38" t="s">
        <v>791</v>
      </c>
      <c r="P1554" s="38" t="s">
        <v>60</v>
      </c>
      <c r="Q1554" s="38" t="s">
        <v>62</v>
      </c>
      <c r="R1554" s="38" t="s">
        <v>270</v>
      </c>
      <c r="S1554" s="38" t="s">
        <v>4248</v>
      </c>
      <c r="T1554" s="38" t="s">
        <v>4249</v>
      </c>
      <c r="U1554" s="38"/>
      <c r="V1554" s="38"/>
      <c r="W1554" s="38"/>
      <c r="X1554" s="14"/>
      <c r="AN1554" s="7" t="s">
        <v>155</v>
      </c>
      <c r="AO1554" s="21">
        <f t="shared" si="79"/>
        <v>0</v>
      </c>
      <c r="AP1554" s="7">
        <f t="shared" si="80"/>
        <v>23.42</v>
      </c>
      <c r="AQ1554" s="31" t="str">
        <f t="shared" si="81"/>
        <v>Complete - No Adjustment</v>
      </c>
    </row>
    <row r="1555" spans="1:43" x14ac:dyDescent="0.2">
      <c r="A1555" s="46">
        <v>1545</v>
      </c>
      <c r="B1555" s="38" t="s">
        <v>266</v>
      </c>
      <c r="C1555" s="38" t="s">
        <v>793</v>
      </c>
      <c r="D1555" s="38" t="s">
        <v>792</v>
      </c>
      <c r="E1555" s="38" t="s">
        <v>4246</v>
      </c>
      <c r="F1555" s="38" t="s">
        <v>4238</v>
      </c>
      <c r="G1555" s="38" t="s">
        <v>111</v>
      </c>
      <c r="H1555" s="44">
        <v>44095</v>
      </c>
      <c r="I1555" s="44">
        <v>44102</v>
      </c>
      <c r="J1555">
        <v>137.91999999999999</v>
      </c>
      <c r="K1555">
        <v>19.940000000000001</v>
      </c>
      <c r="L1555" t="s">
        <v>4247</v>
      </c>
      <c r="M1555" s="45" t="s">
        <v>98</v>
      </c>
      <c r="N1555" s="38" t="s">
        <v>230</v>
      </c>
      <c r="O1555" s="38" t="s">
        <v>791</v>
      </c>
      <c r="P1555" s="38" t="s">
        <v>60</v>
      </c>
      <c r="Q1555" s="38" t="s">
        <v>62</v>
      </c>
      <c r="R1555" s="38" t="s">
        <v>270</v>
      </c>
      <c r="S1555" s="38" t="s">
        <v>4248</v>
      </c>
      <c r="T1555" s="38" t="s">
        <v>4250</v>
      </c>
      <c r="U1555" s="38"/>
      <c r="V1555" s="38"/>
      <c r="W1555" s="38"/>
      <c r="X1555" s="14"/>
      <c r="AN1555" s="7" t="s">
        <v>155</v>
      </c>
      <c r="AO1555" s="21">
        <f t="shared" si="79"/>
        <v>0</v>
      </c>
      <c r="AP1555" s="7">
        <f t="shared" si="80"/>
        <v>19.940000000000001</v>
      </c>
      <c r="AQ1555" s="31" t="str">
        <f t="shared" si="81"/>
        <v>Complete - No Adjustment</v>
      </c>
    </row>
    <row r="1556" spans="1:43" x14ac:dyDescent="0.2">
      <c r="A1556" s="46">
        <v>1546</v>
      </c>
      <c r="B1556" s="38" t="s">
        <v>266</v>
      </c>
      <c r="C1556" s="38" t="s">
        <v>793</v>
      </c>
      <c r="D1556" s="38" t="s">
        <v>792</v>
      </c>
      <c r="E1556" s="38" t="s">
        <v>4246</v>
      </c>
      <c r="F1556" s="38" t="s">
        <v>4238</v>
      </c>
      <c r="G1556" s="38" t="s">
        <v>111</v>
      </c>
      <c r="H1556" s="44">
        <v>44095</v>
      </c>
      <c r="I1556" s="44">
        <v>44102</v>
      </c>
      <c r="J1556">
        <v>137.91999999999999</v>
      </c>
      <c r="K1556">
        <v>4.91</v>
      </c>
      <c r="L1556" t="s">
        <v>4247</v>
      </c>
      <c r="M1556" s="45" t="s">
        <v>98</v>
      </c>
      <c r="N1556" s="38" t="s">
        <v>230</v>
      </c>
      <c r="O1556" s="38" t="s">
        <v>791</v>
      </c>
      <c r="P1556" s="38" t="s">
        <v>60</v>
      </c>
      <c r="Q1556" s="38" t="s">
        <v>62</v>
      </c>
      <c r="R1556" s="38" t="s">
        <v>270</v>
      </c>
      <c r="S1556" s="38" t="s">
        <v>4248</v>
      </c>
      <c r="T1556" s="38" t="s">
        <v>4251</v>
      </c>
      <c r="U1556" s="38"/>
      <c r="V1556" s="38"/>
      <c r="W1556" s="38"/>
      <c r="X1556" s="14"/>
      <c r="AN1556" s="7" t="s">
        <v>155</v>
      </c>
      <c r="AO1556" s="21">
        <f t="shared" si="79"/>
        <v>0</v>
      </c>
      <c r="AP1556" s="7">
        <f t="shared" si="80"/>
        <v>4.91</v>
      </c>
      <c r="AQ1556" s="31" t="str">
        <f t="shared" si="81"/>
        <v>Complete - No Adjustment</v>
      </c>
    </row>
    <row r="1557" spans="1:43" x14ac:dyDescent="0.2">
      <c r="A1557" s="46">
        <v>1547</v>
      </c>
      <c r="B1557" s="38" t="s">
        <v>266</v>
      </c>
      <c r="C1557" s="38" t="s">
        <v>793</v>
      </c>
      <c r="D1557" s="38" t="s">
        <v>792</v>
      </c>
      <c r="E1557" s="38" t="s">
        <v>4246</v>
      </c>
      <c r="F1557" s="38" t="s">
        <v>4238</v>
      </c>
      <c r="G1557" s="38" t="s">
        <v>111</v>
      </c>
      <c r="H1557" s="44">
        <v>44095</v>
      </c>
      <c r="I1557" s="44">
        <v>44102</v>
      </c>
      <c r="J1557">
        <v>137.91999999999999</v>
      </c>
      <c r="K1557">
        <v>20.69</v>
      </c>
      <c r="L1557" t="s">
        <v>4247</v>
      </c>
      <c r="M1557" s="45" t="s">
        <v>98</v>
      </c>
      <c r="N1557" s="38" t="s">
        <v>230</v>
      </c>
      <c r="O1557" s="38" t="s">
        <v>791</v>
      </c>
      <c r="P1557" s="38" t="s">
        <v>60</v>
      </c>
      <c r="Q1557" s="38" t="s">
        <v>62</v>
      </c>
      <c r="R1557" s="38" t="s">
        <v>270</v>
      </c>
      <c r="S1557" s="38" t="s">
        <v>4248</v>
      </c>
      <c r="T1557" s="38" t="s">
        <v>4252</v>
      </c>
      <c r="U1557" s="38"/>
      <c r="V1557" s="38"/>
      <c r="W1557" s="38"/>
      <c r="X1557" s="14"/>
      <c r="AN1557" s="7" t="s">
        <v>155</v>
      </c>
      <c r="AO1557" s="21">
        <f t="shared" si="79"/>
        <v>0</v>
      </c>
      <c r="AP1557" s="7">
        <f t="shared" si="80"/>
        <v>20.69</v>
      </c>
      <c r="AQ1557" s="31" t="str">
        <f t="shared" si="81"/>
        <v>Complete - No Adjustment</v>
      </c>
    </row>
    <row r="1558" spans="1:43" x14ac:dyDescent="0.2">
      <c r="A1558" s="46">
        <v>1548</v>
      </c>
      <c r="B1558" s="38" t="s">
        <v>266</v>
      </c>
      <c r="C1558" s="38" t="s">
        <v>795</v>
      </c>
      <c r="D1558" s="38" t="s">
        <v>794</v>
      </c>
      <c r="E1558" s="38" t="s">
        <v>4253</v>
      </c>
      <c r="F1558" s="38" t="s">
        <v>4233</v>
      </c>
      <c r="G1558" s="38" t="s">
        <v>111</v>
      </c>
      <c r="H1558" s="44">
        <v>44090</v>
      </c>
      <c r="I1558" s="44">
        <v>44095</v>
      </c>
      <c r="J1558">
        <v>19.05</v>
      </c>
      <c r="K1558">
        <v>19.05</v>
      </c>
      <c r="L1558" t="s">
        <v>4254</v>
      </c>
      <c r="M1558" s="45" t="s">
        <v>98</v>
      </c>
      <c r="N1558" s="38" t="s">
        <v>230</v>
      </c>
      <c r="O1558" s="38" t="s">
        <v>289</v>
      </c>
      <c r="P1558" s="38" t="s">
        <v>60</v>
      </c>
      <c r="Q1558" s="38" t="s">
        <v>41</v>
      </c>
      <c r="R1558" s="38" t="s">
        <v>270</v>
      </c>
      <c r="S1558" s="38" t="s">
        <v>4255</v>
      </c>
      <c r="T1558" s="38" t="s">
        <v>4256</v>
      </c>
      <c r="U1558" s="38"/>
      <c r="V1558" s="38"/>
      <c r="W1558" s="38"/>
      <c r="X1558" s="14"/>
      <c r="AB1558" s="14">
        <f>19.05-15</f>
        <v>4.0500000000000007</v>
      </c>
      <c r="AN1558" s="7" t="s">
        <v>4257</v>
      </c>
      <c r="AO1558" s="21">
        <f t="shared" si="79"/>
        <v>4.0500000000000007</v>
      </c>
      <c r="AP1558" s="7">
        <f t="shared" si="80"/>
        <v>15</v>
      </c>
      <c r="AQ1558" s="31" t="str">
        <f t="shared" si="81"/>
        <v>Complete - With Adjustment</v>
      </c>
    </row>
    <row r="1559" spans="1:43" x14ac:dyDescent="0.2">
      <c r="A1559" s="46">
        <v>1549</v>
      </c>
      <c r="B1559" s="38" t="s">
        <v>266</v>
      </c>
      <c r="C1559" s="38" t="s">
        <v>4258</v>
      </c>
      <c r="D1559" s="38" t="s">
        <v>4259</v>
      </c>
      <c r="E1559" s="38" t="s">
        <v>4260</v>
      </c>
      <c r="F1559" s="38" t="s">
        <v>4261</v>
      </c>
      <c r="G1559" s="38" t="s">
        <v>111</v>
      </c>
      <c r="H1559" s="44">
        <v>44097</v>
      </c>
      <c r="I1559" s="44">
        <v>44104</v>
      </c>
      <c r="J1559">
        <v>4064.91</v>
      </c>
      <c r="K1559">
        <v>224.36</v>
      </c>
      <c r="L1559" t="s">
        <v>4262</v>
      </c>
      <c r="M1559" s="45" t="s">
        <v>97</v>
      </c>
      <c r="N1559" s="38" t="s">
        <v>230</v>
      </c>
      <c r="O1559" s="38" t="s">
        <v>386</v>
      </c>
      <c r="P1559" s="38" t="s">
        <v>42</v>
      </c>
      <c r="Q1559" s="38" t="s">
        <v>55</v>
      </c>
      <c r="R1559" s="38" t="s">
        <v>270</v>
      </c>
      <c r="S1559" s="38" t="s">
        <v>4263</v>
      </c>
      <c r="T1559" s="38" t="s">
        <v>4264</v>
      </c>
      <c r="U1559" s="38"/>
      <c r="V1559" s="38"/>
      <c r="W1559" s="38"/>
      <c r="X1559" s="14"/>
      <c r="AI1559" s="53">
        <f>224.36</f>
        <v>224.36</v>
      </c>
      <c r="AN1559" s="7" t="s">
        <v>145</v>
      </c>
      <c r="AO1559" s="21">
        <f t="shared" si="79"/>
        <v>224.36</v>
      </c>
      <c r="AP1559" s="7">
        <f t="shared" si="80"/>
        <v>0</v>
      </c>
      <c r="AQ1559" s="31" t="str">
        <f t="shared" si="81"/>
        <v>Complete - With Adjustment</v>
      </c>
    </row>
    <row r="1560" spans="1:43" x14ac:dyDescent="0.2">
      <c r="A1560" s="46">
        <v>1550</v>
      </c>
      <c r="B1560" s="38" t="s">
        <v>266</v>
      </c>
      <c r="C1560" s="38" t="s">
        <v>4258</v>
      </c>
      <c r="D1560" s="38" t="s">
        <v>4259</v>
      </c>
      <c r="E1560" s="38" t="s">
        <v>4260</v>
      </c>
      <c r="F1560" s="38" t="s">
        <v>4261</v>
      </c>
      <c r="G1560" s="38" t="s">
        <v>111</v>
      </c>
      <c r="H1560" s="44">
        <v>44097</v>
      </c>
      <c r="I1560" s="44">
        <v>44104</v>
      </c>
      <c r="J1560">
        <v>4064.91</v>
      </c>
      <c r="K1560">
        <v>327.58999999999997</v>
      </c>
      <c r="L1560" t="s">
        <v>4262</v>
      </c>
      <c r="M1560" s="45" t="s">
        <v>97</v>
      </c>
      <c r="N1560" s="38" t="s">
        <v>230</v>
      </c>
      <c r="O1560" s="38" t="s">
        <v>386</v>
      </c>
      <c r="P1560" s="38" t="s">
        <v>42</v>
      </c>
      <c r="Q1560" s="38" t="s">
        <v>55</v>
      </c>
      <c r="R1560" s="38" t="s">
        <v>270</v>
      </c>
      <c r="S1560" s="38" t="s">
        <v>4263</v>
      </c>
      <c r="T1560" s="38" t="s">
        <v>4265</v>
      </c>
      <c r="U1560" s="38"/>
      <c r="V1560" s="38"/>
      <c r="W1560" s="38"/>
      <c r="X1560" s="14"/>
      <c r="AI1560" s="53">
        <f>327.59</f>
        <v>327.58999999999997</v>
      </c>
      <c r="AN1560" s="7" t="s">
        <v>145</v>
      </c>
      <c r="AO1560" s="21">
        <f t="shared" si="79"/>
        <v>327.58999999999997</v>
      </c>
      <c r="AP1560" s="7">
        <f t="shared" si="80"/>
        <v>0</v>
      </c>
      <c r="AQ1560" s="31" t="str">
        <f t="shared" si="81"/>
        <v>Complete - With Adjustment</v>
      </c>
    </row>
    <row r="1561" spans="1:43" x14ac:dyDescent="0.2">
      <c r="A1561" s="46">
        <v>1551</v>
      </c>
      <c r="B1561" s="38" t="s">
        <v>266</v>
      </c>
      <c r="C1561" s="38" t="s">
        <v>4258</v>
      </c>
      <c r="D1561" s="38" t="s">
        <v>4259</v>
      </c>
      <c r="E1561" s="38" t="s">
        <v>4260</v>
      </c>
      <c r="F1561" s="38" t="s">
        <v>4261</v>
      </c>
      <c r="G1561" s="38" t="s">
        <v>111</v>
      </c>
      <c r="H1561" s="44">
        <v>44097</v>
      </c>
      <c r="I1561" s="44">
        <v>44104</v>
      </c>
      <c r="J1561">
        <v>4064.91</v>
      </c>
      <c r="K1561">
        <v>218.89</v>
      </c>
      <c r="L1561" t="s">
        <v>4262</v>
      </c>
      <c r="M1561" s="45" t="s">
        <v>97</v>
      </c>
      <c r="N1561" s="38" t="s">
        <v>230</v>
      </c>
      <c r="O1561" s="38" t="s">
        <v>386</v>
      </c>
      <c r="P1561" s="38" t="s">
        <v>42</v>
      </c>
      <c r="Q1561" s="38" t="s">
        <v>55</v>
      </c>
      <c r="R1561" s="38" t="s">
        <v>270</v>
      </c>
      <c r="S1561" s="38" t="s">
        <v>4263</v>
      </c>
      <c r="T1561" s="38" t="s">
        <v>4266</v>
      </c>
      <c r="U1561" s="38"/>
      <c r="V1561" s="38"/>
      <c r="W1561" s="38"/>
      <c r="X1561" s="14"/>
      <c r="AI1561" s="53">
        <f>218.89</f>
        <v>218.89</v>
      </c>
      <c r="AN1561" s="7" t="s">
        <v>145</v>
      </c>
      <c r="AO1561" s="21">
        <f t="shared" si="79"/>
        <v>218.89</v>
      </c>
      <c r="AP1561" s="7">
        <f t="shared" si="80"/>
        <v>0</v>
      </c>
      <c r="AQ1561" s="31" t="str">
        <f t="shared" si="81"/>
        <v>Complete - With Adjustment</v>
      </c>
    </row>
    <row r="1562" spans="1:43" x14ac:dyDescent="0.2">
      <c r="A1562" s="46">
        <v>1552</v>
      </c>
      <c r="B1562" s="38" t="s">
        <v>266</v>
      </c>
      <c r="C1562" s="38" t="s">
        <v>4258</v>
      </c>
      <c r="D1562" s="38" t="s">
        <v>4259</v>
      </c>
      <c r="E1562" s="38" t="s">
        <v>4260</v>
      </c>
      <c r="F1562" s="38" t="s">
        <v>4261</v>
      </c>
      <c r="G1562" s="38" t="s">
        <v>111</v>
      </c>
      <c r="H1562" s="44">
        <v>44097</v>
      </c>
      <c r="I1562" s="44">
        <v>44104</v>
      </c>
      <c r="J1562">
        <v>4064.91</v>
      </c>
      <c r="K1562">
        <v>250</v>
      </c>
      <c r="L1562" t="s">
        <v>4262</v>
      </c>
      <c r="M1562" s="45" t="s">
        <v>97</v>
      </c>
      <c r="N1562" s="38" t="s">
        <v>230</v>
      </c>
      <c r="O1562" s="38" t="s">
        <v>386</v>
      </c>
      <c r="P1562" s="38" t="s">
        <v>42</v>
      </c>
      <c r="Q1562" s="38" t="s">
        <v>55</v>
      </c>
      <c r="R1562" s="38" t="s">
        <v>270</v>
      </c>
      <c r="S1562" s="38" t="s">
        <v>4263</v>
      </c>
      <c r="T1562" s="38" t="s">
        <v>4267</v>
      </c>
      <c r="U1562" s="38"/>
      <c r="V1562" s="38"/>
      <c r="W1562" s="38"/>
      <c r="X1562" s="14"/>
      <c r="AI1562" s="53">
        <f>250</f>
        <v>250</v>
      </c>
      <c r="AN1562" s="7" t="s">
        <v>145</v>
      </c>
      <c r="AO1562" s="21">
        <f t="shared" si="79"/>
        <v>250</v>
      </c>
      <c r="AP1562" s="7">
        <f t="shared" si="80"/>
        <v>0</v>
      </c>
      <c r="AQ1562" s="31" t="str">
        <f t="shared" si="81"/>
        <v>Complete - With Adjustment</v>
      </c>
    </row>
    <row r="1563" spans="1:43" x14ac:dyDescent="0.2">
      <c r="A1563" s="46">
        <v>1553</v>
      </c>
      <c r="B1563" s="38" t="s">
        <v>266</v>
      </c>
      <c r="C1563" s="38" t="s">
        <v>4258</v>
      </c>
      <c r="D1563" s="38" t="s">
        <v>4259</v>
      </c>
      <c r="E1563" s="38" t="s">
        <v>4260</v>
      </c>
      <c r="F1563" s="38" t="s">
        <v>4261</v>
      </c>
      <c r="G1563" s="38" t="s">
        <v>111</v>
      </c>
      <c r="H1563" s="44">
        <v>44097</v>
      </c>
      <c r="I1563" s="44">
        <v>44104</v>
      </c>
      <c r="J1563">
        <v>4064.91</v>
      </c>
      <c r="K1563">
        <v>250</v>
      </c>
      <c r="L1563" t="s">
        <v>4262</v>
      </c>
      <c r="M1563" s="45" t="s">
        <v>97</v>
      </c>
      <c r="N1563" s="38" t="s">
        <v>230</v>
      </c>
      <c r="O1563" s="38" t="s">
        <v>386</v>
      </c>
      <c r="P1563" s="38" t="s">
        <v>42</v>
      </c>
      <c r="Q1563" s="38" t="s">
        <v>55</v>
      </c>
      <c r="R1563" s="38" t="s">
        <v>270</v>
      </c>
      <c r="S1563" s="38" t="s">
        <v>4263</v>
      </c>
      <c r="T1563" s="38" t="s">
        <v>4268</v>
      </c>
      <c r="U1563" s="38"/>
      <c r="V1563" s="38"/>
      <c r="W1563" s="38"/>
      <c r="X1563" s="14"/>
      <c r="AI1563" s="53">
        <f>250</f>
        <v>250</v>
      </c>
      <c r="AN1563" s="7" t="s">
        <v>145</v>
      </c>
      <c r="AO1563" s="21">
        <f t="shared" si="79"/>
        <v>250</v>
      </c>
      <c r="AP1563" s="7">
        <f t="shared" si="80"/>
        <v>0</v>
      </c>
      <c r="AQ1563" s="31" t="str">
        <f t="shared" si="81"/>
        <v>Complete - With Adjustment</v>
      </c>
    </row>
    <row r="1564" spans="1:43" x14ac:dyDescent="0.2">
      <c r="A1564" s="46">
        <v>1554</v>
      </c>
      <c r="B1564" s="38" t="s">
        <v>266</v>
      </c>
      <c r="C1564" s="38" t="s">
        <v>4258</v>
      </c>
      <c r="D1564" s="38" t="s">
        <v>4259</v>
      </c>
      <c r="E1564" s="38" t="s">
        <v>4260</v>
      </c>
      <c r="F1564" s="38" t="s">
        <v>4261</v>
      </c>
      <c r="G1564" s="38" t="s">
        <v>111</v>
      </c>
      <c r="H1564" s="44">
        <v>44097</v>
      </c>
      <c r="I1564" s="44">
        <v>44104</v>
      </c>
      <c r="J1564">
        <v>4064.91</v>
      </c>
      <c r="K1564">
        <v>308.16000000000003</v>
      </c>
      <c r="L1564" t="s">
        <v>4262</v>
      </c>
      <c r="M1564" s="45" t="s">
        <v>97</v>
      </c>
      <c r="N1564" s="38" t="s">
        <v>230</v>
      </c>
      <c r="O1564" s="38" t="s">
        <v>386</v>
      </c>
      <c r="P1564" s="38" t="s">
        <v>42</v>
      </c>
      <c r="Q1564" s="38" t="s">
        <v>55</v>
      </c>
      <c r="R1564" s="38" t="s">
        <v>270</v>
      </c>
      <c r="S1564" s="38" t="s">
        <v>4263</v>
      </c>
      <c r="T1564" s="38" t="s">
        <v>4269</v>
      </c>
      <c r="U1564" s="38"/>
      <c r="V1564" s="38"/>
      <c r="W1564" s="38"/>
      <c r="X1564" s="14"/>
      <c r="AI1564" s="53">
        <f>308.16</f>
        <v>308.16000000000003</v>
      </c>
      <c r="AN1564" s="7" t="s">
        <v>145</v>
      </c>
      <c r="AO1564" s="21">
        <f t="shared" si="79"/>
        <v>308.16000000000003</v>
      </c>
      <c r="AP1564" s="7">
        <f t="shared" si="80"/>
        <v>0</v>
      </c>
      <c r="AQ1564" s="31" t="str">
        <f t="shared" si="81"/>
        <v>Complete - With Adjustment</v>
      </c>
    </row>
    <row r="1565" spans="1:43" x14ac:dyDescent="0.2">
      <c r="A1565" s="46">
        <v>1555</v>
      </c>
      <c r="B1565" s="38" t="s">
        <v>266</v>
      </c>
      <c r="C1565" s="38" t="s">
        <v>4258</v>
      </c>
      <c r="D1565" s="38" t="s">
        <v>4259</v>
      </c>
      <c r="E1565" s="38" t="s">
        <v>4260</v>
      </c>
      <c r="F1565" s="38" t="s">
        <v>4261</v>
      </c>
      <c r="G1565" s="38" t="s">
        <v>111</v>
      </c>
      <c r="H1565" s="44">
        <v>44097</v>
      </c>
      <c r="I1565" s="44">
        <v>44104</v>
      </c>
      <c r="J1565">
        <v>4064.91</v>
      </c>
      <c r="K1565">
        <v>217.31</v>
      </c>
      <c r="L1565" t="s">
        <v>4262</v>
      </c>
      <c r="M1565" s="45" t="s">
        <v>97</v>
      </c>
      <c r="N1565" s="38" t="s">
        <v>230</v>
      </c>
      <c r="O1565" s="38" t="s">
        <v>386</v>
      </c>
      <c r="P1565" s="38" t="s">
        <v>42</v>
      </c>
      <c r="Q1565" s="38" t="s">
        <v>55</v>
      </c>
      <c r="R1565" s="38" t="s">
        <v>270</v>
      </c>
      <c r="S1565" s="38" t="s">
        <v>4263</v>
      </c>
      <c r="T1565" s="38" t="s">
        <v>4270</v>
      </c>
      <c r="U1565" s="38"/>
      <c r="V1565" s="38"/>
      <c r="W1565" s="38"/>
      <c r="X1565" s="14"/>
      <c r="AI1565" s="53">
        <f>217.31</f>
        <v>217.31</v>
      </c>
      <c r="AN1565" s="7" t="s">
        <v>145</v>
      </c>
      <c r="AO1565" s="21">
        <f t="shared" si="79"/>
        <v>217.31</v>
      </c>
      <c r="AP1565" s="7">
        <f t="shared" si="80"/>
        <v>0</v>
      </c>
      <c r="AQ1565" s="31" t="str">
        <f t="shared" si="81"/>
        <v>Complete - With Adjustment</v>
      </c>
    </row>
    <row r="1566" spans="1:43" x14ac:dyDescent="0.2">
      <c r="A1566" s="46">
        <v>1556</v>
      </c>
      <c r="B1566" s="38" t="s">
        <v>266</v>
      </c>
      <c r="C1566" s="38" t="s">
        <v>4258</v>
      </c>
      <c r="D1566" s="38" t="s">
        <v>4259</v>
      </c>
      <c r="E1566" s="38" t="s">
        <v>4260</v>
      </c>
      <c r="F1566" s="38" t="s">
        <v>4261</v>
      </c>
      <c r="G1566" s="38" t="s">
        <v>111</v>
      </c>
      <c r="H1566" s="44">
        <v>44097</v>
      </c>
      <c r="I1566" s="44">
        <v>44104</v>
      </c>
      <c r="J1566">
        <v>4064.91</v>
      </c>
      <c r="K1566">
        <v>277.17</v>
      </c>
      <c r="L1566" t="s">
        <v>4262</v>
      </c>
      <c r="M1566" s="45" t="s">
        <v>97</v>
      </c>
      <c r="N1566" s="38" t="s">
        <v>230</v>
      </c>
      <c r="O1566" s="38" t="s">
        <v>386</v>
      </c>
      <c r="P1566" s="38" t="s">
        <v>42</v>
      </c>
      <c r="Q1566" s="38" t="s">
        <v>55</v>
      </c>
      <c r="R1566" s="38" t="s">
        <v>270</v>
      </c>
      <c r="S1566" s="38" t="s">
        <v>4263</v>
      </c>
      <c r="T1566" s="38" t="s">
        <v>4271</v>
      </c>
      <c r="U1566" s="38"/>
      <c r="V1566" s="38"/>
      <c r="W1566" s="38"/>
      <c r="X1566" s="14"/>
      <c r="AI1566" s="53">
        <f>277.17</f>
        <v>277.17</v>
      </c>
      <c r="AN1566" s="7" t="s">
        <v>145</v>
      </c>
      <c r="AO1566" s="21">
        <f t="shared" si="79"/>
        <v>277.17</v>
      </c>
      <c r="AP1566" s="7">
        <f t="shared" si="80"/>
        <v>0</v>
      </c>
      <c r="AQ1566" s="31" t="str">
        <f t="shared" si="81"/>
        <v>Complete - With Adjustment</v>
      </c>
    </row>
    <row r="1567" spans="1:43" x14ac:dyDescent="0.2">
      <c r="A1567" s="46">
        <v>1557</v>
      </c>
      <c r="B1567" s="38" t="s">
        <v>266</v>
      </c>
      <c r="C1567" s="38" t="s">
        <v>4258</v>
      </c>
      <c r="D1567" s="38" t="s">
        <v>4259</v>
      </c>
      <c r="E1567" s="38" t="s">
        <v>4260</v>
      </c>
      <c r="F1567" s="38" t="s">
        <v>4261</v>
      </c>
      <c r="G1567" s="38" t="s">
        <v>111</v>
      </c>
      <c r="H1567" s="44">
        <v>44097</v>
      </c>
      <c r="I1567" s="44">
        <v>44104</v>
      </c>
      <c r="J1567">
        <v>4064.91</v>
      </c>
      <c r="K1567">
        <v>249</v>
      </c>
      <c r="L1567" t="s">
        <v>4262</v>
      </c>
      <c r="M1567" s="45" t="s">
        <v>97</v>
      </c>
      <c r="N1567" s="38" t="s">
        <v>230</v>
      </c>
      <c r="O1567" s="38" t="s">
        <v>386</v>
      </c>
      <c r="P1567" s="38" t="s">
        <v>42</v>
      </c>
      <c r="Q1567" s="38" t="s">
        <v>55</v>
      </c>
      <c r="R1567" s="38" t="s">
        <v>270</v>
      </c>
      <c r="S1567" s="38" t="s">
        <v>4263</v>
      </c>
      <c r="T1567" s="38" t="s">
        <v>4272</v>
      </c>
      <c r="U1567" s="38"/>
      <c r="V1567" s="38"/>
      <c r="W1567" s="38"/>
      <c r="X1567" s="14"/>
      <c r="AI1567" s="53">
        <f>249</f>
        <v>249</v>
      </c>
      <c r="AN1567" s="7" t="s">
        <v>145</v>
      </c>
      <c r="AO1567" s="21">
        <f t="shared" si="79"/>
        <v>249</v>
      </c>
      <c r="AP1567" s="7">
        <f t="shared" si="80"/>
        <v>0</v>
      </c>
      <c r="AQ1567" s="31" t="str">
        <f t="shared" si="81"/>
        <v>Complete - With Adjustment</v>
      </c>
    </row>
    <row r="1568" spans="1:43" x14ac:dyDescent="0.2">
      <c r="A1568" s="46">
        <v>1558</v>
      </c>
      <c r="B1568" s="38" t="s">
        <v>266</v>
      </c>
      <c r="C1568" s="38" t="s">
        <v>4258</v>
      </c>
      <c r="D1568" s="38" t="s">
        <v>4259</v>
      </c>
      <c r="E1568" s="38" t="s">
        <v>4260</v>
      </c>
      <c r="F1568" s="38" t="s">
        <v>4261</v>
      </c>
      <c r="G1568" s="38" t="s">
        <v>111</v>
      </c>
      <c r="H1568" s="44">
        <v>44097</v>
      </c>
      <c r="I1568" s="44">
        <v>44104</v>
      </c>
      <c r="J1568">
        <v>4064.91</v>
      </c>
      <c r="K1568">
        <v>217.81</v>
      </c>
      <c r="L1568" t="s">
        <v>4262</v>
      </c>
      <c r="M1568" s="45" t="s">
        <v>97</v>
      </c>
      <c r="N1568" s="38" t="s">
        <v>230</v>
      </c>
      <c r="O1568" s="38" t="s">
        <v>386</v>
      </c>
      <c r="P1568" s="38" t="s">
        <v>42</v>
      </c>
      <c r="Q1568" s="38" t="s">
        <v>55</v>
      </c>
      <c r="R1568" s="38" t="s">
        <v>270</v>
      </c>
      <c r="S1568" s="38" t="s">
        <v>4263</v>
      </c>
      <c r="T1568" s="38" t="s">
        <v>4273</v>
      </c>
      <c r="U1568" s="38"/>
      <c r="V1568" s="38"/>
      <c r="W1568" s="38"/>
      <c r="X1568" s="14"/>
      <c r="AI1568" s="53">
        <f>217.81</f>
        <v>217.81</v>
      </c>
      <c r="AN1568" s="7" t="s">
        <v>145</v>
      </c>
      <c r="AO1568" s="21">
        <f t="shared" si="79"/>
        <v>217.81</v>
      </c>
      <c r="AP1568" s="7">
        <f t="shared" si="80"/>
        <v>0</v>
      </c>
      <c r="AQ1568" s="31" t="str">
        <f t="shared" si="81"/>
        <v>Complete - With Adjustment</v>
      </c>
    </row>
    <row r="1569" spans="1:43" x14ac:dyDescent="0.2">
      <c r="A1569" s="46">
        <v>1559</v>
      </c>
      <c r="B1569" s="38" t="s">
        <v>266</v>
      </c>
      <c r="C1569" s="38" t="s">
        <v>4258</v>
      </c>
      <c r="D1569" s="38" t="s">
        <v>4259</v>
      </c>
      <c r="E1569" s="38" t="s">
        <v>4260</v>
      </c>
      <c r="F1569" s="38" t="s">
        <v>4261</v>
      </c>
      <c r="G1569" s="38" t="s">
        <v>111</v>
      </c>
      <c r="H1569" s="44">
        <v>44097</v>
      </c>
      <c r="I1569" s="44">
        <v>44104</v>
      </c>
      <c r="J1569">
        <v>4064.91</v>
      </c>
      <c r="K1569">
        <v>386.53</v>
      </c>
      <c r="L1569" t="s">
        <v>4262</v>
      </c>
      <c r="M1569" s="45" t="s">
        <v>97</v>
      </c>
      <c r="N1569" s="38" t="s">
        <v>230</v>
      </c>
      <c r="O1569" s="38" t="s">
        <v>386</v>
      </c>
      <c r="P1569" s="38" t="s">
        <v>42</v>
      </c>
      <c r="Q1569" s="38" t="s">
        <v>55</v>
      </c>
      <c r="R1569" s="38" t="s">
        <v>270</v>
      </c>
      <c r="S1569" s="38" t="s">
        <v>4263</v>
      </c>
      <c r="T1569" s="38" t="s">
        <v>4274</v>
      </c>
      <c r="U1569" s="38"/>
      <c r="V1569" s="38"/>
      <c r="W1569" s="38"/>
      <c r="X1569" s="14"/>
      <c r="AI1569" s="53">
        <f>386.53</f>
        <v>386.53</v>
      </c>
      <c r="AN1569" s="7" t="s">
        <v>145</v>
      </c>
      <c r="AO1569" s="21">
        <f t="shared" si="79"/>
        <v>386.53</v>
      </c>
      <c r="AP1569" s="7">
        <f t="shared" si="80"/>
        <v>0</v>
      </c>
      <c r="AQ1569" s="31" t="str">
        <f t="shared" si="81"/>
        <v>Complete - With Adjustment</v>
      </c>
    </row>
    <row r="1570" spans="1:43" x14ac:dyDescent="0.2">
      <c r="A1570" s="46">
        <v>1560</v>
      </c>
      <c r="B1570" s="38" t="s">
        <v>266</v>
      </c>
      <c r="C1570" s="38" t="s">
        <v>4258</v>
      </c>
      <c r="D1570" s="38" t="s">
        <v>4259</v>
      </c>
      <c r="E1570" s="38" t="s">
        <v>4260</v>
      </c>
      <c r="F1570" s="38" t="s">
        <v>4261</v>
      </c>
      <c r="G1570" s="38" t="s">
        <v>111</v>
      </c>
      <c r="H1570" s="44">
        <v>44097</v>
      </c>
      <c r="I1570" s="44">
        <v>44104</v>
      </c>
      <c r="J1570">
        <v>4064.91</v>
      </c>
      <c r="K1570">
        <v>250</v>
      </c>
      <c r="L1570" t="s">
        <v>4262</v>
      </c>
      <c r="M1570" s="45" t="s">
        <v>97</v>
      </c>
      <c r="N1570" s="38" t="s">
        <v>230</v>
      </c>
      <c r="O1570" s="38" t="s">
        <v>386</v>
      </c>
      <c r="P1570" s="38" t="s">
        <v>42</v>
      </c>
      <c r="Q1570" s="38" t="s">
        <v>55</v>
      </c>
      <c r="R1570" s="38" t="s">
        <v>270</v>
      </c>
      <c r="S1570" s="38" t="s">
        <v>4263</v>
      </c>
      <c r="T1570" s="38" t="s">
        <v>4275</v>
      </c>
      <c r="U1570" s="38"/>
      <c r="V1570" s="38"/>
      <c r="W1570" s="38"/>
      <c r="X1570" s="14"/>
      <c r="AI1570" s="53">
        <f>250</f>
        <v>250</v>
      </c>
      <c r="AN1570" s="7" t="s">
        <v>145</v>
      </c>
      <c r="AO1570" s="21">
        <f t="shared" si="79"/>
        <v>250</v>
      </c>
      <c r="AP1570" s="7">
        <f t="shared" si="80"/>
        <v>0</v>
      </c>
      <c r="AQ1570" s="31" t="str">
        <f t="shared" si="81"/>
        <v>Complete - With Adjustment</v>
      </c>
    </row>
    <row r="1571" spans="1:43" x14ac:dyDescent="0.2">
      <c r="A1571" s="46">
        <v>1561</v>
      </c>
      <c r="B1571" s="38" t="s">
        <v>266</v>
      </c>
      <c r="C1571" s="38" t="s">
        <v>4258</v>
      </c>
      <c r="D1571" s="38" t="s">
        <v>4259</v>
      </c>
      <c r="E1571" s="38" t="s">
        <v>4260</v>
      </c>
      <c r="F1571" s="38" t="s">
        <v>4261</v>
      </c>
      <c r="G1571" s="38" t="s">
        <v>111</v>
      </c>
      <c r="H1571" s="44">
        <v>44097</v>
      </c>
      <c r="I1571" s="44">
        <v>44104</v>
      </c>
      <c r="J1571">
        <v>4064.91</v>
      </c>
      <c r="K1571">
        <v>407.7</v>
      </c>
      <c r="L1571" t="s">
        <v>4262</v>
      </c>
      <c r="M1571" s="45" t="s">
        <v>97</v>
      </c>
      <c r="N1571" s="38" t="s">
        <v>230</v>
      </c>
      <c r="O1571" s="38" t="s">
        <v>386</v>
      </c>
      <c r="P1571" s="38" t="s">
        <v>42</v>
      </c>
      <c r="Q1571" s="38" t="s">
        <v>55</v>
      </c>
      <c r="R1571" s="38" t="s">
        <v>270</v>
      </c>
      <c r="S1571" s="38" t="s">
        <v>4263</v>
      </c>
      <c r="T1571" s="38" t="s">
        <v>4276</v>
      </c>
      <c r="U1571" s="38"/>
      <c r="V1571" s="38"/>
      <c r="W1571" s="38"/>
      <c r="X1571" s="14"/>
      <c r="AI1571" s="53">
        <f>407.7</f>
        <v>407.7</v>
      </c>
      <c r="AN1571" s="7" t="s">
        <v>145</v>
      </c>
      <c r="AO1571" s="21">
        <f t="shared" si="79"/>
        <v>407.7</v>
      </c>
      <c r="AP1571" s="7">
        <f t="shared" si="80"/>
        <v>0</v>
      </c>
      <c r="AQ1571" s="31" t="str">
        <f t="shared" si="81"/>
        <v>Complete - With Adjustment</v>
      </c>
    </row>
    <row r="1572" spans="1:43" x14ac:dyDescent="0.2">
      <c r="A1572" s="46">
        <v>1562</v>
      </c>
      <c r="B1572" s="38" t="s">
        <v>266</v>
      </c>
      <c r="C1572" s="38" t="s">
        <v>4258</v>
      </c>
      <c r="D1572" s="38" t="s">
        <v>4259</v>
      </c>
      <c r="E1572" s="38" t="s">
        <v>4260</v>
      </c>
      <c r="F1572" s="38" t="s">
        <v>4261</v>
      </c>
      <c r="G1572" s="38" t="s">
        <v>111</v>
      </c>
      <c r="H1572" s="44">
        <v>44097</v>
      </c>
      <c r="I1572" s="44">
        <v>44104</v>
      </c>
      <c r="J1572">
        <v>4064.91</v>
      </c>
      <c r="K1572">
        <v>252.91</v>
      </c>
      <c r="L1572" t="s">
        <v>4262</v>
      </c>
      <c r="M1572" s="45" t="s">
        <v>97</v>
      </c>
      <c r="N1572" s="38" t="s">
        <v>230</v>
      </c>
      <c r="O1572" s="38" t="s">
        <v>386</v>
      </c>
      <c r="P1572" s="38" t="s">
        <v>42</v>
      </c>
      <c r="Q1572" s="38" t="s">
        <v>55</v>
      </c>
      <c r="R1572" s="38" t="s">
        <v>270</v>
      </c>
      <c r="S1572" s="38" t="s">
        <v>4263</v>
      </c>
      <c r="T1572" s="38" t="s">
        <v>4277</v>
      </c>
      <c r="U1572" s="38"/>
      <c r="V1572" s="38"/>
      <c r="W1572" s="38"/>
      <c r="X1572" s="14"/>
      <c r="AI1572" s="53">
        <f>252.91</f>
        <v>252.91</v>
      </c>
      <c r="AN1572" s="7" t="s">
        <v>145</v>
      </c>
      <c r="AO1572" s="21">
        <f t="shared" si="79"/>
        <v>252.91</v>
      </c>
      <c r="AP1572" s="7">
        <f t="shared" si="80"/>
        <v>0</v>
      </c>
      <c r="AQ1572" s="31" t="str">
        <f t="shared" si="81"/>
        <v>Complete - With Adjustment</v>
      </c>
    </row>
    <row r="1573" spans="1:43" x14ac:dyDescent="0.2">
      <c r="A1573" s="46">
        <v>1563</v>
      </c>
      <c r="B1573" s="38" t="s">
        <v>266</v>
      </c>
      <c r="C1573" s="38" t="s">
        <v>513</v>
      </c>
      <c r="D1573" s="38" t="s">
        <v>512</v>
      </c>
      <c r="E1573" s="38" t="s">
        <v>4278</v>
      </c>
      <c r="F1573" s="38" t="s">
        <v>4238</v>
      </c>
      <c r="G1573" s="38" t="s">
        <v>111</v>
      </c>
      <c r="H1573" s="44">
        <v>44095</v>
      </c>
      <c r="I1573" s="44">
        <v>44102</v>
      </c>
      <c r="J1573">
        <v>114.57</v>
      </c>
      <c r="K1573">
        <v>12.98</v>
      </c>
      <c r="L1573" t="s">
        <v>4279</v>
      </c>
      <c r="M1573" s="45" t="s">
        <v>98</v>
      </c>
      <c r="N1573" s="38" t="s">
        <v>230</v>
      </c>
      <c r="O1573" s="38" t="s">
        <v>514</v>
      </c>
      <c r="P1573" s="38" t="s">
        <v>60</v>
      </c>
      <c r="Q1573" s="38" t="s">
        <v>46</v>
      </c>
      <c r="R1573" s="38" t="s">
        <v>270</v>
      </c>
      <c r="S1573" s="38" t="s">
        <v>4280</v>
      </c>
      <c r="T1573" s="38" t="s">
        <v>4281</v>
      </c>
      <c r="U1573" s="38"/>
      <c r="V1573" s="38"/>
      <c r="W1573" s="38"/>
      <c r="X1573" s="14"/>
      <c r="AN1573" s="7" t="s">
        <v>4219</v>
      </c>
      <c r="AO1573" s="21">
        <f t="shared" si="79"/>
        <v>0</v>
      </c>
      <c r="AP1573" s="7">
        <f t="shared" si="80"/>
        <v>12.98</v>
      </c>
      <c r="AQ1573" s="31" t="str">
        <f t="shared" si="81"/>
        <v>Complete - No Adjustment</v>
      </c>
    </row>
    <row r="1574" spans="1:43" x14ac:dyDescent="0.2">
      <c r="A1574" s="46">
        <v>1564</v>
      </c>
      <c r="B1574" s="38" t="s">
        <v>266</v>
      </c>
      <c r="C1574" s="38" t="s">
        <v>513</v>
      </c>
      <c r="D1574" s="38" t="s">
        <v>512</v>
      </c>
      <c r="E1574" s="38" t="s">
        <v>4278</v>
      </c>
      <c r="F1574" s="38" t="s">
        <v>4238</v>
      </c>
      <c r="G1574" s="38" t="s">
        <v>111</v>
      </c>
      <c r="H1574" s="44">
        <v>44095</v>
      </c>
      <c r="I1574" s="44">
        <v>44102</v>
      </c>
      <c r="J1574">
        <v>114.57</v>
      </c>
      <c r="K1574">
        <v>101.59</v>
      </c>
      <c r="L1574" t="s">
        <v>4279</v>
      </c>
      <c r="M1574" s="45" t="s">
        <v>98</v>
      </c>
      <c r="N1574" s="38" t="s">
        <v>230</v>
      </c>
      <c r="O1574" s="38" t="s">
        <v>514</v>
      </c>
      <c r="P1574" s="38" t="s">
        <v>60</v>
      </c>
      <c r="Q1574" s="38" t="s">
        <v>46</v>
      </c>
      <c r="R1574" s="38" t="s">
        <v>270</v>
      </c>
      <c r="S1574" s="38" t="s">
        <v>4280</v>
      </c>
      <c r="T1574" s="38" t="s">
        <v>4282</v>
      </c>
      <c r="U1574" s="38"/>
      <c r="V1574" s="38"/>
      <c r="W1574" s="38"/>
      <c r="X1574" s="14"/>
      <c r="AI1574" s="53">
        <f>101.59</f>
        <v>101.59</v>
      </c>
      <c r="AN1574" s="7" t="s">
        <v>145</v>
      </c>
      <c r="AO1574" s="21">
        <f t="shared" si="79"/>
        <v>101.59</v>
      </c>
      <c r="AP1574" s="7">
        <f t="shared" si="80"/>
        <v>0</v>
      </c>
      <c r="AQ1574" s="31" t="str">
        <f t="shared" si="81"/>
        <v>Complete - With Adjustment</v>
      </c>
    </row>
    <row r="1575" spans="1:43" x14ac:dyDescent="0.2">
      <c r="A1575" s="46">
        <v>1565</v>
      </c>
      <c r="B1575" s="38" t="s">
        <v>266</v>
      </c>
      <c r="C1575" s="38" t="s">
        <v>286</v>
      </c>
      <c r="D1575" s="38" t="s">
        <v>285</v>
      </c>
      <c r="E1575" s="38" t="s">
        <v>4283</v>
      </c>
      <c r="F1575" s="38" t="s">
        <v>4284</v>
      </c>
      <c r="G1575" s="38" t="s">
        <v>111</v>
      </c>
      <c r="H1575" s="44">
        <v>44074</v>
      </c>
      <c r="I1575" s="44">
        <v>44077</v>
      </c>
      <c r="J1575">
        <v>209.34</v>
      </c>
      <c r="K1575">
        <v>34.89</v>
      </c>
      <c r="L1575" t="s">
        <v>4285</v>
      </c>
      <c r="M1575" s="45" t="s">
        <v>98</v>
      </c>
      <c r="N1575" s="38" t="s">
        <v>230</v>
      </c>
      <c r="O1575" s="38" t="s">
        <v>287</v>
      </c>
      <c r="P1575" s="38" t="s">
        <v>60</v>
      </c>
      <c r="Q1575" s="38" t="s">
        <v>46</v>
      </c>
      <c r="R1575" s="38" t="s">
        <v>270</v>
      </c>
      <c r="S1575" s="38" t="s">
        <v>4286</v>
      </c>
      <c r="T1575" s="38" t="s">
        <v>4287</v>
      </c>
      <c r="U1575" s="38"/>
      <c r="V1575" s="38"/>
      <c r="W1575" s="38"/>
      <c r="X1575" s="14"/>
      <c r="AI1575" s="53">
        <f t="shared" ref="AI1575:AI1580" si="82">34.89</f>
        <v>34.89</v>
      </c>
      <c r="AN1575" s="7" t="s">
        <v>145</v>
      </c>
      <c r="AO1575" s="21">
        <f t="shared" si="79"/>
        <v>34.89</v>
      </c>
      <c r="AP1575" s="7">
        <f t="shared" si="80"/>
        <v>0</v>
      </c>
      <c r="AQ1575" s="31" t="str">
        <f t="shared" si="81"/>
        <v>Complete - With Adjustment</v>
      </c>
    </row>
    <row r="1576" spans="1:43" x14ac:dyDescent="0.2">
      <c r="A1576" s="46">
        <v>1566</v>
      </c>
      <c r="B1576" s="38" t="s">
        <v>266</v>
      </c>
      <c r="C1576" s="38" t="s">
        <v>286</v>
      </c>
      <c r="D1576" s="38" t="s">
        <v>285</v>
      </c>
      <c r="E1576" s="38" t="s">
        <v>4283</v>
      </c>
      <c r="F1576" s="38" t="s">
        <v>4284</v>
      </c>
      <c r="G1576" s="38" t="s">
        <v>111</v>
      </c>
      <c r="H1576" s="44">
        <v>44074</v>
      </c>
      <c r="I1576" s="44">
        <v>44077</v>
      </c>
      <c r="J1576">
        <v>209.34</v>
      </c>
      <c r="K1576">
        <v>34.89</v>
      </c>
      <c r="L1576" t="s">
        <v>4285</v>
      </c>
      <c r="M1576" s="45" t="s">
        <v>98</v>
      </c>
      <c r="N1576" s="38" t="s">
        <v>230</v>
      </c>
      <c r="O1576" s="38" t="s">
        <v>287</v>
      </c>
      <c r="P1576" s="38" t="s">
        <v>60</v>
      </c>
      <c r="Q1576" s="38" t="s">
        <v>46</v>
      </c>
      <c r="R1576" s="38" t="s">
        <v>270</v>
      </c>
      <c r="S1576" s="38" t="s">
        <v>4286</v>
      </c>
      <c r="T1576" s="38" t="s">
        <v>4288</v>
      </c>
      <c r="U1576" s="38"/>
      <c r="V1576" s="38"/>
      <c r="W1576" s="38"/>
      <c r="X1576" s="14"/>
      <c r="AI1576" s="53">
        <f t="shared" si="82"/>
        <v>34.89</v>
      </c>
      <c r="AN1576" s="7" t="s">
        <v>145</v>
      </c>
      <c r="AO1576" s="21">
        <f t="shared" si="79"/>
        <v>34.89</v>
      </c>
      <c r="AP1576" s="7">
        <f t="shared" si="80"/>
        <v>0</v>
      </c>
      <c r="AQ1576" s="31" t="str">
        <f t="shared" si="81"/>
        <v>Complete - With Adjustment</v>
      </c>
    </row>
    <row r="1577" spans="1:43" x14ac:dyDescent="0.2">
      <c r="A1577" s="46">
        <v>1567</v>
      </c>
      <c r="B1577" s="38" t="s">
        <v>266</v>
      </c>
      <c r="C1577" s="38" t="s">
        <v>286</v>
      </c>
      <c r="D1577" s="38" t="s">
        <v>285</v>
      </c>
      <c r="E1577" s="38" t="s">
        <v>4283</v>
      </c>
      <c r="F1577" s="38" t="s">
        <v>4284</v>
      </c>
      <c r="G1577" s="38" t="s">
        <v>111</v>
      </c>
      <c r="H1577" s="44">
        <v>44074</v>
      </c>
      <c r="I1577" s="44">
        <v>44077</v>
      </c>
      <c r="J1577">
        <v>209.34</v>
      </c>
      <c r="K1577">
        <v>34.89</v>
      </c>
      <c r="L1577" t="s">
        <v>4285</v>
      </c>
      <c r="M1577" s="45" t="s">
        <v>98</v>
      </c>
      <c r="N1577" s="38" t="s">
        <v>230</v>
      </c>
      <c r="O1577" s="38" t="s">
        <v>287</v>
      </c>
      <c r="P1577" s="38" t="s">
        <v>60</v>
      </c>
      <c r="Q1577" s="38" t="s">
        <v>46</v>
      </c>
      <c r="R1577" s="38" t="s">
        <v>270</v>
      </c>
      <c r="S1577" s="38" t="s">
        <v>4286</v>
      </c>
      <c r="T1577" s="38" t="s">
        <v>4288</v>
      </c>
      <c r="U1577" s="38"/>
      <c r="V1577" s="38"/>
      <c r="W1577" s="38"/>
      <c r="X1577" s="14"/>
      <c r="AI1577" s="53">
        <f t="shared" si="82"/>
        <v>34.89</v>
      </c>
      <c r="AN1577" s="7" t="s">
        <v>145</v>
      </c>
      <c r="AO1577" s="21">
        <f t="shared" si="79"/>
        <v>34.89</v>
      </c>
      <c r="AP1577" s="7">
        <f t="shared" si="80"/>
        <v>0</v>
      </c>
      <c r="AQ1577" s="31" t="str">
        <f t="shared" si="81"/>
        <v>Complete - With Adjustment</v>
      </c>
    </row>
    <row r="1578" spans="1:43" x14ac:dyDescent="0.2">
      <c r="A1578" s="46">
        <v>1568</v>
      </c>
      <c r="B1578" s="38" t="s">
        <v>266</v>
      </c>
      <c r="C1578" s="38" t="s">
        <v>286</v>
      </c>
      <c r="D1578" s="38" t="s">
        <v>285</v>
      </c>
      <c r="E1578" s="38" t="s">
        <v>4283</v>
      </c>
      <c r="F1578" s="38" t="s">
        <v>4284</v>
      </c>
      <c r="G1578" s="38" t="s">
        <v>111</v>
      </c>
      <c r="H1578" s="44">
        <v>44074</v>
      </c>
      <c r="I1578" s="44">
        <v>44077</v>
      </c>
      <c r="J1578">
        <v>209.34</v>
      </c>
      <c r="K1578">
        <v>34.89</v>
      </c>
      <c r="L1578" t="s">
        <v>4285</v>
      </c>
      <c r="M1578" s="45" t="s">
        <v>98</v>
      </c>
      <c r="N1578" s="38" t="s">
        <v>230</v>
      </c>
      <c r="O1578" s="38" t="s">
        <v>287</v>
      </c>
      <c r="P1578" s="38" t="s">
        <v>60</v>
      </c>
      <c r="Q1578" s="38" t="s">
        <v>46</v>
      </c>
      <c r="R1578" s="38" t="s">
        <v>270</v>
      </c>
      <c r="S1578" s="38" t="s">
        <v>4286</v>
      </c>
      <c r="T1578" s="38" t="s">
        <v>4288</v>
      </c>
      <c r="U1578" s="38"/>
      <c r="V1578" s="38"/>
      <c r="W1578" s="38"/>
      <c r="X1578" s="14"/>
      <c r="AI1578" s="53">
        <f t="shared" si="82"/>
        <v>34.89</v>
      </c>
      <c r="AN1578" s="7" t="s">
        <v>145</v>
      </c>
      <c r="AO1578" s="21">
        <f t="shared" si="79"/>
        <v>34.89</v>
      </c>
      <c r="AP1578" s="7">
        <f t="shared" si="80"/>
        <v>0</v>
      </c>
      <c r="AQ1578" s="31" t="str">
        <f t="shared" si="81"/>
        <v>Complete - With Adjustment</v>
      </c>
    </row>
    <row r="1579" spans="1:43" x14ac:dyDescent="0.2">
      <c r="A1579" s="46">
        <v>1569</v>
      </c>
      <c r="B1579" s="38" t="s">
        <v>266</v>
      </c>
      <c r="C1579" s="38" t="s">
        <v>286</v>
      </c>
      <c r="D1579" s="38" t="s">
        <v>285</v>
      </c>
      <c r="E1579" s="38" t="s">
        <v>4283</v>
      </c>
      <c r="F1579" s="38" t="s">
        <v>4284</v>
      </c>
      <c r="G1579" s="38" t="s">
        <v>111</v>
      </c>
      <c r="H1579" s="44">
        <v>44074</v>
      </c>
      <c r="I1579" s="44">
        <v>44077</v>
      </c>
      <c r="J1579">
        <v>209.34</v>
      </c>
      <c r="K1579">
        <v>34.89</v>
      </c>
      <c r="L1579" t="s">
        <v>4285</v>
      </c>
      <c r="M1579" s="45" t="s">
        <v>98</v>
      </c>
      <c r="N1579" s="38" t="s">
        <v>230</v>
      </c>
      <c r="O1579" s="38" t="s">
        <v>287</v>
      </c>
      <c r="P1579" s="38" t="s">
        <v>60</v>
      </c>
      <c r="Q1579" s="38" t="s">
        <v>46</v>
      </c>
      <c r="R1579" s="38" t="s">
        <v>270</v>
      </c>
      <c r="S1579" s="38" t="s">
        <v>4286</v>
      </c>
      <c r="T1579" s="38" t="s">
        <v>4289</v>
      </c>
      <c r="U1579" s="38"/>
      <c r="V1579" s="38"/>
      <c r="W1579" s="38"/>
      <c r="X1579" s="14"/>
      <c r="AI1579" s="53">
        <f t="shared" si="82"/>
        <v>34.89</v>
      </c>
      <c r="AN1579" s="7" t="s">
        <v>145</v>
      </c>
      <c r="AO1579" s="21">
        <f t="shared" si="79"/>
        <v>34.89</v>
      </c>
      <c r="AP1579" s="7">
        <f t="shared" si="80"/>
        <v>0</v>
      </c>
      <c r="AQ1579" s="31" t="str">
        <f t="shared" si="81"/>
        <v>Complete - With Adjustment</v>
      </c>
    </row>
    <row r="1580" spans="1:43" x14ac:dyDescent="0.2">
      <c r="A1580" s="46">
        <v>1570</v>
      </c>
      <c r="B1580" s="38" t="s">
        <v>266</v>
      </c>
      <c r="C1580" s="38" t="s">
        <v>286</v>
      </c>
      <c r="D1580" s="38" t="s">
        <v>285</v>
      </c>
      <c r="E1580" s="38" t="s">
        <v>4283</v>
      </c>
      <c r="F1580" s="38" t="s">
        <v>4284</v>
      </c>
      <c r="G1580" s="38" t="s">
        <v>111</v>
      </c>
      <c r="H1580" s="44">
        <v>44074</v>
      </c>
      <c r="I1580" s="44">
        <v>44077</v>
      </c>
      <c r="J1580">
        <v>209.34</v>
      </c>
      <c r="K1580">
        <v>34.89</v>
      </c>
      <c r="L1580" t="s">
        <v>4285</v>
      </c>
      <c r="M1580" s="45" t="s">
        <v>98</v>
      </c>
      <c r="N1580" s="38" t="s">
        <v>230</v>
      </c>
      <c r="O1580" s="38" t="s">
        <v>287</v>
      </c>
      <c r="P1580" s="38" t="s">
        <v>60</v>
      </c>
      <c r="Q1580" s="38" t="s">
        <v>46</v>
      </c>
      <c r="R1580" s="38" t="s">
        <v>270</v>
      </c>
      <c r="S1580" s="38" t="s">
        <v>4286</v>
      </c>
      <c r="T1580" s="38" t="s">
        <v>4288</v>
      </c>
      <c r="U1580" s="38"/>
      <c r="V1580" s="38"/>
      <c r="W1580" s="38"/>
      <c r="X1580" s="14"/>
      <c r="AI1580" s="53">
        <f t="shared" si="82"/>
        <v>34.89</v>
      </c>
      <c r="AN1580" s="7" t="s">
        <v>145</v>
      </c>
      <c r="AO1580" s="21">
        <f t="shared" si="79"/>
        <v>34.89</v>
      </c>
      <c r="AP1580" s="7">
        <f t="shared" si="80"/>
        <v>0</v>
      </c>
      <c r="AQ1580" s="31" t="str">
        <f t="shared" si="81"/>
        <v>Complete - With Adjustment</v>
      </c>
    </row>
    <row r="1581" spans="1:43" x14ac:dyDescent="0.2">
      <c r="A1581" s="46">
        <v>1571</v>
      </c>
      <c r="B1581" s="38" t="s">
        <v>266</v>
      </c>
      <c r="C1581" s="38" t="s">
        <v>286</v>
      </c>
      <c r="D1581" s="38" t="s">
        <v>285</v>
      </c>
      <c r="E1581" s="38" t="s">
        <v>4290</v>
      </c>
      <c r="F1581" s="38" t="s">
        <v>4291</v>
      </c>
      <c r="G1581" s="38" t="s">
        <v>111</v>
      </c>
      <c r="H1581" s="44">
        <v>44076</v>
      </c>
      <c r="I1581" s="44">
        <v>44078</v>
      </c>
      <c r="J1581">
        <v>6059.84</v>
      </c>
      <c r="K1581">
        <v>6059.84</v>
      </c>
      <c r="L1581" t="s">
        <v>4292</v>
      </c>
      <c r="M1581" s="45" t="s">
        <v>96</v>
      </c>
      <c r="N1581" s="38" t="s">
        <v>230</v>
      </c>
      <c r="O1581" s="38" t="s">
        <v>50</v>
      </c>
      <c r="P1581" s="38" t="s">
        <v>51</v>
      </c>
      <c r="Q1581" s="38" t="s">
        <v>57</v>
      </c>
      <c r="R1581" s="38" t="s">
        <v>270</v>
      </c>
      <c r="S1581" s="38" t="s">
        <v>4293</v>
      </c>
      <c r="T1581" s="38" t="s">
        <v>4294</v>
      </c>
      <c r="U1581" s="38" t="s">
        <v>4295</v>
      </c>
      <c r="V1581" s="38" t="s">
        <v>112</v>
      </c>
      <c r="W1581" s="38" t="s">
        <v>58</v>
      </c>
      <c r="X1581" s="14"/>
      <c r="AN1581" s="7" t="s">
        <v>4296</v>
      </c>
      <c r="AO1581" s="21">
        <f t="shared" si="79"/>
        <v>0</v>
      </c>
      <c r="AP1581" s="7">
        <f t="shared" si="80"/>
        <v>6059.84</v>
      </c>
      <c r="AQ1581" s="31" t="str">
        <f t="shared" si="81"/>
        <v>Complete - No Adjustment</v>
      </c>
    </row>
    <row r="1582" spans="1:43" x14ac:dyDescent="0.2">
      <c r="A1582" s="46">
        <v>1572</v>
      </c>
      <c r="B1582" s="38" t="s">
        <v>266</v>
      </c>
      <c r="C1582" s="38" t="s">
        <v>740</v>
      </c>
      <c r="D1582" s="38" t="s">
        <v>739</v>
      </c>
      <c r="E1582" s="38" t="s">
        <v>4297</v>
      </c>
      <c r="F1582" s="38" t="s">
        <v>4298</v>
      </c>
      <c r="G1582" s="38" t="s">
        <v>111</v>
      </c>
      <c r="H1582" s="44">
        <v>44097</v>
      </c>
      <c r="I1582" s="44">
        <v>44103</v>
      </c>
      <c r="J1582">
        <v>388.9</v>
      </c>
      <c r="K1582">
        <v>375</v>
      </c>
      <c r="L1582" t="s">
        <v>4299</v>
      </c>
      <c r="M1582" s="45" t="s">
        <v>97</v>
      </c>
      <c r="N1582" s="38" t="s">
        <v>230</v>
      </c>
      <c r="O1582" s="38" t="s">
        <v>365</v>
      </c>
      <c r="P1582" s="38" t="s">
        <v>42</v>
      </c>
      <c r="Q1582" s="38" t="s">
        <v>55</v>
      </c>
      <c r="R1582" s="38" t="s">
        <v>270</v>
      </c>
      <c r="S1582" s="38" t="s">
        <v>4300</v>
      </c>
      <c r="T1582" s="38" t="s">
        <v>4301</v>
      </c>
      <c r="U1582" s="38"/>
      <c r="V1582" s="38"/>
      <c r="W1582" s="38"/>
      <c r="X1582" s="14"/>
      <c r="AI1582" s="53">
        <f>375</f>
        <v>375</v>
      </c>
      <c r="AN1582" s="7" t="s">
        <v>145</v>
      </c>
      <c r="AO1582" s="21">
        <f t="shared" si="79"/>
        <v>375</v>
      </c>
      <c r="AP1582" s="7">
        <f t="shared" si="80"/>
        <v>0</v>
      </c>
      <c r="AQ1582" s="31" t="str">
        <f t="shared" si="81"/>
        <v>Complete - With Adjustment</v>
      </c>
    </row>
    <row r="1583" spans="1:43" x14ac:dyDescent="0.2">
      <c r="A1583" s="46">
        <v>1573</v>
      </c>
      <c r="B1583" s="38" t="s">
        <v>266</v>
      </c>
      <c r="C1583" s="38" t="s">
        <v>740</v>
      </c>
      <c r="D1583" s="38" t="s">
        <v>739</v>
      </c>
      <c r="E1583" s="38" t="s">
        <v>4297</v>
      </c>
      <c r="F1583" s="38" t="s">
        <v>4298</v>
      </c>
      <c r="G1583" s="38" t="s">
        <v>111</v>
      </c>
      <c r="H1583" s="44">
        <v>44097</v>
      </c>
      <c r="I1583" s="44">
        <v>44103</v>
      </c>
      <c r="J1583">
        <v>388.9</v>
      </c>
      <c r="K1583">
        <v>13.9</v>
      </c>
      <c r="L1583" t="s">
        <v>4299</v>
      </c>
      <c r="M1583" s="45" t="s">
        <v>98</v>
      </c>
      <c r="N1583" s="38" t="s">
        <v>230</v>
      </c>
      <c r="O1583" s="38" t="s">
        <v>365</v>
      </c>
      <c r="P1583" s="38" t="s">
        <v>60</v>
      </c>
      <c r="Q1583" s="38" t="s">
        <v>41</v>
      </c>
      <c r="R1583" s="38" t="s">
        <v>270</v>
      </c>
      <c r="S1583" s="38" t="s">
        <v>4300</v>
      </c>
      <c r="T1583" s="38" t="s">
        <v>4302</v>
      </c>
      <c r="U1583" s="38"/>
      <c r="V1583" s="38"/>
      <c r="W1583" s="38"/>
      <c r="X1583" s="14"/>
      <c r="AN1583" s="7" t="s">
        <v>4219</v>
      </c>
      <c r="AO1583" s="21">
        <f t="shared" si="79"/>
        <v>0</v>
      </c>
      <c r="AP1583" s="7">
        <f t="shared" si="80"/>
        <v>13.9</v>
      </c>
      <c r="AQ1583" s="31" t="str">
        <f t="shared" si="81"/>
        <v>Complete - No Adjustment</v>
      </c>
    </row>
    <row r="1584" spans="1:43" x14ac:dyDescent="0.2">
      <c r="A1584" s="46">
        <v>1574</v>
      </c>
      <c r="B1584" s="38" t="s">
        <v>266</v>
      </c>
      <c r="C1584" s="38" t="s">
        <v>291</v>
      </c>
      <c r="D1584" s="38" t="s">
        <v>290</v>
      </c>
      <c r="E1584" s="38" t="s">
        <v>4303</v>
      </c>
      <c r="F1584" s="38" t="s">
        <v>4304</v>
      </c>
      <c r="G1584" s="38" t="s">
        <v>111</v>
      </c>
      <c r="H1584" s="44">
        <v>44067</v>
      </c>
      <c r="I1584" s="44">
        <v>44088</v>
      </c>
      <c r="J1584">
        <v>369.38</v>
      </c>
      <c r="K1584">
        <v>67.849999999999994</v>
      </c>
      <c r="L1584" t="s">
        <v>4305</v>
      </c>
      <c r="M1584" s="45" t="s">
        <v>98</v>
      </c>
      <c r="N1584" s="38" t="s">
        <v>230</v>
      </c>
      <c r="O1584" s="38" t="s">
        <v>292</v>
      </c>
      <c r="P1584" s="38" t="s">
        <v>60</v>
      </c>
      <c r="Q1584" s="38" t="s">
        <v>44</v>
      </c>
      <c r="R1584" s="38" t="s">
        <v>270</v>
      </c>
      <c r="S1584" s="38" t="s">
        <v>4306</v>
      </c>
      <c r="T1584" s="38" t="s">
        <v>4307</v>
      </c>
      <c r="U1584" s="38"/>
      <c r="V1584" s="38"/>
      <c r="W1584" s="38"/>
      <c r="X1584" s="14"/>
      <c r="AI1584" s="53">
        <f>67.85</f>
        <v>67.849999999999994</v>
      </c>
      <c r="AN1584" s="7" t="s">
        <v>145</v>
      </c>
      <c r="AO1584" s="21">
        <f t="shared" si="79"/>
        <v>67.849999999999994</v>
      </c>
      <c r="AP1584" s="7">
        <f t="shared" si="80"/>
        <v>0</v>
      </c>
      <c r="AQ1584" s="31" t="str">
        <f t="shared" si="81"/>
        <v>Complete - With Adjustment</v>
      </c>
    </row>
    <row r="1585" spans="1:43" x14ac:dyDescent="0.2">
      <c r="A1585" s="46">
        <v>1575</v>
      </c>
      <c r="B1585" s="38" t="s">
        <v>266</v>
      </c>
      <c r="C1585" s="38" t="s">
        <v>291</v>
      </c>
      <c r="D1585" s="38" t="s">
        <v>290</v>
      </c>
      <c r="E1585" s="38" t="s">
        <v>4303</v>
      </c>
      <c r="F1585" s="38" t="s">
        <v>4304</v>
      </c>
      <c r="G1585" s="38" t="s">
        <v>111</v>
      </c>
      <c r="H1585" s="44">
        <v>44067</v>
      </c>
      <c r="I1585" s="44">
        <v>44088</v>
      </c>
      <c r="J1585">
        <v>369.38</v>
      </c>
      <c r="K1585">
        <v>294.22000000000003</v>
      </c>
      <c r="L1585" t="s">
        <v>4305</v>
      </c>
      <c r="M1585" s="45" t="s">
        <v>98</v>
      </c>
      <c r="N1585" s="38" t="s">
        <v>230</v>
      </c>
      <c r="O1585" s="38" t="s">
        <v>292</v>
      </c>
      <c r="P1585" s="38" t="s">
        <v>60</v>
      </c>
      <c r="Q1585" s="38" t="s">
        <v>75</v>
      </c>
      <c r="R1585" s="38" t="s">
        <v>270</v>
      </c>
      <c r="S1585" s="38" t="s">
        <v>4306</v>
      </c>
      <c r="T1585" s="38" t="s">
        <v>4308</v>
      </c>
      <c r="U1585" s="38"/>
      <c r="V1585" s="38"/>
      <c r="W1585" s="38"/>
      <c r="X1585" s="14"/>
      <c r="AN1585" s="7" t="s">
        <v>70</v>
      </c>
      <c r="AO1585" s="21">
        <f t="shared" si="79"/>
        <v>0</v>
      </c>
      <c r="AP1585" s="7">
        <f t="shared" si="80"/>
        <v>294.22000000000003</v>
      </c>
      <c r="AQ1585" s="31" t="str">
        <f t="shared" si="81"/>
        <v>Complete - No Adjustment</v>
      </c>
    </row>
    <row r="1586" spans="1:43" x14ac:dyDescent="0.2">
      <c r="A1586" s="46">
        <v>1576</v>
      </c>
      <c r="B1586" s="38" t="s">
        <v>266</v>
      </c>
      <c r="C1586" s="38" t="s">
        <v>291</v>
      </c>
      <c r="D1586" s="38" t="s">
        <v>290</v>
      </c>
      <c r="E1586" s="38" t="s">
        <v>4303</v>
      </c>
      <c r="F1586" s="38" t="s">
        <v>4304</v>
      </c>
      <c r="G1586" s="38" t="s">
        <v>111</v>
      </c>
      <c r="H1586" s="44">
        <v>44067</v>
      </c>
      <c r="I1586" s="44">
        <v>44088</v>
      </c>
      <c r="J1586">
        <v>369.38</v>
      </c>
      <c r="K1586">
        <v>7.31</v>
      </c>
      <c r="L1586" t="s">
        <v>4305</v>
      </c>
      <c r="M1586" s="45" t="s">
        <v>98</v>
      </c>
      <c r="N1586" s="38" t="s">
        <v>230</v>
      </c>
      <c r="O1586" s="38" t="s">
        <v>292</v>
      </c>
      <c r="P1586" s="38" t="s">
        <v>60</v>
      </c>
      <c r="Q1586" s="38" t="s">
        <v>41</v>
      </c>
      <c r="R1586" s="38" t="s">
        <v>270</v>
      </c>
      <c r="S1586" s="38" t="s">
        <v>4306</v>
      </c>
      <c r="T1586" s="38" t="s">
        <v>4309</v>
      </c>
      <c r="U1586" s="38"/>
      <c r="V1586" s="38"/>
      <c r="W1586" s="38"/>
      <c r="X1586" s="14"/>
      <c r="AI1586" s="53">
        <f>7.31</f>
        <v>7.31</v>
      </c>
      <c r="AN1586" s="7" t="s">
        <v>145</v>
      </c>
      <c r="AO1586" s="21">
        <f t="shared" si="79"/>
        <v>7.31</v>
      </c>
      <c r="AP1586" s="7">
        <f t="shared" si="80"/>
        <v>0</v>
      </c>
      <c r="AQ1586" s="31" t="str">
        <f t="shared" si="81"/>
        <v>Complete - With Adjustment</v>
      </c>
    </row>
    <row r="1587" spans="1:43" x14ac:dyDescent="0.2">
      <c r="A1587" s="46">
        <v>1577</v>
      </c>
      <c r="B1587" s="38" t="s">
        <v>266</v>
      </c>
      <c r="C1587" s="38" t="s">
        <v>667</v>
      </c>
      <c r="D1587" s="38" t="s">
        <v>666</v>
      </c>
      <c r="E1587" s="38" t="s">
        <v>4310</v>
      </c>
      <c r="F1587" s="38" t="s">
        <v>4298</v>
      </c>
      <c r="G1587" s="38" t="s">
        <v>111</v>
      </c>
      <c r="H1587" s="44">
        <v>44099</v>
      </c>
      <c r="I1587" s="44">
        <v>44103</v>
      </c>
      <c r="J1587">
        <v>44.2</v>
      </c>
      <c r="K1587">
        <v>44.2</v>
      </c>
      <c r="L1587" t="s">
        <v>4311</v>
      </c>
      <c r="M1587" s="45" t="s">
        <v>98</v>
      </c>
      <c r="N1587" s="38" t="s">
        <v>230</v>
      </c>
      <c r="O1587" s="38" t="s">
        <v>484</v>
      </c>
      <c r="P1587" s="38" t="s">
        <v>60</v>
      </c>
      <c r="Q1587" s="38" t="s">
        <v>62</v>
      </c>
      <c r="R1587" s="38" t="s">
        <v>270</v>
      </c>
      <c r="S1587" s="38" t="s">
        <v>4312</v>
      </c>
      <c r="T1587" s="38" t="s">
        <v>4313</v>
      </c>
      <c r="U1587" s="38"/>
      <c r="V1587" s="38"/>
      <c r="W1587" s="38"/>
      <c r="X1587" s="14"/>
      <c r="AN1587" s="7" t="s">
        <v>155</v>
      </c>
      <c r="AO1587" s="21">
        <f t="shared" si="79"/>
        <v>0</v>
      </c>
      <c r="AP1587" s="7">
        <f t="shared" si="80"/>
        <v>44.2</v>
      </c>
      <c r="AQ1587" s="31" t="str">
        <f t="shared" si="81"/>
        <v>Complete - No Adjustment</v>
      </c>
    </row>
    <row r="1588" spans="1:43" x14ac:dyDescent="0.2">
      <c r="A1588" s="46">
        <v>1578</v>
      </c>
      <c r="B1588" s="38" t="s">
        <v>266</v>
      </c>
      <c r="C1588" s="38" t="s">
        <v>296</v>
      </c>
      <c r="D1588" s="38" t="s">
        <v>295</v>
      </c>
      <c r="E1588" s="38" t="s">
        <v>4314</v>
      </c>
      <c r="F1588" s="38" t="s">
        <v>4221</v>
      </c>
      <c r="G1588" s="38" t="s">
        <v>111</v>
      </c>
      <c r="H1588" s="44">
        <v>44090</v>
      </c>
      <c r="I1588" s="44">
        <v>44097</v>
      </c>
      <c r="J1588">
        <v>14.35</v>
      </c>
      <c r="K1588">
        <v>14.35</v>
      </c>
      <c r="L1588" t="s">
        <v>4315</v>
      </c>
      <c r="M1588" s="45" t="s">
        <v>98</v>
      </c>
      <c r="N1588" s="38" t="s">
        <v>230</v>
      </c>
      <c r="O1588" s="38" t="s">
        <v>297</v>
      </c>
      <c r="P1588" s="38" t="s">
        <v>60</v>
      </c>
      <c r="Q1588" s="38" t="s">
        <v>41</v>
      </c>
      <c r="R1588" s="38" t="s">
        <v>270</v>
      </c>
      <c r="S1588" s="38" t="s">
        <v>4316</v>
      </c>
      <c r="T1588" s="38" t="s">
        <v>4317</v>
      </c>
      <c r="U1588" s="38"/>
      <c r="V1588" s="38"/>
      <c r="W1588" s="38"/>
      <c r="X1588" s="14"/>
      <c r="AN1588" s="7" t="s">
        <v>4219</v>
      </c>
      <c r="AO1588" s="21">
        <f t="shared" si="79"/>
        <v>0</v>
      </c>
      <c r="AP1588" s="7">
        <f t="shared" si="80"/>
        <v>14.35</v>
      </c>
      <c r="AQ1588" s="31" t="str">
        <f t="shared" si="81"/>
        <v>Complete - No Adjustment</v>
      </c>
    </row>
    <row r="1589" spans="1:43" x14ac:dyDescent="0.2">
      <c r="A1589" s="46">
        <v>1579</v>
      </c>
      <c r="B1589" s="38" t="s">
        <v>266</v>
      </c>
      <c r="C1589" s="38" t="s">
        <v>4318</v>
      </c>
      <c r="D1589" s="38" t="s">
        <v>4319</v>
      </c>
      <c r="E1589" s="38" t="s">
        <v>4320</v>
      </c>
      <c r="F1589" s="38" t="s">
        <v>4291</v>
      </c>
      <c r="G1589" s="38" t="s">
        <v>111</v>
      </c>
      <c r="H1589" s="44">
        <v>44076</v>
      </c>
      <c r="I1589" s="44">
        <v>44078</v>
      </c>
      <c r="J1589">
        <v>14.99</v>
      </c>
      <c r="K1589">
        <v>14.99</v>
      </c>
      <c r="L1589" t="s">
        <v>4321</v>
      </c>
      <c r="M1589" s="45" t="s">
        <v>98</v>
      </c>
      <c r="N1589" s="38" t="s">
        <v>230</v>
      </c>
      <c r="O1589" s="38" t="s">
        <v>444</v>
      </c>
      <c r="P1589" s="38" t="s">
        <v>60</v>
      </c>
      <c r="Q1589" s="38" t="s">
        <v>41</v>
      </c>
      <c r="R1589" s="38" t="s">
        <v>270</v>
      </c>
      <c r="S1589" s="38" t="s">
        <v>4322</v>
      </c>
      <c r="T1589" s="38" t="s">
        <v>4323</v>
      </c>
      <c r="U1589" s="38"/>
      <c r="V1589" s="38"/>
      <c r="W1589" s="38"/>
      <c r="X1589" s="14"/>
      <c r="AI1589" s="53">
        <f>14.99</f>
        <v>14.99</v>
      </c>
      <c r="AN1589" s="7" t="s">
        <v>145</v>
      </c>
      <c r="AO1589" s="21">
        <f t="shared" si="79"/>
        <v>14.99</v>
      </c>
      <c r="AP1589" s="7">
        <f t="shared" si="80"/>
        <v>0</v>
      </c>
      <c r="AQ1589" s="31" t="str">
        <f t="shared" si="81"/>
        <v>Complete - With Adjustment</v>
      </c>
    </row>
    <row r="1590" spans="1:43" x14ac:dyDescent="0.2">
      <c r="A1590" s="46">
        <v>1580</v>
      </c>
      <c r="B1590" s="38" t="s">
        <v>266</v>
      </c>
      <c r="C1590" s="38" t="s">
        <v>4324</v>
      </c>
      <c r="D1590" s="38" t="s">
        <v>4325</v>
      </c>
      <c r="E1590" s="38" t="s">
        <v>4326</v>
      </c>
      <c r="F1590" s="38" t="s">
        <v>4298</v>
      </c>
      <c r="G1590" s="38" t="s">
        <v>111</v>
      </c>
      <c r="H1590" s="44">
        <v>44099</v>
      </c>
      <c r="I1590" s="44">
        <v>44103</v>
      </c>
      <c r="J1590">
        <v>3978.52</v>
      </c>
      <c r="K1590">
        <v>362.17</v>
      </c>
      <c r="L1590" t="s">
        <v>4327</v>
      </c>
      <c r="M1590" s="45" t="s">
        <v>97</v>
      </c>
      <c r="N1590" s="38" t="s">
        <v>230</v>
      </c>
      <c r="O1590" s="38" t="s">
        <v>386</v>
      </c>
      <c r="P1590" s="38" t="s">
        <v>42</v>
      </c>
      <c r="Q1590" s="38" t="s">
        <v>55</v>
      </c>
      <c r="R1590" s="38" t="s">
        <v>270</v>
      </c>
      <c r="S1590" s="38" t="s">
        <v>4328</v>
      </c>
      <c r="T1590" s="38" t="s">
        <v>4329</v>
      </c>
      <c r="U1590" s="38"/>
      <c r="V1590" s="38"/>
      <c r="W1590" s="38"/>
      <c r="X1590" s="14"/>
      <c r="AI1590" s="53">
        <f>362.17</f>
        <v>362.17</v>
      </c>
      <c r="AN1590" s="7" t="s">
        <v>145</v>
      </c>
      <c r="AO1590" s="21">
        <f t="shared" si="79"/>
        <v>362.17</v>
      </c>
      <c r="AP1590" s="7">
        <f t="shared" si="80"/>
        <v>0</v>
      </c>
      <c r="AQ1590" s="31" t="str">
        <f t="shared" si="81"/>
        <v>Complete - With Adjustment</v>
      </c>
    </row>
    <row r="1591" spans="1:43" x14ac:dyDescent="0.2">
      <c r="A1591" s="46">
        <v>1581</v>
      </c>
      <c r="B1591" s="38" t="s">
        <v>266</v>
      </c>
      <c r="C1591" s="38" t="s">
        <v>4324</v>
      </c>
      <c r="D1591" s="38" t="s">
        <v>4325</v>
      </c>
      <c r="E1591" s="38" t="s">
        <v>4326</v>
      </c>
      <c r="F1591" s="38" t="s">
        <v>4298</v>
      </c>
      <c r="G1591" s="38" t="s">
        <v>111</v>
      </c>
      <c r="H1591" s="44">
        <v>44099</v>
      </c>
      <c r="I1591" s="44">
        <v>44103</v>
      </c>
      <c r="J1591">
        <v>3978.52</v>
      </c>
      <c r="K1591">
        <v>324.73</v>
      </c>
      <c r="L1591" t="s">
        <v>4327</v>
      </c>
      <c r="M1591" s="45" t="s">
        <v>97</v>
      </c>
      <c r="N1591" s="38" t="s">
        <v>230</v>
      </c>
      <c r="O1591" s="38" t="s">
        <v>386</v>
      </c>
      <c r="P1591" s="38" t="s">
        <v>42</v>
      </c>
      <c r="Q1591" s="38" t="s">
        <v>55</v>
      </c>
      <c r="R1591" s="38" t="s">
        <v>270</v>
      </c>
      <c r="S1591" s="38" t="s">
        <v>4328</v>
      </c>
      <c r="T1591" s="38" t="s">
        <v>4330</v>
      </c>
      <c r="U1591" s="38"/>
      <c r="V1591" s="38"/>
      <c r="W1591" s="38"/>
      <c r="X1591" s="14"/>
      <c r="AI1591" s="53">
        <f>324.73</f>
        <v>324.73</v>
      </c>
      <c r="AN1591" s="7" t="s">
        <v>145</v>
      </c>
      <c r="AO1591" s="21">
        <f t="shared" si="79"/>
        <v>324.73</v>
      </c>
      <c r="AP1591" s="7">
        <f t="shared" si="80"/>
        <v>0</v>
      </c>
      <c r="AQ1591" s="31" t="str">
        <f t="shared" si="81"/>
        <v>Complete - With Adjustment</v>
      </c>
    </row>
    <row r="1592" spans="1:43" x14ac:dyDescent="0.2">
      <c r="A1592" s="46">
        <v>1582</v>
      </c>
      <c r="B1592" s="38" t="s">
        <v>266</v>
      </c>
      <c r="C1592" s="38" t="s">
        <v>4324</v>
      </c>
      <c r="D1592" s="38" t="s">
        <v>4325</v>
      </c>
      <c r="E1592" s="38" t="s">
        <v>4326</v>
      </c>
      <c r="F1592" s="38" t="s">
        <v>4298</v>
      </c>
      <c r="G1592" s="38" t="s">
        <v>111</v>
      </c>
      <c r="H1592" s="44">
        <v>44099</v>
      </c>
      <c r="I1592" s="44">
        <v>44103</v>
      </c>
      <c r="J1592">
        <v>3978.52</v>
      </c>
      <c r="K1592">
        <v>265.61</v>
      </c>
      <c r="L1592" t="s">
        <v>4327</v>
      </c>
      <c r="M1592" s="45" t="s">
        <v>97</v>
      </c>
      <c r="N1592" s="38" t="s">
        <v>230</v>
      </c>
      <c r="O1592" s="38" t="s">
        <v>386</v>
      </c>
      <c r="P1592" s="38" t="s">
        <v>42</v>
      </c>
      <c r="Q1592" s="38" t="s">
        <v>55</v>
      </c>
      <c r="R1592" s="38" t="s">
        <v>270</v>
      </c>
      <c r="S1592" s="38" t="s">
        <v>4328</v>
      </c>
      <c r="T1592" s="38" t="s">
        <v>4331</v>
      </c>
      <c r="U1592" s="38"/>
      <c r="V1592" s="38"/>
      <c r="W1592" s="38"/>
      <c r="X1592" s="14"/>
      <c r="AI1592" s="53">
        <f>265.61</f>
        <v>265.61</v>
      </c>
      <c r="AN1592" s="7" t="s">
        <v>145</v>
      </c>
      <c r="AO1592" s="21">
        <f t="shared" si="79"/>
        <v>265.61</v>
      </c>
      <c r="AP1592" s="7">
        <f t="shared" si="80"/>
        <v>0</v>
      </c>
      <c r="AQ1592" s="31" t="str">
        <f t="shared" si="81"/>
        <v>Complete - With Adjustment</v>
      </c>
    </row>
    <row r="1593" spans="1:43" x14ac:dyDescent="0.2">
      <c r="A1593" s="46">
        <v>1583</v>
      </c>
      <c r="B1593" s="38" t="s">
        <v>266</v>
      </c>
      <c r="C1593" s="38" t="s">
        <v>4324</v>
      </c>
      <c r="D1593" s="38" t="s">
        <v>4325</v>
      </c>
      <c r="E1593" s="38" t="s">
        <v>4326</v>
      </c>
      <c r="F1593" s="38" t="s">
        <v>4298</v>
      </c>
      <c r="G1593" s="38" t="s">
        <v>111</v>
      </c>
      <c r="H1593" s="44">
        <v>44099</v>
      </c>
      <c r="I1593" s="44">
        <v>44103</v>
      </c>
      <c r="J1593">
        <v>3978.52</v>
      </c>
      <c r="K1593">
        <v>301.33</v>
      </c>
      <c r="L1593" t="s">
        <v>4327</v>
      </c>
      <c r="M1593" s="45" t="s">
        <v>97</v>
      </c>
      <c r="N1593" s="38" t="s">
        <v>230</v>
      </c>
      <c r="O1593" s="38" t="s">
        <v>386</v>
      </c>
      <c r="P1593" s="38" t="s">
        <v>42</v>
      </c>
      <c r="Q1593" s="38" t="s">
        <v>55</v>
      </c>
      <c r="R1593" s="38" t="s">
        <v>270</v>
      </c>
      <c r="S1593" s="38" t="s">
        <v>4328</v>
      </c>
      <c r="T1593" s="38" t="s">
        <v>4332</v>
      </c>
      <c r="U1593" s="38"/>
      <c r="V1593" s="38"/>
      <c r="W1593" s="38"/>
      <c r="X1593" s="14"/>
      <c r="AI1593" s="53">
        <f>301.33</f>
        <v>301.33</v>
      </c>
      <c r="AN1593" s="7" t="s">
        <v>145</v>
      </c>
      <c r="AO1593" s="21">
        <f t="shared" si="79"/>
        <v>301.33</v>
      </c>
      <c r="AP1593" s="7">
        <f t="shared" si="80"/>
        <v>0</v>
      </c>
      <c r="AQ1593" s="31" t="str">
        <f t="shared" si="81"/>
        <v>Complete - With Adjustment</v>
      </c>
    </row>
    <row r="1594" spans="1:43" x14ac:dyDescent="0.2">
      <c r="A1594" s="46">
        <v>1584</v>
      </c>
      <c r="B1594" s="38" t="s">
        <v>266</v>
      </c>
      <c r="C1594" s="38" t="s">
        <v>4324</v>
      </c>
      <c r="D1594" s="38" t="s">
        <v>4325</v>
      </c>
      <c r="E1594" s="38" t="s">
        <v>4326</v>
      </c>
      <c r="F1594" s="38" t="s">
        <v>4298</v>
      </c>
      <c r="G1594" s="38" t="s">
        <v>111</v>
      </c>
      <c r="H1594" s="44">
        <v>44099</v>
      </c>
      <c r="I1594" s="44">
        <v>44103</v>
      </c>
      <c r="J1594">
        <v>3978.52</v>
      </c>
      <c r="K1594">
        <v>250</v>
      </c>
      <c r="L1594" t="s">
        <v>4327</v>
      </c>
      <c r="M1594" s="45" t="s">
        <v>97</v>
      </c>
      <c r="N1594" s="38" t="s">
        <v>230</v>
      </c>
      <c r="O1594" s="38" t="s">
        <v>386</v>
      </c>
      <c r="P1594" s="38" t="s">
        <v>42</v>
      </c>
      <c r="Q1594" s="38" t="s">
        <v>55</v>
      </c>
      <c r="R1594" s="38" t="s">
        <v>270</v>
      </c>
      <c r="S1594" s="38" t="s">
        <v>4328</v>
      </c>
      <c r="T1594" s="38" t="s">
        <v>4333</v>
      </c>
      <c r="U1594" s="38"/>
      <c r="V1594" s="38"/>
      <c r="W1594" s="38"/>
      <c r="X1594" s="14"/>
      <c r="AI1594" s="53">
        <f>250</f>
        <v>250</v>
      </c>
      <c r="AN1594" s="7" t="s">
        <v>145</v>
      </c>
      <c r="AO1594" s="21">
        <f t="shared" si="79"/>
        <v>250</v>
      </c>
      <c r="AP1594" s="7">
        <f t="shared" si="80"/>
        <v>0</v>
      </c>
      <c r="AQ1594" s="31" t="str">
        <f t="shared" si="81"/>
        <v>Complete - With Adjustment</v>
      </c>
    </row>
    <row r="1595" spans="1:43" x14ac:dyDescent="0.2">
      <c r="A1595" s="46">
        <v>1585</v>
      </c>
      <c r="B1595" s="38" t="s">
        <v>266</v>
      </c>
      <c r="C1595" s="38" t="s">
        <v>4324</v>
      </c>
      <c r="D1595" s="38" t="s">
        <v>4325</v>
      </c>
      <c r="E1595" s="38" t="s">
        <v>4326</v>
      </c>
      <c r="F1595" s="38" t="s">
        <v>4298</v>
      </c>
      <c r="G1595" s="38" t="s">
        <v>111</v>
      </c>
      <c r="H1595" s="44">
        <v>44099</v>
      </c>
      <c r="I1595" s="44">
        <v>44103</v>
      </c>
      <c r="J1595">
        <v>3978.52</v>
      </c>
      <c r="K1595">
        <v>268.7</v>
      </c>
      <c r="L1595" t="s">
        <v>4327</v>
      </c>
      <c r="M1595" s="45" t="s">
        <v>97</v>
      </c>
      <c r="N1595" s="38" t="s">
        <v>230</v>
      </c>
      <c r="O1595" s="38" t="s">
        <v>386</v>
      </c>
      <c r="P1595" s="38" t="s">
        <v>42</v>
      </c>
      <c r="Q1595" s="38" t="s">
        <v>55</v>
      </c>
      <c r="R1595" s="38" t="s">
        <v>270</v>
      </c>
      <c r="S1595" s="38" t="s">
        <v>4328</v>
      </c>
      <c r="T1595" s="38" t="s">
        <v>4334</v>
      </c>
      <c r="U1595" s="38"/>
      <c r="V1595" s="38"/>
      <c r="W1595" s="38"/>
      <c r="X1595" s="14"/>
      <c r="AI1595" s="53">
        <f>268.7</f>
        <v>268.7</v>
      </c>
      <c r="AN1595" s="7" t="s">
        <v>145</v>
      </c>
      <c r="AO1595" s="21">
        <f t="shared" si="79"/>
        <v>268.7</v>
      </c>
      <c r="AP1595" s="7">
        <f t="shared" si="80"/>
        <v>0</v>
      </c>
      <c r="AQ1595" s="31" t="str">
        <f t="shared" si="81"/>
        <v>Complete - With Adjustment</v>
      </c>
    </row>
    <row r="1596" spans="1:43" x14ac:dyDescent="0.2">
      <c r="A1596" s="46">
        <v>1586</v>
      </c>
      <c r="B1596" s="38" t="s">
        <v>266</v>
      </c>
      <c r="C1596" s="38" t="s">
        <v>4324</v>
      </c>
      <c r="D1596" s="38" t="s">
        <v>4325</v>
      </c>
      <c r="E1596" s="38" t="s">
        <v>4326</v>
      </c>
      <c r="F1596" s="38" t="s">
        <v>4298</v>
      </c>
      <c r="G1596" s="38" t="s">
        <v>111</v>
      </c>
      <c r="H1596" s="44">
        <v>44099</v>
      </c>
      <c r="I1596" s="44">
        <v>44103</v>
      </c>
      <c r="J1596">
        <v>3978.52</v>
      </c>
      <c r="K1596">
        <v>324.74</v>
      </c>
      <c r="L1596" t="s">
        <v>4327</v>
      </c>
      <c r="M1596" s="45" t="s">
        <v>97</v>
      </c>
      <c r="N1596" s="38" t="s">
        <v>230</v>
      </c>
      <c r="O1596" s="38" t="s">
        <v>386</v>
      </c>
      <c r="P1596" s="38" t="s">
        <v>42</v>
      </c>
      <c r="Q1596" s="38" t="s">
        <v>55</v>
      </c>
      <c r="R1596" s="38" t="s">
        <v>270</v>
      </c>
      <c r="S1596" s="38" t="s">
        <v>4328</v>
      </c>
      <c r="T1596" s="38" t="s">
        <v>4335</v>
      </c>
      <c r="U1596" s="38"/>
      <c r="V1596" s="38"/>
      <c r="W1596" s="38"/>
      <c r="X1596" s="14"/>
      <c r="AI1596" s="53">
        <f>324.74</f>
        <v>324.74</v>
      </c>
      <c r="AN1596" s="7" t="s">
        <v>145</v>
      </c>
      <c r="AO1596" s="21">
        <f t="shared" si="79"/>
        <v>324.74</v>
      </c>
      <c r="AP1596" s="7">
        <f t="shared" si="80"/>
        <v>0</v>
      </c>
      <c r="AQ1596" s="31" t="str">
        <f t="shared" si="81"/>
        <v>Complete - With Adjustment</v>
      </c>
    </row>
    <row r="1597" spans="1:43" x14ac:dyDescent="0.2">
      <c r="A1597" s="46">
        <v>1587</v>
      </c>
      <c r="B1597" s="38" t="s">
        <v>266</v>
      </c>
      <c r="C1597" s="38" t="s">
        <v>4324</v>
      </c>
      <c r="D1597" s="38" t="s">
        <v>4325</v>
      </c>
      <c r="E1597" s="38" t="s">
        <v>4326</v>
      </c>
      <c r="F1597" s="38" t="s">
        <v>4298</v>
      </c>
      <c r="G1597" s="38" t="s">
        <v>111</v>
      </c>
      <c r="H1597" s="44">
        <v>44099</v>
      </c>
      <c r="I1597" s="44">
        <v>44103</v>
      </c>
      <c r="J1597">
        <v>3978.52</v>
      </c>
      <c r="K1597">
        <v>250</v>
      </c>
      <c r="L1597" t="s">
        <v>4327</v>
      </c>
      <c r="M1597" s="45" t="s">
        <v>97</v>
      </c>
      <c r="N1597" s="38" t="s">
        <v>230</v>
      </c>
      <c r="O1597" s="38" t="s">
        <v>386</v>
      </c>
      <c r="P1597" s="38" t="s">
        <v>42</v>
      </c>
      <c r="Q1597" s="38" t="s">
        <v>55</v>
      </c>
      <c r="R1597" s="38" t="s">
        <v>270</v>
      </c>
      <c r="S1597" s="38" t="s">
        <v>4328</v>
      </c>
      <c r="T1597" s="38" t="s">
        <v>4336</v>
      </c>
      <c r="U1597" s="38"/>
      <c r="V1597" s="38"/>
      <c r="W1597" s="38"/>
      <c r="X1597" s="14"/>
      <c r="AI1597" s="53">
        <f>250</f>
        <v>250</v>
      </c>
      <c r="AN1597" s="7" t="s">
        <v>145</v>
      </c>
      <c r="AO1597" s="21">
        <f t="shared" si="79"/>
        <v>250</v>
      </c>
      <c r="AP1597" s="7">
        <f t="shared" si="80"/>
        <v>0</v>
      </c>
      <c r="AQ1597" s="31" t="str">
        <f t="shared" si="81"/>
        <v>Complete - With Adjustment</v>
      </c>
    </row>
    <row r="1598" spans="1:43" x14ac:dyDescent="0.2">
      <c r="A1598" s="46">
        <v>1588</v>
      </c>
      <c r="B1598" s="38" t="s">
        <v>266</v>
      </c>
      <c r="C1598" s="38" t="s">
        <v>4324</v>
      </c>
      <c r="D1598" s="38" t="s">
        <v>4325</v>
      </c>
      <c r="E1598" s="38" t="s">
        <v>4326</v>
      </c>
      <c r="F1598" s="38" t="s">
        <v>4298</v>
      </c>
      <c r="G1598" s="38" t="s">
        <v>111</v>
      </c>
      <c r="H1598" s="44">
        <v>44099</v>
      </c>
      <c r="I1598" s="44">
        <v>44103</v>
      </c>
      <c r="J1598">
        <v>3978.52</v>
      </c>
      <c r="K1598">
        <v>250</v>
      </c>
      <c r="L1598" t="s">
        <v>4327</v>
      </c>
      <c r="M1598" s="45" t="s">
        <v>97</v>
      </c>
      <c r="N1598" s="38" t="s">
        <v>230</v>
      </c>
      <c r="O1598" s="38" t="s">
        <v>386</v>
      </c>
      <c r="P1598" s="38" t="s">
        <v>42</v>
      </c>
      <c r="Q1598" s="38" t="s">
        <v>55</v>
      </c>
      <c r="R1598" s="38" t="s">
        <v>270</v>
      </c>
      <c r="S1598" s="38" t="s">
        <v>4328</v>
      </c>
      <c r="T1598" s="38" t="s">
        <v>4337</v>
      </c>
      <c r="U1598" s="38"/>
      <c r="V1598" s="38"/>
      <c r="W1598" s="38"/>
      <c r="X1598" s="14"/>
      <c r="AI1598" s="53">
        <f>250</f>
        <v>250</v>
      </c>
      <c r="AN1598" s="7" t="s">
        <v>145</v>
      </c>
      <c r="AO1598" s="21">
        <f t="shared" si="79"/>
        <v>250</v>
      </c>
      <c r="AP1598" s="7">
        <f t="shared" si="80"/>
        <v>0</v>
      </c>
      <c r="AQ1598" s="31" t="str">
        <f t="shared" si="81"/>
        <v>Complete - With Adjustment</v>
      </c>
    </row>
    <row r="1599" spans="1:43" x14ac:dyDescent="0.2">
      <c r="A1599" s="46">
        <v>1589</v>
      </c>
      <c r="B1599" s="38" t="s">
        <v>266</v>
      </c>
      <c r="C1599" s="38" t="s">
        <v>4324</v>
      </c>
      <c r="D1599" s="38" t="s">
        <v>4325</v>
      </c>
      <c r="E1599" s="38" t="s">
        <v>4326</v>
      </c>
      <c r="F1599" s="38" t="s">
        <v>4298</v>
      </c>
      <c r="G1599" s="38" t="s">
        <v>111</v>
      </c>
      <c r="H1599" s="44">
        <v>44099</v>
      </c>
      <c r="I1599" s="44">
        <v>44103</v>
      </c>
      <c r="J1599">
        <v>3978.52</v>
      </c>
      <c r="K1599">
        <v>269.54000000000002</v>
      </c>
      <c r="L1599" t="s">
        <v>4327</v>
      </c>
      <c r="M1599" s="45" t="s">
        <v>97</v>
      </c>
      <c r="N1599" s="38" t="s">
        <v>230</v>
      </c>
      <c r="O1599" s="38" t="s">
        <v>386</v>
      </c>
      <c r="P1599" s="38" t="s">
        <v>42</v>
      </c>
      <c r="Q1599" s="38" t="s">
        <v>55</v>
      </c>
      <c r="R1599" s="38" t="s">
        <v>270</v>
      </c>
      <c r="S1599" s="38" t="s">
        <v>4328</v>
      </c>
      <c r="T1599" s="38" t="s">
        <v>4338</v>
      </c>
      <c r="U1599" s="38"/>
      <c r="V1599" s="38"/>
      <c r="W1599" s="38"/>
      <c r="X1599" s="14"/>
      <c r="AI1599" s="53">
        <f>269.54</f>
        <v>269.54000000000002</v>
      </c>
      <c r="AN1599" s="7" t="s">
        <v>145</v>
      </c>
      <c r="AO1599" s="21">
        <f t="shared" si="79"/>
        <v>269.54000000000002</v>
      </c>
      <c r="AP1599" s="7">
        <f t="shared" si="80"/>
        <v>0</v>
      </c>
      <c r="AQ1599" s="31" t="str">
        <f t="shared" si="81"/>
        <v>Complete - With Adjustment</v>
      </c>
    </row>
    <row r="1600" spans="1:43" x14ac:dyDescent="0.2">
      <c r="A1600" s="46">
        <v>1590</v>
      </c>
      <c r="B1600" s="38" t="s">
        <v>266</v>
      </c>
      <c r="C1600" s="38" t="s">
        <v>4324</v>
      </c>
      <c r="D1600" s="38" t="s">
        <v>4325</v>
      </c>
      <c r="E1600" s="38" t="s">
        <v>4326</v>
      </c>
      <c r="F1600" s="38" t="s">
        <v>4298</v>
      </c>
      <c r="G1600" s="38" t="s">
        <v>111</v>
      </c>
      <c r="H1600" s="44">
        <v>44099</v>
      </c>
      <c r="I1600" s="44">
        <v>44103</v>
      </c>
      <c r="J1600">
        <v>3978.52</v>
      </c>
      <c r="K1600">
        <v>214.34</v>
      </c>
      <c r="L1600" t="s">
        <v>4327</v>
      </c>
      <c r="M1600" s="45" t="s">
        <v>97</v>
      </c>
      <c r="N1600" s="38" t="s">
        <v>230</v>
      </c>
      <c r="O1600" s="38" t="s">
        <v>386</v>
      </c>
      <c r="P1600" s="38" t="s">
        <v>42</v>
      </c>
      <c r="Q1600" s="38" t="s">
        <v>55</v>
      </c>
      <c r="R1600" s="38" t="s">
        <v>270</v>
      </c>
      <c r="S1600" s="38" t="s">
        <v>4328</v>
      </c>
      <c r="T1600" s="38" t="s">
        <v>4339</v>
      </c>
      <c r="U1600" s="38"/>
      <c r="V1600" s="38"/>
      <c r="W1600" s="38"/>
      <c r="X1600" s="14"/>
      <c r="AI1600" s="53">
        <f>214.34</f>
        <v>214.34</v>
      </c>
      <c r="AN1600" s="7" t="s">
        <v>145</v>
      </c>
      <c r="AO1600" s="21">
        <f t="shared" si="79"/>
        <v>214.34</v>
      </c>
      <c r="AP1600" s="7">
        <f t="shared" si="80"/>
        <v>0</v>
      </c>
      <c r="AQ1600" s="31" t="str">
        <f t="shared" si="81"/>
        <v>Complete - With Adjustment</v>
      </c>
    </row>
    <row r="1601" spans="1:43" x14ac:dyDescent="0.2">
      <c r="A1601" s="46">
        <v>1591</v>
      </c>
      <c r="B1601" s="38" t="s">
        <v>266</v>
      </c>
      <c r="C1601" s="38" t="s">
        <v>4324</v>
      </c>
      <c r="D1601" s="38" t="s">
        <v>4325</v>
      </c>
      <c r="E1601" s="38" t="s">
        <v>4326</v>
      </c>
      <c r="F1601" s="38" t="s">
        <v>4298</v>
      </c>
      <c r="G1601" s="38" t="s">
        <v>111</v>
      </c>
      <c r="H1601" s="44">
        <v>44099</v>
      </c>
      <c r="I1601" s="44">
        <v>44103</v>
      </c>
      <c r="J1601">
        <v>3978.52</v>
      </c>
      <c r="K1601">
        <v>254.39</v>
      </c>
      <c r="L1601" t="s">
        <v>4327</v>
      </c>
      <c r="M1601" s="45" t="s">
        <v>97</v>
      </c>
      <c r="N1601" s="38" t="s">
        <v>230</v>
      </c>
      <c r="O1601" s="38" t="s">
        <v>386</v>
      </c>
      <c r="P1601" s="38" t="s">
        <v>42</v>
      </c>
      <c r="Q1601" s="38" t="s">
        <v>55</v>
      </c>
      <c r="R1601" s="38" t="s">
        <v>270</v>
      </c>
      <c r="S1601" s="38" t="s">
        <v>4328</v>
      </c>
      <c r="T1601" s="38" t="s">
        <v>4340</v>
      </c>
      <c r="U1601" s="38"/>
      <c r="V1601" s="38"/>
      <c r="W1601" s="38"/>
      <c r="X1601" s="14"/>
      <c r="AI1601" s="53">
        <f>254.39</f>
        <v>254.39</v>
      </c>
      <c r="AN1601" s="7" t="s">
        <v>145</v>
      </c>
      <c r="AO1601" s="21">
        <f t="shared" si="79"/>
        <v>254.39</v>
      </c>
      <c r="AP1601" s="7">
        <f t="shared" si="80"/>
        <v>0</v>
      </c>
      <c r="AQ1601" s="31" t="str">
        <f t="shared" si="81"/>
        <v>Complete - With Adjustment</v>
      </c>
    </row>
    <row r="1602" spans="1:43" x14ac:dyDescent="0.2">
      <c r="A1602" s="46">
        <v>1592</v>
      </c>
      <c r="B1602" s="38" t="s">
        <v>266</v>
      </c>
      <c r="C1602" s="38" t="s">
        <v>4324</v>
      </c>
      <c r="D1602" s="38" t="s">
        <v>4325</v>
      </c>
      <c r="E1602" s="38" t="s">
        <v>4326</v>
      </c>
      <c r="F1602" s="38" t="s">
        <v>4298</v>
      </c>
      <c r="G1602" s="38" t="s">
        <v>111</v>
      </c>
      <c r="H1602" s="44">
        <v>44099</v>
      </c>
      <c r="I1602" s="44">
        <v>44103</v>
      </c>
      <c r="J1602">
        <v>3978.52</v>
      </c>
      <c r="K1602">
        <v>233.78</v>
      </c>
      <c r="L1602" t="s">
        <v>4327</v>
      </c>
      <c r="M1602" s="45" t="s">
        <v>97</v>
      </c>
      <c r="N1602" s="38" t="s">
        <v>230</v>
      </c>
      <c r="O1602" s="38" t="s">
        <v>386</v>
      </c>
      <c r="P1602" s="38" t="s">
        <v>42</v>
      </c>
      <c r="Q1602" s="38" t="s">
        <v>55</v>
      </c>
      <c r="R1602" s="38" t="s">
        <v>270</v>
      </c>
      <c r="S1602" s="38" t="s">
        <v>4328</v>
      </c>
      <c r="T1602" s="38" t="s">
        <v>4341</v>
      </c>
      <c r="U1602" s="38"/>
      <c r="V1602" s="38"/>
      <c r="W1602" s="38"/>
      <c r="X1602" s="14"/>
      <c r="AI1602" s="53">
        <f>233.78</f>
        <v>233.78</v>
      </c>
      <c r="AN1602" s="7" t="s">
        <v>145</v>
      </c>
      <c r="AO1602" s="21">
        <f t="shared" si="79"/>
        <v>233.78</v>
      </c>
      <c r="AP1602" s="7">
        <f t="shared" si="80"/>
        <v>0</v>
      </c>
      <c r="AQ1602" s="31" t="str">
        <f t="shared" si="81"/>
        <v>Complete - With Adjustment</v>
      </c>
    </row>
    <row r="1603" spans="1:43" x14ac:dyDescent="0.2">
      <c r="A1603" s="46">
        <v>1593</v>
      </c>
      <c r="B1603" s="38" t="s">
        <v>266</v>
      </c>
      <c r="C1603" s="38" t="s">
        <v>4324</v>
      </c>
      <c r="D1603" s="38" t="s">
        <v>4325</v>
      </c>
      <c r="E1603" s="38" t="s">
        <v>4326</v>
      </c>
      <c r="F1603" s="38" t="s">
        <v>4298</v>
      </c>
      <c r="G1603" s="38" t="s">
        <v>111</v>
      </c>
      <c r="H1603" s="44">
        <v>44099</v>
      </c>
      <c r="I1603" s="44">
        <v>44103</v>
      </c>
      <c r="J1603">
        <v>3978.52</v>
      </c>
      <c r="K1603">
        <v>193.77</v>
      </c>
      <c r="L1603" t="s">
        <v>4327</v>
      </c>
      <c r="M1603" s="45" t="s">
        <v>97</v>
      </c>
      <c r="N1603" s="38" t="s">
        <v>230</v>
      </c>
      <c r="O1603" s="38" t="s">
        <v>386</v>
      </c>
      <c r="P1603" s="38" t="s">
        <v>42</v>
      </c>
      <c r="Q1603" s="38" t="s">
        <v>55</v>
      </c>
      <c r="R1603" s="38" t="s">
        <v>270</v>
      </c>
      <c r="S1603" s="38" t="s">
        <v>4328</v>
      </c>
      <c r="T1603" s="38" t="s">
        <v>4342</v>
      </c>
      <c r="U1603" s="38"/>
      <c r="V1603" s="38"/>
      <c r="W1603" s="38"/>
      <c r="X1603" s="14"/>
      <c r="AI1603" s="53">
        <f>193.77</f>
        <v>193.77</v>
      </c>
      <c r="AN1603" s="7" t="s">
        <v>145</v>
      </c>
      <c r="AO1603" s="21">
        <f t="shared" si="79"/>
        <v>193.77</v>
      </c>
      <c r="AP1603" s="7">
        <f t="shared" si="80"/>
        <v>0</v>
      </c>
      <c r="AQ1603" s="31" t="str">
        <f t="shared" si="81"/>
        <v>Complete - With Adjustment</v>
      </c>
    </row>
    <row r="1604" spans="1:43" x14ac:dyDescent="0.2">
      <c r="A1604" s="46">
        <v>1594</v>
      </c>
      <c r="B1604" s="38" t="s">
        <v>266</v>
      </c>
      <c r="C1604" s="38" t="s">
        <v>4324</v>
      </c>
      <c r="D1604" s="38" t="s">
        <v>4325</v>
      </c>
      <c r="E1604" s="38" t="s">
        <v>4326</v>
      </c>
      <c r="F1604" s="38" t="s">
        <v>4298</v>
      </c>
      <c r="G1604" s="38" t="s">
        <v>111</v>
      </c>
      <c r="H1604" s="44">
        <v>44099</v>
      </c>
      <c r="I1604" s="44">
        <v>44103</v>
      </c>
      <c r="J1604">
        <v>3978.52</v>
      </c>
      <c r="K1604">
        <v>215.42</v>
      </c>
      <c r="L1604" t="s">
        <v>4327</v>
      </c>
      <c r="M1604" s="45" t="s">
        <v>97</v>
      </c>
      <c r="N1604" s="38" t="s">
        <v>230</v>
      </c>
      <c r="O1604" s="38" t="s">
        <v>386</v>
      </c>
      <c r="P1604" s="38" t="s">
        <v>42</v>
      </c>
      <c r="Q1604" s="38" t="s">
        <v>55</v>
      </c>
      <c r="R1604" s="38" t="s">
        <v>270</v>
      </c>
      <c r="S1604" s="38" t="s">
        <v>4328</v>
      </c>
      <c r="T1604" s="38" t="s">
        <v>4343</v>
      </c>
      <c r="U1604" s="38"/>
      <c r="V1604" s="38"/>
      <c r="W1604" s="38"/>
      <c r="X1604" s="14"/>
      <c r="AI1604" s="53">
        <f>215.42</f>
        <v>215.42</v>
      </c>
      <c r="AN1604" s="7" t="s">
        <v>145</v>
      </c>
      <c r="AO1604" s="21">
        <f t="shared" si="79"/>
        <v>215.42</v>
      </c>
      <c r="AP1604" s="7">
        <f t="shared" si="80"/>
        <v>0</v>
      </c>
      <c r="AQ1604" s="31" t="str">
        <f t="shared" si="81"/>
        <v>Complete - With Adjustment</v>
      </c>
    </row>
    <row r="1605" spans="1:43" x14ac:dyDescent="0.2">
      <c r="A1605" s="46">
        <v>1595</v>
      </c>
      <c r="B1605" s="38" t="s">
        <v>266</v>
      </c>
      <c r="C1605" s="38" t="s">
        <v>83</v>
      </c>
      <c r="D1605" s="38" t="s">
        <v>102</v>
      </c>
      <c r="E1605" s="38" t="s">
        <v>4344</v>
      </c>
      <c r="F1605" s="38" t="s">
        <v>4304</v>
      </c>
      <c r="G1605" s="38" t="s">
        <v>111</v>
      </c>
      <c r="H1605" s="44">
        <v>44083</v>
      </c>
      <c r="I1605" s="44">
        <v>44088</v>
      </c>
      <c r="J1605">
        <v>506.48</v>
      </c>
      <c r="K1605">
        <v>506.48</v>
      </c>
      <c r="L1605" t="s">
        <v>4345</v>
      </c>
      <c r="M1605" s="45" t="s">
        <v>98</v>
      </c>
      <c r="N1605" s="38" t="s">
        <v>230</v>
      </c>
      <c r="O1605" s="38" t="s">
        <v>103</v>
      </c>
      <c r="P1605" s="38" t="s">
        <v>60</v>
      </c>
      <c r="Q1605" s="38" t="s">
        <v>56</v>
      </c>
      <c r="R1605" s="38" t="s">
        <v>270</v>
      </c>
      <c r="S1605" s="38" t="s">
        <v>4346</v>
      </c>
      <c r="T1605" s="38" t="s">
        <v>4347</v>
      </c>
      <c r="U1605" s="38"/>
      <c r="V1605" s="38"/>
      <c r="W1605" s="38"/>
      <c r="X1605" s="14"/>
      <c r="AN1605" s="7" t="s">
        <v>70</v>
      </c>
      <c r="AO1605" s="21">
        <f t="shared" si="79"/>
        <v>0</v>
      </c>
      <c r="AP1605" s="7">
        <f t="shared" si="80"/>
        <v>506.48</v>
      </c>
      <c r="AQ1605" s="31" t="str">
        <f t="shared" si="81"/>
        <v>Complete - No Adjustment</v>
      </c>
    </row>
    <row r="1606" spans="1:43" x14ac:dyDescent="0.2">
      <c r="A1606" s="46">
        <v>1596</v>
      </c>
      <c r="B1606" s="38" t="s">
        <v>266</v>
      </c>
      <c r="C1606" s="38" t="s">
        <v>302</v>
      </c>
      <c r="D1606" s="38" t="s">
        <v>301</v>
      </c>
      <c r="E1606" s="38" t="s">
        <v>4348</v>
      </c>
      <c r="F1606" s="38" t="s">
        <v>4349</v>
      </c>
      <c r="G1606" s="38" t="s">
        <v>111</v>
      </c>
      <c r="H1606" s="44">
        <v>44082</v>
      </c>
      <c r="I1606" s="44">
        <v>44084</v>
      </c>
      <c r="J1606">
        <v>282.13</v>
      </c>
      <c r="K1606">
        <v>69.5</v>
      </c>
      <c r="L1606" t="s">
        <v>4350</v>
      </c>
      <c r="M1606" s="45" t="s">
        <v>98</v>
      </c>
      <c r="N1606" s="38" t="s">
        <v>230</v>
      </c>
      <c r="O1606" s="38" t="s">
        <v>303</v>
      </c>
      <c r="P1606" s="38" t="s">
        <v>60</v>
      </c>
      <c r="Q1606" s="38" t="s">
        <v>56</v>
      </c>
      <c r="R1606" s="38" t="s">
        <v>270</v>
      </c>
      <c r="S1606" s="38" t="s">
        <v>4351</v>
      </c>
      <c r="T1606" s="38" t="s">
        <v>4352</v>
      </c>
      <c r="U1606" s="38"/>
      <c r="V1606" s="38"/>
      <c r="W1606" s="38"/>
      <c r="X1606" s="14"/>
      <c r="AN1606" s="7" t="s">
        <v>70</v>
      </c>
      <c r="AO1606" s="21">
        <f t="shared" si="79"/>
        <v>0</v>
      </c>
      <c r="AP1606" s="7">
        <f t="shared" si="80"/>
        <v>69.5</v>
      </c>
      <c r="AQ1606" s="31" t="str">
        <f t="shared" si="81"/>
        <v>Complete - No Adjustment</v>
      </c>
    </row>
    <row r="1607" spans="1:43" x14ac:dyDescent="0.2">
      <c r="A1607" s="46">
        <v>1597</v>
      </c>
      <c r="B1607" s="38" t="s">
        <v>266</v>
      </c>
      <c r="C1607" s="38" t="s">
        <v>302</v>
      </c>
      <c r="D1607" s="38" t="s">
        <v>301</v>
      </c>
      <c r="E1607" s="38" t="s">
        <v>4348</v>
      </c>
      <c r="F1607" s="38" t="s">
        <v>4349</v>
      </c>
      <c r="G1607" s="38" t="s">
        <v>111</v>
      </c>
      <c r="H1607" s="44">
        <v>44082</v>
      </c>
      <c r="I1607" s="44">
        <v>44084</v>
      </c>
      <c r="J1607">
        <v>282.13</v>
      </c>
      <c r="K1607">
        <v>21.53</v>
      </c>
      <c r="L1607" t="s">
        <v>4350</v>
      </c>
      <c r="M1607" s="45" t="s">
        <v>98</v>
      </c>
      <c r="N1607" s="38" t="s">
        <v>230</v>
      </c>
      <c r="O1607" s="38" t="s">
        <v>303</v>
      </c>
      <c r="P1607" s="38" t="s">
        <v>60</v>
      </c>
      <c r="Q1607" s="38" t="s">
        <v>62</v>
      </c>
      <c r="R1607" s="38" t="s">
        <v>270</v>
      </c>
      <c r="S1607" s="38" t="s">
        <v>4351</v>
      </c>
      <c r="T1607" s="38" t="s">
        <v>4353</v>
      </c>
      <c r="U1607" s="38"/>
      <c r="V1607" s="38"/>
      <c r="W1607" s="38"/>
      <c r="X1607" s="14"/>
      <c r="AN1607" s="7" t="s">
        <v>70</v>
      </c>
      <c r="AO1607" s="21">
        <f t="shared" si="79"/>
        <v>0</v>
      </c>
      <c r="AP1607" s="7">
        <f t="shared" si="80"/>
        <v>21.53</v>
      </c>
      <c r="AQ1607" s="31" t="str">
        <f t="shared" si="81"/>
        <v>Complete - No Adjustment</v>
      </c>
    </row>
    <row r="1608" spans="1:43" x14ac:dyDescent="0.2">
      <c r="A1608" s="46">
        <v>1598</v>
      </c>
      <c r="B1608" s="38" t="s">
        <v>266</v>
      </c>
      <c r="C1608" s="38" t="s">
        <v>302</v>
      </c>
      <c r="D1608" s="38" t="s">
        <v>301</v>
      </c>
      <c r="E1608" s="38" t="s">
        <v>4348</v>
      </c>
      <c r="F1608" s="38" t="s">
        <v>4349</v>
      </c>
      <c r="G1608" s="38" t="s">
        <v>111</v>
      </c>
      <c r="H1608" s="44">
        <v>44082</v>
      </c>
      <c r="I1608" s="44">
        <v>44084</v>
      </c>
      <c r="J1608">
        <v>282.13</v>
      </c>
      <c r="K1608">
        <v>64.5</v>
      </c>
      <c r="L1608" t="s">
        <v>4350</v>
      </c>
      <c r="M1608" s="45" t="s">
        <v>98</v>
      </c>
      <c r="N1608" s="38" t="s">
        <v>230</v>
      </c>
      <c r="O1608" s="38" t="s">
        <v>303</v>
      </c>
      <c r="P1608" s="38" t="s">
        <v>60</v>
      </c>
      <c r="Q1608" s="38" t="s">
        <v>56</v>
      </c>
      <c r="R1608" s="38" t="s">
        <v>270</v>
      </c>
      <c r="S1608" s="38" t="s">
        <v>4351</v>
      </c>
      <c r="T1608" s="38" t="s">
        <v>4354</v>
      </c>
      <c r="U1608" s="38"/>
      <c r="V1608" s="38"/>
      <c r="W1608" s="38"/>
      <c r="X1608" s="14"/>
      <c r="AN1608" s="7" t="s">
        <v>70</v>
      </c>
      <c r="AO1608" s="21">
        <f t="shared" si="79"/>
        <v>0</v>
      </c>
      <c r="AP1608" s="7">
        <f t="shared" si="80"/>
        <v>64.5</v>
      </c>
      <c r="AQ1608" s="31" t="str">
        <f t="shared" si="81"/>
        <v>Complete - No Adjustment</v>
      </c>
    </row>
    <row r="1609" spans="1:43" x14ac:dyDescent="0.2">
      <c r="A1609" s="46">
        <v>1599</v>
      </c>
      <c r="B1609" s="38" t="s">
        <v>266</v>
      </c>
      <c r="C1609" s="38" t="s">
        <v>302</v>
      </c>
      <c r="D1609" s="38" t="s">
        <v>301</v>
      </c>
      <c r="E1609" s="38" t="s">
        <v>4348</v>
      </c>
      <c r="F1609" s="38" t="s">
        <v>4349</v>
      </c>
      <c r="G1609" s="38" t="s">
        <v>111</v>
      </c>
      <c r="H1609" s="44">
        <v>44082</v>
      </c>
      <c r="I1609" s="44">
        <v>44084</v>
      </c>
      <c r="J1609">
        <v>282.13</v>
      </c>
      <c r="K1609">
        <v>84.5</v>
      </c>
      <c r="L1609" t="s">
        <v>4350</v>
      </c>
      <c r="M1609" s="45" t="s">
        <v>98</v>
      </c>
      <c r="N1609" s="38" t="s">
        <v>230</v>
      </c>
      <c r="O1609" s="38" t="s">
        <v>303</v>
      </c>
      <c r="P1609" s="38" t="s">
        <v>60</v>
      </c>
      <c r="Q1609" s="38" t="s">
        <v>56</v>
      </c>
      <c r="R1609" s="38" t="s">
        <v>270</v>
      </c>
      <c r="S1609" s="38" t="s">
        <v>4351</v>
      </c>
      <c r="T1609" s="38" t="s">
        <v>4355</v>
      </c>
      <c r="U1609" s="38"/>
      <c r="V1609" s="38"/>
      <c r="W1609" s="38"/>
      <c r="X1609" s="14"/>
      <c r="AN1609" s="7" t="s">
        <v>70</v>
      </c>
      <c r="AO1609" s="21">
        <f t="shared" si="79"/>
        <v>0</v>
      </c>
      <c r="AP1609" s="7">
        <f t="shared" si="80"/>
        <v>84.5</v>
      </c>
      <c r="AQ1609" s="31" t="str">
        <f t="shared" si="81"/>
        <v>Complete - No Adjustment</v>
      </c>
    </row>
    <row r="1610" spans="1:43" x14ac:dyDescent="0.2">
      <c r="A1610" s="46">
        <v>1600</v>
      </c>
      <c r="B1610" s="38" t="s">
        <v>266</v>
      </c>
      <c r="C1610" s="38" t="s">
        <v>302</v>
      </c>
      <c r="D1610" s="38" t="s">
        <v>301</v>
      </c>
      <c r="E1610" s="38" t="s">
        <v>4348</v>
      </c>
      <c r="F1610" s="38" t="s">
        <v>4349</v>
      </c>
      <c r="G1610" s="38" t="s">
        <v>111</v>
      </c>
      <c r="H1610" s="44">
        <v>44082</v>
      </c>
      <c r="I1610" s="44">
        <v>44084</v>
      </c>
      <c r="J1610">
        <v>282.13</v>
      </c>
      <c r="K1610">
        <v>42.1</v>
      </c>
      <c r="L1610" t="s">
        <v>4350</v>
      </c>
      <c r="M1610" s="45" t="s">
        <v>98</v>
      </c>
      <c r="N1610" s="38" t="s">
        <v>230</v>
      </c>
      <c r="O1610" s="38" t="s">
        <v>303</v>
      </c>
      <c r="P1610" s="38" t="s">
        <v>60</v>
      </c>
      <c r="Q1610" s="38" t="s">
        <v>62</v>
      </c>
      <c r="R1610" s="38" t="s">
        <v>270</v>
      </c>
      <c r="S1610" s="38" t="s">
        <v>4351</v>
      </c>
      <c r="T1610" s="38" t="s">
        <v>4356</v>
      </c>
      <c r="U1610" s="38"/>
      <c r="V1610" s="38"/>
      <c r="W1610" s="38"/>
      <c r="X1610" s="14"/>
      <c r="AN1610" s="7" t="s">
        <v>70</v>
      </c>
      <c r="AO1610" s="21">
        <f t="shared" ref="AO1610:AO1673" si="83">SUM(Y1610:AL1610)</f>
        <v>0</v>
      </c>
      <c r="AP1610" s="7">
        <f t="shared" ref="AP1610:AP1673" si="84">K1610-AO1610</f>
        <v>42.1</v>
      </c>
      <c r="AQ1610" s="31" t="str">
        <f t="shared" si="81"/>
        <v>Complete - No Adjustment</v>
      </c>
    </row>
    <row r="1611" spans="1:43" x14ac:dyDescent="0.2">
      <c r="A1611" s="46">
        <v>1601</v>
      </c>
      <c r="B1611" s="38" t="s">
        <v>266</v>
      </c>
      <c r="C1611" s="38" t="s">
        <v>757</v>
      </c>
      <c r="D1611" s="38" t="s">
        <v>756</v>
      </c>
      <c r="E1611" s="38" t="s">
        <v>4357</v>
      </c>
      <c r="F1611" s="38" t="s">
        <v>4358</v>
      </c>
      <c r="G1611" s="38" t="s">
        <v>111</v>
      </c>
      <c r="H1611" s="44">
        <v>44096</v>
      </c>
      <c r="I1611" s="44">
        <v>44098</v>
      </c>
      <c r="J1611">
        <v>350</v>
      </c>
      <c r="K1611">
        <v>350</v>
      </c>
      <c r="L1611" t="s">
        <v>4359</v>
      </c>
      <c r="M1611" s="45" t="s">
        <v>98</v>
      </c>
      <c r="N1611" s="38" t="s">
        <v>230</v>
      </c>
      <c r="O1611" s="38" t="s">
        <v>292</v>
      </c>
      <c r="P1611" s="38" t="s">
        <v>60</v>
      </c>
      <c r="Q1611" s="38" t="s">
        <v>48</v>
      </c>
      <c r="R1611" s="38" t="s">
        <v>270</v>
      </c>
      <c r="S1611" s="38" t="s">
        <v>4360</v>
      </c>
      <c r="T1611" s="38" t="s">
        <v>4361</v>
      </c>
      <c r="U1611" s="38"/>
      <c r="V1611" s="38"/>
      <c r="W1611" s="38"/>
      <c r="X1611" s="14"/>
      <c r="AN1611" s="7" t="s">
        <v>70</v>
      </c>
      <c r="AO1611" s="21">
        <f t="shared" si="83"/>
        <v>0</v>
      </c>
      <c r="AP1611" s="7">
        <f t="shared" si="84"/>
        <v>350</v>
      </c>
      <c r="AQ1611" s="31" t="str">
        <f t="shared" si="81"/>
        <v>Complete - No Adjustment</v>
      </c>
    </row>
    <row r="1612" spans="1:43" x14ac:dyDescent="0.2">
      <c r="A1612" s="46">
        <v>1602</v>
      </c>
      <c r="B1612" s="38" t="s">
        <v>266</v>
      </c>
      <c r="C1612" s="38" t="s">
        <v>635</v>
      </c>
      <c r="D1612" s="38" t="s">
        <v>634</v>
      </c>
      <c r="E1612" s="38" t="s">
        <v>4362</v>
      </c>
      <c r="F1612" s="38" t="s">
        <v>4210</v>
      </c>
      <c r="G1612" s="38" t="s">
        <v>111</v>
      </c>
      <c r="H1612" s="44">
        <v>44074</v>
      </c>
      <c r="I1612" s="44">
        <v>44076</v>
      </c>
      <c r="J1612">
        <v>1056</v>
      </c>
      <c r="K1612">
        <v>858</v>
      </c>
      <c r="L1612" t="s">
        <v>4363</v>
      </c>
      <c r="M1612" s="45" t="s">
        <v>98</v>
      </c>
      <c r="N1612" s="38" t="s">
        <v>230</v>
      </c>
      <c r="O1612" s="38" t="s">
        <v>293</v>
      </c>
      <c r="P1612" s="38" t="s">
        <v>60</v>
      </c>
      <c r="Q1612" s="38" t="s">
        <v>108</v>
      </c>
      <c r="R1612" s="38" t="s">
        <v>270</v>
      </c>
      <c r="S1612" s="38" t="s">
        <v>4364</v>
      </c>
      <c r="T1612" s="38" t="s">
        <v>4365</v>
      </c>
      <c r="U1612" s="38"/>
      <c r="V1612" s="38"/>
      <c r="W1612" s="38"/>
      <c r="X1612" s="14"/>
      <c r="AN1612" s="7" t="s">
        <v>70</v>
      </c>
      <c r="AO1612" s="21">
        <f t="shared" si="83"/>
        <v>0</v>
      </c>
      <c r="AP1612" s="7">
        <f t="shared" si="84"/>
        <v>858</v>
      </c>
      <c r="AQ1612" s="31" t="str">
        <f t="shared" si="81"/>
        <v>Complete - No Adjustment</v>
      </c>
    </row>
    <row r="1613" spans="1:43" x14ac:dyDescent="0.2">
      <c r="A1613" s="46">
        <v>1603</v>
      </c>
      <c r="B1613" s="38" t="s">
        <v>266</v>
      </c>
      <c r="C1613" s="38" t="s">
        <v>635</v>
      </c>
      <c r="D1613" s="38" t="s">
        <v>634</v>
      </c>
      <c r="E1613" s="38" t="s">
        <v>4362</v>
      </c>
      <c r="F1613" s="38" t="s">
        <v>4210</v>
      </c>
      <c r="G1613" s="38" t="s">
        <v>111</v>
      </c>
      <c r="H1613" s="44">
        <v>44074</v>
      </c>
      <c r="I1613" s="44">
        <v>44076</v>
      </c>
      <c r="J1613">
        <v>1056</v>
      </c>
      <c r="K1613">
        <v>99</v>
      </c>
      <c r="L1613" t="s">
        <v>4363</v>
      </c>
      <c r="M1613" s="45" t="s">
        <v>98</v>
      </c>
      <c r="N1613" s="38" t="s">
        <v>230</v>
      </c>
      <c r="O1613" s="38" t="s">
        <v>293</v>
      </c>
      <c r="P1613" s="38" t="s">
        <v>60</v>
      </c>
      <c r="Q1613" s="38" t="s">
        <v>108</v>
      </c>
      <c r="R1613" s="38" t="s">
        <v>270</v>
      </c>
      <c r="S1613" s="38" t="s">
        <v>4364</v>
      </c>
      <c r="T1613" s="38" t="s">
        <v>4366</v>
      </c>
      <c r="U1613" s="38"/>
      <c r="V1613" s="38"/>
      <c r="W1613" s="38"/>
      <c r="X1613" s="14"/>
      <c r="AN1613" s="7" t="s">
        <v>70</v>
      </c>
      <c r="AO1613" s="21">
        <f t="shared" si="83"/>
        <v>0</v>
      </c>
      <c r="AP1613" s="7">
        <f t="shared" si="84"/>
        <v>99</v>
      </c>
      <c r="AQ1613" s="31" t="str">
        <f t="shared" si="81"/>
        <v>Complete - No Adjustment</v>
      </c>
    </row>
    <row r="1614" spans="1:43" x14ac:dyDescent="0.2">
      <c r="A1614" s="46">
        <v>1604</v>
      </c>
      <c r="B1614" s="38" t="s">
        <v>266</v>
      </c>
      <c r="C1614" s="38" t="s">
        <v>635</v>
      </c>
      <c r="D1614" s="38" t="s">
        <v>634</v>
      </c>
      <c r="E1614" s="38" t="s">
        <v>4362</v>
      </c>
      <c r="F1614" s="38" t="s">
        <v>4210</v>
      </c>
      <c r="G1614" s="38" t="s">
        <v>111</v>
      </c>
      <c r="H1614" s="44">
        <v>44074</v>
      </c>
      <c r="I1614" s="44">
        <v>44076</v>
      </c>
      <c r="J1614">
        <v>1056</v>
      </c>
      <c r="K1614">
        <v>99</v>
      </c>
      <c r="L1614" t="s">
        <v>4363</v>
      </c>
      <c r="M1614" s="45" t="s">
        <v>98</v>
      </c>
      <c r="N1614" s="38" t="s">
        <v>230</v>
      </c>
      <c r="O1614" s="38" t="s">
        <v>293</v>
      </c>
      <c r="P1614" s="38" t="s">
        <v>60</v>
      </c>
      <c r="Q1614" s="38" t="s">
        <v>108</v>
      </c>
      <c r="R1614" s="38" t="s">
        <v>270</v>
      </c>
      <c r="S1614" s="38" t="s">
        <v>4364</v>
      </c>
      <c r="T1614" s="38" t="s">
        <v>4367</v>
      </c>
      <c r="U1614" s="38"/>
      <c r="V1614" s="38"/>
      <c r="W1614" s="38"/>
      <c r="X1614" s="14"/>
      <c r="AN1614" s="7" t="s">
        <v>70</v>
      </c>
      <c r="AO1614" s="21">
        <f t="shared" si="83"/>
        <v>0</v>
      </c>
      <c r="AP1614" s="7">
        <f t="shared" si="84"/>
        <v>99</v>
      </c>
      <c r="AQ1614" s="31" t="str">
        <f t="shared" si="81"/>
        <v>Complete - No Adjustment</v>
      </c>
    </row>
    <row r="1615" spans="1:43" x14ac:dyDescent="0.2">
      <c r="A1615" s="46">
        <v>1605</v>
      </c>
      <c r="B1615" s="38" t="s">
        <v>266</v>
      </c>
      <c r="C1615" s="38" t="s">
        <v>637</v>
      </c>
      <c r="D1615" s="38" t="s">
        <v>636</v>
      </c>
      <c r="E1615" s="38" t="s">
        <v>4368</v>
      </c>
      <c r="F1615" s="38" t="s">
        <v>4291</v>
      </c>
      <c r="G1615" s="38" t="s">
        <v>111</v>
      </c>
      <c r="H1615" s="44">
        <v>44076</v>
      </c>
      <c r="I1615" s="44">
        <v>44078</v>
      </c>
      <c r="J1615">
        <v>52</v>
      </c>
      <c r="K1615">
        <v>52</v>
      </c>
      <c r="L1615" t="s">
        <v>4369</v>
      </c>
      <c r="M1615" s="45" t="s">
        <v>98</v>
      </c>
      <c r="N1615" s="38" t="s">
        <v>230</v>
      </c>
      <c r="O1615" s="38" t="s">
        <v>533</v>
      </c>
      <c r="P1615" s="38" t="s">
        <v>60</v>
      </c>
      <c r="Q1615" s="38" t="s">
        <v>48</v>
      </c>
      <c r="R1615" s="38" t="s">
        <v>270</v>
      </c>
      <c r="S1615" s="38" t="s">
        <v>4370</v>
      </c>
      <c r="T1615" s="38" t="s">
        <v>4371</v>
      </c>
      <c r="U1615" s="38"/>
      <c r="V1615" s="38"/>
      <c r="W1615" s="38"/>
      <c r="X1615" s="14"/>
      <c r="AN1615" s="7" t="s">
        <v>70</v>
      </c>
      <c r="AO1615" s="21">
        <f t="shared" si="83"/>
        <v>0</v>
      </c>
      <c r="AP1615" s="7">
        <f t="shared" si="84"/>
        <v>52</v>
      </c>
      <c r="AQ1615" s="31" t="str">
        <f t="shared" si="81"/>
        <v>Complete - No Adjustment</v>
      </c>
    </row>
    <row r="1616" spans="1:43" x14ac:dyDescent="0.2">
      <c r="A1616" s="46">
        <v>1606</v>
      </c>
      <c r="B1616" s="38" t="s">
        <v>266</v>
      </c>
      <c r="C1616" s="38" t="s">
        <v>759</v>
      </c>
      <c r="D1616" s="38" t="s">
        <v>758</v>
      </c>
      <c r="E1616" s="38" t="s">
        <v>4372</v>
      </c>
      <c r="F1616" s="38" t="s">
        <v>4238</v>
      </c>
      <c r="G1616" s="38" t="s">
        <v>111</v>
      </c>
      <c r="H1616" s="44">
        <v>44097</v>
      </c>
      <c r="I1616" s="44">
        <v>44102</v>
      </c>
      <c r="J1616">
        <v>229.74</v>
      </c>
      <c r="K1616">
        <v>45.05</v>
      </c>
      <c r="L1616" t="s">
        <v>4373</v>
      </c>
      <c r="M1616" s="45" t="s">
        <v>98</v>
      </c>
      <c r="N1616" s="38" t="s">
        <v>230</v>
      </c>
      <c r="O1616" s="38" t="s">
        <v>429</v>
      </c>
      <c r="P1616" s="38" t="s">
        <v>60</v>
      </c>
      <c r="Q1616" s="38" t="s">
        <v>46</v>
      </c>
      <c r="R1616" s="38" t="s">
        <v>270</v>
      </c>
      <c r="S1616" s="38" t="s">
        <v>4374</v>
      </c>
      <c r="T1616" s="38" t="s">
        <v>4375</v>
      </c>
      <c r="U1616" s="38"/>
      <c r="V1616" s="38"/>
      <c r="W1616" s="38"/>
      <c r="X1616" s="14"/>
      <c r="AI1616" s="53">
        <f>45.05</f>
        <v>45.05</v>
      </c>
      <c r="AN1616" s="7" t="s">
        <v>145</v>
      </c>
      <c r="AO1616" s="21">
        <f t="shared" si="83"/>
        <v>45.05</v>
      </c>
      <c r="AP1616" s="7">
        <f t="shared" si="84"/>
        <v>0</v>
      </c>
      <c r="AQ1616" s="31" t="str">
        <f t="shared" si="81"/>
        <v>Complete - With Adjustment</v>
      </c>
    </row>
    <row r="1617" spans="1:43" x14ac:dyDescent="0.2">
      <c r="A1617" s="46">
        <v>1607</v>
      </c>
      <c r="B1617" s="38" t="s">
        <v>266</v>
      </c>
      <c r="C1617" s="38" t="s">
        <v>759</v>
      </c>
      <c r="D1617" s="38" t="s">
        <v>758</v>
      </c>
      <c r="E1617" s="38" t="s">
        <v>4372</v>
      </c>
      <c r="F1617" s="38" t="s">
        <v>4238</v>
      </c>
      <c r="G1617" s="38" t="s">
        <v>111</v>
      </c>
      <c r="H1617" s="44">
        <v>44097</v>
      </c>
      <c r="I1617" s="44">
        <v>44102</v>
      </c>
      <c r="J1617">
        <v>229.74</v>
      </c>
      <c r="K1617">
        <v>27.9</v>
      </c>
      <c r="L1617" t="s">
        <v>4373</v>
      </c>
      <c r="M1617" s="45" t="s">
        <v>98</v>
      </c>
      <c r="N1617" s="38" t="s">
        <v>230</v>
      </c>
      <c r="O1617" s="38" t="s">
        <v>429</v>
      </c>
      <c r="P1617" s="38" t="s">
        <v>60</v>
      </c>
      <c r="Q1617" s="38" t="s">
        <v>46</v>
      </c>
      <c r="R1617" s="38" t="s">
        <v>270</v>
      </c>
      <c r="S1617" s="38" t="s">
        <v>4374</v>
      </c>
      <c r="T1617" s="38" t="s">
        <v>4376</v>
      </c>
      <c r="U1617" s="38"/>
      <c r="V1617" s="38"/>
      <c r="W1617" s="38"/>
      <c r="X1617" s="14"/>
      <c r="AI1617" s="53">
        <f>27.9</f>
        <v>27.9</v>
      </c>
      <c r="AN1617" s="7" t="s">
        <v>145</v>
      </c>
      <c r="AO1617" s="21">
        <f t="shared" si="83"/>
        <v>27.9</v>
      </c>
      <c r="AP1617" s="7">
        <f t="shared" si="84"/>
        <v>0</v>
      </c>
      <c r="AQ1617" s="31" t="str">
        <f t="shared" ref="AQ1617:AQ1680" si="85">IF(AO1617&lt;&gt;0,"Complete - With Adjustment","Complete - No Adjustment")</f>
        <v>Complete - With Adjustment</v>
      </c>
    </row>
    <row r="1618" spans="1:43" x14ac:dyDescent="0.2">
      <c r="A1618" s="46">
        <v>1608</v>
      </c>
      <c r="B1618" s="38" t="s">
        <v>266</v>
      </c>
      <c r="C1618" s="38" t="s">
        <v>759</v>
      </c>
      <c r="D1618" s="38" t="s">
        <v>758</v>
      </c>
      <c r="E1618" s="38" t="s">
        <v>4372</v>
      </c>
      <c r="F1618" s="38" t="s">
        <v>4238</v>
      </c>
      <c r="G1618" s="38" t="s">
        <v>111</v>
      </c>
      <c r="H1618" s="44">
        <v>44097</v>
      </c>
      <c r="I1618" s="44">
        <v>44102</v>
      </c>
      <c r="J1618">
        <v>229.74</v>
      </c>
      <c r="K1618">
        <v>25.25</v>
      </c>
      <c r="L1618" t="s">
        <v>4373</v>
      </c>
      <c r="M1618" s="45" t="s">
        <v>98</v>
      </c>
      <c r="N1618" s="38" t="s">
        <v>230</v>
      </c>
      <c r="O1618" s="38" t="s">
        <v>429</v>
      </c>
      <c r="P1618" s="38" t="s">
        <v>60</v>
      </c>
      <c r="Q1618" s="38" t="s">
        <v>46</v>
      </c>
      <c r="R1618" s="38" t="s">
        <v>270</v>
      </c>
      <c r="S1618" s="38" t="s">
        <v>4374</v>
      </c>
      <c r="T1618" s="38" t="s">
        <v>4377</v>
      </c>
      <c r="U1618" s="38"/>
      <c r="V1618" s="38"/>
      <c r="W1618" s="38"/>
      <c r="X1618" s="14"/>
      <c r="AI1618" s="53">
        <f>25.25</f>
        <v>25.25</v>
      </c>
      <c r="AN1618" s="7" t="s">
        <v>145</v>
      </c>
      <c r="AO1618" s="21">
        <f t="shared" si="83"/>
        <v>25.25</v>
      </c>
      <c r="AP1618" s="7">
        <f t="shared" si="84"/>
        <v>0</v>
      </c>
      <c r="AQ1618" s="31" t="str">
        <f t="shared" si="85"/>
        <v>Complete - With Adjustment</v>
      </c>
    </row>
    <row r="1619" spans="1:43" x14ac:dyDescent="0.2">
      <c r="A1619" s="46">
        <v>1609</v>
      </c>
      <c r="B1619" s="38" t="s">
        <v>266</v>
      </c>
      <c r="C1619" s="38" t="s">
        <v>759</v>
      </c>
      <c r="D1619" s="38" t="s">
        <v>758</v>
      </c>
      <c r="E1619" s="38" t="s">
        <v>4372</v>
      </c>
      <c r="F1619" s="38" t="s">
        <v>4238</v>
      </c>
      <c r="G1619" s="38" t="s">
        <v>111</v>
      </c>
      <c r="H1619" s="44">
        <v>44097</v>
      </c>
      <c r="I1619" s="44">
        <v>44102</v>
      </c>
      <c r="J1619">
        <v>229.74</v>
      </c>
      <c r="K1619">
        <v>35.44</v>
      </c>
      <c r="L1619" t="s">
        <v>4373</v>
      </c>
      <c r="M1619" s="45" t="s">
        <v>98</v>
      </c>
      <c r="N1619" s="38" t="s">
        <v>230</v>
      </c>
      <c r="O1619" s="38" t="s">
        <v>429</v>
      </c>
      <c r="P1619" s="38" t="s">
        <v>60</v>
      </c>
      <c r="Q1619" s="38" t="s">
        <v>46</v>
      </c>
      <c r="R1619" s="38" t="s">
        <v>270</v>
      </c>
      <c r="S1619" s="38" t="s">
        <v>4374</v>
      </c>
      <c r="T1619" s="38" t="s">
        <v>4378</v>
      </c>
      <c r="U1619" s="38"/>
      <c r="V1619" s="38"/>
      <c r="W1619" s="38"/>
      <c r="X1619" s="14"/>
      <c r="AI1619" s="53">
        <f>35.44</f>
        <v>35.44</v>
      </c>
      <c r="AN1619" s="7" t="s">
        <v>145</v>
      </c>
      <c r="AO1619" s="21">
        <f t="shared" si="83"/>
        <v>35.44</v>
      </c>
      <c r="AP1619" s="7">
        <f t="shared" si="84"/>
        <v>0</v>
      </c>
      <c r="AQ1619" s="31" t="str">
        <f t="shared" si="85"/>
        <v>Complete - With Adjustment</v>
      </c>
    </row>
    <row r="1620" spans="1:43" x14ac:dyDescent="0.2">
      <c r="A1620" s="46">
        <v>1610</v>
      </c>
      <c r="B1620" s="38" t="s">
        <v>266</v>
      </c>
      <c r="C1620" s="38" t="s">
        <v>759</v>
      </c>
      <c r="D1620" s="38" t="s">
        <v>758</v>
      </c>
      <c r="E1620" s="38" t="s">
        <v>4372</v>
      </c>
      <c r="F1620" s="38" t="s">
        <v>4238</v>
      </c>
      <c r="G1620" s="38" t="s">
        <v>111</v>
      </c>
      <c r="H1620" s="44">
        <v>44097</v>
      </c>
      <c r="I1620" s="44">
        <v>44102</v>
      </c>
      <c r="J1620">
        <v>229.74</v>
      </c>
      <c r="K1620">
        <v>49.01</v>
      </c>
      <c r="L1620" t="s">
        <v>4373</v>
      </c>
      <c r="M1620" s="45" t="s">
        <v>98</v>
      </c>
      <c r="N1620" s="38" t="s">
        <v>230</v>
      </c>
      <c r="O1620" s="38" t="s">
        <v>429</v>
      </c>
      <c r="P1620" s="38" t="s">
        <v>60</v>
      </c>
      <c r="Q1620" s="38" t="s">
        <v>46</v>
      </c>
      <c r="R1620" s="38" t="s">
        <v>270</v>
      </c>
      <c r="S1620" s="38" t="s">
        <v>4374</v>
      </c>
      <c r="T1620" s="38" t="s">
        <v>4379</v>
      </c>
      <c r="U1620" s="38"/>
      <c r="V1620" s="38"/>
      <c r="W1620" s="38"/>
      <c r="X1620" s="14"/>
      <c r="AI1620" s="53">
        <f>49.01</f>
        <v>49.01</v>
      </c>
      <c r="AN1620" s="7" t="s">
        <v>145</v>
      </c>
      <c r="AO1620" s="21">
        <f t="shared" si="83"/>
        <v>49.01</v>
      </c>
      <c r="AP1620" s="7">
        <f t="shared" si="84"/>
        <v>0</v>
      </c>
      <c r="AQ1620" s="31" t="str">
        <f t="shared" si="85"/>
        <v>Complete - With Adjustment</v>
      </c>
    </row>
    <row r="1621" spans="1:43" x14ac:dyDescent="0.2">
      <c r="A1621" s="46">
        <v>1611</v>
      </c>
      <c r="B1621" s="38" t="s">
        <v>266</v>
      </c>
      <c r="C1621" s="38" t="s">
        <v>759</v>
      </c>
      <c r="D1621" s="38" t="s">
        <v>758</v>
      </c>
      <c r="E1621" s="38" t="s">
        <v>4372</v>
      </c>
      <c r="F1621" s="38" t="s">
        <v>4238</v>
      </c>
      <c r="G1621" s="38" t="s">
        <v>111</v>
      </c>
      <c r="H1621" s="44">
        <v>44097</v>
      </c>
      <c r="I1621" s="44">
        <v>44102</v>
      </c>
      <c r="J1621">
        <v>229.74</v>
      </c>
      <c r="K1621">
        <v>47.09</v>
      </c>
      <c r="L1621" t="s">
        <v>4373</v>
      </c>
      <c r="M1621" s="45" t="s">
        <v>98</v>
      </c>
      <c r="N1621" s="38" t="s">
        <v>230</v>
      </c>
      <c r="O1621" s="38" t="s">
        <v>429</v>
      </c>
      <c r="P1621" s="38" t="s">
        <v>60</v>
      </c>
      <c r="Q1621" s="38" t="s">
        <v>46</v>
      </c>
      <c r="R1621" s="38" t="s">
        <v>270</v>
      </c>
      <c r="S1621" s="38" t="s">
        <v>4374</v>
      </c>
      <c r="T1621" s="38" t="s">
        <v>4380</v>
      </c>
      <c r="U1621" s="38"/>
      <c r="V1621" s="38"/>
      <c r="W1621" s="38"/>
      <c r="X1621" s="14"/>
      <c r="AI1621" s="53">
        <f>47.09</f>
        <v>47.09</v>
      </c>
      <c r="AN1621" s="7" t="s">
        <v>145</v>
      </c>
      <c r="AO1621" s="21">
        <f t="shared" si="83"/>
        <v>47.09</v>
      </c>
      <c r="AP1621" s="7">
        <f t="shared" si="84"/>
        <v>0</v>
      </c>
      <c r="AQ1621" s="31" t="str">
        <f t="shared" si="85"/>
        <v>Complete - With Adjustment</v>
      </c>
    </row>
    <row r="1622" spans="1:43" x14ac:dyDescent="0.2">
      <c r="A1622" s="46">
        <v>1612</v>
      </c>
      <c r="B1622" s="38" t="s">
        <v>266</v>
      </c>
      <c r="C1622" s="38" t="s">
        <v>518</v>
      </c>
      <c r="D1622" s="38" t="s">
        <v>517</v>
      </c>
      <c r="E1622" s="38" t="s">
        <v>4381</v>
      </c>
      <c r="F1622" s="38" t="s">
        <v>4382</v>
      </c>
      <c r="G1622" s="38" t="s">
        <v>111</v>
      </c>
      <c r="H1622" s="44">
        <v>44097</v>
      </c>
      <c r="I1622" s="44">
        <v>44099</v>
      </c>
      <c r="J1622">
        <v>138.94999999999999</v>
      </c>
      <c r="K1622">
        <v>20.68</v>
      </c>
      <c r="L1622" t="s">
        <v>4383</v>
      </c>
      <c r="M1622" s="45" t="s">
        <v>98</v>
      </c>
      <c r="N1622" s="38" t="s">
        <v>230</v>
      </c>
      <c r="O1622" s="38" t="s">
        <v>519</v>
      </c>
      <c r="P1622" s="38" t="s">
        <v>60</v>
      </c>
      <c r="Q1622" s="38" t="s">
        <v>41</v>
      </c>
      <c r="R1622" s="38" t="s">
        <v>270</v>
      </c>
      <c r="S1622" s="38" t="s">
        <v>4384</v>
      </c>
      <c r="T1622" s="38" t="s">
        <v>4385</v>
      </c>
      <c r="U1622" s="38"/>
      <c r="V1622" s="38"/>
      <c r="W1622" s="38"/>
      <c r="X1622" s="14"/>
      <c r="AI1622" s="53">
        <f>20.68</f>
        <v>20.68</v>
      </c>
      <c r="AN1622" s="7" t="s">
        <v>145</v>
      </c>
      <c r="AO1622" s="21">
        <f t="shared" si="83"/>
        <v>20.68</v>
      </c>
      <c r="AP1622" s="7">
        <f t="shared" si="84"/>
        <v>0</v>
      </c>
      <c r="AQ1622" s="31" t="str">
        <f t="shared" si="85"/>
        <v>Complete - With Adjustment</v>
      </c>
    </row>
    <row r="1623" spans="1:43" x14ac:dyDescent="0.2">
      <c r="A1623" s="46">
        <v>1613</v>
      </c>
      <c r="B1623" s="38" t="s">
        <v>266</v>
      </c>
      <c r="C1623" s="38" t="s">
        <v>518</v>
      </c>
      <c r="D1623" s="38" t="s">
        <v>517</v>
      </c>
      <c r="E1623" s="38" t="s">
        <v>4381</v>
      </c>
      <c r="F1623" s="38" t="s">
        <v>4382</v>
      </c>
      <c r="G1623" s="38" t="s">
        <v>111</v>
      </c>
      <c r="H1623" s="44">
        <v>44097</v>
      </c>
      <c r="I1623" s="44">
        <v>44099</v>
      </c>
      <c r="J1623">
        <v>138.94999999999999</v>
      </c>
      <c r="K1623">
        <v>23.39</v>
      </c>
      <c r="L1623" t="s">
        <v>4383</v>
      </c>
      <c r="M1623" s="45" t="s">
        <v>98</v>
      </c>
      <c r="N1623" s="38" t="s">
        <v>230</v>
      </c>
      <c r="O1623" s="38" t="s">
        <v>519</v>
      </c>
      <c r="P1623" s="38" t="s">
        <v>60</v>
      </c>
      <c r="Q1623" s="38" t="s">
        <v>41</v>
      </c>
      <c r="R1623" s="38" t="s">
        <v>270</v>
      </c>
      <c r="S1623" s="38" t="s">
        <v>4384</v>
      </c>
      <c r="T1623" s="38" t="s">
        <v>4385</v>
      </c>
      <c r="U1623" s="38"/>
      <c r="V1623" s="38"/>
      <c r="W1623" s="38"/>
      <c r="X1623" s="14"/>
      <c r="AI1623" s="53">
        <f>23.39</f>
        <v>23.39</v>
      </c>
      <c r="AN1623" s="7" t="s">
        <v>145</v>
      </c>
      <c r="AO1623" s="21">
        <f t="shared" si="83"/>
        <v>23.39</v>
      </c>
      <c r="AP1623" s="7">
        <f t="shared" si="84"/>
        <v>0</v>
      </c>
      <c r="AQ1623" s="31" t="str">
        <f t="shared" si="85"/>
        <v>Complete - With Adjustment</v>
      </c>
    </row>
    <row r="1624" spans="1:43" x14ac:dyDescent="0.2">
      <c r="A1624" s="46">
        <v>1614</v>
      </c>
      <c r="B1624" s="38" t="s">
        <v>266</v>
      </c>
      <c r="C1624" s="38" t="s">
        <v>518</v>
      </c>
      <c r="D1624" s="38" t="s">
        <v>517</v>
      </c>
      <c r="E1624" s="38" t="s">
        <v>4381</v>
      </c>
      <c r="F1624" s="38" t="s">
        <v>4382</v>
      </c>
      <c r="G1624" s="38" t="s">
        <v>111</v>
      </c>
      <c r="H1624" s="44">
        <v>44097</v>
      </c>
      <c r="I1624" s="44">
        <v>44099</v>
      </c>
      <c r="J1624">
        <v>138.94999999999999</v>
      </c>
      <c r="K1624">
        <v>24.37</v>
      </c>
      <c r="L1624" t="s">
        <v>4383</v>
      </c>
      <c r="M1624" s="45" t="s">
        <v>98</v>
      </c>
      <c r="N1624" s="38" t="s">
        <v>230</v>
      </c>
      <c r="O1624" s="38" t="s">
        <v>519</v>
      </c>
      <c r="P1624" s="38" t="s">
        <v>60</v>
      </c>
      <c r="Q1624" s="38" t="s">
        <v>41</v>
      </c>
      <c r="R1624" s="38" t="s">
        <v>270</v>
      </c>
      <c r="S1624" s="38" t="s">
        <v>4384</v>
      </c>
      <c r="T1624" s="38" t="s">
        <v>4386</v>
      </c>
      <c r="U1624" s="38"/>
      <c r="V1624" s="38"/>
      <c r="W1624" s="38"/>
      <c r="X1624" s="14"/>
      <c r="AI1624" s="53">
        <f>24.37</f>
        <v>24.37</v>
      </c>
      <c r="AN1624" s="7" t="s">
        <v>145</v>
      </c>
      <c r="AO1624" s="21">
        <f t="shared" si="83"/>
        <v>24.37</v>
      </c>
      <c r="AP1624" s="7">
        <f t="shared" si="84"/>
        <v>0</v>
      </c>
      <c r="AQ1624" s="31" t="str">
        <f t="shared" si="85"/>
        <v>Complete - With Adjustment</v>
      </c>
    </row>
    <row r="1625" spans="1:43" x14ac:dyDescent="0.2">
      <c r="A1625" s="46">
        <v>1615</v>
      </c>
      <c r="B1625" s="38" t="s">
        <v>266</v>
      </c>
      <c r="C1625" s="38" t="s">
        <v>518</v>
      </c>
      <c r="D1625" s="38" t="s">
        <v>517</v>
      </c>
      <c r="E1625" s="38" t="s">
        <v>4381</v>
      </c>
      <c r="F1625" s="38" t="s">
        <v>4382</v>
      </c>
      <c r="G1625" s="38" t="s">
        <v>111</v>
      </c>
      <c r="H1625" s="44">
        <v>44097</v>
      </c>
      <c r="I1625" s="44">
        <v>44099</v>
      </c>
      <c r="J1625">
        <v>138.94999999999999</v>
      </c>
      <c r="K1625">
        <v>26.84</v>
      </c>
      <c r="L1625" t="s">
        <v>4383</v>
      </c>
      <c r="M1625" s="45" t="s">
        <v>98</v>
      </c>
      <c r="N1625" s="38" t="s">
        <v>230</v>
      </c>
      <c r="O1625" s="38" t="s">
        <v>519</v>
      </c>
      <c r="P1625" s="38" t="s">
        <v>60</v>
      </c>
      <c r="Q1625" s="38" t="s">
        <v>41</v>
      </c>
      <c r="R1625" s="38" t="s">
        <v>270</v>
      </c>
      <c r="S1625" s="38" t="s">
        <v>4384</v>
      </c>
      <c r="T1625" s="38" t="s">
        <v>4385</v>
      </c>
      <c r="U1625" s="38"/>
      <c r="V1625" s="38"/>
      <c r="W1625" s="38"/>
      <c r="X1625" s="14"/>
      <c r="AI1625" s="53">
        <f>26.84</f>
        <v>26.84</v>
      </c>
      <c r="AN1625" s="7" t="s">
        <v>145</v>
      </c>
      <c r="AO1625" s="21">
        <f t="shared" si="83"/>
        <v>26.84</v>
      </c>
      <c r="AP1625" s="7">
        <f t="shared" si="84"/>
        <v>0</v>
      </c>
      <c r="AQ1625" s="31" t="str">
        <f t="shared" si="85"/>
        <v>Complete - With Adjustment</v>
      </c>
    </row>
    <row r="1626" spans="1:43" x14ac:dyDescent="0.2">
      <c r="A1626" s="46">
        <v>1616</v>
      </c>
      <c r="B1626" s="38" t="s">
        <v>266</v>
      </c>
      <c r="C1626" s="38" t="s">
        <v>518</v>
      </c>
      <c r="D1626" s="38" t="s">
        <v>517</v>
      </c>
      <c r="E1626" s="38" t="s">
        <v>4381</v>
      </c>
      <c r="F1626" s="38" t="s">
        <v>4382</v>
      </c>
      <c r="G1626" s="38" t="s">
        <v>111</v>
      </c>
      <c r="H1626" s="44">
        <v>44097</v>
      </c>
      <c r="I1626" s="44">
        <v>44099</v>
      </c>
      <c r="J1626">
        <v>138.94999999999999</v>
      </c>
      <c r="K1626">
        <v>26.32</v>
      </c>
      <c r="L1626" t="s">
        <v>4383</v>
      </c>
      <c r="M1626" s="45" t="s">
        <v>98</v>
      </c>
      <c r="N1626" s="38" t="s">
        <v>230</v>
      </c>
      <c r="O1626" s="38" t="s">
        <v>519</v>
      </c>
      <c r="P1626" s="38" t="s">
        <v>60</v>
      </c>
      <c r="Q1626" s="38" t="s">
        <v>41</v>
      </c>
      <c r="R1626" s="38" t="s">
        <v>270</v>
      </c>
      <c r="S1626" s="38" t="s">
        <v>4384</v>
      </c>
      <c r="T1626" s="38" t="s">
        <v>4385</v>
      </c>
      <c r="U1626" s="38"/>
      <c r="V1626" s="38"/>
      <c r="W1626" s="38"/>
      <c r="X1626" s="14"/>
      <c r="AI1626" s="53">
        <f>26.32</f>
        <v>26.32</v>
      </c>
      <c r="AN1626" s="7" t="s">
        <v>145</v>
      </c>
      <c r="AO1626" s="21">
        <f t="shared" si="83"/>
        <v>26.32</v>
      </c>
      <c r="AP1626" s="7">
        <f t="shared" si="84"/>
        <v>0</v>
      </c>
      <c r="AQ1626" s="31" t="str">
        <f t="shared" si="85"/>
        <v>Complete - With Adjustment</v>
      </c>
    </row>
    <row r="1627" spans="1:43" x14ac:dyDescent="0.2">
      <c r="A1627" s="46">
        <v>1617</v>
      </c>
      <c r="B1627" s="38" t="s">
        <v>266</v>
      </c>
      <c r="C1627" s="38" t="s">
        <v>518</v>
      </c>
      <c r="D1627" s="38" t="s">
        <v>517</v>
      </c>
      <c r="E1627" s="38" t="s">
        <v>4381</v>
      </c>
      <c r="F1627" s="38" t="s">
        <v>4382</v>
      </c>
      <c r="G1627" s="38" t="s">
        <v>111</v>
      </c>
      <c r="H1627" s="44">
        <v>44097</v>
      </c>
      <c r="I1627" s="44">
        <v>44099</v>
      </c>
      <c r="J1627">
        <v>138.94999999999999</v>
      </c>
      <c r="K1627">
        <v>17.350000000000001</v>
      </c>
      <c r="L1627" t="s">
        <v>4383</v>
      </c>
      <c r="M1627" s="45" t="s">
        <v>98</v>
      </c>
      <c r="N1627" s="38" t="s">
        <v>230</v>
      </c>
      <c r="O1627" s="38" t="s">
        <v>519</v>
      </c>
      <c r="P1627" s="38" t="s">
        <v>60</v>
      </c>
      <c r="Q1627" s="38" t="s">
        <v>41</v>
      </c>
      <c r="R1627" s="38" t="s">
        <v>270</v>
      </c>
      <c r="S1627" s="38" t="s">
        <v>4384</v>
      </c>
      <c r="T1627" s="38" t="s">
        <v>4387</v>
      </c>
      <c r="U1627" s="38"/>
      <c r="V1627" s="38"/>
      <c r="W1627" s="38"/>
      <c r="X1627" s="14"/>
      <c r="AI1627" s="53">
        <f>17.35</f>
        <v>17.350000000000001</v>
      </c>
      <c r="AN1627" s="7" t="s">
        <v>145</v>
      </c>
      <c r="AO1627" s="21">
        <f t="shared" si="83"/>
        <v>17.350000000000001</v>
      </c>
      <c r="AP1627" s="7">
        <f t="shared" si="84"/>
        <v>0</v>
      </c>
      <c r="AQ1627" s="31" t="str">
        <f t="shared" si="85"/>
        <v>Complete - With Adjustment</v>
      </c>
    </row>
    <row r="1628" spans="1:43" x14ac:dyDescent="0.2">
      <c r="A1628" s="46">
        <v>1618</v>
      </c>
      <c r="B1628" s="38" t="s">
        <v>266</v>
      </c>
      <c r="C1628" s="38" t="s">
        <v>583</v>
      </c>
      <c r="D1628" s="38" t="s">
        <v>582</v>
      </c>
      <c r="E1628" s="38" t="s">
        <v>4388</v>
      </c>
      <c r="F1628" s="38" t="s">
        <v>4215</v>
      </c>
      <c r="G1628" s="38" t="s">
        <v>111</v>
      </c>
      <c r="H1628" s="44">
        <v>44091</v>
      </c>
      <c r="I1628" s="44">
        <v>44096</v>
      </c>
      <c r="J1628">
        <v>14.74</v>
      </c>
      <c r="K1628">
        <v>14.74</v>
      </c>
      <c r="L1628" t="s">
        <v>4389</v>
      </c>
      <c r="M1628" s="45" t="s">
        <v>98</v>
      </c>
      <c r="N1628" s="38" t="s">
        <v>230</v>
      </c>
      <c r="O1628" s="38" t="s">
        <v>292</v>
      </c>
      <c r="P1628" s="38" t="s">
        <v>60</v>
      </c>
      <c r="Q1628" s="38" t="s">
        <v>46</v>
      </c>
      <c r="R1628" s="38" t="s">
        <v>270</v>
      </c>
      <c r="S1628" s="38" t="s">
        <v>4390</v>
      </c>
      <c r="T1628" s="38" t="s">
        <v>4391</v>
      </c>
      <c r="U1628" s="38"/>
      <c r="V1628" s="38"/>
      <c r="W1628" s="38"/>
      <c r="X1628" s="14"/>
      <c r="AN1628" s="7" t="s">
        <v>4219</v>
      </c>
      <c r="AO1628" s="21">
        <f t="shared" si="83"/>
        <v>0</v>
      </c>
      <c r="AP1628" s="7">
        <f t="shared" si="84"/>
        <v>14.74</v>
      </c>
      <c r="AQ1628" s="31" t="str">
        <f t="shared" si="85"/>
        <v>Complete - No Adjustment</v>
      </c>
    </row>
    <row r="1629" spans="1:43" x14ac:dyDescent="0.2">
      <c r="A1629" s="46">
        <v>1619</v>
      </c>
      <c r="B1629" s="38" t="s">
        <v>266</v>
      </c>
      <c r="C1629" s="38" t="s">
        <v>587</v>
      </c>
      <c r="D1629" s="38" t="s">
        <v>586</v>
      </c>
      <c r="E1629" s="38" t="s">
        <v>4392</v>
      </c>
      <c r="F1629" s="38" t="s">
        <v>4224</v>
      </c>
      <c r="G1629" s="38" t="s">
        <v>111</v>
      </c>
      <c r="H1629" s="44">
        <v>44091</v>
      </c>
      <c r="I1629" s="44">
        <v>44092</v>
      </c>
      <c r="J1629">
        <v>10.82</v>
      </c>
      <c r="K1629">
        <v>10.82</v>
      </c>
      <c r="L1629" t="s">
        <v>4393</v>
      </c>
      <c r="M1629" s="45" t="s">
        <v>98</v>
      </c>
      <c r="N1629" s="38" t="s">
        <v>230</v>
      </c>
      <c r="O1629" s="38" t="s">
        <v>277</v>
      </c>
      <c r="P1629" s="38" t="s">
        <v>60</v>
      </c>
      <c r="Q1629" s="38" t="s">
        <v>41</v>
      </c>
      <c r="R1629" s="38" t="s">
        <v>270</v>
      </c>
      <c r="S1629" s="38" t="s">
        <v>4394</v>
      </c>
      <c r="T1629" s="38" t="s">
        <v>4395</v>
      </c>
      <c r="U1629" s="38"/>
      <c r="V1629" s="38"/>
      <c r="W1629" s="38"/>
      <c r="X1629" s="14"/>
      <c r="AI1629" s="53">
        <f>10.82</f>
        <v>10.82</v>
      </c>
      <c r="AN1629" s="7" t="s">
        <v>145</v>
      </c>
      <c r="AO1629" s="21">
        <f t="shared" si="83"/>
        <v>10.82</v>
      </c>
      <c r="AP1629" s="7">
        <f t="shared" si="84"/>
        <v>0</v>
      </c>
      <c r="AQ1629" s="31" t="str">
        <f t="shared" si="85"/>
        <v>Complete - With Adjustment</v>
      </c>
    </row>
    <row r="1630" spans="1:43" x14ac:dyDescent="0.2">
      <c r="A1630" s="46">
        <v>1620</v>
      </c>
      <c r="B1630" s="38" t="s">
        <v>266</v>
      </c>
      <c r="C1630" s="38" t="s">
        <v>589</v>
      </c>
      <c r="D1630" s="38" t="s">
        <v>588</v>
      </c>
      <c r="E1630" s="38" t="s">
        <v>4396</v>
      </c>
      <c r="F1630" s="38" t="s">
        <v>4224</v>
      </c>
      <c r="G1630" s="38" t="s">
        <v>111</v>
      </c>
      <c r="H1630" s="44">
        <v>44090</v>
      </c>
      <c r="I1630" s="44">
        <v>44092</v>
      </c>
      <c r="J1630">
        <v>150</v>
      </c>
      <c r="K1630">
        <v>150</v>
      </c>
      <c r="L1630" t="s">
        <v>4397</v>
      </c>
      <c r="M1630" s="45" t="s">
        <v>98</v>
      </c>
      <c r="N1630" s="38" t="s">
        <v>230</v>
      </c>
      <c r="O1630" s="38" t="s">
        <v>271</v>
      </c>
      <c r="P1630" s="38" t="s">
        <v>60</v>
      </c>
      <c r="Q1630" s="38" t="s">
        <v>56</v>
      </c>
      <c r="R1630" s="38" t="s">
        <v>270</v>
      </c>
      <c r="S1630" s="38" t="s">
        <v>4398</v>
      </c>
      <c r="T1630" s="38" t="s">
        <v>4399</v>
      </c>
      <c r="U1630" s="38"/>
      <c r="V1630" s="38"/>
      <c r="W1630" s="38"/>
      <c r="X1630" s="14"/>
      <c r="AN1630" s="7" t="s">
        <v>70</v>
      </c>
      <c r="AO1630" s="21">
        <f t="shared" si="83"/>
        <v>0</v>
      </c>
      <c r="AP1630" s="7">
        <f t="shared" si="84"/>
        <v>150</v>
      </c>
      <c r="AQ1630" s="31" t="str">
        <f t="shared" si="85"/>
        <v>Complete - No Adjustment</v>
      </c>
    </row>
    <row r="1631" spans="1:43" x14ac:dyDescent="0.2">
      <c r="A1631" s="46">
        <v>1621</v>
      </c>
      <c r="B1631" s="38" t="s">
        <v>266</v>
      </c>
      <c r="C1631" s="38" t="s">
        <v>313</v>
      </c>
      <c r="D1631" s="38" t="s">
        <v>312</v>
      </c>
      <c r="E1631" s="38" t="s">
        <v>4400</v>
      </c>
      <c r="F1631" s="38" t="s">
        <v>4224</v>
      </c>
      <c r="G1631" s="38" t="s">
        <v>111</v>
      </c>
      <c r="H1631" s="44">
        <v>44090</v>
      </c>
      <c r="I1631" s="44">
        <v>44092</v>
      </c>
      <c r="J1631">
        <v>20.83</v>
      </c>
      <c r="K1631">
        <v>20.83</v>
      </c>
      <c r="L1631" t="s">
        <v>4401</v>
      </c>
      <c r="M1631" s="45" t="s">
        <v>98</v>
      </c>
      <c r="N1631" s="38" t="s">
        <v>230</v>
      </c>
      <c r="O1631" s="38" t="s">
        <v>314</v>
      </c>
      <c r="P1631" s="38" t="s">
        <v>60</v>
      </c>
      <c r="Q1631" s="38" t="s">
        <v>62</v>
      </c>
      <c r="R1631" s="38" t="s">
        <v>270</v>
      </c>
      <c r="S1631" s="38" t="s">
        <v>4402</v>
      </c>
      <c r="T1631" s="38" t="s">
        <v>4403</v>
      </c>
      <c r="U1631" s="38"/>
      <c r="V1631" s="38"/>
      <c r="W1631" s="38"/>
      <c r="X1631" s="14"/>
      <c r="AN1631" s="7" t="s">
        <v>70</v>
      </c>
      <c r="AO1631" s="21">
        <f t="shared" si="83"/>
        <v>0</v>
      </c>
      <c r="AP1631" s="7">
        <f t="shared" si="84"/>
        <v>20.83</v>
      </c>
      <c r="AQ1631" s="31" t="str">
        <f t="shared" si="85"/>
        <v>Complete - No Adjustment</v>
      </c>
    </row>
    <row r="1632" spans="1:43" x14ac:dyDescent="0.2">
      <c r="A1632" s="46">
        <v>1622</v>
      </c>
      <c r="B1632" s="38" t="s">
        <v>266</v>
      </c>
      <c r="C1632" s="38" t="s">
        <v>313</v>
      </c>
      <c r="D1632" s="38" t="s">
        <v>312</v>
      </c>
      <c r="E1632" s="38" t="s">
        <v>4404</v>
      </c>
      <c r="F1632" s="38" t="s">
        <v>4224</v>
      </c>
      <c r="G1632" s="38" t="s">
        <v>111</v>
      </c>
      <c r="H1632" s="44">
        <v>44090</v>
      </c>
      <c r="I1632" s="44">
        <v>44092</v>
      </c>
      <c r="J1632">
        <v>535.58000000000004</v>
      </c>
      <c r="K1632">
        <v>18.64</v>
      </c>
      <c r="L1632" t="s">
        <v>4405</v>
      </c>
      <c r="M1632" s="45" t="s">
        <v>98</v>
      </c>
      <c r="N1632" s="38" t="s">
        <v>230</v>
      </c>
      <c r="O1632" s="38" t="s">
        <v>314</v>
      </c>
      <c r="P1632" s="38" t="s">
        <v>60</v>
      </c>
      <c r="Q1632" s="38" t="s">
        <v>62</v>
      </c>
      <c r="R1632" s="38" t="s">
        <v>270</v>
      </c>
      <c r="S1632" s="38" t="s">
        <v>4406</v>
      </c>
      <c r="T1632" s="38" t="s">
        <v>4407</v>
      </c>
      <c r="U1632" s="38"/>
      <c r="V1632" s="38"/>
      <c r="W1632" s="38"/>
      <c r="X1632" s="14"/>
      <c r="AN1632" s="7" t="s">
        <v>70</v>
      </c>
      <c r="AO1632" s="21">
        <f t="shared" si="83"/>
        <v>0</v>
      </c>
      <c r="AP1632" s="7">
        <f t="shared" si="84"/>
        <v>18.64</v>
      </c>
      <c r="AQ1632" s="31" t="str">
        <f t="shared" si="85"/>
        <v>Complete - No Adjustment</v>
      </c>
    </row>
    <row r="1633" spans="1:43" x14ac:dyDescent="0.2">
      <c r="A1633" s="46">
        <v>1623</v>
      </c>
      <c r="B1633" s="38" t="s">
        <v>266</v>
      </c>
      <c r="C1633" s="38" t="s">
        <v>313</v>
      </c>
      <c r="D1633" s="38" t="s">
        <v>312</v>
      </c>
      <c r="E1633" s="38" t="s">
        <v>4404</v>
      </c>
      <c r="F1633" s="38" t="s">
        <v>4224</v>
      </c>
      <c r="G1633" s="38" t="s">
        <v>111</v>
      </c>
      <c r="H1633" s="44">
        <v>44090</v>
      </c>
      <c r="I1633" s="44">
        <v>44092</v>
      </c>
      <c r="J1633">
        <v>535.58000000000004</v>
      </c>
      <c r="K1633">
        <v>96.6</v>
      </c>
      <c r="L1633" t="s">
        <v>4405</v>
      </c>
      <c r="M1633" s="45" t="s">
        <v>98</v>
      </c>
      <c r="N1633" s="38" t="s">
        <v>230</v>
      </c>
      <c r="O1633" s="38" t="s">
        <v>314</v>
      </c>
      <c r="P1633" s="38" t="s">
        <v>60</v>
      </c>
      <c r="Q1633" s="38" t="s">
        <v>44</v>
      </c>
      <c r="R1633" s="38" t="s">
        <v>270</v>
      </c>
      <c r="S1633" s="38" t="s">
        <v>4406</v>
      </c>
      <c r="T1633" s="38" t="s">
        <v>4408</v>
      </c>
      <c r="U1633" s="38"/>
      <c r="V1633" s="38"/>
      <c r="W1633" s="38"/>
      <c r="X1633" s="14"/>
      <c r="AN1633" s="7" t="s">
        <v>70</v>
      </c>
      <c r="AO1633" s="21">
        <f t="shared" si="83"/>
        <v>0</v>
      </c>
      <c r="AP1633" s="7">
        <f t="shared" si="84"/>
        <v>96.6</v>
      </c>
      <c r="AQ1633" s="31" t="str">
        <f t="shared" si="85"/>
        <v>Complete - No Adjustment</v>
      </c>
    </row>
    <row r="1634" spans="1:43" x14ac:dyDescent="0.2">
      <c r="A1634" s="46">
        <v>1624</v>
      </c>
      <c r="B1634" s="38" t="s">
        <v>266</v>
      </c>
      <c r="C1634" s="38" t="s">
        <v>313</v>
      </c>
      <c r="D1634" s="38" t="s">
        <v>312</v>
      </c>
      <c r="E1634" s="38" t="s">
        <v>4404</v>
      </c>
      <c r="F1634" s="38" t="s">
        <v>4224</v>
      </c>
      <c r="G1634" s="38" t="s">
        <v>111</v>
      </c>
      <c r="H1634" s="44">
        <v>44090</v>
      </c>
      <c r="I1634" s="44">
        <v>44092</v>
      </c>
      <c r="J1634">
        <v>535.58000000000004</v>
      </c>
      <c r="K1634">
        <v>228.42</v>
      </c>
      <c r="L1634" t="s">
        <v>4405</v>
      </c>
      <c r="M1634" s="45" t="s">
        <v>98</v>
      </c>
      <c r="N1634" s="38" t="s">
        <v>230</v>
      </c>
      <c r="O1634" s="38" t="s">
        <v>314</v>
      </c>
      <c r="P1634" s="38" t="s">
        <v>60</v>
      </c>
      <c r="Q1634" s="38" t="s">
        <v>41</v>
      </c>
      <c r="R1634" s="38" t="s">
        <v>270</v>
      </c>
      <c r="S1634" s="38" t="s">
        <v>4406</v>
      </c>
      <c r="T1634" s="38" t="s">
        <v>4409</v>
      </c>
      <c r="U1634" s="38"/>
      <c r="V1634" s="38"/>
      <c r="W1634" s="38"/>
      <c r="X1634" s="14"/>
      <c r="AN1634" s="7" t="s">
        <v>70</v>
      </c>
      <c r="AO1634" s="21">
        <f t="shared" si="83"/>
        <v>0</v>
      </c>
      <c r="AP1634" s="7">
        <f t="shared" si="84"/>
        <v>228.42</v>
      </c>
      <c r="AQ1634" s="31" t="str">
        <f t="shared" si="85"/>
        <v>Complete - No Adjustment</v>
      </c>
    </row>
    <row r="1635" spans="1:43" x14ac:dyDescent="0.2">
      <c r="A1635" s="46">
        <v>1625</v>
      </c>
      <c r="B1635" s="38" t="s">
        <v>266</v>
      </c>
      <c r="C1635" s="38" t="s">
        <v>313</v>
      </c>
      <c r="D1635" s="38" t="s">
        <v>312</v>
      </c>
      <c r="E1635" s="38" t="s">
        <v>4404</v>
      </c>
      <c r="F1635" s="38" t="s">
        <v>4224</v>
      </c>
      <c r="G1635" s="38" t="s">
        <v>111</v>
      </c>
      <c r="H1635" s="44">
        <v>44090</v>
      </c>
      <c r="I1635" s="44">
        <v>44092</v>
      </c>
      <c r="J1635">
        <v>535.58000000000004</v>
      </c>
      <c r="K1635">
        <v>85</v>
      </c>
      <c r="L1635" t="s">
        <v>4405</v>
      </c>
      <c r="M1635" s="45" t="s">
        <v>98</v>
      </c>
      <c r="N1635" s="38" t="s">
        <v>230</v>
      </c>
      <c r="O1635" s="38" t="s">
        <v>314</v>
      </c>
      <c r="P1635" s="38" t="s">
        <v>60</v>
      </c>
      <c r="Q1635" s="38" t="s">
        <v>46</v>
      </c>
      <c r="R1635" s="38" t="s">
        <v>270</v>
      </c>
      <c r="S1635" s="38" t="s">
        <v>4406</v>
      </c>
      <c r="T1635" s="38" t="s">
        <v>4410</v>
      </c>
      <c r="U1635" s="38"/>
      <c r="V1635" s="38"/>
      <c r="W1635" s="38"/>
      <c r="X1635" s="14"/>
      <c r="AN1635" s="7" t="s">
        <v>70</v>
      </c>
      <c r="AO1635" s="21">
        <f t="shared" si="83"/>
        <v>0</v>
      </c>
      <c r="AP1635" s="7">
        <f t="shared" si="84"/>
        <v>85</v>
      </c>
      <c r="AQ1635" s="31" t="str">
        <f t="shared" si="85"/>
        <v>Complete - No Adjustment</v>
      </c>
    </row>
    <row r="1636" spans="1:43" x14ac:dyDescent="0.2">
      <c r="A1636" s="46">
        <v>1626</v>
      </c>
      <c r="B1636" s="38" t="s">
        <v>266</v>
      </c>
      <c r="C1636" s="38" t="s">
        <v>313</v>
      </c>
      <c r="D1636" s="38" t="s">
        <v>312</v>
      </c>
      <c r="E1636" s="38" t="s">
        <v>4404</v>
      </c>
      <c r="F1636" s="38" t="s">
        <v>4224</v>
      </c>
      <c r="G1636" s="38" t="s">
        <v>111</v>
      </c>
      <c r="H1636" s="44">
        <v>44090</v>
      </c>
      <c r="I1636" s="44">
        <v>44092</v>
      </c>
      <c r="J1636">
        <v>535.58000000000004</v>
      </c>
      <c r="K1636">
        <v>41.18</v>
      </c>
      <c r="L1636" t="s">
        <v>4405</v>
      </c>
      <c r="M1636" s="45" t="s">
        <v>98</v>
      </c>
      <c r="N1636" s="38" t="s">
        <v>230</v>
      </c>
      <c r="O1636" s="38" t="s">
        <v>314</v>
      </c>
      <c r="P1636" s="38" t="s">
        <v>60</v>
      </c>
      <c r="Q1636" s="38" t="s">
        <v>62</v>
      </c>
      <c r="R1636" s="38" t="s">
        <v>270</v>
      </c>
      <c r="S1636" s="38" t="s">
        <v>4406</v>
      </c>
      <c r="T1636" s="38" t="s">
        <v>4411</v>
      </c>
      <c r="U1636" s="38"/>
      <c r="V1636" s="38"/>
      <c r="W1636" s="38"/>
      <c r="X1636" s="14"/>
      <c r="AN1636" s="7" t="s">
        <v>70</v>
      </c>
      <c r="AO1636" s="21">
        <f t="shared" si="83"/>
        <v>0</v>
      </c>
      <c r="AP1636" s="7">
        <f t="shared" si="84"/>
        <v>41.18</v>
      </c>
      <c r="AQ1636" s="31" t="str">
        <f t="shared" si="85"/>
        <v>Complete - No Adjustment</v>
      </c>
    </row>
    <row r="1637" spans="1:43" x14ac:dyDescent="0.2">
      <c r="A1637" s="46">
        <v>1627</v>
      </c>
      <c r="B1637" s="38" t="s">
        <v>266</v>
      </c>
      <c r="C1637" s="38" t="s">
        <v>313</v>
      </c>
      <c r="D1637" s="38" t="s">
        <v>312</v>
      </c>
      <c r="E1637" s="38" t="s">
        <v>4404</v>
      </c>
      <c r="F1637" s="38" t="s">
        <v>4224</v>
      </c>
      <c r="G1637" s="38" t="s">
        <v>111</v>
      </c>
      <c r="H1637" s="44">
        <v>44090</v>
      </c>
      <c r="I1637" s="44">
        <v>44092</v>
      </c>
      <c r="J1637">
        <v>535.58000000000004</v>
      </c>
      <c r="K1637">
        <v>65.739999999999995</v>
      </c>
      <c r="L1637" t="s">
        <v>4405</v>
      </c>
      <c r="M1637" s="45" t="s">
        <v>98</v>
      </c>
      <c r="N1637" s="38" t="s">
        <v>230</v>
      </c>
      <c r="O1637" s="38" t="s">
        <v>314</v>
      </c>
      <c r="P1637" s="38" t="s">
        <v>60</v>
      </c>
      <c r="Q1637" s="38" t="s">
        <v>62</v>
      </c>
      <c r="R1637" s="38" t="s">
        <v>270</v>
      </c>
      <c r="S1637" s="38" t="s">
        <v>4406</v>
      </c>
      <c r="T1637" s="38" t="s">
        <v>4412</v>
      </c>
      <c r="U1637" s="38"/>
      <c r="V1637" s="38"/>
      <c r="W1637" s="38"/>
      <c r="X1637" s="14"/>
      <c r="AN1637" s="7" t="s">
        <v>70</v>
      </c>
      <c r="AO1637" s="21">
        <f t="shared" si="83"/>
        <v>0</v>
      </c>
      <c r="AP1637" s="7">
        <f t="shared" si="84"/>
        <v>65.739999999999995</v>
      </c>
      <c r="AQ1637" s="31" t="str">
        <f t="shared" si="85"/>
        <v>Complete - No Adjustment</v>
      </c>
    </row>
    <row r="1638" spans="1:43" x14ac:dyDescent="0.2">
      <c r="A1638" s="46">
        <v>1628</v>
      </c>
      <c r="B1638" s="38" t="s">
        <v>266</v>
      </c>
      <c r="C1638" s="38" t="s">
        <v>742</v>
      </c>
      <c r="D1638" s="38" t="s">
        <v>741</v>
      </c>
      <c r="E1638" s="38" t="s">
        <v>4413</v>
      </c>
      <c r="F1638" s="38" t="s">
        <v>4233</v>
      </c>
      <c r="G1638" s="38" t="s">
        <v>111</v>
      </c>
      <c r="H1638" s="44">
        <v>44091</v>
      </c>
      <c r="I1638" s="44">
        <v>44095</v>
      </c>
      <c r="J1638">
        <v>9.08</v>
      </c>
      <c r="K1638">
        <v>9.08</v>
      </c>
      <c r="L1638" t="s">
        <v>4414</v>
      </c>
      <c r="M1638" s="45" t="s">
        <v>98</v>
      </c>
      <c r="N1638" s="38" t="s">
        <v>230</v>
      </c>
      <c r="O1638" s="38" t="s">
        <v>288</v>
      </c>
      <c r="P1638" s="38" t="s">
        <v>60</v>
      </c>
      <c r="Q1638" s="38" t="s">
        <v>41</v>
      </c>
      <c r="R1638" s="38" t="s">
        <v>270</v>
      </c>
      <c r="S1638" s="38" t="s">
        <v>4415</v>
      </c>
      <c r="T1638" s="38" t="s">
        <v>4416</v>
      </c>
      <c r="U1638" s="38"/>
      <c r="V1638" s="38"/>
      <c r="W1638" s="38"/>
      <c r="X1638" s="14"/>
      <c r="AN1638" s="7" t="s">
        <v>70</v>
      </c>
      <c r="AO1638" s="21">
        <f t="shared" si="83"/>
        <v>0</v>
      </c>
      <c r="AP1638" s="7">
        <f t="shared" si="84"/>
        <v>9.08</v>
      </c>
      <c r="AQ1638" s="31" t="str">
        <f t="shared" si="85"/>
        <v>Complete - No Adjustment</v>
      </c>
    </row>
    <row r="1639" spans="1:43" x14ac:dyDescent="0.2">
      <c r="A1639" s="46">
        <v>1629</v>
      </c>
      <c r="B1639" s="38" t="s">
        <v>266</v>
      </c>
      <c r="C1639" s="38" t="s">
        <v>742</v>
      </c>
      <c r="D1639" s="38" t="s">
        <v>741</v>
      </c>
      <c r="E1639" s="38" t="s">
        <v>4417</v>
      </c>
      <c r="F1639" s="38" t="s">
        <v>4418</v>
      </c>
      <c r="G1639" s="38" t="s">
        <v>111</v>
      </c>
      <c r="H1639" s="44">
        <v>44077</v>
      </c>
      <c r="I1639" s="44">
        <v>44082</v>
      </c>
      <c r="J1639">
        <v>10.83</v>
      </c>
      <c r="K1639">
        <v>10.83</v>
      </c>
      <c r="L1639" t="s">
        <v>4419</v>
      </c>
      <c r="M1639" s="45" t="s">
        <v>98</v>
      </c>
      <c r="N1639" s="38" t="s">
        <v>230</v>
      </c>
      <c r="O1639" s="38" t="s">
        <v>288</v>
      </c>
      <c r="P1639" s="38" t="s">
        <v>60</v>
      </c>
      <c r="Q1639" s="38" t="s">
        <v>41</v>
      </c>
      <c r="R1639" s="38" t="s">
        <v>270</v>
      </c>
      <c r="S1639" s="38" t="s">
        <v>3067</v>
      </c>
      <c r="T1639" s="38" t="s">
        <v>3068</v>
      </c>
      <c r="U1639" s="38"/>
      <c r="V1639" s="38"/>
      <c r="W1639" s="38"/>
      <c r="X1639" s="14"/>
      <c r="AN1639" s="7" t="s">
        <v>70</v>
      </c>
      <c r="AO1639" s="21">
        <f t="shared" si="83"/>
        <v>0</v>
      </c>
      <c r="AP1639" s="7">
        <f t="shared" si="84"/>
        <v>10.83</v>
      </c>
      <c r="AQ1639" s="31" t="str">
        <f t="shared" si="85"/>
        <v>Complete - No Adjustment</v>
      </c>
    </row>
    <row r="1640" spans="1:43" x14ac:dyDescent="0.2">
      <c r="A1640" s="46">
        <v>1630</v>
      </c>
      <c r="B1640" s="38" t="s">
        <v>266</v>
      </c>
      <c r="C1640" s="38" t="s">
        <v>742</v>
      </c>
      <c r="D1640" s="38" t="s">
        <v>741</v>
      </c>
      <c r="E1640" s="38" t="s">
        <v>4420</v>
      </c>
      <c r="F1640" s="38" t="s">
        <v>4421</v>
      </c>
      <c r="G1640" s="38" t="s">
        <v>111</v>
      </c>
      <c r="H1640" s="44">
        <v>44083</v>
      </c>
      <c r="I1640" s="44">
        <v>44085</v>
      </c>
      <c r="J1640">
        <v>10.83</v>
      </c>
      <c r="K1640">
        <v>10.83</v>
      </c>
      <c r="L1640" t="s">
        <v>4422</v>
      </c>
      <c r="M1640" s="45" t="s">
        <v>98</v>
      </c>
      <c r="N1640" s="38" t="s">
        <v>230</v>
      </c>
      <c r="O1640" s="38" t="s">
        <v>288</v>
      </c>
      <c r="P1640" s="38" t="s">
        <v>60</v>
      </c>
      <c r="Q1640" s="38" t="s">
        <v>41</v>
      </c>
      <c r="R1640" s="38" t="s">
        <v>270</v>
      </c>
      <c r="S1640" s="38" t="s">
        <v>4423</v>
      </c>
      <c r="T1640" s="38" t="s">
        <v>4424</v>
      </c>
      <c r="U1640" s="38"/>
      <c r="V1640" s="38"/>
      <c r="W1640" s="38"/>
      <c r="X1640" s="14"/>
      <c r="AN1640" s="7" t="s">
        <v>70</v>
      </c>
      <c r="AO1640" s="21">
        <f t="shared" si="83"/>
        <v>0</v>
      </c>
      <c r="AP1640" s="7">
        <f t="shared" si="84"/>
        <v>10.83</v>
      </c>
      <c r="AQ1640" s="31" t="str">
        <f t="shared" si="85"/>
        <v>Complete - No Adjustment</v>
      </c>
    </row>
    <row r="1641" spans="1:43" x14ac:dyDescent="0.2">
      <c r="A1641" s="46">
        <v>1631</v>
      </c>
      <c r="B1641" s="38" t="s">
        <v>266</v>
      </c>
      <c r="C1641" s="38" t="s">
        <v>742</v>
      </c>
      <c r="D1641" s="38" t="s">
        <v>741</v>
      </c>
      <c r="E1641" s="38" t="s">
        <v>4425</v>
      </c>
      <c r="F1641" s="38" t="s">
        <v>4238</v>
      </c>
      <c r="G1641" s="38" t="s">
        <v>111</v>
      </c>
      <c r="H1641" s="44">
        <v>44097</v>
      </c>
      <c r="I1641" s="44">
        <v>44102</v>
      </c>
      <c r="J1641">
        <v>11.24</v>
      </c>
      <c r="K1641">
        <v>11.24</v>
      </c>
      <c r="L1641" t="s">
        <v>4426</v>
      </c>
      <c r="M1641" s="45" t="s">
        <v>98</v>
      </c>
      <c r="N1641" s="38" t="s">
        <v>230</v>
      </c>
      <c r="O1641" s="38" t="s">
        <v>288</v>
      </c>
      <c r="P1641" s="38" t="s">
        <v>60</v>
      </c>
      <c r="Q1641" s="38" t="s">
        <v>41</v>
      </c>
      <c r="R1641" s="38" t="s">
        <v>270</v>
      </c>
      <c r="S1641" s="38" t="s">
        <v>3063</v>
      </c>
      <c r="T1641" s="38" t="s">
        <v>3064</v>
      </c>
      <c r="U1641" s="38"/>
      <c r="V1641" s="38"/>
      <c r="W1641" s="38"/>
      <c r="X1641" s="14"/>
      <c r="AL1641" s="14">
        <f>11.24</f>
        <v>11.24</v>
      </c>
      <c r="AN1641" s="7" t="s">
        <v>146</v>
      </c>
      <c r="AO1641" s="21">
        <f t="shared" si="83"/>
        <v>11.24</v>
      </c>
      <c r="AP1641" s="7">
        <f t="shared" si="84"/>
        <v>0</v>
      </c>
      <c r="AQ1641" s="31" t="str">
        <f t="shared" si="85"/>
        <v>Complete - With Adjustment</v>
      </c>
    </row>
    <row r="1642" spans="1:43" x14ac:dyDescent="0.2">
      <c r="A1642" s="46">
        <v>1632</v>
      </c>
      <c r="B1642" s="38" t="s">
        <v>266</v>
      </c>
      <c r="C1642" s="38" t="s">
        <v>742</v>
      </c>
      <c r="D1642" s="38" t="s">
        <v>741</v>
      </c>
      <c r="E1642" s="38" t="s">
        <v>4427</v>
      </c>
      <c r="F1642" s="38" t="s">
        <v>4284</v>
      </c>
      <c r="G1642" s="38" t="s">
        <v>111</v>
      </c>
      <c r="H1642" s="44">
        <v>44074</v>
      </c>
      <c r="I1642" s="44">
        <v>44077</v>
      </c>
      <c r="J1642">
        <v>168.75</v>
      </c>
      <c r="K1642">
        <v>168.75</v>
      </c>
      <c r="L1642" t="s">
        <v>4428</v>
      </c>
      <c r="M1642" s="45" t="s">
        <v>98</v>
      </c>
      <c r="N1642" s="38" t="s">
        <v>230</v>
      </c>
      <c r="O1642" s="38" t="s">
        <v>288</v>
      </c>
      <c r="P1642" s="38" t="s">
        <v>60</v>
      </c>
      <c r="Q1642" s="38" t="s">
        <v>49</v>
      </c>
      <c r="R1642" s="38" t="s">
        <v>270</v>
      </c>
      <c r="S1642" s="38" t="s">
        <v>4429</v>
      </c>
      <c r="T1642" s="38" t="s">
        <v>4430</v>
      </c>
      <c r="U1642" s="38"/>
      <c r="V1642" s="38"/>
      <c r="W1642" s="38"/>
      <c r="X1642" s="14"/>
      <c r="AN1642" s="7" t="s">
        <v>70</v>
      </c>
      <c r="AO1642" s="21">
        <f t="shared" si="83"/>
        <v>0</v>
      </c>
      <c r="AP1642" s="7">
        <f t="shared" si="84"/>
        <v>168.75</v>
      </c>
      <c r="AQ1642" s="31" t="str">
        <f t="shared" si="85"/>
        <v>Complete - No Adjustment</v>
      </c>
    </row>
    <row r="1643" spans="1:43" x14ac:dyDescent="0.2">
      <c r="A1643" s="46">
        <v>1633</v>
      </c>
      <c r="B1643" s="38" t="s">
        <v>266</v>
      </c>
      <c r="C1643" s="38" t="s">
        <v>316</v>
      </c>
      <c r="D1643" s="38" t="s">
        <v>315</v>
      </c>
      <c r="E1643" s="38" t="s">
        <v>4431</v>
      </c>
      <c r="F1643" s="38" t="s">
        <v>4432</v>
      </c>
      <c r="G1643" s="38" t="s">
        <v>111</v>
      </c>
      <c r="H1643" s="44">
        <v>44084</v>
      </c>
      <c r="I1643" s="44">
        <v>44091</v>
      </c>
      <c r="J1643">
        <v>521.41999999999996</v>
      </c>
      <c r="K1643">
        <v>472.41</v>
      </c>
      <c r="L1643" t="s">
        <v>4433</v>
      </c>
      <c r="M1643" s="45" t="s">
        <v>98</v>
      </c>
      <c r="N1643" s="38" t="s">
        <v>230</v>
      </c>
      <c r="O1643" s="38" t="s">
        <v>317</v>
      </c>
      <c r="P1643" s="38" t="s">
        <v>60</v>
      </c>
      <c r="Q1643" s="38" t="s">
        <v>62</v>
      </c>
      <c r="R1643" s="38" t="s">
        <v>270</v>
      </c>
      <c r="S1643" s="38" t="s">
        <v>4434</v>
      </c>
      <c r="T1643" s="38" t="s">
        <v>4435</v>
      </c>
      <c r="U1643" s="38"/>
      <c r="V1643" s="38"/>
      <c r="W1643" s="38"/>
      <c r="X1643" s="14"/>
      <c r="AN1643" s="7" t="s">
        <v>70</v>
      </c>
      <c r="AO1643" s="21">
        <f t="shared" si="83"/>
        <v>0</v>
      </c>
      <c r="AP1643" s="7">
        <f t="shared" si="84"/>
        <v>472.41</v>
      </c>
      <c r="AQ1643" s="31" t="str">
        <f t="shared" si="85"/>
        <v>Complete - No Adjustment</v>
      </c>
    </row>
    <row r="1644" spans="1:43" x14ac:dyDescent="0.2">
      <c r="A1644" s="46">
        <v>1634</v>
      </c>
      <c r="B1644" s="38" t="s">
        <v>266</v>
      </c>
      <c r="C1644" s="38" t="s">
        <v>316</v>
      </c>
      <c r="D1644" s="38" t="s">
        <v>315</v>
      </c>
      <c r="E1644" s="38" t="s">
        <v>4431</v>
      </c>
      <c r="F1644" s="38" t="s">
        <v>4432</v>
      </c>
      <c r="G1644" s="38" t="s">
        <v>111</v>
      </c>
      <c r="H1644" s="44">
        <v>44084</v>
      </c>
      <c r="I1644" s="44">
        <v>44091</v>
      </c>
      <c r="J1644">
        <v>521.41999999999996</v>
      </c>
      <c r="K1644">
        <v>16.78</v>
      </c>
      <c r="L1644" t="s">
        <v>4433</v>
      </c>
      <c r="M1644" s="45" t="s">
        <v>98</v>
      </c>
      <c r="N1644" s="38" t="s">
        <v>230</v>
      </c>
      <c r="O1644" s="38" t="s">
        <v>317</v>
      </c>
      <c r="P1644" s="38" t="s">
        <v>60</v>
      </c>
      <c r="Q1644" s="38" t="s">
        <v>41</v>
      </c>
      <c r="R1644" s="38" t="s">
        <v>270</v>
      </c>
      <c r="S1644" s="38" t="s">
        <v>4434</v>
      </c>
      <c r="T1644" s="38" t="s">
        <v>4436</v>
      </c>
      <c r="U1644" s="38"/>
      <c r="V1644" s="38"/>
      <c r="W1644" s="38"/>
      <c r="X1644" s="14"/>
      <c r="AI1644" s="53">
        <f>16.78</f>
        <v>16.78</v>
      </c>
      <c r="AN1644" s="7" t="s">
        <v>145</v>
      </c>
      <c r="AO1644" s="21">
        <f t="shared" si="83"/>
        <v>16.78</v>
      </c>
      <c r="AP1644" s="7">
        <f t="shared" si="84"/>
        <v>0</v>
      </c>
      <c r="AQ1644" s="31" t="str">
        <f t="shared" si="85"/>
        <v>Complete - With Adjustment</v>
      </c>
    </row>
    <row r="1645" spans="1:43" x14ac:dyDescent="0.2">
      <c r="A1645" s="46">
        <v>1635</v>
      </c>
      <c r="B1645" s="38" t="s">
        <v>266</v>
      </c>
      <c r="C1645" s="38" t="s">
        <v>316</v>
      </c>
      <c r="D1645" s="38" t="s">
        <v>315</v>
      </c>
      <c r="E1645" s="38" t="s">
        <v>4431</v>
      </c>
      <c r="F1645" s="38" t="s">
        <v>4432</v>
      </c>
      <c r="G1645" s="38" t="s">
        <v>111</v>
      </c>
      <c r="H1645" s="44">
        <v>44084</v>
      </c>
      <c r="I1645" s="44">
        <v>44091</v>
      </c>
      <c r="J1645">
        <v>521.41999999999996</v>
      </c>
      <c r="K1645">
        <v>17.13</v>
      </c>
      <c r="L1645" t="s">
        <v>4433</v>
      </c>
      <c r="M1645" s="45" t="s">
        <v>98</v>
      </c>
      <c r="N1645" s="38" t="s">
        <v>230</v>
      </c>
      <c r="O1645" s="38" t="s">
        <v>317</v>
      </c>
      <c r="P1645" s="38" t="s">
        <v>60</v>
      </c>
      <c r="Q1645" s="38" t="s">
        <v>41</v>
      </c>
      <c r="R1645" s="38" t="s">
        <v>270</v>
      </c>
      <c r="S1645" s="38" t="s">
        <v>4434</v>
      </c>
      <c r="T1645" s="38" t="s">
        <v>4437</v>
      </c>
      <c r="U1645" s="38"/>
      <c r="V1645" s="38"/>
      <c r="W1645" s="38"/>
      <c r="X1645" s="14"/>
      <c r="AN1645" s="7" t="s">
        <v>70</v>
      </c>
      <c r="AO1645" s="21">
        <f t="shared" si="83"/>
        <v>0</v>
      </c>
      <c r="AP1645" s="7">
        <f t="shared" si="84"/>
        <v>17.13</v>
      </c>
      <c r="AQ1645" s="31" t="str">
        <f t="shared" si="85"/>
        <v>Complete - No Adjustment</v>
      </c>
    </row>
    <row r="1646" spans="1:43" x14ac:dyDescent="0.2">
      <c r="A1646" s="46">
        <v>1636</v>
      </c>
      <c r="B1646" s="38" t="s">
        <v>266</v>
      </c>
      <c r="C1646" s="38" t="s">
        <v>316</v>
      </c>
      <c r="D1646" s="38" t="s">
        <v>315</v>
      </c>
      <c r="E1646" s="38" t="s">
        <v>4431</v>
      </c>
      <c r="F1646" s="38" t="s">
        <v>4432</v>
      </c>
      <c r="G1646" s="38" t="s">
        <v>111</v>
      </c>
      <c r="H1646" s="44">
        <v>44084</v>
      </c>
      <c r="I1646" s="44">
        <v>44091</v>
      </c>
      <c r="J1646">
        <v>521.41999999999996</v>
      </c>
      <c r="K1646">
        <v>15.1</v>
      </c>
      <c r="L1646" t="s">
        <v>4433</v>
      </c>
      <c r="M1646" s="45" t="s">
        <v>98</v>
      </c>
      <c r="N1646" s="38" t="s">
        <v>230</v>
      </c>
      <c r="O1646" s="38" t="s">
        <v>317</v>
      </c>
      <c r="P1646" s="38" t="s">
        <v>60</v>
      </c>
      <c r="Q1646" s="38" t="s">
        <v>41</v>
      </c>
      <c r="R1646" s="38" t="s">
        <v>270</v>
      </c>
      <c r="S1646" s="38" t="s">
        <v>4434</v>
      </c>
      <c r="T1646" s="38" t="s">
        <v>4438</v>
      </c>
      <c r="U1646" s="38"/>
      <c r="V1646" s="38"/>
      <c r="W1646" s="38"/>
      <c r="X1646" s="14"/>
      <c r="AN1646" s="7" t="s">
        <v>70</v>
      </c>
      <c r="AO1646" s="21">
        <f t="shared" si="83"/>
        <v>0</v>
      </c>
      <c r="AP1646" s="7">
        <f t="shared" si="84"/>
        <v>15.1</v>
      </c>
      <c r="AQ1646" s="31" t="str">
        <f t="shared" si="85"/>
        <v>Complete - No Adjustment</v>
      </c>
    </row>
    <row r="1647" spans="1:43" x14ac:dyDescent="0.2">
      <c r="A1647" s="46">
        <v>1637</v>
      </c>
      <c r="B1647" s="38" t="s">
        <v>266</v>
      </c>
      <c r="C1647" s="38" t="s">
        <v>77</v>
      </c>
      <c r="D1647" s="38" t="s">
        <v>100</v>
      </c>
      <c r="E1647" s="38" t="s">
        <v>4439</v>
      </c>
      <c r="F1647" s="38" t="s">
        <v>4298</v>
      </c>
      <c r="G1647" s="38" t="s">
        <v>111</v>
      </c>
      <c r="H1647" s="44">
        <v>44097</v>
      </c>
      <c r="I1647" s="44">
        <v>44103</v>
      </c>
      <c r="J1647">
        <v>1589.98</v>
      </c>
      <c r="K1647">
        <v>15</v>
      </c>
      <c r="L1647" t="s">
        <v>4440</v>
      </c>
      <c r="M1647" s="45" t="s">
        <v>98</v>
      </c>
      <c r="N1647" s="38" t="s">
        <v>230</v>
      </c>
      <c r="O1647" s="38" t="s">
        <v>78</v>
      </c>
      <c r="P1647" s="38" t="s">
        <v>60</v>
      </c>
      <c r="Q1647" s="38" t="s">
        <v>41</v>
      </c>
      <c r="R1647" s="38" t="s">
        <v>270</v>
      </c>
      <c r="S1647" s="38" t="s">
        <v>4441</v>
      </c>
      <c r="T1647" s="38" t="s">
        <v>4442</v>
      </c>
      <c r="U1647" s="38"/>
      <c r="V1647" s="38"/>
      <c r="W1647" s="38"/>
      <c r="X1647" s="14"/>
      <c r="AN1647" s="7" t="s">
        <v>4219</v>
      </c>
      <c r="AO1647" s="21">
        <f t="shared" si="83"/>
        <v>0</v>
      </c>
      <c r="AP1647" s="7">
        <f t="shared" si="84"/>
        <v>15</v>
      </c>
      <c r="AQ1647" s="31" t="str">
        <f t="shared" si="85"/>
        <v>Complete - No Adjustment</v>
      </c>
    </row>
    <row r="1648" spans="1:43" x14ac:dyDescent="0.2">
      <c r="A1648" s="46">
        <v>1638</v>
      </c>
      <c r="B1648" s="38" t="s">
        <v>266</v>
      </c>
      <c r="C1648" s="38" t="s">
        <v>77</v>
      </c>
      <c r="D1648" s="38" t="s">
        <v>100</v>
      </c>
      <c r="E1648" s="38" t="s">
        <v>4439</v>
      </c>
      <c r="F1648" s="38" t="s">
        <v>4298</v>
      </c>
      <c r="G1648" s="38" t="s">
        <v>111</v>
      </c>
      <c r="H1648" s="44">
        <v>44097</v>
      </c>
      <c r="I1648" s="44">
        <v>44103</v>
      </c>
      <c r="J1648">
        <v>1589.98</v>
      </c>
      <c r="K1648">
        <v>550</v>
      </c>
      <c r="L1648" t="s">
        <v>4440</v>
      </c>
      <c r="M1648" s="45" t="s">
        <v>98</v>
      </c>
      <c r="N1648" s="38" t="s">
        <v>230</v>
      </c>
      <c r="O1648" s="38" t="s">
        <v>78</v>
      </c>
      <c r="P1648" s="38" t="s">
        <v>60</v>
      </c>
      <c r="Q1648" s="38" t="s">
        <v>56</v>
      </c>
      <c r="R1648" s="38" t="s">
        <v>270</v>
      </c>
      <c r="S1648" s="38" t="s">
        <v>4441</v>
      </c>
      <c r="T1648" s="38" t="s">
        <v>4443</v>
      </c>
      <c r="U1648" s="38"/>
      <c r="V1648" s="38"/>
      <c r="W1648" s="38"/>
      <c r="X1648" s="14"/>
      <c r="AN1648" s="7" t="s">
        <v>70</v>
      </c>
      <c r="AO1648" s="21">
        <f t="shared" si="83"/>
        <v>0</v>
      </c>
      <c r="AP1648" s="7">
        <f t="shared" si="84"/>
        <v>550</v>
      </c>
      <c r="AQ1648" s="31" t="str">
        <f t="shared" si="85"/>
        <v>Complete - No Adjustment</v>
      </c>
    </row>
    <row r="1649" spans="1:43" x14ac:dyDescent="0.2">
      <c r="A1649" s="46">
        <v>1639</v>
      </c>
      <c r="B1649" s="38" t="s">
        <v>266</v>
      </c>
      <c r="C1649" s="38" t="s">
        <v>77</v>
      </c>
      <c r="D1649" s="38" t="s">
        <v>100</v>
      </c>
      <c r="E1649" s="38" t="s">
        <v>4439</v>
      </c>
      <c r="F1649" s="38" t="s">
        <v>4298</v>
      </c>
      <c r="G1649" s="38" t="s">
        <v>111</v>
      </c>
      <c r="H1649" s="44">
        <v>44097</v>
      </c>
      <c r="I1649" s="44">
        <v>44103</v>
      </c>
      <c r="J1649">
        <v>1589.98</v>
      </c>
      <c r="K1649">
        <v>12.22</v>
      </c>
      <c r="L1649" t="s">
        <v>4440</v>
      </c>
      <c r="M1649" s="45" t="s">
        <v>98</v>
      </c>
      <c r="N1649" s="38" t="s">
        <v>230</v>
      </c>
      <c r="O1649" s="38" t="s">
        <v>78</v>
      </c>
      <c r="P1649" s="38" t="s">
        <v>60</v>
      </c>
      <c r="Q1649" s="38" t="s">
        <v>41</v>
      </c>
      <c r="R1649" s="38" t="s">
        <v>270</v>
      </c>
      <c r="S1649" s="38" t="s">
        <v>4441</v>
      </c>
      <c r="T1649" s="38" t="s">
        <v>4444</v>
      </c>
      <c r="U1649" s="38"/>
      <c r="V1649" s="38"/>
      <c r="W1649" s="38"/>
      <c r="X1649" s="14"/>
      <c r="AN1649" s="7" t="s">
        <v>70</v>
      </c>
      <c r="AO1649" s="21">
        <f t="shared" si="83"/>
        <v>0</v>
      </c>
      <c r="AP1649" s="7">
        <f t="shared" si="84"/>
        <v>12.22</v>
      </c>
      <c r="AQ1649" s="31" t="str">
        <f t="shared" si="85"/>
        <v>Complete - No Adjustment</v>
      </c>
    </row>
    <row r="1650" spans="1:43" x14ac:dyDescent="0.2">
      <c r="A1650" s="46">
        <v>1640</v>
      </c>
      <c r="B1650" s="38" t="s">
        <v>266</v>
      </c>
      <c r="C1650" s="38" t="s">
        <v>77</v>
      </c>
      <c r="D1650" s="38" t="s">
        <v>100</v>
      </c>
      <c r="E1650" s="38" t="s">
        <v>4439</v>
      </c>
      <c r="F1650" s="38" t="s">
        <v>4298</v>
      </c>
      <c r="G1650" s="38" t="s">
        <v>111</v>
      </c>
      <c r="H1650" s="44">
        <v>44097</v>
      </c>
      <c r="I1650" s="44">
        <v>44103</v>
      </c>
      <c r="J1650">
        <v>1589.98</v>
      </c>
      <c r="K1650">
        <v>12.76</v>
      </c>
      <c r="L1650" t="s">
        <v>4440</v>
      </c>
      <c r="M1650" s="45" t="s">
        <v>98</v>
      </c>
      <c r="N1650" s="38" t="s">
        <v>230</v>
      </c>
      <c r="O1650" s="38" t="s">
        <v>78</v>
      </c>
      <c r="P1650" s="38" t="s">
        <v>60</v>
      </c>
      <c r="Q1650" s="38" t="s">
        <v>41</v>
      </c>
      <c r="R1650" s="38" t="s">
        <v>270</v>
      </c>
      <c r="S1650" s="38" t="s">
        <v>4441</v>
      </c>
      <c r="T1650" s="38" t="s">
        <v>4445</v>
      </c>
      <c r="U1650" s="38"/>
      <c r="V1650" s="38"/>
      <c r="W1650" s="38"/>
      <c r="X1650" s="14"/>
      <c r="AN1650" s="7" t="s">
        <v>70</v>
      </c>
      <c r="AO1650" s="21">
        <f t="shared" si="83"/>
        <v>0</v>
      </c>
      <c r="AP1650" s="7">
        <f t="shared" si="84"/>
        <v>12.76</v>
      </c>
      <c r="AQ1650" s="31" t="str">
        <f t="shared" si="85"/>
        <v>Complete - No Adjustment</v>
      </c>
    </row>
    <row r="1651" spans="1:43" x14ac:dyDescent="0.2">
      <c r="A1651" s="46">
        <v>1641</v>
      </c>
      <c r="B1651" s="38" t="s">
        <v>266</v>
      </c>
      <c r="C1651" s="38" t="s">
        <v>77</v>
      </c>
      <c r="D1651" s="38" t="s">
        <v>100</v>
      </c>
      <c r="E1651" s="38" t="s">
        <v>4439</v>
      </c>
      <c r="F1651" s="38" t="s">
        <v>4298</v>
      </c>
      <c r="G1651" s="38" t="s">
        <v>111</v>
      </c>
      <c r="H1651" s="44">
        <v>44097</v>
      </c>
      <c r="I1651" s="44">
        <v>44103</v>
      </c>
      <c r="J1651">
        <v>1589.98</v>
      </c>
      <c r="K1651">
        <v>1000</v>
      </c>
      <c r="L1651" t="s">
        <v>4440</v>
      </c>
      <c r="M1651" s="45" t="s">
        <v>98</v>
      </c>
      <c r="N1651" s="38" t="s">
        <v>230</v>
      </c>
      <c r="O1651" s="38" t="s">
        <v>78</v>
      </c>
      <c r="P1651" s="38" t="s">
        <v>60</v>
      </c>
      <c r="Q1651" s="38" t="s">
        <v>46</v>
      </c>
      <c r="R1651" s="38" t="s">
        <v>270</v>
      </c>
      <c r="S1651" s="38" t="s">
        <v>4441</v>
      </c>
      <c r="T1651" s="38" t="s">
        <v>4446</v>
      </c>
      <c r="U1651" s="38"/>
      <c r="V1651" s="38"/>
      <c r="W1651" s="38"/>
      <c r="X1651" s="14"/>
      <c r="AN1651" s="7" t="s">
        <v>70</v>
      </c>
      <c r="AO1651" s="21">
        <f t="shared" si="83"/>
        <v>0</v>
      </c>
      <c r="AP1651" s="7">
        <f t="shared" si="84"/>
        <v>1000</v>
      </c>
      <c r="AQ1651" s="31" t="str">
        <f t="shared" si="85"/>
        <v>Complete - No Adjustment</v>
      </c>
    </row>
    <row r="1652" spans="1:43" x14ac:dyDescent="0.2">
      <c r="A1652" s="46">
        <v>1642</v>
      </c>
      <c r="B1652" s="38" t="s">
        <v>266</v>
      </c>
      <c r="C1652" s="38" t="s">
        <v>4447</v>
      </c>
      <c r="D1652" s="38" t="s">
        <v>4448</v>
      </c>
      <c r="E1652" s="38" t="s">
        <v>4449</v>
      </c>
      <c r="F1652" s="38" t="s">
        <v>4261</v>
      </c>
      <c r="G1652" s="38" t="s">
        <v>111</v>
      </c>
      <c r="H1652" s="44">
        <v>44102</v>
      </c>
      <c r="I1652" s="44">
        <v>44104</v>
      </c>
      <c r="J1652">
        <v>52</v>
      </c>
      <c r="K1652">
        <v>52</v>
      </c>
      <c r="L1652" t="s">
        <v>4450</v>
      </c>
      <c r="M1652" s="45" t="s">
        <v>98</v>
      </c>
      <c r="N1652" s="38" t="s">
        <v>230</v>
      </c>
      <c r="O1652" s="38" t="s">
        <v>673</v>
      </c>
      <c r="P1652" s="38" t="s">
        <v>60</v>
      </c>
      <c r="Q1652" s="38" t="s">
        <v>123</v>
      </c>
      <c r="R1652" s="38" t="s">
        <v>270</v>
      </c>
      <c r="S1652" s="38" t="s">
        <v>4451</v>
      </c>
      <c r="T1652" s="38" t="s">
        <v>4452</v>
      </c>
      <c r="U1652" s="38"/>
      <c r="V1652" s="38"/>
      <c r="W1652" s="38"/>
      <c r="X1652" s="14"/>
      <c r="AN1652" s="7" t="s">
        <v>70</v>
      </c>
      <c r="AO1652" s="21">
        <f t="shared" si="83"/>
        <v>0</v>
      </c>
      <c r="AP1652" s="7">
        <f t="shared" si="84"/>
        <v>52</v>
      </c>
      <c r="AQ1652" s="31" t="str">
        <f t="shared" si="85"/>
        <v>Complete - No Adjustment</v>
      </c>
    </row>
    <row r="1653" spans="1:43" x14ac:dyDescent="0.2">
      <c r="A1653" s="46">
        <v>1643</v>
      </c>
      <c r="B1653" s="38" t="s">
        <v>266</v>
      </c>
      <c r="C1653" s="38" t="s">
        <v>591</v>
      </c>
      <c r="D1653" s="38" t="s">
        <v>590</v>
      </c>
      <c r="E1653" s="38" t="s">
        <v>4453</v>
      </c>
      <c r="F1653" s="38" t="s">
        <v>4291</v>
      </c>
      <c r="G1653" s="38" t="s">
        <v>111</v>
      </c>
      <c r="H1653" s="44">
        <v>44076</v>
      </c>
      <c r="I1653" s="44">
        <v>44078</v>
      </c>
      <c r="J1653">
        <v>14.02</v>
      </c>
      <c r="K1653">
        <v>14.02</v>
      </c>
      <c r="L1653" t="s">
        <v>4454</v>
      </c>
      <c r="M1653" s="45" t="s">
        <v>98</v>
      </c>
      <c r="N1653" s="38" t="s">
        <v>230</v>
      </c>
      <c r="O1653" s="38" t="s">
        <v>444</v>
      </c>
      <c r="P1653" s="38" t="s">
        <v>60</v>
      </c>
      <c r="Q1653" s="38" t="s">
        <v>41</v>
      </c>
      <c r="R1653" s="38" t="s">
        <v>270</v>
      </c>
      <c r="S1653" s="38" t="s">
        <v>4455</v>
      </c>
      <c r="T1653" s="38" t="s">
        <v>4456</v>
      </c>
      <c r="U1653" s="38"/>
      <c r="V1653" s="38"/>
      <c r="W1653" s="38"/>
      <c r="X1653" s="14"/>
      <c r="AI1653" s="53">
        <f>14.02</f>
        <v>14.02</v>
      </c>
      <c r="AN1653" s="7" t="s">
        <v>145</v>
      </c>
      <c r="AO1653" s="21">
        <f t="shared" si="83"/>
        <v>14.02</v>
      </c>
      <c r="AP1653" s="7">
        <f t="shared" si="84"/>
        <v>0</v>
      </c>
      <c r="AQ1653" s="31" t="str">
        <f t="shared" si="85"/>
        <v>Complete - With Adjustment</v>
      </c>
    </row>
    <row r="1654" spans="1:43" x14ac:dyDescent="0.2">
      <c r="A1654" s="46">
        <v>1644</v>
      </c>
      <c r="B1654" s="38" t="s">
        <v>266</v>
      </c>
      <c r="C1654" s="38" t="s">
        <v>322</v>
      </c>
      <c r="D1654" s="38" t="s">
        <v>321</v>
      </c>
      <c r="E1654" s="38" t="s">
        <v>4457</v>
      </c>
      <c r="F1654" s="38" t="s">
        <v>4298</v>
      </c>
      <c r="G1654" s="38" t="s">
        <v>111</v>
      </c>
      <c r="H1654" s="44">
        <v>44099</v>
      </c>
      <c r="I1654" s="44">
        <v>44103</v>
      </c>
      <c r="J1654">
        <v>37.65</v>
      </c>
      <c r="K1654">
        <v>37.65</v>
      </c>
      <c r="L1654" t="s">
        <v>4458</v>
      </c>
      <c r="M1654" s="45" t="s">
        <v>98</v>
      </c>
      <c r="N1654" s="38" t="s">
        <v>230</v>
      </c>
      <c r="O1654" s="38" t="s">
        <v>323</v>
      </c>
      <c r="P1654" s="38" t="s">
        <v>60</v>
      </c>
      <c r="Q1654" s="38" t="s">
        <v>41</v>
      </c>
      <c r="R1654" s="38" t="s">
        <v>270</v>
      </c>
      <c r="S1654" s="38" t="s">
        <v>4459</v>
      </c>
      <c r="T1654" s="38" t="s">
        <v>4460</v>
      </c>
      <c r="U1654" s="38"/>
      <c r="V1654" s="38"/>
      <c r="W1654" s="38"/>
      <c r="X1654" s="14"/>
      <c r="AB1654" s="14">
        <f>37.65-(15*2)</f>
        <v>7.6499999999999986</v>
      </c>
      <c r="AN1654" s="7" t="s">
        <v>4257</v>
      </c>
      <c r="AO1654" s="21">
        <f t="shared" si="83"/>
        <v>7.6499999999999986</v>
      </c>
      <c r="AP1654" s="7">
        <f t="shared" si="84"/>
        <v>30</v>
      </c>
      <c r="AQ1654" s="31" t="str">
        <f t="shared" si="85"/>
        <v>Complete - With Adjustment</v>
      </c>
    </row>
    <row r="1655" spans="1:43" x14ac:dyDescent="0.2">
      <c r="A1655" s="46">
        <v>1645</v>
      </c>
      <c r="B1655" s="38" t="s">
        <v>266</v>
      </c>
      <c r="C1655" s="38" t="s">
        <v>322</v>
      </c>
      <c r="D1655" s="38" t="s">
        <v>321</v>
      </c>
      <c r="E1655" s="38" t="s">
        <v>4461</v>
      </c>
      <c r="F1655" s="38" t="s">
        <v>4462</v>
      </c>
      <c r="G1655" s="38" t="s">
        <v>111</v>
      </c>
      <c r="H1655" s="44">
        <v>44085</v>
      </c>
      <c r="I1655" s="44">
        <v>44089</v>
      </c>
      <c r="J1655">
        <v>52</v>
      </c>
      <c r="K1655">
        <v>52</v>
      </c>
      <c r="L1655" t="s">
        <v>4463</v>
      </c>
      <c r="M1655" s="45" t="s">
        <v>98</v>
      </c>
      <c r="N1655" s="38" t="s">
        <v>230</v>
      </c>
      <c r="O1655" s="38" t="s">
        <v>323</v>
      </c>
      <c r="P1655" s="38" t="s">
        <v>60</v>
      </c>
      <c r="Q1655" s="38" t="s">
        <v>48</v>
      </c>
      <c r="R1655" s="38" t="s">
        <v>270</v>
      </c>
      <c r="S1655" s="38" t="s">
        <v>4464</v>
      </c>
      <c r="T1655" s="38" t="s">
        <v>4465</v>
      </c>
      <c r="U1655" s="38"/>
      <c r="V1655" s="38"/>
      <c r="W1655" s="38"/>
      <c r="X1655" s="14"/>
      <c r="AN1655" s="7" t="s">
        <v>70</v>
      </c>
      <c r="AO1655" s="21">
        <f t="shared" si="83"/>
        <v>0</v>
      </c>
      <c r="AP1655" s="7">
        <f t="shared" si="84"/>
        <v>52</v>
      </c>
      <c r="AQ1655" s="31" t="str">
        <f t="shared" si="85"/>
        <v>Complete - No Adjustment</v>
      </c>
    </row>
    <row r="1656" spans="1:43" x14ac:dyDescent="0.2">
      <c r="A1656" s="46">
        <v>1646</v>
      </c>
      <c r="B1656" s="38" t="s">
        <v>266</v>
      </c>
      <c r="C1656" s="38" t="s">
        <v>325</v>
      </c>
      <c r="D1656" s="38" t="s">
        <v>324</v>
      </c>
      <c r="E1656" s="38" t="s">
        <v>4466</v>
      </c>
      <c r="F1656" s="38" t="s">
        <v>4238</v>
      </c>
      <c r="G1656" s="38" t="s">
        <v>111</v>
      </c>
      <c r="H1656" s="44">
        <v>44097</v>
      </c>
      <c r="I1656" s="44">
        <v>44102</v>
      </c>
      <c r="J1656">
        <v>48.35</v>
      </c>
      <c r="K1656">
        <v>10.81</v>
      </c>
      <c r="L1656" t="s">
        <v>4467</v>
      </c>
      <c r="M1656" s="45" t="s">
        <v>98</v>
      </c>
      <c r="N1656" s="38" t="s">
        <v>230</v>
      </c>
      <c r="O1656" s="38" t="s">
        <v>288</v>
      </c>
      <c r="P1656" s="38" t="s">
        <v>60</v>
      </c>
      <c r="Q1656" s="38" t="s">
        <v>41</v>
      </c>
      <c r="R1656" s="38" t="s">
        <v>270</v>
      </c>
      <c r="S1656" s="38" t="s">
        <v>4468</v>
      </c>
      <c r="T1656" s="38" t="s">
        <v>4469</v>
      </c>
      <c r="U1656" s="38"/>
      <c r="V1656" s="38"/>
      <c r="W1656" s="38"/>
      <c r="X1656" s="14"/>
      <c r="AN1656" s="7" t="s">
        <v>70</v>
      </c>
      <c r="AO1656" s="21">
        <f t="shared" si="83"/>
        <v>0</v>
      </c>
      <c r="AP1656" s="7">
        <f t="shared" si="84"/>
        <v>10.81</v>
      </c>
      <c r="AQ1656" s="31" t="str">
        <f t="shared" si="85"/>
        <v>Complete - No Adjustment</v>
      </c>
    </row>
    <row r="1657" spans="1:43" x14ac:dyDescent="0.2">
      <c r="A1657" s="46">
        <v>1647</v>
      </c>
      <c r="B1657" s="38" t="s">
        <v>266</v>
      </c>
      <c r="C1657" s="38" t="s">
        <v>325</v>
      </c>
      <c r="D1657" s="38" t="s">
        <v>324</v>
      </c>
      <c r="E1657" s="38" t="s">
        <v>4466</v>
      </c>
      <c r="F1657" s="38" t="s">
        <v>4238</v>
      </c>
      <c r="G1657" s="38" t="s">
        <v>111</v>
      </c>
      <c r="H1657" s="44">
        <v>44097</v>
      </c>
      <c r="I1657" s="44">
        <v>44102</v>
      </c>
      <c r="J1657">
        <v>48.35</v>
      </c>
      <c r="K1657">
        <v>19.309999999999999</v>
      </c>
      <c r="L1657" t="s">
        <v>4467</v>
      </c>
      <c r="M1657" s="45" t="s">
        <v>98</v>
      </c>
      <c r="N1657" s="38" t="s">
        <v>230</v>
      </c>
      <c r="O1657" s="38" t="s">
        <v>288</v>
      </c>
      <c r="P1657" s="38" t="s">
        <v>60</v>
      </c>
      <c r="Q1657" s="38" t="s">
        <v>41</v>
      </c>
      <c r="R1657" s="38" t="s">
        <v>270</v>
      </c>
      <c r="S1657" s="38" t="s">
        <v>4468</v>
      </c>
      <c r="T1657" s="38" t="s">
        <v>4470</v>
      </c>
      <c r="U1657" s="38"/>
      <c r="V1657" s="38"/>
      <c r="W1657" s="38"/>
      <c r="X1657" s="14"/>
      <c r="AL1657" s="14">
        <f>19.31</f>
        <v>19.309999999999999</v>
      </c>
      <c r="AN1657" s="7" t="s">
        <v>146</v>
      </c>
      <c r="AO1657" s="21">
        <f t="shared" si="83"/>
        <v>19.309999999999999</v>
      </c>
      <c r="AP1657" s="7">
        <f t="shared" si="84"/>
        <v>0</v>
      </c>
      <c r="AQ1657" s="31" t="str">
        <f t="shared" si="85"/>
        <v>Complete - With Adjustment</v>
      </c>
    </row>
    <row r="1658" spans="1:43" x14ac:dyDescent="0.2">
      <c r="A1658" s="46">
        <v>1648</v>
      </c>
      <c r="B1658" s="38" t="s">
        <v>266</v>
      </c>
      <c r="C1658" s="38" t="s">
        <v>325</v>
      </c>
      <c r="D1658" s="38" t="s">
        <v>324</v>
      </c>
      <c r="E1658" s="38" t="s">
        <v>4466</v>
      </c>
      <c r="F1658" s="38" t="s">
        <v>4238</v>
      </c>
      <c r="G1658" s="38" t="s">
        <v>111</v>
      </c>
      <c r="H1658" s="44">
        <v>44097</v>
      </c>
      <c r="I1658" s="44">
        <v>44102</v>
      </c>
      <c r="J1658">
        <v>48.35</v>
      </c>
      <c r="K1658">
        <v>18.23</v>
      </c>
      <c r="L1658" t="s">
        <v>4467</v>
      </c>
      <c r="M1658" s="45" t="s">
        <v>98</v>
      </c>
      <c r="N1658" s="38" t="s">
        <v>230</v>
      </c>
      <c r="O1658" s="38" t="s">
        <v>288</v>
      </c>
      <c r="P1658" s="38" t="s">
        <v>60</v>
      </c>
      <c r="Q1658" s="38" t="s">
        <v>41</v>
      </c>
      <c r="R1658" s="38" t="s">
        <v>270</v>
      </c>
      <c r="S1658" s="38" t="s">
        <v>4468</v>
      </c>
      <c r="T1658" s="38" t="s">
        <v>4471</v>
      </c>
      <c r="U1658" s="38"/>
      <c r="V1658" s="38"/>
      <c r="W1658" s="38"/>
      <c r="X1658" s="14"/>
      <c r="AL1658" s="14">
        <f>18.23</f>
        <v>18.23</v>
      </c>
      <c r="AN1658" s="7" t="s">
        <v>146</v>
      </c>
      <c r="AO1658" s="21">
        <f t="shared" si="83"/>
        <v>18.23</v>
      </c>
      <c r="AP1658" s="7">
        <f t="shared" si="84"/>
        <v>0</v>
      </c>
      <c r="AQ1658" s="31" t="str">
        <f t="shared" si="85"/>
        <v>Complete - With Adjustment</v>
      </c>
    </row>
    <row r="1659" spans="1:43" x14ac:dyDescent="0.2">
      <c r="A1659" s="46">
        <v>1649</v>
      </c>
      <c r="B1659" s="38" t="s">
        <v>266</v>
      </c>
      <c r="C1659" s="38" t="s">
        <v>325</v>
      </c>
      <c r="D1659" s="38" t="s">
        <v>324</v>
      </c>
      <c r="E1659" s="38" t="s">
        <v>4472</v>
      </c>
      <c r="F1659" s="38" t="s">
        <v>4238</v>
      </c>
      <c r="G1659" s="38" t="s">
        <v>111</v>
      </c>
      <c r="H1659" s="44">
        <v>44098</v>
      </c>
      <c r="I1659" s="44">
        <v>44102</v>
      </c>
      <c r="J1659">
        <v>174.7</v>
      </c>
      <c r="K1659">
        <v>155.38999999999999</v>
      </c>
      <c r="L1659" t="s">
        <v>4473</v>
      </c>
      <c r="M1659" s="45" t="s">
        <v>98</v>
      </c>
      <c r="N1659" s="38" t="s">
        <v>230</v>
      </c>
      <c r="O1659" s="38" t="s">
        <v>288</v>
      </c>
      <c r="P1659" s="38" t="s">
        <v>60</v>
      </c>
      <c r="Q1659" s="38" t="s">
        <v>49</v>
      </c>
      <c r="R1659" s="38" t="s">
        <v>270</v>
      </c>
      <c r="S1659" s="38" t="s">
        <v>4474</v>
      </c>
      <c r="T1659" s="38" t="s">
        <v>4475</v>
      </c>
      <c r="U1659" s="38"/>
      <c r="V1659" s="38"/>
      <c r="W1659" s="38"/>
      <c r="X1659" s="14"/>
      <c r="AN1659" s="7" t="s">
        <v>70</v>
      </c>
      <c r="AO1659" s="21">
        <f t="shared" si="83"/>
        <v>0</v>
      </c>
      <c r="AP1659" s="7">
        <f t="shared" si="84"/>
        <v>155.38999999999999</v>
      </c>
      <c r="AQ1659" s="31" t="str">
        <f t="shared" si="85"/>
        <v>Complete - No Adjustment</v>
      </c>
    </row>
    <row r="1660" spans="1:43" x14ac:dyDescent="0.2">
      <c r="A1660" s="46">
        <v>1650</v>
      </c>
      <c r="B1660" s="38" t="s">
        <v>266</v>
      </c>
      <c r="C1660" s="38" t="s">
        <v>325</v>
      </c>
      <c r="D1660" s="38" t="s">
        <v>324</v>
      </c>
      <c r="E1660" s="38" t="s">
        <v>4472</v>
      </c>
      <c r="F1660" s="38" t="s">
        <v>4238</v>
      </c>
      <c r="G1660" s="38" t="s">
        <v>111</v>
      </c>
      <c r="H1660" s="44">
        <v>44098</v>
      </c>
      <c r="I1660" s="44">
        <v>44102</v>
      </c>
      <c r="J1660">
        <v>174.7</v>
      </c>
      <c r="K1660">
        <v>19.309999999999999</v>
      </c>
      <c r="L1660" t="s">
        <v>4473</v>
      </c>
      <c r="M1660" s="45" t="s">
        <v>98</v>
      </c>
      <c r="N1660" s="38" t="s">
        <v>230</v>
      </c>
      <c r="O1660" s="38" t="s">
        <v>288</v>
      </c>
      <c r="P1660" s="38" t="s">
        <v>60</v>
      </c>
      <c r="Q1660" s="38" t="s">
        <v>41</v>
      </c>
      <c r="R1660" s="38" t="s">
        <v>270</v>
      </c>
      <c r="S1660" s="38" t="s">
        <v>4474</v>
      </c>
      <c r="T1660" s="38" t="s">
        <v>4476</v>
      </c>
      <c r="U1660" s="38"/>
      <c r="V1660" s="38"/>
      <c r="W1660" s="38"/>
      <c r="X1660" s="14"/>
      <c r="AL1660" s="14">
        <f>19.31</f>
        <v>19.309999999999999</v>
      </c>
      <c r="AN1660" s="7" t="s">
        <v>146</v>
      </c>
      <c r="AO1660" s="21">
        <f t="shared" si="83"/>
        <v>19.309999999999999</v>
      </c>
      <c r="AP1660" s="7">
        <f t="shared" si="84"/>
        <v>0</v>
      </c>
      <c r="AQ1660" s="31" t="str">
        <f t="shared" si="85"/>
        <v>Complete - With Adjustment</v>
      </c>
    </row>
    <row r="1661" spans="1:43" x14ac:dyDescent="0.2">
      <c r="A1661" s="46">
        <v>1651</v>
      </c>
      <c r="B1661" s="38" t="s">
        <v>266</v>
      </c>
      <c r="C1661" s="38" t="s">
        <v>255</v>
      </c>
      <c r="D1661" s="38" t="s">
        <v>254</v>
      </c>
      <c r="E1661" s="38" t="s">
        <v>4477</v>
      </c>
      <c r="F1661" s="38" t="s">
        <v>4382</v>
      </c>
      <c r="G1661" s="38" t="s">
        <v>111</v>
      </c>
      <c r="H1661" s="44">
        <v>44098</v>
      </c>
      <c r="I1661" s="44">
        <v>44099</v>
      </c>
      <c r="J1661">
        <v>553.82000000000005</v>
      </c>
      <c r="K1661">
        <v>68.62</v>
      </c>
      <c r="L1661" t="s">
        <v>4478</v>
      </c>
      <c r="M1661" s="45" t="s">
        <v>98</v>
      </c>
      <c r="N1661" s="38" t="s">
        <v>230</v>
      </c>
      <c r="O1661" s="38" t="s">
        <v>288</v>
      </c>
      <c r="P1661" s="38" t="s">
        <v>60</v>
      </c>
      <c r="Q1661" s="38" t="s">
        <v>46</v>
      </c>
      <c r="R1661" s="38" t="s">
        <v>270</v>
      </c>
      <c r="S1661" s="38" t="s">
        <v>4479</v>
      </c>
      <c r="T1661" s="38" t="s">
        <v>4480</v>
      </c>
      <c r="U1661" s="38"/>
      <c r="V1661" s="38"/>
      <c r="W1661" s="38"/>
      <c r="X1661" s="14"/>
      <c r="AI1661" s="53">
        <f>68.62</f>
        <v>68.62</v>
      </c>
      <c r="AN1661" s="7" t="s">
        <v>145</v>
      </c>
      <c r="AO1661" s="21">
        <f t="shared" si="83"/>
        <v>68.62</v>
      </c>
      <c r="AP1661" s="7">
        <f t="shared" si="84"/>
        <v>0</v>
      </c>
      <c r="AQ1661" s="31" t="str">
        <f t="shared" si="85"/>
        <v>Complete - With Adjustment</v>
      </c>
    </row>
    <row r="1662" spans="1:43" x14ac:dyDescent="0.2">
      <c r="A1662" s="46">
        <v>1652</v>
      </c>
      <c r="B1662" s="38" t="s">
        <v>266</v>
      </c>
      <c r="C1662" s="38" t="s">
        <v>255</v>
      </c>
      <c r="D1662" s="38" t="s">
        <v>254</v>
      </c>
      <c r="E1662" s="38" t="s">
        <v>4477</v>
      </c>
      <c r="F1662" s="38" t="s">
        <v>4382</v>
      </c>
      <c r="G1662" s="38" t="s">
        <v>111</v>
      </c>
      <c r="H1662" s="44">
        <v>44098</v>
      </c>
      <c r="I1662" s="44">
        <v>44099</v>
      </c>
      <c r="J1662">
        <v>553.82000000000005</v>
      </c>
      <c r="K1662">
        <v>63.42</v>
      </c>
      <c r="L1662" t="s">
        <v>4478</v>
      </c>
      <c r="M1662" s="45" t="s">
        <v>98</v>
      </c>
      <c r="N1662" s="38" t="s">
        <v>230</v>
      </c>
      <c r="O1662" s="38" t="s">
        <v>288</v>
      </c>
      <c r="P1662" s="38" t="s">
        <v>60</v>
      </c>
      <c r="Q1662" s="38" t="s">
        <v>46</v>
      </c>
      <c r="R1662" s="38" t="s">
        <v>270</v>
      </c>
      <c r="S1662" s="38" t="s">
        <v>4479</v>
      </c>
      <c r="T1662" s="38" t="s">
        <v>4480</v>
      </c>
      <c r="U1662" s="38"/>
      <c r="V1662" s="38"/>
      <c r="W1662" s="38"/>
      <c r="X1662" s="14"/>
      <c r="AI1662" s="53">
        <f>63.42</f>
        <v>63.42</v>
      </c>
      <c r="AN1662" s="7" t="s">
        <v>145</v>
      </c>
      <c r="AO1662" s="21">
        <f t="shared" si="83"/>
        <v>63.42</v>
      </c>
      <c r="AP1662" s="7">
        <f t="shared" si="84"/>
        <v>0</v>
      </c>
      <c r="AQ1662" s="31" t="str">
        <f t="shared" si="85"/>
        <v>Complete - With Adjustment</v>
      </c>
    </row>
    <row r="1663" spans="1:43" x14ac:dyDescent="0.2">
      <c r="A1663" s="46">
        <v>1653</v>
      </c>
      <c r="B1663" s="38" t="s">
        <v>266</v>
      </c>
      <c r="C1663" s="38" t="s">
        <v>255</v>
      </c>
      <c r="D1663" s="38" t="s">
        <v>254</v>
      </c>
      <c r="E1663" s="38" t="s">
        <v>4477</v>
      </c>
      <c r="F1663" s="38" t="s">
        <v>4382</v>
      </c>
      <c r="G1663" s="38" t="s">
        <v>111</v>
      </c>
      <c r="H1663" s="44">
        <v>44098</v>
      </c>
      <c r="I1663" s="44">
        <v>44099</v>
      </c>
      <c r="J1663">
        <v>553.82000000000005</v>
      </c>
      <c r="K1663">
        <v>34.61</v>
      </c>
      <c r="L1663" t="s">
        <v>4478</v>
      </c>
      <c r="M1663" s="45" t="s">
        <v>98</v>
      </c>
      <c r="N1663" s="38" t="s">
        <v>230</v>
      </c>
      <c r="O1663" s="38" t="s">
        <v>288</v>
      </c>
      <c r="P1663" s="38" t="s">
        <v>60</v>
      </c>
      <c r="Q1663" s="38" t="s">
        <v>46</v>
      </c>
      <c r="R1663" s="38" t="s">
        <v>270</v>
      </c>
      <c r="S1663" s="38" t="s">
        <v>4479</v>
      </c>
      <c r="T1663" s="38" t="s">
        <v>4481</v>
      </c>
      <c r="U1663" s="38"/>
      <c r="V1663" s="38"/>
      <c r="W1663" s="38"/>
      <c r="X1663" s="14"/>
      <c r="AI1663" s="53">
        <f>34.61</f>
        <v>34.61</v>
      </c>
      <c r="AN1663" s="7" t="s">
        <v>145</v>
      </c>
      <c r="AO1663" s="21">
        <f t="shared" si="83"/>
        <v>34.61</v>
      </c>
      <c r="AP1663" s="7">
        <f t="shared" si="84"/>
        <v>0</v>
      </c>
      <c r="AQ1663" s="31" t="str">
        <f t="shared" si="85"/>
        <v>Complete - With Adjustment</v>
      </c>
    </row>
    <row r="1664" spans="1:43" x14ac:dyDescent="0.2">
      <c r="A1664" s="46">
        <v>1654</v>
      </c>
      <c r="B1664" s="38" t="s">
        <v>266</v>
      </c>
      <c r="C1664" s="38" t="s">
        <v>255</v>
      </c>
      <c r="D1664" s="38" t="s">
        <v>254</v>
      </c>
      <c r="E1664" s="38" t="s">
        <v>4477</v>
      </c>
      <c r="F1664" s="38" t="s">
        <v>4382</v>
      </c>
      <c r="G1664" s="38" t="s">
        <v>111</v>
      </c>
      <c r="H1664" s="44">
        <v>44098</v>
      </c>
      <c r="I1664" s="44">
        <v>44099</v>
      </c>
      <c r="J1664">
        <v>553.82000000000005</v>
      </c>
      <c r="K1664">
        <v>48.42</v>
      </c>
      <c r="L1664" t="s">
        <v>4478</v>
      </c>
      <c r="M1664" s="45" t="s">
        <v>98</v>
      </c>
      <c r="N1664" s="38" t="s">
        <v>230</v>
      </c>
      <c r="O1664" s="38" t="s">
        <v>288</v>
      </c>
      <c r="P1664" s="38" t="s">
        <v>60</v>
      </c>
      <c r="Q1664" s="38" t="s">
        <v>46</v>
      </c>
      <c r="R1664" s="38" t="s">
        <v>270</v>
      </c>
      <c r="S1664" s="38" t="s">
        <v>4479</v>
      </c>
      <c r="T1664" s="38" t="s">
        <v>4481</v>
      </c>
      <c r="U1664" s="38"/>
      <c r="V1664" s="38"/>
      <c r="W1664" s="38"/>
      <c r="X1664" s="14"/>
      <c r="AI1664" s="53">
        <f>48.42</f>
        <v>48.42</v>
      </c>
      <c r="AN1664" s="7" t="s">
        <v>145</v>
      </c>
      <c r="AO1664" s="21">
        <f t="shared" si="83"/>
        <v>48.42</v>
      </c>
      <c r="AP1664" s="7">
        <f t="shared" si="84"/>
        <v>0</v>
      </c>
      <c r="AQ1664" s="31" t="str">
        <f t="shared" si="85"/>
        <v>Complete - With Adjustment</v>
      </c>
    </row>
    <row r="1665" spans="1:43" x14ac:dyDescent="0.2">
      <c r="A1665" s="46">
        <v>1655</v>
      </c>
      <c r="B1665" s="38" t="s">
        <v>266</v>
      </c>
      <c r="C1665" s="38" t="s">
        <v>255</v>
      </c>
      <c r="D1665" s="38" t="s">
        <v>254</v>
      </c>
      <c r="E1665" s="38" t="s">
        <v>4477</v>
      </c>
      <c r="F1665" s="38" t="s">
        <v>4382</v>
      </c>
      <c r="G1665" s="38" t="s">
        <v>111</v>
      </c>
      <c r="H1665" s="44">
        <v>44098</v>
      </c>
      <c r="I1665" s="44">
        <v>44099</v>
      </c>
      <c r="J1665">
        <v>553.82000000000005</v>
      </c>
      <c r="K1665">
        <v>36.15</v>
      </c>
      <c r="L1665" t="s">
        <v>4478</v>
      </c>
      <c r="M1665" s="45" t="s">
        <v>98</v>
      </c>
      <c r="N1665" s="38" t="s">
        <v>230</v>
      </c>
      <c r="O1665" s="38" t="s">
        <v>288</v>
      </c>
      <c r="P1665" s="38" t="s">
        <v>60</v>
      </c>
      <c r="Q1665" s="38" t="s">
        <v>46</v>
      </c>
      <c r="R1665" s="38" t="s">
        <v>270</v>
      </c>
      <c r="S1665" s="38" t="s">
        <v>4479</v>
      </c>
      <c r="T1665" s="38" t="s">
        <v>4481</v>
      </c>
      <c r="U1665" s="38"/>
      <c r="V1665" s="38"/>
      <c r="W1665" s="38"/>
      <c r="X1665" s="14"/>
      <c r="AI1665" s="53">
        <f>36.15</f>
        <v>36.15</v>
      </c>
      <c r="AN1665" s="7" t="s">
        <v>145</v>
      </c>
      <c r="AO1665" s="21">
        <f t="shared" si="83"/>
        <v>36.15</v>
      </c>
      <c r="AP1665" s="7">
        <f t="shared" si="84"/>
        <v>0</v>
      </c>
      <c r="AQ1665" s="31" t="str">
        <f t="shared" si="85"/>
        <v>Complete - With Adjustment</v>
      </c>
    </row>
    <row r="1666" spans="1:43" x14ac:dyDescent="0.2">
      <c r="A1666" s="46">
        <v>1656</v>
      </c>
      <c r="B1666" s="38" t="s">
        <v>266</v>
      </c>
      <c r="C1666" s="38" t="s">
        <v>255</v>
      </c>
      <c r="D1666" s="38" t="s">
        <v>254</v>
      </c>
      <c r="E1666" s="38" t="s">
        <v>4477</v>
      </c>
      <c r="F1666" s="38" t="s">
        <v>4382</v>
      </c>
      <c r="G1666" s="38" t="s">
        <v>111</v>
      </c>
      <c r="H1666" s="44">
        <v>44098</v>
      </c>
      <c r="I1666" s="44">
        <v>44099</v>
      </c>
      <c r="J1666">
        <v>553.82000000000005</v>
      </c>
      <c r="K1666">
        <v>9.6199999999999992</v>
      </c>
      <c r="L1666" t="s">
        <v>4478</v>
      </c>
      <c r="M1666" s="45" t="s">
        <v>98</v>
      </c>
      <c r="N1666" s="38" t="s">
        <v>230</v>
      </c>
      <c r="O1666" s="38" t="s">
        <v>288</v>
      </c>
      <c r="P1666" s="38" t="s">
        <v>60</v>
      </c>
      <c r="Q1666" s="38" t="s">
        <v>46</v>
      </c>
      <c r="R1666" s="38" t="s">
        <v>270</v>
      </c>
      <c r="S1666" s="38" t="s">
        <v>4479</v>
      </c>
      <c r="T1666" s="38" t="s">
        <v>4482</v>
      </c>
      <c r="U1666" s="38"/>
      <c r="V1666" s="38"/>
      <c r="W1666" s="38"/>
      <c r="X1666" s="14"/>
      <c r="AI1666" s="53">
        <f>9.62</f>
        <v>9.6199999999999992</v>
      </c>
      <c r="AN1666" s="7" t="s">
        <v>145</v>
      </c>
      <c r="AO1666" s="21">
        <f t="shared" si="83"/>
        <v>9.6199999999999992</v>
      </c>
      <c r="AP1666" s="7">
        <f t="shared" si="84"/>
        <v>0</v>
      </c>
      <c r="AQ1666" s="31" t="str">
        <f t="shared" si="85"/>
        <v>Complete - With Adjustment</v>
      </c>
    </row>
    <row r="1667" spans="1:43" x14ac:dyDescent="0.2">
      <c r="A1667" s="46">
        <v>1657</v>
      </c>
      <c r="B1667" s="38" t="s">
        <v>266</v>
      </c>
      <c r="C1667" s="38" t="s">
        <v>255</v>
      </c>
      <c r="D1667" s="38" t="s">
        <v>254</v>
      </c>
      <c r="E1667" s="38" t="s">
        <v>4477</v>
      </c>
      <c r="F1667" s="38" t="s">
        <v>4382</v>
      </c>
      <c r="G1667" s="38" t="s">
        <v>111</v>
      </c>
      <c r="H1667" s="44">
        <v>44098</v>
      </c>
      <c r="I1667" s="44">
        <v>44099</v>
      </c>
      <c r="J1667">
        <v>553.82000000000005</v>
      </c>
      <c r="K1667">
        <v>50.02</v>
      </c>
      <c r="L1667" t="s">
        <v>4478</v>
      </c>
      <c r="M1667" s="45" t="s">
        <v>98</v>
      </c>
      <c r="N1667" s="38" t="s">
        <v>230</v>
      </c>
      <c r="O1667" s="38" t="s">
        <v>288</v>
      </c>
      <c r="P1667" s="38" t="s">
        <v>60</v>
      </c>
      <c r="Q1667" s="38" t="s">
        <v>46</v>
      </c>
      <c r="R1667" s="38" t="s">
        <v>270</v>
      </c>
      <c r="S1667" s="38" t="s">
        <v>4479</v>
      </c>
      <c r="T1667" s="38" t="s">
        <v>4481</v>
      </c>
      <c r="U1667" s="38"/>
      <c r="V1667" s="38"/>
      <c r="W1667" s="38"/>
      <c r="X1667" s="14"/>
      <c r="AI1667" s="53">
        <f>50.02</f>
        <v>50.02</v>
      </c>
      <c r="AN1667" s="7" t="s">
        <v>145</v>
      </c>
      <c r="AO1667" s="21">
        <f t="shared" si="83"/>
        <v>50.02</v>
      </c>
      <c r="AP1667" s="7">
        <f t="shared" si="84"/>
        <v>0</v>
      </c>
      <c r="AQ1667" s="31" t="str">
        <f t="shared" si="85"/>
        <v>Complete - With Adjustment</v>
      </c>
    </row>
    <row r="1668" spans="1:43" x14ac:dyDescent="0.2">
      <c r="A1668" s="46">
        <v>1658</v>
      </c>
      <c r="B1668" s="38" t="s">
        <v>266</v>
      </c>
      <c r="C1668" s="38" t="s">
        <v>255</v>
      </c>
      <c r="D1668" s="38" t="s">
        <v>254</v>
      </c>
      <c r="E1668" s="38" t="s">
        <v>4477</v>
      </c>
      <c r="F1668" s="38" t="s">
        <v>4382</v>
      </c>
      <c r="G1668" s="38" t="s">
        <v>111</v>
      </c>
      <c r="H1668" s="44">
        <v>44098</v>
      </c>
      <c r="I1668" s="44">
        <v>44099</v>
      </c>
      <c r="J1668">
        <v>553.82000000000005</v>
      </c>
      <c r="K1668">
        <v>93.14</v>
      </c>
      <c r="L1668" t="s">
        <v>4478</v>
      </c>
      <c r="M1668" s="45" t="s">
        <v>98</v>
      </c>
      <c r="N1668" s="38" t="s">
        <v>230</v>
      </c>
      <c r="O1668" s="38" t="s">
        <v>288</v>
      </c>
      <c r="P1668" s="38" t="s">
        <v>60</v>
      </c>
      <c r="Q1668" s="38" t="s">
        <v>46</v>
      </c>
      <c r="R1668" s="38" t="s">
        <v>270</v>
      </c>
      <c r="S1668" s="38" t="s">
        <v>4479</v>
      </c>
      <c r="T1668" s="38" t="s">
        <v>4480</v>
      </c>
      <c r="U1668" s="38"/>
      <c r="V1668" s="38"/>
      <c r="W1668" s="38"/>
      <c r="X1668" s="14"/>
      <c r="AI1668" s="53">
        <f>93.14</f>
        <v>93.14</v>
      </c>
      <c r="AN1668" s="7" t="s">
        <v>145</v>
      </c>
      <c r="AO1668" s="21">
        <f t="shared" si="83"/>
        <v>93.14</v>
      </c>
      <c r="AP1668" s="7">
        <f t="shared" si="84"/>
        <v>0</v>
      </c>
      <c r="AQ1668" s="31" t="str">
        <f t="shared" si="85"/>
        <v>Complete - With Adjustment</v>
      </c>
    </row>
    <row r="1669" spans="1:43" x14ac:dyDescent="0.2">
      <c r="A1669" s="46">
        <v>1659</v>
      </c>
      <c r="B1669" s="38" t="s">
        <v>266</v>
      </c>
      <c r="C1669" s="38" t="s">
        <v>255</v>
      </c>
      <c r="D1669" s="38" t="s">
        <v>254</v>
      </c>
      <c r="E1669" s="38" t="s">
        <v>4477</v>
      </c>
      <c r="F1669" s="38" t="s">
        <v>4382</v>
      </c>
      <c r="G1669" s="38" t="s">
        <v>111</v>
      </c>
      <c r="H1669" s="44">
        <v>44098</v>
      </c>
      <c r="I1669" s="44">
        <v>44099</v>
      </c>
      <c r="J1669">
        <v>553.82000000000005</v>
      </c>
      <c r="K1669">
        <v>11</v>
      </c>
      <c r="L1669" t="s">
        <v>4478</v>
      </c>
      <c r="M1669" s="45" t="s">
        <v>98</v>
      </c>
      <c r="N1669" s="38" t="s">
        <v>230</v>
      </c>
      <c r="O1669" s="38" t="s">
        <v>288</v>
      </c>
      <c r="P1669" s="38" t="s">
        <v>60</v>
      </c>
      <c r="Q1669" s="38" t="s">
        <v>46</v>
      </c>
      <c r="R1669" s="38" t="s">
        <v>270</v>
      </c>
      <c r="S1669" s="38" t="s">
        <v>4479</v>
      </c>
      <c r="T1669" s="38" t="s">
        <v>4480</v>
      </c>
      <c r="U1669" s="38"/>
      <c r="V1669" s="38"/>
      <c r="W1669" s="38"/>
      <c r="X1669" s="14"/>
      <c r="AI1669" s="53">
        <f>11</f>
        <v>11</v>
      </c>
      <c r="AN1669" s="7" t="s">
        <v>145</v>
      </c>
      <c r="AO1669" s="21">
        <f t="shared" si="83"/>
        <v>11</v>
      </c>
      <c r="AP1669" s="7">
        <f t="shared" si="84"/>
        <v>0</v>
      </c>
      <c r="AQ1669" s="31" t="str">
        <f t="shared" si="85"/>
        <v>Complete - With Adjustment</v>
      </c>
    </row>
    <row r="1670" spans="1:43" x14ac:dyDescent="0.2">
      <c r="A1670" s="46">
        <v>1660</v>
      </c>
      <c r="B1670" s="38" t="s">
        <v>266</v>
      </c>
      <c r="C1670" s="38" t="s">
        <v>255</v>
      </c>
      <c r="D1670" s="38" t="s">
        <v>254</v>
      </c>
      <c r="E1670" s="38" t="s">
        <v>4477</v>
      </c>
      <c r="F1670" s="38" t="s">
        <v>4382</v>
      </c>
      <c r="G1670" s="38" t="s">
        <v>111</v>
      </c>
      <c r="H1670" s="44">
        <v>44098</v>
      </c>
      <c r="I1670" s="44">
        <v>44099</v>
      </c>
      <c r="J1670">
        <v>553.82000000000005</v>
      </c>
      <c r="K1670">
        <v>113.81</v>
      </c>
      <c r="L1670" t="s">
        <v>4478</v>
      </c>
      <c r="M1670" s="45" t="s">
        <v>98</v>
      </c>
      <c r="N1670" s="38" t="s">
        <v>230</v>
      </c>
      <c r="O1670" s="38" t="s">
        <v>288</v>
      </c>
      <c r="P1670" s="38" t="s">
        <v>60</v>
      </c>
      <c r="Q1670" s="38" t="s">
        <v>46</v>
      </c>
      <c r="R1670" s="38" t="s">
        <v>270</v>
      </c>
      <c r="S1670" s="38" t="s">
        <v>4479</v>
      </c>
      <c r="T1670" s="38" t="s">
        <v>4481</v>
      </c>
      <c r="U1670" s="38"/>
      <c r="V1670" s="38"/>
      <c r="W1670" s="38"/>
      <c r="X1670" s="14"/>
      <c r="AI1670" s="53">
        <f>113.81</f>
        <v>113.81</v>
      </c>
      <c r="AN1670" s="7" t="s">
        <v>145</v>
      </c>
      <c r="AO1670" s="21">
        <f t="shared" si="83"/>
        <v>113.81</v>
      </c>
      <c r="AP1670" s="7">
        <f t="shared" si="84"/>
        <v>0</v>
      </c>
      <c r="AQ1670" s="31" t="str">
        <f t="shared" si="85"/>
        <v>Complete - With Adjustment</v>
      </c>
    </row>
    <row r="1671" spans="1:43" x14ac:dyDescent="0.2">
      <c r="A1671" s="46">
        <v>1661</v>
      </c>
      <c r="B1671" s="38" t="s">
        <v>266</v>
      </c>
      <c r="C1671" s="38" t="s">
        <v>255</v>
      </c>
      <c r="D1671" s="38" t="s">
        <v>254</v>
      </c>
      <c r="E1671" s="38" t="s">
        <v>4477</v>
      </c>
      <c r="F1671" s="38" t="s">
        <v>4382</v>
      </c>
      <c r="G1671" s="38" t="s">
        <v>111</v>
      </c>
      <c r="H1671" s="44">
        <v>44098</v>
      </c>
      <c r="I1671" s="44">
        <v>44099</v>
      </c>
      <c r="J1671">
        <v>553.82000000000005</v>
      </c>
      <c r="K1671">
        <v>25.01</v>
      </c>
      <c r="L1671" t="s">
        <v>4478</v>
      </c>
      <c r="M1671" s="45" t="s">
        <v>98</v>
      </c>
      <c r="N1671" s="38" t="s">
        <v>230</v>
      </c>
      <c r="O1671" s="38" t="s">
        <v>288</v>
      </c>
      <c r="P1671" s="38" t="s">
        <v>60</v>
      </c>
      <c r="Q1671" s="38" t="s">
        <v>46</v>
      </c>
      <c r="R1671" s="38" t="s">
        <v>270</v>
      </c>
      <c r="S1671" s="38" t="s">
        <v>4479</v>
      </c>
      <c r="T1671" s="38" t="s">
        <v>4481</v>
      </c>
      <c r="U1671" s="38"/>
      <c r="V1671" s="38"/>
      <c r="W1671" s="38"/>
      <c r="X1671" s="14"/>
      <c r="AI1671" s="53">
        <f>25.01</f>
        <v>25.01</v>
      </c>
      <c r="AN1671" s="7" t="s">
        <v>145</v>
      </c>
      <c r="AO1671" s="21">
        <f t="shared" si="83"/>
        <v>25.01</v>
      </c>
      <c r="AP1671" s="7">
        <f t="shared" si="84"/>
        <v>0</v>
      </c>
      <c r="AQ1671" s="31" t="str">
        <f t="shared" si="85"/>
        <v>Complete - With Adjustment</v>
      </c>
    </row>
    <row r="1672" spans="1:43" x14ac:dyDescent="0.2">
      <c r="A1672" s="46">
        <v>1662</v>
      </c>
      <c r="B1672" s="38" t="s">
        <v>266</v>
      </c>
      <c r="C1672" s="38" t="s">
        <v>2250</v>
      </c>
      <c r="D1672" s="38" t="s">
        <v>2251</v>
      </c>
      <c r="E1672" s="38" t="s">
        <v>4483</v>
      </c>
      <c r="F1672" s="38" t="s">
        <v>4224</v>
      </c>
      <c r="G1672" s="38" t="s">
        <v>111</v>
      </c>
      <c r="H1672" s="44">
        <v>44090</v>
      </c>
      <c r="I1672" s="44">
        <v>44092</v>
      </c>
      <c r="J1672">
        <v>15</v>
      </c>
      <c r="K1672">
        <v>15</v>
      </c>
      <c r="L1672" t="s">
        <v>4484</v>
      </c>
      <c r="M1672" s="45" t="s">
        <v>98</v>
      </c>
      <c r="N1672" s="38" t="s">
        <v>230</v>
      </c>
      <c r="O1672" s="38" t="s">
        <v>365</v>
      </c>
      <c r="P1672" s="38" t="s">
        <v>60</v>
      </c>
      <c r="Q1672" s="38" t="s">
        <v>46</v>
      </c>
      <c r="R1672" s="38" t="s">
        <v>270</v>
      </c>
      <c r="S1672" s="38" t="s">
        <v>4485</v>
      </c>
      <c r="T1672" s="38" t="s">
        <v>4486</v>
      </c>
      <c r="U1672" s="38"/>
      <c r="V1672" s="38"/>
      <c r="W1672" s="38"/>
      <c r="X1672" s="14"/>
      <c r="AN1672" s="7" t="s">
        <v>4219</v>
      </c>
      <c r="AO1672" s="21">
        <f t="shared" si="83"/>
        <v>0</v>
      </c>
      <c r="AP1672" s="7">
        <f t="shared" si="84"/>
        <v>15</v>
      </c>
      <c r="AQ1672" s="31" t="str">
        <f t="shared" si="85"/>
        <v>Complete - No Adjustment</v>
      </c>
    </row>
    <row r="1673" spans="1:43" x14ac:dyDescent="0.2">
      <c r="A1673" s="46">
        <v>1663</v>
      </c>
      <c r="B1673" s="38" t="s">
        <v>266</v>
      </c>
      <c r="C1673" s="38" t="s">
        <v>641</v>
      </c>
      <c r="D1673" s="38" t="s">
        <v>640</v>
      </c>
      <c r="E1673" s="38" t="s">
        <v>4487</v>
      </c>
      <c r="F1673" s="38" t="s">
        <v>4215</v>
      </c>
      <c r="G1673" s="38" t="s">
        <v>111</v>
      </c>
      <c r="H1673" s="44">
        <v>44090</v>
      </c>
      <c r="I1673" s="44">
        <v>44096</v>
      </c>
      <c r="J1673">
        <v>10.82</v>
      </c>
      <c r="K1673">
        <v>10.82</v>
      </c>
      <c r="L1673" t="s">
        <v>4488</v>
      </c>
      <c r="M1673" s="45" t="s">
        <v>98</v>
      </c>
      <c r="N1673" s="38" t="s">
        <v>230</v>
      </c>
      <c r="O1673" s="38" t="s">
        <v>397</v>
      </c>
      <c r="P1673" s="38" t="s">
        <v>60</v>
      </c>
      <c r="Q1673" s="38" t="s">
        <v>41</v>
      </c>
      <c r="R1673" s="38" t="s">
        <v>270</v>
      </c>
      <c r="S1673" s="38" t="s">
        <v>4489</v>
      </c>
      <c r="T1673" s="38" t="s">
        <v>4490</v>
      </c>
      <c r="U1673" s="38"/>
      <c r="V1673" s="38"/>
      <c r="W1673" s="38"/>
      <c r="X1673" s="14"/>
      <c r="AN1673" s="7" t="s">
        <v>4219</v>
      </c>
      <c r="AO1673" s="21">
        <f t="shared" si="83"/>
        <v>0</v>
      </c>
      <c r="AP1673" s="7">
        <f t="shared" si="84"/>
        <v>10.82</v>
      </c>
      <c r="AQ1673" s="31" t="str">
        <f t="shared" si="85"/>
        <v>Complete - No Adjustment</v>
      </c>
    </row>
    <row r="1674" spans="1:43" x14ac:dyDescent="0.2">
      <c r="A1674" s="46">
        <v>1664</v>
      </c>
      <c r="B1674" s="38" t="s">
        <v>266</v>
      </c>
      <c r="C1674" s="38" t="s">
        <v>4491</v>
      </c>
      <c r="D1674" s="38" t="s">
        <v>4492</v>
      </c>
      <c r="E1674" s="38" t="s">
        <v>4493</v>
      </c>
      <c r="F1674" s="38" t="s">
        <v>4418</v>
      </c>
      <c r="G1674" s="38" t="s">
        <v>111</v>
      </c>
      <c r="H1674" s="44">
        <v>44076</v>
      </c>
      <c r="I1674" s="44">
        <v>44082</v>
      </c>
      <c r="J1674">
        <v>343.62</v>
      </c>
      <c r="K1674">
        <v>343.62</v>
      </c>
      <c r="L1674" t="s">
        <v>4494</v>
      </c>
      <c r="M1674" s="45" t="s">
        <v>98</v>
      </c>
      <c r="N1674" s="38" t="s">
        <v>230</v>
      </c>
      <c r="O1674" s="38" t="s">
        <v>288</v>
      </c>
      <c r="P1674" s="38" t="s">
        <v>60</v>
      </c>
      <c r="Q1674" s="38" t="s">
        <v>49</v>
      </c>
      <c r="R1674" s="38" t="s">
        <v>270</v>
      </c>
      <c r="S1674" s="38" t="s">
        <v>4495</v>
      </c>
      <c r="T1674" s="38" t="s">
        <v>4496</v>
      </c>
      <c r="U1674" s="38"/>
      <c r="V1674" s="38"/>
      <c r="W1674" s="38"/>
      <c r="X1674" s="14"/>
      <c r="AN1674" s="7" t="s">
        <v>70</v>
      </c>
      <c r="AO1674" s="21">
        <f t="shared" ref="AO1674:AO1737" si="86">SUM(Y1674:AL1674)</f>
        <v>0</v>
      </c>
      <c r="AP1674" s="7">
        <f t="shared" ref="AP1674:AP1737" si="87">K1674-AO1674</f>
        <v>343.62</v>
      </c>
      <c r="AQ1674" s="31" t="str">
        <f t="shared" si="85"/>
        <v>Complete - No Adjustment</v>
      </c>
    </row>
    <row r="1675" spans="1:43" x14ac:dyDescent="0.2">
      <c r="A1675" s="46">
        <v>1665</v>
      </c>
      <c r="B1675" s="38" t="s">
        <v>266</v>
      </c>
      <c r="C1675" s="38" t="s">
        <v>232</v>
      </c>
      <c r="D1675" s="38" t="s">
        <v>231</v>
      </c>
      <c r="E1675" s="38" t="s">
        <v>4497</v>
      </c>
      <c r="F1675" s="38" t="s">
        <v>4382</v>
      </c>
      <c r="G1675" s="38" t="s">
        <v>111</v>
      </c>
      <c r="H1675" s="44">
        <v>44097</v>
      </c>
      <c r="I1675" s="44">
        <v>44099</v>
      </c>
      <c r="J1675">
        <v>17.600000000000001</v>
      </c>
      <c r="K1675">
        <v>17.600000000000001</v>
      </c>
      <c r="L1675" t="s">
        <v>4498</v>
      </c>
      <c r="M1675" s="45" t="s">
        <v>98</v>
      </c>
      <c r="N1675" s="38" t="s">
        <v>230</v>
      </c>
      <c r="O1675" s="38" t="s">
        <v>311</v>
      </c>
      <c r="P1675" s="38" t="s">
        <v>60</v>
      </c>
      <c r="Q1675" s="38" t="s">
        <v>41</v>
      </c>
      <c r="R1675" s="38" t="s">
        <v>270</v>
      </c>
      <c r="S1675" s="38" t="s">
        <v>4499</v>
      </c>
      <c r="T1675" s="38" t="s">
        <v>4500</v>
      </c>
      <c r="U1675" s="38"/>
      <c r="V1675" s="38"/>
      <c r="W1675" s="38"/>
      <c r="X1675" s="14"/>
      <c r="AL1675" s="14">
        <f>17.6</f>
        <v>17.600000000000001</v>
      </c>
      <c r="AN1675" s="7" t="s">
        <v>146</v>
      </c>
      <c r="AO1675" s="21">
        <f t="shared" si="86"/>
        <v>17.600000000000001</v>
      </c>
      <c r="AP1675" s="7">
        <f t="shared" si="87"/>
        <v>0</v>
      </c>
      <c r="AQ1675" s="31" t="str">
        <f t="shared" si="85"/>
        <v>Complete - With Adjustment</v>
      </c>
    </row>
    <row r="1676" spans="1:43" x14ac:dyDescent="0.2">
      <c r="A1676" s="46">
        <v>1666</v>
      </c>
      <c r="B1676" s="38" t="s">
        <v>266</v>
      </c>
      <c r="C1676" s="38" t="s">
        <v>232</v>
      </c>
      <c r="D1676" s="38" t="s">
        <v>231</v>
      </c>
      <c r="E1676" s="38" t="s">
        <v>4501</v>
      </c>
      <c r="F1676" s="38" t="s">
        <v>4382</v>
      </c>
      <c r="G1676" s="38" t="s">
        <v>111</v>
      </c>
      <c r="H1676" s="44">
        <v>44097</v>
      </c>
      <c r="I1676" s="44">
        <v>44099</v>
      </c>
      <c r="J1676">
        <v>1295.49</v>
      </c>
      <c r="K1676">
        <v>1295.49</v>
      </c>
      <c r="L1676" t="s">
        <v>4502</v>
      </c>
      <c r="M1676" s="45" t="s">
        <v>98</v>
      </c>
      <c r="N1676" s="38" t="s">
        <v>230</v>
      </c>
      <c r="O1676" s="38" t="s">
        <v>311</v>
      </c>
      <c r="P1676" s="38" t="s">
        <v>60</v>
      </c>
      <c r="Q1676" s="38" t="s">
        <v>41</v>
      </c>
      <c r="R1676" s="38" t="s">
        <v>270</v>
      </c>
      <c r="S1676" s="38" t="s">
        <v>4503</v>
      </c>
      <c r="T1676" s="38" t="s">
        <v>4504</v>
      </c>
      <c r="U1676" s="38"/>
      <c r="V1676" s="38"/>
      <c r="W1676" s="38"/>
      <c r="X1676" s="14"/>
      <c r="AI1676" s="53">
        <f>1295.49</f>
        <v>1295.49</v>
      </c>
      <c r="AN1676" s="7" t="s">
        <v>145</v>
      </c>
      <c r="AO1676" s="21">
        <f t="shared" si="86"/>
        <v>1295.49</v>
      </c>
      <c r="AP1676" s="7">
        <f t="shared" si="87"/>
        <v>0</v>
      </c>
      <c r="AQ1676" s="31" t="str">
        <f t="shared" si="85"/>
        <v>Complete - With Adjustment</v>
      </c>
    </row>
    <row r="1677" spans="1:43" x14ac:dyDescent="0.2">
      <c r="A1677" s="46">
        <v>1667</v>
      </c>
      <c r="B1677" s="38" t="s">
        <v>266</v>
      </c>
      <c r="C1677" s="38" t="s">
        <v>761</v>
      </c>
      <c r="D1677" s="38" t="s">
        <v>760</v>
      </c>
      <c r="E1677" s="38" t="s">
        <v>4505</v>
      </c>
      <c r="F1677" s="38" t="s">
        <v>4261</v>
      </c>
      <c r="G1677" s="38" t="s">
        <v>111</v>
      </c>
      <c r="H1677" s="44">
        <v>44095</v>
      </c>
      <c r="I1677" s="44">
        <v>44104</v>
      </c>
      <c r="J1677">
        <v>3988.52</v>
      </c>
      <c r="K1677">
        <v>266.43</v>
      </c>
      <c r="L1677" t="s">
        <v>4506</v>
      </c>
      <c r="M1677" s="45" t="s">
        <v>97</v>
      </c>
      <c r="N1677" s="38" t="s">
        <v>230</v>
      </c>
      <c r="O1677" s="38" t="s">
        <v>386</v>
      </c>
      <c r="P1677" s="38" t="s">
        <v>42</v>
      </c>
      <c r="Q1677" s="38" t="s">
        <v>55</v>
      </c>
      <c r="R1677" s="38" t="s">
        <v>270</v>
      </c>
      <c r="S1677" s="38" t="s">
        <v>4507</v>
      </c>
      <c r="T1677" s="38" t="s">
        <v>4508</v>
      </c>
      <c r="U1677" s="38"/>
      <c r="V1677" s="38"/>
      <c r="W1677" s="38"/>
      <c r="X1677" s="14"/>
      <c r="AI1677" s="53">
        <f>266.43</f>
        <v>266.43</v>
      </c>
      <c r="AN1677" s="7" t="s">
        <v>145</v>
      </c>
      <c r="AO1677" s="21">
        <f t="shared" si="86"/>
        <v>266.43</v>
      </c>
      <c r="AP1677" s="7">
        <f t="shared" si="87"/>
        <v>0</v>
      </c>
      <c r="AQ1677" s="31" t="str">
        <f t="shared" si="85"/>
        <v>Complete - With Adjustment</v>
      </c>
    </row>
    <row r="1678" spans="1:43" x14ac:dyDescent="0.2">
      <c r="A1678" s="46">
        <v>1668</v>
      </c>
      <c r="B1678" s="38" t="s">
        <v>266</v>
      </c>
      <c r="C1678" s="38" t="s">
        <v>761</v>
      </c>
      <c r="D1678" s="38" t="s">
        <v>760</v>
      </c>
      <c r="E1678" s="38" t="s">
        <v>4505</v>
      </c>
      <c r="F1678" s="38" t="s">
        <v>4261</v>
      </c>
      <c r="G1678" s="38" t="s">
        <v>111</v>
      </c>
      <c r="H1678" s="44">
        <v>44095</v>
      </c>
      <c r="I1678" s="44">
        <v>44104</v>
      </c>
      <c r="J1678">
        <v>3988.52</v>
      </c>
      <c r="K1678">
        <v>250</v>
      </c>
      <c r="L1678" t="s">
        <v>4506</v>
      </c>
      <c r="M1678" s="45" t="s">
        <v>97</v>
      </c>
      <c r="N1678" s="38" t="s">
        <v>230</v>
      </c>
      <c r="O1678" s="38" t="s">
        <v>386</v>
      </c>
      <c r="P1678" s="38" t="s">
        <v>42</v>
      </c>
      <c r="Q1678" s="38" t="s">
        <v>55</v>
      </c>
      <c r="R1678" s="38" t="s">
        <v>270</v>
      </c>
      <c r="S1678" s="38" t="s">
        <v>4507</v>
      </c>
      <c r="T1678" s="38" t="s">
        <v>4508</v>
      </c>
      <c r="U1678" s="38"/>
      <c r="V1678" s="38"/>
      <c r="W1678" s="38"/>
      <c r="X1678" s="14"/>
      <c r="AI1678" s="53">
        <f>250</f>
        <v>250</v>
      </c>
      <c r="AN1678" s="7" t="s">
        <v>145</v>
      </c>
      <c r="AO1678" s="21">
        <f t="shared" si="86"/>
        <v>250</v>
      </c>
      <c r="AP1678" s="7">
        <f t="shared" si="87"/>
        <v>0</v>
      </c>
      <c r="AQ1678" s="31" t="str">
        <f t="shared" si="85"/>
        <v>Complete - With Adjustment</v>
      </c>
    </row>
    <row r="1679" spans="1:43" x14ac:dyDescent="0.2">
      <c r="A1679" s="46">
        <v>1669</v>
      </c>
      <c r="B1679" s="38" t="s">
        <v>266</v>
      </c>
      <c r="C1679" s="38" t="s">
        <v>761</v>
      </c>
      <c r="D1679" s="38" t="s">
        <v>760</v>
      </c>
      <c r="E1679" s="38" t="s">
        <v>4505</v>
      </c>
      <c r="F1679" s="38" t="s">
        <v>4261</v>
      </c>
      <c r="G1679" s="38" t="s">
        <v>111</v>
      </c>
      <c r="H1679" s="44">
        <v>44095</v>
      </c>
      <c r="I1679" s="44">
        <v>44104</v>
      </c>
      <c r="J1679">
        <v>3988.52</v>
      </c>
      <c r="K1679">
        <v>211.86</v>
      </c>
      <c r="L1679" t="s">
        <v>4506</v>
      </c>
      <c r="M1679" s="45" t="s">
        <v>97</v>
      </c>
      <c r="N1679" s="38" t="s">
        <v>230</v>
      </c>
      <c r="O1679" s="38" t="s">
        <v>386</v>
      </c>
      <c r="P1679" s="38" t="s">
        <v>42</v>
      </c>
      <c r="Q1679" s="38" t="s">
        <v>55</v>
      </c>
      <c r="R1679" s="38" t="s">
        <v>270</v>
      </c>
      <c r="S1679" s="38" t="s">
        <v>4507</v>
      </c>
      <c r="T1679" s="38" t="s">
        <v>4508</v>
      </c>
      <c r="U1679" s="38"/>
      <c r="V1679" s="38"/>
      <c r="W1679" s="38"/>
      <c r="X1679" s="14"/>
      <c r="AI1679" s="53">
        <f>211.86</f>
        <v>211.86</v>
      </c>
      <c r="AN1679" s="7" t="s">
        <v>145</v>
      </c>
      <c r="AO1679" s="21">
        <f t="shared" si="86"/>
        <v>211.86</v>
      </c>
      <c r="AP1679" s="7">
        <f t="shared" si="87"/>
        <v>0</v>
      </c>
      <c r="AQ1679" s="31" t="str">
        <f t="shared" si="85"/>
        <v>Complete - With Adjustment</v>
      </c>
    </row>
    <row r="1680" spans="1:43" x14ac:dyDescent="0.2">
      <c r="A1680" s="46">
        <v>1670</v>
      </c>
      <c r="B1680" s="38" t="s">
        <v>266</v>
      </c>
      <c r="C1680" s="38" t="s">
        <v>761</v>
      </c>
      <c r="D1680" s="38" t="s">
        <v>760</v>
      </c>
      <c r="E1680" s="38" t="s">
        <v>4505</v>
      </c>
      <c r="F1680" s="38" t="s">
        <v>4261</v>
      </c>
      <c r="G1680" s="38" t="s">
        <v>111</v>
      </c>
      <c r="H1680" s="44">
        <v>44095</v>
      </c>
      <c r="I1680" s="44">
        <v>44104</v>
      </c>
      <c r="J1680">
        <v>3988.52</v>
      </c>
      <c r="K1680">
        <v>250</v>
      </c>
      <c r="L1680" t="s">
        <v>4506</v>
      </c>
      <c r="M1680" s="45" t="s">
        <v>97</v>
      </c>
      <c r="N1680" s="38" t="s">
        <v>230</v>
      </c>
      <c r="O1680" s="38" t="s">
        <v>386</v>
      </c>
      <c r="P1680" s="38" t="s">
        <v>42</v>
      </c>
      <c r="Q1680" s="38" t="s">
        <v>55</v>
      </c>
      <c r="R1680" s="38" t="s">
        <v>270</v>
      </c>
      <c r="S1680" s="38" t="s">
        <v>4507</v>
      </c>
      <c r="T1680" s="38" t="s">
        <v>4508</v>
      </c>
      <c r="U1680" s="38"/>
      <c r="V1680" s="38"/>
      <c r="W1680" s="38"/>
      <c r="X1680" s="14"/>
      <c r="AI1680" s="53">
        <f>250</f>
        <v>250</v>
      </c>
      <c r="AN1680" s="7" t="s">
        <v>145</v>
      </c>
      <c r="AO1680" s="21">
        <f t="shared" si="86"/>
        <v>250</v>
      </c>
      <c r="AP1680" s="7">
        <f t="shared" si="87"/>
        <v>0</v>
      </c>
      <c r="AQ1680" s="31" t="str">
        <f t="shared" si="85"/>
        <v>Complete - With Adjustment</v>
      </c>
    </row>
    <row r="1681" spans="1:43" x14ac:dyDescent="0.2">
      <c r="A1681" s="46">
        <v>1671</v>
      </c>
      <c r="B1681" s="38" t="s">
        <v>266</v>
      </c>
      <c r="C1681" s="38" t="s">
        <v>761</v>
      </c>
      <c r="D1681" s="38" t="s">
        <v>760</v>
      </c>
      <c r="E1681" s="38" t="s">
        <v>4505</v>
      </c>
      <c r="F1681" s="38" t="s">
        <v>4261</v>
      </c>
      <c r="G1681" s="38" t="s">
        <v>111</v>
      </c>
      <c r="H1681" s="44">
        <v>44095</v>
      </c>
      <c r="I1681" s="44">
        <v>44104</v>
      </c>
      <c r="J1681">
        <v>3988.52</v>
      </c>
      <c r="K1681">
        <v>245.03</v>
      </c>
      <c r="L1681" t="s">
        <v>4506</v>
      </c>
      <c r="M1681" s="45" t="s">
        <v>97</v>
      </c>
      <c r="N1681" s="38" t="s">
        <v>230</v>
      </c>
      <c r="O1681" s="38" t="s">
        <v>386</v>
      </c>
      <c r="P1681" s="38" t="s">
        <v>42</v>
      </c>
      <c r="Q1681" s="38" t="s">
        <v>55</v>
      </c>
      <c r="R1681" s="38" t="s">
        <v>270</v>
      </c>
      <c r="S1681" s="38" t="s">
        <v>4507</v>
      </c>
      <c r="T1681" s="38" t="s">
        <v>4508</v>
      </c>
      <c r="U1681" s="38"/>
      <c r="V1681" s="38"/>
      <c r="W1681" s="38"/>
      <c r="X1681" s="14"/>
      <c r="AI1681" s="53">
        <f>245.03</f>
        <v>245.03</v>
      </c>
      <c r="AN1681" s="7" t="s">
        <v>145</v>
      </c>
      <c r="AO1681" s="21">
        <f t="shared" si="86"/>
        <v>245.03</v>
      </c>
      <c r="AP1681" s="7">
        <f t="shared" si="87"/>
        <v>0</v>
      </c>
      <c r="AQ1681" s="31" t="str">
        <f t="shared" ref="AQ1681:AQ1744" si="88">IF(AO1681&lt;&gt;0,"Complete - With Adjustment","Complete - No Adjustment")</f>
        <v>Complete - With Adjustment</v>
      </c>
    </row>
    <row r="1682" spans="1:43" x14ac:dyDescent="0.2">
      <c r="A1682" s="46">
        <v>1672</v>
      </c>
      <c r="B1682" s="38" t="s">
        <v>266</v>
      </c>
      <c r="C1682" s="38" t="s">
        <v>761</v>
      </c>
      <c r="D1682" s="38" t="s">
        <v>760</v>
      </c>
      <c r="E1682" s="38" t="s">
        <v>4505</v>
      </c>
      <c r="F1682" s="38" t="s">
        <v>4261</v>
      </c>
      <c r="G1682" s="38" t="s">
        <v>111</v>
      </c>
      <c r="H1682" s="44">
        <v>44095</v>
      </c>
      <c r="I1682" s="44">
        <v>44104</v>
      </c>
      <c r="J1682">
        <v>3988.52</v>
      </c>
      <c r="K1682">
        <v>212.93</v>
      </c>
      <c r="L1682" t="s">
        <v>4506</v>
      </c>
      <c r="M1682" s="45" t="s">
        <v>97</v>
      </c>
      <c r="N1682" s="38" t="s">
        <v>230</v>
      </c>
      <c r="O1682" s="38" t="s">
        <v>386</v>
      </c>
      <c r="P1682" s="38" t="s">
        <v>42</v>
      </c>
      <c r="Q1682" s="38" t="s">
        <v>55</v>
      </c>
      <c r="R1682" s="38" t="s">
        <v>270</v>
      </c>
      <c r="S1682" s="38" t="s">
        <v>4507</v>
      </c>
      <c r="T1682" s="38" t="s">
        <v>4508</v>
      </c>
      <c r="U1682" s="38"/>
      <c r="V1682" s="38"/>
      <c r="W1682" s="38"/>
      <c r="X1682" s="14"/>
      <c r="AI1682" s="53">
        <f>212.93</f>
        <v>212.93</v>
      </c>
      <c r="AN1682" s="7" t="s">
        <v>145</v>
      </c>
      <c r="AO1682" s="21">
        <f t="shared" si="86"/>
        <v>212.93</v>
      </c>
      <c r="AP1682" s="7">
        <f t="shared" si="87"/>
        <v>0</v>
      </c>
      <c r="AQ1682" s="31" t="str">
        <f t="shared" si="88"/>
        <v>Complete - With Adjustment</v>
      </c>
    </row>
    <row r="1683" spans="1:43" x14ac:dyDescent="0.2">
      <c r="A1683" s="46">
        <v>1673</v>
      </c>
      <c r="B1683" s="38" t="s">
        <v>266</v>
      </c>
      <c r="C1683" s="38" t="s">
        <v>761</v>
      </c>
      <c r="D1683" s="38" t="s">
        <v>760</v>
      </c>
      <c r="E1683" s="38" t="s">
        <v>4505</v>
      </c>
      <c r="F1683" s="38" t="s">
        <v>4261</v>
      </c>
      <c r="G1683" s="38" t="s">
        <v>111</v>
      </c>
      <c r="H1683" s="44">
        <v>44095</v>
      </c>
      <c r="I1683" s="44">
        <v>44104</v>
      </c>
      <c r="J1683">
        <v>3988.52</v>
      </c>
      <c r="K1683">
        <v>191.53</v>
      </c>
      <c r="L1683" t="s">
        <v>4506</v>
      </c>
      <c r="M1683" s="45" t="s">
        <v>97</v>
      </c>
      <c r="N1683" s="38" t="s">
        <v>230</v>
      </c>
      <c r="O1683" s="38" t="s">
        <v>386</v>
      </c>
      <c r="P1683" s="38" t="s">
        <v>42</v>
      </c>
      <c r="Q1683" s="38" t="s">
        <v>55</v>
      </c>
      <c r="R1683" s="38" t="s">
        <v>270</v>
      </c>
      <c r="S1683" s="38" t="s">
        <v>4507</v>
      </c>
      <c r="T1683" s="38" t="s">
        <v>4508</v>
      </c>
      <c r="U1683" s="38"/>
      <c r="V1683" s="38"/>
      <c r="W1683" s="38"/>
      <c r="X1683" s="14"/>
      <c r="AI1683" s="53">
        <f>191.53</f>
        <v>191.53</v>
      </c>
      <c r="AN1683" s="7" t="s">
        <v>145</v>
      </c>
      <c r="AO1683" s="21">
        <f t="shared" si="86"/>
        <v>191.53</v>
      </c>
      <c r="AP1683" s="7">
        <f t="shared" si="87"/>
        <v>0</v>
      </c>
      <c r="AQ1683" s="31" t="str">
        <f t="shared" si="88"/>
        <v>Complete - With Adjustment</v>
      </c>
    </row>
    <row r="1684" spans="1:43" x14ac:dyDescent="0.2">
      <c r="A1684" s="46">
        <v>1674</v>
      </c>
      <c r="B1684" s="38" t="s">
        <v>266</v>
      </c>
      <c r="C1684" s="38" t="s">
        <v>761</v>
      </c>
      <c r="D1684" s="38" t="s">
        <v>760</v>
      </c>
      <c r="E1684" s="38" t="s">
        <v>4505</v>
      </c>
      <c r="F1684" s="38" t="s">
        <v>4261</v>
      </c>
      <c r="G1684" s="38" t="s">
        <v>111</v>
      </c>
      <c r="H1684" s="44">
        <v>44095</v>
      </c>
      <c r="I1684" s="44">
        <v>44104</v>
      </c>
      <c r="J1684">
        <v>3988.52</v>
      </c>
      <c r="K1684">
        <v>302.04000000000002</v>
      </c>
      <c r="L1684" t="s">
        <v>4506</v>
      </c>
      <c r="M1684" s="45" t="s">
        <v>97</v>
      </c>
      <c r="N1684" s="38" t="s">
        <v>230</v>
      </c>
      <c r="O1684" s="38" t="s">
        <v>386</v>
      </c>
      <c r="P1684" s="38" t="s">
        <v>42</v>
      </c>
      <c r="Q1684" s="38" t="s">
        <v>55</v>
      </c>
      <c r="R1684" s="38" t="s">
        <v>270</v>
      </c>
      <c r="S1684" s="38" t="s">
        <v>4507</v>
      </c>
      <c r="T1684" s="38" t="s">
        <v>4508</v>
      </c>
      <c r="U1684" s="38"/>
      <c r="V1684" s="38"/>
      <c r="W1684" s="38"/>
      <c r="X1684" s="14"/>
      <c r="AI1684" s="53">
        <f>302.04</f>
        <v>302.04000000000002</v>
      </c>
      <c r="AN1684" s="7" t="s">
        <v>145</v>
      </c>
      <c r="AO1684" s="21">
        <f t="shared" si="86"/>
        <v>302.04000000000002</v>
      </c>
      <c r="AP1684" s="7">
        <f t="shared" si="87"/>
        <v>0</v>
      </c>
      <c r="AQ1684" s="31" t="str">
        <f t="shared" si="88"/>
        <v>Complete - With Adjustment</v>
      </c>
    </row>
    <row r="1685" spans="1:43" x14ac:dyDescent="0.2">
      <c r="A1685" s="46">
        <v>1675</v>
      </c>
      <c r="B1685" s="38" t="s">
        <v>266</v>
      </c>
      <c r="C1685" s="38" t="s">
        <v>761</v>
      </c>
      <c r="D1685" s="38" t="s">
        <v>760</v>
      </c>
      <c r="E1685" s="38" t="s">
        <v>4505</v>
      </c>
      <c r="F1685" s="38" t="s">
        <v>4261</v>
      </c>
      <c r="G1685" s="38" t="s">
        <v>111</v>
      </c>
      <c r="H1685" s="44">
        <v>44095</v>
      </c>
      <c r="I1685" s="44">
        <v>44104</v>
      </c>
      <c r="J1685">
        <v>3988.52</v>
      </c>
      <c r="K1685">
        <v>266.43</v>
      </c>
      <c r="L1685" t="s">
        <v>4506</v>
      </c>
      <c r="M1685" s="45" t="s">
        <v>97</v>
      </c>
      <c r="N1685" s="38" t="s">
        <v>230</v>
      </c>
      <c r="O1685" s="38" t="s">
        <v>386</v>
      </c>
      <c r="P1685" s="38" t="s">
        <v>42</v>
      </c>
      <c r="Q1685" s="38" t="s">
        <v>55</v>
      </c>
      <c r="R1685" s="38" t="s">
        <v>270</v>
      </c>
      <c r="S1685" s="38" t="s">
        <v>4507</v>
      </c>
      <c r="T1685" s="38" t="s">
        <v>4508</v>
      </c>
      <c r="U1685" s="38"/>
      <c r="V1685" s="38"/>
      <c r="W1685" s="38"/>
      <c r="X1685" s="14"/>
      <c r="AI1685" s="53">
        <f>266.43</f>
        <v>266.43</v>
      </c>
      <c r="AN1685" s="7" t="s">
        <v>145</v>
      </c>
      <c r="AO1685" s="21">
        <f t="shared" si="86"/>
        <v>266.43</v>
      </c>
      <c r="AP1685" s="7">
        <f t="shared" si="87"/>
        <v>0</v>
      </c>
      <c r="AQ1685" s="31" t="str">
        <f t="shared" si="88"/>
        <v>Complete - With Adjustment</v>
      </c>
    </row>
    <row r="1686" spans="1:43" x14ac:dyDescent="0.2">
      <c r="A1686" s="46">
        <v>1676</v>
      </c>
      <c r="B1686" s="38" t="s">
        <v>266</v>
      </c>
      <c r="C1686" s="38" t="s">
        <v>761</v>
      </c>
      <c r="D1686" s="38" t="s">
        <v>760</v>
      </c>
      <c r="E1686" s="38" t="s">
        <v>4505</v>
      </c>
      <c r="F1686" s="38" t="s">
        <v>4261</v>
      </c>
      <c r="G1686" s="38" t="s">
        <v>111</v>
      </c>
      <c r="H1686" s="44">
        <v>44095</v>
      </c>
      <c r="I1686" s="44">
        <v>44104</v>
      </c>
      <c r="J1686">
        <v>3988.52</v>
      </c>
      <c r="K1686">
        <v>266.43</v>
      </c>
      <c r="L1686" t="s">
        <v>4506</v>
      </c>
      <c r="M1686" s="45" t="s">
        <v>97</v>
      </c>
      <c r="N1686" s="38" t="s">
        <v>230</v>
      </c>
      <c r="O1686" s="38" t="s">
        <v>386</v>
      </c>
      <c r="P1686" s="38" t="s">
        <v>42</v>
      </c>
      <c r="Q1686" s="38" t="s">
        <v>55</v>
      </c>
      <c r="R1686" s="38" t="s">
        <v>270</v>
      </c>
      <c r="S1686" s="38" t="s">
        <v>4507</v>
      </c>
      <c r="T1686" s="38" t="s">
        <v>4508</v>
      </c>
      <c r="U1686" s="38"/>
      <c r="V1686" s="38"/>
      <c r="W1686" s="38"/>
      <c r="X1686" s="14"/>
      <c r="AI1686" s="53">
        <f>266.43</f>
        <v>266.43</v>
      </c>
      <c r="AN1686" s="7" t="s">
        <v>145</v>
      </c>
      <c r="AO1686" s="21">
        <f t="shared" si="86"/>
        <v>266.43</v>
      </c>
      <c r="AP1686" s="7">
        <f t="shared" si="87"/>
        <v>0</v>
      </c>
      <c r="AQ1686" s="31" t="str">
        <f t="shared" si="88"/>
        <v>Complete - With Adjustment</v>
      </c>
    </row>
    <row r="1687" spans="1:43" x14ac:dyDescent="0.2">
      <c r="A1687" s="46">
        <v>1677</v>
      </c>
      <c r="B1687" s="38" t="s">
        <v>266</v>
      </c>
      <c r="C1687" s="38" t="s">
        <v>761</v>
      </c>
      <c r="D1687" s="38" t="s">
        <v>760</v>
      </c>
      <c r="E1687" s="38" t="s">
        <v>4505</v>
      </c>
      <c r="F1687" s="38" t="s">
        <v>4261</v>
      </c>
      <c r="G1687" s="38" t="s">
        <v>111</v>
      </c>
      <c r="H1687" s="44">
        <v>44095</v>
      </c>
      <c r="I1687" s="44">
        <v>44104</v>
      </c>
      <c r="J1687">
        <v>3988.52</v>
      </c>
      <c r="K1687">
        <v>267.49</v>
      </c>
      <c r="L1687" t="s">
        <v>4506</v>
      </c>
      <c r="M1687" s="45" t="s">
        <v>97</v>
      </c>
      <c r="N1687" s="38" t="s">
        <v>230</v>
      </c>
      <c r="O1687" s="38" t="s">
        <v>386</v>
      </c>
      <c r="P1687" s="38" t="s">
        <v>42</v>
      </c>
      <c r="Q1687" s="38" t="s">
        <v>55</v>
      </c>
      <c r="R1687" s="38" t="s">
        <v>270</v>
      </c>
      <c r="S1687" s="38" t="s">
        <v>4507</v>
      </c>
      <c r="T1687" s="38" t="s">
        <v>4508</v>
      </c>
      <c r="U1687" s="38"/>
      <c r="V1687" s="38"/>
      <c r="W1687" s="38"/>
      <c r="X1687" s="14"/>
      <c r="AI1687" s="53">
        <f>267.49</f>
        <v>267.49</v>
      </c>
      <c r="AN1687" s="7" t="s">
        <v>145</v>
      </c>
      <c r="AO1687" s="21">
        <f t="shared" si="86"/>
        <v>267.49</v>
      </c>
      <c r="AP1687" s="7">
        <f t="shared" si="87"/>
        <v>0</v>
      </c>
      <c r="AQ1687" s="31" t="str">
        <f t="shared" si="88"/>
        <v>Complete - With Adjustment</v>
      </c>
    </row>
    <row r="1688" spans="1:43" x14ac:dyDescent="0.2">
      <c r="A1688" s="46">
        <v>1678</v>
      </c>
      <c r="B1688" s="38" t="s">
        <v>266</v>
      </c>
      <c r="C1688" s="38" t="s">
        <v>761</v>
      </c>
      <c r="D1688" s="38" t="s">
        <v>760</v>
      </c>
      <c r="E1688" s="38" t="s">
        <v>4505</v>
      </c>
      <c r="F1688" s="38" t="s">
        <v>4261</v>
      </c>
      <c r="G1688" s="38" t="s">
        <v>111</v>
      </c>
      <c r="H1688" s="44">
        <v>44095</v>
      </c>
      <c r="I1688" s="44">
        <v>44104</v>
      </c>
      <c r="J1688">
        <v>3988.52</v>
      </c>
      <c r="K1688">
        <v>366.41</v>
      </c>
      <c r="L1688" t="s">
        <v>4506</v>
      </c>
      <c r="M1688" s="45" t="s">
        <v>97</v>
      </c>
      <c r="N1688" s="38" t="s">
        <v>230</v>
      </c>
      <c r="O1688" s="38" t="s">
        <v>386</v>
      </c>
      <c r="P1688" s="38" t="s">
        <v>42</v>
      </c>
      <c r="Q1688" s="38" t="s">
        <v>55</v>
      </c>
      <c r="R1688" s="38" t="s">
        <v>270</v>
      </c>
      <c r="S1688" s="38" t="s">
        <v>4507</v>
      </c>
      <c r="T1688" s="38" t="s">
        <v>4508</v>
      </c>
      <c r="U1688" s="38"/>
      <c r="V1688" s="38"/>
      <c r="W1688" s="38"/>
      <c r="X1688" s="14"/>
      <c r="AI1688" s="53">
        <f>366.41</f>
        <v>366.41</v>
      </c>
      <c r="AN1688" s="7" t="s">
        <v>145</v>
      </c>
      <c r="AO1688" s="21">
        <f t="shared" si="86"/>
        <v>366.41</v>
      </c>
      <c r="AP1688" s="7">
        <f t="shared" si="87"/>
        <v>0</v>
      </c>
      <c r="AQ1688" s="31" t="str">
        <f t="shared" si="88"/>
        <v>Complete - With Adjustment</v>
      </c>
    </row>
    <row r="1689" spans="1:43" x14ac:dyDescent="0.2">
      <c r="A1689" s="46">
        <v>1679</v>
      </c>
      <c r="B1689" s="38" t="s">
        <v>266</v>
      </c>
      <c r="C1689" s="38" t="s">
        <v>761</v>
      </c>
      <c r="D1689" s="38" t="s">
        <v>760</v>
      </c>
      <c r="E1689" s="38" t="s">
        <v>4505</v>
      </c>
      <c r="F1689" s="38" t="s">
        <v>4261</v>
      </c>
      <c r="G1689" s="38" t="s">
        <v>111</v>
      </c>
      <c r="H1689" s="44">
        <v>44095</v>
      </c>
      <c r="I1689" s="44">
        <v>44104</v>
      </c>
      <c r="J1689">
        <v>3988.52</v>
      </c>
      <c r="K1689">
        <v>320.95</v>
      </c>
      <c r="L1689" t="s">
        <v>4506</v>
      </c>
      <c r="M1689" s="45" t="s">
        <v>97</v>
      </c>
      <c r="N1689" s="38" t="s">
        <v>230</v>
      </c>
      <c r="O1689" s="38" t="s">
        <v>386</v>
      </c>
      <c r="P1689" s="38" t="s">
        <v>42</v>
      </c>
      <c r="Q1689" s="38" t="s">
        <v>55</v>
      </c>
      <c r="R1689" s="38" t="s">
        <v>270</v>
      </c>
      <c r="S1689" s="38" t="s">
        <v>4507</v>
      </c>
      <c r="T1689" s="38" t="s">
        <v>4508</v>
      </c>
      <c r="U1689" s="38"/>
      <c r="V1689" s="38"/>
      <c r="W1689" s="38"/>
      <c r="X1689" s="14"/>
      <c r="AI1689" s="53">
        <f>320.95</f>
        <v>320.95</v>
      </c>
      <c r="AN1689" s="7" t="s">
        <v>145</v>
      </c>
      <c r="AO1689" s="21">
        <f t="shared" si="86"/>
        <v>320.95</v>
      </c>
      <c r="AP1689" s="7">
        <f t="shared" si="87"/>
        <v>0</v>
      </c>
      <c r="AQ1689" s="31" t="str">
        <f t="shared" si="88"/>
        <v>Complete - With Adjustment</v>
      </c>
    </row>
    <row r="1690" spans="1:43" x14ac:dyDescent="0.2">
      <c r="A1690" s="46">
        <v>1680</v>
      </c>
      <c r="B1690" s="38" t="s">
        <v>266</v>
      </c>
      <c r="C1690" s="38" t="s">
        <v>761</v>
      </c>
      <c r="D1690" s="38" t="s">
        <v>760</v>
      </c>
      <c r="E1690" s="38" t="s">
        <v>4505</v>
      </c>
      <c r="F1690" s="38" t="s">
        <v>4261</v>
      </c>
      <c r="G1690" s="38" t="s">
        <v>111</v>
      </c>
      <c r="H1690" s="44">
        <v>44095</v>
      </c>
      <c r="I1690" s="44">
        <v>44104</v>
      </c>
      <c r="J1690">
        <v>3988.52</v>
      </c>
      <c r="K1690">
        <v>320.99</v>
      </c>
      <c r="L1690" t="s">
        <v>4506</v>
      </c>
      <c r="M1690" s="45" t="s">
        <v>97</v>
      </c>
      <c r="N1690" s="38" t="s">
        <v>230</v>
      </c>
      <c r="O1690" s="38" t="s">
        <v>386</v>
      </c>
      <c r="P1690" s="38" t="s">
        <v>42</v>
      </c>
      <c r="Q1690" s="38" t="s">
        <v>55</v>
      </c>
      <c r="R1690" s="38" t="s">
        <v>270</v>
      </c>
      <c r="S1690" s="38" t="s">
        <v>4507</v>
      </c>
      <c r="T1690" s="38" t="s">
        <v>4508</v>
      </c>
      <c r="U1690" s="38"/>
      <c r="V1690" s="38"/>
      <c r="W1690" s="38"/>
      <c r="X1690" s="14"/>
      <c r="AI1690" s="53">
        <f>320.99</f>
        <v>320.99</v>
      </c>
      <c r="AN1690" s="7" t="s">
        <v>145</v>
      </c>
      <c r="AO1690" s="21">
        <f t="shared" si="86"/>
        <v>320.99</v>
      </c>
      <c r="AP1690" s="7">
        <f t="shared" si="87"/>
        <v>0</v>
      </c>
      <c r="AQ1690" s="31" t="str">
        <f t="shared" si="88"/>
        <v>Complete - With Adjustment</v>
      </c>
    </row>
    <row r="1691" spans="1:43" x14ac:dyDescent="0.2">
      <c r="A1691" s="46">
        <v>1681</v>
      </c>
      <c r="B1691" s="38" t="s">
        <v>266</v>
      </c>
      <c r="C1691" s="38" t="s">
        <v>761</v>
      </c>
      <c r="D1691" s="38" t="s">
        <v>760</v>
      </c>
      <c r="E1691" s="38" t="s">
        <v>4505</v>
      </c>
      <c r="F1691" s="38" t="s">
        <v>4261</v>
      </c>
      <c r="G1691" s="38" t="s">
        <v>111</v>
      </c>
      <c r="H1691" s="44">
        <v>44095</v>
      </c>
      <c r="I1691" s="44">
        <v>44104</v>
      </c>
      <c r="J1691">
        <v>3988.52</v>
      </c>
      <c r="K1691">
        <v>250</v>
      </c>
      <c r="L1691" t="s">
        <v>4506</v>
      </c>
      <c r="M1691" s="45" t="s">
        <v>97</v>
      </c>
      <c r="N1691" s="38" t="s">
        <v>230</v>
      </c>
      <c r="O1691" s="38" t="s">
        <v>386</v>
      </c>
      <c r="P1691" s="38" t="s">
        <v>42</v>
      </c>
      <c r="Q1691" s="38" t="s">
        <v>55</v>
      </c>
      <c r="R1691" s="38" t="s">
        <v>270</v>
      </c>
      <c r="S1691" s="38" t="s">
        <v>4507</v>
      </c>
      <c r="T1691" s="38" t="s">
        <v>4508</v>
      </c>
      <c r="U1691" s="38"/>
      <c r="V1691" s="38"/>
      <c r="W1691" s="38"/>
      <c r="X1691" s="14"/>
      <c r="AI1691" s="53">
        <f>250</f>
        <v>250</v>
      </c>
      <c r="AN1691" s="7" t="s">
        <v>145</v>
      </c>
      <c r="AO1691" s="21">
        <f t="shared" si="86"/>
        <v>250</v>
      </c>
      <c r="AP1691" s="7">
        <f t="shared" si="87"/>
        <v>0</v>
      </c>
      <c r="AQ1691" s="31" t="str">
        <f t="shared" si="88"/>
        <v>Complete - With Adjustment</v>
      </c>
    </row>
    <row r="1692" spans="1:43" x14ac:dyDescent="0.2">
      <c r="A1692" s="46">
        <v>1682</v>
      </c>
      <c r="B1692" s="38" t="s">
        <v>266</v>
      </c>
      <c r="C1692" s="38" t="s">
        <v>670</v>
      </c>
      <c r="D1692" s="38" t="s">
        <v>2277</v>
      </c>
      <c r="E1692" s="38" t="s">
        <v>4509</v>
      </c>
      <c r="F1692" s="38" t="s">
        <v>4358</v>
      </c>
      <c r="G1692" s="38" t="s">
        <v>111</v>
      </c>
      <c r="H1692" s="44">
        <v>44095</v>
      </c>
      <c r="I1692" s="44">
        <v>44098</v>
      </c>
      <c r="J1692">
        <v>13.26</v>
      </c>
      <c r="K1692">
        <v>13.26</v>
      </c>
      <c r="L1692" t="s">
        <v>4510</v>
      </c>
      <c r="M1692" s="45" t="s">
        <v>98</v>
      </c>
      <c r="N1692" s="38" t="s">
        <v>230</v>
      </c>
      <c r="O1692" s="38" t="s">
        <v>592</v>
      </c>
      <c r="P1692" s="38" t="s">
        <v>60</v>
      </c>
      <c r="Q1692" s="38" t="s">
        <v>46</v>
      </c>
      <c r="R1692" s="38" t="s">
        <v>270</v>
      </c>
      <c r="S1692" s="38" t="s">
        <v>4511</v>
      </c>
      <c r="T1692" s="38" t="s">
        <v>4512</v>
      </c>
      <c r="U1692" s="38"/>
      <c r="V1692" s="38"/>
      <c r="W1692" s="38"/>
      <c r="X1692" s="14"/>
      <c r="AL1692" s="14">
        <f>13.26</f>
        <v>13.26</v>
      </c>
      <c r="AN1692" s="7" t="s">
        <v>146</v>
      </c>
      <c r="AO1692" s="21">
        <f t="shared" si="86"/>
        <v>13.26</v>
      </c>
      <c r="AP1692" s="7">
        <f t="shared" si="87"/>
        <v>0</v>
      </c>
      <c r="AQ1692" s="31" t="str">
        <f t="shared" si="88"/>
        <v>Complete - With Adjustment</v>
      </c>
    </row>
    <row r="1693" spans="1:43" x14ac:dyDescent="0.2">
      <c r="A1693" s="46">
        <v>1683</v>
      </c>
      <c r="B1693" s="38" t="s">
        <v>266</v>
      </c>
      <c r="C1693" s="38" t="s">
        <v>336</v>
      </c>
      <c r="D1693" s="38" t="s">
        <v>335</v>
      </c>
      <c r="E1693" s="38" t="s">
        <v>4513</v>
      </c>
      <c r="F1693" s="38" t="s">
        <v>4261</v>
      </c>
      <c r="G1693" s="38" t="s">
        <v>111</v>
      </c>
      <c r="H1693" s="44">
        <v>44086</v>
      </c>
      <c r="I1693" s="44">
        <v>44104</v>
      </c>
      <c r="J1693">
        <v>395.23</v>
      </c>
      <c r="K1693">
        <v>36.79</v>
      </c>
      <c r="L1693" t="s">
        <v>4514</v>
      </c>
      <c r="M1693" s="45" t="s">
        <v>97</v>
      </c>
      <c r="N1693" s="38" t="s">
        <v>230</v>
      </c>
      <c r="O1693" s="38" t="s">
        <v>386</v>
      </c>
      <c r="P1693" s="38" t="s">
        <v>42</v>
      </c>
      <c r="Q1693" s="38" t="s">
        <v>55</v>
      </c>
      <c r="R1693" s="38" t="s">
        <v>270</v>
      </c>
      <c r="S1693" s="38" t="s">
        <v>4515</v>
      </c>
      <c r="T1693" s="38" t="s">
        <v>4516</v>
      </c>
      <c r="U1693" s="38"/>
      <c r="V1693" s="38"/>
      <c r="W1693" s="38"/>
      <c r="X1693" s="14"/>
      <c r="AI1693" s="53">
        <f>36.79</f>
        <v>36.79</v>
      </c>
      <c r="AN1693" s="7" t="s">
        <v>145</v>
      </c>
      <c r="AO1693" s="21">
        <f t="shared" si="86"/>
        <v>36.79</v>
      </c>
      <c r="AP1693" s="7">
        <f t="shared" si="87"/>
        <v>0</v>
      </c>
      <c r="AQ1693" s="31" t="str">
        <f t="shared" si="88"/>
        <v>Complete - With Adjustment</v>
      </c>
    </row>
    <row r="1694" spans="1:43" x14ac:dyDescent="0.2">
      <c r="A1694" s="46">
        <v>1684</v>
      </c>
      <c r="B1694" s="38" t="s">
        <v>266</v>
      </c>
      <c r="C1694" s="38" t="s">
        <v>336</v>
      </c>
      <c r="D1694" s="38" t="s">
        <v>335</v>
      </c>
      <c r="E1694" s="38" t="s">
        <v>4513</v>
      </c>
      <c r="F1694" s="38" t="s">
        <v>4261</v>
      </c>
      <c r="G1694" s="38" t="s">
        <v>111</v>
      </c>
      <c r="H1694" s="44">
        <v>44086</v>
      </c>
      <c r="I1694" s="44">
        <v>44104</v>
      </c>
      <c r="J1694">
        <v>395.23</v>
      </c>
      <c r="K1694">
        <v>37.07</v>
      </c>
      <c r="L1694" t="s">
        <v>4514</v>
      </c>
      <c r="M1694" s="45" t="s">
        <v>98</v>
      </c>
      <c r="N1694" s="38" t="s">
        <v>230</v>
      </c>
      <c r="O1694" s="38" t="s">
        <v>271</v>
      </c>
      <c r="P1694" s="38" t="s">
        <v>60</v>
      </c>
      <c r="Q1694" s="38" t="s">
        <v>41</v>
      </c>
      <c r="R1694" s="38" t="s">
        <v>270</v>
      </c>
      <c r="S1694" s="38" t="s">
        <v>4515</v>
      </c>
      <c r="T1694" s="38" t="s">
        <v>4517</v>
      </c>
      <c r="U1694" s="38"/>
      <c r="V1694" s="38"/>
      <c r="W1694" s="38"/>
      <c r="X1694" s="14"/>
      <c r="AI1694" s="53">
        <f>37.07</f>
        <v>37.07</v>
      </c>
      <c r="AN1694" s="7" t="s">
        <v>145</v>
      </c>
      <c r="AO1694" s="21">
        <f t="shared" si="86"/>
        <v>37.07</v>
      </c>
      <c r="AP1694" s="7">
        <f t="shared" si="87"/>
        <v>0</v>
      </c>
      <c r="AQ1694" s="31" t="str">
        <f t="shared" si="88"/>
        <v>Complete - With Adjustment</v>
      </c>
    </row>
    <row r="1695" spans="1:43" x14ac:dyDescent="0.2">
      <c r="A1695" s="46">
        <v>1685</v>
      </c>
      <c r="B1695" s="38" t="s">
        <v>266</v>
      </c>
      <c r="C1695" s="38" t="s">
        <v>336</v>
      </c>
      <c r="D1695" s="38" t="s">
        <v>335</v>
      </c>
      <c r="E1695" s="38" t="s">
        <v>4513</v>
      </c>
      <c r="F1695" s="38" t="s">
        <v>4261</v>
      </c>
      <c r="G1695" s="38" t="s">
        <v>111</v>
      </c>
      <c r="H1695" s="44">
        <v>44086</v>
      </c>
      <c r="I1695" s="44">
        <v>44104</v>
      </c>
      <c r="J1695">
        <v>395.23</v>
      </c>
      <c r="K1695">
        <v>38.39</v>
      </c>
      <c r="L1695" t="s">
        <v>4514</v>
      </c>
      <c r="M1695" s="45" t="s">
        <v>97</v>
      </c>
      <c r="N1695" s="38" t="s">
        <v>230</v>
      </c>
      <c r="O1695" s="38" t="s">
        <v>386</v>
      </c>
      <c r="P1695" s="38" t="s">
        <v>42</v>
      </c>
      <c r="Q1695" s="38" t="s">
        <v>55</v>
      </c>
      <c r="R1695" s="38" t="s">
        <v>270</v>
      </c>
      <c r="S1695" s="38" t="s">
        <v>4515</v>
      </c>
      <c r="T1695" s="38" t="s">
        <v>4518</v>
      </c>
      <c r="U1695" s="38"/>
      <c r="V1695" s="38"/>
      <c r="W1695" s="38"/>
      <c r="X1695" s="14"/>
      <c r="AI1695" s="53">
        <f>38.39</f>
        <v>38.39</v>
      </c>
      <c r="AN1695" s="7" t="s">
        <v>145</v>
      </c>
      <c r="AO1695" s="21">
        <f t="shared" si="86"/>
        <v>38.39</v>
      </c>
      <c r="AP1695" s="7">
        <f t="shared" si="87"/>
        <v>0</v>
      </c>
      <c r="AQ1695" s="31" t="str">
        <f t="shared" si="88"/>
        <v>Complete - With Adjustment</v>
      </c>
    </row>
    <row r="1696" spans="1:43" x14ac:dyDescent="0.2">
      <c r="A1696" s="46">
        <v>1686</v>
      </c>
      <c r="B1696" s="38" t="s">
        <v>266</v>
      </c>
      <c r="C1696" s="38" t="s">
        <v>336</v>
      </c>
      <c r="D1696" s="38" t="s">
        <v>335</v>
      </c>
      <c r="E1696" s="38" t="s">
        <v>4513</v>
      </c>
      <c r="F1696" s="38" t="s">
        <v>4261</v>
      </c>
      <c r="G1696" s="38" t="s">
        <v>111</v>
      </c>
      <c r="H1696" s="44">
        <v>44086</v>
      </c>
      <c r="I1696" s="44">
        <v>44104</v>
      </c>
      <c r="J1696">
        <v>395.23</v>
      </c>
      <c r="K1696">
        <v>35.26</v>
      </c>
      <c r="L1696" t="s">
        <v>4514</v>
      </c>
      <c r="M1696" s="45" t="s">
        <v>97</v>
      </c>
      <c r="N1696" s="38" t="s">
        <v>230</v>
      </c>
      <c r="O1696" s="38" t="s">
        <v>386</v>
      </c>
      <c r="P1696" s="38" t="s">
        <v>42</v>
      </c>
      <c r="Q1696" s="38" t="s">
        <v>55</v>
      </c>
      <c r="R1696" s="38" t="s">
        <v>270</v>
      </c>
      <c r="S1696" s="38" t="s">
        <v>4515</v>
      </c>
      <c r="T1696" s="38" t="s">
        <v>4519</v>
      </c>
      <c r="U1696" s="38"/>
      <c r="V1696" s="38"/>
      <c r="W1696" s="38"/>
      <c r="X1696" s="14"/>
      <c r="AI1696" s="53">
        <f>35.26</f>
        <v>35.26</v>
      </c>
      <c r="AN1696" s="7" t="s">
        <v>145</v>
      </c>
      <c r="AO1696" s="21">
        <f t="shared" si="86"/>
        <v>35.26</v>
      </c>
      <c r="AP1696" s="7">
        <f t="shared" si="87"/>
        <v>0</v>
      </c>
      <c r="AQ1696" s="31" t="str">
        <f t="shared" si="88"/>
        <v>Complete - With Adjustment</v>
      </c>
    </row>
    <row r="1697" spans="1:43" x14ac:dyDescent="0.2">
      <c r="A1697" s="46">
        <v>1687</v>
      </c>
      <c r="B1697" s="38" t="s">
        <v>266</v>
      </c>
      <c r="C1697" s="38" t="s">
        <v>336</v>
      </c>
      <c r="D1697" s="38" t="s">
        <v>335</v>
      </c>
      <c r="E1697" s="38" t="s">
        <v>4513</v>
      </c>
      <c r="F1697" s="38" t="s">
        <v>4261</v>
      </c>
      <c r="G1697" s="38" t="s">
        <v>111</v>
      </c>
      <c r="H1697" s="44">
        <v>44086</v>
      </c>
      <c r="I1697" s="44">
        <v>44104</v>
      </c>
      <c r="J1697">
        <v>395.23</v>
      </c>
      <c r="K1697">
        <v>36.5</v>
      </c>
      <c r="L1697" t="s">
        <v>4514</v>
      </c>
      <c r="M1697" s="45" t="s">
        <v>97</v>
      </c>
      <c r="N1697" s="38" t="s">
        <v>230</v>
      </c>
      <c r="O1697" s="38" t="s">
        <v>386</v>
      </c>
      <c r="P1697" s="38" t="s">
        <v>42</v>
      </c>
      <c r="Q1697" s="38" t="s">
        <v>55</v>
      </c>
      <c r="R1697" s="38" t="s">
        <v>270</v>
      </c>
      <c r="S1697" s="38" t="s">
        <v>4515</v>
      </c>
      <c r="T1697" s="38" t="s">
        <v>4520</v>
      </c>
      <c r="U1697" s="38"/>
      <c r="V1697" s="38"/>
      <c r="W1697" s="38"/>
      <c r="X1697" s="14"/>
      <c r="AI1697" s="53">
        <f>36.5</f>
        <v>36.5</v>
      </c>
      <c r="AN1697" s="7" t="s">
        <v>145</v>
      </c>
      <c r="AO1697" s="21">
        <f t="shared" si="86"/>
        <v>36.5</v>
      </c>
      <c r="AP1697" s="7">
        <f t="shared" si="87"/>
        <v>0</v>
      </c>
      <c r="AQ1697" s="31" t="str">
        <f t="shared" si="88"/>
        <v>Complete - With Adjustment</v>
      </c>
    </row>
    <row r="1698" spans="1:43" x14ac:dyDescent="0.2">
      <c r="A1698" s="46">
        <v>1688</v>
      </c>
      <c r="B1698" s="38" t="s">
        <v>266</v>
      </c>
      <c r="C1698" s="38" t="s">
        <v>336</v>
      </c>
      <c r="D1698" s="38" t="s">
        <v>335</v>
      </c>
      <c r="E1698" s="38" t="s">
        <v>4513</v>
      </c>
      <c r="F1698" s="38" t="s">
        <v>4261</v>
      </c>
      <c r="G1698" s="38" t="s">
        <v>111</v>
      </c>
      <c r="H1698" s="44">
        <v>44086</v>
      </c>
      <c r="I1698" s="44">
        <v>44104</v>
      </c>
      <c r="J1698">
        <v>395.23</v>
      </c>
      <c r="K1698">
        <v>30</v>
      </c>
      <c r="L1698" t="s">
        <v>4514</v>
      </c>
      <c r="M1698" s="45" t="s">
        <v>98</v>
      </c>
      <c r="N1698" s="38" t="s">
        <v>230</v>
      </c>
      <c r="O1698" s="38" t="s">
        <v>386</v>
      </c>
      <c r="P1698" s="38" t="s">
        <v>60</v>
      </c>
      <c r="Q1698" s="38" t="s">
        <v>62</v>
      </c>
      <c r="R1698" s="38" t="s">
        <v>270</v>
      </c>
      <c r="S1698" s="38" t="s">
        <v>4515</v>
      </c>
      <c r="T1698" s="38" t="s">
        <v>4521</v>
      </c>
      <c r="U1698" s="38"/>
      <c r="V1698" s="38"/>
      <c r="W1698" s="38"/>
      <c r="X1698" s="14"/>
      <c r="AI1698" s="53">
        <f>30</f>
        <v>30</v>
      </c>
      <c r="AN1698" s="7" t="s">
        <v>145</v>
      </c>
      <c r="AO1698" s="21">
        <f t="shared" si="86"/>
        <v>30</v>
      </c>
      <c r="AP1698" s="7">
        <f t="shared" si="87"/>
        <v>0</v>
      </c>
      <c r="AQ1698" s="31" t="str">
        <f t="shared" si="88"/>
        <v>Complete - With Adjustment</v>
      </c>
    </row>
    <row r="1699" spans="1:43" x14ac:dyDescent="0.2">
      <c r="A1699" s="46">
        <v>1689</v>
      </c>
      <c r="B1699" s="38" t="s">
        <v>266</v>
      </c>
      <c r="C1699" s="38" t="s">
        <v>336</v>
      </c>
      <c r="D1699" s="38" t="s">
        <v>335</v>
      </c>
      <c r="E1699" s="38" t="s">
        <v>4513</v>
      </c>
      <c r="F1699" s="38" t="s">
        <v>4261</v>
      </c>
      <c r="G1699" s="38" t="s">
        <v>111</v>
      </c>
      <c r="H1699" s="44">
        <v>44086</v>
      </c>
      <c r="I1699" s="44">
        <v>44104</v>
      </c>
      <c r="J1699">
        <v>395.23</v>
      </c>
      <c r="K1699">
        <v>37.409999999999997</v>
      </c>
      <c r="L1699" t="s">
        <v>4514</v>
      </c>
      <c r="M1699" s="45" t="s">
        <v>97</v>
      </c>
      <c r="N1699" s="38" t="s">
        <v>230</v>
      </c>
      <c r="O1699" s="38" t="s">
        <v>386</v>
      </c>
      <c r="P1699" s="38" t="s">
        <v>42</v>
      </c>
      <c r="Q1699" s="38" t="s">
        <v>55</v>
      </c>
      <c r="R1699" s="38" t="s">
        <v>270</v>
      </c>
      <c r="S1699" s="38" t="s">
        <v>4515</v>
      </c>
      <c r="T1699" s="38" t="s">
        <v>4522</v>
      </c>
      <c r="U1699" s="38"/>
      <c r="V1699" s="38"/>
      <c r="W1699" s="38"/>
      <c r="X1699" s="14"/>
      <c r="AI1699" s="53">
        <f>37.41</f>
        <v>37.409999999999997</v>
      </c>
      <c r="AN1699" s="7" t="s">
        <v>145</v>
      </c>
      <c r="AO1699" s="21">
        <f t="shared" si="86"/>
        <v>37.409999999999997</v>
      </c>
      <c r="AP1699" s="7">
        <f t="shared" si="87"/>
        <v>0</v>
      </c>
      <c r="AQ1699" s="31" t="str">
        <f t="shared" si="88"/>
        <v>Complete - With Adjustment</v>
      </c>
    </row>
    <row r="1700" spans="1:43" x14ac:dyDescent="0.2">
      <c r="A1700" s="46">
        <v>1690</v>
      </c>
      <c r="B1700" s="38" t="s">
        <v>266</v>
      </c>
      <c r="C1700" s="38" t="s">
        <v>336</v>
      </c>
      <c r="D1700" s="38" t="s">
        <v>335</v>
      </c>
      <c r="E1700" s="38" t="s">
        <v>4513</v>
      </c>
      <c r="F1700" s="38" t="s">
        <v>4261</v>
      </c>
      <c r="G1700" s="38" t="s">
        <v>111</v>
      </c>
      <c r="H1700" s="44">
        <v>44086</v>
      </c>
      <c r="I1700" s="44">
        <v>44104</v>
      </c>
      <c r="J1700">
        <v>395.23</v>
      </c>
      <c r="K1700">
        <v>36.76</v>
      </c>
      <c r="L1700" t="s">
        <v>4514</v>
      </c>
      <c r="M1700" s="45" t="s">
        <v>97</v>
      </c>
      <c r="N1700" s="38" t="s">
        <v>230</v>
      </c>
      <c r="O1700" s="38" t="s">
        <v>386</v>
      </c>
      <c r="P1700" s="38" t="s">
        <v>42</v>
      </c>
      <c r="Q1700" s="38" t="s">
        <v>55</v>
      </c>
      <c r="R1700" s="38" t="s">
        <v>270</v>
      </c>
      <c r="S1700" s="38" t="s">
        <v>4515</v>
      </c>
      <c r="T1700" s="38" t="s">
        <v>4523</v>
      </c>
      <c r="U1700" s="38"/>
      <c r="V1700" s="38"/>
      <c r="W1700" s="38"/>
      <c r="X1700" s="14"/>
      <c r="AI1700" s="53">
        <f>36.76</f>
        <v>36.76</v>
      </c>
      <c r="AN1700" s="7" t="s">
        <v>145</v>
      </c>
      <c r="AO1700" s="21">
        <f t="shared" si="86"/>
        <v>36.76</v>
      </c>
      <c r="AP1700" s="7">
        <f t="shared" si="87"/>
        <v>0</v>
      </c>
      <c r="AQ1700" s="31" t="str">
        <f t="shared" si="88"/>
        <v>Complete - With Adjustment</v>
      </c>
    </row>
    <row r="1701" spans="1:43" x14ac:dyDescent="0.2">
      <c r="A1701" s="46">
        <v>1691</v>
      </c>
      <c r="B1701" s="38" t="s">
        <v>266</v>
      </c>
      <c r="C1701" s="38" t="s">
        <v>336</v>
      </c>
      <c r="D1701" s="38" t="s">
        <v>335</v>
      </c>
      <c r="E1701" s="38" t="s">
        <v>4513</v>
      </c>
      <c r="F1701" s="38" t="s">
        <v>4261</v>
      </c>
      <c r="G1701" s="38" t="s">
        <v>111</v>
      </c>
      <c r="H1701" s="44">
        <v>44086</v>
      </c>
      <c r="I1701" s="44">
        <v>44104</v>
      </c>
      <c r="J1701">
        <v>395.23</v>
      </c>
      <c r="K1701">
        <v>39.53</v>
      </c>
      <c r="L1701" t="s">
        <v>4514</v>
      </c>
      <c r="M1701" s="45" t="s">
        <v>97</v>
      </c>
      <c r="N1701" s="38" t="s">
        <v>230</v>
      </c>
      <c r="O1701" s="38" t="s">
        <v>386</v>
      </c>
      <c r="P1701" s="38" t="s">
        <v>42</v>
      </c>
      <c r="Q1701" s="38" t="s">
        <v>55</v>
      </c>
      <c r="R1701" s="38" t="s">
        <v>270</v>
      </c>
      <c r="S1701" s="38" t="s">
        <v>4515</v>
      </c>
      <c r="T1701" s="38" t="s">
        <v>4524</v>
      </c>
      <c r="U1701" s="38"/>
      <c r="V1701" s="38"/>
      <c r="W1701" s="38"/>
      <c r="X1701" s="14"/>
      <c r="AI1701" s="53">
        <f>39.53</f>
        <v>39.53</v>
      </c>
      <c r="AN1701" s="7" t="s">
        <v>145</v>
      </c>
      <c r="AO1701" s="21">
        <f t="shared" si="86"/>
        <v>39.53</v>
      </c>
      <c r="AP1701" s="7">
        <f t="shared" si="87"/>
        <v>0</v>
      </c>
      <c r="AQ1701" s="31" t="str">
        <f t="shared" si="88"/>
        <v>Complete - With Adjustment</v>
      </c>
    </row>
    <row r="1702" spans="1:43" x14ac:dyDescent="0.2">
      <c r="A1702" s="46">
        <v>1692</v>
      </c>
      <c r="B1702" s="38" t="s">
        <v>266</v>
      </c>
      <c r="C1702" s="38" t="s">
        <v>336</v>
      </c>
      <c r="D1702" s="38" t="s">
        <v>335</v>
      </c>
      <c r="E1702" s="38" t="s">
        <v>4513</v>
      </c>
      <c r="F1702" s="38" t="s">
        <v>4261</v>
      </c>
      <c r="G1702" s="38" t="s">
        <v>111</v>
      </c>
      <c r="H1702" s="44">
        <v>44086</v>
      </c>
      <c r="I1702" s="44">
        <v>44104</v>
      </c>
      <c r="J1702">
        <v>395.23</v>
      </c>
      <c r="K1702">
        <v>29.13</v>
      </c>
      <c r="L1702" t="s">
        <v>4514</v>
      </c>
      <c r="M1702" s="45" t="s">
        <v>97</v>
      </c>
      <c r="N1702" s="38" t="s">
        <v>230</v>
      </c>
      <c r="O1702" s="38" t="s">
        <v>386</v>
      </c>
      <c r="P1702" s="38" t="s">
        <v>42</v>
      </c>
      <c r="Q1702" s="38" t="s">
        <v>55</v>
      </c>
      <c r="R1702" s="38" t="s">
        <v>270</v>
      </c>
      <c r="S1702" s="38" t="s">
        <v>4515</v>
      </c>
      <c r="T1702" s="38" t="s">
        <v>4525</v>
      </c>
      <c r="U1702" s="38"/>
      <c r="V1702" s="38"/>
      <c r="W1702" s="38"/>
      <c r="X1702" s="14"/>
      <c r="AI1702" s="53">
        <f>29.13</f>
        <v>29.13</v>
      </c>
      <c r="AN1702" s="7" t="s">
        <v>145</v>
      </c>
      <c r="AO1702" s="21">
        <f t="shared" si="86"/>
        <v>29.13</v>
      </c>
      <c r="AP1702" s="7">
        <f t="shared" si="87"/>
        <v>0</v>
      </c>
      <c r="AQ1702" s="31" t="str">
        <f t="shared" si="88"/>
        <v>Complete - With Adjustment</v>
      </c>
    </row>
    <row r="1703" spans="1:43" x14ac:dyDescent="0.2">
      <c r="A1703" s="46">
        <v>1693</v>
      </c>
      <c r="B1703" s="38" t="s">
        <v>266</v>
      </c>
      <c r="C1703" s="38" t="s">
        <v>336</v>
      </c>
      <c r="D1703" s="38" t="s">
        <v>335</v>
      </c>
      <c r="E1703" s="38" t="s">
        <v>4513</v>
      </c>
      <c r="F1703" s="38" t="s">
        <v>4261</v>
      </c>
      <c r="G1703" s="38" t="s">
        <v>111</v>
      </c>
      <c r="H1703" s="44">
        <v>44086</v>
      </c>
      <c r="I1703" s="44">
        <v>44104</v>
      </c>
      <c r="J1703">
        <v>395.23</v>
      </c>
      <c r="K1703">
        <v>38.39</v>
      </c>
      <c r="L1703" t="s">
        <v>4514</v>
      </c>
      <c r="M1703" s="45" t="s">
        <v>97</v>
      </c>
      <c r="N1703" s="38" t="s">
        <v>230</v>
      </c>
      <c r="O1703" s="38" t="s">
        <v>386</v>
      </c>
      <c r="P1703" s="38" t="s">
        <v>42</v>
      </c>
      <c r="Q1703" s="38" t="s">
        <v>55</v>
      </c>
      <c r="R1703" s="38" t="s">
        <v>270</v>
      </c>
      <c r="S1703" s="38" t="s">
        <v>4515</v>
      </c>
      <c r="T1703" s="38" t="s">
        <v>4526</v>
      </c>
      <c r="U1703" s="38"/>
      <c r="V1703" s="38"/>
      <c r="W1703" s="38"/>
      <c r="X1703" s="14"/>
      <c r="AI1703" s="53">
        <f>38.39</f>
        <v>38.39</v>
      </c>
      <c r="AN1703" s="7" t="s">
        <v>145</v>
      </c>
      <c r="AO1703" s="21">
        <f t="shared" si="86"/>
        <v>38.39</v>
      </c>
      <c r="AP1703" s="7">
        <f t="shared" si="87"/>
        <v>0</v>
      </c>
      <c r="AQ1703" s="31" t="str">
        <f t="shared" si="88"/>
        <v>Complete - With Adjustment</v>
      </c>
    </row>
    <row r="1704" spans="1:43" x14ac:dyDescent="0.2">
      <c r="A1704" s="46">
        <v>1694</v>
      </c>
      <c r="B1704" s="38" t="s">
        <v>266</v>
      </c>
      <c r="C1704" s="38" t="s">
        <v>341</v>
      </c>
      <c r="D1704" s="38" t="s">
        <v>340</v>
      </c>
      <c r="E1704" s="38" t="s">
        <v>4527</v>
      </c>
      <c r="F1704" s="38" t="s">
        <v>4221</v>
      </c>
      <c r="G1704" s="38" t="s">
        <v>111</v>
      </c>
      <c r="H1704" s="44">
        <v>44090</v>
      </c>
      <c r="I1704" s="44">
        <v>44097</v>
      </c>
      <c r="J1704">
        <v>11.5</v>
      </c>
      <c r="K1704">
        <v>11.5</v>
      </c>
      <c r="L1704" t="s">
        <v>4528</v>
      </c>
      <c r="M1704" s="45" t="s">
        <v>98</v>
      </c>
      <c r="N1704" s="38" t="s">
        <v>230</v>
      </c>
      <c r="O1704" s="38" t="s">
        <v>404</v>
      </c>
      <c r="P1704" s="38" t="s">
        <v>60</v>
      </c>
      <c r="Q1704" s="38" t="s">
        <v>41</v>
      </c>
      <c r="R1704" s="38" t="s">
        <v>270</v>
      </c>
      <c r="S1704" s="38" t="s">
        <v>4529</v>
      </c>
      <c r="T1704" s="38" t="s">
        <v>4530</v>
      </c>
      <c r="U1704" s="38"/>
      <c r="V1704" s="38"/>
      <c r="W1704" s="38"/>
      <c r="X1704" s="14"/>
      <c r="AN1704" s="7" t="s">
        <v>4219</v>
      </c>
      <c r="AO1704" s="21">
        <f t="shared" si="86"/>
        <v>0</v>
      </c>
      <c r="AP1704" s="7">
        <f t="shared" si="87"/>
        <v>11.5</v>
      </c>
      <c r="AQ1704" s="31" t="str">
        <f t="shared" si="88"/>
        <v>Complete - No Adjustment</v>
      </c>
    </row>
    <row r="1705" spans="1:43" x14ac:dyDescent="0.2">
      <c r="A1705" s="46">
        <v>1695</v>
      </c>
      <c r="B1705" s="38" t="s">
        <v>266</v>
      </c>
      <c r="C1705" s="38" t="s">
        <v>692</v>
      </c>
      <c r="D1705" s="38" t="s">
        <v>3165</v>
      </c>
      <c r="E1705" s="38" t="s">
        <v>4531</v>
      </c>
      <c r="F1705" s="38" t="s">
        <v>4215</v>
      </c>
      <c r="G1705" s="38" t="s">
        <v>111</v>
      </c>
      <c r="H1705" s="44">
        <v>44091</v>
      </c>
      <c r="I1705" s="44">
        <v>44096</v>
      </c>
      <c r="J1705">
        <v>15</v>
      </c>
      <c r="K1705">
        <v>15</v>
      </c>
      <c r="L1705" t="s">
        <v>4532</v>
      </c>
      <c r="M1705" s="45" t="s">
        <v>98</v>
      </c>
      <c r="N1705" s="38" t="s">
        <v>230</v>
      </c>
      <c r="O1705" s="38" t="s">
        <v>658</v>
      </c>
      <c r="P1705" s="38" t="s">
        <v>60</v>
      </c>
      <c r="Q1705" s="38" t="s">
        <v>46</v>
      </c>
      <c r="R1705" s="38" t="s">
        <v>270</v>
      </c>
      <c r="S1705" s="38" t="s">
        <v>4533</v>
      </c>
      <c r="T1705" s="38" t="s">
        <v>4534</v>
      </c>
      <c r="U1705" s="38"/>
      <c r="V1705" s="38"/>
      <c r="W1705" s="38"/>
      <c r="X1705" s="14"/>
      <c r="AL1705" s="14">
        <f>15</f>
        <v>15</v>
      </c>
      <c r="AN1705" s="7" t="s">
        <v>146</v>
      </c>
      <c r="AO1705" s="21">
        <f t="shared" si="86"/>
        <v>15</v>
      </c>
      <c r="AP1705" s="7">
        <f t="shared" si="87"/>
        <v>0</v>
      </c>
      <c r="AQ1705" s="31" t="str">
        <f t="shared" si="88"/>
        <v>Complete - With Adjustment</v>
      </c>
    </row>
    <row r="1706" spans="1:43" x14ac:dyDescent="0.2">
      <c r="A1706" s="46">
        <v>1696</v>
      </c>
      <c r="B1706" s="38" t="s">
        <v>266</v>
      </c>
      <c r="C1706" s="38" t="s">
        <v>780</v>
      </c>
      <c r="D1706" s="38" t="s">
        <v>798</v>
      </c>
      <c r="E1706" s="38" t="s">
        <v>4535</v>
      </c>
      <c r="F1706" s="38" t="s">
        <v>4432</v>
      </c>
      <c r="G1706" s="38" t="s">
        <v>111</v>
      </c>
      <c r="H1706" s="44">
        <v>44089</v>
      </c>
      <c r="I1706" s="44">
        <v>44091</v>
      </c>
      <c r="J1706">
        <v>25.2</v>
      </c>
      <c r="K1706">
        <v>25.2</v>
      </c>
      <c r="L1706" t="s">
        <v>4536</v>
      </c>
      <c r="M1706" s="45" t="s">
        <v>98</v>
      </c>
      <c r="N1706" s="38" t="s">
        <v>230</v>
      </c>
      <c r="O1706" s="38" t="s">
        <v>288</v>
      </c>
      <c r="P1706" s="38" t="s">
        <v>60</v>
      </c>
      <c r="Q1706" s="38" t="s">
        <v>41</v>
      </c>
      <c r="R1706" s="38" t="s">
        <v>270</v>
      </c>
      <c r="S1706" s="38" t="s">
        <v>4537</v>
      </c>
      <c r="T1706" s="38" t="s">
        <v>4538</v>
      </c>
      <c r="U1706" s="38"/>
      <c r="V1706" s="38"/>
      <c r="W1706" s="38"/>
      <c r="X1706" s="14"/>
      <c r="AN1706" s="7" t="s">
        <v>155</v>
      </c>
      <c r="AO1706" s="21">
        <f t="shared" si="86"/>
        <v>0</v>
      </c>
      <c r="AP1706" s="7">
        <f t="shared" si="87"/>
        <v>25.2</v>
      </c>
      <c r="AQ1706" s="31" t="str">
        <f t="shared" si="88"/>
        <v>Complete - No Adjustment</v>
      </c>
    </row>
    <row r="1707" spans="1:43" x14ac:dyDescent="0.2">
      <c r="A1707" s="46">
        <v>1697</v>
      </c>
      <c r="B1707" s="38" t="s">
        <v>266</v>
      </c>
      <c r="C1707" s="38" t="s">
        <v>780</v>
      </c>
      <c r="D1707" s="38" t="s">
        <v>798</v>
      </c>
      <c r="E1707" s="38" t="s">
        <v>4539</v>
      </c>
      <c r="F1707" s="38" t="s">
        <v>4238</v>
      </c>
      <c r="G1707" s="38" t="s">
        <v>111</v>
      </c>
      <c r="H1707" s="44">
        <v>44097</v>
      </c>
      <c r="I1707" s="44">
        <v>44102</v>
      </c>
      <c r="J1707">
        <v>25.79</v>
      </c>
      <c r="K1707">
        <v>25.79</v>
      </c>
      <c r="L1707" t="s">
        <v>4540</v>
      </c>
      <c r="M1707" s="45" t="s">
        <v>98</v>
      </c>
      <c r="N1707" s="38" t="s">
        <v>230</v>
      </c>
      <c r="O1707" s="38" t="s">
        <v>288</v>
      </c>
      <c r="P1707" s="38" t="s">
        <v>60</v>
      </c>
      <c r="Q1707" s="38" t="s">
        <v>41</v>
      </c>
      <c r="R1707" s="38" t="s">
        <v>270</v>
      </c>
      <c r="S1707" s="38" t="s">
        <v>4541</v>
      </c>
      <c r="T1707" s="38" t="s">
        <v>4542</v>
      </c>
      <c r="U1707" s="38"/>
      <c r="V1707" s="38"/>
      <c r="W1707" s="38"/>
      <c r="X1707" s="14"/>
      <c r="AB1707" s="14">
        <f>2.37</f>
        <v>2.37</v>
      </c>
      <c r="AN1707" s="7" t="s">
        <v>2958</v>
      </c>
      <c r="AO1707" s="21">
        <f t="shared" si="86"/>
        <v>2.37</v>
      </c>
      <c r="AP1707" s="7">
        <f t="shared" si="87"/>
        <v>23.419999999999998</v>
      </c>
      <c r="AQ1707" s="31" t="str">
        <f t="shared" si="88"/>
        <v>Complete - With Adjustment</v>
      </c>
    </row>
    <row r="1708" spans="1:43" x14ac:dyDescent="0.2">
      <c r="A1708" s="46">
        <v>1698</v>
      </c>
      <c r="B1708" s="38" t="s">
        <v>266</v>
      </c>
      <c r="C1708" s="38" t="s">
        <v>780</v>
      </c>
      <c r="D1708" s="38" t="s">
        <v>798</v>
      </c>
      <c r="E1708" s="38" t="s">
        <v>4543</v>
      </c>
      <c r="F1708" s="38" t="s">
        <v>4349</v>
      </c>
      <c r="G1708" s="38" t="s">
        <v>111</v>
      </c>
      <c r="H1708" s="44">
        <v>44083</v>
      </c>
      <c r="I1708" s="44">
        <v>44084</v>
      </c>
      <c r="J1708">
        <v>26.38</v>
      </c>
      <c r="K1708">
        <v>26.38</v>
      </c>
      <c r="L1708" t="s">
        <v>4544</v>
      </c>
      <c r="M1708" s="45" t="s">
        <v>98</v>
      </c>
      <c r="N1708" s="38" t="s">
        <v>230</v>
      </c>
      <c r="O1708" s="38" t="s">
        <v>288</v>
      </c>
      <c r="P1708" s="38" t="s">
        <v>60</v>
      </c>
      <c r="Q1708" s="38" t="s">
        <v>41</v>
      </c>
      <c r="R1708" s="38" t="s">
        <v>270</v>
      </c>
      <c r="S1708" s="38" t="s">
        <v>4545</v>
      </c>
      <c r="T1708" s="38" t="s">
        <v>4546</v>
      </c>
      <c r="U1708" s="38"/>
      <c r="V1708" s="38"/>
      <c r="W1708" s="38"/>
      <c r="X1708" s="14"/>
      <c r="AN1708" s="7" t="s">
        <v>155</v>
      </c>
      <c r="AO1708" s="21">
        <f t="shared" si="86"/>
        <v>0</v>
      </c>
      <c r="AP1708" s="7">
        <f t="shared" si="87"/>
        <v>26.38</v>
      </c>
      <c r="AQ1708" s="31" t="str">
        <f t="shared" si="88"/>
        <v>Complete - No Adjustment</v>
      </c>
    </row>
    <row r="1709" spans="1:43" x14ac:dyDescent="0.2">
      <c r="A1709" s="46">
        <v>1699</v>
      </c>
      <c r="B1709" s="38" t="s">
        <v>266</v>
      </c>
      <c r="C1709" s="38" t="s">
        <v>780</v>
      </c>
      <c r="D1709" s="38" t="s">
        <v>798</v>
      </c>
      <c r="E1709" s="38" t="s">
        <v>4547</v>
      </c>
      <c r="F1709" s="38" t="s">
        <v>4291</v>
      </c>
      <c r="G1709" s="38" t="s">
        <v>111</v>
      </c>
      <c r="H1709" s="44">
        <v>44076</v>
      </c>
      <c r="I1709" s="44">
        <v>44078</v>
      </c>
      <c r="J1709">
        <v>27.18</v>
      </c>
      <c r="K1709">
        <v>27.18</v>
      </c>
      <c r="L1709" t="s">
        <v>4548</v>
      </c>
      <c r="M1709" s="45" t="s">
        <v>98</v>
      </c>
      <c r="N1709" s="38" t="s">
        <v>230</v>
      </c>
      <c r="O1709" s="38" t="s">
        <v>288</v>
      </c>
      <c r="P1709" s="38" t="s">
        <v>60</v>
      </c>
      <c r="Q1709" s="38" t="s">
        <v>41</v>
      </c>
      <c r="R1709" s="38" t="s">
        <v>270</v>
      </c>
      <c r="S1709" s="38" t="s">
        <v>3841</v>
      </c>
      <c r="T1709" s="38" t="s">
        <v>3842</v>
      </c>
      <c r="U1709" s="38"/>
      <c r="V1709" s="38"/>
      <c r="W1709" s="38"/>
      <c r="X1709" s="14"/>
      <c r="AB1709" s="14">
        <f>1.95</f>
        <v>1.95</v>
      </c>
      <c r="AN1709" s="7" t="s">
        <v>2958</v>
      </c>
      <c r="AO1709" s="21">
        <f t="shared" si="86"/>
        <v>1.95</v>
      </c>
      <c r="AP1709" s="7">
        <f t="shared" si="87"/>
        <v>25.23</v>
      </c>
      <c r="AQ1709" s="31" t="str">
        <f t="shared" si="88"/>
        <v>Complete - With Adjustment</v>
      </c>
    </row>
    <row r="1710" spans="1:43" x14ac:dyDescent="0.2">
      <c r="A1710" s="46">
        <v>1700</v>
      </c>
      <c r="B1710" s="38" t="s">
        <v>266</v>
      </c>
      <c r="C1710" s="38" t="s">
        <v>780</v>
      </c>
      <c r="D1710" s="38" t="s">
        <v>798</v>
      </c>
      <c r="E1710" s="38" t="s">
        <v>4549</v>
      </c>
      <c r="F1710" s="38" t="s">
        <v>4284</v>
      </c>
      <c r="G1710" s="38" t="s">
        <v>111</v>
      </c>
      <c r="H1710" s="44">
        <v>44074</v>
      </c>
      <c r="I1710" s="44">
        <v>44077</v>
      </c>
      <c r="J1710">
        <v>155.4</v>
      </c>
      <c r="K1710">
        <v>155.4</v>
      </c>
      <c r="L1710" t="s">
        <v>4550</v>
      </c>
      <c r="M1710" s="45" t="s">
        <v>98</v>
      </c>
      <c r="N1710" s="38" t="s">
        <v>230</v>
      </c>
      <c r="O1710" s="38" t="s">
        <v>288</v>
      </c>
      <c r="P1710" s="38" t="s">
        <v>60</v>
      </c>
      <c r="Q1710" s="38" t="s">
        <v>49</v>
      </c>
      <c r="R1710" s="38" t="s">
        <v>270</v>
      </c>
      <c r="S1710" s="38" t="s">
        <v>4551</v>
      </c>
      <c r="T1710" s="38" t="s">
        <v>4552</v>
      </c>
      <c r="U1710" s="38"/>
      <c r="V1710" s="38"/>
      <c r="W1710" s="38"/>
      <c r="X1710" s="14"/>
      <c r="AN1710" s="7" t="s">
        <v>70</v>
      </c>
      <c r="AO1710" s="21">
        <f t="shared" si="86"/>
        <v>0</v>
      </c>
      <c r="AP1710" s="7">
        <f t="shared" si="87"/>
        <v>155.4</v>
      </c>
      <c r="AQ1710" s="31" t="str">
        <f t="shared" si="88"/>
        <v>Complete - No Adjustment</v>
      </c>
    </row>
    <row r="1711" spans="1:43" x14ac:dyDescent="0.2">
      <c r="A1711" s="46">
        <v>1701</v>
      </c>
      <c r="B1711" s="38" t="s">
        <v>266</v>
      </c>
      <c r="C1711" s="38" t="s">
        <v>2301</v>
      </c>
      <c r="D1711" s="38" t="s">
        <v>2302</v>
      </c>
      <c r="E1711" s="38" t="s">
        <v>4553</v>
      </c>
      <c r="F1711" s="38" t="s">
        <v>4221</v>
      </c>
      <c r="G1711" s="38" t="s">
        <v>111</v>
      </c>
      <c r="H1711" s="44">
        <v>44095</v>
      </c>
      <c r="I1711" s="44">
        <v>44097</v>
      </c>
      <c r="J1711">
        <v>15</v>
      </c>
      <c r="K1711">
        <v>15</v>
      </c>
      <c r="L1711" t="s">
        <v>4554</v>
      </c>
      <c r="M1711" s="45" t="s">
        <v>98</v>
      </c>
      <c r="N1711" s="38" t="s">
        <v>230</v>
      </c>
      <c r="O1711" s="38" t="s">
        <v>365</v>
      </c>
      <c r="P1711" s="38" t="s">
        <v>60</v>
      </c>
      <c r="Q1711" s="38" t="s">
        <v>41</v>
      </c>
      <c r="R1711" s="38" t="s">
        <v>270</v>
      </c>
      <c r="S1711" s="38" t="s">
        <v>4555</v>
      </c>
      <c r="T1711" s="38" t="s">
        <v>4556</v>
      </c>
      <c r="U1711" s="38"/>
      <c r="V1711" s="38"/>
      <c r="W1711" s="38"/>
      <c r="X1711" s="14"/>
      <c r="AN1711" s="7" t="s">
        <v>4219</v>
      </c>
      <c r="AO1711" s="21">
        <f t="shared" si="86"/>
        <v>0</v>
      </c>
      <c r="AP1711" s="7">
        <f t="shared" si="87"/>
        <v>15</v>
      </c>
      <c r="AQ1711" s="31" t="str">
        <f t="shared" si="88"/>
        <v>Complete - No Adjustment</v>
      </c>
    </row>
    <row r="1712" spans="1:43" x14ac:dyDescent="0.2">
      <c r="A1712" s="46">
        <v>1702</v>
      </c>
      <c r="B1712" s="38" t="s">
        <v>266</v>
      </c>
      <c r="C1712" s="38" t="s">
        <v>596</v>
      </c>
      <c r="D1712" s="38" t="s">
        <v>595</v>
      </c>
      <c r="E1712" s="38" t="s">
        <v>4557</v>
      </c>
      <c r="F1712" s="38" t="s">
        <v>4558</v>
      </c>
      <c r="G1712" s="38" t="s">
        <v>111</v>
      </c>
      <c r="H1712" s="44">
        <v>44071</v>
      </c>
      <c r="I1712" s="44">
        <v>44075</v>
      </c>
      <c r="J1712">
        <v>2950</v>
      </c>
      <c r="K1712">
        <v>2950</v>
      </c>
      <c r="L1712" t="s">
        <v>4559</v>
      </c>
      <c r="M1712" s="45" t="s">
        <v>98</v>
      </c>
      <c r="N1712" s="38" t="s">
        <v>230</v>
      </c>
      <c r="O1712" s="38" t="s">
        <v>342</v>
      </c>
      <c r="P1712" s="38" t="s">
        <v>60</v>
      </c>
      <c r="Q1712" s="38" t="s">
        <v>109</v>
      </c>
      <c r="R1712" s="38" t="s">
        <v>270</v>
      </c>
      <c r="S1712" s="38" t="s">
        <v>4560</v>
      </c>
      <c r="T1712" s="38" t="s">
        <v>4561</v>
      </c>
      <c r="U1712" s="38"/>
      <c r="V1712" s="38"/>
      <c r="W1712" s="38"/>
      <c r="X1712" s="14"/>
      <c r="AN1712" s="7" t="s">
        <v>70</v>
      </c>
      <c r="AO1712" s="21">
        <f t="shared" si="86"/>
        <v>0</v>
      </c>
      <c r="AP1712" s="7">
        <f t="shared" si="87"/>
        <v>2950</v>
      </c>
      <c r="AQ1712" s="31" t="str">
        <f t="shared" si="88"/>
        <v>Complete - No Adjustment</v>
      </c>
    </row>
    <row r="1713" spans="1:43" x14ac:dyDescent="0.2">
      <c r="A1713" s="46">
        <v>1703</v>
      </c>
      <c r="B1713" s="38" t="s">
        <v>266</v>
      </c>
      <c r="C1713" s="38" t="s">
        <v>359</v>
      </c>
      <c r="D1713" s="38" t="s">
        <v>358</v>
      </c>
      <c r="E1713" s="38" t="s">
        <v>4562</v>
      </c>
      <c r="F1713" s="38" t="s">
        <v>4298</v>
      </c>
      <c r="G1713" s="38" t="s">
        <v>111</v>
      </c>
      <c r="H1713" s="44">
        <v>44099</v>
      </c>
      <c r="I1713" s="44">
        <v>44103</v>
      </c>
      <c r="J1713">
        <v>13.27</v>
      </c>
      <c r="K1713">
        <v>13.27</v>
      </c>
      <c r="L1713" t="s">
        <v>4563</v>
      </c>
      <c r="M1713" s="45" t="s">
        <v>98</v>
      </c>
      <c r="N1713" s="38" t="s">
        <v>230</v>
      </c>
      <c r="O1713" s="38" t="s">
        <v>277</v>
      </c>
      <c r="P1713" s="38" t="s">
        <v>60</v>
      </c>
      <c r="Q1713" s="38" t="s">
        <v>41</v>
      </c>
      <c r="R1713" s="38" t="s">
        <v>270</v>
      </c>
      <c r="S1713" s="38" t="s">
        <v>4564</v>
      </c>
      <c r="T1713" s="38" t="s">
        <v>4565</v>
      </c>
      <c r="U1713" s="38"/>
      <c r="V1713" s="38"/>
      <c r="W1713" s="38"/>
      <c r="X1713" s="14"/>
      <c r="AN1713" s="7" t="s">
        <v>4219</v>
      </c>
      <c r="AO1713" s="21">
        <f t="shared" si="86"/>
        <v>0</v>
      </c>
      <c r="AP1713" s="7">
        <f t="shared" si="87"/>
        <v>13.27</v>
      </c>
      <c r="AQ1713" s="31" t="str">
        <f t="shared" si="88"/>
        <v>Complete - No Adjustment</v>
      </c>
    </row>
    <row r="1714" spans="1:43" x14ac:dyDescent="0.2">
      <c r="A1714" s="46">
        <v>1704</v>
      </c>
      <c r="B1714" s="38" t="s">
        <v>266</v>
      </c>
      <c r="C1714" s="38" t="s">
        <v>746</v>
      </c>
      <c r="D1714" s="38" t="s">
        <v>745</v>
      </c>
      <c r="E1714" s="38" t="s">
        <v>4566</v>
      </c>
      <c r="F1714" s="38" t="s">
        <v>4238</v>
      </c>
      <c r="G1714" s="38" t="s">
        <v>111</v>
      </c>
      <c r="H1714" s="44">
        <v>44097</v>
      </c>
      <c r="I1714" s="44">
        <v>44102</v>
      </c>
      <c r="J1714">
        <v>10.15</v>
      </c>
      <c r="K1714">
        <v>10.15</v>
      </c>
      <c r="L1714" t="s">
        <v>4567</v>
      </c>
      <c r="M1714" s="45" t="s">
        <v>98</v>
      </c>
      <c r="N1714" s="38" t="s">
        <v>230</v>
      </c>
      <c r="O1714" s="38" t="s">
        <v>280</v>
      </c>
      <c r="P1714" s="38" t="s">
        <v>60</v>
      </c>
      <c r="Q1714" s="38" t="s">
        <v>41</v>
      </c>
      <c r="R1714" s="38" t="s">
        <v>270</v>
      </c>
      <c r="S1714" s="38" t="s">
        <v>4568</v>
      </c>
      <c r="T1714" s="38" t="s">
        <v>4569</v>
      </c>
      <c r="U1714" s="38"/>
      <c r="V1714" s="38"/>
      <c r="W1714" s="38"/>
      <c r="X1714" s="14"/>
      <c r="AN1714" s="7" t="s">
        <v>4219</v>
      </c>
      <c r="AO1714" s="21">
        <f t="shared" si="86"/>
        <v>0</v>
      </c>
      <c r="AP1714" s="7">
        <f t="shared" si="87"/>
        <v>10.15</v>
      </c>
      <c r="AQ1714" s="31" t="str">
        <f t="shared" si="88"/>
        <v>Complete - No Adjustment</v>
      </c>
    </row>
    <row r="1715" spans="1:43" x14ac:dyDescent="0.2">
      <c r="A1715" s="46">
        <v>1705</v>
      </c>
      <c r="B1715" s="38" t="s">
        <v>266</v>
      </c>
      <c r="C1715" s="38" t="s">
        <v>364</v>
      </c>
      <c r="D1715" s="38" t="s">
        <v>363</v>
      </c>
      <c r="E1715" s="38" t="s">
        <v>4570</v>
      </c>
      <c r="F1715" s="38" t="s">
        <v>4382</v>
      </c>
      <c r="G1715" s="38" t="s">
        <v>111</v>
      </c>
      <c r="H1715" s="44">
        <v>44097</v>
      </c>
      <c r="I1715" s="44">
        <v>44099</v>
      </c>
      <c r="J1715">
        <v>8</v>
      </c>
      <c r="K1715">
        <v>8</v>
      </c>
      <c r="L1715" t="s">
        <v>4571</v>
      </c>
      <c r="M1715" s="45" t="s">
        <v>98</v>
      </c>
      <c r="N1715" s="38" t="s">
        <v>230</v>
      </c>
      <c r="O1715" s="38" t="s">
        <v>365</v>
      </c>
      <c r="P1715" s="38" t="s">
        <v>60</v>
      </c>
      <c r="Q1715" s="38" t="s">
        <v>41</v>
      </c>
      <c r="R1715" s="38" t="s">
        <v>270</v>
      </c>
      <c r="S1715" s="38" t="s">
        <v>4572</v>
      </c>
      <c r="T1715" s="38" t="s">
        <v>4573</v>
      </c>
      <c r="U1715" s="38"/>
      <c r="V1715" s="38"/>
      <c r="W1715" s="38"/>
      <c r="X1715" s="14"/>
      <c r="AN1715" s="7" t="s">
        <v>4219</v>
      </c>
      <c r="AO1715" s="21">
        <f t="shared" si="86"/>
        <v>0</v>
      </c>
      <c r="AP1715" s="7">
        <f t="shared" si="87"/>
        <v>8</v>
      </c>
      <c r="AQ1715" s="31" t="str">
        <f t="shared" si="88"/>
        <v>Complete - No Adjustment</v>
      </c>
    </row>
    <row r="1716" spans="1:43" x14ac:dyDescent="0.2">
      <c r="A1716" s="46">
        <v>1706</v>
      </c>
      <c r="B1716" s="38" t="s">
        <v>266</v>
      </c>
      <c r="C1716" s="38" t="s">
        <v>364</v>
      </c>
      <c r="D1716" s="38" t="s">
        <v>363</v>
      </c>
      <c r="E1716" s="38" t="s">
        <v>4574</v>
      </c>
      <c r="F1716" s="38" t="s">
        <v>4210</v>
      </c>
      <c r="G1716" s="38" t="s">
        <v>111</v>
      </c>
      <c r="H1716" s="44">
        <v>44048</v>
      </c>
      <c r="I1716" s="44">
        <v>44076</v>
      </c>
      <c r="J1716">
        <v>315</v>
      </c>
      <c r="K1716">
        <v>10</v>
      </c>
      <c r="L1716" t="s">
        <v>4575</v>
      </c>
      <c r="M1716" s="45" t="s">
        <v>97</v>
      </c>
      <c r="N1716" s="38" t="s">
        <v>230</v>
      </c>
      <c r="O1716" s="38" t="s">
        <v>365</v>
      </c>
      <c r="P1716" s="38" t="s">
        <v>42</v>
      </c>
      <c r="Q1716" s="38" t="s">
        <v>55</v>
      </c>
      <c r="R1716" s="38" t="s">
        <v>270</v>
      </c>
      <c r="S1716" s="38" t="s">
        <v>4576</v>
      </c>
      <c r="T1716" s="38" t="s">
        <v>4577</v>
      </c>
      <c r="U1716" s="38"/>
      <c r="V1716" s="38"/>
      <c r="W1716" s="38"/>
      <c r="X1716" s="14"/>
      <c r="AI1716" s="53">
        <f>10</f>
        <v>10</v>
      </c>
      <c r="AN1716" s="7" t="s">
        <v>145</v>
      </c>
      <c r="AO1716" s="21">
        <f t="shared" si="86"/>
        <v>10</v>
      </c>
      <c r="AP1716" s="7">
        <f t="shared" si="87"/>
        <v>0</v>
      </c>
      <c r="AQ1716" s="31" t="str">
        <f t="shared" si="88"/>
        <v>Complete - With Adjustment</v>
      </c>
    </row>
    <row r="1717" spans="1:43" x14ac:dyDescent="0.2">
      <c r="A1717" s="46">
        <v>1707</v>
      </c>
      <c r="B1717" s="38" t="s">
        <v>266</v>
      </c>
      <c r="C1717" s="38" t="s">
        <v>364</v>
      </c>
      <c r="D1717" s="38" t="s">
        <v>363</v>
      </c>
      <c r="E1717" s="38" t="s">
        <v>4574</v>
      </c>
      <c r="F1717" s="38" t="s">
        <v>4210</v>
      </c>
      <c r="G1717" s="38" t="s">
        <v>111</v>
      </c>
      <c r="H1717" s="44">
        <v>44048</v>
      </c>
      <c r="I1717" s="44">
        <v>44076</v>
      </c>
      <c r="J1717">
        <v>315</v>
      </c>
      <c r="K1717">
        <v>10</v>
      </c>
      <c r="L1717" t="s">
        <v>4575</v>
      </c>
      <c r="M1717" s="45" t="s">
        <v>97</v>
      </c>
      <c r="N1717" s="38" t="s">
        <v>230</v>
      </c>
      <c r="O1717" s="38" t="s">
        <v>365</v>
      </c>
      <c r="P1717" s="38" t="s">
        <v>42</v>
      </c>
      <c r="Q1717" s="38" t="s">
        <v>55</v>
      </c>
      <c r="R1717" s="38" t="s">
        <v>270</v>
      </c>
      <c r="S1717" s="38" t="s">
        <v>4576</v>
      </c>
      <c r="T1717" s="38" t="s">
        <v>4577</v>
      </c>
      <c r="U1717" s="38"/>
      <c r="V1717" s="38"/>
      <c r="W1717" s="38"/>
      <c r="X1717" s="14"/>
      <c r="AI1717" s="53">
        <f>10</f>
        <v>10</v>
      </c>
      <c r="AN1717" s="7" t="s">
        <v>145</v>
      </c>
      <c r="AO1717" s="21">
        <f t="shared" si="86"/>
        <v>10</v>
      </c>
      <c r="AP1717" s="7">
        <f t="shared" si="87"/>
        <v>0</v>
      </c>
      <c r="AQ1717" s="31" t="str">
        <f t="shared" si="88"/>
        <v>Complete - With Adjustment</v>
      </c>
    </row>
    <row r="1718" spans="1:43" x14ac:dyDescent="0.2">
      <c r="A1718" s="46">
        <v>1708</v>
      </c>
      <c r="B1718" s="38" t="s">
        <v>266</v>
      </c>
      <c r="C1718" s="38" t="s">
        <v>364</v>
      </c>
      <c r="D1718" s="38" t="s">
        <v>363</v>
      </c>
      <c r="E1718" s="38" t="s">
        <v>4574</v>
      </c>
      <c r="F1718" s="38" t="s">
        <v>4210</v>
      </c>
      <c r="G1718" s="38" t="s">
        <v>111</v>
      </c>
      <c r="H1718" s="44">
        <v>44048</v>
      </c>
      <c r="I1718" s="44">
        <v>44076</v>
      </c>
      <c r="J1718">
        <v>315</v>
      </c>
      <c r="K1718">
        <v>10</v>
      </c>
      <c r="L1718" t="s">
        <v>4575</v>
      </c>
      <c r="M1718" s="45" t="s">
        <v>97</v>
      </c>
      <c r="N1718" s="38" t="s">
        <v>230</v>
      </c>
      <c r="O1718" s="38" t="s">
        <v>365</v>
      </c>
      <c r="P1718" s="38" t="s">
        <v>42</v>
      </c>
      <c r="Q1718" s="38" t="s">
        <v>55</v>
      </c>
      <c r="R1718" s="38" t="s">
        <v>270</v>
      </c>
      <c r="S1718" s="38" t="s">
        <v>4576</v>
      </c>
      <c r="T1718" s="38" t="s">
        <v>4577</v>
      </c>
      <c r="U1718" s="38"/>
      <c r="V1718" s="38"/>
      <c r="W1718" s="38"/>
      <c r="X1718" s="14"/>
      <c r="AI1718" s="53">
        <f>10</f>
        <v>10</v>
      </c>
      <c r="AN1718" s="7" t="s">
        <v>145</v>
      </c>
      <c r="AO1718" s="21">
        <f t="shared" si="86"/>
        <v>10</v>
      </c>
      <c r="AP1718" s="7">
        <f t="shared" si="87"/>
        <v>0</v>
      </c>
      <c r="AQ1718" s="31" t="str">
        <f t="shared" si="88"/>
        <v>Complete - With Adjustment</v>
      </c>
    </row>
    <row r="1719" spans="1:43" x14ac:dyDescent="0.2">
      <c r="A1719" s="46">
        <v>1709</v>
      </c>
      <c r="B1719" s="38" t="s">
        <v>266</v>
      </c>
      <c r="C1719" s="38" t="s">
        <v>364</v>
      </c>
      <c r="D1719" s="38" t="s">
        <v>363</v>
      </c>
      <c r="E1719" s="38" t="s">
        <v>4574</v>
      </c>
      <c r="F1719" s="38" t="s">
        <v>4210</v>
      </c>
      <c r="G1719" s="38" t="s">
        <v>111</v>
      </c>
      <c r="H1719" s="44">
        <v>44048</v>
      </c>
      <c r="I1719" s="44">
        <v>44076</v>
      </c>
      <c r="J1719">
        <v>315</v>
      </c>
      <c r="K1719">
        <v>10</v>
      </c>
      <c r="L1719" t="s">
        <v>4575</v>
      </c>
      <c r="M1719" s="45" t="s">
        <v>97</v>
      </c>
      <c r="N1719" s="38" t="s">
        <v>230</v>
      </c>
      <c r="O1719" s="38" t="s">
        <v>365</v>
      </c>
      <c r="P1719" s="38" t="s">
        <v>42</v>
      </c>
      <c r="Q1719" s="38" t="s">
        <v>55</v>
      </c>
      <c r="R1719" s="38" t="s">
        <v>270</v>
      </c>
      <c r="S1719" s="38" t="s">
        <v>4576</v>
      </c>
      <c r="T1719" s="38" t="s">
        <v>4577</v>
      </c>
      <c r="U1719" s="38"/>
      <c r="V1719" s="38"/>
      <c r="W1719" s="38"/>
      <c r="X1719" s="14"/>
      <c r="AI1719" s="53">
        <f>10</f>
        <v>10</v>
      </c>
      <c r="AN1719" s="7" t="s">
        <v>145</v>
      </c>
      <c r="AO1719" s="21">
        <f t="shared" si="86"/>
        <v>10</v>
      </c>
      <c r="AP1719" s="7">
        <f t="shared" si="87"/>
        <v>0</v>
      </c>
      <c r="AQ1719" s="31" t="str">
        <f t="shared" si="88"/>
        <v>Complete - With Adjustment</v>
      </c>
    </row>
    <row r="1720" spans="1:43" x14ac:dyDescent="0.2">
      <c r="A1720" s="46">
        <v>1710</v>
      </c>
      <c r="B1720" s="38" t="s">
        <v>266</v>
      </c>
      <c r="C1720" s="38" t="s">
        <v>364</v>
      </c>
      <c r="D1720" s="38" t="s">
        <v>363</v>
      </c>
      <c r="E1720" s="38" t="s">
        <v>4574</v>
      </c>
      <c r="F1720" s="38" t="s">
        <v>4210</v>
      </c>
      <c r="G1720" s="38" t="s">
        <v>111</v>
      </c>
      <c r="H1720" s="44">
        <v>44048</v>
      </c>
      <c r="I1720" s="44">
        <v>44076</v>
      </c>
      <c r="J1720">
        <v>315</v>
      </c>
      <c r="K1720">
        <v>10</v>
      </c>
      <c r="L1720" t="s">
        <v>4575</v>
      </c>
      <c r="M1720" s="45" t="s">
        <v>97</v>
      </c>
      <c r="N1720" s="38" t="s">
        <v>230</v>
      </c>
      <c r="O1720" s="38" t="s">
        <v>365</v>
      </c>
      <c r="P1720" s="38" t="s">
        <v>42</v>
      </c>
      <c r="Q1720" s="38" t="s">
        <v>55</v>
      </c>
      <c r="R1720" s="38" t="s">
        <v>270</v>
      </c>
      <c r="S1720" s="38" t="s">
        <v>4576</v>
      </c>
      <c r="T1720" s="38" t="s">
        <v>4577</v>
      </c>
      <c r="U1720" s="38"/>
      <c r="V1720" s="38"/>
      <c r="W1720" s="38"/>
      <c r="X1720" s="14"/>
      <c r="AI1720" s="53">
        <f>10</f>
        <v>10</v>
      </c>
      <c r="AN1720" s="7" t="s">
        <v>145</v>
      </c>
      <c r="AO1720" s="21">
        <f t="shared" si="86"/>
        <v>10</v>
      </c>
      <c r="AP1720" s="7">
        <f t="shared" si="87"/>
        <v>0</v>
      </c>
      <c r="AQ1720" s="31" t="str">
        <f t="shared" si="88"/>
        <v>Complete - With Adjustment</v>
      </c>
    </row>
    <row r="1721" spans="1:43" x14ac:dyDescent="0.2">
      <c r="A1721" s="46">
        <v>1711</v>
      </c>
      <c r="B1721" s="38" t="s">
        <v>266</v>
      </c>
      <c r="C1721" s="38" t="s">
        <v>364</v>
      </c>
      <c r="D1721" s="38" t="s">
        <v>363</v>
      </c>
      <c r="E1721" s="38" t="s">
        <v>4574</v>
      </c>
      <c r="F1721" s="38" t="s">
        <v>4210</v>
      </c>
      <c r="G1721" s="38" t="s">
        <v>111</v>
      </c>
      <c r="H1721" s="44">
        <v>44048</v>
      </c>
      <c r="I1721" s="44">
        <v>44076</v>
      </c>
      <c r="J1721">
        <v>315</v>
      </c>
      <c r="K1721">
        <v>10</v>
      </c>
      <c r="L1721" t="s">
        <v>4575</v>
      </c>
      <c r="M1721" s="45" t="s">
        <v>97</v>
      </c>
      <c r="N1721" s="38" t="s">
        <v>230</v>
      </c>
      <c r="O1721" s="38" t="s">
        <v>365</v>
      </c>
      <c r="P1721" s="38" t="s">
        <v>42</v>
      </c>
      <c r="Q1721" s="38" t="s">
        <v>55</v>
      </c>
      <c r="R1721" s="38" t="s">
        <v>270</v>
      </c>
      <c r="S1721" s="38" t="s">
        <v>4576</v>
      </c>
      <c r="T1721" s="38" t="s">
        <v>4577</v>
      </c>
      <c r="U1721" s="38"/>
      <c r="V1721" s="38"/>
      <c r="W1721" s="38"/>
      <c r="X1721" s="14"/>
      <c r="AI1721" s="53">
        <f>10</f>
        <v>10</v>
      </c>
      <c r="AN1721" s="7" t="s">
        <v>145</v>
      </c>
      <c r="AO1721" s="21">
        <f t="shared" si="86"/>
        <v>10</v>
      </c>
      <c r="AP1721" s="7">
        <f t="shared" si="87"/>
        <v>0</v>
      </c>
      <c r="AQ1721" s="31" t="str">
        <f t="shared" si="88"/>
        <v>Complete - With Adjustment</v>
      </c>
    </row>
    <row r="1722" spans="1:43" x14ac:dyDescent="0.2">
      <c r="A1722" s="46">
        <v>1712</v>
      </c>
      <c r="B1722" s="38" t="s">
        <v>266</v>
      </c>
      <c r="C1722" s="38" t="s">
        <v>364</v>
      </c>
      <c r="D1722" s="38" t="s">
        <v>363</v>
      </c>
      <c r="E1722" s="38" t="s">
        <v>4574</v>
      </c>
      <c r="F1722" s="38" t="s">
        <v>4210</v>
      </c>
      <c r="G1722" s="38" t="s">
        <v>111</v>
      </c>
      <c r="H1722" s="44">
        <v>44048</v>
      </c>
      <c r="I1722" s="44">
        <v>44076</v>
      </c>
      <c r="J1722">
        <v>315</v>
      </c>
      <c r="K1722">
        <v>10</v>
      </c>
      <c r="L1722" t="s">
        <v>4575</v>
      </c>
      <c r="M1722" s="45" t="s">
        <v>97</v>
      </c>
      <c r="N1722" s="38" t="s">
        <v>230</v>
      </c>
      <c r="O1722" s="38" t="s">
        <v>365</v>
      </c>
      <c r="P1722" s="38" t="s">
        <v>42</v>
      </c>
      <c r="Q1722" s="38" t="s">
        <v>55</v>
      </c>
      <c r="R1722" s="38" t="s">
        <v>270</v>
      </c>
      <c r="S1722" s="38" t="s">
        <v>4576</v>
      </c>
      <c r="T1722" s="38" t="s">
        <v>4577</v>
      </c>
      <c r="U1722" s="38"/>
      <c r="V1722" s="38"/>
      <c r="W1722" s="38"/>
      <c r="X1722" s="14"/>
      <c r="AI1722" s="53">
        <f>10</f>
        <v>10</v>
      </c>
      <c r="AN1722" s="7" t="s">
        <v>145</v>
      </c>
      <c r="AO1722" s="21">
        <f t="shared" si="86"/>
        <v>10</v>
      </c>
      <c r="AP1722" s="7">
        <f t="shared" si="87"/>
        <v>0</v>
      </c>
      <c r="AQ1722" s="31" t="str">
        <f t="shared" si="88"/>
        <v>Complete - With Adjustment</v>
      </c>
    </row>
    <row r="1723" spans="1:43" x14ac:dyDescent="0.2">
      <c r="A1723" s="46">
        <v>1713</v>
      </c>
      <c r="B1723" s="38" t="s">
        <v>266</v>
      </c>
      <c r="C1723" s="38" t="s">
        <v>364</v>
      </c>
      <c r="D1723" s="38" t="s">
        <v>363</v>
      </c>
      <c r="E1723" s="38" t="s">
        <v>4574</v>
      </c>
      <c r="F1723" s="38" t="s">
        <v>4210</v>
      </c>
      <c r="G1723" s="38" t="s">
        <v>111</v>
      </c>
      <c r="H1723" s="44">
        <v>44048</v>
      </c>
      <c r="I1723" s="44">
        <v>44076</v>
      </c>
      <c r="J1723">
        <v>315</v>
      </c>
      <c r="K1723">
        <v>10</v>
      </c>
      <c r="L1723" t="s">
        <v>4575</v>
      </c>
      <c r="M1723" s="45" t="s">
        <v>97</v>
      </c>
      <c r="N1723" s="38" t="s">
        <v>230</v>
      </c>
      <c r="O1723" s="38" t="s">
        <v>365</v>
      </c>
      <c r="P1723" s="38" t="s">
        <v>42</v>
      </c>
      <c r="Q1723" s="38" t="s">
        <v>55</v>
      </c>
      <c r="R1723" s="38" t="s">
        <v>270</v>
      </c>
      <c r="S1723" s="38" t="s">
        <v>4576</v>
      </c>
      <c r="T1723" s="38" t="s">
        <v>4577</v>
      </c>
      <c r="U1723" s="38"/>
      <c r="V1723" s="38"/>
      <c r="W1723" s="38"/>
      <c r="X1723" s="14"/>
      <c r="AI1723" s="53">
        <f>10</f>
        <v>10</v>
      </c>
      <c r="AN1723" s="7" t="s">
        <v>145</v>
      </c>
      <c r="AO1723" s="21">
        <f t="shared" si="86"/>
        <v>10</v>
      </c>
      <c r="AP1723" s="7">
        <f t="shared" si="87"/>
        <v>0</v>
      </c>
      <c r="AQ1723" s="31" t="str">
        <f t="shared" si="88"/>
        <v>Complete - With Adjustment</v>
      </c>
    </row>
    <row r="1724" spans="1:43" x14ac:dyDescent="0.2">
      <c r="A1724" s="46">
        <v>1714</v>
      </c>
      <c r="B1724" s="38" t="s">
        <v>266</v>
      </c>
      <c r="C1724" s="38" t="s">
        <v>364</v>
      </c>
      <c r="D1724" s="38" t="s">
        <v>363</v>
      </c>
      <c r="E1724" s="38" t="s">
        <v>4574</v>
      </c>
      <c r="F1724" s="38" t="s">
        <v>4210</v>
      </c>
      <c r="G1724" s="38" t="s">
        <v>111</v>
      </c>
      <c r="H1724" s="44">
        <v>44048</v>
      </c>
      <c r="I1724" s="44">
        <v>44076</v>
      </c>
      <c r="J1724">
        <v>315</v>
      </c>
      <c r="K1724">
        <v>10</v>
      </c>
      <c r="L1724" t="s">
        <v>4575</v>
      </c>
      <c r="M1724" s="45" t="s">
        <v>97</v>
      </c>
      <c r="N1724" s="38" t="s">
        <v>230</v>
      </c>
      <c r="O1724" s="38" t="s">
        <v>365</v>
      </c>
      <c r="P1724" s="38" t="s">
        <v>42</v>
      </c>
      <c r="Q1724" s="38" t="s">
        <v>55</v>
      </c>
      <c r="R1724" s="38" t="s">
        <v>270</v>
      </c>
      <c r="S1724" s="38" t="s">
        <v>4576</v>
      </c>
      <c r="T1724" s="38" t="s">
        <v>4577</v>
      </c>
      <c r="U1724" s="38"/>
      <c r="V1724" s="38"/>
      <c r="W1724" s="38"/>
      <c r="X1724" s="14"/>
      <c r="AI1724" s="53">
        <f>10</f>
        <v>10</v>
      </c>
      <c r="AN1724" s="7" t="s">
        <v>145</v>
      </c>
      <c r="AO1724" s="21">
        <f t="shared" si="86"/>
        <v>10</v>
      </c>
      <c r="AP1724" s="7">
        <f t="shared" si="87"/>
        <v>0</v>
      </c>
      <c r="AQ1724" s="31" t="str">
        <f t="shared" si="88"/>
        <v>Complete - With Adjustment</v>
      </c>
    </row>
    <row r="1725" spans="1:43" x14ac:dyDescent="0.2">
      <c r="A1725" s="46">
        <v>1715</v>
      </c>
      <c r="B1725" s="38" t="s">
        <v>266</v>
      </c>
      <c r="C1725" s="38" t="s">
        <v>364</v>
      </c>
      <c r="D1725" s="38" t="s">
        <v>363</v>
      </c>
      <c r="E1725" s="38" t="s">
        <v>4574</v>
      </c>
      <c r="F1725" s="38" t="s">
        <v>4210</v>
      </c>
      <c r="G1725" s="38" t="s">
        <v>111</v>
      </c>
      <c r="H1725" s="44">
        <v>44048</v>
      </c>
      <c r="I1725" s="44">
        <v>44076</v>
      </c>
      <c r="J1725">
        <v>315</v>
      </c>
      <c r="K1725">
        <v>10</v>
      </c>
      <c r="L1725" t="s">
        <v>4575</v>
      </c>
      <c r="M1725" s="45" t="s">
        <v>97</v>
      </c>
      <c r="N1725" s="38" t="s">
        <v>230</v>
      </c>
      <c r="O1725" s="38" t="s">
        <v>365</v>
      </c>
      <c r="P1725" s="38" t="s">
        <v>42</v>
      </c>
      <c r="Q1725" s="38" t="s">
        <v>55</v>
      </c>
      <c r="R1725" s="38" t="s">
        <v>270</v>
      </c>
      <c r="S1725" s="38" t="s">
        <v>4576</v>
      </c>
      <c r="T1725" s="38" t="s">
        <v>4577</v>
      </c>
      <c r="U1725" s="38"/>
      <c r="V1725" s="38"/>
      <c r="W1725" s="38"/>
      <c r="X1725" s="14"/>
      <c r="AI1725" s="53">
        <f>10</f>
        <v>10</v>
      </c>
      <c r="AN1725" s="7" t="s">
        <v>145</v>
      </c>
      <c r="AO1725" s="21">
        <f t="shared" si="86"/>
        <v>10</v>
      </c>
      <c r="AP1725" s="7">
        <f t="shared" si="87"/>
        <v>0</v>
      </c>
      <c r="AQ1725" s="31" t="str">
        <f t="shared" si="88"/>
        <v>Complete - With Adjustment</v>
      </c>
    </row>
    <row r="1726" spans="1:43" x14ac:dyDescent="0.2">
      <c r="A1726" s="46">
        <v>1716</v>
      </c>
      <c r="B1726" s="38" t="s">
        <v>266</v>
      </c>
      <c r="C1726" s="38" t="s">
        <v>364</v>
      </c>
      <c r="D1726" s="38" t="s">
        <v>363</v>
      </c>
      <c r="E1726" s="38" t="s">
        <v>4574</v>
      </c>
      <c r="F1726" s="38" t="s">
        <v>4210</v>
      </c>
      <c r="G1726" s="38" t="s">
        <v>111</v>
      </c>
      <c r="H1726" s="44">
        <v>44048</v>
      </c>
      <c r="I1726" s="44">
        <v>44076</v>
      </c>
      <c r="J1726">
        <v>315</v>
      </c>
      <c r="K1726">
        <v>10</v>
      </c>
      <c r="L1726" t="s">
        <v>4575</v>
      </c>
      <c r="M1726" s="45" t="s">
        <v>97</v>
      </c>
      <c r="N1726" s="38" t="s">
        <v>230</v>
      </c>
      <c r="O1726" s="38" t="s">
        <v>365</v>
      </c>
      <c r="P1726" s="38" t="s">
        <v>42</v>
      </c>
      <c r="Q1726" s="38" t="s">
        <v>55</v>
      </c>
      <c r="R1726" s="38" t="s">
        <v>270</v>
      </c>
      <c r="S1726" s="38" t="s">
        <v>4576</v>
      </c>
      <c r="T1726" s="38" t="s">
        <v>4577</v>
      </c>
      <c r="U1726" s="38"/>
      <c r="V1726" s="38"/>
      <c r="W1726" s="38"/>
      <c r="X1726" s="14"/>
      <c r="AI1726" s="53">
        <f>10</f>
        <v>10</v>
      </c>
      <c r="AN1726" s="7" t="s">
        <v>145</v>
      </c>
      <c r="AO1726" s="21">
        <f t="shared" si="86"/>
        <v>10</v>
      </c>
      <c r="AP1726" s="7">
        <f t="shared" si="87"/>
        <v>0</v>
      </c>
      <c r="AQ1726" s="31" t="str">
        <f t="shared" si="88"/>
        <v>Complete - With Adjustment</v>
      </c>
    </row>
    <row r="1727" spans="1:43" x14ac:dyDescent="0.2">
      <c r="A1727" s="46">
        <v>1717</v>
      </c>
      <c r="B1727" s="38" t="s">
        <v>266</v>
      </c>
      <c r="C1727" s="38" t="s">
        <v>364</v>
      </c>
      <c r="D1727" s="38" t="s">
        <v>363</v>
      </c>
      <c r="E1727" s="38" t="s">
        <v>4574</v>
      </c>
      <c r="F1727" s="38" t="s">
        <v>4210</v>
      </c>
      <c r="G1727" s="38" t="s">
        <v>111</v>
      </c>
      <c r="H1727" s="44">
        <v>44048</v>
      </c>
      <c r="I1727" s="44">
        <v>44076</v>
      </c>
      <c r="J1727">
        <v>315</v>
      </c>
      <c r="K1727">
        <v>10</v>
      </c>
      <c r="L1727" t="s">
        <v>4575</v>
      </c>
      <c r="M1727" s="45" t="s">
        <v>97</v>
      </c>
      <c r="N1727" s="38" t="s">
        <v>230</v>
      </c>
      <c r="O1727" s="38" t="s">
        <v>365</v>
      </c>
      <c r="P1727" s="38" t="s">
        <v>42</v>
      </c>
      <c r="Q1727" s="38" t="s">
        <v>55</v>
      </c>
      <c r="R1727" s="38" t="s">
        <v>270</v>
      </c>
      <c r="S1727" s="38" t="s">
        <v>4576</v>
      </c>
      <c r="T1727" s="38" t="s">
        <v>4577</v>
      </c>
      <c r="U1727" s="38"/>
      <c r="V1727" s="38"/>
      <c r="W1727" s="38"/>
      <c r="X1727" s="14"/>
      <c r="AI1727" s="53">
        <f>10</f>
        <v>10</v>
      </c>
      <c r="AN1727" s="7" t="s">
        <v>145</v>
      </c>
      <c r="AO1727" s="21">
        <f t="shared" si="86"/>
        <v>10</v>
      </c>
      <c r="AP1727" s="7">
        <f t="shared" si="87"/>
        <v>0</v>
      </c>
      <c r="AQ1727" s="31" t="str">
        <f t="shared" si="88"/>
        <v>Complete - With Adjustment</v>
      </c>
    </row>
    <row r="1728" spans="1:43" x14ac:dyDescent="0.2">
      <c r="A1728" s="46">
        <v>1718</v>
      </c>
      <c r="B1728" s="38" t="s">
        <v>266</v>
      </c>
      <c r="C1728" s="38" t="s">
        <v>364</v>
      </c>
      <c r="D1728" s="38" t="s">
        <v>363</v>
      </c>
      <c r="E1728" s="38" t="s">
        <v>4574</v>
      </c>
      <c r="F1728" s="38" t="s">
        <v>4210</v>
      </c>
      <c r="G1728" s="38" t="s">
        <v>111</v>
      </c>
      <c r="H1728" s="44">
        <v>44048</v>
      </c>
      <c r="I1728" s="44">
        <v>44076</v>
      </c>
      <c r="J1728">
        <v>315</v>
      </c>
      <c r="K1728">
        <v>10</v>
      </c>
      <c r="L1728" t="s">
        <v>4575</v>
      </c>
      <c r="M1728" s="45" t="s">
        <v>97</v>
      </c>
      <c r="N1728" s="38" t="s">
        <v>230</v>
      </c>
      <c r="O1728" s="38" t="s">
        <v>365</v>
      </c>
      <c r="P1728" s="38" t="s">
        <v>42</v>
      </c>
      <c r="Q1728" s="38" t="s">
        <v>55</v>
      </c>
      <c r="R1728" s="38" t="s">
        <v>270</v>
      </c>
      <c r="S1728" s="38" t="s">
        <v>4576</v>
      </c>
      <c r="T1728" s="38" t="s">
        <v>4577</v>
      </c>
      <c r="U1728" s="38"/>
      <c r="V1728" s="38"/>
      <c r="W1728" s="38"/>
      <c r="X1728" s="14"/>
      <c r="AI1728" s="53">
        <f>10</f>
        <v>10</v>
      </c>
      <c r="AN1728" s="7" t="s">
        <v>145</v>
      </c>
      <c r="AO1728" s="21">
        <f t="shared" si="86"/>
        <v>10</v>
      </c>
      <c r="AP1728" s="7">
        <f t="shared" si="87"/>
        <v>0</v>
      </c>
      <c r="AQ1728" s="31" t="str">
        <f t="shared" si="88"/>
        <v>Complete - With Adjustment</v>
      </c>
    </row>
    <row r="1729" spans="1:43" x14ac:dyDescent="0.2">
      <c r="A1729" s="46">
        <v>1719</v>
      </c>
      <c r="B1729" s="38" t="s">
        <v>266</v>
      </c>
      <c r="C1729" s="38" t="s">
        <v>364</v>
      </c>
      <c r="D1729" s="38" t="s">
        <v>363</v>
      </c>
      <c r="E1729" s="38" t="s">
        <v>4574</v>
      </c>
      <c r="F1729" s="38" t="s">
        <v>4210</v>
      </c>
      <c r="G1729" s="38" t="s">
        <v>111</v>
      </c>
      <c r="H1729" s="44">
        <v>44048</v>
      </c>
      <c r="I1729" s="44">
        <v>44076</v>
      </c>
      <c r="J1729">
        <v>315</v>
      </c>
      <c r="K1729">
        <v>10</v>
      </c>
      <c r="L1729" t="s">
        <v>4575</v>
      </c>
      <c r="M1729" s="45" t="s">
        <v>97</v>
      </c>
      <c r="N1729" s="38" t="s">
        <v>230</v>
      </c>
      <c r="O1729" s="38" t="s">
        <v>365</v>
      </c>
      <c r="P1729" s="38" t="s">
        <v>42</v>
      </c>
      <c r="Q1729" s="38" t="s">
        <v>55</v>
      </c>
      <c r="R1729" s="38" t="s">
        <v>270</v>
      </c>
      <c r="S1729" s="38" t="s">
        <v>4576</v>
      </c>
      <c r="T1729" s="38" t="s">
        <v>4577</v>
      </c>
      <c r="U1729" s="38"/>
      <c r="V1729" s="38"/>
      <c r="W1729" s="38"/>
      <c r="X1729" s="14"/>
      <c r="AI1729" s="53">
        <f>10</f>
        <v>10</v>
      </c>
      <c r="AN1729" s="7" t="s">
        <v>145</v>
      </c>
      <c r="AO1729" s="21">
        <f t="shared" si="86"/>
        <v>10</v>
      </c>
      <c r="AP1729" s="7">
        <f t="shared" si="87"/>
        <v>0</v>
      </c>
      <c r="AQ1729" s="31" t="str">
        <f t="shared" si="88"/>
        <v>Complete - With Adjustment</v>
      </c>
    </row>
    <row r="1730" spans="1:43" x14ac:dyDescent="0.2">
      <c r="A1730" s="46">
        <v>1720</v>
      </c>
      <c r="B1730" s="38" t="s">
        <v>266</v>
      </c>
      <c r="C1730" s="38" t="s">
        <v>364</v>
      </c>
      <c r="D1730" s="38" t="s">
        <v>363</v>
      </c>
      <c r="E1730" s="38" t="s">
        <v>4574</v>
      </c>
      <c r="F1730" s="38" t="s">
        <v>4210</v>
      </c>
      <c r="G1730" s="38" t="s">
        <v>111</v>
      </c>
      <c r="H1730" s="44">
        <v>44048</v>
      </c>
      <c r="I1730" s="44">
        <v>44076</v>
      </c>
      <c r="J1730">
        <v>315</v>
      </c>
      <c r="K1730">
        <v>10</v>
      </c>
      <c r="L1730" t="s">
        <v>4575</v>
      </c>
      <c r="M1730" s="45" t="s">
        <v>97</v>
      </c>
      <c r="N1730" s="38" t="s">
        <v>230</v>
      </c>
      <c r="O1730" s="38" t="s">
        <v>365</v>
      </c>
      <c r="P1730" s="38" t="s">
        <v>42</v>
      </c>
      <c r="Q1730" s="38" t="s">
        <v>55</v>
      </c>
      <c r="R1730" s="38" t="s">
        <v>270</v>
      </c>
      <c r="S1730" s="38" t="s">
        <v>4576</v>
      </c>
      <c r="T1730" s="38" t="s">
        <v>4577</v>
      </c>
      <c r="U1730" s="38"/>
      <c r="V1730" s="38"/>
      <c r="W1730" s="38"/>
      <c r="X1730" s="14"/>
      <c r="AI1730" s="53">
        <f>10</f>
        <v>10</v>
      </c>
      <c r="AN1730" s="7" t="s">
        <v>145</v>
      </c>
      <c r="AO1730" s="21">
        <f t="shared" si="86"/>
        <v>10</v>
      </c>
      <c r="AP1730" s="7">
        <f t="shared" si="87"/>
        <v>0</v>
      </c>
      <c r="AQ1730" s="31" t="str">
        <f t="shared" si="88"/>
        <v>Complete - With Adjustment</v>
      </c>
    </row>
    <row r="1731" spans="1:43" x14ac:dyDescent="0.2">
      <c r="A1731" s="46">
        <v>1721</v>
      </c>
      <c r="B1731" s="38" t="s">
        <v>266</v>
      </c>
      <c r="C1731" s="38" t="s">
        <v>364</v>
      </c>
      <c r="D1731" s="38" t="s">
        <v>363</v>
      </c>
      <c r="E1731" s="38" t="s">
        <v>4574</v>
      </c>
      <c r="F1731" s="38" t="s">
        <v>4210</v>
      </c>
      <c r="G1731" s="38" t="s">
        <v>111</v>
      </c>
      <c r="H1731" s="44">
        <v>44048</v>
      </c>
      <c r="I1731" s="44">
        <v>44076</v>
      </c>
      <c r="J1731">
        <v>315</v>
      </c>
      <c r="K1731">
        <v>10</v>
      </c>
      <c r="L1731" t="s">
        <v>4575</v>
      </c>
      <c r="M1731" s="45" t="s">
        <v>97</v>
      </c>
      <c r="N1731" s="38" t="s">
        <v>230</v>
      </c>
      <c r="O1731" s="38" t="s">
        <v>365</v>
      </c>
      <c r="P1731" s="38" t="s">
        <v>42</v>
      </c>
      <c r="Q1731" s="38" t="s">
        <v>55</v>
      </c>
      <c r="R1731" s="38" t="s">
        <v>270</v>
      </c>
      <c r="S1731" s="38" t="s">
        <v>4576</v>
      </c>
      <c r="T1731" s="38" t="s">
        <v>4577</v>
      </c>
      <c r="U1731" s="38"/>
      <c r="V1731" s="38"/>
      <c r="W1731" s="38"/>
      <c r="X1731" s="14"/>
      <c r="AI1731" s="53">
        <f>10</f>
        <v>10</v>
      </c>
      <c r="AN1731" s="7" t="s">
        <v>145</v>
      </c>
      <c r="AO1731" s="21">
        <f t="shared" si="86"/>
        <v>10</v>
      </c>
      <c r="AP1731" s="7">
        <f t="shared" si="87"/>
        <v>0</v>
      </c>
      <c r="AQ1731" s="31" t="str">
        <f t="shared" si="88"/>
        <v>Complete - With Adjustment</v>
      </c>
    </row>
    <row r="1732" spans="1:43" x14ac:dyDescent="0.2">
      <c r="A1732" s="46">
        <v>1722</v>
      </c>
      <c r="B1732" s="38" t="s">
        <v>266</v>
      </c>
      <c r="C1732" s="38" t="s">
        <v>364</v>
      </c>
      <c r="D1732" s="38" t="s">
        <v>363</v>
      </c>
      <c r="E1732" s="38" t="s">
        <v>4574</v>
      </c>
      <c r="F1732" s="38" t="s">
        <v>4210</v>
      </c>
      <c r="G1732" s="38" t="s">
        <v>111</v>
      </c>
      <c r="H1732" s="44">
        <v>44048</v>
      </c>
      <c r="I1732" s="44">
        <v>44076</v>
      </c>
      <c r="J1732">
        <v>315</v>
      </c>
      <c r="K1732">
        <v>10</v>
      </c>
      <c r="L1732" t="s">
        <v>4575</v>
      </c>
      <c r="M1732" s="45" t="s">
        <v>97</v>
      </c>
      <c r="N1732" s="38" t="s">
        <v>230</v>
      </c>
      <c r="O1732" s="38" t="s">
        <v>365</v>
      </c>
      <c r="P1732" s="38" t="s">
        <v>42</v>
      </c>
      <c r="Q1732" s="38" t="s">
        <v>55</v>
      </c>
      <c r="R1732" s="38" t="s">
        <v>270</v>
      </c>
      <c r="S1732" s="38" t="s">
        <v>4576</v>
      </c>
      <c r="T1732" s="38" t="s">
        <v>4577</v>
      </c>
      <c r="U1732" s="38"/>
      <c r="V1732" s="38"/>
      <c r="W1732" s="38"/>
      <c r="X1732" s="14"/>
      <c r="AI1732" s="53">
        <f>10</f>
        <v>10</v>
      </c>
      <c r="AN1732" s="7" t="s">
        <v>145</v>
      </c>
      <c r="AO1732" s="21">
        <f t="shared" si="86"/>
        <v>10</v>
      </c>
      <c r="AP1732" s="7">
        <f t="shared" si="87"/>
        <v>0</v>
      </c>
      <c r="AQ1732" s="31" t="str">
        <f t="shared" si="88"/>
        <v>Complete - With Adjustment</v>
      </c>
    </row>
    <row r="1733" spans="1:43" x14ac:dyDescent="0.2">
      <c r="A1733" s="46">
        <v>1723</v>
      </c>
      <c r="B1733" s="38" t="s">
        <v>266</v>
      </c>
      <c r="C1733" s="38" t="s">
        <v>364</v>
      </c>
      <c r="D1733" s="38" t="s">
        <v>363</v>
      </c>
      <c r="E1733" s="38" t="s">
        <v>4574</v>
      </c>
      <c r="F1733" s="38" t="s">
        <v>4210</v>
      </c>
      <c r="G1733" s="38" t="s">
        <v>111</v>
      </c>
      <c r="H1733" s="44">
        <v>44048</v>
      </c>
      <c r="I1733" s="44">
        <v>44076</v>
      </c>
      <c r="J1733">
        <v>315</v>
      </c>
      <c r="K1733">
        <v>10</v>
      </c>
      <c r="L1733" t="s">
        <v>4575</v>
      </c>
      <c r="M1733" s="45" t="s">
        <v>97</v>
      </c>
      <c r="N1733" s="38" t="s">
        <v>230</v>
      </c>
      <c r="O1733" s="38" t="s">
        <v>365</v>
      </c>
      <c r="P1733" s="38" t="s">
        <v>42</v>
      </c>
      <c r="Q1733" s="38" t="s">
        <v>55</v>
      </c>
      <c r="R1733" s="38" t="s">
        <v>270</v>
      </c>
      <c r="S1733" s="38" t="s">
        <v>4576</v>
      </c>
      <c r="T1733" s="38" t="s">
        <v>4578</v>
      </c>
      <c r="U1733" s="38"/>
      <c r="V1733" s="38"/>
      <c r="W1733" s="38"/>
      <c r="X1733" s="14"/>
      <c r="AI1733" s="53">
        <f>10</f>
        <v>10</v>
      </c>
      <c r="AN1733" s="7" t="s">
        <v>145</v>
      </c>
      <c r="AO1733" s="21">
        <f t="shared" si="86"/>
        <v>10</v>
      </c>
      <c r="AP1733" s="7">
        <f t="shared" si="87"/>
        <v>0</v>
      </c>
      <c r="AQ1733" s="31" t="str">
        <f t="shared" si="88"/>
        <v>Complete - With Adjustment</v>
      </c>
    </row>
    <row r="1734" spans="1:43" x14ac:dyDescent="0.2">
      <c r="A1734" s="46">
        <v>1724</v>
      </c>
      <c r="B1734" s="38" t="s">
        <v>266</v>
      </c>
      <c r="C1734" s="38" t="s">
        <v>364</v>
      </c>
      <c r="D1734" s="38" t="s">
        <v>363</v>
      </c>
      <c r="E1734" s="38" t="s">
        <v>4574</v>
      </c>
      <c r="F1734" s="38" t="s">
        <v>4210</v>
      </c>
      <c r="G1734" s="38" t="s">
        <v>111</v>
      </c>
      <c r="H1734" s="44">
        <v>44048</v>
      </c>
      <c r="I1734" s="44">
        <v>44076</v>
      </c>
      <c r="J1734">
        <v>315</v>
      </c>
      <c r="K1734">
        <v>30</v>
      </c>
      <c r="L1734" t="s">
        <v>4575</v>
      </c>
      <c r="M1734" s="45" t="s">
        <v>97</v>
      </c>
      <c r="N1734" s="38" t="s">
        <v>230</v>
      </c>
      <c r="O1734" s="38" t="s">
        <v>365</v>
      </c>
      <c r="P1734" s="38" t="s">
        <v>42</v>
      </c>
      <c r="Q1734" s="38" t="s">
        <v>55</v>
      </c>
      <c r="R1734" s="38" t="s">
        <v>270</v>
      </c>
      <c r="S1734" s="38" t="s">
        <v>4576</v>
      </c>
      <c r="T1734" s="38" t="s">
        <v>4578</v>
      </c>
      <c r="U1734" s="38"/>
      <c r="V1734" s="38"/>
      <c r="W1734" s="38"/>
      <c r="X1734" s="14"/>
      <c r="AI1734" s="53">
        <f>30</f>
        <v>30</v>
      </c>
      <c r="AN1734" s="7" t="s">
        <v>145</v>
      </c>
      <c r="AO1734" s="21">
        <f t="shared" si="86"/>
        <v>30</v>
      </c>
      <c r="AP1734" s="7">
        <f t="shared" si="87"/>
        <v>0</v>
      </c>
      <c r="AQ1734" s="31" t="str">
        <f t="shared" si="88"/>
        <v>Complete - With Adjustment</v>
      </c>
    </row>
    <row r="1735" spans="1:43" x14ac:dyDescent="0.2">
      <c r="A1735" s="46">
        <v>1725</v>
      </c>
      <c r="B1735" s="38" t="s">
        <v>266</v>
      </c>
      <c r="C1735" s="38" t="s">
        <v>364</v>
      </c>
      <c r="D1735" s="38" t="s">
        <v>363</v>
      </c>
      <c r="E1735" s="38" t="s">
        <v>4574</v>
      </c>
      <c r="F1735" s="38" t="s">
        <v>4210</v>
      </c>
      <c r="G1735" s="38" t="s">
        <v>111</v>
      </c>
      <c r="H1735" s="44">
        <v>44048</v>
      </c>
      <c r="I1735" s="44">
        <v>44076</v>
      </c>
      <c r="J1735">
        <v>315</v>
      </c>
      <c r="K1735">
        <v>20</v>
      </c>
      <c r="L1735" t="s">
        <v>4575</v>
      </c>
      <c r="M1735" s="45" t="s">
        <v>97</v>
      </c>
      <c r="N1735" s="38" t="s">
        <v>230</v>
      </c>
      <c r="O1735" s="38" t="s">
        <v>365</v>
      </c>
      <c r="P1735" s="38" t="s">
        <v>42</v>
      </c>
      <c r="Q1735" s="38" t="s">
        <v>55</v>
      </c>
      <c r="R1735" s="38" t="s">
        <v>270</v>
      </c>
      <c r="S1735" s="38" t="s">
        <v>4576</v>
      </c>
      <c r="T1735" s="38" t="s">
        <v>4579</v>
      </c>
      <c r="U1735" s="38"/>
      <c r="V1735" s="38"/>
      <c r="W1735" s="38"/>
      <c r="X1735" s="14"/>
      <c r="AI1735" s="53">
        <f>20</f>
        <v>20</v>
      </c>
      <c r="AN1735" s="7" t="s">
        <v>145</v>
      </c>
      <c r="AO1735" s="21">
        <f t="shared" si="86"/>
        <v>20</v>
      </c>
      <c r="AP1735" s="7">
        <f t="shared" si="87"/>
        <v>0</v>
      </c>
      <c r="AQ1735" s="31" t="str">
        <f t="shared" si="88"/>
        <v>Complete - With Adjustment</v>
      </c>
    </row>
    <row r="1736" spans="1:43" x14ac:dyDescent="0.2">
      <c r="A1736" s="46">
        <v>1726</v>
      </c>
      <c r="B1736" s="38" t="s">
        <v>266</v>
      </c>
      <c r="C1736" s="38" t="s">
        <v>364</v>
      </c>
      <c r="D1736" s="38" t="s">
        <v>363</v>
      </c>
      <c r="E1736" s="38" t="s">
        <v>4574</v>
      </c>
      <c r="F1736" s="38" t="s">
        <v>4210</v>
      </c>
      <c r="G1736" s="38" t="s">
        <v>111</v>
      </c>
      <c r="H1736" s="44">
        <v>44048</v>
      </c>
      <c r="I1736" s="44">
        <v>44076</v>
      </c>
      <c r="J1736">
        <v>315</v>
      </c>
      <c r="K1736">
        <v>10</v>
      </c>
      <c r="L1736" t="s">
        <v>4575</v>
      </c>
      <c r="M1736" s="45" t="s">
        <v>97</v>
      </c>
      <c r="N1736" s="38" t="s">
        <v>230</v>
      </c>
      <c r="O1736" s="38" t="s">
        <v>365</v>
      </c>
      <c r="P1736" s="38" t="s">
        <v>42</v>
      </c>
      <c r="Q1736" s="38" t="s">
        <v>55</v>
      </c>
      <c r="R1736" s="38" t="s">
        <v>270</v>
      </c>
      <c r="S1736" s="38" t="s">
        <v>4576</v>
      </c>
      <c r="T1736" s="38" t="s">
        <v>4577</v>
      </c>
      <c r="U1736" s="38"/>
      <c r="V1736" s="38"/>
      <c r="W1736" s="38"/>
      <c r="X1736" s="14"/>
      <c r="AI1736" s="53">
        <f>10</f>
        <v>10</v>
      </c>
      <c r="AN1736" s="7" t="s">
        <v>145</v>
      </c>
      <c r="AO1736" s="21">
        <f t="shared" si="86"/>
        <v>10</v>
      </c>
      <c r="AP1736" s="7">
        <f t="shared" si="87"/>
        <v>0</v>
      </c>
      <c r="AQ1736" s="31" t="str">
        <f t="shared" si="88"/>
        <v>Complete - With Adjustment</v>
      </c>
    </row>
    <row r="1737" spans="1:43" x14ac:dyDescent="0.2">
      <c r="A1737" s="46">
        <v>1727</v>
      </c>
      <c r="B1737" s="38" t="s">
        <v>266</v>
      </c>
      <c r="C1737" s="38" t="s">
        <v>364</v>
      </c>
      <c r="D1737" s="38" t="s">
        <v>363</v>
      </c>
      <c r="E1737" s="38" t="s">
        <v>4574</v>
      </c>
      <c r="F1737" s="38" t="s">
        <v>4210</v>
      </c>
      <c r="G1737" s="38" t="s">
        <v>111</v>
      </c>
      <c r="H1737" s="44">
        <v>44048</v>
      </c>
      <c r="I1737" s="44">
        <v>44076</v>
      </c>
      <c r="J1737">
        <v>315</v>
      </c>
      <c r="K1737">
        <v>10</v>
      </c>
      <c r="L1737" t="s">
        <v>4575</v>
      </c>
      <c r="M1737" s="45" t="s">
        <v>97</v>
      </c>
      <c r="N1737" s="38" t="s">
        <v>230</v>
      </c>
      <c r="O1737" s="38" t="s">
        <v>365</v>
      </c>
      <c r="P1737" s="38" t="s">
        <v>42</v>
      </c>
      <c r="Q1737" s="38" t="s">
        <v>55</v>
      </c>
      <c r="R1737" s="38" t="s">
        <v>270</v>
      </c>
      <c r="S1737" s="38" t="s">
        <v>4576</v>
      </c>
      <c r="T1737" s="38" t="s">
        <v>4577</v>
      </c>
      <c r="U1737" s="38"/>
      <c r="V1737" s="38"/>
      <c r="W1737" s="38"/>
      <c r="X1737" s="14"/>
      <c r="AI1737" s="53">
        <f>10</f>
        <v>10</v>
      </c>
      <c r="AN1737" s="7" t="s">
        <v>145</v>
      </c>
      <c r="AO1737" s="21">
        <f t="shared" si="86"/>
        <v>10</v>
      </c>
      <c r="AP1737" s="7">
        <f t="shared" si="87"/>
        <v>0</v>
      </c>
      <c r="AQ1737" s="31" t="str">
        <f t="shared" si="88"/>
        <v>Complete - With Adjustment</v>
      </c>
    </row>
    <row r="1738" spans="1:43" x14ac:dyDescent="0.2">
      <c r="A1738" s="46">
        <v>1728</v>
      </c>
      <c r="B1738" s="38" t="s">
        <v>266</v>
      </c>
      <c r="C1738" s="38" t="s">
        <v>364</v>
      </c>
      <c r="D1738" s="38" t="s">
        <v>363</v>
      </c>
      <c r="E1738" s="38" t="s">
        <v>4574</v>
      </c>
      <c r="F1738" s="38" t="s">
        <v>4210</v>
      </c>
      <c r="G1738" s="38" t="s">
        <v>111</v>
      </c>
      <c r="H1738" s="44">
        <v>44048</v>
      </c>
      <c r="I1738" s="44">
        <v>44076</v>
      </c>
      <c r="J1738">
        <v>315</v>
      </c>
      <c r="K1738">
        <v>10</v>
      </c>
      <c r="L1738" t="s">
        <v>4575</v>
      </c>
      <c r="M1738" s="45" t="s">
        <v>97</v>
      </c>
      <c r="N1738" s="38" t="s">
        <v>230</v>
      </c>
      <c r="O1738" s="38" t="s">
        <v>365</v>
      </c>
      <c r="P1738" s="38" t="s">
        <v>42</v>
      </c>
      <c r="Q1738" s="38" t="s">
        <v>55</v>
      </c>
      <c r="R1738" s="38" t="s">
        <v>270</v>
      </c>
      <c r="S1738" s="38" t="s">
        <v>4576</v>
      </c>
      <c r="T1738" s="38" t="s">
        <v>4577</v>
      </c>
      <c r="U1738" s="38"/>
      <c r="V1738" s="38"/>
      <c r="W1738" s="38"/>
      <c r="X1738" s="14"/>
      <c r="AI1738" s="53">
        <f>10</f>
        <v>10</v>
      </c>
      <c r="AN1738" s="7" t="s">
        <v>145</v>
      </c>
      <c r="AO1738" s="21">
        <f t="shared" ref="AO1738:AO1801" si="89">SUM(Y1738:AL1738)</f>
        <v>10</v>
      </c>
      <c r="AP1738" s="7">
        <f t="shared" ref="AP1738:AP1801" si="90">K1738-AO1738</f>
        <v>0</v>
      </c>
      <c r="AQ1738" s="31" t="str">
        <f t="shared" si="88"/>
        <v>Complete - With Adjustment</v>
      </c>
    </row>
    <row r="1739" spans="1:43" x14ac:dyDescent="0.2">
      <c r="A1739" s="46">
        <v>1729</v>
      </c>
      <c r="B1739" s="38" t="s">
        <v>266</v>
      </c>
      <c r="C1739" s="38" t="s">
        <v>364</v>
      </c>
      <c r="D1739" s="38" t="s">
        <v>363</v>
      </c>
      <c r="E1739" s="38" t="s">
        <v>4574</v>
      </c>
      <c r="F1739" s="38" t="s">
        <v>4210</v>
      </c>
      <c r="G1739" s="38" t="s">
        <v>111</v>
      </c>
      <c r="H1739" s="44">
        <v>44048</v>
      </c>
      <c r="I1739" s="44">
        <v>44076</v>
      </c>
      <c r="J1739">
        <v>315</v>
      </c>
      <c r="K1739">
        <v>10</v>
      </c>
      <c r="L1739" t="s">
        <v>4575</v>
      </c>
      <c r="M1739" s="45" t="s">
        <v>97</v>
      </c>
      <c r="N1739" s="38" t="s">
        <v>230</v>
      </c>
      <c r="O1739" s="38" t="s">
        <v>365</v>
      </c>
      <c r="P1739" s="38" t="s">
        <v>42</v>
      </c>
      <c r="Q1739" s="38" t="s">
        <v>55</v>
      </c>
      <c r="R1739" s="38" t="s">
        <v>270</v>
      </c>
      <c r="S1739" s="38" t="s">
        <v>4576</v>
      </c>
      <c r="T1739" s="38" t="s">
        <v>4577</v>
      </c>
      <c r="U1739" s="38"/>
      <c r="V1739" s="38"/>
      <c r="W1739" s="38"/>
      <c r="X1739" s="14"/>
      <c r="AI1739" s="53">
        <f>10</f>
        <v>10</v>
      </c>
      <c r="AN1739" s="7" t="s">
        <v>145</v>
      </c>
      <c r="AO1739" s="21">
        <f t="shared" si="89"/>
        <v>10</v>
      </c>
      <c r="AP1739" s="7">
        <f t="shared" si="90"/>
        <v>0</v>
      </c>
      <c r="AQ1739" s="31" t="str">
        <f t="shared" si="88"/>
        <v>Complete - With Adjustment</v>
      </c>
    </row>
    <row r="1740" spans="1:43" x14ac:dyDescent="0.2">
      <c r="A1740" s="46">
        <v>1730</v>
      </c>
      <c r="B1740" s="38" t="s">
        <v>266</v>
      </c>
      <c r="C1740" s="38" t="s">
        <v>364</v>
      </c>
      <c r="D1740" s="38" t="s">
        <v>363</v>
      </c>
      <c r="E1740" s="38" t="s">
        <v>4574</v>
      </c>
      <c r="F1740" s="38" t="s">
        <v>4210</v>
      </c>
      <c r="G1740" s="38" t="s">
        <v>111</v>
      </c>
      <c r="H1740" s="44">
        <v>44048</v>
      </c>
      <c r="I1740" s="44">
        <v>44076</v>
      </c>
      <c r="J1740">
        <v>315</v>
      </c>
      <c r="K1740">
        <v>15</v>
      </c>
      <c r="L1740" t="s">
        <v>4575</v>
      </c>
      <c r="M1740" s="45" t="s">
        <v>98</v>
      </c>
      <c r="N1740" s="38" t="s">
        <v>230</v>
      </c>
      <c r="O1740" s="38" t="s">
        <v>365</v>
      </c>
      <c r="P1740" s="38" t="s">
        <v>60</v>
      </c>
      <c r="Q1740" s="38" t="s">
        <v>41</v>
      </c>
      <c r="R1740" s="38" t="s">
        <v>270</v>
      </c>
      <c r="S1740" s="38" t="s">
        <v>4576</v>
      </c>
      <c r="T1740" s="38" t="s">
        <v>4580</v>
      </c>
      <c r="U1740" s="38"/>
      <c r="V1740" s="38"/>
      <c r="W1740" s="38"/>
      <c r="X1740" s="14"/>
      <c r="AN1740" s="7" t="s">
        <v>155</v>
      </c>
      <c r="AO1740" s="21">
        <f t="shared" si="89"/>
        <v>0</v>
      </c>
      <c r="AP1740" s="7">
        <f t="shared" si="90"/>
        <v>15</v>
      </c>
      <c r="AQ1740" s="31" t="str">
        <f t="shared" si="88"/>
        <v>Complete - No Adjustment</v>
      </c>
    </row>
    <row r="1741" spans="1:43" x14ac:dyDescent="0.2">
      <c r="A1741" s="46">
        <v>1731</v>
      </c>
      <c r="B1741" s="38" t="s">
        <v>266</v>
      </c>
      <c r="C1741" s="38" t="s">
        <v>364</v>
      </c>
      <c r="D1741" s="38" t="s">
        <v>363</v>
      </c>
      <c r="E1741" s="38" t="s">
        <v>4574</v>
      </c>
      <c r="F1741" s="38" t="s">
        <v>4210</v>
      </c>
      <c r="G1741" s="38" t="s">
        <v>111</v>
      </c>
      <c r="H1741" s="44">
        <v>44048</v>
      </c>
      <c r="I1741" s="44">
        <v>44076</v>
      </c>
      <c r="J1741">
        <v>315</v>
      </c>
      <c r="K1741">
        <v>10</v>
      </c>
      <c r="L1741" t="s">
        <v>4575</v>
      </c>
      <c r="M1741" s="45" t="s">
        <v>97</v>
      </c>
      <c r="N1741" s="38" t="s">
        <v>230</v>
      </c>
      <c r="O1741" s="38" t="s">
        <v>365</v>
      </c>
      <c r="P1741" s="38" t="s">
        <v>42</v>
      </c>
      <c r="Q1741" s="38" t="s">
        <v>55</v>
      </c>
      <c r="R1741" s="38" t="s">
        <v>270</v>
      </c>
      <c r="S1741" s="38" t="s">
        <v>4576</v>
      </c>
      <c r="T1741" s="38" t="s">
        <v>4577</v>
      </c>
      <c r="U1741" s="38"/>
      <c r="V1741" s="38"/>
      <c r="W1741" s="38"/>
      <c r="X1741" s="14"/>
      <c r="AI1741" s="53">
        <f>10</f>
        <v>10</v>
      </c>
      <c r="AN1741" s="7" t="s">
        <v>145</v>
      </c>
      <c r="AO1741" s="21">
        <f t="shared" si="89"/>
        <v>10</v>
      </c>
      <c r="AP1741" s="7">
        <f t="shared" si="90"/>
        <v>0</v>
      </c>
      <c r="AQ1741" s="31" t="str">
        <f t="shared" si="88"/>
        <v>Complete - With Adjustment</v>
      </c>
    </row>
    <row r="1742" spans="1:43" x14ac:dyDescent="0.2">
      <c r="A1742" s="46">
        <v>1732</v>
      </c>
      <c r="B1742" s="38" t="s">
        <v>266</v>
      </c>
      <c r="C1742" s="38" t="s">
        <v>364</v>
      </c>
      <c r="D1742" s="38" t="s">
        <v>363</v>
      </c>
      <c r="E1742" s="38" t="s">
        <v>4574</v>
      </c>
      <c r="F1742" s="38" t="s">
        <v>4210</v>
      </c>
      <c r="G1742" s="38" t="s">
        <v>111</v>
      </c>
      <c r="H1742" s="44">
        <v>44048</v>
      </c>
      <c r="I1742" s="44">
        <v>44076</v>
      </c>
      <c r="J1742">
        <v>315</v>
      </c>
      <c r="K1742">
        <v>10</v>
      </c>
      <c r="L1742" t="s">
        <v>4575</v>
      </c>
      <c r="M1742" s="45" t="s">
        <v>97</v>
      </c>
      <c r="N1742" s="38" t="s">
        <v>230</v>
      </c>
      <c r="O1742" s="38" t="s">
        <v>365</v>
      </c>
      <c r="P1742" s="38" t="s">
        <v>42</v>
      </c>
      <c r="Q1742" s="38" t="s">
        <v>55</v>
      </c>
      <c r="R1742" s="38" t="s">
        <v>270</v>
      </c>
      <c r="S1742" s="38" t="s">
        <v>4576</v>
      </c>
      <c r="T1742" s="38" t="s">
        <v>4577</v>
      </c>
      <c r="U1742" s="38"/>
      <c r="V1742" s="38"/>
      <c r="W1742" s="38"/>
      <c r="X1742" s="14"/>
      <c r="AI1742" s="53">
        <f>10</f>
        <v>10</v>
      </c>
      <c r="AN1742" s="7" t="s">
        <v>145</v>
      </c>
      <c r="AO1742" s="21">
        <f t="shared" si="89"/>
        <v>10</v>
      </c>
      <c r="AP1742" s="7">
        <f t="shared" si="90"/>
        <v>0</v>
      </c>
      <c r="AQ1742" s="31" t="str">
        <f t="shared" si="88"/>
        <v>Complete - With Adjustment</v>
      </c>
    </row>
    <row r="1743" spans="1:43" x14ac:dyDescent="0.2">
      <c r="A1743" s="46">
        <v>1733</v>
      </c>
      <c r="B1743" s="38" t="s">
        <v>266</v>
      </c>
      <c r="C1743" s="38" t="s">
        <v>364</v>
      </c>
      <c r="D1743" s="38" t="s">
        <v>363</v>
      </c>
      <c r="E1743" s="38" t="s">
        <v>4574</v>
      </c>
      <c r="F1743" s="38" t="s">
        <v>4210</v>
      </c>
      <c r="G1743" s="38" t="s">
        <v>111</v>
      </c>
      <c r="H1743" s="44">
        <v>44048</v>
      </c>
      <c r="I1743" s="44">
        <v>44076</v>
      </c>
      <c r="J1743">
        <v>315</v>
      </c>
      <c r="K1743">
        <v>10</v>
      </c>
      <c r="L1743" t="s">
        <v>4575</v>
      </c>
      <c r="M1743" s="45" t="s">
        <v>97</v>
      </c>
      <c r="N1743" s="38" t="s">
        <v>230</v>
      </c>
      <c r="O1743" s="38" t="s">
        <v>365</v>
      </c>
      <c r="P1743" s="38" t="s">
        <v>42</v>
      </c>
      <c r="Q1743" s="38" t="s">
        <v>55</v>
      </c>
      <c r="R1743" s="38" t="s">
        <v>270</v>
      </c>
      <c r="S1743" s="38" t="s">
        <v>4576</v>
      </c>
      <c r="T1743" s="38" t="s">
        <v>4577</v>
      </c>
      <c r="U1743" s="38"/>
      <c r="V1743" s="38"/>
      <c r="W1743" s="38"/>
      <c r="X1743" s="14"/>
      <c r="AI1743" s="53">
        <f>10</f>
        <v>10</v>
      </c>
      <c r="AN1743" s="7" t="s">
        <v>145</v>
      </c>
      <c r="AO1743" s="21">
        <f t="shared" si="89"/>
        <v>10</v>
      </c>
      <c r="AP1743" s="7">
        <f t="shared" si="90"/>
        <v>0</v>
      </c>
      <c r="AQ1743" s="31" t="str">
        <f t="shared" si="88"/>
        <v>Complete - With Adjustment</v>
      </c>
    </row>
    <row r="1744" spans="1:43" x14ac:dyDescent="0.2">
      <c r="A1744" s="46">
        <v>1734</v>
      </c>
      <c r="B1744" s="38" t="s">
        <v>266</v>
      </c>
      <c r="C1744" s="38" t="s">
        <v>524</v>
      </c>
      <c r="D1744" s="38" t="s">
        <v>523</v>
      </c>
      <c r="E1744" s="38" t="s">
        <v>4581</v>
      </c>
      <c r="F1744" s="38" t="s">
        <v>4261</v>
      </c>
      <c r="G1744" s="38" t="s">
        <v>111</v>
      </c>
      <c r="H1744" s="44">
        <v>44092</v>
      </c>
      <c r="I1744" s="44">
        <v>44104</v>
      </c>
      <c r="J1744">
        <v>15</v>
      </c>
      <c r="K1744">
        <v>15</v>
      </c>
      <c r="L1744" t="s">
        <v>4582</v>
      </c>
      <c r="M1744" s="45" t="s">
        <v>98</v>
      </c>
      <c r="N1744" s="38" t="s">
        <v>230</v>
      </c>
      <c r="O1744" s="38" t="s">
        <v>404</v>
      </c>
      <c r="P1744" s="38" t="s">
        <v>60</v>
      </c>
      <c r="Q1744" s="38" t="s">
        <v>41</v>
      </c>
      <c r="R1744" s="38" t="s">
        <v>270</v>
      </c>
      <c r="S1744" s="38" t="s">
        <v>4583</v>
      </c>
      <c r="T1744" s="38" t="s">
        <v>4584</v>
      </c>
      <c r="U1744" s="38"/>
      <c r="V1744" s="38"/>
      <c r="W1744" s="38"/>
      <c r="X1744" s="14"/>
      <c r="AN1744" s="7" t="s">
        <v>4219</v>
      </c>
      <c r="AO1744" s="21">
        <f t="shared" si="89"/>
        <v>0</v>
      </c>
      <c r="AP1744" s="7">
        <f t="shared" si="90"/>
        <v>15</v>
      </c>
      <c r="AQ1744" s="31" t="str">
        <f t="shared" si="88"/>
        <v>Complete - No Adjustment</v>
      </c>
    </row>
    <row r="1745" spans="1:43" x14ac:dyDescent="0.2">
      <c r="A1745" s="46">
        <v>1735</v>
      </c>
      <c r="B1745" s="38" t="s">
        <v>266</v>
      </c>
      <c r="C1745" s="38" t="s">
        <v>648</v>
      </c>
      <c r="D1745" s="38" t="s">
        <v>647</v>
      </c>
      <c r="E1745" s="38" t="s">
        <v>4585</v>
      </c>
      <c r="F1745" s="38" t="s">
        <v>4210</v>
      </c>
      <c r="G1745" s="38" t="s">
        <v>111</v>
      </c>
      <c r="H1745" s="44">
        <v>44069</v>
      </c>
      <c r="I1745" s="44">
        <v>44076</v>
      </c>
      <c r="J1745">
        <v>130.16999999999999</v>
      </c>
      <c r="K1745">
        <v>19.04</v>
      </c>
      <c r="L1745" t="s">
        <v>4586</v>
      </c>
      <c r="M1745" s="45" t="s">
        <v>98</v>
      </c>
      <c r="N1745" s="38" t="s">
        <v>230</v>
      </c>
      <c r="O1745" s="38" t="s">
        <v>784</v>
      </c>
      <c r="P1745" s="38" t="s">
        <v>60</v>
      </c>
      <c r="Q1745" s="38" t="s">
        <v>62</v>
      </c>
      <c r="R1745" s="38" t="s">
        <v>270</v>
      </c>
      <c r="S1745" s="38" t="s">
        <v>4587</v>
      </c>
      <c r="T1745" s="38" t="s">
        <v>4588</v>
      </c>
      <c r="U1745" s="38"/>
      <c r="V1745" s="38"/>
      <c r="W1745" s="38"/>
      <c r="X1745" s="14"/>
      <c r="AN1745" s="7" t="s">
        <v>70</v>
      </c>
      <c r="AO1745" s="21">
        <f t="shared" si="89"/>
        <v>0</v>
      </c>
      <c r="AP1745" s="7">
        <f t="shared" si="90"/>
        <v>19.04</v>
      </c>
      <c r="AQ1745" s="31" t="str">
        <f t="shared" ref="AQ1745:AQ1808" si="91">IF(AO1745&lt;&gt;0,"Complete - With Adjustment","Complete - No Adjustment")</f>
        <v>Complete - No Adjustment</v>
      </c>
    </row>
    <row r="1746" spans="1:43" x14ac:dyDescent="0.2">
      <c r="A1746" s="46">
        <v>1736</v>
      </c>
      <c r="B1746" s="38" t="s">
        <v>266</v>
      </c>
      <c r="C1746" s="38" t="s">
        <v>648</v>
      </c>
      <c r="D1746" s="38" t="s">
        <v>647</v>
      </c>
      <c r="E1746" s="38" t="s">
        <v>4585</v>
      </c>
      <c r="F1746" s="38" t="s">
        <v>4210</v>
      </c>
      <c r="G1746" s="38" t="s">
        <v>111</v>
      </c>
      <c r="H1746" s="44">
        <v>44069</v>
      </c>
      <c r="I1746" s="44">
        <v>44076</v>
      </c>
      <c r="J1746">
        <v>130.16999999999999</v>
      </c>
      <c r="K1746">
        <v>48.99</v>
      </c>
      <c r="L1746" t="s">
        <v>4586</v>
      </c>
      <c r="M1746" s="45" t="s">
        <v>98</v>
      </c>
      <c r="N1746" s="38" t="s">
        <v>230</v>
      </c>
      <c r="O1746" s="38" t="s">
        <v>784</v>
      </c>
      <c r="P1746" s="38" t="s">
        <v>60</v>
      </c>
      <c r="Q1746" s="38" t="s">
        <v>104</v>
      </c>
      <c r="R1746" s="38" t="s">
        <v>270</v>
      </c>
      <c r="S1746" s="38" t="s">
        <v>4587</v>
      </c>
      <c r="T1746" s="38" t="s">
        <v>4589</v>
      </c>
      <c r="U1746" s="38"/>
      <c r="V1746" s="38"/>
      <c r="W1746" s="38"/>
      <c r="X1746" s="14"/>
      <c r="AN1746" s="7" t="s">
        <v>70</v>
      </c>
      <c r="AO1746" s="21">
        <f t="shared" si="89"/>
        <v>0</v>
      </c>
      <c r="AP1746" s="7">
        <f t="shared" si="90"/>
        <v>48.99</v>
      </c>
      <c r="AQ1746" s="31" t="str">
        <f t="shared" si="91"/>
        <v>Complete - No Adjustment</v>
      </c>
    </row>
    <row r="1747" spans="1:43" x14ac:dyDescent="0.2">
      <c r="A1747" s="46">
        <v>1737</v>
      </c>
      <c r="B1747" s="38" t="s">
        <v>266</v>
      </c>
      <c r="C1747" s="38" t="s">
        <v>648</v>
      </c>
      <c r="D1747" s="38" t="s">
        <v>647</v>
      </c>
      <c r="E1747" s="38" t="s">
        <v>4585</v>
      </c>
      <c r="F1747" s="38" t="s">
        <v>4210</v>
      </c>
      <c r="G1747" s="38" t="s">
        <v>111</v>
      </c>
      <c r="H1747" s="44">
        <v>44069</v>
      </c>
      <c r="I1747" s="44">
        <v>44076</v>
      </c>
      <c r="J1747">
        <v>130.16999999999999</v>
      </c>
      <c r="K1747">
        <v>62.14</v>
      </c>
      <c r="L1747" t="s">
        <v>4586</v>
      </c>
      <c r="M1747" s="45" t="s">
        <v>98</v>
      </c>
      <c r="N1747" s="38" t="s">
        <v>230</v>
      </c>
      <c r="O1747" s="38" t="s">
        <v>784</v>
      </c>
      <c r="P1747" s="38" t="s">
        <v>60</v>
      </c>
      <c r="Q1747" s="38" t="s">
        <v>62</v>
      </c>
      <c r="R1747" s="38" t="s">
        <v>270</v>
      </c>
      <c r="S1747" s="38" t="s">
        <v>4587</v>
      </c>
      <c r="T1747" s="38" t="s">
        <v>4590</v>
      </c>
      <c r="U1747" s="38"/>
      <c r="V1747" s="38"/>
      <c r="W1747" s="38"/>
      <c r="X1747" s="14"/>
      <c r="AN1747" s="7" t="s">
        <v>155</v>
      </c>
      <c r="AO1747" s="21">
        <f t="shared" si="89"/>
        <v>0</v>
      </c>
      <c r="AP1747" s="7">
        <f t="shared" si="90"/>
        <v>62.14</v>
      </c>
      <c r="AQ1747" s="31" t="str">
        <f t="shared" si="91"/>
        <v>Complete - No Adjustment</v>
      </c>
    </row>
    <row r="1748" spans="1:43" x14ac:dyDescent="0.2">
      <c r="A1748" s="46">
        <v>1738</v>
      </c>
      <c r="B1748" s="38" t="s">
        <v>266</v>
      </c>
      <c r="C1748" s="38" t="s">
        <v>528</v>
      </c>
      <c r="D1748" s="38" t="s">
        <v>527</v>
      </c>
      <c r="E1748" s="38" t="s">
        <v>4591</v>
      </c>
      <c r="F1748" s="38" t="s">
        <v>4358</v>
      </c>
      <c r="G1748" s="38" t="s">
        <v>111</v>
      </c>
      <c r="H1748" s="44">
        <v>44096</v>
      </c>
      <c r="I1748" s="44">
        <v>44098</v>
      </c>
      <c r="J1748">
        <v>13.89</v>
      </c>
      <c r="K1748">
        <v>13.89</v>
      </c>
      <c r="L1748" t="s">
        <v>4592</v>
      </c>
      <c r="M1748" s="45" t="s">
        <v>98</v>
      </c>
      <c r="N1748" s="38" t="s">
        <v>230</v>
      </c>
      <c r="O1748" s="38" t="s">
        <v>292</v>
      </c>
      <c r="P1748" s="38" t="s">
        <v>60</v>
      </c>
      <c r="Q1748" s="38" t="s">
        <v>41</v>
      </c>
      <c r="R1748" s="38" t="s">
        <v>270</v>
      </c>
      <c r="S1748" s="38" t="s">
        <v>4593</v>
      </c>
      <c r="T1748" s="38" t="s">
        <v>4594</v>
      </c>
      <c r="U1748" s="38"/>
      <c r="V1748" s="38"/>
      <c r="W1748" s="38"/>
      <c r="X1748" s="14"/>
      <c r="AN1748" s="7" t="s">
        <v>4219</v>
      </c>
      <c r="AO1748" s="21">
        <f t="shared" si="89"/>
        <v>0</v>
      </c>
      <c r="AP1748" s="7">
        <f t="shared" si="90"/>
        <v>13.89</v>
      </c>
      <c r="AQ1748" s="31" t="str">
        <f t="shared" si="91"/>
        <v>Complete - No Adjustment</v>
      </c>
    </row>
    <row r="1749" spans="1:43" x14ac:dyDescent="0.2">
      <c r="A1749" s="46">
        <v>1739</v>
      </c>
      <c r="B1749" s="38" t="s">
        <v>266</v>
      </c>
      <c r="C1749" s="38" t="s">
        <v>528</v>
      </c>
      <c r="D1749" s="38" t="s">
        <v>527</v>
      </c>
      <c r="E1749" s="38" t="s">
        <v>4595</v>
      </c>
      <c r="F1749" s="38" t="s">
        <v>4358</v>
      </c>
      <c r="G1749" s="38" t="s">
        <v>111</v>
      </c>
      <c r="H1749" s="44">
        <v>44096</v>
      </c>
      <c r="I1749" s="44">
        <v>44098</v>
      </c>
      <c r="J1749">
        <v>169</v>
      </c>
      <c r="K1749">
        <v>169</v>
      </c>
      <c r="L1749" t="s">
        <v>4596</v>
      </c>
      <c r="M1749" s="45" t="s">
        <v>98</v>
      </c>
      <c r="N1749" s="38" t="s">
        <v>230</v>
      </c>
      <c r="O1749" s="38" t="s">
        <v>292</v>
      </c>
      <c r="P1749" s="38" t="s">
        <v>60</v>
      </c>
      <c r="Q1749" s="38" t="s">
        <v>56</v>
      </c>
      <c r="R1749" s="38" t="s">
        <v>270</v>
      </c>
      <c r="S1749" s="38" t="s">
        <v>4597</v>
      </c>
      <c r="T1749" s="38" t="s">
        <v>4598</v>
      </c>
      <c r="U1749" s="38"/>
      <c r="V1749" s="38"/>
      <c r="W1749" s="38"/>
      <c r="X1749" s="14"/>
      <c r="AN1749" s="7" t="s">
        <v>70</v>
      </c>
      <c r="AO1749" s="21">
        <f t="shared" si="89"/>
        <v>0</v>
      </c>
      <c r="AP1749" s="7">
        <f t="shared" si="90"/>
        <v>169</v>
      </c>
      <c r="AQ1749" s="31" t="str">
        <f t="shared" si="91"/>
        <v>Complete - No Adjustment</v>
      </c>
    </row>
    <row r="1750" spans="1:43" x14ac:dyDescent="0.2">
      <c r="A1750" s="46">
        <v>1740</v>
      </c>
      <c r="B1750" s="38" t="s">
        <v>266</v>
      </c>
      <c r="C1750" s="38" t="s">
        <v>2357</v>
      </c>
      <c r="D1750" s="38" t="s">
        <v>2358</v>
      </c>
      <c r="E1750" s="38" t="s">
        <v>4599</v>
      </c>
      <c r="F1750" s="38" t="s">
        <v>4215</v>
      </c>
      <c r="G1750" s="38" t="s">
        <v>111</v>
      </c>
      <c r="H1750" s="44">
        <v>44090</v>
      </c>
      <c r="I1750" s="44">
        <v>44096</v>
      </c>
      <c r="J1750">
        <v>14.92</v>
      </c>
      <c r="K1750">
        <v>14.92</v>
      </c>
      <c r="L1750" t="s">
        <v>4600</v>
      </c>
      <c r="M1750" s="45" t="s">
        <v>98</v>
      </c>
      <c r="N1750" s="38" t="s">
        <v>230</v>
      </c>
      <c r="O1750" s="38" t="s">
        <v>397</v>
      </c>
      <c r="P1750" s="38" t="s">
        <v>60</v>
      </c>
      <c r="Q1750" s="38" t="s">
        <v>41</v>
      </c>
      <c r="R1750" s="38" t="s">
        <v>270</v>
      </c>
      <c r="S1750" s="38" t="s">
        <v>4601</v>
      </c>
      <c r="T1750" s="38" t="s">
        <v>4602</v>
      </c>
      <c r="U1750" s="38"/>
      <c r="V1750" s="38"/>
      <c r="W1750" s="38"/>
      <c r="X1750" s="14"/>
      <c r="AN1750" s="7" t="s">
        <v>155</v>
      </c>
      <c r="AO1750" s="21">
        <f t="shared" si="89"/>
        <v>0</v>
      </c>
      <c r="AP1750" s="7">
        <f t="shared" si="90"/>
        <v>14.92</v>
      </c>
      <c r="AQ1750" s="31" t="str">
        <f t="shared" si="91"/>
        <v>Complete - No Adjustment</v>
      </c>
    </row>
    <row r="1751" spans="1:43" x14ac:dyDescent="0.2">
      <c r="A1751" s="46">
        <v>1741</v>
      </c>
      <c r="B1751" s="38" t="s">
        <v>266</v>
      </c>
      <c r="C1751" s="38" t="s">
        <v>368</v>
      </c>
      <c r="D1751" s="38" t="s">
        <v>367</v>
      </c>
      <c r="E1751" s="38" t="s">
        <v>4603</v>
      </c>
      <c r="F1751" s="38" t="s">
        <v>4215</v>
      </c>
      <c r="G1751" s="38" t="s">
        <v>111</v>
      </c>
      <c r="H1751" s="44">
        <v>44090</v>
      </c>
      <c r="I1751" s="44">
        <v>44096</v>
      </c>
      <c r="J1751">
        <v>18.96</v>
      </c>
      <c r="K1751">
        <v>18.96</v>
      </c>
      <c r="L1751" t="s">
        <v>4604</v>
      </c>
      <c r="M1751" s="45" t="s">
        <v>98</v>
      </c>
      <c r="N1751" s="38" t="s">
        <v>230</v>
      </c>
      <c r="O1751" s="38" t="s">
        <v>369</v>
      </c>
      <c r="P1751" s="38" t="s">
        <v>60</v>
      </c>
      <c r="Q1751" s="38" t="s">
        <v>41</v>
      </c>
      <c r="R1751" s="38" t="s">
        <v>270</v>
      </c>
      <c r="S1751" s="38" t="s">
        <v>4605</v>
      </c>
      <c r="T1751" s="38" t="s">
        <v>4606</v>
      </c>
      <c r="U1751" s="38"/>
      <c r="V1751" s="38"/>
      <c r="W1751" s="38"/>
      <c r="X1751" s="14"/>
      <c r="AB1751" s="14">
        <f>18.96-15</f>
        <v>3.9600000000000009</v>
      </c>
      <c r="AN1751" s="7" t="s">
        <v>4257</v>
      </c>
      <c r="AO1751" s="21">
        <f t="shared" si="89"/>
        <v>3.9600000000000009</v>
      </c>
      <c r="AP1751" s="7">
        <f t="shared" si="90"/>
        <v>15</v>
      </c>
      <c r="AQ1751" s="31" t="str">
        <f t="shared" si="91"/>
        <v>Complete - With Adjustment</v>
      </c>
    </row>
    <row r="1752" spans="1:43" x14ac:dyDescent="0.2">
      <c r="A1752" s="46">
        <v>1742</v>
      </c>
      <c r="B1752" s="38" t="s">
        <v>266</v>
      </c>
      <c r="C1752" s="38" t="s">
        <v>368</v>
      </c>
      <c r="D1752" s="38" t="s">
        <v>367</v>
      </c>
      <c r="E1752" s="38" t="s">
        <v>4607</v>
      </c>
      <c r="F1752" s="38" t="s">
        <v>4418</v>
      </c>
      <c r="G1752" s="38" t="s">
        <v>111</v>
      </c>
      <c r="H1752" s="44">
        <v>44078</v>
      </c>
      <c r="I1752" s="44">
        <v>44082</v>
      </c>
      <c r="J1752">
        <v>19.899999999999999</v>
      </c>
      <c r="K1752">
        <v>19.899999999999999</v>
      </c>
      <c r="L1752" t="s">
        <v>4608</v>
      </c>
      <c r="M1752" s="45" t="s">
        <v>98</v>
      </c>
      <c r="N1752" s="38" t="s">
        <v>230</v>
      </c>
      <c r="O1752" s="38" t="s">
        <v>369</v>
      </c>
      <c r="P1752" s="38" t="s">
        <v>60</v>
      </c>
      <c r="Q1752" s="38" t="s">
        <v>41</v>
      </c>
      <c r="R1752" s="38" t="s">
        <v>270</v>
      </c>
      <c r="S1752" s="38" t="s">
        <v>4609</v>
      </c>
      <c r="T1752" s="38" t="s">
        <v>4610</v>
      </c>
      <c r="U1752" s="38"/>
      <c r="V1752" s="38"/>
      <c r="W1752" s="38"/>
      <c r="X1752" s="14"/>
      <c r="AN1752" s="7" t="s">
        <v>70</v>
      </c>
      <c r="AO1752" s="21">
        <f t="shared" si="89"/>
        <v>0</v>
      </c>
      <c r="AP1752" s="7">
        <f t="shared" si="90"/>
        <v>19.899999999999999</v>
      </c>
      <c r="AQ1752" s="31" t="str">
        <f t="shared" si="91"/>
        <v>Complete - No Adjustment</v>
      </c>
    </row>
    <row r="1753" spans="1:43" x14ac:dyDescent="0.2">
      <c r="A1753" s="46">
        <v>1743</v>
      </c>
      <c r="B1753" s="38" t="s">
        <v>266</v>
      </c>
      <c r="C1753" s="38" t="s">
        <v>250</v>
      </c>
      <c r="D1753" s="38" t="s">
        <v>249</v>
      </c>
      <c r="E1753" s="38" t="s">
        <v>4611</v>
      </c>
      <c r="F1753" s="38" t="s">
        <v>4210</v>
      </c>
      <c r="G1753" s="38" t="s">
        <v>111</v>
      </c>
      <c r="H1753" s="44">
        <v>44074</v>
      </c>
      <c r="I1753" s="44">
        <v>44076</v>
      </c>
      <c r="J1753">
        <v>72.3</v>
      </c>
      <c r="K1753">
        <v>7.5</v>
      </c>
      <c r="L1753" t="s">
        <v>4612</v>
      </c>
      <c r="M1753" s="45" t="s">
        <v>98</v>
      </c>
      <c r="N1753" s="38" t="s">
        <v>230</v>
      </c>
      <c r="O1753" s="38" t="s">
        <v>326</v>
      </c>
      <c r="P1753" s="38" t="s">
        <v>60</v>
      </c>
      <c r="Q1753" s="38" t="s">
        <v>41</v>
      </c>
      <c r="R1753" s="38" t="s">
        <v>270</v>
      </c>
      <c r="S1753" s="38" t="s">
        <v>4613</v>
      </c>
      <c r="T1753" s="38" t="s">
        <v>4614</v>
      </c>
      <c r="U1753" s="38"/>
      <c r="V1753" s="38"/>
      <c r="W1753" s="38"/>
      <c r="X1753" s="14"/>
      <c r="AI1753" s="53">
        <f>7.5</f>
        <v>7.5</v>
      </c>
      <c r="AN1753" s="7" t="s">
        <v>145</v>
      </c>
      <c r="AO1753" s="21">
        <f t="shared" si="89"/>
        <v>7.5</v>
      </c>
      <c r="AP1753" s="7">
        <f t="shared" si="90"/>
        <v>0</v>
      </c>
      <c r="AQ1753" s="31" t="str">
        <f t="shared" si="91"/>
        <v>Complete - With Adjustment</v>
      </c>
    </row>
    <row r="1754" spans="1:43" x14ac:dyDescent="0.2">
      <c r="A1754" s="46">
        <v>1744</v>
      </c>
      <c r="B1754" s="38" t="s">
        <v>266</v>
      </c>
      <c r="C1754" s="38" t="s">
        <v>250</v>
      </c>
      <c r="D1754" s="38" t="s">
        <v>249</v>
      </c>
      <c r="E1754" s="38" t="s">
        <v>4611</v>
      </c>
      <c r="F1754" s="38" t="s">
        <v>4210</v>
      </c>
      <c r="G1754" s="38" t="s">
        <v>111</v>
      </c>
      <c r="H1754" s="44">
        <v>44074</v>
      </c>
      <c r="I1754" s="44">
        <v>44076</v>
      </c>
      <c r="J1754">
        <v>72.3</v>
      </c>
      <c r="K1754">
        <v>16</v>
      </c>
      <c r="L1754" t="s">
        <v>4612</v>
      </c>
      <c r="M1754" s="45" t="s">
        <v>98</v>
      </c>
      <c r="N1754" s="38" t="s">
        <v>230</v>
      </c>
      <c r="O1754" s="38" t="s">
        <v>326</v>
      </c>
      <c r="P1754" s="38" t="s">
        <v>60</v>
      </c>
      <c r="Q1754" s="38" t="s">
        <v>46</v>
      </c>
      <c r="R1754" s="38" t="s">
        <v>270</v>
      </c>
      <c r="S1754" s="38" t="s">
        <v>4613</v>
      </c>
      <c r="T1754" s="38" t="s">
        <v>4615</v>
      </c>
      <c r="U1754" s="38"/>
      <c r="V1754" s="38"/>
      <c r="W1754" s="38"/>
      <c r="X1754" s="14"/>
      <c r="AI1754" s="53">
        <f>16</f>
        <v>16</v>
      </c>
      <c r="AN1754" s="7" t="s">
        <v>145</v>
      </c>
      <c r="AO1754" s="21">
        <f t="shared" si="89"/>
        <v>16</v>
      </c>
      <c r="AP1754" s="7">
        <f t="shared" si="90"/>
        <v>0</v>
      </c>
      <c r="AQ1754" s="31" t="str">
        <f t="shared" si="91"/>
        <v>Complete - With Adjustment</v>
      </c>
    </row>
    <row r="1755" spans="1:43" x14ac:dyDescent="0.2">
      <c r="A1755" s="46">
        <v>1745</v>
      </c>
      <c r="B1755" s="38" t="s">
        <v>266</v>
      </c>
      <c r="C1755" s="38" t="s">
        <v>250</v>
      </c>
      <c r="D1755" s="38" t="s">
        <v>249</v>
      </c>
      <c r="E1755" s="38" t="s">
        <v>4611</v>
      </c>
      <c r="F1755" s="38" t="s">
        <v>4210</v>
      </c>
      <c r="G1755" s="38" t="s">
        <v>111</v>
      </c>
      <c r="H1755" s="44">
        <v>44074</v>
      </c>
      <c r="I1755" s="44">
        <v>44076</v>
      </c>
      <c r="J1755">
        <v>72.3</v>
      </c>
      <c r="K1755">
        <v>12.65</v>
      </c>
      <c r="L1755" t="s">
        <v>4612</v>
      </c>
      <c r="M1755" s="45" t="s">
        <v>98</v>
      </c>
      <c r="N1755" s="38" t="s">
        <v>230</v>
      </c>
      <c r="O1755" s="38" t="s">
        <v>326</v>
      </c>
      <c r="P1755" s="38" t="s">
        <v>60</v>
      </c>
      <c r="Q1755" s="38" t="s">
        <v>46</v>
      </c>
      <c r="R1755" s="38" t="s">
        <v>270</v>
      </c>
      <c r="S1755" s="38" t="s">
        <v>4613</v>
      </c>
      <c r="T1755" s="38" t="s">
        <v>4615</v>
      </c>
      <c r="U1755" s="38"/>
      <c r="V1755" s="38"/>
      <c r="W1755" s="38"/>
      <c r="X1755" s="14"/>
      <c r="AI1755" s="53">
        <f>12.65</f>
        <v>12.65</v>
      </c>
      <c r="AN1755" s="7" t="s">
        <v>145</v>
      </c>
      <c r="AO1755" s="21">
        <f t="shared" si="89"/>
        <v>12.65</v>
      </c>
      <c r="AP1755" s="7">
        <f t="shared" si="90"/>
        <v>0</v>
      </c>
      <c r="AQ1755" s="31" t="str">
        <f t="shared" si="91"/>
        <v>Complete - With Adjustment</v>
      </c>
    </row>
    <row r="1756" spans="1:43" x14ac:dyDescent="0.2">
      <c r="A1756" s="46">
        <v>1746</v>
      </c>
      <c r="B1756" s="38" t="s">
        <v>266</v>
      </c>
      <c r="C1756" s="38" t="s">
        <v>2384</v>
      </c>
      <c r="D1756" s="38" t="s">
        <v>2385</v>
      </c>
      <c r="E1756" s="38" t="s">
        <v>4616</v>
      </c>
      <c r="F1756" s="38" t="s">
        <v>4221</v>
      </c>
      <c r="G1756" s="38" t="s">
        <v>111</v>
      </c>
      <c r="H1756" s="44">
        <v>44090</v>
      </c>
      <c r="I1756" s="44">
        <v>44097</v>
      </c>
      <c r="J1756">
        <v>20.36</v>
      </c>
      <c r="K1756">
        <v>20.36</v>
      </c>
      <c r="L1756" t="s">
        <v>4617</v>
      </c>
      <c r="M1756" s="45" t="s">
        <v>98</v>
      </c>
      <c r="N1756" s="38" t="s">
        <v>230</v>
      </c>
      <c r="O1756" s="38" t="s">
        <v>362</v>
      </c>
      <c r="P1756" s="38" t="s">
        <v>60</v>
      </c>
      <c r="Q1756" s="38" t="s">
        <v>41</v>
      </c>
      <c r="R1756" s="38" t="s">
        <v>270</v>
      </c>
      <c r="S1756" s="38" t="s">
        <v>4618</v>
      </c>
      <c r="T1756" s="38" t="s">
        <v>4619</v>
      </c>
      <c r="U1756" s="38"/>
      <c r="V1756" s="38"/>
      <c r="W1756" s="38"/>
      <c r="X1756" s="14"/>
      <c r="AB1756" s="14">
        <f>20.36-15</f>
        <v>5.3599999999999994</v>
      </c>
      <c r="AN1756" s="7" t="s">
        <v>4257</v>
      </c>
      <c r="AO1756" s="21">
        <f t="shared" si="89"/>
        <v>5.3599999999999994</v>
      </c>
      <c r="AP1756" s="7">
        <f t="shared" si="90"/>
        <v>15</v>
      </c>
      <c r="AQ1756" s="31" t="str">
        <f t="shared" si="91"/>
        <v>Complete - With Adjustment</v>
      </c>
    </row>
    <row r="1757" spans="1:43" x14ac:dyDescent="0.2">
      <c r="A1757" s="46">
        <v>1747</v>
      </c>
      <c r="B1757" s="38" t="s">
        <v>266</v>
      </c>
      <c r="C1757" s="38" t="s">
        <v>672</v>
      </c>
      <c r="D1757" s="38" t="s">
        <v>671</v>
      </c>
      <c r="E1757" s="38" t="s">
        <v>4620</v>
      </c>
      <c r="F1757" s="38" t="s">
        <v>4224</v>
      </c>
      <c r="G1757" s="38" t="s">
        <v>111</v>
      </c>
      <c r="H1757" s="44">
        <v>44090</v>
      </c>
      <c r="I1757" s="44">
        <v>44092</v>
      </c>
      <c r="J1757">
        <v>15</v>
      </c>
      <c r="K1757">
        <v>15</v>
      </c>
      <c r="L1757" t="s">
        <v>4621</v>
      </c>
      <c r="M1757" s="45" t="s">
        <v>98</v>
      </c>
      <c r="N1757" s="38" t="s">
        <v>230</v>
      </c>
      <c r="O1757" s="38" t="s">
        <v>673</v>
      </c>
      <c r="P1757" s="38" t="s">
        <v>60</v>
      </c>
      <c r="Q1757" s="38" t="s">
        <v>46</v>
      </c>
      <c r="R1757" s="38" t="s">
        <v>270</v>
      </c>
      <c r="S1757" s="38" t="s">
        <v>2397</v>
      </c>
      <c r="T1757" s="38" t="s">
        <v>2398</v>
      </c>
      <c r="U1757" s="38"/>
      <c r="V1757" s="38"/>
      <c r="W1757" s="38"/>
      <c r="X1757" s="14"/>
      <c r="AN1757" s="7" t="s">
        <v>155</v>
      </c>
      <c r="AO1757" s="21">
        <f t="shared" si="89"/>
        <v>0</v>
      </c>
      <c r="AP1757" s="7">
        <f t="shared" si="90"/>
        <v>15</v>
      </c>
      <c r="AQ1757" s="31" t="str">
        <f t="shared" si="91"/>
        <v>Complete - No Adjustment</v>
      </c>
    </row>
    <row r="1758" spans="1:43" x14ac:dyDescent="0.2">
      <c r="A1758" s="46">
        <v>1748</v>
      </c>
      <c r="B1758" s="38" t="s">
        <v>266</v>
      </c>
      <c r="C1758" s="38" t="s">
        <v>672</v>
      </c>
      <c r="D1758" s="38" t="s">
        <v>671</v>
      </c>
      <c r="E1758" s="38" t="s">
        <v>4622</v>
      </c>
      <c r="F1758" s="38" t="s">
        <v>4418</v>
      </c>
      <c r="G1758" s="38" t="s">
        <v>111</v>
      </c>
      <c r="H1758" s="44">
        <v>44075</v>
      </c>
      <c r="I1758" s="44">
        <v>44082</v>
      </c>
      <c r="J1758">
        <v>52</v>
      </c>
      <c r="K1758">
        <v>52</v>
      </c>
      <c r="L1758" t="s">
        <v>4623</v>
      </c>
      <c r="M1758" s="45" t="s">
        <v>98</v>
      </c>
      <c r="N1758" s="38" t="s">
        <v>230</v>
      </c>
      <c r="O1758" s="38" t="s">
        <v>673</v>
      </c>
      <c r="P1758" s="38" t="s">
        <v>60</v>
      </c>
      <c r="Q1758" s="38" t="s">
        <v>123</v>
      </c>
      <c r="R1758" s="38" t="s">
        <v>270</v>
      </c>
      <c r="S1758" s="38" t="s">
        <v>4624</v>
      </c>
      <c r="T1758" s="38" t="s">
        <v>4625</v>
      </c>
      <c r="U1758" s="38"/>
      <c r="V1758" s="38"/>
      <c r="W1758" s="38"/>
      <c r="X1758" s="14"/>
      <c r="AN1758" s="7" t="s">
        <v>70</v>
      </c>
      <c r="AO1758" s="21">
        <f t="shared" si="89"/>
        <v>0</v>
      </c>
      <c r="AP1758" s="7">
        <f t="shared" si="90"/>
        <v>52</v>
      </c>
      <c r="AQ1758" s="31" t="str">
        <f t="shared" si="91"/>
        <v>Complete - No Adjustment</v>
      </c>
    </row>
    <row r="1759" spans="1:43" x14ac:dyDescent="0.2">
      <c r="A1759" s="46">
        <v>1749</v>
      </c>
      <c r="B1759" s="38" t="s">
        <v>266</v>
      </c>
      <c r="C1759" s="38" t="s">
        <v>371</v>
      </c>
      <c r="D1759" s="38" t="s">
        <v>370</v>
      </c>
      <c r="E1759" s="38" t="s">
        <v>4626</v>
      </c>
      <c r="F1759" s="38" t="s">
        <v>4224</v>
      </c>
      <c r="G1759" s="38" t="s">
        <v>111</v>
      </c>
      <c r="H1759" s="44">
        <v>44090</v>
      </c>
      <c r="I1759" s="44">
        <v>44092</v>
      </c>
      <c r="J1759">
        <v>350.07</v>
      </c>
      <c r="K1759">
        <v>205.66</v>
      </c>
      <c r="L1759" t="s">
        <v>4627</v>
      </c>
      <c r="M1759" s="45" t="s">
        <v>98</v>
      </c>
      <c r="N1759" s="38" t="s">
        <v>230</v>
      </c>
      <c r="O1759" s="38" t="s">
        <v>269</v>
      </c>
      <c r="P1759" s="38" t="s">
        <v>60</v>
      </c>
      <c r="Q1759" s="38" t="s">
        <v>104</v>
      </c>
      <c r="R1759" s="38" t="s">
        <v>270</v>
      </c>
      <c r="S1759" s="38" t="s">
        <v>4628</v>
      </c>
      <c r="T1759" s="38" t="s">
        <v>4629</v>
      </c>
      <c r="U1759" s="38"/>
      <c r="V1759" s="38"/>
      <c r="W1759" s="38"/>
      <c r="X1759" s="14"/>
      <c r="AN1759" s="7" t="s">
        <v>155</v>
      </c>
      <c r="AO1759" s="21">
        <f t="shared" si="89"/>
        <v>0</v>
      </c>
      <c r="AP1759" s="7">
        <f t="shared" si="90"/>
        <v>205.66</v>
      </c>
      <c r="AQ1759" s="31" t="str">
        <f t="shared" si="91"/>
        <v>Complete - No Adjustment</v>
      </c>
    </row>
    <row r="1760" spans="1:43" x14ac:dyDescent="0.2">
      <c r="A1760" s="46">
        <v>1750</v>
      </c>
      <c r="B1760" s="38" t="s">
        <v>266</v>
      </c>
      <c r="C1760" s="38" t="s">
        <v>371</v>
      </c>
      <c r="D1760" s="38" t="s">
        <v>370</v>
      </c>
      <c r="E1760" s="38" t="s">
        <v>4626</v>
      </c>
      <c r="F1760" s="38" t="s">
        <v>4224</v>
      </c>
      <c r="G1760" s="38" t="s">
        <v>111</v>
      </c>
      <c r="H1760" s="44">
        <v>44090</v>
      </c>
      <c r="I1760" s="44">
        <v>44092</v>
      </c>
      <c r="J1760">
        <v>350.07</v>
      </c>
      <c r="K1760">
        <v>110</v>
      </c>
      <c r="L1760" t="s">
        <v>4627</v>
      </c>
      <c r="M1760" s="45" t="s">
        <v>98</v>
      </c>
      <c r="N1760" s="38" t="s">
        <v>230</v>
      </c>
      <c r="O1760" s="38" t="s">
        <v>269</v>
      </c>
      <c r="P1760" s="38" t="s">
        <v>60</v>
      </c>
      <c r="Q1760" s="38" t="s">
        <v>74</v>
      </c>
      <c r="R1760" s="38" t="s">
        <v>270</v>
      </c>
      <c r="S1760" s="38" t="s">
        <v>4628</v>
      </c>
      <c r="T1760" s="38" t="s">
        <v>4630</v>
      </c>
      <c r="U1760" s="38"/>
      <c r="V1760" s="38"/>
      <c r="W1760" s="38"/>
      <c r="X1760" s="14"/>
      <c r="AN1760" s="7" t="s">
        <v>70</v>
      </c>
      <c r="AO1760" s="21">
        <f t="shared" si="89"/>
        <v>0</v>
      </c>
      <c r="AP1760" s="7">
        <f t="shared" si="90"/>
        <v>110</v>
      </c>
      <c r="AQ1760" s="31" t="str">
        <f t="shared" si="91"/>
        <v>Complete - No Adjustment</v>
      </c>
    </row>
    <row r="1761" spans="1:43" x14ac:dyDescent="0.2">
      <c r="A1761" s="46">
        <v>1751</v>
      </c>
      <c r="B1761" s="38" t="s">
        <v>266</v>
      </c>
      <c r="C1761" s="38" t="s">
        <v>371</v>
      </c>
      <c r="D1761" s="38" t="s">
        <v>370</v>
      </c>
      <c r="E1761" s="38" t="s">
        <v>4626</v>
      </c>
      <c r="F1761" s="38" t="s">
        <v>4224</v>
      </c>
      <c r="G1761" s="38" t="s">
        <v>111</v>
      </c>
      <c r="H1761" s="44">
        <v>44090</v>
      </c>
      <c r="I1761" s="44">
        <v>44092</v>
      </c>
      <c r="J1761">
        <v>350.07</v>
      </c>
      <c r="K1761">
        <v>22.74</v>
      </c>
      <c r="L1761" t="s">
        <v>4627</v>
      </c>
      <c r="M1761" s="45" t="s">
        <v>98</v>
      </c>
      <c r="N1761" s="38" t="s">
        <v>230</v>
      </c>
      <c r="O1761" s="38" t="s">
        <v>269</v>
      </c>
      <c r="P1761" s="38" t="s">
        <v>60</v>
      </c>
      <c r="Q1761" s="38" t="s">
        <v>41</v>
      </c>
      <c r="R1761" s="38" t="s">
        <v>270</v>
      </c>
      <c r="S1761" s="38" t="s">
        <v>4628</v>
      </c>
      <c r="T1761" s="38" t="s">
        <v>4631</v>
      </c>
      <c r="U1761" s="38"/>
      <c r="V1761" s="38"/>
      <c r="W1761" s="38"/>
      <c r="X1761" s="14"/>
      <c r="AN1761" s="7" t="s">
        <v>70</v>
      </c>
      <c r="AO1761" s="21">
        <f t="shared" si="89"/>
        <v>0</v>
      </c>
      <c r="AP1761" s="7">
        <f t="shared" si="90"/>
        <v>22.74</v>
      </c>
      <c r="AQ1761" s="31" t="str">
        <f t="shared" si="91"/>
        <v>Complete - No Adjustment</v>
      </c>
    </row>
    <row r="1762" spans="1:43" x14ac:dyDescent="0.2">
      <c r="A1762" s="46">
        <v>1752</v>
      </c>
      <c r="B1762" s="38" t="s">
        <v>266</v>
      </c>
      <c r="C1762" s="38" t="s">
        <v>371</v>
      </c>
      <c r="D1762" s="38" t="s">
        <v>370</v>
      </c>
      <c r="E1762" s="38" t="s">
        <v>4626</v>
      </c>
      <c r="F1762" s="38" t="s">
        <v>4224</v>
      </c>
      <c r="G1762" s="38" t="s">
        <v>111</v>
      </c>
      <c r="H1762" s="44">
        <v>44090</v>
      </c>
      <c r="I1762" s="44">
        <v>44092</v>
      </c>
      <c r="J1762">
        <v>350.07</v>
      </c>
      <c r="K1762">
        <v>11.67</v>
      </c>
      <c r="L1762" t="s">
        <v>4627</v>
      </c>
      <c r="M1762" s="45" t="s">
        <v>98</v>
      </c>
      <c r="N1762" s="38" t="s">
        <v>230</v>
      </c>
      <c r="O1762" s="38" t="s">
        <v>269</v>
      </c>
      <c r="P1762" s="38" t="s">
        <v>60</v>
      </c>
      <c r="Q1762" s="38" t="s">
        <v>41</v>
      </c>
      <c r="R1762" s="38" t="s">
        <v>270</v>
      </c>
      <c r="S1762" s="38" t="s">
        <v>4628</v>
      </c>
      <c r="T1762" s="38" t="s">
        <v>4632</v>
      </c>
      <c r="U1762" s="38"/>
      <c r="V1762" s="38"/>
      <c r="W1762" s="38"/>
      <c r="X1762" s="14"/>
      <c r="AN1762" s="7" t="s">
        <v>70</v>
      </c>
      <c r="AO1762" s="21">
        <f t="shared" si="89"/>
        <v>0</v>
      </c>
      <c r="AP1762" s="7">
        <f t="shared" si="90"/>
        <v>11.67</v>
      </c>
      <c r="AQ1762" s="31" t="str">
        <f t="shared" si="91"/>
        <v>Complete - No Adjustment</v>
      </c>
    </row>
    <row r="1763" spans="1:43" x14ac:dyDescent="0.2">
      <c r="A1763" s="46">
        <v>1753</v>
      </c>
      <c r="B1763" s="38" t="s">
        <v>266</v>
      </c>
      <c r="C1763" s="38" t="s">
        <v>107</v>
      </c>
      <c r="D1763" s="38" t="s">
        <v>106</v>
      </c>
      <c r="E1763" s="38" t="s">
        <v>4633</v>
      </c>
      <c r="F1763" s="38" t="s">
        <v>4238</v>
      </c>
      <c r="G1763" s="38" t="s">
        <v>111</v>
      </c>
      <c r="H1763" s="44">
        <v>44098</v>
      </c>
      <c r="I1763" s="44">
        <v>44102</v>
      </c>
      <c r="J1763">
        <v>4023.67</v>
      </c>
      <c r="K1763">
        <v>250</v>
      </c>
      <c r="L1763" t="s">
        <v>4634</v>
      </c>
      <c r="M1763" s="45" t="s">
        <v>97</v>
      </c>
      <c r="N1763" s="38" t="s">
        <v>230</v>
      </c>
      <c r="O1763" s="38" t="s">
        <v>386</v>
      </c>
      <c r="P1763" s="38" t="s">
        <v>42</v>
      </c>
      <c r="Q1763" s="38" t="s">
        <v>55</v>
      </c>
      <c r="R1763" s="38" t="s">
        <v>270</v>
      </c>
      <c r="S1763" s="38" t="s">
        <v>4635</v>
      </c>
      <c r="T1763" s="38" t="s">
        <v>4636</v>
      </c>
      <c r="U1763" s="38"/>
      <c r="V1763" s="38"/>
      <c r="W1763" s="38"/>
      <c r="X1763" s="14"/>
      <c r="AI1763" s="53">
        <f>250</f>
        <v>250</v>
      </c>
      <c r="AN1763" s="7" t="s">
        <v>145</v>
      </c>
      <c r="AO1763" s="21">
        <f t="shared" si="89"/>
        <v>250</v>
      </c>
      <c r="AP1763" s="7">
        <f t="shared" si="90"/>
        <v>0</v>
      </c>
      <c r="AQ1763" s="31" t="str">
        <f t="shared" si="91"/>
        <v>Complete - With Adjustment</v>
      </c>
    </row>
    <row r="1764" spans="1:43" x14ac:dyDescent="0.2">
      <c r="A1764" s="46">
        <v>1754</v>
      </c>
      <c r="B1764" s="38" t="s">
        <v>266</v>
      </c>
      <c r="C1764" s="38" t="s">
        <v>107</v>
      </c>
      <c r="D1764" s="38" t="s">
        <v>106</v>
      </c>
      <c r="E1764" s="38" t="s">
        <v>4633</v>
      </c>
      <c r="F1764" s="38" t="s">
        <v>4238</v>
      </c>
      <c r="G1764" s="38" t="s">
        <v>111</v>
      </c>
      <c r="H1764" s="44">
        <v>44098</v>
      </c>
      <c r="I1764" s="44">
        <v>44102</v>
      </c>
      <c r="J1764">
        <v>4023.67</v>
      </c>
      <c r="K1764">
        <v>250</v>
      </c>
      <c r="L1764" t="s">
        <v>4634</v>
      </c>
      <c r="M1764" s="45" t="s">
        <v>97</v>
      </c>
      <c r="N1764" s="38" t="s">
        <v>230</v>
      </c>
      <c r="O1764" s="38" t="s">
        <v>386</v>
      </c>
      <c r="P1764" s="38" t="s">
        <v>42</v>
      </c>
      <c r="Q1764" s="38" t="s">
        <v>55</v>
      </c>
      <c r="R1764" s="38" t="s">
        <v>270</v>
      </c>
      <c r="S1764" s="38" t="s">
        <v>4635</v>
      </c>
      <c r="T1764" s="38" t="s">
        <v>4636</v>
      </c>
      <c r="U1764" s="38"/>
      <c r="V1764" s="38"/>
      <c r="W1764" s="38"/>
      <c r="X1764" s="14"/>
      <c r="AI1764" s="53">
        <f>250</f>
        <v>250</v>
      </c>
      <c r="AN1764" s="7" t="s">
        <v>145</v>
      </c>
      <c r="AO1764" s="21">
        <f t="shared" si="89"/>
        <v>250</v>
      </c>
      <c r="AP1764" s="7">
        <f t="shared" si="90"/>
        <v>0</v>
      </c>
      <c r="AQ1764" s="31" t="str">
        <f t="shared" si="91"/>
        <v>Complete - With Adjustment</v>
      </c>
    </row>
    <row r="1765" spans="1:43" x14ac:dyDescent="0.2">
      <c r="A1765" s="46">
        <v>1755</v>
      </c>
      <c r="B1765" s="38" t="s">
        <v>266</v>
      </c>
      <c r="C1765" s="38" t="s">
        <v>107</v>
      </c>
      <c r="D1765" s="38" t="s">
        <v>106</v>
      </c>
      <c r="E1765" s="38" t="s">
        <v>4633</v>
      </c>
      <c r="F1765" s="38" t="s">
        <v>4238</v>
      </c>
      <c r="G1765" s="38" t="s">
        <v>111</v>
      </c>
      <c r="H1765" s="44">
        <v>44098</v>
      </c>
      <c r="I1765" s="44">
        <v>44102</v>
      </c>
      <c r="J1765">
        <v>4023.67</v>
      </c>
      <c r="K1765">
        <v>268.92</v>
      </c>
      <c r="L1765" t="s">
        <v>4634</v>
      </c>
      <c r="M1765" s="45" t="s">
        <v>97</v>
      </c>
      <c r="N1765" s="38" t="s">
        <v>230</v>
      </c>
      <c r="O1765" s="38" t="s">
        <v>386</v>
      </c>
      <c r="P1765" s="38" t="s">
        <v>42</v>
      </c>
      <c r="Q1765" s="38" t="s">
        <v>55</v>
      </c>
      <c r="R1765" s="38" t="s">
        <v>270</v>
      </c>
      <c r="S1765" s="38" t="s">
        <v>4635</v>
      </c>
      <c r="T1765" s="38" t="s">
        <v>4636</v>
      </c>
      <c r="U1765" s="38"/>
      <c r="V1765" s="38"/>
      <c r="W1765" s="38"/>
      <c r="X1765" s="14"/>
      <c r="AI1765" s="53">
        <f>268.92</f>
        <v>268.92</v>
      </c>
      <c r="AN1765" s="7" t="s">
        <v>145</v>
      </c>
      <c r="AO1765" s="21">
        <f t="shared" si="89"/>
        <v>268.92</v>
      </c>
      <c r="AP1765" s="7">
        <f t="shared" si="90"/>
        <v>0</v>
      </c>
      <c r="AQ1765" s="31" t="str">
        <f t="shared" si="91"/>
        <v>Complete - With Adjustment</v>
      </c>
    </row>
    <row r="1766" spans="1:43" x14ac:dyDescent="0.2">
      <c r="A1766" s="46">
        <v>1756</v>
      </c>
      <c r="B1766" s="38" t="s">
        <v>266</v>
      </c>
      <c r="C1766" s="38" t="s">
        <v>107</v>
      </c>
      <c r="D1766" s="38" t="s">
        <v>106</v>
      </c>
      <c r="E1766" s="38" t="s">
        <v>4633</v>
      </c>
      <c r="F1766" s="38" t="s">
        <v>4238</v>
      </c>
      <c r="G1766" s="38" t="s">
        <v>111</v>
      </c>
      <c r="H1766" s="44">
        <v>44098</v>
      </c>
      <c r="I1766" s="44">
        <v>44102</v>
      </c>
      <c r="J1766">
        <v>4023.67</v>
      </c>
      <c r="K1766">
        <v>214.34</v>
      </c>
      <c r="L1766" t="s">
        <v>4634</v>
      </c>
      <c r="M1766" s="45" t="s">
        <v>97</v>
      </c>
      <c r="N1766" s="38" t="s">
        <v>230</v>
      </c>
      <c r="O1766" s="38" t="s">
        <v>386</v>
      </c>
      <c r="P1766" s="38" t="s">
        <v>42</v>
      </c>
      <c r="Q1766" s="38" t="s">
        <v>55</v>
      </c>
      <c r="R1766" s="38" t="s">
        <v>270</v>
      </c>
      <c r="S1766" s="38" t="s">
        <v>4635</v>
      </c>
      <c r="T1766" s="38" t="s">
        <v>4636</v>
      </c>
      <c r="U1766" s="38"/>
      <c r="V1766" s="38"/>
      <c r="W1766" s="38"/>
      <c r="X1766" s="14"/>
      <c r="AI1766" s="53">
        <f>214.34</f>
        <v>214.34</v>
      </c>
      <c r="AN1766" s="7" t="s">
        <v>145</v>
      </c>
      <c r="AO1766" s="21">
        <f t="shared" si="89"/>
        <v>214.34</v>
      </c>
      <c r="AP1766" s="7">
        <f t="shared" si="90"/>
        <v>0</v>
      </c>
      <c r="AQ1766" s="31" t="str">
        <f t="shared" si="91"/>
        <v>Complete - With Adjustment</v>
      </c>
    </row>
    <row r="1767" spans="1:43" x14ac:dyDescent="0.2">
      <c r="A1767" s="46">
        <v>1757</v>
      </c>
      <c r="B1767" s="38" t="s">
        <v>266</v>
      </c>
      <c r="C1767" s="38" t="s">
        <v>107</v>
      </c>
      <c r="D1767" s="38" t="s">
        <v>106</v>
      </c>
      <c r="E1767" s="38" t="s">
        <v>4633</v>
      </c>
      <c r="F1767" s="38" t="s">
        <v>4238</v>
      </c>
      <c r="G1767" s="38" t="s">
        <v>111</v>
      </c>
      <c r="H1767" s="44">
        <v>44098</v>
      </c>
      <c r="I1767" s="44">
        <v>44102</v>
      </c>
      <c r="J1767">
        <v>4023.67</v>
      </c>
      <c r="K1767">
        <v>269.54000000000002</v>
      </c>
      <c r="L1767" t="s">
        <v>4634</v>
      </c>
      <c r="M1767" s="45" t="s">
        <v>97</v>
      </c>
      <c r="N1767" s="38" t="s">
        <v>230</v>
      </c>
      <c r="O1767" s="38" t="s">
        <v>386</v>
      </c>
      <c r="P1767" s="38" t="s">
        <v>42</v>
      </c>
      <c r="Q1767" s="38" t="s">
        <v>55</v>
      </c>
      <c r="R1767" s="38" t="s">
        <v>270</v>
      </c>
      <c r="S1767" s="38" t="s">
        <v>4635</v>
      </c>
      <c r="T1767" s="38" t="s">
        <v>4636</v>
      </c>
      <c r="U1767" s="38"/>
      <c r="V1767" s="38"/>
      <c r="W1767" s="38"/>
      <c r="X1767" s="14"/>
      <c r="AI1767" s="53">
        <f>269.54</f>
        <v>269.54000000000002</v>
      </c>
      <c r="AN1767" s="7" t="s">
        <v>145</v>
      </c>
      <c r="AO1767" s="21">
        <f t="shared" si="89"/>
        <v>269.54000000000002</v>
      </c>
      <c r="AP1767" s="7">
        <f t="shared" si="90"/>
        <v>0</v>
      </c>
      <c r="AQ1767" s="31" t="str">
        <f t="shared" si="91"/>
        <v>Complete - With Adjustment</v>
      </c>
    </row>
    <row r="1768" spans="1:43" x14ac:dyDescent="0.2">
      <c r="A1768" s="46">
        <v>1758</v>
      </c>
      <c r="B1768" s="38" t="s">
        <v>266</v>
      </c>
      <c r="C1768" s="38" t="s">
        <v>107</v>
      </c>
      <c r="D1768" s="38" t="s">
        <v>106</v>
      </c>
      <c r="E1768" s="38" t="s">
        <v>4633</v>
      </c>
      <c r="F1768" s="38" t="s">
        <v>4238</v>
      </c>
      <c r="G1768" s="38" t="s">
        <v>111</v>
      </c>
      <c r="H1768" s="44">
        <v>44098</v>
      </c>
      <c r="I1768" s="44">
        <v>44102</v>
      </c>
      <c r="J1768">
        <v>4023.67</v>
      </c>
      <c r="K1768">
        <v>302.57</v>
      </c>
      <c r="L1768" t="s">
        <v>4634</v>
      </c>
      <c r="M1768" s="45" t="s">
        <v>97</v>
      </c>
      <c r="N1768" s="38" t="s">
        <v>230</v>
      </c>
      <c r="O1768" s="38" t="s">
        <v>386</v>
      </c>
      <c r="P1768" s="38" t="s">
        <v>42</v>
      </c>
      <c r="Q1768" s="38" t="s">
        <v>55</v>
      </c>
      <c r="R1768" s="38" t="s">
        <v>270</v>
      </c>
      <c r="S1768" s="38" t="s">
        <v>4635</v>
      </c>
      <c r="T1768" s="38" t="s">
        <v>4636</v>
      </c>
      <c r="U1768" s="38"/>
      <c r="V1768" s="38"/>
      <c r="W1768" s="38"/>
      <c r="X1768" s="14"/>
      <c r="AI1768" s="53">
        <f>302.57</f>
        <v>302.57</v>
      </c>
      <c r="AN1768" s="7" t="s">
        <v>145</v>
      </c>
      <c r="AO1768" s="21">
        <f t="shared" si="89"/>
        <v>302.57</v>
      </c>
      <c r="AP1768" s="7">
        <f t="shared" si="90"/>
        <v>0</v>
      </c>
      <c r="AQ1768" s="31" t="str">
        <f t="shared" si="91"/>
        <v>Complete - With Adjustment</v>
      </c>
    </row>
    <row r="1769" spans="1:43" x14ac:dyDescent="0.2">
      <c r="A1769" s="46">
        <v>1759</v>
      </c>
      <c r="B1769" s="38" t="s">
        <v>266</v>
      </c>
      <c r="C1769" s="38" t="s">
        <v>107</v>
      </c>
      <c r="D1769" s="38" t="s">
        <v>106</v>
      </c>
      <c r="E1769" s="38" t="s">
        <v>4633</v>
      </c>
      <c r="F1769" s="38" t="s">
        <v>4238</v>
      </c>
      <c r="G1769" s="38" t="s">
        <v>111</v>
      </c>
      <c r="H1769" s="44">
        <v>44098</v>
      </c>
      <c r="I1769" s="44">
        <v>44102</v>
      </c>
      <c r="J1769">
        <v>4023.67</v>
      </c>
      <c r="K1769">
        <v>329.07</v>
      </c>
      <c r="L1769" t="s">
        <v>4634</v>
      </c>
      <c r="M1769" s="45" t="s">
        <v>97</v>
      </c>
      <c r="N1769" s="38" t="s">
        <v>230</v>
      </c>
      <c r="O1769" s="38" t="s">
        <v>386</v>
      </c>
      <c r="P1769" s="38" t="s">
        <v>42</v>
      </c>
      <c r="Q1769" s="38" t="s">
        <v>55</v>
      </c>
      <c r="R1769" s="38" t="s">
        <v>270</v>
      </c>
      <c r="S1769" s="38" t="s">
        <v>4635</v>
      </c>
      <c r="T1769" s="38" t="s">
        <v>4636</v>
      </c>
      <c r="U1769" s="38"/>
      <c r="V1769" s="38"/>
      <c r="W1769" s="38"/>
      <c r="X1769" s="14"/>
      <c r="AI1769" s="53">
        <f>329.07</f>
        <v>329.07</v>
      </c>
      <c r="AN1769" s="7" t="s">
        <v>145</v>
      </c>
      <c r="AO1769" s="21">
        <f t="shared" si="89"/>
        <v>329.07</v>
      </c>
      <c r="AP1769" s="7">
        <f t="shared" si="90"/>
        <v>0</v>
      </c>
      <c r="AQ1769" s="31" t="str">
        <f t="shared" si="91"/>
        <v>Complete - With Adjustment</v>
      </c>
    </row>
    <row r="1770" spans="1:43" x14ac:dyDescent="0.2">
      <c r="A1770" s="46">
        <v>1760</v>
      </c>
      <c r="B1770" s="38" t="s">
        <v>266</v>
      </c>
      <c r="C1770" s="38" t="s">
        <v>107</v>
      </c>
      <c r="D1770" s="38" t="s">
        <v>106</v>
      </c>
      <c r="E1770" s="38" t="s">
        <v>4633</v>
      </c>
      <c r="F1770" s="38" t="s">
        <v>4238</v>
      </c>
      <c r="G1770" s="38" t="s">
        <v>111</v>
      </c>
      <c r="H1770" s="44">
        <v>44098</v>
      </c>
      <c r="I1770" s="44">
        <v>44102</v>
      </c>
      <c r="J1770">
        <v>4023.67</v>
      </c>
      <c r="K1770">
        <v>250</v>
      </c>
      <c r="L1770" t="s">
        <v>4634</v>
      </c>
      <c r="M1770" s="45" t="s">
        <v>97</v>
      </c>
      <c r="N1770" s="38" t="s">
        <v>230</v>
      </c>
      <c r="O1770" s="38" t="s">
        <v>386</v>
      </c>
      <c r="P1770" s="38" t="s">
        <v>42</v>
      </c>
      <c r="Q1770" s="38" t="s">
        <v>55</v>
      </c>
      <c r="R1770" s="38" t="s">
        <v>270</v>
      </c>
      <c r="S1770" s="38" t="s">
        <v>4635</v>
      </c>
      <c r="T1770" s="38" t="s">
        <v>4636</v>
      </c>
      <c r="U1770" s="38"/>
      <c r="V1770" s="38"/>
      <c r="W1770" s="38"/>
      <c r="X1770" s="14"/>
      <c r="AI1770" s="53">
        <f>250</f>
        <v>250</v>
      </c>
      <c r="AN1770" s="7" t="s">
        <v>145</v>
      </c>
      <c r="AO1770" s="21">
        <f t="shared" si="89"/>
        <v>250</v>
      </c>
      <c r="AP1770" s="7">
        <f t="shared" si="90"/>
        <v>0</v>
      </c>
      <c r="AQ1770" s="31" t="str">
        <f t="shared" si="91"/>
        <v>Complete - With Adjustment</v>
      </c>
    </row>
    <row r="1771" spans="1:43" x14ac:dyDescent="0.2">
      <c r="A1771" s="46">
        <v>1761</v>
      </c>
      <c r="B1771" s="38" t="s">
        <v>266</v>
      </c>
      <c r="C1771" s="38" t="s">
        <v>107</v>
      </c>
      <c r="D1771" s="38" t="s">
        <v>106</v>
      </c>
      <c r="E1771" s="38" t="s">
        <v>4633</v>
      </c>
      <c r="F1771" s="38" t="s">
        <v>4238</v>
      </c>
      <c r="G1771" s="38" t="s">
        <v>111</v>
      </c>
      <c r="H1771" s="44">
        <v>44098</v>
      </c>
      <c r="I1771" s="44">
        <v>44102</v>
      </c>
      <c r="J1771">
        <v>4023.67</v>
      </c>
      <c r="K1771">
        <v>193.77</v>
      </c>
      <c r="L1771" t="s">
        <v>4634</v>
      </c>
      <c r="M1771" s="45" t="s">
        <v>97</v>
      </c>
      <c r="N1771" s="38" t="s">
        <v>230</v>
      </c>
      <c r="O1771" s="38" t="s">
        <v>386</v>
      </c>
      <c r="P1771" s="38" t="s">
        <v>42</v>
      </c>
      <c r="Q1771" s="38" t="s">
        <v>55</v>
      </c>
      <c r="R1771" s="38" t="s">
        <v>270</v>
      </c>
      <c r="S1771" s="38" t="s">
        <v>4635</v>
      </c>
      <c r="T1771" s="38" t="s">
        <v>4636</v>
      </c>
      <c r="U1771" s="38"/>
      <c r="V1771" s="38"/>
      <c r="W1771" s="38"/>
      <c r="X1771" s="14"/>
      <c r="AI1771" s="53">
        <f>193.77</f>
        <v>193.77</v>
      </c>
      <c r="AN1771" s="7" t="s">
        <v>145</v>
      </c>
      <c r="AO1771" s="21">
        <f t="shared" si="89"/>
        <v>193.77</v>
      </c>
      <c r="AP1771" s="7">
        <f t="shared" si="90"/>
        <v>0</v>
      </c>
      <c r="AQ1771" s="31" t="str">
        <f t="shared" si="91"/>
        <v>Complete - With Adjustment</v>
      </c>
    </row>
    <row r="1772" spans="1:43" x14ac:dyDescent="0.2">
      <c r="A1772" s="46">
        <v>1762</v>
      </c>
      <c r="B1772" s="38" t="s">
        <v>266</v>
      </c>
      <c r="C1772" s="38" t="s">
        <v>107</v>
      </c>
      <c r="D1772" s="38" t="s">
        <v>106</v>
      </c>
      <c r="E1772" s="38" t="s">
        <v>4633</v>
      </c>
      <c r="F1772" s="38" t="s">
        <v>4238</v>
      </c>
      <c r="G1772" s="38" t="s">
        <v>111</v>
      </c>
      <c r="H1772" s="44">
        <v>44098</v>
      </c>
      <c r="I1772" s="44">
        <v>44102</v>
      </c>
      <c r="J1772">
        <v>4023.67</v>
      </c>
      <c r="K1772">
        <v>215.42</v>
      </c>
      <c r="L1772" t="s">
        <v>4634</v>
      </c>
      <c r="M1772" s="45" t="s">
        <v>97</v>
      </c>
      <c r="N1772" s="38" t="s">
        <v>230</v>
      </c>
      <c r="O1772" s="38" t="s">
        <v>386</v>
      </c>
      <c r="P1772" s="38" t="s">
        <v>42</v>
      </c>
      <c r="Q1772" s="38" t="s">
        <v>55</v>
      </c>
      <c r="R1772" s="38" t="s">
        <v>270</v>
      </c>
      <c r="S1772" s="38" t="s">
        <v>4635</v>
      </c>
      <c r="T1772" s="38" t="s">
        <v>4636</v>
      </c>
      <c r="U1772" s="38"/>
      <c r="V1772" s="38"/>
      <c r="W1772" s="38"/>
      <c r="X1772" s="14"/>
      <c r="AI1772" s="53">
        <f>215.42</f>
        <v>215.42</v>
      </c>
      <c r="AN1772" s="7" t="s">
        <v>145</v>
      </c>
      <c r="AO1772" s="21">
        <f t="shared" si="89"/>
        <v>215.42</v>
      </c>
      <c r="AP1772" s="7">
        <f t="shared" si="90"/>
        <v>0</v>
      </c>
      <c r="AQ1772" s="31" t="str">
        <f t="shared" si="91"/>
        <v>Complete - With Adjustment</v>
      </c>
    </row>
    <row r="1773" spans="1:43" x14ac:dyDescent="0.2">
      <c r="A1773" s="46">
        <v>1763</v>
      </c>
      <c r="B1773" s="38" t="s">
        <v>266</v>
      </c>
      <c r="C1773" s="38" t="s">
        <v>107</v>
      </c>
      <c r="D1773" s="38" t="s">
        <v>106</v>
      </c>
      <c r="E1773" s="38" t="s">
        <v>4633</v>
      </c>
      <c r="F1773" s="38" t="s">
        <v>4238</v>
      </c>
      <c r="G1773" s="38" t="s">
        <v>111</v>
      </c>
      <c r="H1773" s="44">
        <v>44098</v>
      </c>
      <c r="I1773" s="44">
        <v>44102</v>
      </c>
      <c r="J1773">
        <v>4023.67</v>
      </c>
      <c r="K1773">
        <v>247.89</v>
      </c>
      <c r="L1773" t="s">
        <v>4634</v>
      </c>
      <c r="M1773" s="45" t="s">
        <v>97</v>
      </c>
      <c r="N1773" s="38" t="s">
        <v>230</v>
      </c>
      <c r="O1773" s="38" t="s">
        <v>386</v>
      </c>
      <c r="P1773" s="38" t="s">
        <v>42</v>
      </c>
      <c r="Q1773" s="38" t="s">
        <v>55</v>
      </c>
      <c r="R1773" s="38" t="s">
        <v>270</v>
      </c>
      <c r="S1773" s="38" t="s">
        <v>4635</v>
      </c>
      <c r="T1773" s="38" t="s">
        <v>4636</v>
      </c>
      <c r="U1773" s="38"/>
      <c r="V1773" s="38"/>
      <c r="W1773" s="38"/>
      <c r="X1773" s="14"/>
      <c r="AI1773" s="53">
        <f>247.89</f>
        <v>247.89</v>
      </c>
      <c r="AN1773" s="7" t="s">
        <v>145</v>
      </c>
      <c r="AO1773" s="21">
        <f t="shared" si="89"/>
        <v>247.89</v>
      </c>
      <c r="AP1773" s="7">
        <f t="shared" si="90"/>
        <v>0</v>
      </c>
      <c r="AQ1773" s="31" t="str">
        <f t="shared" si="91"/>
        <v>Complete - With Adjustment</v>
      </c>
    </row>
    <row r="1774" spans="1:43" x14ac:dyDescent="0.2">
      <c r="A1774" s="46">
        <v>1764</v>
      </c>
      <c r="B1774" s="38" t="s">
        <v>266</v>
      </c>
      <c r="C1774" s="38" t="s">
        <v>107</v>
      </c>
      <c r="D1774" s="38" t="s">
        <v>106</v>
      </c>
      <c r="E1774" s="38" t="s">
        <v>4633</v>
      </c>
      <c r="F1774" s="38" t="s">
        <v>4238</v>
      </c>
      <c r="G1774" s="38" t="s">
        <v>111</v>
      </c>
      <c r="H1774" s="44">
        <v>44098</v>
      </c>
      <c r="I1774" s="44">
        <v>44102</v>
      </c>
      <c r="J1774">
        <v>4023.67</v>
      </c>
      <c r="K1774">
        <v>324.74</v>
      </c>
      <c r="L1774" t="s">
        <v>4634</v>
      </c>
      <c r="M1774" s="45" t="s">
        <v>97</v>
      </c>
      <c r="N1774" s="38" t="s">
        <v>230</v>
      </c>
      <c r="O1774" s="38" t="s">
        <v>386</v>
      </c>
      <c r="P1774" s="38" t="s">
        <v>42</v>
      </c>
      <c r="Q1774" s="38" t="s">
        <v>55</v>
      </c>
      <c r="R1774" s="38" t="s">
        <v>270</v>
      </c>
      <c r="S1774" s="38" t="s">
        <v>4635</v>
      </c>
      <c r="T1774" s="38" t="s">
        <v>4637</v>
      </c>
      <c r="U1774" s="38"/>
      <c r="V1774" s="38"/>
      <c r="W1774" s="38"/>
      <c r="X1774" s="14"/>
      <c r="AI1774" s="53">
        <f>324.74</f>
        <v>324.74</v>
      </c>
      <c r="AN1774" s="7" t="s">
        <v>145</v>
      </c>
      <c r="AO1774" s="21">
        <f t="shared" si="89"/>
        <v>324.74</v>
      </c>
      <c r="AP1774" s="7">
        <f t="shared" si="90"/>
        <v>0</v>
      </c>
      <c r="AQ1774" s="31" t="str">
        <f t="shared" si="91"/>
        <v>Complete - With Adjustment</v>
      </c>
    </row>
    <row r="1775" spans="1:43" x14ac:dyDescent="0.2">
      <c r="A1775" s="46">
        <v>1765</v>
      </c>
      <c r="B1775" s="38" t="s">
        <v>266</v>
      </c>
      <c r="C1775" s="38" t="s">
        <v>107</v>
      </c>
      <c r="D1775" s="38" t="s">
        <v>106</v>
      </c>
      <c r="E1775" s="38" t="s">
        <v>4633</v>
      </c>
      <c r="F1775" s="38" t="s">
        <v>4238</v>
      </c>
      <c r="G1775" s="38" t="s">
        <v>111</v>
      </c>
      <c r="H1775" s="44">
        <v>44098</v>
      </c>
      <c r="I1775" s="44">
        <v>44102</v>
      </c>
      <c r="J1775">
        <v>4023.67</v>
      </c>
      <c r="K1775">
        <v>367.26</v>
      </c>
      <c r="L1775" t="s">
        <v>4634</v>
      </c>
      <c r="M1775" s="45" t="s">
        <v>97</v>
      </c>
      <c r="N1775" s="38" t="s">
        <v>230</v>
      </c>
      <c r="O1775" s="38" t="s">
        <v>386</v>
      </c>
      <c r="P1775" s="38" t="s">
        <v>42</v>
      </c>
      <c r="Q1775" s="38" t="s">
        <v>55</v>
      </c>
      <c r="R1775" s="38" t="s">
        <v>270</v>
      </c>
      <c r="S1775" s="38" t="s">
        <v>4635</v>
      </c>
      <c r="T1775" s="38" t="s">
        <v>4636</v>
      </c>
      <c r="U1775" s="38"/>
      <c r="V1775" s="38"/>
      <c r="W1775" s="38"/>
      <c r="X1775" s="14"/>
      <c r="AI1775" s="53">
        <f>367.26</f>
        <v>367.26</v>
      </c>
      <c r="AN1775" s="7" t="s">
        <v>145</v>
      </c>
      <c r="AO1775" s="21">
        <f t="shared" si="89"/>
        <v>367.26</v>
      </c>
      <c r="AP1775" s="7">
        <f t="shared" si="90"/>
        <v>0</v>
      </c>
      <c r="AQ1775" s="31" t="str">
        <f t="shared" si="91"/>
        <v>Complete - With Adjustment</v>
      </c>
    </row>
    <row r="1776" spans="1:43" x14ac:dyDescent="0.2">
      <c r="A1776" s="46">
        <v>1766</v>
      </c>
      <c r="B1776" s="38" t="s">
        <v>266</v>
      </c>
      <c r="C1776" s="38" t="s">
        <v>107</v>
      </c>
      <c r="D1776" s="38" t="s">
        <v>106</v>
      </c>
      <c r="E1776" s="38" t="s">
        <v>4633</v>
      </c>
      <c r="F1776" s="38" t="s">
        <v>4238</v>
      </c>
      <c r="G1776" s="38" t="s">
        <v>111</v>
      </c>
      <c r="H1776" s="44">
        <v>44098</v>
      </c>
      <c r="I1776" s="44">
        <v>44102</v>
      </c>
      <c r="J1776">
        <v>4023.67</v>
      </c>
      <c r="K1776">
        <v>269.54000000000002</v>
      </c>
      <c r="L1776" t="s">
        <v>4634</v>
      </c>
      <c r="M1776" s="45" t="s">
        <v>97</v>
      </c>
      <c r="N1776" s="38" t="s">
        <v>230</v>
      </c>
      <c r="O1776" s="38" t="s">
        <v>386</v>
      </c>
      <c r="P1776" s="38" t="s">
        <v>42</v>
      </c>
      <c r="Q1776" s="38" t="s">
        <v>55</v>
      </c>
      <c r="R1776" s="38" t="s">
        <v>270</v>
      </c>
      <c r="S1776" s="38" t="s">
        <v>4635</v>
      </c>
      <c r="T1776" s="38" t="s">
        <v>4636</v>
      </c>
      <c r="U1776" s="38"/>
      <c r="V1776" s="38"/>
      <c r="W1776" s="38"/>
      <c r="X1776" s="14"/>
      <c r="AI1776" s="53">
        <f>269.54</f>
        <v>269.54000000000002</v>
      </c>
      <c r="AN1776" s="7" t="s">
        <v>145</v>
      </c>
      <c r="AO1776" s="21">
        <f t="shared" si="89"/>
        <v>269.54000000000002</v>
      </c>
      <c r="AP1776" s="7">
        <f t="shared" si="90"/>
        <v>0</v>
      </c>
      <c r="AQ1776" s="31" t="str">
        <f t="shared" si="91"/>
        <v>Complete - With Adjustment</v>
      </c>
    </row>
    <row r="1777" spans="1:43" x14ac:dyDescent="0.2">
      <c r="A1777" s="46">
        <v>1767</v>
      </c>
      <c r="B1777" s="38" t="s">
        <v>266</v>
      </c>
      <c r="C1777" s="38" t="s">
        <v>107</v>
      </c>
      <c r="D1777" s="38" t="s">
        <v>106</v>
      </c>
      <c r="E1777" s="38" t="s">
        <v>4633</v>
      </c>
      <c r="F1777" s="38" t="s">
        <v>4238</v>
      </c>
      <c r="G1777" s="38" t="s">
        <v>111</v>
      </c>
      <c r="H1777" s="44">
        <v>44098</v>
      </c>
      <c r="I1777" s="44">
        <v>44102</v>
      </c>
      <c r="J1777">
        <v>4023.67</v>
      </c>
      <c r="K1777">
        <v>270.61</v>
      </c>
      <c r="L1777" t="s">
        <v>4634</v>
      </c>
      <c r="M1777" s="45" t="s">
        <v>97</v>
      </c>
      <c r="N1777" s="38" t="s">
        <v>230</v>
      </c>
      <c r="O1777" s="38" t="s">
        <v>386</v>
      </c>
      <c r="P1777" s="38" t="s">
        <v>42</v>
      </c>
      <c r="Q1777" s="38" t="s">
        <v>55</v>
      </c>
      <c r="R1777" s="38" t="s">
        <v>270</v>
      </c>
      <c r="S1777" s="38" t="s">
        <v>4635</v>
      </c>
      <c r="T1777" s="38" t="s">
        <v>4636</v>
      </c>
      <c r="U1777" s="38"/>
      <c r="V1777" s="38"/>
      <c r="W1777" s="38"/>
      <c r="X1777" s="14"/>
      <c r="AI1777" s="53">
        <f>270.61</f>
        <v>270.61</v>
      </c>
      <c r="AN1777" s="7" t="s">
        <v>145</v>
      </c>
      <c r="AO1777" s="21">
        <f t="shared" si="89"/>
        <v>270.61</v>
      </c>
      <c r="AP1777" s="7">
        <f t="shared" si="90"/>
        <v>0</v>
      </c>
      <c r="AQ1777" s="31" t="str">
        <f t="shared" si="91"/>
        <v>Complete - With Adjustment</v>
      </c>
    </row>
    <row r="1778" spans="1:43" x14ac:dyDescent="0.2">
      <c r="A1778" s="46">
        <v>1768</v>
      </c>
      <c r="B1778" s="38" t="s">
        <v>266</v>
      </c>
      <c r="C1778" s="38" t="s">
        <v>2410</v>
      </c>
      <c r="D1778" s="38" t="s">
        <v>2411</v>
      </c>
      <c r="E1778" s="38" t="s">
        <v>4638</v>
      </c>
      <c r="F1778" s="38" t="s">
        <v>4349</v>
      </c>
      <c r="G1778" s="38" t="s">
        <v>111</v>
      </c>
      <c r="H1778" s="44">
        <v>44074</v>
      </c>
      <c r="I1778" s="44">
        <v>44084</v>
      </c>
      <c r="J1778">
        <v>10.41</v>
      </c>
      <c r="K1778">
        <v>10.41</v>
      </c>
      <c r="L1778" t="s">
        <v>4639</v>
      </c>
      <c r="M1778" s="45" t="s">
        <v>98</v>
      </c>
      <c r="N1778" s="38" t="s">
        <v>230</v>
      </c>
      <c r="O1778" s="38" t="s">
        <v>658</v>
      </c>
      <c r="P1778" s="38" t="s">
        <v>60</v>
      </c>
      <c r="Q1778" s="38" t="s">
        <v>601</v>
      </c>
      <c r="R1778" s="38" t="s">
        <v>270</v>
      </c>
      <c r="S1778" s="38" t="s">
        <v>4640</v>
      </c>
      <c r="T1778" s="38" t="s">
        <v>4641</v>
      </c>
      <c r="U1778" s="38"/>
      <c r="V1778" s="38"/>
      <c r="W1778" s="38"/>
      <c r="X1778" s="14"/>
      <c r="AN1778" s="7" t="s">
        <v>70</v>
      </c>
      <c r="AO1778" s="21">
        <f t="shared" si="89"/>
        <v>0</v>
      </c>
      <c r="AP1778" s="7">
        <f t="shared" si="90"/>
        <v>10.41</v>
      </c>
      <c r="AQ1778" s="31" t="str">
        <f t="shared" si="91"/>
        <v>Complete - No Adjustment</v>
      </c>
    </row>
    <row r="1779" spans="1:43" x14ac:dyDescent="0.2">
      <c r="A1779" s="46">
        <v>1769</v>
      </c>
      <c r="B1779" s="38" t="s">
        <v>266</v>
      </c>
      <c r="C1779" s="38" t="s">
        <v>2410</v>
      </c>
      <c r="D1779" s="38" t="s">
        <v>2411</v>
      </c>
      <c r="E1779" s="38" t="s">
        <v>4642</v>
      </c>
      <c r="F1779" s="38" t="s">
        <v>4349</v>
      </c>
      <c r="G1779" s="38" t="s">
        <v>111</v>
      </c>
      <c r="H1779" s="44">
        <v>44074</v>
      </c>
      <c r="I1779" s="44">
        <v>44084</v>
      </c>
      <c r="J1779">
        <v>15.59</v>
      </c>
      <c r="K1779">
        <v>15.59</v>
      </c>
      <c r="L1779" t="s">
        <v>4643</v>
      </c>
      <c r="M1779" s="45" t="s">
        <v>98</v>
      </c>
      <c r="N1779" s="38" t="s">
        <v>230</v>
      </c>
      <c r="O1779" s="38" t="s">
        <v>658</v>
      </c>
      <c r="P1779" s="38" t="s">
        <v>60</v>
      </c>
      <c r="Q1779" s="38" t="s">
        <v>601</v>
      </c>
      <c r="R1779" s="38" t="s">
        <v>270</v>
      </c>
      <c r="S1779" s="38" t="s">
        <v>4644</v>
      </c>
      <c r="T1779" s="38" t="s">
        <v>4645</v>
      </c>
      <c r="U1779" s="38"/>
      <c r="V1779" s="38"/>
      <c r="W1779" s="38"/>
      <c r="X1779" s="14"/>
      <c r="AN1779" s="7" t="s">
        <v>70</v>
      </c>
      <c r="AO1779" s="21">
        <f t="shared" si="89"/>
        <v>0</v>
      </c>
      <c r="AP1779" s="7">
        <f t="shared" si="90"/>
        <v>15.59</v>
      </c>
      <c r="AQ1779" s="31" t="str">
        <f t="shared" si="91"/>
        <v>Complete - No Adjustment</v>
      </c>
    </row>
    <row r="1780" spans="1:43" x14ac:dyDescent="0.2">
      <c r="A1780" s="46">
        <v>1770</v>
      </c>
      <c r="B1780" s="38" t="s">
        <v>266</v>
      </c>
      <c r="C1780" s="38" t="s">
        <v>4646</v>
      </c>
      <c r="D1780" s="38" t="s">
        <v>4647</v>
      </c>
      <c r="E1780" s="38" t="s">
        <v>4648</v>
      </c>
      <c r="F1780" s="38" t="s">
        <v>4221</v>
      </c>
      <c r="G1780" s="38" t="s">
        <v>111</v>
      </c>
      <c r="H1780" s="44">
        <v>44090</v>
      </c>
      <c r="I1780" s="44">
        <v>44097</v>
      </c>
      <c r="J1780">
        <v>14.59</v>
      </c>
      <c r="K1780">
        <v>14.59</v>
      </c>
      <c r="L1780" t="s">
        <v>4649</v>
      </c>
      <c r="M1780" s="45" t="s">
        <v>98</v>
      </c>
      <c r="N1780" s="38" t="s">
        <v>230</v>
      </c>
      <c r="O1780" s="38" t="s">
        <v>280</v>
      </c>
      <c r="P1780" s="38" t="s">
        <v>60</v>
      </c>
      <c r="Q1780" s="38" t="s">
        <v>46</v>
      </c>
      <c r="R1780" s="38" t="s">
        <v>270</v>
      </c>
      <c r="S1780" s="38" t="s">
        <v>4650</v>
      </c>
      <c r="T1780" s="38" t="s">
        <v>4651</v>
      </c>
      <c r="U1780" s="38"/>
      <c r="V1780" s="38"/>
      <c r="W1780" s="38"/>
      <c r="X1780" s="14"/>
      <c r="AN1780" s="7" t="s">
        <v>4219</v>
      </c>
      <c r="AO1780" s="21">
        <f t="shared" si="89"/>
        <v>0</v>
      </c>
      <c r="AP1780" s="7">
        <f t="shared" si="90"/>
        <v>14.59</v>
      </c>
      <c r="AQ1780" s="31" t="str">
        <f t="shared" si="91"/>
        <v>Complete - No Adjustment</v>
      </c>
    </row>
    <row r="1781" spans="1:43" x14ac:dyDescent="0.2">
      <c r="A1781" s="46">
        <v>1771</v>
      </c>
      <c r="B1781" s="38" t="s">
        <v>266</v>
      </c>
      <c r="C1781" s="38" t="s">
        <v>650</v>
      </c>
      <c r="D1781" s="38" t="s">
        <v>649</v>
      </c>
      <c r="E1781" s="38" t="s">
        <v>4652</v>
      </c>
      <c r="F1781" s="38" t="s">
        <v>4224</v>
      </c>
      <c r="G1781" s="38" t="s">
        <v>111</v>
      </c>
      <c r="H1781" s="44">
        <v>44091</v>
      </c>
      <c r="I1781" s="44">
        <v>44092</v>
      </c>
      <c r="J1781">
        <v>12.58</v>
      </c>
      <c r="K1781">
        <v>12.58</v>
      </c>
      <c r="L1781" t="s">
        <v>4653</v>
      </c>
      <c r="M1781" s="45" t="s">
        <v>98</v>
      </c>
      <c r="N1781" s="38" t="s">
        <v>230</v>
      </c>
      <c r="O1781" s="38" t="s">
        <v>317</v>
      </c>
      <c r="P1781" s="38" t="s">
        <v>60</v>
      </c>
      <c r="Q1781" s="38" t="s">
        <v>41</v>
      </c>
      <c r="R1781" s="38" t="s">
        <v>270</v>
      </c>
      <c r="S1781" s="38" t="s">
        <v>4654</v>
      </c>
      <c r="T1781" s="38" t="s">
        <v>4655</v>
      </c>
      <c r="U1781" s="38"/>
      <c r="V1781" s="38"/>
      <c r="W1781" s="38"/>
      <c r="X1781" s="14"/>
      <c r="AN1781" s="7" t="s">
        <v>4219</v>
      </c>
      <c r="AO1781" s="21">
        <f t="shared" si="89"/>
        <v>0</v>
      </c>
      <c r="AP1781" s="7">
        <f t="shared" si="90"/>
        <v>12.58</v>
      </c>
      <c r="AQ1781" s="31" t="str">
        <f t="shared" si="91"/>
        <v>Complete - No Adjustment</v>
      </c>
    </row>
    <row r="1782" spans="1:43" x14ac:dyDescent="0.2">
      <c r="A1782" s="46">
        <v>1772</v>
      </c>
      <c r="B1782" s="38" t="s">
        <v>266</v>
      </c>
      <c r="C1782" s="38" t="s">
        <v>650</v>
      </c>
      <c r="D1782" s="38" t="s">
        <v>649</v>
      </c>
      <c r="E1782" s="38" t="s">
        <v>4656</v>
      </c>
      <c r="F1782" s="38" t="s">
        <v>4657</v>
      </c>
      <c r="G1782" s="38" t="s">
        <v>111</v>
      </c>
      <c r="H1782" s="44">
        <v>44076</v>
      </c>
      <c r="I1782" s="44">
        <v>44083</v>
      </c>
      <c r="J1782">
        <v>820.7</v>
      </c>
      <c r="K1782">
        <v>780</v>
      </c>
      <c r="L1782" t="s">
        <v>4658</v>
      </c>
      <c r="M1782" s="45" t="s">
        <v>98</v>
      </c>
      <c r="N1782" s="38" t="s">
        <v>230</v>
      </c>
      <c r="O1782" s="38" t="s">
        <v>317</v>
      </c>
      <c r="P1782" s="38" t="s">
        <v>60</v>
      </c>
      <c r="Q1782" s="38" t="s">
        <v>48</v>
      </c>
      <c r="R1782" s="38" t="s">
        <v>270</v>
      </c>
      <c r="S1782" s="38" t="s">
        <v>4659</v>
      </c>
      <c r="T1782" s="38" t="s">
        <v>4660</v>
      </c>
      <c r="U1782" s="38"/>
      <c r="V1782" s="38"/>
      <c r="W1782" s="38"/>
      <c r="X1782" s="14"/>
      <c r="AN1782" s="7" t="s">
        <v>70</v>
      </c>
      <c r="AO1782" s="21">
        <f t="shared" si="89"/>
        <v>0</v>
      </c>
      <c r="AP1782" s="7">
        <f t="shared" si="90"/>
        <v>780</v>
      </c>
      <c r="AQ1782" s="31" t="str">
        <f t="shared" si="91"/>
        <v>Complete - No Adjustment</v>
      </c>
    </row>
    <row r="1783" spans="1:43" x14ac:dyDescent="0.2">
      <c r="A1783" s="46">
        <v>1773</v>
      </c>
      <c r="B1783" s="38" t="s">
        <v>266</v>
      </c>
      <c r="C1783" s="38" t="s">
        <v>650</v>
      </c>
      <c r="D1783" s="38" t="s">
        <v>649</v>
      </c>
      <c r="E1783" s="38" t="s">
        <v>4656</v>
      </c>
      <c r="F1783" s="38" t="s">
        <v>4657</v>
      </c>
      <c r="G1783" s="38" t="s">
        <v>111</v>
      </c>
      <c r="H1783" s="44">
        <v>44076</v>
      </c>
      <c r="I1783" s="44">
        <v>44083</v>
      </c>
      <c r="J1783">
        <v>820.7</v>
      </c>
      <c r="K1783">
        <v>18.440000000000001</v>
      </c>
      <c r="L1783" t="s">
        <v>4658</v>
      </c>
      <c r="M1783" s="45" t="s">
        <v>98</v>
      </c>
      <c r="N1783" s="38" t="s">
        <v>230</v>
      </c>
      <c r="O1783" s="38" t="s">
        <v>317</v>
      </c>
      <c r="P1783" s="38" t="s">
        <v>60</v>
      </c>
      <c r="Q1783" s="38" t="s">
        <v>41</v>
      </c>
      <c r="R1783" s="38" t="s">
        <v>270</v>
      </c>
      <c r="S1783" s="38" t="s">
        <v>4659</v>
      </c>
      <c r="T1783" s="38" t="s">
        <v>4661</v>
      </c>
      <c r="U1783" s="38"/>
      <c r="V1783" s="38"/>
      <c r="W1783" s="38"/>
      <c r="X1783" s="14"/>
      <c r="AN1783" s="7" t="s">
        <v>70</v>
      </c>
      <c r="AO1783" s="21">
        <f t="shared" si="89"/>
        <v>0</v>
      </c>
      <c r="AP1783" s="7">
        <f t="shared" si="90"/>
        <v>18.440000000000001</v>
      </c>
      <c r="AQ1783" s="31" t="str">
        <f t="shared" si="91"/>
        <v>Complete - No Adjustment</v>
      </c>
    </row>
    <row r="1784" spans="1:43" x14ac:dyDescent="0.2">
      <c r="A1784" s="46">
        <v>1774</v>
      </c>
      <c r="B1784" s="38" t="s">
        <v>266</v>
      </c>
      <c r="C1784" s="38" t="s">
        <v>650</v>
      </c>
      <c r="D1784" s="38" t="s">
        <v>649</v>
      </c>
      <c r="E1784" s="38" t="s">
        <v>4656</v>
      </c>
      <c r="F1784" s="38" t="s">
        <v>4657</v>
      </c>
      <c r="G1784" s="38" t="s">
        <v>111</v>
      </c>
      <c r="H1784" s="44">
        <v>44076</v>
      </c>
      <c r="I1784" s="44">
        <v>44083</v>
      </c>
      <c r="J1784">
        <v>820.7</v>
      </c>
      <c r="K1784">
        <v>22.26</v>
      </c>
      <c r="L1784" t="s">
        <v>4658</v>
      </c>
      <c r="M1784" s="45" t="s">
        <v>98</v>
      </c>
      <c r="N1784" s="38" t="s">
        <v>230</v>
      </c>
      <c r="O1784" s="38" t="s">
        <v>317</v>
      </c>
      <c r="P1784" s="38" t="s">
        <v>60</v>
      </c>
      <c r="Q1784" s="38" t="s">
        <v>41</v>
      </c>
      <c r="R1784" s="38" t="s">
        <v>270</v>
      </c>
      <c r="S1784" s="38" t="s">
        <v>4659</v>
      </c>
      <c r="T1784" s="38" t="s">
        <v>3896</v>
      </c>
      <c r="U1784" s="38"/>
      <c r="V1784" s="38"/>
      <c r="W1784" s="38"/>
      <c r="X1784" s="14"/>
      <c r="AN1784" s="7" t="s">
        <v>70</v>
      </c>
      <c r="AO1784" s="21">
        <f t="shared" si="89"/>
        <v>0</v>
      </c>
      <c r="AP1784" s="7">
        <f t="shared" si="90"/>
        <v>22.26</v>
      </c>
      <c r="AQ1784" s="31" t="str">
        <f t="shared" si="91"/>
        <v>Complete - No Adjustment</v>
      </c>
    </row>
    <row r="1785" spans="1:43" x14ac:dyDescent="0.2">
      <c r="A1785" s="46">
        <v>1775</v>
      </c>
      <c r="B1785" s="38" t="s">
        <v>266</v>
      </c>
      <c r="C1785" s="38" t="s">
        <v>723</v>
      </c>
      <c r="D1785" s="38" t="s">
        <v>722</v>
      </c>
      <c r="E1785" s="38" t="s">
        <v>4662</v>
      </c>
      <c r="F1785" s="38" t="s">
        <v>4358</v>
      </c>
      <c r="G1785" s="38" t="s">
        <v>111</v>
      </c>
      <c r="H1785" s="44">
        <v>44095</v>
      </c>
      <c r="I1785" s="44">
        <v>44098</v>
      </c>
      <c r="J1785">
        <v>171.1</v>
      </c>
      <c r="K1785">
        <v>15.69</v>
      </c>
      <c r="L1785" t="s">
        <v>4663</v>
      </c>
      <c r="M1785" s="45" t="s">
        <v>98</v>
      </c>
      <c r="N1785" s="38" t="s">
        <v>230</v>
      </c>
      <c r="O1785" s="38" t="s">
        <v>281</v>
      </c>
      <c r="P1785" s="38" t="s">
        <v>60</v>
      </c>
      <c r="Q1785" s="38" t="s">
        <v>41</v>
      </c>
      <c r="R1785" s="38" t="s">
        <v>270</v>
      </c>
      <c r="S1785" s="38" t="s">
        <v>4664</v>
      </c>
      <c r="T1785" s="38" t="s">
        <v>4665</v>
      </c>
      <c r="U1785" s="38"/>
      <c r="V1785" s="38"/>
      <c r="W1785" s="38"/>
      <c r="X1785" s="14"/>
      <c r="AN1785" s="7" t="s">
        <v>155</v>
      </c>
      <c r="AO1785" s="21">
        <f t="shared" si="89"/>
        <v>0</v>
      </c>
      <c r="AP1785" s="7">
        <f t="shared" si="90"/>
        <v>15.69</v>
      </c>
      <c r="AQ1785" s="31" t="str">
        <f t="shared" si="91"/>
        <v>Complete - No Adjustment</v>
      </c>
    </row>
    <row r="1786" spans="1:43" x14ac:dyDescent="0.2">
      <c r="A1786" s="46">
        <v>1776</v>
      </c>
      <c r="B1786" s="38" t="s">
        <v>266</v>
      </c>
      <c r="C1786" s="38" t="s">
        <v>723</v>
      </c>
      <c r="D1786" s="38" t="s">
        <v>722</v>
      </c>
      <c r="E1786" s="38" t="s">
        <v>4662</v>
      </c>
      <c r="F1786" s="38" t="s">
        <v>4358</v>
      </c>
      <c r="G1786" s="38" t="s">
        <v>111</v>
      </c>
      <c r="H1786" s="44">
        <v>44095</v>
      </c>
      <c r="I1786" s="44">
        <v>44098</v>
      </c>
      <c r="J1786">
        <v>171.1</v>
      </c>
      <c r="K1786">
        <v>15.69</v>
      </c>
      <c r="L1786" t="s">
        <v>4663</v>
      </c>
      <c r="M1786" s="45" t="s">
        <v>98</v>
      </c>
      <c r="N1786" s="38" t="s">
        <v>230</v>
      </c>
      <c r="O1786" s="38" t="s">
        <v>281</v>
      </c>
      <c r="P1786" s="38" t="s">
        <v>60</v>
      </c>
      <c r="Q1786" s="38" t="s">
        <v>41</v>
      </c>
      <c r="R1786" s="38" t="s">
        <v>270</v>
      </c>
      <c r="S1786" s="38" t="s">
        <v>4664</v>
      </c>
      <c r="T1786" s="38" t="s">
        <v>4665</v>
      </c>
      <c r="U1786" s="38"/>
      <c r="V1786" s="38"/>
      <c r="W1786" s="38"/>
      <c r="X1786" s="14"/>
      <c r="AN1786" s="7" t="s">
        <v>155</v>
      </c>
      <c r="AO1786" s="21">
        <f t="shared" si="89"/>
        <v>0</v>
      </c>
      <c r="AP1786" s="7">
        <f t="shared" si="90"/>
        <v>15.69</v>
      </c>
      <c r="AQ1786" s="31" t="str">
        <f t="shared" si="91"/>
        <v>Complete - No Adjustment</v>
      </c>
    </row>
    <row r="1787" spans="1:43" x14ac:dyDescent="0.2">
      <c r="A1787" s="46">
        <v>1777</v>
      </c>
      <c r="B1787" s="38" t="s">
        <v>266</v>
      </c>
      <c r="C1787" s="38" t="s">
        <v>723</v>
      </c>
      <c r="D1787" s="38" t="s">
        <v>722</v>
      </c>
      <c r="E1787" s="38" t="s">
        <v>4662</v>
      </c>
      <c r="F1787" s="38" t="s">
        <v>4358</v>
      </c>
      <c r="G1787" s="38" t="s">
        <v>111</v>
      </c>
      <c r="H1787" s="44">
        <v>44095</v>
      </c>
      <c r="I1787" s="44">
        <v>44098</v>
      </c>
      <c r="J1787">
        <v>171.1</v>
      </c>
      <c r="K1787">
        <v>20.56</v>
      </c>
      <c r="L1787" t="s">
        <v>4663</v>
      </c>
      <c r="M1787" s="45" t="s">
        <v>98</v>
      </c>
      <c r="N1787" s="38" t="s">
        <v>230</v>
      </c>
      <c r="O1787" s="38" t="s">
        <v>281</v>
      </c>
      <c r="P1787" s="38" t="s">
        <v>60</v>
      </c>
      <c r="Q1787" s="38" t="s">
        <v>62</v>
      </c>
      <c r="R1787" s="38" t="s">
        <v>270</v>
      </c>
      <c r="S1787" s="38" t="s">
        <v>4664</v>
      </c>
      <c r="T1787" s="38" t="s">
        <v>4666</v>
      </c>
      <c r="U1787" s="38"/>
      <c r="V1787" s="38"/>
      <c r="W1787" s="38"/>
      <c r="X1787" s="14"/>
      <c r="AL1787" s="14">
        <f>20.56</f>
        <v>20.56</v>
      </c>
      <c r="AN1787" s="7" t="s">
        <v>146</v>
      </c>
      <c r="AO1787" s="21">
        <f t="shared" si="89"/>
        <v>20.56</v>
      </c>
      <c r="AP1787" s="7">
        <f t="shared" si="90"/>
        <v>0</v>
      </c>
      <c r="AQ1787" s="31" t="str">
        <f t="shared" si="91"/>
        <v>Complete - With Adjustment</v>
      </c>
    </row>
    <row r="1788" spans="1:43" x14ac:dyDescent="0.2">
      <c r="A1788" s="46">
        <v>1778</v>
      </c>
      <c r="B1788" s="38" t="s">
        <v>266</v>
      </c>
      <c r="C1788" s="38" t="s">
        <v>723</v>
      </c>
      <c r="D1788" s="38" t="s">
        <v>722</v>
      </c>
      <c r="E1788" s="38" t="s">
        <v>4662</v>
      </c>
      <c r="F1788" s="38" t="s">
        <v>4358</v>
      </c>
      <c r="G1788" s="38" t="s">
        <v>111</v>
      </c>
      <c r="H1788" s="44">
        <v>44095</v>
      </c>
      <c r="I1788" s="44">
        <v>44098</v>
      </c>
      <c r="J1788">
        <v>171.1</v>
      </c>
      <c r="K1788">
        <v>17.41</v>
      </c>
      <c r="L1788" t="s">
        <v>4663</v>
      </c>
      <c r="M1788" s="45" t="s">
        <v>98</v>
      </c>
      <c r="N1788" s="38" t="s">
        <v>230</v>
      </c>
      <c r="O1788" s="38" t="s">
        <v>281</v>
      </c>
      <c r="P1788" s="38" t="s">
        <v>60</v>
      </c>
      <c r="Q1788" s="38" t="s">
        <v>41</v>
      </c>
      <c r="R1788" s="38" t="s">
        <v>270</v>
      </c>
      <c r="S1788" s="38" t="s">
        <v>4664</v>
      </c>
      <c r="T1788" s="38" t="s">
        <v>4665</v>
      </c>
      <c r="U1788" s="38"/>
      <c r="V1788" s="38"/>
      <c r="W1788" s="38"/>
      <c r="X1788" s="14"/>
      <c r="AN1788" s="7" t="s">
        <v>155</v>
      </c>
      <c r="AO1788" s="21">
        <f t="shared" si="89"/>
        <v>0</v>
      </c>
      <c r="AP1788" s="7">
        <f t="shared" si="90"/>
        <v>17.41</v>
      </c>
      <c r="AQ1788" s="31" t="str">
        <f t="shared" si="91"/>
        <v>Complete - No Adjustment</v>
      </c>
    </row>
    <row r="1789" spans="1:43" x14ac:dyDescent="0.2">
      <c r="A1789" s="46">
        <v>1779</v>
      </c>
      <c r="B1789" s="38" t="s">
        <v>266</v>
      </c>
      <c r="C1789" s="38" t="s">
        <v>723</v>
      </c>
      <c r="D1789" s="38" t="s">
        <v>722</v>
      </c>
      <c r="E1789" s="38" t="s">
        <v>4662</v>
      </c>
      <c r="F1789" s="38" t="s">
        <v>4358</v>
      </c>
      <c r="G1789" s="38" t="s">
        <v>111</v>
      </c>
      <c r="H1789" s="44">
        <v>44095</v>
      </c>
      <c r="I1789" s="44">
        <v>44098</v>
      </c>
      <c r="J1789">
        <v>171.1</v>
      </c>
      <c r="K1789">
        <v>26</v>
      </c>
      <c r="L1789" t="s">
        <v>4663</v>
      </c>
      <c r="M1789" s="45" t="s">
        <v>98</v>
      </c>
      <c r="N1789" s="38" t="s">
        <v>230</v>
      </c>
      <c r="O1789" s="38" t="s">
        <v>281</v>
      </c>
      <c r="P1789" s="38" t="s">
        <v>60</v>
      </c>
      <c r="Q1789" s="38" t="s">
        <v>41</v>
      </c>
      <c r="R1789" s="38" t="s">
        <v>270</v>
      </c>
      <c r="S1789" s="38" t="s">
        <v>4664</v>
      </c>
      <c r="T1789" s="38" t="s">
        <v>4667</v>
      </c>
      <c r="U1789" s="38"/>
      <c r="V1789" s="38"/>
      <c r="W1789" s="38"/>
      <c r="X1789" s="14"/>
      <c r="AN1789" s="7" t="s">
        <v>155</v>
      </c>
      <c r="AO1789" s="21">
        <f t="shared" si="89"/>
        <v>0</v>
      </c>
      <c r="AP1789" s="7">
        <f t="shared" si="90"/>
        <v>26</v>
      </c>
      <c r="AQ1789" s="31" t="str">
        <f t="shared" si="91"/>
        <v>Complete - No Adjustment</v>
      </c>
    </row>
    <row r="1790" spans="1:43" x14ac:dyDescent="0.2">
      <c r="A1790" s="46">
        <v>1780</v>
      </c>
      <c r="B1790" s="38" t="s">
        <v>266</v>
      </c>
      <c r="C1790" s="38" t="s">
        <v>723</v>
      </c>
      <c r="D1790" s="38" t="s">
        <v>722</v>
      </c>
      <c r="E1790" s="38" t="s">
        <v>4662</v>
      </c>
      <c r="F1790" s="38" t="s">
        <v>4358</v>
      </c>
      <c r="G1790" s="38" t="s">
        <v>111</v>
      </c>
      <c r="H1790" s="44">
        <v>44095</v>
      </c>
      <c r="I1790" s="44">
        <v>44098</v>
      </c>
      <c r="J1790">
        <v>171.1</v>
      </c>
      <c r="K1790">
        <v>75.75</v>
      </c>
      <c r="L1790" t="s">
        <v>4663</v>
      </c>
      <c r="M1790" s="45" t="s">
        <v>98</v>
      </c>
      <c r="N1790" s="38" t="s">
        <v>230</v>
      </c>
      <c r="O1790" s="38" t="s">
        <v>281</v>
      </c>
      <c r="P1790" s="38" t="s">
        <v>60</v>
      </c>
      <c r="Q1790" s="38" t="s">
        <v>62</v>
      </c>
      <c r="R1790" s="38" t="s">
        <v>270</v>
      </c>
      <c r="S1790" s="38" t="s">
        <v>4664</v>
      </c>
      <c r="T1790" s="38" t="s">
        <v>4668</v>
      </c>
      <c r="U1790" s="38"/>
      <c r="V1790" s="38"/>
      <c r="W1790" s="38"/>
      <c r="X1790" s="14"/>
      <c r="AN1790" s="7" t="s">
        <v>155</v>
      </c>
      <c r="AO1790" s="21">
        <f t="shared" si="89"/>
        <v>0</v>
      </c>
      <c r="AP1790" s="7">
        <f t="shared" si="90"/>
        <v>75.75</v>
      </c>
      <c r="AQ1790" s="31" t="str">
        <f t="shared" si="91"/>
        <v>Complete - No Adjustment</v>
      </c>
    </row>
    <row r="1791" spans="1:43" x14ac:dyDescent="0.2">
      <c r="A1791" s="46">
        <v>1781</v>
      </c>
      <c r="B1791" s="38" t="s">
        <v>266</v>
      </c>
      <c r="C1791" s="38" t="s">
        <v>600</v>
      </c>
      <c r="D1791" s="38" t="s">
        <v>599</v>
      </c>
      <c r="E1791" s="38" t="s">
        <v>4669</v>
      </c>
      <c r="F1791" s="38" t="s">
        <v>4432</v>
      </c>
      <c r="G1791" s="38" t="s">
        <v>111</v>
      </c>
      <c r="H1791" s="44">
        <v>44081</v>
      </c>
      <c r="I1791" s="44">
        <v>44091</v>
      </c>
      <c r="J1791">
        <v>35.56</v>
      </c>
      <c r="K1791">
        <v>35.56</v>
      </c>
      <c r="L1791" t="s">
        <v>4670</v>
      </c>
      <c r="M1791" s="45" t="s">
        <v>98</v>
      </c>
      <c r="N1791" s="38" t="s">
        <v>230</v>
      </c>
      <c r="O1791" s="38" t="s">
        <v>287</v>
      </c>
      <c r="P1791" s="38" t="s">
        <v>60</v>
      </c>
      <c r="Q1791" s="38" t="s">
        <v>62</v>
      </c>
      <c r="R1791" s="38" t="s">
        <v>270</v>
      </c>
      <c r="S1791" s="38" t="s">
        <v>4671</v>
      </c>
      <c r="T1791" s="38" t="s">
        <v>4672</v>
      </c>
      <c r="U1791" s="38"/>
      <c r="V1791" s="38"/>
      <c r="W1791" s="38"/>
      <c r="X1791" s="14"/>
      <c r="AN1791" s="7" t="s">
        <v>155</v>
      </c>
      <c r="AO1791" s="21">
        <f t="shared" si="89"/>
        <v>0</v>
      </c>
      <c r="AP1791" s="7">
        <f t="shared" si="90"/>
        <v>35.56</v>
      </c>
      <c r="AQ1791" s="31" t="str">
        <f t="shared" si="91"/>
        <v>Complete - No Adjustment</v>
      </c>
    </row>
    <row r="1792" spans="1:43" x14ac:dyDescent="0.2">
      <c r="A1792" s="46">
        <v>1782</v>
      </c>
      <c r="B1792" s="38" t="s">
        <v>266</v>
      </c>
      <c r="C1792" s="38" t="s">
        <v>752</v>
      </c>
      <c r="D1792" s="38" t="s">
        <v>4673</v>
      </c>
      <c r="E1792" s="38" t="s">
        <v>4674</v>
      </c>
      <c r="F1792" s="38" t="s">
        <v>4215</v>
      </c>
      <c r="G1792" s="38" t="s">
        <v>111</v>
      </c>
      <c r="H1792" s="44">
        <v>44092</v>
      </c>
      <c r="I1792" s="44">
        <v>44096</v>
      </c>
      <c r="J1792">
        <v>244.46</v>
      </c>
      <c r="K1792">
        <v>136.09</v>
      </c>
      <c r="L1792" t="s">
        <v>4675</v>
      </c>
      <c r="M1792" s="45" t="s">
        <v>98</v>
      </c>
      <c r="N1792" s="38" t="s">
        <v>230</v>
      </c>
      <c r="O1792" s="38" t="s">
        <v>386</v>
      </c>
      <c r="P1792" s="38" t="s">
        <v>60</v>
      </c>
      <c r="Q1792" s="38" t="s">
        <v>46</v>
      </c>
      <c r="R1792" s="38" t="s">
        <v>270</v>
      </c>
      <c r="S1792" s="38" t="s">
        <v>4676</v>
      </c>
      <c r="T1792" s="38" t="s">
        <v>4677</v>
      </c>
      <c r="U1792" s="38"/>
      <c r="V1792" s="38"/>
      <c r="W1792" s="38"/>
      <c r="X1792" s="14"/>
      <c r="AI1792" s="53">
        <f>136.09</f>
        <v>136.09</v>
      </c>
      <c r="AN1792" s="7" t="s">
        <v>145</v>
      </c>
      <c r="AO1792" s="21">
        <f t="shared" si="89"/>
        <v>136.09</v>
      </c>
      <c r="AP1792" s="7">
        <f t="shared" si="90"/>
        <v>0</v>
      </c>
      <c r="AQ1792" s="31" t="str">
        <f t="shared" si="91"/>
        <v>Complete - With Adjustment</v>
      </c>
    </row>
    <row r="1793" spans="1:43" x14ac:dyDescent="0.2">
      <c r="A1793" s="46">
        <v>1783</v>
      </c>
      <c r="B1793" s="38" t="s">
        <v>266</v>
      </c>
      <c r="C1793" s="38" t="s">
        <v>752</v>
      </c>
      <c r="D1793" s="38" t="s">
        <v>4673</v>
      </c>
      <c r="E1793" s="38" t="s">
        <v>4674</v>
      </c>
      <c r="F1793" s="38" t="s">
        <v>4215</v>
      </c>
      <c r="G1793" s="38" t="s">
        <v>111</v>
      </c>
      <c r="H1793" s="44">
        <v>44092</v>
      </c>
      <c r="I1793" s="44">
        <v>44096</v>
      </c>
      <c r="J1793">
        <v>244.46</v>
      </c>
      <c r="K1793">
        <v>108.37</v>
      </c>
      <c r="L1793" t="s">
        <v>4675</v>
      </c>
      <c r="M1793" s="45" t="s">
        <v>98</v>
      </c>
      <c r="N1793" s="38" t="s">
        <v>230</v>
      </c>
      <c r="O1793" s="38" t="s">
        <v>386</v>
      </c>
      <c r="P1793" s="38" t="s">
        <v>40</v>
      </c>
      <c r="Q1793" s="38" t="s">
        <v>46</v>
      </c>
      <c r="R1793" s="38" t="s">
        <v>270</v>
      </c>
      <c r="S1793" s="38" t="s">
        <v>4676</v>
      </c>
      <c r="T1793" s="38" t="s">
        <v>4677</v>
      </c>
      <c r="U1793" s="38"/>
      <c r="V1793" s="38"/>
      <c r="W1793" s="38"/>
      <c r="X1793" s="14"/>
      <c r="AI1793" s="53">
        <f>108.37</f>
        <v>108.37</v>
      </c>
      <c r="AN1793" s="7" t="s">
        <v>145</v>
      </c>
      <c r="AO1793" s="21">
        <f t="shared" si="89"/>
        <v>108.37</v>
      </c>
      <c r="AP1793" s="7">
        <f t="shared" si="90"/>
        <v>0</v>
      </c>
      <c r="AQ1793" s="31" t="str">
        <f t="shared" si="91"/>
        <v>Complete - With Adjustment</v>
      </c>
    </row>
    <row r="1794" spans="1:43" x14ac:dyDescent="0.2">
      <c r="A1794" s="46">
        <v>1784</v>
      </c>
      <c r="B1794" s="38" t="s">
        <v>266</v>
      </c>
      <c r="C1794" s="38" t="s">
        <v>752</v>
      </c>
      <c r="D1794" s="38" t="s">
        <v>4673</v>
      </c>
      <c r="E1794" s="38" t="s">
        <v>4678</v>
      </c>
      <c r="F1794" s="38" t="s">
        <v>4215</v>
      </c>
      <c r="G1794" s="38" t="s">
        <v>111</v>
      </c>
      <c r="H1794" s="44">
        <v>44092</v>
      </c>
      <c r="I1794" s="44">
        <v>44096</v>
      </c>
      <c r="J1794">
        <v>292.26</v>
      </c>
      <c r="K1794">
        <v>129.56</v>
      </c>
      <c r="L1794" t="s">
        <v>4679</v>
      </c>
      <c r="M1794" s="45" t="s">
        <v>98</v>
      </c>
      <c r="N1794" s="38" t="s">
        <v>230</v>
      </c>
      <c r="O1794" s="38" t="s">
        <v>386</v>
      </c>
      <c r="P1794" s="38" t="s">
        <v>40</v>
      </c>
      <c r="Q1794" s="38" t="s">
        <v>46</v>
      </c>
      <c r="R1794" s="38" t="s">
        <v>270</v>
      </c>
      <c r="S1794" s="38" t="s">
        <v>4680</v>
      </c>
      <c r="T1794" s="38" t="s">
        <v>4681</v>
      </c>
      <c r="U1794" s="38"/>
      <c r="V1794" s="38"/>
      <c r="W1794" s="38"/>
      <c r="X1794" s="14"/>
      <c r="AI1794" s="53">
        <f>129.56</f>
        <v>129.56</v>
      </c>
      <c r="AN1794" s="7" t="s">
        <v>145</v>
      </c>
      <c r="AO1794" s="21">
        <f t="shared" si="89"/>
        <v>129.56</v>
      </c>
      <c r="AP1794" s="7">
        <f t="shared" si="90"/>
        <v>0</v>
      </c>
      <c r="AQ1794" s="31" t="str">
        <f t="shared" si="91"/>
        <v>Complete - With Adjustment</v>
      </c>
    </row>
    <row r="1795" spans="1:43" x14ac:dyDescent="0.2">
      <c r="A1795" s="46">
        <v>1785</v>
      </c>
      <c r="B1795" s="38" t="s">
        <v>266</v>
      </c>
      <c r="C1795" s="38" t="s">
        <v>752</v>
      </c>
      <c r="D1795" s="38" t="s">
        <v>4673</v>
      </c>
      <c r="E1795" s="38" t="s">
        <v>4678</v>
      </c>
      <c r="F1795" s="38" t="s">
        <v>4215</v>
      </c>
      <c r="G1795" s="38" t="s">
        <v>111</v>
      </c>
      <c r="H1795" s="44">
        <v>44092</v>
      </c>
      <c r="I1795" s="44">
        <v>44096</v>
      </c>
      <c r="J1795">
        <v>292.26</v>
      </c>
      <c r="K1795">
        <v>162.69999999999999</v>
      </c>
      <c r="L1795" t="s">
        <v>4679</v>
      </c>
      <c r="M1795" s="45" t="s">
        <v>98</v>
      </c>
      <c r="N1795" s="38" t="s">
        <v>230</v>
      </c>
      <c r="O1795" s="38" t="s">
        <v>386</v>
      </c>
      <c r="P1795" s="38" t="s">
        <v>60</v>
      </c>
      <c r="Q1795" s="38" t="s">
        <v>46</v>
      </c>
      <c r="R1795" s="38" t="s">
        <v>270</v>
      </c>
      <c r="S1795" s="38" t="s">
        <v>4680</v>
      </c>
      <c r="T1795" s="38" t="s">
        <v>4681</v>
      </c>
      <c r="U1795" s="38"/>
      <c r="V1795" s="38"/>
      <c r="W1795" s="38"/>
      <c r="X1795" s="14"/>
      <c r="AI1795" s="53">
        <f>162.7</f>
        <v>162.69999999999999</v>
      </c>
      <c r="AN1795" s="7" t="s">
        <v>145</v>
      </c>
      <c r="AO1795" s="21">
        <f t="shared" si="89"/>
        <v>162.69999999999999</v>
      </c>
      <c r="AP1795" s="7">
        <f t="shared" si="90"/>
        <v>0</v>
      </c>
      <c r="AQ1795" s="31" t="str">
        <f t="shared" si="91"/>
        <v>Complete - With Adjustment</v>
      </c>
    </row>
    <row r="1796" spans="1:43" x14ac:dyDescent="0.2">
      <c r="A1796" s="46">
        <v>1786</v>
      </c>
      <c r="B1796" s="38" t="s">
        <v>266</v>
      </c>
      <c r="C1796" s="38" t="s">
        <v>752</v>
      </c>
      <c r="D1796" s="38" t="s">
        <v>4673</v>
      </c>
      <c r="E1796" s="38" t="s">
        <v>4682</v>
      </c>
      <c r="F1796" s="38" t="s">
        <v>4238</v>
      </c>
      <c r="G1796" s="38" t="s">
        <v>111</v>
      </c>
      <c r="H1796" s="44">
        <v>44098</v>
      </c>
      <c r="I1796" s="44">
        <v>44102</v>
      </c>
      <c r="J1796">
        <v>470.41</v>
      </c>
      <c r="K1796">
        <v>256.07</v>
      </c>
      <c r="L1796" t="s">
        <v>4683</v>
      </c>
      <c r="M1796" s="45" t="s">
        <v>97</v>
      </c>
      <c r="N1796" s="38" t="s">
        <v>230</v>
      </c>
      <c r="O1796" s="38" t="s">
        <v>386</v>
      </c>
      <c r="P1796" s="38" t="s">
        <v>42</v>
      </c>
      <c r="Q1796" s="38" t="s">
        <v>55</v>
      </c>
      <c r="R1796" s="38" t="s">
        <v>270</v>
      </c>
      <c r="S1796" s="38" t="s">
        <v>4684</v>
      </c>
      <c r="T1796" s="38" t="s">
        <v>4685</v>
      </c>
      <c r="U1796" s="38"/>
      <c r="V1796" s="38"/>
      <c r="W1796" s="38"/>
      <c r="X1796" s="14"/>
      <c r="AI1796" s="53">
        <f>256.07</f>
        <v>256.07</v>
      </c>
      <c r="AN1796" s="7" t="s">
        <v>145</v>
      </c>
      <c r="AO1796" s="21">
        <f t="shared" si="89"/>
        <v>256.07</v>
      </c>
      <c r="AP1796" s="7">
        <f t="shared" si="90"/>
        <v>0</v>
      </c>
      <c r="AQ1796" s="31" t="str">
        <f t="shared" si="91"/>
        <v>Complete - With Adjustment</v>
      </c>
    </row>
    <row r="1797" spans="1:43" x14ac:dyDescent="0.2">
      <c r="A1797" s="46">
        <v>1787</v>
      </c>
      <c r="B1797" s="38" t="s">
        <v>266</v>
      </c>
      <c r="C1797" s="38" t="s">
        <v>752</v>
      </c>
      <c r="D1797" s="38" t="s">
        <v>4673</v>
      </c>
      <c r="E1797" s="38" t="s">
        <v>4682</v>
      </c>
      <c r="F1797" s="38" t="s">
        <v>4238</v>
      </c>
      <c r="G1797" s="38" t="s">
        <v>111</v>
      </c>
      <c r="H1797" s="44">
        <v>44098</v>
      </c>
      <c r="I1797" s="44">
        <v>44102</v>
      </c>
      <c r="J1797">
        <v>470.41</v>
      </c>
      <c r="K1797">
        <v>214.34</v>
      </c>
      <c r="L1797" t="s">
        <v>4683</v>
      </c>
      <c r="M1797" s="45" t="s">
        <v>97</v>
      </c>
      <c r="N1797" s="38" t="s">
        <v>230</v>
      </c>
      <c r="O1797" s="38" t="s">
        <v>386</v>
      </c>
      <c r="P1797" s="38" t="s">
        <v>42</v>
      </c>
      <c r="Q1797" s="38" t="s">
        <v>55</v>
      </c>
      <c r="R1797" s="38" t="s">
        <v>270</v>
      </c>
      <c r="S1797" s="38" t="s">
        <v>4684</v>
      </c>
      <c r="T1797" s="38" t="s">
        <v>4686</v>
      </c>
      <c r="U1797" s="38"/>
      <c r="V1797" s="38"/>
      <c r="W1797" s="38"/>
      <c r="X1797" s="14"/>
      <c r="AI1797" s="53">
        <f>214.34</f>
        <v>214.34</v>
      </c>
      <c r="AN1797" s="7" t="s">
        <v>145</v>
      </c>
      <c r="AO1797" s="21">
        <f t="shared" si="89"/>
        <v>214.34</v>
      </c>
      <c r="AP1797" s="7">
        <f t="shared" si="90"/>
        <v>0</v>
      </c>
      <c r="AQ1797" s="31" t="str">
        <f t="shared" si="91"/>
        <v>Complete - With Adjustment</v>
      </c>
    </row>
    <row r="1798" spans="1:43" x14ac:dyDescent="0.2">
      <c r="A1798" s="46">
        <v>1788</v>
      </c>
      <c r="B1798" s="38" t="s">
        <v>266</v>
      </c>
      <c r="C1798" s="38" t="s">
        <v>752</v>
      </c>
      <c r="D1798" s="38" t="s">
        <v>4673</v>
      </c>
      <c r="E1798" s="38" t="s">
        <v>4687</v>
      </c>
      <c r="F1798" s="38" t="s">
        <v>4221</v>
      </c>
      <c r="G1798" s="38" t="s">
        <v>111</v>
      </c>
      <c r="H1798" s="44">
        <v>44095</v>
      </c>
      <c r="I1798" s="44">
        <v>44097</v>
      </c>
      <c r="J1798">
        <v>880.31</v>
      </c>
      <c r="K1798">
        <v>135.46</v>
      </c>
      <c r="L1798" t="s">
        <v>4688</v>
      </c>
      <c r="M1798" s="45" t="s">
        <v>98</v>
      </c>
      <c r="N1798" s="38" t="s">
        <v>230</v>
      </c>
      <c r="O1798" s="38" t="s">
        <v>386</v>
      </c>
      <c r="P1798" s="38" t="s">
        <v>40</v>
      </c>
      <c r="Q1798" s="38" t="s">
        <v>46</v>
      </c>
      <c r="R1798" s="38" t="s">
        <v>270</v>
      </c>
      <c r="S1798" s="38" t="s">
        <v>4689</v>
      </c>
      <c r="T1798" s="38" t="s">
        <v>4690</v>
      </c>
      <c r="U1798" s="38"/>
      <c r="V1798" s="38"/>
      <c r="W1798" s="38"/>
      <c r="X1798" s="14"/>
      <c r="AI1798" s="53">
        <f>135.46</f>
        <v>135.46</v>
      </c>
      <c r="AN1798" s="7" t="s">
        <v>145</v>
      </c>
      <c r="AO1798" s="21">
        <f t="shared" si="89"/>
        <v>135.46</v>
      </c>
      <c r="AP1798" s="7">
        <f t="shared" si="90"/>
        <v>0</v>
      </c>
      <c r="AQ1798" s="31" t="str">
        <f t="shared" si="91"/>
        <v>Complete - With Adjustment</v>
      </c>
    </row>
    <row r="1799" spans="1:43" x14ac:dyDescent="0.2">
      <c r="A1799" s="46">
        <v>1789</v>
      </c>
      <c r="B1799" s="38" t="s">
        <v>266</v>
      </c>
      <c r="C1799" s="38" t="s">
        <v>752</v>
      </c>
      <c r="D1799" s="38" t="s">
        <v>4673</v>
      </c>
      <c r="E1799" s="38" t="s">
        <v>4687</v>
      </c>
      <c r="F1799" s="38" t="s">
        <v>4221</v>
      </c>
      <c r="G1799" s="38" t="s">
        <v>111</v>
      </c>
      <c r="H1799" s="44">
        <v>44095</v>
      </c>
      <c r="I1799" s="44">
        <v>44097</v>
      </c>
      <c r="J1799">
        <v>880.31</v>
      </c>
      <c r="K1799">
        <v>110.82</v>
      </c>
      <c r="L1799" t="s">
        <v>4688</v>
      </c>
      <c r="M1799" s="45" t="s">
        <v>98</v>
      </c>
      <c r="N1799" s="38" t="s">
        <v>230</v>
      </c>
      <c r="O1799" s="38" t="s">
        <v>386</v>
      </c>
      <c r="P1799" s="38" t="s">
        <v>40</v>
      </c>
      <c r="Q1799" s="38" t="s">
        <v>46</v>
      </c>
      <c r="R1799" s="38" t="s">
        <v>270</v>
      </c>
      <c r="S1799" s="38" t="s">
        <v>4689</v>
      </c>
      <c r="T1799" s="38" t="s">
        <v>4691</v>
      </c>
      <c r="U1799" s="38"/>
      <c r="V1799" s="38"/>
      <c r="W1799" s="38"/>
      <c r="X1799" s="14"/>
      <c r="AI1799" s="53">
        <f>110.82</f>
        <v>110.82</v>
      </c>
      <c r="AN1799" s="7" t="s">
        <v>145</v>
      </c>
      <c r="AO1799" s="21">
        <f t="shared" si="89"/>
        <v>110.82</v>
      </c>
      <c r="AP1799" s="7">
        <f t="shared" si="90"/>
        <v>0</v>
      </c>
      <c r="AQ1799" s="31" t="str">
        <f t="shared" si="91"/>
        <v>Complete - With Adjustment</v>
      </c>
    </row>
    <row r="1800" spans="1:43" x14ac:dyDescent="0.2">
      <c r="A1800" s="46">
        <v>1790</v>
      </c>
      <c r="B1800" s="38" t="s">
        <v>266</v>
      </c>
      <c r="C1800" s="38" t="s">
        <v>752</v>
      </c>
      <c r="D1800" s="38" t="s">
        <v>4673</v>
      </c>
      <c r="E1800" s="38" t="s">
        <v>4687</v>
      </c>
      <c r="F1800" s="38" t="s">
        <v>4221</v>
      </c>
      <c r="G1800" s="38" t="s">
        <v>111</v>
      </c>
      <c r="H1800" s="44">
        <v>44095</v>
      </c>
      <c r="I1800" s="44">
        <v>44097</v>
      </c>
      <c r="J1800">
        <v>880.31</v>
      </c>
      <c r="K1800">
        <v>139.18</v>
      </c>
      <c r="L1800" t="s">
        <v>4688</v>
      </c>
      <c r="M1800" s="45" t="s">
        <v>98</v>
      </c>
      <c r="N1800" s="38" t="s">
        <v>230</v>
      </c>
      <c r="O1800" s="38" t="s">
        <v>386</v>
      </c>
      <c r="P1800" s="38" t="s">
        <v>60</v>
      </c>
      <c r="Q1800" s="38" t="s">
        <v>46</v>
      </c>
      <c r="R1800" s="38" t="s">
        <v>270</v>
      </c>
      <c r="S1800" s="38" t="s">
        <v>4689</v>
      </c>
      <c r="T1800" s="38" t="s">
        <v>4691</v>
      </c>
      <c r="U1800" s="38"/>
      <c r="V1800" s="38"/>
      <c r="W1800" s="38"/>
      <c r="X1800" s="14"/>
      <c r="AI1800" s="53">
        <f>139.18</f>
        <v>139.18</v>
      </c>
      <c r="AN1800" s="7" t="s">
        <v>145</v>
      </c>
      <c r="AO1800" s="21">
        <f t="shared" si="89"/>
        <v>139.18</v>
      </c>
      <c r="AP1800" s="7">
        <f t="shared" si="90"/>
        <v>0</v>
      </c>
      <c r="AQ1800" s="31" t="str">
        <f t="shared" si="91"/>
        <v>Complete - With Adjustment</v>
      </c>
    </row>
    <row r="1801" spans="1:43" x14ac:dyDescent="0.2">
      <c r="A1801" s="46">
        <v>1791</v>
      </c>
      <c r="B1801" s="38" t="s">
        <v>266</v>
      </c>
      <c r="C1801" s="38" t="s">
        <v>752</v>
      </c>
      <c r="D1801" s="38" t="s">
        <v>4673</v>
      </c>
      <c r="E1801" s="38" t="s">
        <v>4687</v>
      </c>
      <c r="F1801" s="38" t="s">
        <v>4221</v>
      </c>
      <c r="G1801" s="38" t="s">
        <v>111</v>
      </c>
      <c r="H1801" s="44">
        <v>44095</v>
      </c>
      <c r="I1801" s="44">
        <v>44097</v>
      </c>
      <c r="J1801">
        <v>880.31</v>
      </c>
      <c r="K1801">
        <v>180.78</v>
      </c>
      <c r="L1801" t="s">
        <v>4688</v>
      </c>
      <c r="M1801" s="45" t="s">
        <v>98</v>
      </c>
      <c r="N1801" s="38" t="s">
        <v>230</v>
      </c>
      <c r="O1801" s="38" t="s">
        <v>386</v>
      </c>
      <c r="P1801" s="38" t="s">
        <v>60</v>
      </c>
      <c r="Q1801" s="38" t="s">
        <v>46</v>
      </c>
      <c r="R1801" s="38" t="s">
        <v>270</v>
      </c>
      <c r="S1801" s="38" t="s">
        <v>4689</v>
      </c>
      <c r="T1801" s="38" t="s">
        <v>4692</v>
      </c>
      <c r="U1801" s="38"/>
      <c r="V1801" s="38"/>
      <c r="W1801" s="38"/>
      <c r="X1801" s="14"/>
      <c r="AI1801" s="53">
        <f>180.78</f>
        <v>180.78</v>
      </c>
      <c r="AN1801" s="7" t="s">
        <v>145</v>
      </c>
      <c r="AO1801" s="21">
        <f t="shared" si="89"/>
        <v>180.78</v>
      </c>
      <c r="AP1801" s="7">
        <f t="shared" si="90"/>
        <v>0</v>
      </c>
      <c r="AQ1801" s="31" t="str">
        <f t="shared" si="91"/>
        <v>Complete - With Adjustment</v>
      </c>
    </row>
    <row r="1802" spans="1:43" x14ac:dyDescent="0.2">
      <c r="A1802" s="46">
        <v>1792</v>
      </c>
      <c r="B1802" s="38" t="s">
        <v>266</v>
      </c>
      <c r="C1802" s="38" t="s">
        <v>752</v>
      </c>
      <c r="D1802" s="38" t="s">
        <v>4673</v>
      </c>
      <c r="E1802" s="38" t="s">
        <v>4687</v>
      </c>
      <c r="F1802" s="38" t="s">
        <v>4221</v>
      </c>
      <c r="G1802" s="38" t="s">
        <v>111</v>
      </c>
      <c r="H1802" s="44">
        <v>44095</v>
      </c>
      <c r="I1802" s="44">
        <v>44097</v>
      </c>
      <c r="J1802">
        <v>880.31</v>
      </c>
      <c r="K1802">
        <v>143.96</v>
      </c>
      <c r="L1802" t="s">
        <v>4688</v>
      </c>
      <c r="M1802" s="45" t="s">
        <v>98</v>
      </c>
      <c r="N1802" s="38" t="s">
        <v>230</v>
      </c>
      <c r="O1802" s="38" t="s">
        <v>386</v>
      </c>
      <c r="P1802" s="38" t="s">
        <v>40</v>
      </c>
      <c r="Q1802" s="38" t="s">
        <v>46</v>
      </c>
      <c r="R1802" s="38" t="s">
        <v>270</v>
      </c>
      <c r="S1802" s="38" t="s">
        <v>4689</v>
      </c>
      <c r="T1802" s="38" t="s">
        <v>4692</v>
      </c>
      <c r="U1802" s="38"/>
      <c r="V1802" s="38"/>
      <c r="W1802" s="38"/>
      <c r="X1802" s="14"/>
      <c r="AI1802" s="53">
        <f>143.96</f>
        <v>143.96</v>
      </c>
      <c r="AN1802" s="7" t="s">
        <v>145</v>
      </c>
      <c r="AO1802" s="21">
        <f t="shared" ref="AO1802:AO1866" si="92">SUM(Y1802:AL1802)</f>
        <v>143.96</v>
      </c>
      <c r="AP1802" s="7">
        <f t="shared" ref="AP1802:AP1865" si="93">K1802-AO1802</f>
        <v>0</v>
      </c>
      <c r="AQ1802" s="31" t="str">
        <f t="shared" si="91"/>
        <v>Complete - With Adjustment</v>
      </c>
    </row>
    <row r="1803" spans="1:43" x14ac:dyDescent="0.2">
      <c r="A1803" s="46">
        <v>1793</v>
      </c>
      <c r="B1803" s="38" t="s">
        <v>266</v>
      </c>
      <c r="C1803" s="38" t="s">
        <v>752</v>
      </c>
      <c r="D1803" s="38" t="s">
        <v>4673</v>
      </c>
      <c r="E1803" s="38" t="s">
        <v>4687</v>
      </c>
      <c r="F1803" s="38" t="s">
        <v>4221</v>
      </c>
      <c r="G1803" s="38" t="s">
        <v>111</v>
      </c>
      <c r="H1803" s="44">
        <v>44095</v>
      </c>
      <c r="I1803" s="44">
        <v>44097</v>
      </c>
      <c r="J1803">
        <v>880.31</v>
      </c>
      <c r="K1803">
        <v>170.11</v>
      </c>
      <c r="L1803" t="s">
        <v>4688</v>
      </c>
      <c r="M1803" s="45" t="s">
        <v>98</v>
      </c>
      <c r="N1803" s="38" t="s">
        <v>230</v>
      </c>
      <c r="O1803" s="38" t="s">
        <v>386</v>
      </c>
      <c r="P1803" s="38" t="s">
        <v>60</v>
      </c>
      <c r="Q1803" s="38" t="s">
        <v>46</v>
      </c>
      <c r="R1803" s="38" t="s">
        <v>270</v>
      </c>
      <c r="S1803" s="38" t="s">
        <v>4689</v>
      </c>
      <c r="T1803" s="38" t="s">
        <v>4690</v>
      </c>
      <c r="U1803" s="38"/>
      <c r="V1803" s="38"/>
      <c r="W1803" s="38"/>
      <c r="X1803" s="14"/>
      <c r="AI1803" s="53">
        <f>170.11</f>
        <v>170.11</v>
      </c>
      <c r="AN1803" s="7" t="s">
        <v>145</v>
      </c>
      <c r="AO1803" s="21">
        <f t="shared" si="92"/>
        <v>170.11</v>
      </c>
      <c r="AP1803" s="7">
        <f t="shared" si="93"/>
        <v>0</v>
      </c>
      <c r="AQ1803" s="31" t="str">
        <f t="shared" si="91"/>
        <v>Complete - With Adjustment</v>
      </c>
    </row>
    <row r="1804" spans="1:43" x14ac:dyDescent="0.2">
      <c r="A1804" s="46">
        <v>1794</v>
      </c>
      <c r="B1804" s="38" t="s">
        <v>266</v>
      </c>
      <c r="C1804" s="38" t="s">
        <v>532</v>
      </c>
      <c r="D1804" s="38" t="s">
        <v>531</v>
      </c>
      <c r="E1804" s="38" t="s">
        <v>4693</v>
      </c>
      <c r="F1804" s="38" t="s">
        <v>4224</v>
      </c>
      <c r="G1804" s="38" t="s">
        <v>111</v>
      </c>
      <c r="H1804" s="44">
        <v>44090</v>
      </c>
      <c r="I1804" s="44">
        <v>44092</v>
      </c>
      <c r="J1804">
        <v>9.09</v>
      </c>
      <c r="K1804">
        <v>9.09</v>
      </c>
      <c r="L1804" t="s">
        <v>4694</v>
      </c>
      <c r="M1804" s="45" t="s">
        <v>98</v>
      </c>
      <c r="N1804" s="38" t="s">
        <v>230</v>
      </c>
      <c r="O1804" s="38" t="s">
        <v>533</v>
      </c>
      <c r="P1804" s="38" t="s">
        <v>60</v>
      </c>
      <c r="Q1804" s="38" t="s">
        <v>46</v>
      </c>
      <c r="R1804" s="38" t="s">
        <v>270</v>
      </c>
      <c r="S1804" s="38" t="s">
        <v>4316</v>
      </c>
      <c r="T1804" s="38" t="s">
        <v>4695</v>
      </c>
      <c r="U1804" s="38"/>
      <c r="V1804" s="38"/>
      <c r="W1804" s="38"/>
      <c r="X1804" s="14"/>
      <c r="AN1804" s="7" t="s">
        <v>4219</v>
      </c>
      <c r="AO1804" s="21">
        <f t="shared" si="92"/>
        <v>0</v>
      </c>
      <c r="AP1804" s="7">
        <f t="shared" si="93"/>
        <v>9.09</v>
      </c>
      <c r="AQ1804" s="31" t="str">
        <f t="shared" si="91"/>
        <v>Complete - No Adjustment</v>
      </c>
    </row>
    <row r="1805" spans="1:43" x14ac:dyDescent="0.2">
      <c r="A1805" s="46">
        <v>1795</v>
      </c>
      <c r="B1805" s="38" t="s">
        <v>266</v>
      </c>
      <c r="C1805" s="38" t="s">
        <v>535</v>
      </c>
      <c r="D1805" s="38" t="s">
        <v>534</v>
      </c>
      <c r="E1805" s="38" t="s">
        <v>4696</v>
      </c>
      <c r="F1805" s="38" t="s">
        <v>4233</v>
      </c>
      <c r="G1805" s="38" t="s">
        <v>111</v>
      </c>
      <c r="H1805" s="44">
        <v>44092</v>
      </c>
      <c r="I1805" s="44">
        <v>44095</v>
      </c>
      <c r="J1805">
        <v>363.03</v>
      </c>
      <c r="K1805">
        <v>48.74</v>
      </c>
      <c r="L1805" t="s">
        <v>4697</v>
      </c>
      <c r="M1805" s="45" t="s">
        <v>98</v>
      </c>
      <c r="N1805" s="38" t="s">
        <v>230</v>
      </c>
      <c r="O1805" s="38" t="s">
        <v>386</v>
      </c>
      <c r="P1805" s="38" t="s">
        <v>40</v>
      </c>
      <c r="Q1805" s="38" t="s">
        <v>46</v>
      </c>
      <c r="R1805" s="38" t="s">
        <v>270</v>
      </c>
      <c r="S1805" s="38" t="s">
        <v>4698</v>
      </c>
      <c r="T1805" s="38" t="s">
        <v>4699</v>
      </c>
      <c r="U1805" s="38"/>
      <c r="V1805" s="38"/>
      <c r="W1805" s="38"/>
      <c r="X1805" s="14"/>
      <c r="AI1805" s="53">
        <f>48.74</f>
        <v>48.74</v>
      </c>
      <c r="AN1805" s="7" t="s">
        <v>145</v>
      </c>
      <c r="AO1805" s="21">
        <f t="shared" si="92"/>
        <v>48.74</v>
      </c>
      <c r="AP1805" s="7">
        <f t="shared" si="93"/>
        <v>0</v>
      </c>
      <c r="AQ1805" s="31" t="str">
        <f t="shared" si="91"/>
        <v>Complete - With Adjustment</v>
      </c>
    </row>
    <row r="1806" spans="1:43" x14ac:dyDescent="0.2">
      <c r="A1806" s="46">
        <v>1796</v>
      </c>
      <c r="B1806" s="38" t="s">
        <v>266</v>
      </c>
      <c r="C1806" s="38" t="s">
        <v>535</v>
      </c>
      <c r="D1806" s="38" t="s">
        <v>534</v>
      </c>
      <c r="E1806" s="38" t="s">
        <v>4696</v>
      </c>
      <c r="F1806" s="38" t="s">
        <v>4233</v>
      </c>
      <c r="G1806" s="38" t="s">
        <v>111</v>
      </c>
      <c r="H1806" s="44">
        <v>44092</v>
      </c>
      <c r="I1806" s="44">
        <v>44095</v>
      </c>
      <c r="J1806">
        <v>363.03</v>
      </c>
      <c r="K1806">
        <v>34.71</v>
      </c>
      <c r="L1806" t="s">
        <v>4697</v>
      </c>
      <c r="M1806" s="45" t="s">
        <v>98</v>
      </c>
      <c r="N1806" s="38" t="s">
        <v>230</v>
      </c>
      <c r="O1806" s="38" t="s">
        <v>386</v>
      </c>
      <c r="P1806" s="38" t="s">
        <v>40</v>
      </c>
      <c r="Q1806" s="38" t="s">
        <v>46</v>
      </c>
      <c r="R1806" s="38" t="s">
        <v>270</v>
      </c>
      <c r="S1806" s="38" t="s">
        <v>4698</v>
      </c>
      <c r="T1806" s="38" t="s">
        <v>4700</v>
      </c>
      <c r="U1806" s="38"/>
      <c r="V1806" s="38"/>
      <c r="W1806" s="38"/>
      <c r="X1806" s="14"/>
      <c r="AI1806" s="53">
        <f>34.71</f>
        <v>34.71</v>
      </c>
      <c r="AN1806" s="7" t="s">
        <v>145</v>
      </c>
      <c r="AO1806" s="21">
        <f t="shared" si="92"/>
        <v>34.71</v>
      </c>
      <c r="AP1806" s="7">
        <f t="shared" si="93"/>
        <v>0</v>
      </c>
      <c r="AQ1806" s="31" t="str">
        <f t="shared" si="91"/>
        <v>Complete - With Adjustment</v>
      </c>
    </row>
    <row r="1807" spans="1:43" x14ac:dyDescent="0.2">
      <c r="A1807" s="46">
        <v>1797</v>
      </c>
      <c r="B1807" s="38" t="s">
        <v>266</v>
      </c>
      <c r="C1807" s="38" t="s">
        <v>535</v>
      </c>
      <c r="D1807" s="38" t="s">
        <v>534</v>
      </c>
      <c r="E1807" s="38" t="s">
        <v>4696</v>
      </c>
      <c r="F1807" s="38" t="s">
        <v>4233</v>
      </c>
      <c r="G1807" s="38" t="s">
        <v>111</v>
      </c>
      <c r="H1807" s="44">
        <v>44092</v>
      </c>
      <c r="I1807" s="44">
        <v>44095</v>
      </c>
      <c r="J1807">
        <v>363.03</v>
      </c>
      <c r="K1807">
        <v>37.71</v>
      </c>
      <c r="L1807" t="s">
        <v>4697</v>
      </c>
      <c r="M1807" s="45" t="s">
        <v>98</v>
      </c>
      <c r="N1807" s="38" t="s">
        <v>230</v>
      </c>
      <c r="O1807" s="38" t="s">
        <v>386</v>
      </c>
      <c r="P1807" s="38" t="s">
        <v>40</v>
      </c>
      <c r="Q1807" s="38" t="s">
        <v>46</v>
      </c>
      <c r="R1807" s="38" t="s">
        <v>270</v>
      </c>
      <c r="S1807" s="38" t="s">
        <v>4698</v>
      </c>
      <c r="T1807" s="38" t="s">
        <v>4701</v>
      </c>
      <c r="U1807" s="38"/>
      <c r="V1807" s="38"/>
      <c r="W1807" s="38"/>
      <c r="X1807" s="14"/>
      <c r="AI1807" s="53">
        <f>37.71</f>
        <v>37.71</v>
      </c>
      <c r="AN1807" s="7" t="s">
        <v>145</v>
      </c>
      <c r="AO1807" s="21">
        <f t="shared" si="92"/>
        <v>37.71</v>
      </c>
      <c r="AP1807" s="7">
        <f t="shared" si="93"/>
        <v>0</v>
      </c>
      <c r="AQ1807" s="31" t="str">
        <f t="shared" si="91"/>
        <v>Complete - With Adjustment</v>
      </c>
    </row>
    <row r="1808" spans="1:43" x14ac:dyDescent="0.2">
      <c r="A1808" s="46">
        <v>1798</v>
      </c>
      <c r="B1808" s="38" t="s">
        <v>266</v>
      </c>
      <c r="C1808" s="38" t="s">
        <v>535</v>
      </c>
      <c r="D1808" s="38" t="s">
        <v>534</v>
      </c>
      <c r="E1808" s="38" t="s">
        <v>4696</v>
      </c>
      <c r="F1808" s="38" t="s">
        <v>4233</v>
      </c>
      <c r="G1808" s="38" t="s">
        <v>111</v>
      </c>
      <c r="H1808" s="44">
        <v>44092</v>
      </c>
      <c r="I1808" s="44">
        <v>44095</v>
      </c>
      <c r="J1808">
        <v>363.03</v>
      </c>
      <c r="K1808">
        <v>40.42</v>
      </c>
      <c r="L1808" t="s">
        <v>4697</v>
      </c>
      <c r="M1808" s="45" t="s">
        <v>98</v>
      </c>
      <c r="N1808" s="38" t="s">
        <v>230</v>
      </c>
      <c r="O1808" s="38" t="s">
        <v>386</v>
      </c>
      <c r="P1808" s="38" t="s">
        <v>40</v>
      </c>
      <c r="Q1808" s="38" t="s">
        <v>46</v>
      </c>
      <c r="R1808" s="38" t="s">
        <v>270</v>
      </c>
      <c r="S1808" s="38" t="s">
        <v>4698</v>
      </c>
      <c r="T1808" s="38" t="s">
        <v>4702</v>
      </c>
      <c r="U1808" s="38"/>
      <c r="V1808" s="38"/>
      <c r="W1808" s="38"/>
      <c r="X1808" s="14"/>
      <c r="AI1808" s="53">
        <f>40.42</f>
        <v>40.42</v>
      </c>
      <c r="AN1808" s="7" t="s">
        <v>145</v>
      </c>
      <c r="AO1808" s="21">
        <f t="shared" si="92"/>
        <v>40.42</v>
      </c>
      <c r="AP1808" s="7">
        <f t="shared" si="93"/>
        <v>0</v>
      </c>
      <c r="AQ1808" s="31" t="str">
        <f t="shared" si="91"/>
        <v>Complete - With Adjustment</v>
      </c>
    </row>
    <row r="1809" spans="1:43" x14ac:dyDescent="0.2">
      <c r="A1809" s="46">
        <v>1799</v>
      </c>
      <c r="B1809" s="38" t="s">
        <v>266</v>
      </c>
      <c r="C1809" s="38" t="s">
        <v>535</v>
      </c>
      <c r="D1809" s="38" t="s">
        <v>534</v>
      </c>
      <c r="E1809" s="38" t="s">
        <v>4696</v>
      </c>
      <c r="F1809" s="38" t="s">
        <v>4233</v>
      </c>
      <c r="G1809" s="38" t="s">
        <v>111</v>
      </c>
      <c r="H1809" s="44">
        <v>44092</v>
      </c>
      <c r="I1809" s="44">
        <v>44095</v>
      </c>
      <c r="J1809">
        <v>363.03</v>
      </c>
      <c r="K1809">
        <v>34.880000000000003</v>
      </c>
      <c r="L1809" t="s">
        <v>4697</v>
      </c>
      <c r="M1809" s="45" t="s">
        <v>98</v>
      </c>
      <c r="N1809" s="38" t="s">
        <v>230</v>
      </c>
      <c r="O1809" s="38" t="s">
        <v>386</v>
      </c>
      <c r="P1809" s="38" t="s">
        <v>40</v>
      </c>
      <c r="Q1809" s="38" t="s">
        <v>46</v>
      </c>
      <c r="R1809" s="38" t="s">
        <v>270</v>
      </c>
      <c r="S1809" s="38" t="s">
        <v>4698</v>
      </c>
      <c r="T1809" s="38" t="s">
        <v>4703</v>
      </c>
      <c r="U1809" s="38"/>
      <c r="V1809" s="38"/>
      <c r="W1809" s="38"/>
      <c r="X1809" s="14"/>
      <c r="AI1809" s="53">
        <f>34.88</f>
        <v>34.880000000000003</v>
      </c>
      <c r="AN1809" s="7" t="s">
        <v>145</v>
      </c>
      <c r="AO1809" s="21">
        <f t="shared" si="92"/>
        <v>34.880000000000003</v>
      </c>
      <c r="AP1809" s="7">
        <f t="shared" si="93"/>
        <v>0</v>
      </c>
      <c r="AQ1809" s="31" t="str">
        <f t="shared" ref="AQ1809:AQ1873" si="94">IF(AO1809&lt;&gt;0,"Complete - With Adjustment","Complete - No Adjustment")</f>
        <v>Complete - With Adjustment</v>
      </c>
    </row>
    <row r="1810" spans="1:43" x14ac:dyDescent="0.2">
      <c r="A1810" s="46">
        <v>1800</v>
      </c>
      <c r="B1810" s="38" t="s">
        <v>266</v>
      </c>
      <c r="C1810" s="38" t="s">
        <v>535</v>
      </c>
      <c r="D1810" s="38" t="s">
        <v>534</v>
      </c>
      <c r="E1810" s="38" t="s">
        <v>4696</v>
      </c>
      <c r="F1810" s="38" t="s">
        <v>4233</v>
      </c>
      <c r="G1810" s="38" t="s">
        <v>111</v>
      </c>
      <c r="H1810" s="44">
        <v>44092</v>
      </c>
      <c r="I1810" s="44">
        <v>44095</v>
      </c>
      <c r="J1810">
        <v>363.03</v>
      </c>
      <c r="K1810">
        <v>37.65</v>
      </c>
      <c r="L1810" t="s">
        <v>4697</v>
      </c>
      <c r="M1810" s="45" t="s">
        <v>98</v>
      </c>
      <c r="N1810" s="38" t="s">
        <v>230</v>
      </c>
      <c r="O1810" s="38" t="s">
        <v>386</v>
      </c>
      <c r="P1810" s="38" t="s">
        <v>40</v>
      </c>
      <c r="Q1810" s="38" t="s">
        <v>46</v>
      </c>
      <c r="R1810" s="38" t="s">
        <v>270</v>
      </c>
      <c r="S1810" s="38" t="s">
        <v>4698</v>
      </c>
      <c r="T1810" s="38" t="s">
        <v>4704</v>
      </c>
      <c r="U1810" s="38"/>
      <c r="V1810" s="38"/>
      <c r="W1810" s="38"/>
      <c r="X1810" s="14"/>
      <c r="AI1810" s="53">
        <f>37.65</f>
        <v>37.65</v>
      </c>
      <c r="AN1810" s="7" t="s">
        <v>145</v>
      </c>
      <c r="AO1810" s="21">
        <f t="shared" si="92"/>
        <v>37.65</v>
      </c>
      <c r="AP1810" s="7">
        <f t="shared" si="93"/>
        <v>0</v>
      </c>
      <c r="AQ1810" s="31" t="str">
        <f t="shared" si="94"/>
        <v>Complete - With Adjustment</v>
      </c>
    </row>
    <row r="1811" spans="1:43" x14ac:dyDescent="0.2">
      <c r="A1811" s="46">
        <v>1801</v>
      </c>
      <c r="B1811" s="38" t="s">
        <v>266</v>
      </c>
      <c r="C1811" s="38" t="s">
        <v>535</v>
      </c>
      <c r="D1811" s="38" t="s">
        <v>534</v>
      </c>
      <c r="E1811" s="38" t="s">
        <v>4696</v>
      </c>
      <c r="F1811" s="38" t="s">
        <v>4233</v>
      </c>
      <c r="G1811" s="38" t="s">
        <v>111</v>
      </c>
      <c r="H1811" s="44">
        <v>44092</v>
      </c>
      <c r="I1811" s="44">
        <v>44095</v>
      </c>
      <c r="J1811">
        <v>363.03</v>
      </c>
      <c r="K1811">
        <v>31.05</v>
      </c>
      <c r="L1811" t="s">
        <v>4697</v>
      </c>
      <c r="M1811" s="45" t="s">
        <v>98</v>
      </c>
      <c r="N1811" s="38" t="s">
        <v>230</v>
      </c>
      <c r="O1811" s="38" t="s">
        <v>386</v>
      </c>
      <c r="P1811" s="38" t="s">
        <v>40</v>
      </c>
      <c r="Q1811" s="38" t="s">
        <v>46</v>
      </c>
      <c r="R1811" s="38" t="s">
        <v>270</v>
      </c>
      <c r="S1811" s="38" t="s">
        <v>4698</v>
      </c>
      <c r="T1811" s="38" t="s">
        <v>4705</v>
      </c>
      <c r="U1811" s="38"/>
      <c r="V1811" s="38"/>
      <c r="W1811" s="38"/>
      <c r="X1811" s="14"/>
      <c r="AI1811" s="53">
        <f>31.05</f>
        <v>31.05</v>
      </c>
      <c r="AN1811" s="7" t="s">
        <v>145</v>
      </c>
      <c r="AO1811" s="21">
        <f t="shared" si="92"/>
        <v>31.05</v>
      </c>
      <c r="AP1811" s="7">
        <f t="shared" si="93"/>
        <v>0</v>
      </c>
      <c r="AQ1811" s="31" t="str">
        <f t="shared" si="94"/>
        <v>Complete - With Adjustment</v>
      </c>
    </row>
    <row r="1812" spans="1:43" x14ac:dyDescent="0.2">
      <c r="A1812" s="46">
        <v>1802</v>
      </c>
      <c r="B1812" s="38" t="s">
        <v>266</v>
      </c>
      <c r="C1812" s="38" t="s">
        <v>535</v>
      </c>
      <c r="D1812" s="38" t="s">
        <v>534</v>
      </c>
      <c r="E1812" s="38" t="s">
        <v>4696</v>
      </c>
      <c r="F1812" s="38" t="s">
        <v>4233</v>
      </c>
      <c r="G1812" s="38" t="s">
        <v>111</v>
      </c>
      <c r="H1812" s="44">
        <v>44092</v>
      </c>
      <c r="I1812" s="44">
        <v>44095</v>
      </c>
      <c r="J1812">
        <v>363.03</v>
      </c>
      <c r="K1812">
        <v>33.92</v>
      </c>
      <c r="L1812" t="s">
        <v>4697</v>
      </c>
      <c r="M1812" s="45" t="s">
        <v>98</v>
      </c>
      <c r="N1812" s="38" t="s">
        <v>230</v>
      </c>
      <c r="O1812" s="38" t="s">
        <v>386</v>
      </c>
      <c r="P1812" s="38" t="s">
        <v>40</v>
      </c>
      <c r="Q1812" s="38" t="s">
        <v>46</v>
      </c>
      <c r="R1812" s="38" t="s">
        <v>270</v>
      </c>
      <c r="S1812" s="38" t="s">
        <v>4698</v>
      </c>
      <c r="T1812" s="38" t="s">
        <v>4706</v>
      </c>
      <c r="U1812" s="38"/>
      <c r="V1812" s="38"/>
      <c r="W1812" s="38"/>
      <c r="X1812" s="14"/>
      <c r="AI1812" s="53">
        <f>33.92</f>
        <v>33.92</v>
      </c>
      <c r="AN1812" s="7" t="s">
        <v>145</v>
      </c>
      <c r="AO1812" s="21">
        <f t="shared" si="92"/>
        <v>33.92</v>
      </c>
      <c r="AP1812" s="7">
        <f t="shared" si="93"/>
        <v>0</v>
      </c>
      <c r="AQ1812" s="31" t="str">
        <f t="shared" si="94"/>
        <v>Complete - With Adjustment</v>
      </c>
    </row>
    <row r="1813" spans="1:43" x14ac:dyDescent="0.2">
      <c r="A1813" s="46">
        <v>1803</v>
      </c>
      <c r="B1813" s="38" t="s">
        <v>266</v>
      </c>
      <c r="C1813" s="38" t="s">
        <v>535</v>
      </c>
      <c r="D1813" s="38" t="s">
        <v>534</v>
      </c>
      <c r="E1813" s="38" t="s">
        <v>4696</v>
      </c>
      <c r="F1813" s="38" t="s">
        <v>4233</v>
      </c>
      <c r="G1813" s="38" t="s">
        <v>111</v>
      </c>
      <c r="H1813" s="44">
        <v>44092</v>
      </c>
      <c r="I1813" s="44">
        <v>44095</v>
      </c>
      <c r="J1813">
        <v>363.03</v>
      </c>
      <c r="K1813">
        <v>33.950000000000003</v>
      </c>
      <c r="L1813" t="s">
        <v>4697</v>
      </c>
      <c r="M1813" s="45" t="s">
        <v>98</v>
      </c>
      <c r="N1813" s="38" t="s">
        <v>230</v>
      </c>
      <c r="O1813" s="38" t="s">
        <v>386</v>
      </c>
      <c r="P1813" s="38" t="s">
        <v>40</v>
      </c>
      <c r="Q1813" s="38" t="s">
        <v>46</v>
      </c>
      <c r="R1813" s="38" t="s">
        <v>270</v>
      </c>
      <c r="S1813" s="38" t="s">
        <v>4698</v>
      </c>
      <c r="T1813" s="38" t="s">
        <v>4707</v>
      </c>
      <c r="U1813" s="38"/>
      <c r="V1813" s="38"/>
      <c r="W1813" s="38"/>
      <c r="X1813" s="14"/>
      <c r="AI1813" s="53">
        <f>33.95</f>
        <v>33.950000000000003</v>
      </c>
      <c r="AN1813" s="7" t="s">
        <v>145</v>
      </c>
      <c r="AO1813" s="21">
        <f t="shared" si="92"/>
        <v>33.950000000000003</v>
      </c>
      <c r="AP1813" s="7">
        <f t="shared" si="93"/>
        <v>0</v>
      </c>
      <c r="AQ1813" s="31" t="str">
        <f t="shared" si="94"/>
        <v>Complete - With Adjustment</v>
      </c>
    </row>
    <row r="1814" spans="1:43" x14ac:dyDescent="0.2">
      <c r="A1814" s="46">
        <v>1804</v>
      </c>
      <c r="B1814" s="38" t="s">
        <v>266</v>
      </c>
      <c r="C1814" s="38" t="s">
        <v>535</v>
      </c>
      <c r="D1814" s="38" t="s">
        <v>534</v>
      </c>
      <c r="E1814" s="38" t="s">
        <v>4696</v>
      </c>
      <c r="F1814" s="38" t="s">
        <v>4233</v>
      </c>
      <c r="G1814" s="38" t="s">
        <v>111</v>
      </c>
      <c r="H1814" s="44">
        <v>44092</v>
      </c>
      <c r="I1814" s="44">
        <v>44095</v>
      </c>
      <c r="J1814">
        <v>363.03</v>
      </c>
      <c r="K1814">
        <v>30</v>
      </c>
      <c r="L1814" t="s">
        <v>4697</v>
      </c>
      <c r="M1814" s="45" t="s">
        <v>98</v>
      </c>
      <c r="N1814" s="38" t="s">
        <v>230</v>
      </c>
      <c r="O1814" s="38" t="s">
        <v>386</v>
      </c>
      <c r="P1814" s="38" t="s">
        <v>40</v>
      </c>
      <c r="Q1814" s="38" t="s">
        <v>46</v>
      </c>
      <c r="R1814" s="38" t="s">
        <v>270</v>
      </c>
      <c r="S1814" s="38" t="s">
        <v>4698</v>
      </c>
      <c r="T1814" s="38" t="s">
        <v>4708</v>
      </c>
      <c r="U1814" s="38"/>
      <c r="V1814" s="38"/>
      <c r="W1814" s="38"/>
      <c r="X1814" s="14"/>
      <c r="AI1814" s="53">
        <f>30</f>
        <v>30</v>
      </c>
      <c r="AN1814" s="7" t="s">
        <v>145</v>
      </c>
      <c r="AO1814" s="21">
        <f t="shared" si="92"/>
        <v>30</v>
      </c>
      <c r="AP1814" s="7">
        <f t="shared" si="93"/>
        <v>0</v>
      </c>
      <c r="AQ1814" s="31" t="str">
        <f t="shared" si="94"/>
        <v>Complete - With Adjustment</v>
      </c>
    </row>
    <row r="1815" spans="1:43" x14ac:dyDescent="0.2">
      <c r="A1815" s="46">
        <v>1805</v>
      </c>
      <c r="B1815" s="38" t="s">
        <v>266</v>
      </c>
      <c r="C1815" s="38" t="s">
        <v>537</v>
      </c>
      <c r="D1815" s="38" t="s">
        <v>536</v>
      </c>
      <c r="E1815" s="38" t="s">
        <v>4709</v>
      </c>
      <c r="F1815" s="38" t="s">
        <v>4657</v>
      </c>
      <c r="G1815" s="38" t="s">
        <v>111</v>
      </c>
      <c r="H1815" s="44">
        <v>44036</v>
      </c>
      <c r="I1815" s="44">
        <v>44083</v>
      </c>
      <c r="J1815">
        <v>14.13</v>
      </c>
      <c r="K1815">
        <v>14.13</v>
      </c>
      <c r="L1815" t="s">
        <v>4710</v>
      </c>
      <c r="M1815" s="45" t="s">
        <v>98</v>
      </c>
      <c r="N1815" s="38" t="s">
        <v>230</v>
      </c>
      <c r="O1815" s="38" t="s">
        <v>298</v>
      </c>
      <c r="P1815" s="38" t="s">
        <v>60</v>
      </c>
      <c r="Q1815" s="38" t="s">
        <v>41</v>
      </c>
      <c r="R1815" s="38" t="s">
        <v>270</v>
      </c>
      <c r="S1815" s="38" t="s">
        <v>4711</v>
      </c>
      <c r="T1815" s="38" t="s">
        <v>4712</v>
      </c>
      <c r="U1815" s="38"/>
      <c r="V1815" s="38"/>
      <c r="W1815" s="38"/>
      <c r="X1815" s="14"/>
      <c r="AN1815" s="7" t="s">
        <v>155</v>
      </c>
      <c r="AO1815" s="21">
        <f t="shared" si="92"/>
        <v>0</v>
      </c>
      <c r="AP1815" s="7">
        <f t="shared" si="93"/>
        <v>14.13</v>
      </c>
      <c r="AQ1815" s="31" t="str">
        <f t="shared" si="94"/>
        <v>Complete - No Adjustment</v>
      </c>
    </row>
    <row r="1816" spans="1:43" x14ac:dyDescent="0.2">
      <c r="A1816" s="46">
        <v>1806</v>
      </c>
      <c r="B1816" s="38" t="s">
        <v>266</v>
      </c>
      <c r="C1816" s="38" t="s">
        <v>537</v>
      </c>
      <c r="D1816" s="38" t="s">
        <v>536</v>
      </c>
      <c r="E1816" s="38" t="s">
        <v>4713</v>
      </c>
      <c r="F1816" s="38" t="s">
        <v>4462</v>
      </c>
      <c r="G1816" s="38" t="s">
        <v>111</v>
      </c>
      <c r="H1816" s="44">
        <v>44085</v>
      </c>
      <c r="I1816" s="44">
        <v>44089</v>
      </c>
      <c r="J1816">
        <v>197.85</v>
      </c>
      <c r="K1816">
        <v>197.85</v>
      </c>
      <c r="L1816" t="s">
        <v>4714</v>
      </c>
      <c r="M1816" s="45" t="s">
        <v>98</v>
      </c>
      <c r="N1816" s="38" t="s">
        <v>230</v>
      </c>
      <c r="O1816" s="38" t="s">
        <v>298</v>
      </c>
      <c r="P1816" s="38" t="s">
        <v>60</v>
      </c>
      <c r="Q1816" s="38" t="s">
        <v>62</v>
      </c>
      <c r="R1816" s="38" t="s">
        <v>270</v>
      </c>
      <c r="S1816" s="38" t="s">
        <v>4715</v>
      </c>
      <c r="T1816" s="38" t="s">
        <v>4716</v>
      </c>
      <c r="U1816" s="38"/>
      <c r="V1816" s="38"/>
      <c r="W1816" s="38"/>
      <c r="X1816" s="14"/>
      <c r="AN1816" s="7" t="s">
        <v>155</v>
      </c>
      <c r="AO1816" s="21">
        <f t="shared" si="92"/>
        <v>0</v>
      </c>
      <c r="AP1816" s="7">
        <f t="shared" si="93"/>
        <v>197.85</v>
      </c>
      <c r="AQ1816" s="31" t="str">
        <f t="shared" si="94"/>
        <v>Complete - No Adjustment</v>
      </c>
    </row>
    <row r="1817" spans="1:43" x14ac:dyDescent="0.2">
      <c r="A1817" s="46">
        <v>1807</v>
      </c>
      <c r="B1817" s="38" t="s">
        <v>266</v>
      </c>
      <c r="C1817" s="38" t="s">
        <v>3265</v>
      </c>
      <c r="D1817" s="38" t="s">
        <v>3266</v>
      </c>
      <c r="E1817" s="38" t="s">
        <v>4717</v>
      </c>
      <c r="F1817" s="38" t="s">
        <v>4382</v>
      </c>
      <c r="G1817" s="38" t="s">
        <v>111</v>
      </c>
      <c r="H1817" s="44">
        <v>44096</v>
      </c>
      <c r="I1817" s="44">
        <v>44099</v>
      </c>
      <c r="J1817">
        <v>82.18</v>
      </c>
      <c r="K1817">
        <v>82.18</v>
      </c>
      <c r="L1817" t="s">
        <v>4718</v>
      </c>
      <c r="M1817" s="45" t="s">
        <v>98</v>
      </c>
      <c r="N1817" s="38" t="s">
        <v>230</v>
      </c>
      <c r="O1817" s="38" t="s">
        <v>280</v>
      </c>
      <c r="P1817" s="38" t="s">
        <v>60</v>
      </c>
      <c r="Q1817" s="38" t="s">
        <v>41</v>
      </c>
      <c r="R1817" s="38" t="s">
        <v>270</v>
      </c>
      <c r="S1817" s="38" t="s">
        <v>4719</v>
      </c>
      <c r="T1817" s="38" t="s">
        <v>4720</v>
      </c>
      <c r="U1817" s="38"/>
      <c r="V1817" s="38"/>
      <c r="W1817" s="38"/>
      <c r="X1817" s="14"/>
      <c r="AN1817" s="7" t="s">
        <v>155</v>
      </c>
      <c r="AO1817" s="21">
        <f t="shared" si="92"/>
        <v>0</v>
      </c>
      <c r="AP1817" s="7">
        <f t="shared" si="93"/>
        <v>82.18</v>
      </c>
      <c r="AQ1817" s="31" t="str">
        <f t="shared" si="94"/>
        <v>Complete - No Adjustment</v>
      </c>
    </row>
    <row r="1818" spans="1:43" x14ac:dyDescent="0.2">
      <c r="A1818" s="46">
        <v>1808</v>
      </c>
      <c r="B1818" s="38" t="s">
        <v>266</v>
      </c>
      <c r="C1818" s="38" t="s">
        <v>2444</v>
      </c>
      <c r="D1818" s="38" t="s">
        <v>2445</v>
      </c>
      <c r="E1818" s="38" t="s">
        <v>4721</v>
      </c>
      <c r="F1818" s="38" t="s">
        <v>4221</v>
      </c>
      <c r="G1818" s="38" t="s">
        <v>111</v>
      </c>
      <c r="H1818" s="44">
        <v>44092</v>
      </c>
      <c r="I1818" s="44">
        <v>44097</v>
      </c>
      <c r="J1818">
        <v>9.1</v>
      </c>
      <c r="K1818">
        <v>9.1</v>
      </c>
      <c r="L1818" t="s">
        <v>4722</v>
      </c>
      <c r="M1818" s="45" t="s">
        <v>98</v>
      </c>
      <c r="N1818" s="38" t="s">
        <v>230</v>
      </c>
      <c r="O1818" s="38" t="s">
        <v>514</v>
      </c>
      <c r="P1818" s="38" t="s">
        <v>60</v>
      </c>
      <c r="Q1818" s="38" t="s">
        <v>41</v>
      </c>
      <c r="R1818" s="38" t="s">
        <v>270</v>
      </c>
      <c r="S1818" s="38" t="s">
        <v>4723</v>
      </c>
      <c r="T1818" s="38" t="s">
        <v>4724</v>
      </c>
      <c r="U1818" s="38"/>
      <c r="V1818" s="38"/>
      <c r="W1818" s="38"/>
      <c r="X1818" s="14"/>
      <c r="AL1818" s="14">
        <f>9.1</f>
        <v>9.1</v>
      </c>
      <c r="AN1818" s="7" t="s">
        <v>146</v>
      </c>
      <c r="AO1818" s="21">
        <f t="shared" si="92"/>
        <v>9.1</v>
      </c>
      <c r="AP1818" s="7">
        <f t="shared" si="93"/>
        <v>0</v>
      </c>
      <c r="AQ1818" s="31" t="str">
        <f t="shared" si="94"/>
        <v>Complete - With Adjustment</v>
      </c>
    </row>
    <row r="1819" spans="1:43" x14ac:dyDescent="0.2">
      <c r="A1819" s="46">
        <v>1809</v>
      </c>
      <c r="B1819" s="38" t="s">
        <v>266</v>
      </c>
      <c r="C1819" s="38" t="s">
        <v>4725</v>
      </c>
      <c r="D1819" s="38" t="s">
        <v>4726</v>
      </c>
      <c r="E1819" s="38" t="s">
        <v>4727</v>
      </c>
      <c r="F1819" s="38" t="s">
        <v>4358</v>
      </c>
      <c r="G1819" s="38" t="s">
        <v>111</v>
      </c>
      <c r="H1819" s="44">
        <v>44095</v>
      </c>
      <c r="I1819" s="44">
        <v>44098</v>
      </c>
      <c r="J1819">
        <v>2090.34</v>
      </c>
      <c r="K1819">
        <v>77.010000000000005</v>
      </c>
      <c r="L1819" t="s">
        <v>4728</v>
      </c>
      <c r="M1819" s="45" t="s">
        <v>98</v>
      </c>
      <c r="N1819" s="38" t="s">
        <v>230</v>
      </c>
      <c r="O1819" s="38" t="s">
        <v>386</v>
      </c>
      <c r="P1819" s="38" t="s">
        <v>40</v>
      </c>
      <c r="Q1819" s="38" t="s">
        <v>46</v>
      </c>
      <c r="R1819" s="38" t="s">
        <v>270</v>
      </c>
      <c r="S1819" s="38" t="s">
        <v>4729</v>
      </c>
      <c r="T1819" s="38" t="s">
        <v>4730</v>
      </c>
      <c r="U1819" s="38"/>
      <c r="V1819" s="38"/>
      <c r="W1819" s="38"/>
      <c r="X1819" s="14"/>
      <c r="AI1819" s="53">
        <f>77.01</f>
        <v>77.010000000000005</v>
      </c>
      <c r="AN1819" s="7" t="s">
        <v>145</v>
      </c>
      <c r="AO1819" s="21">
        <f t="shared" si="92"/>
        <v>77.010000000000005</v>
      </c>
      <c r="AP1819" s="7">
        <f t="shared" si="93"/>
        <v>0</v>
      </c>
      <c r="AQ1819" s="31" t="str">
        <f t="shared" si="94"/>
        <v>Complete - With Adjustment</v>
      </c>
    </row>
    <row r="1820" spans="1:43" x14ac:dyDescent="0.2">
      <c r="A1820" s="46">
        <v>1810</v>
      </c>
      <c r="B1820" s="38" t="s">
        <v>266</v>
      </c>
      <c r="C1820" s="38" t="s">
        <v>4725</v>
      </c>
      <c r="D1820" s="38" t="s">
        <v>4726</v>
      </c>
      <c r="E1820" s="38" t="s">
        <v>4727</v>
      </c>
      <c r="F1820" s="38" t="s">
        <v>4358</v>
      </c>
      <c r="G1820" s="38" t="s">
        <v>111</v>
      </c>
      <c r="H1820" s="44">
        <v>44095</v>
      </c>
      <c r="I1820" s="44">
        <v>44098</v>
      </c>
      <c r="J1820">
        <v>2090.34</v>
      </c>
      <c r="K1820">
        <v>192.53</v>
      </c>
      <c r="L1820" t="s">
        <v>4728</v>
      </c>
      <c r="M1820" s="45" t="s">
        <v>98</v>
      </c>
      <c r="N1820" s="38" t="s">
        <v>230</v>
      </c>
      <c r="O1820" s="38" t="s">
        <v>386</v>
      </c>
      <c r="P1820" s="38" t="s">
        <v>43</v>
      </c>
      <c r="Q1820" s="38" t="s">
        <v>46</v>
      </c>
      <c r="R1820" s="38" t="s">
        <v>270</v>
      </c>
      <c r="S1820" s="38" t="s">
        <v>4729</v>
      </c>
      <c r="T1820" s="38" t="s">
        <v>4730</v>
      </c>
      <c r="U1820" s="38"/>
      <c r="V1820" s="38"/>
      <c r="W1820" s="38"/>
      <c r="X1820" s="14"/>
      <c r="AI1820" s="53">
        <f>192.53</f>
        <v>192.53</v>
      </c>
      <c r="AN1820" s="7" t="s">
        <v>145</v>
      </c>
      <c r="AO1820" s="21">
        <f t="shared" si="92"/>
        <v>192.53</v>
      </c>
      <c r="AP1820" s="7">
        <f t="shared" si="93"/>
        <v>0</v>
      </c>
      <c r="AQ1820" s="31" t="str">
        <f t="shared" si="94"/>
        <v>Complete - With Adjustment</v>
      </c>
    </row>
    <row r="1821" spans="1:43" x14ac:dyDescent="0.2">
      <c r="A1821" s="46">
        <v>1811</v>
      </c>
      <c r="B1821" s="38" t="s">
        <v>266</v>
      </c>
      <c r="C1821" s="38" t="s">
        <v>4725</v>
      </c>
      <c r="D1821" s="38" t="s">
        <v>4726</v>
      </c>
      <c r="E1821" s="38" t="s">
        <v>4727</v>
      </c>
      <c r="F1821" s="38" t="s">
        <v>4358</v>
      </c>
      <c r="G1821" s="38" t="s">
        <v>111</v>
      </c>
      <c r="H1821" s="44">
        <v>44095</v>
      </c>
      <c r="I1821" s="44">
        <v>44098</v>
      </c>
      <c r="J1821">
        <v>2090.34</v>
      </c>
      <c r="K1821">
        <v>77.010000000000005</v>
      </c>
      <c r="L1821" t="s">
        <v>4728</v>
      </c>
      <c r="M1821" s="45" t="s">
        <v>98</v>
      </c>
      <c r="N1821" s="38" t="s">
        <v>230</v>
      </c>
      <c r="O1821" s="38" t="s">
        <v>386</v>
      </c>
      <c r="P1821" s="38" t="s">
        <v>40</v>
      </c>
      <c r="Q1821" s="38" t="s">
        <v>46</v>
      </c>
      <c r="R1821" s="38" t="s">
        <v>270</v>
      </c>
      <c r="S1821" s="38" t="s">
        <v>4729</v>
      </c>
      <c r="T1821" s="38" t="s">
        <v>4730</v>
      </c>
      <c r="U1821" s="38"/>
      <c r="V1821" s="38"/>
      <c r="W1821" s="38"/>
      <c r="X1821" s="14"/>
      <c r="AI1821" s="53">
        <f>77.01</f>
        <v>77.010000000000005</v>
      </c>
      <c r="AN1821" s="7" t="s">
        <v>145</v>
      </c>
      <c r="AO1821" s="21">
        <f t="shared" si="92"/>
        <v>77.010000000000005</v>
      </c>
      <c r="AP1821" s="7">
        <f t="shared" si="93"/>
        <v>0</v>
      </c>
      <c r="AQ1821" s="31" t="str">
        <f t="shared" si="94"/>
        <v>Complete - With Adjustment</v>
      </c>
    </row>
    <row r="1822" spans="1:43" x14ac:dyDescent="0.2">
      <c r="A1822" s="46">
        <v>1812</v>
      </c>
      <c r="B1822" s="38" t="s">
        <v>266</v>
      </c>
      <c r="C1822" s="38" t="s">
        <v>4725</v>
      </c>
      <c r="D1822" s="38" t="s">
        <v>4726</v>
      </c>
      <c r="E1822" s="38" t="s">
        <v>4727</v>
      </c>
      <c r="F1822" s="38" t="s">
        <v>4358</v>
      </c>
      <c r="G1822" s="38" t="s">
        <v>111</v>
      </c>
      <c r="H1822" s="44">
        <v>44095</v>
      </c>
      <c r="I1822" s="44">
        <v>44098</v>
      </c>
      <c r="J1822">
        <v>2090.34</v>
      </c>
      <c r="K1822">
        <v>71.430000000000007</v>
      </c>
      <c r="L1822" t="s">
        <v>4728</v>
      </c>
      <c r="M1822" s="45" t="s">
        <v>98</v>
      </c>
      <c r="N1822" s="38" t="s">
        <v>230</v>
      </c>
      <c r="O1822" s="38" t="s">
        <v>386</v>
      </c>
      <c r="P1822" s="38" t="s">
        <v>40</v>
      </c>
      <c r="Q1822" s="38" t="s">
        <v>46</v>
      </c>
      <c r="R1822" s="38" t="s">
        <v>270</v>
      </c>
      <c r="S1822" s="38" t="s">
        <v>4729</v>
      </c>
      <c r="T1822" s="38" t="s">
        <v>4730</v>
      </c>
      <c r="U1822" s="38"/>
      <c r="V1822" s="38"/>
      <c r="W1822" s="38"/>
      <c r="X1822" s="14"/>
      <c r="AI1822" s="53">
        <f>71.43</f>
        <v>71.430000000000007</v>
      </c>
      <c r="AN1822" s="7" t="s">
        <v>145</v>
      </c>
      <c r="AO1822" s="21">
        <f t="shared" si="92"/>
        <v>71.430000000000007</v>
      </c>
      <c r="AP1822" s="7">
        <f t="shared" si="93"/>
        <v>0</v>
      </c>
      <c r="AQ1822" s="31" t="str">
        <f t="shared" si="94"/>
        <v>Complete - With Adjustment</v>
      </c>
    </row>
    <row r="1823" spans="1:43" x14ac:dyDescent="0.2">
      <c r="A1823" s="46">
        <v>1813</v>
      </c>
      <c r="B1823" s="38" t="s">
        <v>266</v>
      </c>
      <c r="C1823" s="38" t="s">
        <v>4725</v>
      </c>
      <c r="D1823" s="38" t="s">
        <v>4726</v>
      </c>
      <c r="E1823" s="38" t="s">
        <v>4727</v>
      </c>
      <c r="F1823" s="38" t="s">
        <v>4358</v>
      </c>
      <c r="G1823" s="38" t="s">
        <v>111</v>
      </c>
      <c r="H1823" s="44">
        <v>44095</v>
      </c>
      <c r="I1823" s="44">
        <v>44098</v>
      </c>
      <c r="J1823">
        <v>2090.34</v>
      </c>
      <c r="K1823">
        <v>178.57</v>
      </c>
      <c r="L1823" t="s">
        <v>4728</v>
      </c>
      <c r="M1823" s="45" t="s">
        <v>98</v>
      </c>
      <c r="N1823" s="38" t="s">
        <v>230</v>
      </c>
      <c r="O1823" s="38" t="s">
        <v>386</v>
      </c>
      <c r="P1823" s="38" t="s">
        <v>43</v>
      </c>
      <c r="Q1823" s="38" t="s">
        <v>46</v>
      </c>
      <c r="R1823" s="38" t="s">
        <v>270</v>
      </c>
      <c r="S1823" s="38" t="s">
        <v>4729</v>
      </c>
      <c r="T1823" s="38" t="s">
        <v>4730</v>
      </c>
      <c r="U1823" s="38"/>
      <c r="V1823" s="38"/>
      <c r="W1823" s="38"/>
      <c r="X1823" s="14"/>
      <c r="AI1823" s="53">
        <f>178.57</f>
        <v>178.57</v>
      </c>
      <c r="AN1823" s="7" t="s">
        <v>145</v>
      </c>
      <c r="AO1823" s="21">
        <f t="shared" si="92"/>
        <v>178.57</v>
      </c>
      <c r="AP1823" s="7">
        <f t="shared" si="93"/>
        <v>0</v>
      </c>
      <c r="AQ1823" s="31" t="str">
        <f t="shared" si="94"/>
        <v>Complete - With Adjustment</v>
      </c>
    </row>
    <row r="1824" spans="1:43" x14ac:dyDescent="0.2">
      <c r="A1824" s="46">
        <v>1814</v>
      </c>
      <c r="B1824" s="38" t="s">
        <v>266</v>
      </c>
      <c r="C1824" s="38" t="s">
        <v>4725</v>
      </c>
      <c r="D1824" s="38" t="s">
        <v>4726</v>
      </c>
      <c r="E1824" s="38" t="s">
        <v>4727</v>
      </c>
      <c r="F1824" s="38" t="s">
        <v>4358</v>
      </c>
      <c r="G1824" s="38" t="s">
        <v>111</v>
      </c>
      <c r="H1824" s="44">
        <v>44095</v>
      </c>
      <c r="I1824" s="44">
        <v>44098</v>
      </c>
      <c r="J1824">
        <v>2090.34</v>
      </c>
      <c r="K1824">
        <v>138.41</v>
      </c>
      <c r="L1824" t="s">
        <v>4728</v>
      </c>
      <c r="M1824" s="45" t="s">
        <v>98</v>
      </c>
      <c r="N1824" s="38" t="s">
        <v>230</v>
      </c>
      <c r="O1824" s="38" t="s">
        <v>386</v>
      </c>
      <c r="P1824" s="38" t="s">
        <v>43</v>
      </c>
      <c r="Q1824" s="38" t="s">
        <v>46</v>
      </c>
      <c r="R1824" s="38" t="s">
        <v>270</v>
      </c>
      <c r="S1824" s="38" t="s">
        <v>4729</v>
      </c>
      <c r="T1824" s="38" t="s">
        <v>4730</v>
      </c>
      <c r="U1824" s="38"/>
      <c r="V1824" s="38"/>
      <c r="W1824" s="38"/>
      <c r="X1824" s="14"/>
      <c r="AI1824" s="53">
        <f>138.41</f>
        <v>138.41</v>
      </c>
      <c r="AN1824" s="7" t="s">
        <v>145</v>
      </c>
      <c r="AO1824" s="21">
        <f t="shared" si="92"/>
        <v>138.41</v>
      </c>
      <c r="AP1824" s="7">
        <f t="shared" si="93"/>
        <v>0</v>
      </c>
      <c r="AQ1824" s="31" t="str">
        <f t="shared" si="94"/>
        <v>Complete - With Adjustment</v>
      </c>
    </row>
    <row r="1825" spans="1:43" x14ac:dyDescent="0.2">
      <c r="A1825" s="46">
        <v>1815</v>
      </c>
      <c r="B1825" s="38" t="s">
        <v>266</v>
      </c>
      <c r="C1825" s="38" t="s">
        <v>4725</v>
      </c>
      <c r="D1825" s="38" t="s">
        <v>4726</v>
      </c>
      <c r="E1825" s="38" t="s">
        <v>4727</v>
      </c>
      <c r="F1825" s="38" t="s">
        <v>4358</v>
      </c>
      <c r="G1825" s="38" t="s">
        <v>111</v>
      </c>
      <c r="H1825" s="44">
        <v>44095</v>
      </c>
      <c r="I1825" s="44">
        <v>44098</v>
      </c>
      <c r="J1825">
        <v>2090.34</v>
      </c>
      <c r="K1825">
        <v>92.78</v>
      </c>
      <c r="L1825" t="s">
        <v>4728</v>
      </c>
      <c r="M1825" s="45" t="s">
        <v>98</v>
      </c>
      <c r="N1825" s="38" t="s">
        <v>230</v>
      </c>
      <c r="O1825" s="38" t="s">
        <v>386</v>
      </c>
      <c r="P1825" s="38" t="s">
        <v>40</v>
      </c>
      <c r="Q1825" s="38" t="s">
        <v>46</v>
      </c>
      <c r="R1825" s="38" t="s">
        <v>270</v>
      </c>
      <c r="S1825" s="38" t="s">
        <v>4729</v>
      </c>
      <c r="T1825" s="38" t="s">
        <v>4730</v>
      </c>
      <c r="U1825" s="38"/>
      <c r="V1825" s="38"/>
      <c r="W1825" s="38"/>
      <c r="X1825" s="14"/>
      <c r="AI1825" s="53">
        <f>92.78</f>
        <v>92.78</v>
      </c>
      <c r="AN1825" s="7" t="s">
        <v>145</v>
      </c>
      <c r="AO1825" s="21">
        <f t="shared" si="92"/>
        <v>92.78</v>
      </c>
      <c r="AP1825" s="7">
        <f t="shared" si="93"/>
        <v>0</v>
      </c>
      <c r="AQ1825" s="31" t="str">
        <f t="shared" si="94"/>
        <v>Complete - With Adjustment</v>
      </c>
    </row>
    <row r="1826" spans="1:43" x14ac:dyDescent="0.2">
      <c r="A1826" s="46">
        <v>1816</v>
      </c>
      <c r="B1826" s="38" t="s">
        <v>266</v>
      </c>
      <c r="C1826" s="38" t="s">
        <v>4725</v>
      </c>
      <c r="D1826" s="38" t="s">
        <v>4726</v>
      </c>
      <c r="E1826" s="38" t="s">
        <v>4727</v>
      </c>
      <c r="F1826" s="38" t="s">
        <v>4358</v>
      </c>
      <c r="G1826" s="38" t="s">
        <v>111</v>
      </c>
      <c r="H1826" s="44">
        <v>44095</v>
      </c>
      <c r="I1826" s="44">
        <v>44098</v>
      </c>
      <c r="J1826">
        <v>2090.34</v>
      </c>
      <c r="K1826">
        <v>231.95</v>
      </c>
      <c r="L1826" t="s">
        <v>4728</v>
      </c>
      <c r="M1826" s="45" t="s">
        <v>98</v>
      </c>
      <c r="N1826" s="38" t="s">
        <v>230</v>
      </c>
      <c r="O1826" s="38" t="s">
        <v>386</v>
      </c>
      <c r="P1826" s="38" t="s">
        <v>43</v>
      </c>
      <c r="Q1826" s="38" t="s">
        <v>46</v>
      </c>
      <c r="R1826" s="38" t="s">
        <v>270</v>
      </c>
      <c r="S1826" s="38" t="s">
        <v>4729</v>
      </c>
      <c r="T1826" s="38" t="s">
        <v>4730</v>
      </c>
      <c r="U1826" s="38"/>
      <c r="V1826" s="38"/>
      <c r="W1826" s="38"/>
      <c r="X1826" s="14"/>
      <c r="AI1826" s="53">
        <f>231.95</f>
        <v>231.95</v>
      </c>
      <c r="AN1826" s="7" t="s">
        <v>145</v>
      </c>
      <c r="AO1826" s="21">
        <f t="shared" si="92"/>
        <v>231.95</v>
      </c>
      <c r="AP1826" s="7">
        <f t="shared" si="93"/>
        <v>0</v>
      </c>
      <c r="AQ1826" s="31" t="str">
        <f t="shared" si="94"/>
        <v>Complete - With Adjustment</v>
      </c>
    </row>
    <row r="1827" spans="1:43" x14ac:dyDescent="0.2">
      <c r="A1827" s="46">
        <v>1817</v>
      </c>
      <c r="B1827" s="38" t="s">
        <v>266</v>
      </c>
      <c r="C1827" s="38" t="s">
        <v>4725</v>
      </c>
      <c r="D1827" s="38" t="s">
        <v>4726</v>
      </c>
      <c r="E1827" s="38" t="s">
        <v>4727</v>
      </c>
      <c r="F1827" s="38" t="s">
        <v>4358</v>
      </c>
      <c r="G1827" s="38" t="s">
        <v>111</v>
      </c>
      <c r="H1827" s="44">
        <v>44095</v>
      </c>
      <c r="I1827" s="44">
        <v>44098</v>
      </c>
      <c r="J1827">
        <v>2090.34</v>
      </c>
      <c r="K1827">
        <v>71.430000000000007</v>
      </c>
      <c r="L1827" t="s">
        <v>4728</v>
      </c>
      <c r="M1827" s="45" t="s">
        <v>98</v>
      </c>
      <c r="N1827" s="38" t="s">
        <v>230</v>
      </c>
      <c r="O1827" s="38" t="s">
        <v>386</v>
      </c>
      <c r="P1827" s="38" t="s">
        <v>40</v>
      </c>
      <c r="Q1827" s="38" t="s">
        <v>46</v>
      </c>
      <c r="R1827" s="38" t="s">
        <v>270</v>
      </c>
      <c r="S1827" s="38" t="s">
        <v>4729</v>
      </c>
      <c r="T1827" s="38" t="s">
        <v>4730</v>
      </c>
      <c r="U1827" s="38"/>
      <c r="V1827" s="38"/>
      <c r="W1827" s="38"/>
      <c r="X1827" s="14"/>
      <c r="AI1827" s="53">
        <f>71.43</f>
        <v>71.430000000000007</v>
      </c>
      <c r="AN1827" s="7" t="s">
        <v>145</v>
      </c>
      <c r="AO1827" s="21">
        <f t="shared" si="92"/>
        <v>71.430000000000007</v>
      </c>
      <c r="AP1827" s="7">
        <f t="shared" si="93"/>
        <v>0</v>
      </c>
      <c r="AQ1827" s="31" t="str">
        <f t="shared" si="94"/>
        <v>Complete - With Adjustment</v>
      </c>
    </row>
    <row r="1828" spans="1:43" x14ac:dyDescent="0.2">
      <c r="A1828" s="46">
        <v>1818</v>
      </c>
      <c r="B1828" s="38" t="s">
        <v>266</v>
      </c>
      <c r="C1828" s="38" t="s">
        <v>4725</v>
      </c>
      <c r="D1828" s="38" t="s">
        <v>4726</v>
      </c>
      <c r="E1828" s="38" t="s">
        <v>4727</v>
      </c>
      <c r="F1828" s="38" t="s">
        <v>4358</v>
      </c>
      <c r="G1828" s="38" t="s">
        <v>111</v>
      </c>
      <c r="H1828" s="44">
        <v>44095</v>
      </c>
      <c r="I1828" s="44">
        <v>44098</v>
      </c>
      <c r="J1828">
        <v>2090.34</v>
      </c>
      <c r="K1828">
        <v>178.57</v>
      </c>
      <c r="L1828" t="s">
        <v>4728</v>
      </c>
      <c r="M1828" s="45" t="s">
        <v>98</v>
      </c>
      <c r="N1828" s="38" t="s">
        <v>230</v>
      </c>
      <c r="O1828" s="38" t="s">
        <v>386</v>
      </c>
      <c r="P1828" s="38" t="s">
        <v>43</v>
      </c>
      <c r="Q1828" s="38" t="s">
        <v>46</v>
      </c>
      <c r="R1828" s="38" t="s">
        <v>270</v>
      </c>
      <c r="S1828" s="38" t="s">
        <v>4729</v>
      </c>
      <c r="T1828" s="38" t="s">
        <v>4730</v>
      </c>
      <c r="U1828" s="38"/>
      <c r="V1828" s="38"/>
      <c r="W1828" s="38"/>
      <c r="X1828" s="14"/>
      <c r="AI1828" s="53">
        <f>178.57</f>
        <v>178.57</v>
      </c>
      <c r="AN1828" s="7" t="s">
        <v>145</v>
      </c>
      <c r="AO1828" s="21">
        <f t="shared" si="92"/>
        <v>178.57</v>
      </c>
      <c r="AP1828" s="7">
        <f t="shared" si="93"/>
        <v>0</v>
      </c>
      <c r="AQ1828" s="31" t="str">
        <f t="shared" si="94"/>
        <v>Complete - With Adjustment</v>
      </c>
    </row>
    <row r="1829" spans="1:43" x14ac:dyDescent="0.2">
      <c r="A1829" s="46">
        <v>1819</v>
      </c>
      <c r="B1829" s="38" t="s">
        <v>266</v>
      </c>
      <c r="C1829" s="38" t="s">
        <v>4725</v>
      </c>
      <c r="D1829" s="38" t="s">
        <v>4726</v>
      </c>
      <c r="E1829" s="38" t="s">
        <v>4727</v>
      </c>
      <c r="F1829" s="38" t="s">
        <v>4358</v>
      </c>
      <c r="G1829" s="38" t="s">
        <v>111</v>
      </c>
      <c r="H1829" s="44">
        <v>44095</v>
      </c>
      <c r="I1829" s="44">
        <v>44098</v>
      </c>
      <c r="J1829">
        <v>2090.34</v>
      </c>
      <c r="K1829">
        <v>90.81</v>
      </c>
      <c r="L1829" t="s">
        <v>4728</v>
      </c>
      <c r="M1829" s="45" t="s">
        <v>98</v>
      </c>
      <c r="N1829" s="38" t="s">
        <v>230</v>
      </c>
      <c r="O1829" s="38" t="s">
        <v>386</v>
      </c>
      <c r="P1829" s="38" t="s">
        <v>40</v>
      </c>
      <c r="Q1829" s="38" t="s">
        <v>46</v>
      </c>
      <c r="R1829" s="38" t="s">
        <v>270</v>
      </c>
      <c r="S1829" s="38" t="s">
        <v>4729</v>
      </c>
      <c r="T1829" s="38" t="s">
        <v>4730</v>
      </c>
      <c r="U1829" s="38"/>
      <c r="V1829" s="38"/>
      <c r="W1829" s="38"/>
      <c r="X1829" s="14"/>
      <c r="AI1829" s="53">
        <f>90.81</f>
        <v>90.81</v>
      </c>
      <c r="AN1829" s="7" t="s">
        <v>145</v>
      </c>
      <c r="AO1829" s="21">
        <f t="shared" si="92"/>
        <v>90.81</v>
      </c>
      <c r="AP1829" s="7">
        <f t="shared" si="93"/>
        <v>0</v>
      </c>
      <c r="AQ1829" s="31" t="str">
        <f t="shared" si="94"/>
        <v>Complete - With Adjustment</v>
      </c>
    </row>
    <row r="1830" spans="1:43" x14ac:dyDescent="0.2">
      <c r="A1830" s="46">
        <v>1820</v>
      </c>
      <c r="B1830" s="38" t="s">
        <v>266</v>
      </c>
      <c r="C1830" s="38" t="s">
        <v>4725</v>
      </c>
      <c r="D1830" s="38" t="s">
        <v>4726</v>
      </c>
      <c r="E1830" s="38" t="s">
        <v>4727</v>
      </c>
      <c r="F1830" s="38" t="s">
        <v>4358</v>
      </c>
      <c r="G1830" s="38" t="s">
        <v>111</v>
      </c>
      <c r="H1830" s="44">
        <v>44095</v>
      </c>
      <c r="I1830" s="44">
        <v>44098</v>
      </c>
      <c r="J1830">
        <v>2090.34</v>
      </c>
      <c r="K1830">
        <v>227.03</v>
      </c>
      <c r="L1830" t="s">
        <v>4728</v>
      </c>
      <c r="M1830" s="45" t="s">
        <v>98</v>
      </c>
      <c r="N1830" s="38" t="s">
        <v>230</v>
      </c>
      <c r="O1830" s="38" t="s">
        <v>386</v>
      </c>
      <c r="P1830" s="38" t="s">
        <v>43</v>
      </c>
      <c r="Q1830" s="38" t="s">
        <v>46</v>
      </c>
      <c r="R1830" s="38" t="s">
        <v>270</v>
      </c>
      <c r="S1830" s="38" t="s">
        <v>4729</v>
      </c>
      <c r="T1830" s="38" t="s">
        <v>4730</v>
      </c>
      <c r="U1830" s="38"/>
      <c r="V1830" s="38"/>
      <c r="W1830" s="38"/>
      <c r="X1830" s="14"/>
      <c r="AI1830" s="53">
        <f>227.03</f>
        <v>227.03</v>
      </c>
      <c r="AN1830" s="7" t="s">
        <v>145</v>
      </c>
      <c r="AO1830" s="21">
        <f t="shared" si="92"/>
        <v>227.03</v>
      </c>
      <c r="AP1830" s="7">
        <f t="shared" si="93"/>
        <v>0</v>
      </c>
      <c r="AQ1830" s="31" t="str">
        <f t="shared" si="94"/>
        <v>Complete - With Adjustment</v>
      </c>
    </row>
    <row r="1831" spans="1:43" x14ac:dyDescent="0.2">
      <c r="A1831" s="46">
        <v>1821</v>
      </c>
      <c r="B1831" s="38" t="s">
        <v>266</v>
      </c>
      <c r="C1831" s="38" t="s">
        <v>4725</v>
      </c>
      <c r="D1831" s="38" t="s">
        <v>4726</v>
      </c>
      <c r="E1831" s="38" t="s">
        <v>4727</v>
      </c>
      <c r="F1831" s="38" t="s">
        <v>4358</v>
      </c>
      <c r="G1831" s="38" t="s">
        <v>111</v>
      </c>
      <c r="H1831" s="44">
        <v>44095</v>
      </c>
      <c r="I1831" s="44">
        <v>44098</v>
      </c>
      <c r="J1831">
        <v>2090.34</v>
      </c>
      <c r="K1831">
        <v>61.41</v>
      </c>
      <c r="L1831" t="s">
        <v>4728</v>
      </c>
      <c r="M1831" s="45" t="s">
        <v>98</v>
      </c>
      <c r="N1831" s="38" t="s">
        <v>230</v>
      </c>
      <c r="O1831" s="38" t="s">
        <v>386</v>
      </c>
      <c r="P1831" s="38" t="s">
        <v>40</v>
      </c>
      <c r="Q1831" s="38" t="s">
        <v>46</v>
      </c>
      <c r="R1831" s="38" t="s">
        <v>270</v>
      </c>
      <c r="S1831" s="38" t="s">
        <v>4729</v>
      </c>
      <c r="T1831" s="38" t="s">
        <v>4730</v>
      </c>
      <c r="U1831" s="38"/>
      <c r="V1831" s="38"/>
      <c r="W1831" s="38"/>
      <c r="X1831" s="14"/>
      <c r="AI1831" s="53">
        <f>61.41</f>
        <v>61.41</v>
      </c>
      <c r="AN1831" s="7" t="s">
        <v>145</v>
      </c>
      <c r="AO1831" s="21">
        <f t="shared" si="92"/>
        <v>61.41</v>
      </c>
      <c r="AP1831" s="7">
        <f t="shared" si="93"/>
        <v>0</v>
      </c>
      <c r="AQ1831" s="31" t="str">
        <f t="shared" si="94"/>
        <v>Complete - With Adjustment</v>
      </c>
    </row>
    <row r="1832" spans="1:43" x14ac:dyDescent="0.2">
      <c r="A1832" s="46">
        <v>1822</v>
      </c>
      <c r="B1832" s="38" t="s">
        <v>266</v>
      </c>
      <c r="C1832" s="38" t="s">
        <v>4725</v>
      </c>
      <c r="D1832" s="38" t="s">
        <v>4726</v>
      </c>
      <c r="E1832" s="38" t="s">
        <v>4727</v>
      </c>
      <c r="F1832" s="38" t="s">
        <v>4358</v>
      </c>
      <c r="G1832" s="38" t="s">
        <v>111</v>
      </c>
      <c r="H1832" s="44">
        <v>44095</v>
      </c>
      <c r="I1832" s="44">
        <v>44098</v>
      </c>
      <c r="J1832">
        <v>2090.34</v>
      </c>
      <c r="K1832">
        <v>153.51</v>
      </c>
      <c r="L1832" t="s">
        <v>4728</v>
      </c>
      <c r="M1832" s="45" t="s">
        <v>98</v>
      </c>
      <c r="N1832" s="38" t="s">
        <v>230</v>
      </c>
      <c r="O1832" s="38" t="s">
        <v>386</v>
      </c>
      <c r="P1832" s="38" t="s">
        <v>43</v>
      </c>
      <c r="Q1832" s="38" t="s">
        <v>46</v>
      </c>
      <c r="R1832" s="38" t="s">
        <v>270</v>
      </c>
      <c r="S1832" s="38" t="s">
        <v>4729</v>
      </c>
      <c r="T1832" s="38" t="s">
        <v>4730</v>
      </c>
      <c r="U1832" s="38"/>
      <c r="V1832" s="38"/>
      <c r="W1832" s="38"/>
      <c r="X1832" s="14"/>
      <c r="AI1832" s="53">
        <f>153.51</f>
        <v>153.51</v>
      </c>
      <c r="AN1832" s="7" t="s">
        <v>145</v>
      </c>
      <c r="AO1832" s="21">
        <f t="shared" si="92"/>
        <v>153.51</v>
      </c>
      <c r="AP1832" s="7">
        <f t="shared" si="93"/>
        <v>0</v>
      </c>
      <c r="AQ1832" s="31" t="str">
        <f t="shared" si="94"/>
        <v>Complete - With Adjustment</v>
      </c>
    </row>
    <row r="1833" spans="1:43" x14ac:dyDescent="0.2">
      <c r="A1833" s="46">
        <v>1823</v>
      </c>
      <c r="B1833" s="38" t="s">
        <v>266</v>
      </c>
      <c r="C1833" s="38" t="s">
        <v>4725</v>
      </c>
      <c r="D1833" s="38" t="s">
        <v>4726</v>
      </c>
      <c r="E1833" s="38" t="s">
        <v>4727</v>
      </c>
      <c r="F1833" s="38" t="s">
        <v>4358</v>
      </c>
      <c r="G1833" s="38" t="s">
        <v>111</v>
      </c>
      <c r="H1833" s="44">
        <v>44095</v>
      </c>
      <c r="I1833" s="44">
        <v>44098</v>
      </c>
      <c r="J1833">
        <v>2090.34</v>
      </c>
      <c r="K1833">
        <v>55.36</v>
      </c>
      <c r="L1833" t="s">
        <v>4728</v>
      </c>
      <c r="M1833" s="45" t="s">
        <v>98</v>
      </c>
      <c r="N1833" s="38" t="s">
        <v>230</v>
      </c>
      <c r="O1833" s="38" t="s">
        <v>386</v>
      </c>
      <c r="P1833" s="38" t="s">
        <v>40</v>
      </c>
      <c r="Q1833" s="38" t="s">
        <v>46</v>
      </c>
      <c r="R1833" s="38" t="s">
        <v>270</v>
      </c>
      <c r="S1833" s="38" t="s">
        <v>4729</v>
      </c>
      <c r="T1833" s="38" t="s">
        <v>4730</v>
      </c>
      <c r="U1833" s="38"/>
      <c r="V1833" s="38"/>
      <c r="W1833" s="38"/>
      <c r="X1833" s="14"/>
      <c r="AI1833" s="53">
        <f>55.36</f>
        <v>55.36</v>
      </c>
      <c r="AN1833" s="7" t="s">
        <v>145</v>
      </c>
      <c r="AO1833" s="21">
        <f t="shared" si="92"/>
        <v>55.36</v>
      </c>
      <c r="AP1833" s="7">
        <f t="shared" si="93"/>
        <v>0</v>
      </c>
      <c r="AQ1833" s="31" t="str">
        <f t="shared" si="94"/>
        <v>Complete - With Adjustment</v>
      </c>
    </row>
    <row r="1834" spans="1:43" x14ac:dyDescent="0.2">
      <c r="A1834" s="46">
        <v>1824</v>
      </c>
      <c r="B1834" s="38" t="s">
        <v>266</v>
      </c>
      <c r="C1834" s="38" t="s">
        <v>4725</v>
      </c>
      <c r="D1834" s="38" t="s">
        <v>4726</v>
      </c>
      <c r="E1834" s="38" t="s">
        <v>4727</v>
      </c>
      <c r="F1834" s="38" t="s">
        <v>4358</v>
      </c>
      <c r="G1834" s="38" t="s">
        <v>111</v>
      </c>
      <c r="H1834" s="44">
        <v>44095</v>
      </c>
      <c r="I1834" s="44">
        <v>44098</v>
      </c>
      <c r="J1834">
        <v>2090.34</v>
      </c>
      <c r="K1834">
        <v>192.53</v>
      </c>
      <c r="L1834" t="s">
        <v>4728</v>
      </c>
      <c r="M1834" s="45" t="s">
        <v>98</v>
      </c>
      <c r="N1834" s="38" t="s">
        <v>230</v>
      </c>
      <c r="O1834" s="38" t="s">
        <v>386</v>
      </c>
      <c r="P1834" s="38" t="s">
        <v>43</v>
      </c>
      <c r="Q1834" s="38" t="s">
        <v>46</v>
      </c>
      <c r="R1834" s="38" t="s">
        <v>270</v>
      </c>
      <c r="S1834" s="38" t="s">
        <v>4729</v>
      </c>
      <c r="T1834" s="38" t="s">
        <v>4730</v>
      </c>
      <c r="U1834" s="38"/>
      <c r="V1834" s="38"/>
      <c r="W1834" s="38"/>
      <c r="X1834" s="14"/>
      <c r="AI1834" s="53">
        <f>192.53</f>
        <v>192.53</v>
      </c>
      <c r="AN1834" s="7" t="s">
        <v>145</v>
      </c>
      <c r="AO1834" s="21">
        <f t="shared" si="92"/>
        <v>192.53</v>
      </c>
      <c r="AP1834" s="7">
        <f t="shared" si="93"/>
        <v>0</v>
      </c>
      <c r="AQ1834" s="31" t="str">
        <f t="shared" si="94"/>
        <v>Complete - With Adjustment</v>
      </c>
    </row>
    <row r="1835" spans="1:43" x14ac:dyDescent="0.2">
      <c r="A1835" s="46">
        <v>1825</v>
      </c>
      <c r="B1835" s="38" t="s">
        <v>266</v>
      </c>
      <c r="C1835" s="38" t="s">
        <v>4731</v>
      </c>
      <c r="D1835" s="38" t="s">
        <v>4732</v>
      </c>
      <c r="E1835" s="38" t="s">
        <v>4733</v>
      </c>
      <c r="F1835" s="38" t="s">
        <v>4291</v>
      </c>
      <c r="G1835" s="38" t="s">
        <v>111</v>
      </c>
      <c r="H1835" s="44">
        <v>44076</v>
      </c>
      <c r="I1835" s="44">
        <v>44078</v>
      </c>
      <c r="J1835">
        <v>52</v>
      </c>
      <c r="K1835">
        <v>26</v>
      </c>
      <c r="L1835" t="s">
        <v>4734</v>
      </c>
      <c r="M1835" s="45" t="s">
        <v>98</v>
      </c>
      <c r="N1835" s="38" t="s">
        <v>230</v>
      </c>
      <c r="O1835" s="38" t="s">
        <v>357</v>
      </c>
      <c r="P1835" s="38" t="s">
        <v>60</v>
      </c>
      <c r="Q1835" s="38" t="s">
        <v>48</v>
      </c>
      <c r="R1835" s="38" t="s">
        <v>270</v>
      </c>
      <c r="S1835" s="38" t="s">
        <v>4735</v>
      </c>
      <c r="T1835" s="38" t="s">
        <v>4736</v>
      </c>
      <c r="U1835" s="38"/>
      <c r="V1835" s="38"/>
      <c r="W1835" s="38"/>
      <c r="X1835" s="14"/>
      <c r="AN1835" s="7" t="s">
        <v>70</v>
      </c>
      <c r="AO1835" s="21">
        <f t="shared" si="92"/>
        <v>0</v>
      </c>
      <c r="AP1835" s="7">
        <f t="shared" si="93"/>
        <v>26</v>
      </c>
      <c r="AQ1835" s="31" t="str">
        <f t="shared" si="94"/>
        <v>Complete - No Adjustment</v>
      </c>
    </row>
    <row r="1836" spans="1:43" x14ac:dyDescent="0.2">
      <c r="A1836" s="46">
        <v>1826</v>
      </c>
      <c r="B1836" s="38" t="s">
        <v>266</v>
      </c>
      <c r="C1836" s="38" t="s">
        <v>4731</v>
      </c>
      <c r="D1836" s="38" t="s">
        <v>4732</v>
      </c>
      <c r="E1836" s="38" t="s">
        <v>4733</v>
      </c>
      <c r="F1836" s="38" t="s">
        <v>4291</v>
      </c>
      <c r="G1836" s="38" t="s">
        <v>111</v>
      </c>
      <c r="H1836" s="44">
        <v>44076</v>
      </c>
      <c r="I1836" s="44">
        <v>44078</v>
      </c>
      <c r="J1836">
        <v>52</v>
      </c>
      <c r="K1836">
        <v>26</v>
      </c>
      <c r="L1836" t="s">
        <v>4734</v>
      </c>
      <c r="M1836" s="45" t="s">
        <v>98</v>
      </c>
      <c r="N1836" s="38" t="s">
        <v>230</v>
      </c>
      <c r="O1836" s="38" t="s">
        <v>357</v>
      </c>
      <c r="P1836" s="38" t="s">
        <v>40</v>
      </c>
      <c r="Q1836" s="38" t="s">
        <v>48</v>
      </c>
      <c r="R1836" s="38" t="s">
        <v>270</v>
      </c>
      <c r="S1836" s="38" t="s">
        <v>4735</v>
      </c>
      <c r="T1836" s="38" t="s">
        <v>4736</v>
      </c>
      <c r="U1836" s="38"/>
      <c r="V1836" s="38"/>
      <c r="W1836" s="38"/>
      <c r="X1836" s="14"/>
      <c r="AN1836" s="7" t="s">
        <v>70</v>
      </c>
      <c r="AO1836" s="21">
        <f t="shared" si="92"/>
        <v>0</v>
      </c>
      <c r="AP1836" s="7">
        <f t="shared" si="93"/>
        <v>26</v>
      </c>
      <c r="AQ1836" s="31" t="str">
        <f t="shared" si="94"/>
        <v>Complete - No Adjustment</v>
      </c>
    </row>
    <row r="1837" spans="1:43" x14ac:dyDescent="0.2">
      <c r="A1837" s="46">
        <v>1827</v>
      </c>
      <c r="B1837" s="38" t="s">
        <v>266</v>
      </c>
      <c r="C1837" s="38" t="s">
        <v>3296</v>
      </c>
      <c r="D1837" s="38" t="s">
        <v>3297</v>
      </c>
      <c r="E1837" s="38" t="s">
        <v>4737</v>
      </c>
      <c r="F1837" s="38" t="s">
        <v>4215</v>
      </c>
      <c r="G1837" s="38" t="s">
        <v>111</v>
      </c>
      <c r="H1837" s="44">
        <v>44090</v>
      </c>
      <c r="I1837" s="44">
        <v>44096</v>
      </c>
      <c r="J1837">
        <v>15</v>
      </c>
      <c r="K1837">
        <v>15</v>
      </c>
      <c r="L1837" t="s">
        <v>4738</v>
      </c>
      <c r="M1837" s="45" t="s">
        <v>98</v>
      </c>
      <c r="N1837" s="38" t="s">
        <v>230</v>
      </c>
      <c r="O1837" s="38" t="s">
        <v>465</v>
      </c>
      <c r="P1837" s="38" t="s">
        <v>60</v>
      </c>
      <c r="Q1837" s="38" t="s">
        <v>41</v>
      </c>
      <c r="R1837" s="38" t="s">
        <v>270</v>
      </c>
      <c r="S1837" s="38" t="s">
        <v>3300</v>
      </c>
      <c r="T1837" s="38" t="s">
        <v>3301</v>
      </c>
      <c r="U1837" s="38"/>
      <c r="V1837" s="38"/>
      <c r="W1837" s="38"/>
      <c r="X1837" s="14"/>
      <c r="AL1837" s="14">
        <f>15</f>
        <v>15</v>
      </c>
      <c r="AN1837" s="7" t="s">
        <v>146</v>
      </c>
      <c r="AO1837" s="21">
        <f t="shared" si="92"/>
        <v>15</v>
      </c>
      <c r="AP1837" s="7">
        <f t="shared" si="93"/>
        <v>0</v>
      </c>
      <c r="AQ1837" s="31" t="str">
        <f t="shared" si="94"/>
        <v>Complete - With Adjustment</v>
      </c>
    </row>
    <row r="1838" spans="1:43" x14ac:dyDescent="0.2">
      <c r="A1838" s="46">
        <v>1828</v>
      </c>
      <c r="B1838" s="38" t="s">
        <v>266</v>
      </c>
      <c r="C1838" s="38" t="s">
        <v>3296</v>
      </c>
      <c r="D1838" s="38" t="s">
        <v>3297</v>
      </c>
      <c r="E1838" s="38" t="s">
        <v>4739</v>
      </c>
      <c r="F1838" s="38" t="s">
        <v>4221</v>
      </c>
      <c r="G1838" s="38" t="s">
        <v>111</v>
      </c>
      <c r="H1838" s="44">
        <v>44095</v>
      </c>
      <c r="I1838" s="44">
        <v>44097</v>
      </c>
      <c r="J1838">
        <v>209</v>
      </c>
      <c r="K1838">
        <v>209</v>
      </c>
      <c r="L1838" t="s">
        <v>4740</v>
      </c>
      <c r="M1838" s="45" t="s">
        <v>98</v>
      </c>
      <c r="N1838" s="38" t="s">
        <v>230</v>
      </c>
      <c r="O1838" s="38" t="s">
        <v>465</v>
      </c>
      <c r="P1838" s="38" t="s">
        <v>60</v>
      </c>
      <c r="Q1838" s="38" t="s">
        <v>56</v>
      </c>
      <c r="R1838" s="38" t="s">
        <v>270</v>
      </c>
      <c r="S1838" s="38" t="s">
        <v>4741</v>
      </c>
      <c r="T1838" s="38" t="s">
        <v>4742</v>
      </c>
      <c r="U1838" s="38"/>
      <c r="V1838" s="38"/>
      <c r="W1838" s="38"/>
      <c r="X1838" s="14"/>
      <c r="AN1838" s="7" t="s">
        <v>70</v>
      </c>
      <c r="AO1838" s="21">
        <f t="shared" si="92"/>
        <v>0</v>
      </c>
      <c r="AP1838" s="7">
        <f t="shared" si="93"/>
        <v>209</v>
      </c>
      <c r="AQ1838" s="31" t="str">
        <f t="shared" si="94"/>
        <v>Complete - No Adjustment</v>
      </c>
    </row>
    <row r="1839" spans="1:43" x14ac:dyDescent="0.2">
      <c r="A1839" s="46">
        <v>1829</v>
      </c>
      <c r="B1839" s="38" t="s">
        <v>266</v>
      </c>
      <c r="C1839" s="38" t="s">
        <v>539</v>
      </c>
      <c r="D1839" s="38" t="s">
        <v>538</v>
      </c>
      <c r="E1839" s="38" t="s">
        <v>4743</v>
      </c>
      <c r="F1839" s="38" t="s">
        <v>4382</v>
      </c>
      <c r="G1839" s="38" t="s">
        <v>111</v>
      </c>
      <c r="H1839" s="44">
        <v>44097</v>
      </c>
      <c r="I1839" s="44">
        <v>44099</v>
      </c>
      <c r="J1839">
        <v>60.61</v>
      </c>
      <c r="K1839">
        <v>60.61</v>
      </c>
      <c r="L1839" t="s">
        <v>4744</v>
      </c>
      <c r="M1839" s="45" t="s">
        <v>98</v>
      </c>
      <c r="N1839" s="38" t="s">
        <v>230</v>
      </c>
      <c r="O1839" s="38" t="s">
        <v>287</v>
      </c>
      <c r="P1839" s="38" t="s">
        <v>60</v>
      </c>
      <c r="Q1839" s="38" t="s">
        <v>104</v>
      </c>
      <c r="R1839" s="38" t="s">
        <v>270</v>
      </c>
      <c r="S1839" s="38" t="s">
        <v>4745</v>
      </c>
      <c r="T1839" s="38" t="s">
        <v>4746</v>
      </c>
      <c r="U1839" s="38"/>
      <c r="V1839" s="38"/>
      <c r="W1839" s="38"/>
      <c r="X1839" s="14"/>
      <c r="AN1839" s="7" t="s">
        <v>70</v>
      </c>
      <c r="AO1839" s="21">
        <f t="shared" si="92"/>
        <v>0</v>
      </c>
      <c r="AP1839" s="7">
        <f t="shared" si="93"/>
        <v>60.61</v>
      </c>
      <c r="AQ1839" s="31" t="str">
        <f t="shared" si="94"/>
        <v>Complete - No Adjustment</v>
      </c>
    </row>
    <row r="1840" spans="1:43" x14ac:dyDescent="0.2">
      <c r="A1840" s="46">
        <v>1830</v>
      </c>
      <c r="B1840" s="38" t="s">
        <v>266</v>
      </c>
      <c r="C1840" s="38" t="s">
        <v>395</v>
      </c>
      <c r="D1840" s="38" t="s">
        <v>394</v>
      </c>
      <c r="E1840" s="38" t="s">
        <v>4747</v>
      </c>
      <c r="F1840" s="38" t="s">
        <v>4284</v>
      </c>
      <c r="G1840" s="38" t="s">
        <v>111</v>
      </c>
      <c r="H1840" s="44">
        <v>44075</v>
      </c>
      <c r="I1840" s="44">
        <v>44077</v>
      </c>
      <c r="J1840">
        <v>266.49</v>
      </c>
      <c r="K1840">
        <v>266.49</v>
      </c>
      <c r="L1840" t="s">
        <v>4748</v>
      </c>
      <c r="M1840" s="45" t="s">
        <v>98</v>
      </c>
      <c r="N1840" s="38" t="s">
        <v>230</v>
      </c>
      <c r="O1840" s="38" t="s">
        <v>288</v>
      </c>
      <c r="P1840" s="38" t="s">
        <v>60</v>
      </c>
      <c r="Q1840" s="38" t="s">
        <v>46</v>
      </c>
      <c r="R1840" s="38" t="s">
        <v>270</v>
      </c>
      <c r="S1840" s="38" t="s">
        <v>4749</v>
      </c>
      <c r="T1840" s="38" t="s">
        <v>4750</v>
      </c>
      <c r="U1840" s="38"/>
      <c r="V1840" s="38"/>
      <c r="W1840" s="38"/>
      <c r="X1840" s="14"/>
      <c r="AN1840" s="7" t="s">
        <v>70</v>
      </c>
      <c r="AO1840" s="21">
        <f t="shared" si="92"/>
        <v>0</v>
      </c>
      <c r="AP1840" s="7">
        <f t="shared" si="93"/>
        <v>266.49</v>
      </c>
      <c r="AQ1840" s="31" t="str">
        <f t="shared" si="94"/>
        <v>Complete - No Adjustment</v>
      </c>
    </row>
    <row r="1841" spans="1:43" x14ac:dyDescent="0.2">
      <c r="A1841" s="46">
        <v>1831</v>
      </c>
      <c r="B1841" s="38" t="s">
        <v>266</v>
      </c>
      <c r="C1841" s="38" t="s">
        <v>3946</v>
      </c>
      <c r="D1841" s="38" t="s">
        <v>3947</v>
      </c>
      <c r="E1841" s="38" t="s">
        <v>4751</v>
      </c>
      <c r="F1841" s="38" t="s">
        <v>4238</v>
      </c>
      <c r="G1841" s="38" t="s">
        <v>111</v>
      </c>
      <c r="H1841" s="44">
        <v>44095</v>
      </c>
      <c r="I1841" s="44">
        <v>44102</v>
      </c>
      <c r="J1841">
        <v>14.39</v>
      </c>
      <c r="K1841">
        <v>14.39</v>
      </c>
      <c r="L1841" t="s">
        <v>4752</v>
      </c>
      <c r="M1841" s="45" t="s">
        <v>98</v>
      </c>
      <c r="N1841" s="38" t="s">
        <v>230</v>
      </c>
      <c r="O1841" s="38" t="s">
        <v>378</v>
      </c>
      <c r="P1841" s="38" t="s">
        <v>60</v>
      </c>
      <c r="Q1841" s="38" t="s">
        <v>41</v>
      </c>
      <c r="R1841" s="38" t="s">
        <v>270</v>
      </c>
      <c r="S1841" s="38" t="s">
        <v>4753</v>
      </c>
      <c r="T1841" s="38" t="s">
        <v>4754</v>
      </c>
      <c r="U1841" s="38"/>
      <c r="V1841" s="38"/>
      <c r="W1841" s="38"/>
      <c r="X1841" s="14"/>
      <c r="AL1841" s="14">
        <f>14.39</f>
        <v>14.39</v>
      </c>
      <c r="AN1841" s="7" t="s">
        <v>146</v>
      </c>
      <c r="AO1841" s="21">
        <f t="shared" si="92"/>
        <v>14.39</v>
      </c>
      <c r="AP1841" s="7">
        <f t="shared" si="93"/>
        <v>0</v>
      </c>
      <c r="AQ1841" s="31" t="str">
        <f t="shared" si="94"/>
        <v>Complete - With Adjustment</v>
      </c>
    </row>
    <row r="1842" spans="1:43" x14ac:dyDescent="0.2">
      <c r="A1842" s="46">
        <v>1832</v>
      </c>
      <c r="B1842" s="38" t="s">
        <v>266</v>
      </c>
      <c r="C1842" s="38" t="s">
        <v>3946</v>
      </c>
      <c r="D1842" s="38" t="s">
        <v>3947</v>
      </c>
      <c r="E1842" s="38" t="s">
        <v>4755</v>
      </c>
      <c r="F1842" s="38" t="s">
        <v>4558</v>
      </c>
      <c r="G1842" s="38" t="s">
        <v>111</v>
      </c>
      <c r="H1842" s="44">
        <v>44071</v>
      </c>
      <c r="I1842" s="44">
        <v>44075</v>
      </c>
      <c r="J1842">
        <v>14.94</v>
      </c>
      <c r="K1842">
        <v>14.94</v>
      </c>
      <c r="L1842" t="s">
        <v>4756</v>
      </c>
      <c r="M1842" s="45" t="s">
        <v>98</v>
      </c>
      <c r="N1842" s="38" t="s">
        <v>230</v>
      </c>
      <c r="O1842" s="38" t="s">
        <v>378</v>
      </c>
      <c r="P1842" s="38" t="s">
        <v>60</v>
      </c>
      <c r="Q1842" s="38" t="s">
        <v>41</v>
      </c>
      <c r="R1842" s="38" t="s">
        <v>270</v>
      </c>
      <c r="S1842" s="38" t="s">
        <v>4757</v>
      </c>
      <c r="T1842" s="38" t="s">
        <v>4758</v>
      </c>
      <c r="U1842" s="38"/>
      <c r="V1842" s="38"/>
      <c r="W1842" s="38"/>
      <c r="X1842" s="14"/>
      <c r="AN1842" s="7" t="s">
        <v>155</v>
      </c>
      <c r="AO1842" s="21">
        <f t="shared" si="92"/>
        <v>0</v>
      </c>
      <c r="AP1842" s="7">
        <f t="shared" si="93"/>
        <v>14.94</v>
      </c>
      <c r="AQ1842" s="31" t="str">
        <f t="shared" si="94"/>
        <v>Complete - No Adjustment</v>
      </c>
    </row>
    <row r="1843" spans="1:43" x14ac:dyDescent="0.2">
      <c r="A1843" s="46">
        <v>1833</v>
      </c>
      <c r="B1843" s="38" t="s">
        <v>266</v>
      </c>
      <c r="C1843" s="38" t="s">
        <v>401</v>
      </c>
      <c r="D1843" s="38" t="s">
        <v>400</v>
      </c>
      <c r="E1843" s="38" t="s">
        <v>5329</v>
      </c>
      <c r="F1843" s="38" t="s">
        <v>4298</v>
      </c>
      <c r="G1843" s="38" t="s">
        <v>111</v>
      </c>
      <c r="H1843" s="44">
        <v>44096</v>
      </c>
      <c r="I1843" s="44">
        <v>44103</v>
      </c>
      <c r="J1843">
        <v>5950</v>
      </c>
      <c r="K1843">
        <v>5950</v>
      </c>
      <c r="L1843"/>
      <c r="M1843" s="45" t="s">
        <v>97</v>
      </c>
      <c r="N1843" s="38" t="s">
        <v>230</v>
      </c>
      <c r="O1843" s="38" t="s">
        <v>402</v>
      </c>
      <c r="P1843" s="38" t="s">
        <v>42</v>
      </c>
      <c r="Q1843" s="38" t="s">
        <v>57</v>
      </c>
      <c r="R1843" s="38" t="s">
        <v>270</v>
      </c>
      <c r="S1843" s="38" t="s">
        <v>5330</v>
      </c>
      <c r="T1843" s="38" t="s">
        <v>5331</v>
      </c>
      <c r="U1843" s="38"/>
      <c r="V1843" s="38"/>
      <c r="W1843" s="38"/>
      <c r="X1843" s="14"/>
      <c r="Z1843" s="14">
        <f>5950</f>
        <v>5950</v>
      </c>
      <c r="AN1843" s="7" t="s">
        <v>39</v>
      </c>
      <c r="AO1843" s="21">
        <f>SUM(Y1843:AL1843)</f>
        <v>5950</v>
      </c>
      <c r="AP1843" s="7">
        <f t="shared" si="93"/>
        <v>0</v>
      </c>
      <c r="AQ1843" s="31" t="str">
        <f t="shared" si="94"/>
        <v>Complete - With Adjustment</v>
      </c>
    </row>
    <row r="1844" spans="1:43" x14ac:dyDescent="0.2">
      <c r="A1844" s="46">
        <v>1834</v>
      </c>
      <c r="B1844" s="38" t="s">
        <v>266</v>
      </c>
      <c r="C1844" s="38" t="s">
        <v>654</v>
      </c>
      <c r="D1844" s="38" t="s">
        <v>653</v>
      </c>
      <c r="E1844" s="38" t="s">
        <v>4759</v>
      </c>
      <c r="F1844" s="38" t="s">
        <v>4358</v>
      </c>
      <c r="G1844" s="38" t="s">
        <v>111</v>
      </c>
      <c r="H1844" s="44">
        <v>44092</v>
      </c>
      <c r="I1844" s="44">
        <v>44098</v>
      </c>
      <c r="J1844">
        <v>23.19</v>
      </c>
      <c r="K1844">
        <v>8.65</v>
      </c>
      <c r="L1844" t="s">
        <v>4760</v>
      </c>
      <c r="M1844" s="45" t="s">
        <v>98</v>
      </c>
      <c r="N1844" s="38" t="s">
        <v>230</v>
      </c>
      <c r="O1844" s="38" t="s">
        <v>397</v>
      </c>
      <c r="P1844" s="38" t="s">
        <v>60</v>
      </c>
      <c r="Q1844" s="38" t="s">
        <v>65</v>
      </c>
      <c r="R1844" s="38" t="s">
        <v>270</v>
      </c>
      <c r="S1844" s="38" t="s">
        <v>4761</v>
      </c>
      <c r="T1844" s="38" t="s">
        <v>4762</v>
      </c>
      <c r="U1844" s="38"/>
      <c r="V1844" s="38"/>
      <c r="W1844" s="38"/>
      <c r="X1844" s="14"/>
      <c r="AN1844" s="7" t="s">
        <v>70</v>
      </c>
      <c r="AO1844" s="21">
        <f t="shared" si="92"/>
        <v>0</v>
      </c>
      <c r="AP1844" s="7">
        <f t="shared" si="93"/>
        <v>8.65</v>
      </c>
      <c r="AQ1844" s="31" t="str">
        <f t="shared" si="94"/>
        <v>Complete - No Adjustment</v>
      </c>
    </row>
    <row r="1845" spans="1:43" x14ac:dyDescent="0.2">
      <c r="A1845" s="46">
        <v>1835</v>
      </c>
      <c r="B1845" s="38" t="s">
        <v>266</v>
      </c>
      <c r="C1845" s="38" t="s">
        <v>654</v>
      </c>
      <c r="D1845" s="38" t="s">
        <v>653</v>
      </c>
      <c r="E1845" s="38" t="s">
        <v>4759</v>
      </c>
      <c r="F1845" s="38" t="s">
        <v>4358</v>
      </c>
      <c r="G1845" s="38" t="s">
        <v>111</v>
      </c>
      <c r="H1845" s="44">
        <v>44092</v>
      </c>
      <c r="I1845" s="44">
        <v>44098</v>
      </c>
      <c r="J1845">
        <v>23.19</v>
      </c>
      <c r="K1845">
        <v>14.54</v>
      </c>
      <c r="L1845" t="s">
        <v>4760</v>
      </c>
      <c r="M1845" s="45" t="s">
        <v>98</v>
      </c>
      <c r="N1845" s="38" t="s">
        <v>230</v>
      </c>
      <c r="O1845" s="38" t="s">
        <v>397</v>
      </c>
      <c r="P1845" s="38" t="s">
        <v>60</v>
      </c>
      <c r="Q1845" s="38" t="s">
        <v>41</v>
      </c>
      <c r="R1845" s="38" t="s">
        <v>270</v>
      </c>
      <c r="S1845" s="38" t="s">
        <v>4761</v>
      </c>
      <c r="T1845" s="38" t="s">
        <v>4763</v>
      </c>
      <c r="U1845" s="38"/>
      <c r="V1845" s="38"/>
      <c r="W1845" s="38"/>
      <c r="X1845" s="14"/>
      <c r="AN1845" s="7" t="s">
        <v>155</v>
      </c>
      <c r="AO1845" s="21">
        <f t="shared" si="92"/>
        <v>0</v>
      </c>
      <c r="AP1845" s="7">
        <f t="shared" si="93"/>
        <v>14.54</v>
      </c>
      <c r="AQ1845" s="31" t="str">
        <f t="shared" si="94"/>
        <v>Complete - No Adjustment</v>
      </c>
    </row>
    <row r="1846" spans="1:43" x14ac:dyDescent="0.2">
      <c r="A1846" s="46">
        <v>1836</v>
      </c>
      <c r="B1846" s="38" t="s">
        <v>266</v>
      </c>
      <c r="C1846" s="38" t="s">
        <v>751</v>
      </c>
      <c r="D1846" s="38" t="s">
        <v>750</v>
      </c>
      <c r="E1846" s="38" t="s">
        <v>4764</v>
      </c>
      <c r="F1846" s="38" t="s">
        <v>4221</v>
      </c>
      <c r="G1846" s="38" t="s">
        <v>111</v>
      </c>
      <c r="H1846" s="44">
        <v>44091</v>
      </c>
      <c r="I1846" s="44">
        <v>44097</v>
      </c>
      <c r="J1846">
        <v>15</v>
      </c>
      <c r="K1846">
        <v>15</v>
      </c>
      <c r="L1846" t="s">
        <v>4765</v>
      </c>
      <c r="M1846" s="45" t="s">
        <v>98</v>
      </c>
      <c r="N1846" s="38" t="s">
        <v>230</v>
      </c>
      <c r="O1846" s="38" t="s">
        <v>397</v>
      </c>
      <c r="P1846" s="38" t="s">
        <v>60</v>
      </c>
      <c r="Q1846" s="38" t="s">
        <v>41</v>
      </c>
      <c r="R1846" s="38" t="s">
        <v>270</v>
      </c>
      <c r="S1846" s="38" t="s">
        <v>4766</v>
      </c>
      <c r="T1846" s="38" t="s">
        <v>4767</v>
      </c>
      <c r="U1846" s="38"/>
      <c r="V1846" s="38"/>
      <c r="W1846" s="38"/>
      <c r="X1846" s="14"/>
      <c r="AN1846" s="7" t="s">
        <v>155</v>
      </c>
      <c r="AO1846" s="21">
        <f t="shared" si="92"/>
        <v>0</v>
      </c>
      <c r="AP1846" s="7">
        <f t="shared" si="93"/>
        <v>15</v>
      </c>
      <c r="AQ1846" s="31" t="str">
        <f t="shared" si="94"/>
        <v>Complete - No Adjustment</v>
      </c>
    </row>
    <row r="1847" spans="1:43" x14ac:dyDescent="0.2">
      <c r="A1847" s="46">
        <v>1837</v>
      </c>
      <c r="B1847" s="38" t="s">
        <v>266</v>
      </c>
      <c r="C1847" s="38" t="s">
        <v>2483</v>
      </c>
      <c r="D1847" s="38" t="s">
        <v>2484</v>
      </c>
      <c r="E1847" s="38" t="s">
        <v>4768</v>
      </c>
      <c r="F1847" s="38" t="s">
        <v>4215</v>
      </c>
      <c r="G1847" s="38" t="s">
        <v>111</v>
      </c>
      <c r="H1847" s="44">
        <v>44091</v>
      </c>
      <c r="I1847" s="44">
        <v>44096</v>
      </c>
      <c r="J1847">
        <v>15</v>
      </c>
      <c r="K1847">
        <v>15</v>
      </c>
      <c r="L1847" t="s">
        <v>4769</v>
      </c>
      <c r="M1847" s="45" t="s">
        <v>98</v>
      </c>
      <c r="N1847" s="38" t="s">
        <v>230</v>
      </c>
      <c r="O1847" s="38" t="s">
        <v>365</v>
      </c>
      <c r="P1847" s="38" t="s">
        <v>60</v>
      </c>
      <c r="Q1847" s="38" t="s">
        <v>46</v>
      </c>
      <c r="R1847" s="38" t="s">
        <v>270</v>
      </c>
      <c r="S1847" s="38" t="s">
        <v>4770</v>
      </c>
      <c r="T1847" s="38" t="s">
        <v>4771</v>
      </c>
      <c r="U1847" s="38"/>
      <c r="V1847" s="38"/>
      <c r="W1847" s="38"/>
      <c r="X1847" s="14"/>
      <c r="AN1847" s="7" t="s">
        <v>4219</v>
      </c>
      <c r="AO1847" s="21">
        <f t="shared" si="92"/>
        <v>0</v>
      </c>
      <c r="AP1847" s="7">
        <f t="shared" si="93"/>
        <v>15</v>
      </c>
      <c r="AQ1847" s="31" t="str">
        <f t="shared" si="94"/>
        <v>Complete - No Adjustment</v>
      </c>
    </row>
    <row r="1848" spans="1:43" x14ac:dyDescent="0.2">
      <c r="A1848" s="46">
        <v>1838</v>
      </c>
      <c r="B1848" s="38" t="s">
        <v>266</v>
      </c>
      <c r="C1848" s="38" t="s">
        <v>783</v>
      </c>
      <c r="D1848" s="38" t="s">
        <v>782</v>
      </c>
      <c r="E1848" s="38" t="s">
        <v>4772</v>
      </c>
      <c r="F1848" s="38" t="s">
        <v>4221</v>
      </c>
      <c r="G1848" s="38" t="s">
        <v>111</v>
      </c>
      <c r="H1848" s="44">
        <v>44095</v>
      </c>
      <c r="I1848" s="44">
        <v>44097</v>
      </c>
      <c r="J1848">
        <v>15</v>
      </c>
      <c r="K1848">
        <v>15</v>
      </c>
      <c r="L1848" t="s">
        <v>4773</v>
      </c>
      <c r="M1848" s="45" t="s">
        <v>98</v>
      </c>
      <c r="N1848" s="38" t="s">
        <v>230</v>
      </c>
      <c r="O1848" s="38" t="s">
        <v>365</v>
      </c>
      <c r="P1848" s="38" t="s">
        <v>60</v>
      </c>
      <c r="Q1848" s="38" t="s">
        <v>41</v>
      </c>
      <c r="R1848" s="38" t="s">
        <v>270</v>
      </c>
      <c r="S1848" s="38" t="s">
        <v>2491</v>
      </c>
      <c r="T1848" s="38" t="s">
        <v>2492</v>
      </c>
      <c r="U1848" s="38"/>
      <c r="V1848" s="38"/>
      <c r="W1848" s="38"/>
      <c r="X1848" s="14"/>
      <c r="AN1848" s="7" t="s">
        <v>155</v>
      </c>
      <c r="AO1848" s="21">
        <f t="shared" si="92"/>
        <v>0</v>
      </c>
      <c r="AP1848" s="7">
        <f t="shared" si="93"/>
        <v>15</v>
      </c>
      <c r="AQ1848" s="31" t="str">
        <f t="shared" si="94"/>
        <v>Complete - No Adjustment</v>
      </c>
    </row>
    <row r="1849" spans="1:43" x14ac:dyDescent="0.2">
      <c r="A1849" s="46">
        <v>1839</v>
      </c>
      <c r="B1849" s="38" t="s">
        <v>266</v>
      </c>
      <c r="C1849" s="38" t="s">
        <v>408</v>
      </c>
      <c r="D1849" s="38" t="s">
        <v>407</v>
      </c>
      <c r="E1849" s="38" t="s">
        <v>4774</v>
      </c>
      <c r="F1849" s="38" t="s">
        <v>4261</v>
      </c>
      <c r="G1849" s="38" t="s">
        <v>111</v>
      </c>
      <c r="H1849" s="44">
        <v>43864</v>
      </c>
      <c r="I1849" s="44">
        <v>44104</v>
      </c>
      <c r="J1849">
        <v>663.67</v>
      </c>
      <c r="K1849">
        <v>13.9</v>
      </c>
      <c r="L1849" t="s">
        <v>4775</v>
      </c>
      <c r="M1849" s="45" t="s">
        <v>98</v>
      </c>
      <c r="N1849" s="38" t="s">
        <v>230</v>
      </c>
      <c r="O1849" s="38" t="s">
        <v>342</v>
      </c>
      <c r="P1849" s="38" t="s">
        <v>60</v>
      </c>
      <c r="Q1849" s="38" t="s">
        <v>41</v>
      </c>
      <c r="R1849" s="38" t="s">
        <v>270</v>
      </c>
      <c r="S1849" s="38" t="s">
        <v>4776</v>
      </c>
      <c r="T1849" s="38" t="s">
        <v>4777</v>
      </c>
      <c r="U1849" s="38"/>
      <c r="V1849" s="38"/>
      <c r="W1849" s="38"/>
      <c r="X1849" s="14"/>
      <c r="AN1849" s="7" t="s">
        <v>70</v>
      </c>
      <c r="AO1849" s="21">
        <f t="shared" si="92"/>
        <v>0</v>
      </c>
      <c r="AP1849" s="7">
        <f t="shared" si="93"/>
        <v>13.9</v>
      </c>
      <c r="AQ1849" s="31" t="str">
        <f t="shared" si="94"/>
        <v>Complete - No Adjustment</v>
      </c>
    </row>
    <row r="1850" spans="1:43" x14ac:dyDescent="0.2">
      <c r="A1850" s="46">
        <v>1840</v>
      </c>
      <c r="B1850" s="38" t="s">
        <v>266</v>
      </c>
      <c r="C1850" s="38" t="s">
        <v>408</v>
      </c>
      <c r="D1850" s="38" t="s">
        <v>407</v>
      </c>
      <c r="E1850" s="38" t="s">
        <v>4774</v>
      </c>
      <c r="F1850" s="38" t="s">
        <v>4261</v>
      </c>
      <c r="G1850" s="38" t="s">
        <v>111</v>
      </c>
      <c r="H1850" s="44">
        <v>43864</v>
      </c>
      <c r="I1850" s="44">
        <v>44104</v>
      </c>
      <c r="J1850">
        <v>663.67</v>
      </c>
      <c r="K1850">
        <v>12.87</v>
      </c>
      <c r="L1850" t="s">
        <v>4775</v>
      </c>
      <c r="M1850" s="45" t="s">
        <v>98</v>
      </c>
      <c r="N1850" s="38" t="s">
        <v>230</v>
      </c>
      <c r="O1850" s="38" t="s">
        <v>342</v>
      </c>
      <c r="P1850" s="38" t="s">
        <v>60</v>
      </c>
      <c r="Q1850" s="38" t="s">
        <v>41</v>
      </c>
      <c r="R1850" s="38" t="s">
        <v>270</v>
      </c>
      <c r="S1850" s="38" t="s">
        <v>4776</v>
      </c>
      <c r="T1850" s="38" t="s">
        <v>4777</v>
      </c>
      <c r="U1850" s="38"/>
      <c r="V1850" s="38"/>
      <c r="W1850" s="38"/>
      <c r="X1850" s="14"/>
      <c r="AN1850" s="7" t="s">
        <v>70</v>
      </c>
      <c r="AO1850" s="21">
        <f t="shared" si="92"/>
        <v>0</v>
      </c>
      <c r="AP1850" s="7">
        <f t="shared" si="93"/>
        <v>12.87</v>
      </c>
      <c r="AQ1850" s="31" t="str">
        <f t="shared" si="94"/>
        <v>Complete - No Adjustment</v>
      </c>
    </row>
    <row r="1851" spans="1:43" x14ac:dyDescent="0.2">
      <c r="A1851" s="46">
        <v>1841</v>
      </c>
      <c r="B1851" s="38" t="s">
        <v>266</v>
      </c>
      <c r="C1851" s="38" t="s">
        <v>408</v>
      </c>
      <c r="D1851" s="38" t="s">
        <v>407</v>
      </c>
      <c r="E1851" s="38" t="s">
        <v>4774</v>
      </c>
      <c r="F1851" s="38" t="s">
        <v>4261</v>
      </c>
      <c r="G1851" s="38" t="s">
        <v>111</v>
      </c>
      <c r="H1851" s="44">
        <v>43864</v>
      </c>
      <c r="I1851" s="44">
        <v>44104</v>
      </c>
      <c r="J1851">
        <v>663.67</v>
      </c>
      <c r="K1851">
        <v>2.4500000000000002</v>
      </c>
      <c r="L1851" t="s">
        <v>4775</v>
      </c>
      <c r="M1851" s="45" t="s">
        <v>98</v>
      </c>
      <c r="N1851" s="38" t="s">
        <v>230</v>
      </c>
      <c r="O1851" s="38" t="s">
        <v>342</v>
      </c>
      <c r="P1851" s="38" t="s">
        <v>60</v>
      </c>
      <c r="Q1851" s="38" t="s">
        <v>41</v>
      </c>
      <c r="R1851" s="38" t="s">
        <v>270</v>
      </c>
      <c r="S1851" s="38" t="s">
        <v>4776</v>
      </c>
      <c r="T1851" s="38" t="s">
        <v>4777</v>
      </c>
      <c r="U1851" s="38"/>
      <c r="V1851" s="38"/>
      <c r="W1851" s="38"/>
      <c r="X1851" s="14"/>
      <c r="AN1851" s="7" t="s">
        <v>70</v>
      </c>
      <c r="AO1851" s="21">
        <f t="shared" si="92"/>
        <v>0</v>
      </c>
      <c r="AP1851" s="7">
        <f t="shared" si="93"/>
        <v>2.4500000000000002</v>
      </c>
      <c r="AQ1851" s="31" t="str">
        <f t="shared" si="94"/>
        <v>Complete - No Adjustment</v>
      </c>
    </row>
    <row r="1852" spans="1:43" x14ac:dyDescent="0.2">
      <c r="A1852" s="46">
        <v>1842</v>
      </c>
      <c r="B1852" s="38" t="s">
        <v>266</v>
      </c>
      <c r="C1852" s="38" t="s">
        <v>408</v>
      </c>
      <c r="D1852" s="38" t="s">
        <v>407</v>
      </c>
      <c r="E1852" s="38" t="s">
        <v>4774</v>
      </c>
      <c r="F1852" s="38" t="s">
        <v>4261</v>
      </c>
      <c r="G1852" s="38" t="s">
        <v>111</v>
      </c>
      <c r="H1852" s="44">
        <v>43864</v>
      </c>
      <c r="I1852" s="44">
        <v>44104</v>
      </c>
      <c r="J1852">
        <v>663.67</v>
      </c>
      <c r="K1852">
        <v>12.7</v>
      </c>
      <c r="L1852" t="s">
        <v>4775</v>
      </c>
      <c r="M1852" s="45" t="s">
        <v>98</v>
      </c>
      <c r="N1852" s="38" t="s">
        <v>230</v>
      </c>
      <c r="O1852" s="38" t="s">
        <v>342</v>
      </c>
      <c r="P1852" s="38" t="s">
        <v>60</v>
      </c>
      <c r="Q1852" s="38" t="s">
        <v>41</v>
      </c>
      <c r="R1852" s="38" t="s">
        <v>270</v>
      </c>
      <c r="S1852" s="38" t="s">
        <v>4776</v>
      </c>
      <c r="T1852" s="38" t="s">
        <v>4777</v>
      </c>
      <c r="U1852" s="38"/>
      <c r="V1852" s="38"/>
      <c r="W1852" s="38"/>
      <c r="X1852" s="14"/>
      <c r="AN1852" s="7" t="s">
        <v>70</v>
      </c>
      <c r="AO1852" s="21">
        <f t="shared" si="92"/>
        <v>0</v>
      </c>
      <c r="AP1852" s="7">
        <f t="shared" si="93"/>
        <v>12.7</v>
      </c>
      <c r="AQ1852" s="31" t="str">
        <f t="shared" si="94"/>
        <v>Complete - No Adjustment</v>
      </c>
    </row>
    <row r="1853" spans="1:43" x14ac:dyDescent="0.2">
      <c r="A1853" s="46">
        <v>1843</v>
      </c>
      <c r="B1853" s="38" t="s">
        <v>266</v>
      </c>
      <c r="C1853" s="38" t="s">
        <v>408</v>
      </c>
      <c r="D1853" s="38" t="s">
        <v>407</v>
      </c>
      <c r="E1853" s="38" t="s">
        <v>4774</v>
      </c>
      <c r="F1853" s="38" t="s">
        <v>4261</v>
      </c>
      <c r="G1853" s="38" t="s">
        <v>111</v>
      </c>
      <c r="H1853" s="44">
        <v>43864</v>
      </c>
      <c r="I1853" s="44">
        <v>44104</v>
      </c>
      <c r="J1853">
        <v>663.67</v>
      </c>
      <c r="K1853">
        <v>9.6300000000000008</v>
      </c>
      <c r="L1853" t="s">
        <v>4775</v>
      </c>
      <c r="M1853" s="45" t="s">
        <v>98</v>
      </c>
      <c r="N1853" s="38" t="s">
        <v>230</v>
      </c>
      <c r="O1853" s="38" t="s">
        <v>342</v>
      </c>
      <c r="P1853" s="38" t="s">
        <v>60</v>
      </c>
      <c r="Q1853" s="38" t="s">
        <v>41</v>
      </c>
      <c r="R1853" s="38" t="s">
        <v>270</v>
      </c>
      <c r="S1853" s="38" t="s">
        <v>4776</v>
      </c>
      <c r="T1853" s="38" t="s">
        <v>4777</v>
      </c>
      <c r="U1853" s="38"/>
      <c r="V1853" s="38"/>
      <c r="W1853" s="38"/>
      <c r="X1853" s="14"/>
      <c r="AN1853" s="7" t="s">
        <v>70</v>
      </c>
      <c r="AO1853" s="21">
        <f t="shared" si="92"/>
        <v>0</v>
      </c>
      <c r="AP1853" s="7">
        <f t="shared" si="93"/>
        <v>9.6300000000000008</v>
      </c>
      <c r="AQ1853" s="31" t="str">
        <f t="shared" si="94"/>
        <v>Complete - No Adjustment</v>
      </c>
    </row>
    <row r="1854" spans="1:43" x14ac:dyDescent="0.2">
      <c r="A1854" s="46">
        <v>1844</v>
      </c>
      <c r="B1854" s="38" t="s">
        <v>266</v>
      </c>
      <c r="C1854" s="38" t="s">
        <v>408</v>
      </c>
      <c r="D1854" s="38" t="s">
        <v>407</v>
      </c>
      <c r="E1854" s="38" t="s">
        <v>4774</v>
      </c>
      <c r="F1854" s="38" t="s">
        <v>4261</v>
      </c>
      <c r="G1854" s="38" t="s">
        <v>111</v>
      </c>
      <c r="H1854" s="44">
        <v>43864</v>
      </c>
      <c r="I1854" s="44">
        <v>44104</v>
      </c>
      <c r="J1854">
        <v>663.67</v>
      </c>
      <c r="K1854">
        <v>2.84</v>
      </c>
      <c r="L1854" t="s">
        <v>4775</v>
      </c>
      <c r="M1854" s="45" t="s">
        <v>98</v>
      </c>
      <c r="N1854" s="38" t="s">
        <v>230</v>
      </c>
      <c r="O1854" s="38" t="s">
        <v>342</v>
      </c>
      <c r="P1854" s="38" t="s">
        <v>60</v>
      </c>
      <c r="Q1854" s="38" t="s">
        <v>41</v>
      </c>
      <c r="R1854" s="38" t="s">
        <v>270</v>
      </c>
      <c r="S1854" s="38" t="s">
        <v>4776</v>
      </c>
      <c r="T1854" s="38" t="s">
        <v>4777</v>
      </c>
      <c r="U1854" s="38"/>
      <c r="V1854" s="38"/>
      <c r="W1854" s="38"/>
      <c r="X1854" s="14"/>
      <c r="AN1854" s="7" t="s">
        <v>70</v>
      </c>
      <c r="AO1854" s="21">
        <f t="shared" si="92"/>
        <v>0</v>
      </c>
      <c r="AP1854" s="7">
        <f t="shared" si="93"/>
        <v>2.84</v>
      </c>
      <c r="AQ1854" s="31" t="str">
        <f t="shared" si="94"/>
        <v>Complete - No Adjustment</v>
      </c>
    </row>
    <row r="1855" spans="1:43" x14ac:dyDescent="0.2">
      <c r="A1855" s="46">
        <v>1845</v>
      </c>
      <c r="B1855" s="38" t="s">
        <v>266</v>
      </c>
      <c r="C1855" s="38" t="s">
        <v>408</v>
      </c>
      <c r="D1855" s="38" t="s">
        <v>407</v>
      </c>
      <c r="E1855" s="38" t="s">
        <v>4774</v>
      </c>
      <c r="F1855" s="38" t="s">
        <v>4261</v>
      </c>
      <c r="G1855" s="38" t="s">
        <v>111</v>
      </c>
      <c r="H1855" s="44">
        <v>43864</v>
      </c>
      <c r="I1855" s="44">
        <v>44104</v>
      </c>
      <c r="J1855">
        <v>663.67</v>
      </c>
      <c r="K1855">
        <v>17.690000000000001</v>
      </c>
      <c r="L1855" t="s">
        <v>4775</v>
      </c>
      <c r="M1855" s="45" t="s">
        <v>98</v>
      </c>
      <c r="N1855" s="38" t="s">
        <v>230</v>
      </c>
      <c r="O1855" s="38" t="s">
        <v>342</v>
      </c>
      <c r="P1855" s="38" t="s">
        <v>60</v>
      </c>
      <c r="Q1855" s="38" t="s">
        <v>41</v>
      </c>
      <c r="R1855" s="38" t="s">
        <v>270</v>
      </c>
      <c r="S1855" s="38" t="s">
        <v>4776</v>
      </c>
      <c r="T1855" s="38" t="s">
        <v>4777</v>
      </c>
      <c r="U1855" s="38"/>
      <c r="V1855" s="38"/>
      <c r="W1855" s="38"/>
      <c r="X1855" s="14"/>
      <c r="AN1855" s="7" t="s">
        <v>70</v>
      </c>
      <c r="AO1855" s="21">
        <f t="shared" si="92"/>
        <v>0</v>
      </c>
      <c r="AP1855" s="7">
        <f t="shared" si="93"/>
        <v>17.690000000000001</v>
      </c>
      <c r="AQ1855" s="31" t="str">
        <f t="shared" si="94"/>
        <v>Complete - No Adjustment</v>
      </c>
    </row>
    <row r="1856" spans="1:43" x14ac:dyDescent="0.2">
      <c r="A1856" s="46">
        <v>1846</v>
      </c>
      <c r="B1856" s="38" t="s">
        <v>266</v>
      </c>
      <c r="C1856" s="38" t="s">
        <v>408</v>
      </c>
      <c r="D1856" s="38" t="s">
        <v>407</v>
      </c>
      <c r="E1856" s="38" t="s">
        <v>4774</v>
      </c>
      <c r="F1856" s="38" t="s">
        <v>4261</v>
      </c>
      <c r="G1856" s="38" t="s">
        <v>111</v>
      </c>
      <c r="H1856" s="44">
        <v>43864</v>
      </c>
      <c r="I1856" s="44">
        <v>44104</v>
      </c>
      <c r="J1856">
        <v>663.67</v>
      </c>
      <c r="K1856">
        <v>171.45</v>
      </c>
      <c r="L1856" t="s">
        <v>4775</v>
      </c>
      <c r="M1856" s="45" t="s">
        <v>98</v>
      </c>
      <c r="N1856" s="38" t="s">
        <v>230</v>
      </c>
      <c r="O1856" s="38" t="s">
        <v>342</v>
      </c>
      <c r="P1856" s="38" t="s">
        <v>60</v>
      </c>
      <c r="Q1856" s="38" t="s">
        <v>44</v>
      </c>
      <c r="R1856" s="38" t="s">
        <v>270</v>
      </c>
      <c r="S1856" s="38" t="s">
        <v>4776</v>
      </c>
      <c r="T1856" s="38" t="s">
        <v>4778</v>
      </c>
      <c r="U1856" s="38"/>
      <c r="V1856" s="38"/>
      <c r="W1856" s="38"/>
      <c r="X1856" s="14"/>
      <c r="AN1856" s="7" t="s">
        <v>70</v>
      </c>
      <c r="AO1856" s="21">
        <f t="shared" si="92"/>
        <v>0</v>
      </c>
      <c r="AP1856" s="7">
        <f t="shared" si="93"/>
        <v>171.45</v>
      </c>
      <c r="AQ1856" s="31" t="str">
        <f t="shared" si="94"/>
        <v>Complete - No Adjustment</v>
      </c>
    </row>
    <row r="1857" spans="1:43" x14ac:dyDescent="0.2">
      <c r="A1857" s="46">
        <v>1847</v>
      </c>
      <c r="B1857" s="38" t="s">
        <v>266</v>
      </c>
      <c r="C1857" s="38" t="s">
        <v>408</v>
      </c>
      <c r="D1857" s="38" t="s">
        <v>407</v>
      </c>
      <c r="E1857" s="38" t="s">
        <v>4774</v>
      </c>
      <c r="F1857" s="38" t="s">
        <v>4261</v>
      </c>
      <c r="G1857" s="38" t="s">
        <v>111</v>
      </c>
      <c r="H1857" s="44">
        <v>43864</v>
      </c>
      <c r="I1857" s="44">
        <v>44104</v>
      </c>
      <c r="J1857">
        <v>663.67</v>
      </c>
      <c r="K1857">
        <v>20.66</v>
      </c>
      <c r="L1857" t="s">
        <v>4775</v>
      </c>
      <c r="M1857" s="45" t="s">
        <v>98</v>
      </c>
      <c r="N1857" s="38" t="s">
        <v>230</v>
      </c>
      <c r="O1857" s="38" t="s">
        <v>342</v>
      </c>
      <c r="P1857" s="38" t="s">
        <v>60</v>
      </c>
      <c r="Q1857" s="38" t="s">
        <v>41</v>
      </c>
      <c r="R1857" s="38" t="s">
        <v>270</v>
      </c>
      <c r="S1857" s="38" t="s">
        <v>4776</v>
      </c>
      <c r="T1857" s="38" t="s">
        <v>4777</v>
      </c>
      <c r="U1857" s="38"/>
      <c r="V1857" s="38"/>
      <c r="W1857" s="38"/>
      <c r="X1857" s="14"/>
      <c r="AN1857" s="7" t="s">
        <v>70</v>
      </c>
      <c r="AO1857" s="21">
        <f t="shared" si="92"/>
        <v>0</v>
      </c>
      <c r="AP1857" s="7">
        <f t="shared" si="93"/>
        <v>20.66</v>
      </c>
      <c r="AQ1857" s="31" t="str">
        <f t="shared" si="94"/>
        <v>Complete - No Adjustment</v>
      </c>
    </row>
    <row r="1858" spans="1:43" x14ac:dyDescent="0.2">
      <c r="A1858" s="46">
        <v>1848</v>
      </c>
      <c r="B1858" s="38" t="s">
        <v>266</v>
      </c>
      <c r="C1858" s="38" t="s">
        <v>408</v>
      </c>
      <c r="D1858" s="38" t="s">
        <v>407</v>
      </c>
      <c r="E1858" s="38" t="s">
        <v>4774</v>
      </c>
      <c r="F1858" s="38" t="s">
        <v>4261</v>
      </c>
      <c r="G1858" s="38" t="s">
        <v>111</v>
      </c>
      <c r="H1858" s="44">
        <v>43864</v>
      </c>
      <c r="I1858" s="44">
        <v>44104</v>
      </c>
      <c r="J1858">
        <v>663.67</v>
      </c>
      <c r="K1858">
        <v>390.81</v>
      </c>
      <c r="L1858" t="s">
        <v>4775</v>
      </c>
      <c r="M1858" s="45" t="s">
        <v>98</v>
      </c>
      <c r="N1858" s="38" t="s">
        <v>230</v>
      </c>
      <c r="O1858" s="38" t="s">
        <v>342</v>
      </c>
      <c r="P1858" s="38" t="s">
        <v>60</v>
      </c>
      <c r="Q1858" s="38" t="s">
        <v>44</v>
      </c>
      <c r="R1858" s="38" t="s">
        <v>270</v>
      </c>
      <c r="S1858" s="38" t="s">
        <v>4776</v>
      </c>
      <c r="T1858" s="38" t="s">
        <v>4779</v>
      </c>
      <c r="U1858" s="38"/>
      <c r="V1858" s="38"/>
      <c r="W1858" s="38"/>
      <c r="X1858" s="14"/>
      <c r="AN1858" s="7" t="s">
        <v>70</v>
      </c>
      <c r="AO1858" s="21">
        <f t="shared" si="92"/>
        <v>0</v>
      </c>
      <c r="AP1858" s="7">
        <f t="shared" si="93"/>
        <v>390.81</v>
      </c>
      <c r="AQ1858" s="31" t="str">
        <f t="shared" si="94"/>
        <v>Complete - No Adjustment</v>
      </c>
    </row>
    <row r="1859" spans="1:43" x14ac:dyDescent="0.2">
      <c r="A1859" s="46">
        <v>1849</v>
      </c>
      <c r="B1859" s="38" t="s">
        <v>266</v>
      </c>
      <c r="C1859" s="38" t="s">
        <v>408</v>
      </c>
      <c r="D1859" s="38" t="s">
        <v>407</v>
      </c>
      <c r="E1859" s="38" t="s">
        <v>4774</v>
      </c>
      <c r="F1859" s="38" t="s">
        <v>4261</v>
      </c>
      <c r="G1859" s="38" t="s">
        <v>111</v>
      </c>
      <c r="H1859" s="44">
        <v>43864</v>
      </c>
      <c r="I1859" s="44">
        <v>44104</v>
      </c>
      <c r="J1859">
        <v>663.67</v>
      </c>
      <c r="K1859">
        <v>8.67</v>
      </c>
      <c r="L1859" t="s">
        <v>4775</v>
      </c>
      <c r="M1859" s="45" t="s">
        <v>98</v>
      </c>
      <c r="N1859" s="38" t="s">
        <v>230</v>
      </c>
      <c r="O1859" s="38" t="s">
        <v>342</v>
      </c>
      <c r="P1859" s="38" t="s">
        <v>60</v>
      </c>
      <c r="Q1859" s="38" t="s">
        <v>41</v>
      </c>
      <c r="R1859" s="38" t="s">
        <v>270</v>
      </c>
      <c r="S1859" s="38" t="s">
        <v>4776</v>
      </c>
      <c r="T1859" s="38" t="s">
        <v>4777</v>
      </c>
      <c r="U1859" s="38"/>
      <c r="V1859" s="38"/>
      <c r="W1859" s="38"/>
      <c r="X1859" s="14"/>
      <c r="AN1859" s="7" t="s">
        <v>70</v>
      </c>
      <c r="AO1859" s="21">
        <f t="shared" si="92"/>
        <v>0</v>
      </c>
      <c r="AP1859" s="7">
        <f t="shared" si="93"/>
        <v>8.67</v>
      </c>
      <c r="AQ1859" s="31" t="str">
        <f t="shared" si="94"/>
        <v>Complete - No Adjustment</v>
      </c>
    </row>
    <row r="1860" spans="1:43" x14ac:dyDescent="0.2">
      <c r="A1860" s="46">
        <v>1850</v>
      </c>
      <c r="B1860" s="38" t="s">
        <v>266</v>
      </c>
      <c r="C1860" s="38" t="s">
        <v>408</v>
      </c>
      <c r="D1860" s="38" t="s">
        <v>407</v>
      </c>
      <c r="E1860" s="38" t="s">
        <v>4780</v>
      </c>
      <c r="F1860" s="38" t="s">
        <v>4304</v>
      </c>
      <c r="G1860" s="38" t="s">
        <v>111</v>
      </c>
      <c r="H1860" s="44">
        <v>43761</v>
      </c>
      <c r="I1860" s="44">
        <v>44088</v>
      </c>
      <c r="J1860">
        <v>1239.27</v>
      </c>
      <c r="K1860">
        <v>489.3</v>
      </c>
      <c r="L1860" t="s">
        <v>4781</v>
      </c>
      <c r="M1860" s="45" t="s">
        <v>98</v>
      </c>
      <c r="N1860" s="38" t="s">
        <v>230</v>
      </c>
      <c r="O1860" s="38" t="s">
        <v>342</v>
      </c>
      <c r="P1860" s="38" t="s">
        <v>60</v>
      </c>
      <c r="Q1860" s="38" t="s">
        <v>45</v>
      </c>
      <c r="R1860" s="38" t="s">
        <v>270</v>
      </c>
      <c r="S1860" s="38" t="s">
        <v>4782</v>
      </c>
      <c r="T1860" s="38" t="s">
        <v>4783</v>
      </c>
      <c r="U1860" s="38"/>
      <c r="V1860" s="38"/>
      <c r="W1860" s="38"/>
      <c r="X1860" s="14"/>
      <c r="AE1860" s="53">
        <f>(205-150)*2</f>
        <v>110</v>
      </c>
      <c r="AN1860" s="7" t="s">
        <v>68</v>
      </c>
      <c r="AO1860" s="21">
        <f t="shared" si="92"/>
        <v>110</v>
      </c>
      <c r="AP1860" s="7">
        <f t="shared" si="93"/>
        <v>379.3</v>
      </c>
      <c r="AQ1860" s="31" t="str">
        <f t="shared" si="94"/>
        <v>Complete - With Adjustment</v>
      </c>
    </row>
    <row r="1861" spans="1:43" x14ac:dyDescent="0.2">
      <c r="A1861" s="46">
        <v>1851</v>
      </c>
      <c r="B1861" s="38" t="s">
        <v>266</v>
      </c>
      <c r="C1861" s="38" t="s">
        <v>408</v>
      </c>
      <c r="D1861" s="38" t="s">
        <v>407</v>
      </c>
      <c r="E1861" s="38" t="s">
        <v>4780</v>
      </c>
      <c r="F1861" s="38" t="s">
        <v>4304</v>
      </c>
      <c r="G1861" s="38" t="s">
        <v>111</v>
      </c>
      <c r="H1861" s="44">
        <v>43761</v>
      </c>
      <c r="I1861" s="44">
        <v>44088</v>
      </c>
      <c r="J1861">
        <v>1239.27</v>
      </c>
      <c r="K1861">
        <v>10.25</v>
      </c>
      <c r="L1861" t="s">
        <v>4781</v>
      </c>
      <c r="M1861" s="45" t="s">
        <v>98</v>
      </c>
      <c r="N1861" s="38" t="s">
        <v>230</v>
      </c>
      <c r="O1861" s="38" t="s">
        <v>342</v>
      </c>
      <c r="P1861" s="38" t="s">
        <v>60</v>
      </c>
      <c r="Q1861" s="38" t="s">
        <v>41</v>
      </c>
      <c r="R1861" s="38" t="s">
        <v>270</v>
      </c>
      <c r="S1861" s="38" t="s">
        <v>4782</v>
      </c>
      <c r="T1861" s="38" t="s">
        <v>4784</v>
      </c>
      <c r="U1861" s="38"/>
      <c r="V1861" s="38"/>
      <c r="W1861" s="38"/>
      <c r="X1861" s="14"/>
      <c r="AN1861" s="7" t="s">
        <v>70</v>
      </c>
      <c r="AO1861" s="21">
        <f t="shared" si="92"/>
        <v>0</v>
      </c>
      <c r="AP1861" s="7">
        <f t="shared" si="93"/>
        <v>10.25</v>
      </c>
      <c r="AQ1861" s="31" t="str">
        <f t="shared" si="94"/>
        <v>Complete - No Adjustment</v>
      </c>
    </row>
    <row r="1862" spans="1:43" x14ac:dyDescent="0.2">
      <c r="A1862" s="46">
        <v>1852</v>
      </c>
      <c r="B1862" s="38" t="s">
        <v>266</v>
      </c>
      <c r="C1862" s="38" t="s">
        <v>408</v>
      </c>
      <c r="D1862" s="38" t="s">
        <v>407</v>
      </c>
      <c r="E1862" s="38" t="s">
        <v>4780</v>
      </c>
      <c r="F1862" s="38" t="s">
        <v>4304</v>
      </c>
      <c r="G1862" s="38" t="s">
        <v>111</v>
      </c>
      <c r="H1862" s="44">
        <v>43761</v>
      </c>
      <c r="I1862" s="44">
        <v>44088</v>
      </c>
      <c r="J1862">
        <v>1239.27</v>
      </c>
      <c r="K1862">
        <v>9.94</v>
      </c>
      <c r="L1862" t="s">
        <v>4781</v>
      </c>
      <c r="M1862" s="45" t="s">
        <v>98</v>
      </c>
      <c r="N1862" s="38" t="s">
        <v>230</v>
      </c>
      <c r="O1862" s="38" t="s">
        <v>342</v>
      </c>
      <c r="P1862" s="38" t="s">
        <v>60</v>
      </c>
      <c r="Q1862" s="38" t="s">
        <v>41</v>
      </c>
      <c r="R1862" s="38" t="s">
        <v>270</v>
      </c>
      <c r="S1862" s="38" t="s">
        <v>4782</v>
      </c>
      <c r="T1862" s="38" t="s">
        <v>4784</v>
      </c>
      <c r="U1862" s="38"/>
      <c r="V1862" s="38"/>
      <c r="W1862" s="38"/>
      <c r="X1862" s="14"/>
      <c r="AN1862" s="7" t="s">
        <v>70</v>
      </c>
      <c r="AO1862" s="21">
        <f t="shared" si="92"/>
        <v>0</v>
      </c>
      <c r="AP1862" s="7">
        <f t="shared" si="93"/>
        <v>9.94</v>
      </c>
      <c r="AQ1862" s="31" t="str">
        <f t="shared" si="94"/>
        <v>Complete - No Adjustment</v>
      </c>
    </row>
    <row r="1863" spans="1:43" x14ac:dyDescent="0.2">
      <c r="A1863" s="46">
        <v>1853</v>
      </c>
      <c r="B1863" s="38" t="s">
        <v>266</v>
      </c>
      <c r="C1863" s="38" t="s">
        <v>408</v>
      </c>
      <c r="D1863" s="38" t="s">
        <v>407</v>
      </c>
      <c r="E1863" s="38" t="s">
        <v>4780</v>
      </c>
      <c r="F1863" s="38" t="s">
        <v>4304</v>
      </c>
      <c r="G1863" s="38" t="s">
        <v>111</v>
      </c>
      <c r="H1863" s="44">
        <v>43761</v>
      </c>
      <c r="I1863" s="44">
        <v>44088</v>
      </c>
      <c r="J1863">
        <v>1239.27</v>
      </c>
      <c r="K1863">
        <v>416.3</v>
      </c>
      <c r="L1863" t="s">
        <v>4781</v>
      </c>
      <c r="M1863" s="45" t="s">
        <v>98</v>
      </c>
      <c r="N1863" s="38" t="s">
        <v>230</v>
      </c>
      <c r="O1863" s="38" t="s">
        <v>342</v>
      </c>
      <c r="P1863" s="38" t="s">
        <v>60</v>
      </c>
      <c r="Q1863" s="38" t="s">
        <v>44</v>
      </c>
      <c r="R1863" s="38" t="s">
        <v>270</v>
      </c>
      <c r="S1863" s="38" t="s">
        <v>4782</v>
      </c>
      <c r="T1863" s="38" t="s">
        <v>4785</v>
      </c>
      <c r="U1863" s="38"/>
      <c r="V1863" s="38"/>
      <c r="W1863" s="38"/>
      <c r="X1863" s="14"/>
      <c r="AN1863" s="7" t="s">
        <v>70</v>
      </c>
      <c r="AO1863" s="21">
        <f t="shared" si="92"/>
        <v>0</v>
      </c>
      <c r="AP1863" s="7">
        <f t="shared" si="93"/>
        <v>416.3</v>
      </c>
      <c r="AQ1863" s="31" t="str">
        <f t="shared" si="94"/>
        <v>Complete - No Adjustment</v>
      </c>
    </row>
    <row r="1864" spans="1:43" x14ac:dyDescent="0.2">
      <c r="A1864" s="46">
        <v>1854</v>
      </c>
      <c r="B1864" s="38" t="s">
        <v>266</v>
      </c>
      <c r="C1864" s="38" t="s">
        <v>408</v>
      </c>
      <c r="D1864" s="38" t="s">
        <v>407</v>
      </c>
      <c r="E1864" s="38" t="s">
        <v>4780</v>
      </c>
      <c r="F1864" s="38" t="s">
        <v>4304</v>
      </c>
      <c r="G1864" s="38" t="s">
        <v>111</v>
      </c>
      <c r="H1864" s="44">
        <v>43761</v>
      </c>
      <c r="I1864" s="44">
        <v>44088</v>
      </c>
      <c r="J1864">
        <v>1239.27</v>
      </c>
      <c r="K1864">
        <v>41.82</v>
      </c>
      <c r="L1864" t="s">
        <v>4781</v>
      </c>
      <c r="M1864" s="45" t="s">
        <v>98</v>
      </c>
      <c r="N1864" s="38" t="s">
        <v>230</v>
      </c>
      <c r="O1864" s="38" t="s">
        <v>342</v>
      </c>
      <c r="P1864" s="38" t="s">
        <v>60</v>
      </c>
      <c r="Q1864" s="38" t="s">
        <v>44</v>
      </c>
      <c r="R1864" s="38" t="s">
        <v>270</v>
      </c>
      <c r="S1864" s="38" t="s">
        <v>4782</v>
      </c>
      <c r="T1864" s="38" t="s">
        <v>4786</v>
      </c>
      <c r="U1864" s="38"/>
      <c r="V1864" s="38"/>
      <c r="W1864" s="38"/>
      <c r="X1864" s="14"/>
      <c r="AN1864" s="7" t="s">
        <v>70</v>
      </c>
      <c r="AO1864" s="21">
        <f t="shared" si="92"/>
        <v>0</v>
      </c>
      <c r="AP1864" s="7">
        <f t="shared" si="93"/>
        <v>41.82</v>
      </c>
      <c r="AQ1864" s="31" t="str">
        <f t="shared" si="94"/>
        <v>Complete - No Adjustment</v>
      </c>
    </row>
    <row r="1865" spans="1:43" x14ac:dyDescent="0.2">
      <c r="A1865" s="46">
        <v>1855</v>
      </c>
      <c r="B1865" s="38" t="s">
        <v>266</v>
      </c>
      <c r="C1865" s="38" t="s">
        <v>408</v>
      </c>
      <c r="D1865" s="38" t="s">
        <v>407</v>
      </c>
      <c r="E1865" s="38" t="s">
        <v>4780</v>
      </c>
      <c r="F1865" s="38" t="s">
        <v>4304</v>
      </c>
      <c r="G1865" s="38" t="s">
        <v>111</v>
      </c>
      <c r="H1865" s="44">
        <v>43761</v>
      </c>
      <c r="I1865" s="44">
        <v>44088</v>
      </c>
      <c r="J1865">
        <v>1239.27</v>
      </c>
      <c r="K1865">
        <v>24.39</v>
      </c>
      <c r="L1865" t="s">
        <v>4781</v>
      </c>
      <c r="M1865" s="45" t="s">
        <v>98</v>
      </c>
      <c r="N1865" s="38" t="s">
        <v>230</v>
      </c>
      <c r="O1865" s="38" t="s">
        <v>342</v>
      </c>
      <c r="P1865" s="38" t="s">
        <v>60</v>
      </c>
      <c r="Q1865" s="38" t="s">
        <v>44</v>
      </c>
      <c r="R1865" s="38" t="s">
        <v>270</v>
      </c>
      <c r="S1865" s="38" t="s">
        <v>4782</v>
      </c>
      <c r="T1865" s="38" t="s">
        <v>4786</v>
      </c>
      <c r="U1865" s="38"/>
      <c r="V1865" s="38"/>
      <c r="W1865" s="38"/>
      <c r="X1865" s="14"/>
      <c r="AN1865" s="7" t="s">
        <v>70</v>
      </c>
      <c r="AO1865" s="21">
        <f t="shared" si="92"/>
        <v>0</v>
      </c>
      <c r="AP1865" s="7">
        <f t="shared" si="93"/>
        <v>24.39</v>
      </c>
      <c r="AQ1865" s="31" t="str">
        <f t="shared" si="94"/>
        <v>Complete - No Adjustment</v>
      </c>
    </row>
    <row r="1866" spans="1:43" x14ac:dyDescent="0.2">
      <c r="A1866" s="46">
        <v>1856</v>
      </c>
      <c r="B1866" s="38" t="s">
        <v>266</v>
      </c>
      <c r="C1866" s="38" t="s">
        <v>408</v>
      </c>
      <c r="D1866" s="38" t="s">
        <v>407</v>
      </c>
      <c r="E1866" s="38" t="s">
        <v>4780</v>
      </c>
      <c r="F1866" s="38" t="s">
        <v>4304</v>
      </c>
      <c r="G1866" s="38" t="s">
        <v>111</v>
      </c>
      <c r="H1866" s="44">
        <v>43761</v>
      </c>
      <c r="I1866" s="44">
        <v>44088</v>
      </c>
      <c r="J1866">
        <v>1239.27</v>
      </c>
      <c r="K1866">
        <v>22.47</v>
      </c>
      <c r="L1866" t="s">
        <v>4781</v>
      </c>
      <c r="M1866" s="45" t="s">
        <v>98</v>
      </c>
      <c r="N1866" s="38" t="s">
        <v>230</v>
      </c>
      <c r="O1866" s="38" t="s">
        <v>342</v>
      </c>
      <c r="P1866" s="38" t="s">
        <v>60</v>
      </c>
      <c r="Q1866" s="38" t="s">
        <v>44</v>
      </c>
      <c r="R1866" s="38" t="s">
        <v>270</v>
      </c>
      <c r="S1866" s="38" t="s">
        <v>4782</v>
      </c>
      <c r="T1866" s="38" t="s">
        <v>4786</v>
      </c>
      <c r="U1866" s="38"/>
      <c r="V1866" s="38"/>
      <c r="W1866" s="38"/>
      <c r="X1866" s="14"/>
      <c r="AN1866" s="7" t="s">
        <v>70</v>
      </c>
      <c r="AO1866" s="21">
        <f t="shared" si="92"/>
        <v>0</v>
      </c>
      <c r="AP1866" s="7">
        <f t="shared" ref="AP1866:AP1929" si="95">K1866-AO1866</f>
        <v>22.47</v>
      </c>
      <c r="AQ1866" s="31" t="str">
        <f t="shared" si="94"/>
        <v>Complete - No Adjustment</v>
      </c>
    </row>
    <row r="1867" spans="1:43" x14ac:dyDescent="0.2">
      <c r="A1867" s="46">
        <v>1857</v>
      </c>
      <c r="B1867" s="38" t="s">
        <v>266</v>
      </c>
      <c r="C1867" s="38" t="s">
        <v>408</v>
      </c>
      <c r="D1867" s="38" t="s">
        <v>407</v>
      </c>
      <c r="E1867" s="38" t="s">
        <v>4780</v>
      </c>
      <c r="F1867" s="38" t="s">
        <v>4304</v>
      </c>
      <c r="G1867" s="38" t="s">
        <v>111</v>
      </c>
      <c r="H1867" s="44">
        <v>43761</v>
      </c>
      <c r="I1867" s="44">
        <v>44088</v>
      </c>
      <c r="J1867">
        <v>1239.27</v>
      </c>
      <c r="K1867">
        <v>49.81</v>
      </c>
      <c r="L1867" t="s">
        <v>4781</v>
      </c>
      <c r="M1867" s="45" t="s">
        <v>98</v>
      </c>
      <c r="N1867" s="38" t="s">
        <v>230</v>
      </c>
      <c r="O1867" s="38" t="s">
        <v>342</v>
      </c>
      <c r="P1867" s="38" t="s">
        <v>60</v>
      </c>
      <c r="Q1867" s="38" t="s">
        <v>44</v>
      </c>
      <c r="R1867" s="38" t="s">
        <v>270</v>
      </c>
      <c r="S1867" s="38" t="s">
        <v>4782</v>
      </c>
      <c r="T1867" s="38" t="s">
        <v>4786</v>
      </c>
      <c r="U1867" s="38"/>
      <c r="V1867" s="38"/>
      <c r="W1867" s="38"/>
      <c r="X1867" s="14"/>
      <c r="AN1867" s="7" t="s">
        <v>70</v>
      </c>
      <c r="AO1867" s="21">
        <f t="shared" ref="AO1867:AO1930" si="96">SUM(Y1867:AL1867)</f>
        <v>0</v>
      </c>
      <c r="AP1867" s="7">
        <f t="shared" si="95"/>
        <v>49.81</v>
      </c>
      <c r="AQ1867" s="31" t="str">
        <f t="shared" si="94"/>
        <v>Complete - No Adjustment</v>
      </c>
    </row>
    <row r="1868" spans="1:43" x14ac:dyDescent="0.2">
      <c r="A1868" s="46">
        <v>1858</v>
      </c>
      <c r="B1868" s="38" t="s">
        <v>266</v>
      </c>
      <c r="C1868" s="38" t="s">
        <v>408</v>
      </c>
      <c r="D1868" s="38" t="s">
        <v>407</v>
      </c>
      <c r="E1868" s="38" t="s">
        <v>4780</v>
      </c>
      <c r="F1868" s="38" t="s">
        <v>4304</v>
      </c>
      <c r="G1868" s="38" t="s">
        <v>111</v>
      </c>
      <c r="H1868" s="44">
        <v>43761</v>
      </c>
      <c r="I1868" s="44">
        <v>44088</v>
      </c>
      <c r="J1868">
        <v>1239.27</v>
      </c>
      <c r="K1868">
        <v>9.35</v>
      </c>
      <c r="L1868" t="s">
        <v>4781</v>
      </c>
      <c r="M1868" s="45" t="s">
        <v>98</v>
      </c>
      <c r="N1868" s="38" t="s">
        <v>230</v>
      </c>
      <c r="O1868" s="38" t="s">
        <v>342</v>
      </c>
      <c r="P1868" s="38" t="s">
        <v>60</v>
      </c>
      <c r="Q1868" s="38" t="s">
        <v>41</v>
      </c>
      <c r="R1868" s="38" t="s">
        <v>270</v>
      </c>
      <c r="S1868" s="38" t="s">
        <v>4782</v>
      </c>
      <c r="T1868" s="38" t="s">
        <v>4784</v>
      </c>
      <c r="U1868" s="38"/>
      <c r="V1868" s="38"/>
      <c r="W1868" s="38"/>
      <c r="X1868" s="14"/>
      <c r="AN1868" s="7" t="s">
        <v>70</v>
      </c>
      <c r="AO1868" s="21">
        <f t="shared" si="96"/>
        <v>0</v>
      </c>
      <c r="AP1868" s="7">
        <f t="shared" si="95"/>
        <v>9.35</v>
      </c>
      <c r="AQ1868" s="31" t="str">
        <f t="shared" si="94"/>
        <v>Complete - No Adjustment</v>
      </c>
    </row>
    <row r="1869" spans="1:43" x14ac:dyDescent="0.2">
      <c r="A1869" s="46">
        <v>1859</v>
      </c>
      <c r="B1869" s="38" t="s">
        <v>266</v>
      </c>
      <c r="C1869" s="38" t="s">
        <v>408</v>
      </c>
      <c r="D1869" s="38" t="s">
        <v>407</v>
      </c>
      <c r="E1869" s="38" t="s">
        <v>4780</v>
      </c>
      <c r="F1869" s="38" t="s">
        <v>4304</v>
      </c>
      <c r="G1869" s="38" t="s">
        <v>111</v>
      </c>
      <c r="H1869" s="44">
        <v>43761</v>
      </c>
      <c r="I1869" s="44">
        <v>44088</v>
      </c>
      <c r="J1869">
        <v>1239.27</v>
      </c>
      <c r="K1869">
        <v>9.5299999999999994</v>
      </c>
      <c r="L1869" t="s">
        <v>4781</v>
      </c>
      <c r="M1869" s="45" t="s">
        <v>98</v>
      </c>
      <c r="N1869" s="38" t="s">
        <v>230</v>
      </c>
      <c r="O1869" s="38" t="s">
        <v>342</v>
      </c>
      <c r="P1869" s="38" t="s">
        <v>60</v>
      </c>
      <c r="Q1869" s="38" t="s">
        <v>41</v>
      </c>
      <c r="R1869" s="38" t="s">
        <v>270</v>
      </c>
      <c r="S1869" s="38" t="s">
        <v>4782</v>
      </c>
      <c r="T1869" s="38" t="s">
        <v>4784</v>
      </c>
      <c r="U1869" s="38"/>
      <c r="V1869" s="38"/>
      <c r="W1869" s="38"/>
      <c r="X1869" s="14"/>
      <c r="AN1869" s="7" t="s">
        <v>70</v>
      </c>
      <c r="AO1869" s="21">
        <f t="shared" si="96"/>
        <v>0</v>
      </c>
      <c r="AP1869" s="7">
        <f t="shared" si="95"/>
        <v>9.5299999999999994</v>
      </c>
      <c r="AQ1869" s="31" t="str">
        <f t="shared" si="94"/>
        <v>Complete - No Adjustment</v>
      </c>
    </row>
    <row r="1870" spans="1:43" x14ac:dyDescent="0.2">
      <c r="A1870" s="46">
        <v>1860</v>
      </c>
      <c r="B1870" s="38" t="s">
        <v>266</v>
      </c>
      <c r="C1870" s="38" t="s">
        <v>408</v>
      </c>
      <c r="D1870" s="38" t="s">
        <v>407</v>
      </c>
      <c r="E1870" s="38" t="s">
        <v>4780</v>
      </c>
      <c r="F1870" s="38" t="s">
        <v>4304</v>
      </c>
      <c r="G1870" s="38" t="s">
        <v>111</v>
      </c>
      <c r="H1870" s="44">
        <v>43761</v>
      </c>
      <c r="I1870" s="44">
        <v>44088</v>
      </c>
      <c r="J1870">
        <v>1239.27</v>
      </c>
      <c r="K1870">
        <v>6.26</v>
      </c>
      <c r="L1870" t="s">
        <v>4781</v>
      </c>
      <c r="M1870" s="45" t="s">
        <v>98</v>
      </c>
      <c r="N1870" s="38" t="s">
        <v>230</v>
      </c>
      <c r="O1870" s="38" t="s">
        <v>342</v>
      </c>
      <c r="P1870" s="38" t="s">
        <v>60</v>
      </c>
      <c r="Q1870" s="38" t="s">
        <v>41</v>
      </c>
      <c r="R1870" s="38" t="s">
        <v>270</v>
      </c>
      <c r="S1870" s="38" t="s">
        <v>4782</v>
      </c>
      <c r="T1870" s="38" t="s">
        <v>4784</v>
      </c>
      <c r="U1870" s="38"/>
      <c r="V1870" s="38"/>
      <c r="W1870" s="38"/>
      <c r="X1870" s="14"/>
      <c r="AN1870" s="7" t="s">
        <v>70</v>
      </c>
      <c r="AO1870" s="21">
        <f t="shared" si="96"/>
        <v>0</v>
      </c>
      <c r="AP1870" s="7">
        <f t="shared" si="95"/>
        <v>6.26</v>
      </c>
      <c r="AQ1870" s="31" t="str">
        <f t="shared" si="94"/>
        <v>Complete - No Adjustment</v>
      </c>
    </row>
    <row r="1871" spans="1:43" x14ac:dyDescent="0.2">
      <c r="A1871" s="46">
        <v>1861</v>
      </c>
      <c r="B1871" s="38" t="s">
        <v>266</v>
      </c>
      <c r="C1871" s="38" t="s">
        <v>408</v>
      </c>
      <c r="D1871" s="38" t="s">
        <v>407</v>
      </c>
      <c r="E1871" s="38" t="s">
        <v>4780</v>
      </c>
      <c r="F1871" s="38" t="s">
        <v>4304</v>
      </c>
      <c r="G1871" s="38" t="s">
        <v>111</v>
      </c>
      <c r="H1871" s="44">
        <v>43761</v>
      </c>
      <c r="I1871" s="44">
        <v>44088</v>
      </c>
      <c r="J1871">
        <v>1239.27</v>
      </c>
      <c r="K1871">
        <v>49.3</v>
      </c>
      <c r="L1871" t="s">
        <v>4781</v>
      </c>
      <c r="M1871" s="45" t="s">
        <v>98</v>
      </c>
      <c r="N1871" s="38" t="s">
        <v>230</v>
      </c>
      <c r="O1871" s="38" t="s">
        <v>342</v>
      </c>
      <c r="P1871" s="38" t="s">
        <v>60</v>
      </c>
      <c r="Q1871" s="38" t="s">
        <v>44</v>
      </c>
      <c r="R1871" s="38" t="s">
        <v>270</v>
      </c>
      <c r="S1871" s="38" t="s">
        <v>4782</v>
      </c>
      <c r="T1871" s="38" t="s">
        <v>4787</v>
      </c>
      <c r="U1871" s="38"/>
      <c r="V1871" s="38"/>
      <c r="W1871" s="38"/>
      <c r="X1871" s="14"/>
      <c r="AN1871" s="7" t="s">
        <v>70</v>
      </c>
      <c r="AO1871" s="21">
        <f t="shared" si="96"/>
        <v>0</v>
      </c>
      <c r="AP1871" s="7">
        <f t="shared" si="95"/>
        <v>49.3</v>
      </c>
      <c r="AQ1871" s="31" t="str">
        <f t="shared" si="94"/>
        <v>Complete - No Adjustment</v>
      </c>
    </row>
    <row r="1872" spans="1:43" x14ac:dyDescent="0.2">
      <c r="A1872" s="46">
        <v>1862</v>
      </c>
      <c r="B1872" s="38" t="s">
        <v>266</v>
      </c>
      <c r="C1872" s="38" t="s">
        <v>408</v>
      </c>
      <c r="D1872" s="38" t="s">
        <v>407</v>
      </c>
      <c r="E1872" s="38" t="s">
        <v>4780</v>
      </c>
      <c r="F1872" s="38" t="s">
        <v>4304</v>
      </c>
      <c r="G1872" s="38" t="s">
        <v>111</v>
      </c>
      <c r="H1872" s="44">
        <v>43761</v>
      </c>
      <c r="I1872" s="44">
        <v>44088</v>
      </c>
      <c r="J1872">
        <v>1239.27</v>
      </c>
      <c r="K1872">
        <v>11.64</v>
      </c>
      <c r="L1872" t="s">
        <v>4781</v>
      </c>
      <c r="M1872" s="45" t="s">
        <v>98</v>
      </c>
      <c r="N1872" s="38" t="s">
        <v>230</v>
      </c>
      <c r="O1872" s="38" t="s">
        <v>342</v>
      </c>
      <c r="P1872" s="38" t="s">
        <v>60</v>
      </c>
      <c r="Q1872" s="38" t="s">
        <v>41</v>
      </c>
      <c r="R1872" s="38" t="s">
        <v>270</v>
      </c>
      <c r="S1872" s="38" t="s">
        <v>4782</v>
      </c>
      <c r="T1872" s="38" t="s">
        <v>4784</v>
      </c>
      <c r="U1872" s="38"/>
      <c r="V1872" s="38"/>
      <c r="W1872" s="38"/>
      <c r="X1872" s="14"/>
      <c r="AN1872" s="7" t="s">
        <v>70</v>
      </c>
      <c r="AO1872" s="21">
        <f t="shared" si="96"/>
        <v>0</v>
      </c>
      <c r="AP1872" s="7">
        <f t="shared" si="95"/>
        <v>11.64</v>
      </c>
      <c r="AQ1872" s="31" t="str">
        <f t="shared" si="94"/>
        <v>Complete - No Adjustment</v>
      </c>
    </row>
    <row r="1873" spans="1:43" x14ac:dyDescent="0.2">
      <c r="A1873" s="46">
        <v>1863</v>
      </c>
      <c r="B1873" s="38" t="s">
        <v>266</v>
      </c>
      <c r="C1873" s="38" t="s">
        <v>408</v>
      </c>
      <c r="D1873" s="38" t="s">
        <v>407</v>
      </c>
      <c r="E1873" s="38" t="s">
        <v>4780</v>
      </c>
      <c r="F1873" s="38" t="s">
        <v>4304</v>
      </c>
      <c r="G1873" s="38" t="s">
        <v>111</v>
      </c>
      <c r="H1873" s="44">
        <v>43761</v>
      </c>
      <c r="I1873" s="44">
        <v>44088</v>
      </c>
      <c r="J1873">
        <v>1239.27</v>
      </c>
      <c r="K1873">
        <v>13.91</v>
      </c>
      <c r="L1873" t="s">
        <v>4781</v>
      </c>
      <c r="M1873" s="45" t="s">
        <v>98</v>
      </c>
      <c r="N1873" s="38" t="s">
        <v>230</v>
      </c>
      <c r="O1873" s="38" t="s">
        <v>342</v>
      </c>
      <c r="P1873" s="38" t="s">
        <v>60</v>
      </c>
      <c r="Q1873" s="38" t="s">
        <v>41</v>
      </c>
      <c r="R1873" s="38" t="s">
        <v>270</v>
      </c>
      <c r="S1873" s="38" t="s">
        <v>4782</v>
      </c>
      <c r="T1873" s="38" t="s">
        <v>4784</v>
      </c>
      <c r="U1873" s="38"/>
      <c r="V1873" s="38"/>
      <c r="W1873" s="38"/>
      <c r="X1873" s="14"/>
      <c r="AN1873" s="7" t="s">
        <v>70</v>
      </c>
      <c r="AO1873" s="21">
        <f t="shared" si="96"/>
        <v>0</v>
      </c>
      <c r="AP1873" s="7">
        <f t="shared" si="95"/>
        <v>13.91</v>
      </c>
      <c r="AQ1873" s="31" t="str">
        <f t="shared" si="94"/>
        <v>Complete - No Adjustment</v>
      </c>
    </row>
    <row r="1874" spans="1:43" x14ac:dyDescent="0.2">
      <c r="A1874" s="46">
        <v>1864</v>
      </c>
      <c r="B1874" s="38" t="s">
        <v>266</v>
      </c>
      <c r="C1874" s="38" t="s">
        <v>408</v>
      </c>
      <c r="D1874" s="38" t="s">
        <v>407</v>
      </c>
      <c r="E1874" s="38" t="s">
        <v>4780</v>
      </c>
      <c r="F1874" s="38" t="s">
        <v>4304</v>
      </c>
      <c r="G1874" s="38" t="s">
        <v>111</v>
      </c>
      <c r="H1874" s="44">
        <v>43761</v>
      </c>
      <c r="I1874" s="44">
        <v>44088</v>
      </c>
      <c r="J1874">
        <v>1239.27</v>
      </c>
      <c r="K1874">
        <v>75</v>
      </c>
      <c r="L1874" t="s">
        <v>4781</v>
      </c>
      <c r="M1874" s="45" t="s">
        <v>98</v>
      </c>
      <c r="N1874" s="38" t="s">
        <v>230</v>
      </c>
      <c r="O1874" s="38" t="s">
        <v>342</v>
      </c>
      <c r="P1874" s="38" t="s">
        <v>60</v>
      </c>
      <c r="Q1874" s="38" t="s">
        <v>44</v>
      </c>
      <c r="R1874" s="38" t="s">
        <v>270</v>
      </c>
      <c r="S1874" s="38" t="s">
        <v>4782</v>
      </c>
      <c r="T1874" s="38" t="s">
        <v>4785</v>
      </c>
      <c r="U1874" s="38"/>
      <c r="V1874" s="38"/>
      <c r="W1874" s="38"/>
      <c r="X1874" s="14"/>
      <c r="AN1874" s="7" t="s">
        <v>70</v>
      </c>
      <c r="AO1874" s="21">
        <f t="shared" si="96"/>
        <v>0</v>
      </c>
      <c r="AP1874" s="7">
        <f t="shared" si="95"/>
        <v>75</v>
      </c>
      <c r="AQ1874" s="31" t="str">
        <f t="shared" ref="AQ1874:AQ1937" si="97">IF(AO1874&lt;&gt;0,"Complete - With Adjustment","Complete - No Adjustment")</f>
        <v>Complete - No Adjustment</v>
      </c>
    </row>
    <row r="1875" spans="1:43" x14ac:dyDescent="0.2">
      <c r="A1875" s="46">
        <v>1865</v>
      </c>
      <c r="B1875" s="38" t="s">
        <v>266</v>
      </c>
      <c r="C1875" s="38" t="s">
        <v>408</v>
      </c>
      <c r="D1875" s="38" t="s">
        <v>407</v>
      </c>
      <c r="E1875" s="38" t="s">
        <v>4788</v>
      </c>
      <c r="F1875" s="38" t="s">
        <v>4304</v>
      </c>
      <c r="G1875" s="38" t="s">
        <v>111</v>
      </c>
      <c r="H1875" s="44">
        <v>43801</v>
      </c>
      <c r="I1875" s="44">
        <v>44088</v>
      </c>
      <c r="J1875">
        <v>1265.47</v>
      </c>
      <c r="K1875">
        <v>48.45</v>
      </c>
      <c r="L1875" t="s">
        <v>4789</v>
      </c>
      <c r="M1875" s="45" t="s">
        <v>98</v>
      </c>
      <c r="N1875" s="38" t="s">
        <v>230</v>
      </c>
      <c r="O1875" s="38" t="s">
        <v>342</v>
      </c>
      <c r="P1875" s="38" t="s">
        <v>60</v>
      </c>
      <c r="Q1875" s="38" t="s">
        <v>41</v>
      </c>
      <c r="R1875" s="38" t="s">
        <v>270</v>
      </c>
      <c r="S1875" s="38" t="s">
        <v>4790</v>
      </c>
      <c r="T1875" s="38" t="s">
        <v>4791</v>
      </c>
      <c r="U1875" s="38"/>
      <c r="V1875" s="38"/>
      <c r="W1875" s="38"/>
      <c r="X1875" s="14"/>
      <c r="AB1875" s="14">
        <f>33.95-25</f>
        <v>8.9500000000000028</v>
      </c>
      <c r="AN1875" s="7" t="s">
        <v>66</v>
      </c>
      <c r="AO1875" s="21">
        <f t="shared" si="96"/>
        <v>8.9500000000000028</v>
      </c>
      <c r="AP1875" s="7">
        <f t="shared" si="95"/>
        <v>39.5</v>
      </c>
      <c r="AQ1875" s="31" t="str">
        <f t="shared" si="97"/>
        <v>Complete - With Adjustment</v>
      </c>
    </row>
    <row r="1876" spans="1:43" x14ac:dyDescent="0.2">
      <c r="A1876" s="46">
        <v>1866</v>
      </c>
      <c r="B1876" s="38" t="s">
        <v>266</v>
      </c>
      <c r="C1876" s="38" t="s">
        <v>408</v>
      </c>
      <c r="D1876" s="38" t="s">
        <v>407</v>
      </c>
      <c r="E1876" s="38" t="s">
        <v>4788</v>
      </c>
      <c r="F1876" s="38" t="s">
        <v>4304</v>
      </c>
      <c r="G1876" s="38" t="s">
        <v>111</v>
      </c>
      <c r="H1876" s="44">
        <v>43801</v>
      </c>
      <c r="I1876" s="44">
        <v>44088</v>
      </c>
      <c r="J1876">
        <v>1265.47</v>
      </c>
      <c r="K1876">
        <v>11.5</v>
      </c>
      <c r="L1876" t="s">
        <v>4789</v>
      </c>
      <c r="M1876" s="45" t="s">
        <v>98</v>
      </c>
      <c r="N1876" s="38" t="s">
        <v>230</v>
      </c>
      <c r="O1876" s="38" t="s">
        <v>342</v>
      </c>
      <c r="P1876" s="38" t="s">
        <v>60</v>
      </c>
      <c r="Q1876" s="38" t="s">
        <v>41</v>
      </c>
      <c r="R1876" s="38" t="s">
        <v>270</v>
      </c>
      <c r="S1876" s="38" t="s">
        <v>4790</v>
      </c>
      <c r="T1876" s="38" t="s">
        <v>4791</v>
      </c>
      <c r="U1876" s="38"/>
      <c r="V1876" s="38"/>
      <c r="W1876" s="38"/>
      <c r="X1876" s="14"/>
      <c r="AN1876" s="7" t="s">
        <v>70</v>
      </c>
      <c r="AO1876" s="21">
        <f t="shared" si="96"/>
        <v>0</v>
      </c>
      <c r="AP1876" s="7">
        <f t="shared" si="95"/>
        <v>11.5</v>
      </c>
      <c r="AQ1876" s="31" t="str">
        <f t="shared" si="97"/>
        <v>Complete - No Adjustment</v>
      </c>
    </row>
    <row r="1877" spans="1:43" x14ac:dyDescent="0.2">
      <c r="A1877" s="46">
        <v>1867</v>
      </c>
      <c r="B1877" s="38" t="s">
        <v>266</v>
      </c>
      <c r="C1877" s="38" t="s">
        <v>408</v>
      </c>
      <c r="D1877" s="38" t="s">
        <v>407</v>
      </c>
      <c r="E1877" s="38" t="s">
        <v>4788</v>
      </c>
      <c r="F1877" s="38" t="s">
        <v>4304</v>
      </c>
      <c r="G1877" s="38" t="s">
        <v>111</v>
      </c>
      <c r="H1877" s="44">
        <v>43801</v>
      </c>
      <c r="I1877" s="44">
        <v>44088</v>
      </c>
      <c r="J1877">
        <v>1265.47</v>
      </c>
      <c r="K1877">
        <v>10</v>
      </c>
      <c r="L1877" t="s">
        <v>4789</v>
      </c>
      <c r="M1877" s="45" t="s">
        <v>98</v>
      </c>
      <c r="N1877" s="38" t="s">
        <v>230</v>
      </c>
      <c r="O1877" s="38" t="s">
        <v>342</v>
      </c>
      <c r="P1877" s="38" t="s">
        <v>60</v>
      </c>
      <c r="Q1877" s="38" t="s">
        <v>44</v>
      </c>
      <c r="R1877" s="38" t="s">
        <v>270</v>
      </c>
      <c r="S1877" s="38" t="s">
        <v>4790</v>
      </c>
      <c r="T1877" s="38" t="s">
        <v>4792</v>
      </c>
      <c r="U1877" s="38"/>
      <c r="V1877" s="38"/>
      <c r="W1877" s="38"/>
      <c r="X1877" s="14"/>
      <c r="AN1877" s="7" t="s">
        <v>70</v>
      </c>
      <c r="AO1877" s="21">
        <f t="shared" si="96"/>
        <v>0</v>
      </c>
      <c r="AP1877" s="7">
        <f t="shared" si="95"/>
        <v>10</v>
      </c>
      <c r="AQ1877" s="31" t="str">
        <f t="shared" si="97"/>
        <v>Complete - No Adjustment</v>
      </c>
    </row>
    <row r="1878" spans="1:43" x14ac:dyDescent="0.2">
      <c r="A1878" s="46">
        <v>1868</v>
      </c>
      <c r="B1878" s="38" t="s">
        <v>266</v>
      </c>
      <c r="C1878" s="38" t="s">
        <v>408</v>
      </c>
      <c r="D1878" s="38" t="s">
        <v>407</v>
      </c>
      <c r="E1878" s="38" t="s">
        <v>4788</v>
      </c>
      <c r="F1878" s="38" t="s">
        <v>4304</v>
      </c>
      <c r="G1878" s="38" t="s">
        <v>111</v>
      </c>
      <c r="H1878" s="44">
        <v>43801</v>
      </c>
      <c r="I1878" s="44">
        <v>44088</v>
      </c>
      <c r="J1878">
        <v>1265.47</v>
      </c>
      <c r="K1878">
        <v>9.15</v>
      </c>
      <c r="L1878" t="s">
        <v>4789</v>
      </c>
      <c r="M1878" s="45" t="s">
        <v>98</v>
      </c>
      <c r="N1878" s="38" t="s">
        <v>230</v>
      </c>
      <c r="O1878" s="38" t="s">
        <v>342</v>
      </c>
      <c r="P1878" s="38" t="s">
        <v>60</v>
      </c>
      <c r="Q1878" s="38" t="s">
        <v>41</v>
      </c>
      <c r="R1878" s="38" t="s">
        <v>270</v>
      </c>
      <c r="S1878" s="38" t="s">
        <v>4790</v>
      </c>
      <c r="T1878" s="38" t="s">
        <v>4793</v>
      </c>
      <c r="U1878" s="38"/>
      <c r="V1878" s="38"/>
      <c r="W1878" s="38"/>
      <c r="X1878" s="14"/>
      <c r="AN1878" s="7" t="s">
        <v>70</v>
      </c>
      <c r="AO1878" s="21">
        <f t="shared" si="96"/>
        <v>0</v>
      </c>
      <c r="AP1878" s="7">
        <f t="shared" si="95"/>
        <v>9.15</v>
      </c>
      <c r="AQ1878" s="31" t="str">
        <f t="shared" si="97"/>
        <v>Complete - No Adjustment</v>
      </c>
    </row>
    <row r="1879" spans="1:43" x14ac:dyDescent="0.2">
      <c r="A1879" s="46">
        <v>1869</v>
      </c>
      <c r="B1879" s="38" t="s">
        <v>266</v>
      </c>
      <c r="C1879" s="38" t="s">
        <v>408</v>
      </c>
      <c r="D1879" s="38" t="s">
        <v>407</v>
      </c>
      <c r="E1879" s="38" t="s">
        <v>4788</v>
      </c>
      <c r="F1879" s="38" t="s">
        <v>4304</v>
      </c>
      <c r="G1879" s="38" t="s">
        <v>111</v>
      </c>
      <c r="H1879" s="44">
        <v>43801</v>
      </c>
      <c r="I1879" s="44">
        <v>44088</v>
      </c>
      <c r="J1879">
        <v>1265.47</v>
      </c>
      <c r="K1879">
        <v>17.47</v>
      </c>
      <c r="L1879" t="s">
        <v>4789</v>
      </c>
      <c r="M1879" s="45" t="s">
        <v>98</v>
      </c>
      <c r="N1879" s="38" t="s">
        <v>230</v>
      </c>
      <c r="O1879" s="38" t="s">
        <v>342</v>
      </c>
      <c r="P1879" s="38" t="s">
        <v>60</v>
      </c>
      <c r="Q1879" s="38" t="s">
        <v>41</v>
      </c>
      <c r="R1879" s="38" t="s">
        <v>270</v>
      </c>
      <c r="S1879" s="38" t="s">
        <v>4790</v>
      </c>
      <c r="T1879" s="38" t="s">
        <v>4794</v>
      </c>
      <c r="U1879" s="38"/>
      <c r="V1879" s="38"/>
      <c r="W1879" s="38"/>
      <c r="X1879" s="14"/>
      <c r="AN1879" s="7" t="s">
        <v>70</v>
      </c>
      <c r="AO1879" s="21">
        <f t="shared" si="96"/>
        <v>0</v>
      </c>
      <c r="AP1879" s="7">
        <f t="shared" si="95"/>
        <v>17.47</v>
      </c>
      <c r="AQ1879" s="31" t="str">
        <f t="shared" si="97"/>
        <v>Complete - No Adjustment</v>
      </c>
    </row>
    <row r="1880" spans="1:43" x14ac:dyDescent="0.2">
      <c r="A1880" s="46">
        <v>1870</v>
      </c>
      <c r="B1880" s="38" t="s">
        <v>266</v>
      </c>
      <c r="C1880" s="38" t="s">
        <v>408</v>
      </c>
      <c r="D1880" s="38" t="s">
        <v>407</v>
      </c>
      <c r="E1880" s="38" t="s">
        <v>4788</v>
      </c>
      <c r="F1880" s="38" t="s">
        <v>4304</v>
      </c>
      <c r="G1880" s="38" t="s">
        <v>111</v>
      </c>
      <c r="H1880" s="44">
        <v>43801</v>
      </c>
      <c r="I1880" s="44">
        <v>44088</v>
      </c>
      <c r="J1880">
        <v>1265.47</v>
      </c>
      <c r="K1880">
        <v>52.07</v>
      </c>
      <c r="L1880" t="s">
        <v>4789</v>
      </c>
      <c r="M1880" s="45" t="s">
        <v>98</v>
      </c>
      <c r="N1880" s="38" t="s">
        <v>230</v>
      </c>
      <c r="O1880" s="38" t="s">
        <v>342</v>
      </c>
      <c r="P1880" s="38" t="s">
        <v>60</v>
      </c>
      <c r="Q1880" s="38" t="s">
        <v>41</v>
      </c>
      <c r="R1880" s="38" t="s">
        <v>270</v>
      </c>
      <c r="S1880" s="38" t="s">
        <v>4790</v>
      </c>
      <c r="T1880" s="38" t="s">
        <v>4795</v>
      </c>
      <c r="U1880" s="38"/>
      <c r="V1880" s="38"/>
      <c r="W1880" s="38"/>
      <c r="X1880" s="14"/>
      <c r="AB1880" s="14">
        <f>37.95-25</f>
        <v>12.950000000000003</v>
      </c>
      <c r="AN1880" s="7" t="s">
        <v>66</v>
      </c>
      <c r="AO1880" s="21">
        <f t="shared" si="96"/>
        <v>12.950000000000003</v>
      </c>
      <c r="AP1880" s="7">
        <f t="shared" si="95"/>
        <v>39.119999999999997</v>
      </c>
      <c r="AQ1880" s="31" t="str">
        <f t="shared" si="97"/>
        <v>Complete - With Adjustment</v>
      </c>
    </row>
    <row r="1881" spans="1:43" x14ac:dyDescent="0.2">
      <c r="A1881" s="46">
        <v>1871</v>
      </c>
      <c r="B1881" s="38" t="s">
        <v>266</v>
      </c>
      <c r="C1881" s="38" t="s">
        <v>408</v>
      </c>
      <c r="D1881" s="38" t="s">
        <v>407</v>
      </c>
      <c r="E1881" s="38" t="s">
        <v>4788</v>
      </c>
      <c r="F1881" s="38" t="s">
        <v>4304</v>
      </c>
      <c r="G1881" s="38" t="s">
        <v>111</v>
      </c>
      <c r="H1881" s="44">
        <v>43801</v>
      </c>
      <c r="I1881" s="44">
        <v>44088</v>
      </c>
      <c r="J1881">
        <v>1265.47</v>
      </c>
      <c r="K1881">
        <v>12</v>
      </c>
      <c r="L1881" t="s">
        <v>4789</v>
      </c>
      <c r="M1881" s="45" t="s">
        <v>97</v>
      </c>
      <c r="N1881" s="38" t="s">
        <v>230</v>
      </c>
      <c r="O1881" s="38" t="s">
        <v>342</v>
      </c>
      <c r="P1881" s="38" t="s">
        <v>42</v>
      </c>
      <c r="Q1881" s="38" t="s">
        <v>41</v>
      </c>
      <c r="R1881" s="38" t="s">
        <v>270</v>
      </c>
      <c r="S1881" s="38" t="s">
        <v>4790</v>
      </c>
      <c r="T1881" s="38" t="s">
        <v>4796</v>
      </c>
      <c r="U1881" s="38"/>
      <c r="V1881" s="38"/>
      <c r="W1881" s="38"/>
      <c r="X1881" s="14"/>
      <c r="Y1881" s="53">
        <f>12</f>
        <v>12</v>
      </c>
      <c r="AN1881" s="7" t="s">
        <v>8</v>
      </c>
      <c r="AO1881" s="21">
        <f t="shared" si="96"/>
        <v>12</v>
      </c>
      <c r="AP1881" s="7">
        <f t="shared" si="95"/>
        <v>0</v>
      </c>
      <c r="AQ1881" s="31" t="str">
        <f t="shared" si="97"/>
        <v>Complete - With Adjustment</v>
      </c>
    </row>
    <row r="1882" spans="1:43" x14ac:dyDescent="0.2">
      <c r="A1882" s="46">
        <v>1872</v>
      </c>
      <c r="B1882" s="38" t="s">
        <v>266</v>
      </c>
      <c r="C1882" s="38" t="s">
        <v>408</v>
      </c>
      <c r="D1882" s="38" t="s">
        <v>407</v>
      </c>
      <c r="E1882" s="38" t="s">
        <v>4788</v>
      </c>
      <c r="F1882" s="38" t="s">
        <v>4304</v>
      </c>
      <c r="G1882" s="38" t="s">
        <v>111</v>
      </c>
      <c r="H1882" s="44">
        <v>43801</v>
      </c>
      <c r="I1882" s="44">
        <v>44088</v>
      </c>
      <c r="J1882">
        <v>1265.47</v>
      </c>
      <c r="K1882">
        <v>15.13</v>
      </c>
      <c r="L1882" t="s">
        <v>4789</v>
      </c>
      <c r="M1882" s="45" t="s">
        <v>98</v>
      </c>
      <c r="N1882" s="38" t="s">
        <v>230</v>
      </c>
      <c r="O1882" s="38" t="s">
        <v>342</v>
      </c>
      <c r="P1882" s="38" t="s">
        <v>60</v>
      </c>
      <c r="Q1882" s="38" t="s">
        <v>41</v>
      </c>
      <c r="R1882" s="38" t="s">
        <v>270</v>
      </c>
      <c r="S1882" s="38" t="s">
        <v>4790</v>
      </c>
      <c r="T1882" s="38" t="s">
        <v>4791</v>
      </c>
      <c r="U1882" s="38"/>
      <c r="V1882" s="38"/>
      <c r="W1882" s="38"/>
      <c r="X1882" s="14"/>
      <c r="AN1882" s="7" t="s">
        <v>70</v>
      </c>
      <c r="AO1882" s="21">
        <f t="shared" si="96"/>
        <v>0</v>
      </c>
      <c r="AP1882" s="7">
        <f t="shared" si="95"/>
        <v>15.13</v>
      </c>
      <c r="AQ1882" s="31" t="str">
        <f t="shared" si="97"/>
        <v>Complete - No Adjustment</v>
      </c>
    </row>
    <row r="1883" spans="1:43" x14ac:dyDescent="0.2">
      <c r="A1883" s="46">
        <v>1873</v>
      </c>
      <c r="B1883" s="38" t="s">
        <v>266</v>
      </c>
      <c r="C1883" s="38" t="s">
        <v>408</v>
      </c>
      <c r="D1883" s="38" t="s">
        <v>407</v>
      </c>
      <c r="E1883" s="38" t="s">
        <v>4788</v>
      </c>
      <c r="F1883" s="38" t="s">
        <v>4304</v>
      </c>
      <c r="G1883" s="38" t="s">
        <v>111</v>
      </c>
      <c r="H1883" s="44">
        <v>43801</v>
      </c>
      <c r="I1883" s="44">
        <v>44088</v>
      </c>
      <c r="J1883">
        <v>1265.47</v>
      </c>
      <c r="K1883">
        <v>10.95</v>
      </c>
      <c r="L1883" t="s">
        <v>4789</v>
      </c>
      <c r="M1883" s="45" t="s">
        <v>97</v>
      </c>
      <c r="N1883" s="38" t="s">
        <v>230</v>
      </c>
      <c r="O1883" s="38" t="s">
        <v>342</v>
      </c>
      <c r="P1883" s="38" t="s">
        <v>42</v>
      </c>
      <c r="Q1883" s="38" t="s">
        <v>41</v>
      </c>
      <c r="R1883" s="38" t="s">
        <v>270</v>
      </c>
      <c r="S1883" s="38" t="s">
        <v>4790</v>
      </c>
      <c r="T1883" s="38" t="s">
        <v>4797</v>
      </c>
      <c r="U1883" s="38"/>
      <c r="V1883" s="38"/>
      <c r="W1883" s="38"/>
      <c r="X1883" s="14"/>
      <c r="Y1883" s="53">
        <f>10.95</f>
        <v>10.95</v>
      </c>
      <c r="AN1883" s="7" t="s">
        <v>8</v>
      </c>
      <c r="AO1883" s="21">
        <f t="shared" si="96"/>
        <v>10.95</v>
      </c>
      <c r="AP1883" s="7">
        <f t="shared" si="95"/>
        <v>0</v>
      </c>
      <c r="AQ1883" s="31" t="str">
        <f t="shared" si="97"/>
        <v>Complete - With Adjustment</v>
      </c>
    </row>
    <row r="1884" spans="1:43" x14ac:dyDescent="0.2">
      <c r="A1884" s="46">
        <v>1874</v>
      </c>
      <c r="B1884" s="38" t="s">
        <v>266</v>
      </c>
      <c r="C1884" s="38" t="s">
        <v>408</v>
      </c>
      <c r="D1884" s="38" t="s">
        <v>407</v>
      </c>
      <c r="E1884" s="38" t="s">
        <v>4788</v>
      </c>
      <c r="F1884" s="38" t="s">
        <v>4304</v>
      </c>
      <c r="G1884" s="38" t="s">
        <v>111</v>
      </c>
      <c r="H1884" s="44">
        <v>43801</v>
      </c>
      <c r="I1884" s="44">
        <v>44088</v>
      </c>
      <c r="J1884">
        <v>1265.47</v>
      </c>
      <c r="K1884">
        <v>3</v>
      </c>
      <c r="L1884" t="s">
        <v>4789</v>
      </c>
      <c r="M1884" s="45" t="s">
        <v>98</v>
      </c>
      <c r="N1884" s="38" t="s">
        <v>230</v>
      </c>
      <c r="O1884" s="38" t="s">
        <v>342</v>
      </c>
      <c r="P1884" s="38" t="s">
        <v>60</v>
      </c>
      <c r="Q1884" s="38" t="s">
        <v>44</v>
      </c>
      <c r="R1884" s="38" t="s">
        <v>270</v>
      </c>
      <c r="S1884" s="38" t="s">
        <v>4790</v>
      </c>
      <c r="T1884" s="38" t="s">
        <v>4798</v>
      </c>
      <c r="U1884" s="38"/>
      <c r="V1884" s="38"/>
      <c r="W1884" s="38"/>
      <c r="X1884" s="14"/>
      <c r="AN1884" s="7" t="s">
        <v>70</v>
      </c>
      <c r="AO1884" s="21">
        <f t="shared" si="96"/>
        <v>0</v>
      </c>
      <c r="AP1884" s="7">
        <f t="shared" si="95"/>
        <v>3</v>
      </c>
      <c r="AQ1884" s="31" t="str">
        <f t="shared" si="97"/>
        <v>Complete - No Adjustment</v>
      </c>
    </row>
    <row r="1885" spans="1:43" x14ac:dyDescent="0.2">
      <c r="A1885" s="46">
        <v>1875</v>
      </c>
      <c r="B1885" s="38" t="s">
        <v>266</v>
      </c>
      <c r="C1885" s="38" t="s">
        <v>408</v>
      </c>
      <c r="D1885" s="38" t="s">
        <v>407</v>
      </c>
      <c r="E1885" s="38" t="s">
        <v>4788</v>
      </c>
      <c r="F1885" s="38" t="s">
        <v>4304</v>
      </c>
      <c r="G1885" s="38" t="s">
        <v>111</v>
      </c>
      <c r="H1885" s="44">
        <v>43801</v>
      </c>
      <c r="I1885" s="44">
        <v>44088</v>
      </c>
      <c r="J1885">
        <v>1265.47</v>
      </c>
      <c r="K1885">
        <v>14.47</v>
      </c>
      <c r="L1885" t="s">
        <v>4789</v>
      </c>
      <c r="M1885" s="45" t="s">
        <v>98</v>
      </c>
      <c r="N1885" s="38" t="s">
        <v>230</v>
      </c>
      <c r="O1885" s="38" t="s">
        <v>342</v>
      </c>
      <c r="P1885" s="38" t="s">
        <v>60</v>
      </c>
      <c r="Q1885" s="38" t="s">
        <v>41</v>
      </c>
      <c r="R1885" s="38" t="s">
        <v>270</v>
      </c>
      <c r="S1885" s="38" t="s">
        <v>4790</v>
      </c>
      <c r="T1885" s="38" t="s">
        <v>4791</v>
      </c>
      <c r="U1885" s="38"/>
      <c r="V1885" s="38"/>
      <c r="W1885" s="38"/>
      <c r="X1885" s="14"/>
      <c r="AN1885" s="7" t="s">
        <v>70</v>
      </c>
      <c r="AO1885" s="21">
        <f t="shared" si="96"/>
        <v>0</v>
      </c>
      <c r="AP1885" s="7">
        <f t="shared" si="95"/>
        <v>14.47</v>
      </c>
      <c r="AQ1885" s="31" t="str">
        <f t="shared" si="97"/>
        <v>Complete - No Adjustment</v>
      </c>
    </row>
    <row r="1886" spans="1:43" x14ac:dyDescent="0.2">
      <c r="A1886" s="46">
        <v>1876</v>
      </c>
      <c r="B1886" s="38" t="s">
        <v>266</v>
      </c>
      <c r="C1886" s="38" t="s">
        <v>408</v>
      </c>
      <c r="D1886" s="38" t="s">
        <v>407</v>
      </c>
      <c r="E1886" s="38" t="s">
        <v>4788</v>
      </c>
      <c r="F1886" s="38" t="s">
        <v>4304</v>
      </c>
      <c r="G1886" s="38" t="s">
        <v>111</v>
      </c>
      <c r="H1886" s="44">
        <v>43801</v>
      </c>
      <c r="I1886" s="44">
        <v>44088</v>
      </c>
      <c r="J1886">
        <v>1265.47</v>
      </c>
      <c r="K1886">
        <v>19.309999999999999</v>
      </c>
      <c r="L1886" t="s">
        <v>4789</v>
      </c>
      <c r="M1886" s="45" t="s">
        <v>98</v>
      </c>
      <c r="N1886" s="38" t="s">
        <v>230</v>
      </c>
      <c r="O1886" s="38" t="s">
        <v>342</v>
      </c>
      <c r="P1886" s="38" t="s">
        <v>60</v>
      </c>
      <c r="Q1886" s="38" t="s">
        <v>41</v>
      </c>
      <c r="R1886" s="38" t="s">
        <v>270</v>
      </c>
      <c r="S1886" s="38" t="s">
        <v>4790</v>
      </c>
      <c r="T1886" s="38" t="s">
        <v>4791</v>
      </c>
      <c r="U1886" s="38"/>
      <c r="V1886" s="38"/>
      <c r="W1886" s="38"/>
      <c r="X1886" s="14"/>
      <c r="AN1886" s="7" t="s">
        <v>70</v>
      </c>
      <c r="AO1886" s="21">
        <f t="shared" si="96"/>
        <v>0</v>
      </c>
      <c r="AP1886" s="7">
        <f t="shared" si="95"/>
        <v>19.309999999999999</v>
      </c>
      <c r="AQ1886" s="31" t="str">
        <f t="shared" si="97"/>
        <v>Complete - No Adjustment</v>
      </c>
    </row>
    <row r="1887" spans="1:43" x14ac:dyDescent="0.2">
      <c r="A1887" s="46">
        <v>1877</v>
      </c>
      <c r="B1887" s="38" t="s">
        <v>266</v>
      </c>
      <c r="C1887" s="38" t="s">
        <v>408</v>
      </c>
      <c r="D1887" s="38" t="s">
        <v>407</v>
      </c>
      <c r="E1887" s="38" t="s">
        <v>4788</v>
      </c>
      <c r="F1887" s="38" t="s">
        <v>4304</v>
      </c>
      <c r="G1887" s="38" t="s">
        <v>111</v>
      </c>
      <c r="H1887" s="44">
        <v>43801</v>
      </c>
      <c r="I1887" s="44">
        <v>44088</v>
      </c>
      <c r="J1887">
        <v>1265.47</v>
      </c>
      <c r="K1887">
        <v>13.82</v>
      </c>
      <c r="L1887" t="s">
        <v>4789</v>
      </c>
      <c r="M1887" s="45" t="s">
        <v>98</v>
      </c>
      <c r="N1887" s="38" t="s">
        <v>230</v>
      </c>
      <c r="O1887" s="38" t="s">
        <v>342</v>
      </c>
      <c r="P1887" s="38" t="s">
        <v>60</v>
      </c>
      <c r="Q1887" s="38" t="s">
        <v>41</v>
      </c>
      <c r="R1887" s="38" t="s">
        <v>270</v>
      </c>
      <c r="S1887" s="38" t="s">
        <v>4790</v>
      </c>
      <c r="T1887" s="38" t="s">
        <v>4799</v>
      </c>
      <c r="U1887" s="38"/>
      <c r="V1887" s="38"/>
      <c r="W1887" s="38"/>
      <c r="X1887" s="14"/>
      <c r="AN1887" s="7" t="s">
        <v>70</v>
      </c>
      <c r="AO1887" s="21">
        <f t="shared" si="96"/>
        <v>0</v>
      </c>
      <c r="AP1887" s="7">
        <f t="shared" si="95"/>
        <v>13.82</v>
      </c>
      <c r="AQ1887" s="31" t="str">
        <f t="shared" si="97"/>
        <v>Complete - No Adjustment</v>
      </c>
    </row>
    <row r="1888" spans="1:43" x14ac:dyDescent="0.2">
      <c r="A1888" s="46">
        <v>1878</v>
      </c>
      <c r="B1888" s="38" t="s">
        <v>266</v>
      </c>
      <c r="C1888" s="38" t="s">
        <v>408</v>
      </c>
      <c r="D1888" s="38" t="s">
        <v>407</v>
      </c>
      <c r="E1888" s="38" t="s">
        <v>4788</v>
      </c>
      <c r="F1888" s="38" t="s">
        <v>4304</v>
      </c>
      <c r="G1888" s="38" t="s">
        <v>111</v>
      </c>
      <c r="H1888" s="44">
        <v>43801</v>
      </c>
      <c r="I1888" s="44">
        <v>44088</v>
      </c>
      <c r="J1888">
        <v>1265.47</v>
      </c>
      <c r="K1888">
        <v>766.56</v>
      </c>
      <c r="L1888" t="s">
        <v>4789</v>
      </c>
      <c r="M1888" s="45" t="s">
        <v>98</v>
      </c>
      <c r="N1888" s="38" t="s">
        <v>230</v>
      </c>
      <c r="O1888" s="38" t="s">
        <v>342</v>
      </c>
      <c r="P1888" s="38" t="s">
        <v>60</v>
      </c>
      <c r="Q1888" s="38" t="s">
        <v>44</v>
      </c>
      <c r="R1888" s="38" t="s">
        <v>270</v>
      </c>
      <c r="S1888" s="38" t="s">
        <v>4790</v>
      </c>
      <c r="T1888" s="38" t="s">
        <v>4800</v>
      </c>
      <c r="U1888" s="38"/>
      <c r="V1888" s="38"/>
      <c r="W1888" s="38"/>
      <c r="X1888" s="14"/>
      <c r="AN1888" s="7" t="s">
        <v>70</v>
      </c>
      <c r="AO1888" s="21">
        <f t="shared" si="96"/>
        <v>0</v>
      </c>
      <c r="AP1888" s="7">
        <f t="shared" si="95"/>
        <v>766.56</v>
      </c>
      <c r="AQ1888" s="31" t="str">
        <f t="shared" si="97"/>
        <v>Complete - No Adjustment</v>
      </c>
    </row>
    <row r="1889" spans="1:43" x14ac:dyDescent="0.2">
      <c r="A1889" s="46">
        <v>1879</v>
      </c>
      <c r="B1889" s="38" t="s">
        <v>266</v>
      </c>
      <c r="C1889" s="38" t="s">
        <v>408</v>
      </c>
      <c r="D1889" s="38" t="s">
        <v>407</v>
      </c>
      <c r="E1889" s="38" t="s">
        <v>4788</v>
      </c>
      <c r="F1889" s="38" t="s">
        <v>4304</v>
      </c>
      <c r="G1889" s="38" t="s">
        <v>111</v>
      </c>
      <c r="H1889" s="44">
        <v>43801</v>
      </c>
      <c r="I1889" s="44">
        <v>44088</v>
      </c>
      <c r="J1889">
        <v>1265.47</v>
      </c>
      <c r="K1889">
        <v>193.11</v>
      </c>
      <c r="L1889" t="s">
        <v>4789</v>
      </c>
      <c r="M1889" s="45" t="s">
        <v>98</v>
      </c>
      <c r="N1889" s="38" t="s">
        <v>230</v>
      </c>
      <c r="O1889" s="38" t="s">
        <v>342</v>
      </c>
      <c r="P1889" s="38" t="s">
        <v>60</v>
      </c>
      <c r="Q1889" s="38" t="s">
        <v>45</v>
      </c>
      <c r="R1889" s="38" t="s">
        <v>270</v>
      </c>
      <c r="S1889" s="38" t="s">
        <v>4790</v>
      </c>
      <c r="T1889" s="38" t="s">
        <v>4801</v>
      </c>
      <c r="U1889" s="38"/>
      <c r="V1889" s="38"/>
      <c r="W1889" s="38"/>
      <c r="X1889" s="14"/>
      <c r="AE1889" s="53">
        <f>170.52-150</f>
        <v>20.52000000000001</v>
      </c>
      <c r="AN1889" s="7" t="s">
        <v>68</v>
      </c>
      <c r="AO1889" s="21">
        <f t="shared" si="96"/>
        <v>20.52000000000001</v>
      </c>
      <c r="AP1889" s="7">
        <f t="shared" si="95"/>
        <v>172.59</v>
      </c>
      <c r="AQ1889" s="31" t="str">
        <f t="shared" si="97"/>
        <v>Complete - With Adjustment</v>
      </c>
    </row>
    <row r="1890" spans="1:43" x14ac:dyDescent="0.2">
      <c r="A1890" s="46">
        <v>1880</v>
      </c>
      <c r="B1890" s="38" t="s">
        <v>266</v>
      </c>
      <c r="C1890" s="38" t="s">
        <v>408</v>
      </c>
      <c r="D1890" s="38" t="s">
        <v>407</v>
      </c>
      <c r="E1890" s="38" t="s">
        <v>4788</v>
      </c>
      <c r="F1890" s="38" t="s">
        <v>4304</v>
      </c>
      <c r="G1890" s="38" t="s">
        <v>111</v>
      </c>
      <c r="H1890" s="44">
        <v>43801</v>
      </c>
      <c r="I1890" s="44">
        <v>44088</v>
      </c>
      <c r="J1890">
        <v>1265.47</v>
      </c>
      <c r="K1890">
        <v>68.48</v>
      </c>
      <c r="L1890" t="s">
        <v>4789</v>
      </c>
      <c r="M1890" s="45" t="s">
        <v>98</v>
      </c>
      <c r="N1890" s="38" t="s">
        <v>230</v>
      </c>
      <c r="O1890" s="38" t="s">
        <v>342</v>
      </c>
      <c r="P1890" s="38" t="s">
        <v>60</v>
      </c>
      <c r="Q1890" s="38" t="s">
        <v>44</v>
      </c>
      <c r="R1890" s="38" t="s">
        <v>270</v>
      </c>
      <c r="S1890" s="38" t="s">
        <v>4790</v>
      </c>
      <c r="T1890" s="38" t="s">
        <v>4798</v>
      </c>
      <c r="U1890" s="38"/>
      <c r="V1890" s="38"/>
      <c r="W1890" s="38"/>
      <c r="X1890" s="14"/>
      <c r="AN1890" s="7" t="s">
        <v>70</v>
      </c>
      <c r="AO1890" s="21">
        <f t="shared" si="96"/>
        <v>0</v>
      </c>
      <c r="AP1890" s="7">
        <f t="shared" si="95"/>
        <v>68.48</v>
      </c>
      <c r="AQ1890" s="31" t="str">
        <f t="shared" si="97"/>
        <v>Complete - No Adjustment</v>
      </c>
    </row>
    <row r="1891" spans="1:43" x14ac:dyDescent="0.2">
      <c r="A1891" s="46">
        <v>1881</v>
      </c>
      <c r="B1891" s="38" t="s">
        <v>266</v>
      </c>
      <c r="C1891" s="38" t="s">
        <v>408</v>
      </c>
      <c r="D1891" s="38" t="s">
        <v>407</v>
      </c>
      <c r="E1891" s="38" t="s">
        <v>4802</v>
      </c>
      <c r="F1891" s="38" t="s">
        <v>4304</v>
      </c>
      <c r="G1891" s="38" t="s">
        <v>111</v>
      </c>
      <c r="H1891" s="44">
        <v>43774</v>
      </c>
      <c r="I1891" s="44">
        <v>44088</v>
      </c>
      <c r="J1891">
        <v>1542.91</v>
      </c>
      <c r="K1891">
        <v>15</v>
      </c>
      <c r="L1891" t="s">
        <v>4803</v>
      </c>
      <c r="M1891" s="45" t="s">
        <v>98</v>
      </c>
      <c r="N1891" s="38" t="s">
        <v>230</v>
      </c>
      <c r="O1891" s="38" t="s">
        <v>342</v>
      </c>
      <c r="P1891" s="38" t="s">
        <v>60</v>
      </c>
      <c r="Q1891" s="38" t="s">
        <v>41</v>
      </c>
      <c r="R1891" s="38" t="s">
        <v>270</v>
      </c>
      <c r="S1891" s="38" t="s">
        <v>4804</v>
      </c>
      <c r="T1891" s="38" t="s">
        <v>4805</v>
      </c>
      <c r="U1891" s="38"/>
      <c r="V1891" s="38"/>
      <c r="W1891" s="38"/>
      <c r="X1891" s="14"/>
      <c r="AN1891" s="7" t="s">
        <v>155</v>
      </c>
      <c r="AO1891" s="21">
        <f t="shared" si="96"/>
        <v>0</v>
      </c>
      <c r="AP1891" s="7">
        <f t="shared" si="95"/>
        <v>15</v>
      </c>
      <c r="AQ1891" s="31" t="str">
        <f t="shared" si="97"/>
        <v>Complete - No Adjustment</v>
      </c>
    </row>
    <row r="1892" spans="1:43" x14ac:dyDescent="0.2">
      <c r="A1892" s="46">
        <v>1882</v>
      </c>
      <c r="B1892" s="38" t="s">
        <v>266</v>
      </c>
      <c r="C1892" s="38" t="s">
        <v>408</v>
      </c>
      <c r="D1892" s="38" t="s">
        <v>407</v>
      </c>
      <c r="E1892" s="38" t="s">
        <v>4802</v>
      </c>
      <c r="F1892" s="38" t="s">
        <v>4304</v>
      </c>
      <c r="G1892" s="38" t="s">
        <v>111</v>
      </c>
      <c r="H1892" s="44">
        <v>43774</v>
      </c>
      <c r="I1892" s="44">
        <v>44088</v>
      </c>
      <c r="J1892">
        <v>1542.91</v>
      </c>
      <c r="K1892">
        <v>6.26</v>
      </c>
      <c r="L1892" t="s">
        <v>4803</v>
      </c>
      <c r="M1892" s="45" t="s">
        <v>98</v>
      </c>
      <c r="N1892" s="38" t="s">
        <v>230</v>
      </c>
      <c r="O1892" s="38" t="s">
        <v>342</v>
      </c>
      <c r="P1892" s="38" t="s">
        <v>60</v>
      </c>
      <c r="Q1892" s="38" t="s">
        <v>41</v>
      </c>
      <c r="R1892" s="38" t="s">
        <v>270</v>
      </c>
      <c r="S1892" s="38" t="s">
        <v>4804</v>
      </c>
      <c r="T1892" s="38" t="s">
        <v>4806</v>
      </c>
      <c r="U1892" s="38"/>
      <c r="V1892" s="38"/>
      <c r="W1892" s="38"/>
      <c r="X1892" s="14"/>
      <c r="AN1892" s="7" t="s">
        <v>70</v>
      </c>
      <c r="AO1892" s="21">
        <f t="shared" si="96"/>
        <v>0</v>
      </c>
      <c r="AP1892" s="7">
        <f t="shared" si="95"/>
        <v>6.26</v>
      </c>
      <c r="AQ1892" s="31" t="str">
        <f t="shared" si="97"/>
        <v>Complete - No Adjustment</v>
      </c>
    </row>
    <row r="1893" spans="1:43" x14ac:dyDescent="0.2">
      <c r="A1893" s="46">
        <v>1883</v>
      </c>
      <c r="B1893" s="38" t="s">
        <v>266</v>
      </c>
      <c r="C1893" s="38" t="s">
        <v>408</v>
      </c>
      <c r="D1893" s="38" t="s">
        <v>407</v>
      </c>
      <c r="E1893" s="38" t="s">
        <v>4802</v>
      </c>
      <c r="F1893" s="38" t="s">
        <v>4304</v>
      </c>
      <c r="G1893" s="38" t="s">
        <v>111</v>
      </c>
      <c r="H1893" s="44">
        <v>43774</v>
      </c>
      <c r="I1893" s="44">
        <v>44088</v>
      </c>
      <c r="J1893">
        <v>1542.91</v>
      </c>
      <c r="K1893">
        <v>11.67</v>
      </c>
      <c r="L1893" t="s">
        <v>4803</v>
      </c>
      <c r="M1893" s="45" t="s">
        <v>98</v>
      </c>
      <c r="N1893" s="38" t="s">
        <v>230</v>
      </c>
      <c r="O1893" s="38" t="s">
        <v>342</v>
      </c>
      <c r="P1893" s="38" t="s">
        <v>60</v>
      </c>
      <c r="Q1893" s="38" t="s">
        <v>41</v>
      </c>
      <c r="R1893" s="38" t="s">
        <v>270</v>
      </c>
      <c r="S1893" s="38" t="s">
        <v>4804</v>
      </c>
      <c r="T1893" s="38" t="s">
        <v>4806</v>
      </c>
      <c r="U1893" s="38"/>
      <c r="V1893" s="38"/>
      <c r="W1893" s="38"/>
      <c r="X1893" s="14"/>
      <c r="AN1893" s="7" t="s">
        <v>70</v>
      </c>
      <c r="AO1893" s="21">
        <f t="shared" si="96"/>
        <v>0</v>
      </c>
      <c r="AP1893" s="7">
        <f t="shared" si="95"/>
        <v>11.67</v>
      </c>
      <c r="AQ1893" s="31" t="str">
        <f t="shared" si="97"/>
        <v>Complete - No Adjustment</v>
      </c>
    </row>
    <row r="1894" spans="1:43" x14ac:dyDescent="0.2">
      <c r="A1894" s="46">
        <v>1884</v>
      </c>
      <c r="B1894" s="38" t="s">
        <v>266</v>
      </c>
      <c r="C1894" s="38" t="s">
        <v>408</v>
      </c>
      <c r="D1894" s="38" t="s">
        <v>407</v>
      </c>
      <c r="E1894" s="38" t="s">
        <v>4802</v>
      </c>
      <c r="F1894" s="38" t="s">
        <v>4304</v>
      </c>
      <c r="G1894" s="38" t="s">
        <v>111</v>
      </c>
      <c r="H1894" s="44">
        <v>43774</v>
      </c>
      <c r="I1894" s="44">
        <v>44088</v>
      </c>
      <c r="J1894">
        <v>1542.91</v>
      </c>
      <c r="K1894">
        <v>37.119999999999997</v>
      </c>
      <c r="L1894" t="s">
        <v>4803</v>
      </c>
      <c r="M1894" s="45" t="s">
        <v>98</v>
      </c>
      <c r="N1894" s="38" t="s">
        <v>230</v>
      </c>
      <c r="O1894" s="38" t="s">
        <v>342</v>
      </c>
      <c r="P1894" s="38" t="s">
        <v>60</v>
      </c>
      <c r="Q1894" s="38" t="s">
        <v>44</v>
      </c>
      <c r="R1894" s="38" t="s">
        <v>270</v>
      </c>
      <c r="S1894" s="38" t="s">
        <v>4804</v>
      </c>
      <c r="T1894" s="38" t="s">
        <v>4807</v>
      </c>
      <c r="U1894" s="38"/>
      <c r="V1894" s="38"/>
      <c r="W1894" s="38"/>
      <c r="X1894" s="14"/>
      <c r="AN1894" s="7" t="s">
        <v>70</v>
      </c>
      <c r="AO1894" s="21">
        <f t="shared" si="96"/>
        <v>0</v>
      </c>
      <c r="AP1894" s="7">
        <f t="shared" si="95"/>
        <v>37.119999999999997</v>
      </c>
      <c r="AQ1894" s="31" t="str">
        <f t="shared" si="97"/>
        <v>Complete - No Adjustment</v>
      </c>
    </row>
    <row r="1895" spans="1:43" x14ac:dyDescent="0.2">
      <c r="A1895" s="46">
        <v>1885</v>
      </c>
      <c r="B1895" s="38" t="s">
        <v>266</v>
      </c>
      <c r="C1895" s="38" t="s">
        <v>408</v>
      </c>
      <c r="D1895" s="38" t="s">
        <v>407</v>
      </c>
      <c r="E1895" s="38" t="s">
        <v>4802</v>
      </c>
      <c r="F1895" s="38" t="s">
        <v>4304</v>
      </c>
      <c r="G1895" s="38" t="s">
        <v>111</v>
      </c>
      <c r="H1895" s="44">
        <v>43774</v>
      </c>
      <c r="I1895" s="44">
        <v>44088</v>
      </c>
      <c r="J1895">
        <v>1542.91</v>
      </c>
      <c r="K1895">
        <v>17.36</v>
      </c>
      <c r="L1895" t="s">
        <v>4803</v>
      </c>
      <c r="M1895" s="45" t="s">
        <v>98</v>
      </c>
      <c r="N1895" s="38" t="s">
        <v>230</v>
      </c>
      <c r="O1895" s="38" t="s">
        <v>342</v>
      </c>
      <c r="P1895" s="38" t="s">
        <v>60</v>
      </c>
      <c r="Q1895" s="38" t="s">
        <v>41</v>
      </c>
      <c r="R1895" s="38" t="s">
        <v>270</v>
      </c>
      <c r="S1895" s="38" t="s">
        <v>4804</v>
      </c>
      <c r="T1895" s="38" t="s">
        <v>4806</v>
      </c>
      <c r="U1895" s="38"/>
      <c r="V1895" s="38"/>
      <c r="W1895" s="38"/>
      <c r="X1895" s="14"/>
      <c r="AN1895" s="7" t="s">
        <v>70</v>
      </c>
      <c r="AO1895" s="21">
        <f t="shared" si="96"/>
        <v>0</v>
      </c>
      <c r="AP1895" s="7">
        <f t="shared" si="95"/>
        <v>17.36</v>
      </c>
      <c r="AQ1895" s="31" t="str">
        <f t="shared" si="97"/>
        <v>Complete - No Adjustment</v>
      </c>
    </row>
    <row r="1896" spans="1:43" x14ac:dyDescent="0.2">
      <c r="A1896" s="46">
        <v>1886</v>
      </c>
      <c r="B1896" s="38" t="s">
        <v>266</v>
      </c>
      <c r="C1896" s="38" t="s">
        <v>408</v>
      </c>
      <c r="D1896" s="38" t="s">
        <v>407</v>
      </c>
      <c r="E1896" s="38" t="s">
        <v>4802</v>
      </c>
      <c r="F1896" s="38" t="s">
        <v>4304</v>
      </c>
      <c r="G1896" s="38" t="s">
        <v>111</v>
      </c>
      <c r="H1896" s="44">
        <v>43774</v>
      </c>
      <c r="I1896" s="44">
        <v>44088</v>
      </c>
      <c r="J1896">
        <v>1542.91</v>
      </c>
      <c r="K1896">
        <v>298.60000000000002</v>
      </c>
      <c r="L1896" t="s">
        <v>4803</v>
      </c>
      <c r="M1896" s="45" t="s">
        <v>98</v>
      </c>
      <c r="N1896" s="38" t="s">
        <v>230</v>
      </c>
      <c r="O1896" s="38" t="s">
        <v>342</v>
      </c>
      <c r="P1896" s="38" t="s">
        <v>60</v>
      </c>
      <c r="Q1896" s="38" t="s">
        <v>44</v>
      </c>
      <c r="R1896" s="38" t="s">
        <v>270</v>
      </c>
      <c r="S1896" s="38" t="s">
        <v>4804</v>
      </c>
      <c r="T1896" s="38" t="s">
        <v>4808</v>
      </c>
      <c r="U1896" s="38"/>
      <c r="V1896" s="38"/>
      <c r="W1896" s="38"/>
      <c r="X1896" s="14"/>
      <c r="AN1896" s="7" t="s">
        <v>70</v>
      </c>
      <c r="AO1896" s="21">
        <f t="shared" si="96"/>
        <v>0</v>
      </c>
      <c r="AP1896" s="7">
        <f t="shared" si="95"/>
        <v>298.60000000000002</v>
      </c>
      <c r="AQ1896" s="31" t="str">
        <f t="shared" si="97"/>
        <v>Complete - No Adjustment</v>
      </c>
    </row>
    <row r="1897" spans="1:43" x14ac:dyDescent="0.2">
      <c r="A1897" s="46">
        <v>1887</v>
      </c>
      <c r="B1897" s="38" t="s">
        <v>266</v>
      </c>
      <c r="C1897" s="38" t="s">
        <v>408</v>
      </c>
      <c r="D1897" s="38" t="s">
        <v>407</v>
      </c>
      <c r="E1897" s="38" t="s">
        <v>4802</v>
      </c>
      <c r="F1897" s="38" t="s">
        <v>4304</v>
      </c>
      <c r="G1897" s="38" t="s">
        <v>111</v>
      </c>
      <c r="H1897" s="44">
        <v>43774</v>
      </c>
      <c r="I1897" s="44">
        <v>44088</v>
      </c>
      <c r="J1897">
        <v>1542.91</v>
      </c>
      <c r="K1897">
        <v>909.09</v>
      </c>
      <c r="L1897" t="s">
        <v>4803</v>
      </c>
      <c r="M1897" s="45" t="s">
        <v>98</v>
      </c>
      <c r="N1897" s="38" t="s">
        <v>230</v>
      </c>
      <c r="O1897" s="38" t="s">
        <v>342</v>
      </c>
      <c r="P1897" s="38" t="s">
        <v>60</v>
      </c>
      <c r="Q1897" s="38" t="s">
        <v>45</v>
      </c>
      <c r="R1897" s="38" t="s">
        <v>270</v>
      </c>
      <c r="S1897" s="38" t="s">
        <v>4804</v>
      </c>
      <c r="T1897" s="38" t="s">
        <v>4809</v>
      </c>
      <c r="U1897" s="38"/>
      <c r="V1897" s="38"/>
      <c r="W1897" s="38"/>
      <c r="X1897" s="14"/>
      <c r="AE1897" s="53">
        <f>(259-150)*3</f>
        <v>327</v>
      </c>
      <c r="AN1897" s="7" t="s">
        <v>68</v>
      </c>
      <c r="AO1897" s="21">
        <f t="shared" si="96"/>
        <v>327</v>
      </c>
      <c r="AP1897" s="7">
        <f t="shared" si="95"/>
        <v>582.09</v>
      </c>
      <c r="AQ1897" s="31" t="str">
        <f t="shared" si="97"/>
        <v>Complete - With Adjustment</v>
      </c>
    </row>
    <row r="1898" spans="1:43" x14ac:dyDescent="0.2">
      <c r="A1898" s="46">
        <v>1888</v>
      </c>
      <c r="B1898" s="38" t="s">
        <v>266</v>
      </c>
      <c r="C1898" s="38" t="s">
        <v>408</v>
      </c>
      <c r="D1898" s="38" t="s">
        <v>407</v>
      </c>
      <c r="E1898" s="38" t="s">
        <v>4802</v>
      </c>
      <c r="F1898" s="38" t="s">
        <v>4304</v>
      </c>
      <c r="G1898" s="38" t="s">
        <v>111</v>
      </c>
      <c r="H1898" s="44">
        <v>43774</v>
      </c>
      <c r="I1898" s="44">
        <v>44088</v>
      </c>
      <c r="J1898">
        <v>1542.91</v>
      </c>
      <c r="K1898">
        <v>4.88</v>
      </c>
      <c r="L1898" t="s">
        <v>4803</v>
      </c>
      <c r="M1898" s="45" t="s">
        <v>98</v>
      </c>
      <c r="N1898" s="38" t="s">
        <v>230</v>
      </c>
      <c r="O1898" s="38" t="s">
        <v>342</v>
      </c>
      <c r="P1898" s="38" t="s">
        <v>60</v>
      </c>
      <c r="Q1898" s="38" t="s">
        <v>41</v>
      </c>
      <c r="R1898" s="38" t="s">
        <v>270</v>
      </c>
      <c r="S1898" s="38" t="s">
        <v>4804</v>
      </c>
      <c r="T1898" s="38" t="s">
        <v>4806</v>
      </c>
      <c r="U1898" s="38"/>
      <c r="V1898" s="38"/>
      <c r="W1898" s="38"/>
      <c r="X1898" s="14"/>
      <c r="AL1898" s="14">
        <f>2.39</f>
        <v>2.39</v>
      </c>
      <c r="AN1898" s="7" t="s">
        <v>146</v>
      </c>
      <c r="AO1898" s="21">
        <f t="shared" si="96"/>
        <v>2.39</v>
      </c>
      <c r="AP1898" s="7">
        <f t="shared" si="95"/>
        <v>2.4899999999999998</v>
      </c>
      <c r="AQ1898" s="31" t="str">
        <f t="shared" si="97"/>
        <v>Complete - With Adjustment</v>
      </c>
    </row>
    <row r="1899" spans="1:43" x14ac:dyDescent="0.2">
      <c r="A1899" s="46">
        <v>1889</v>
      </c>
      <c r="B1899" s="38" t="s">
        <v>266</v>
      </c>
      <c r="C1899" s="38" t="s">
        <v>408</v>
      </c>
      <c r="D1899" s="38" t="s">
        <v>407</v>
      </c>
      <c r="E1899" s="38" t="s">
        <v>4802</v>
      </c>
      <c r="F1899" s="38" t="s">
        <v>4304</v>
      </c>
      <c r="G1899" s="38" t="s">
        <v>111</v>
      </c>
      <c r="H1899" s="44">
        <v>43774</v>
      </c>
      <c r="I1899" s="44">
        <v>44088</v>
      </c>
      <c r="J1899">
        <v>1542.91</v>
      </c>
      <c r="K1899">
        <v>9.26</v>
      </c>
      <c r="L1899" t="s">
        <v>4803</v>
      </c>
      <c r="M1899" s="45" t="s">
        <v>98</v>
      </c>
      <c r="N1899" s="38" t="s">
        <v>230</v>
      </c>
      <c r="O1899" s="38" t="s">
        <v>342</v>
      </c>
      <c r="P1899" s="38" t="s">
        <v>60</v>
      </c>
      <c r="Q1899" s="38" t="s">
        <v>41</v>
      </c>
      <c r="R1899" s="38" t="s">
        <v>270</v>
      </c>
      <c r="S1899" s="38" t="s">
        <v>4804</v>
      </c>
      <c r="T1899" s="38" t="s">
        <v>4806</v>
      </c>
      <c r="U1899" s="38"/>
      <c r="V1899" s="38"/>
      <c r="W1899" s="38"/>
      <c r="X1899" s="14"/>
      <c r="AN1899" s="7" t="s">
        <v>70</v>
      </c>
      <c r="AO1899" s="21">
        <f t="shared" si="96"/>
        <v>0</v>
      </c>
      <c r="AP1899" s="7">
        <f t="shared" si="95"/>
        <v>9.26</v>
      </c>
      <c r="AQ1899" s="31" t="str">
        <f t="shared" si="97"/>
        <v>Complete - No Adjustment</v>
      </c>
    </row>
    <row r="1900" spans="1:43" x14ac:dyDescent="0.2">
      <c r="A1900" s="46">
        <v>1890</v>
      </c>
      <c r="B1900" s="38" t="s">
        <v>266</v>
      </c>
      <c r="C1900" s="38" t="s">
        <v>408</v>
      </c>
      <c r="D1900" s="38" t="s">
        <v>407</v>
      </c>
      <c r="E1900" s="38" t="s">
        <v>4802</v>
      </c>
      <c r="F1900" s="38" t="s">
        <v>4304</v>
      </c>
      <c r="G1900" s="38" t="s">
        <v>111</v>
      </c>
      <c r="H1900" s="44">
        <v>43774</v>
      </c>
      <c r="I1900" s="44">
        <v>44088</v>
      </c>
      <c r="J1900">
        <v>1542.91</v>
      </c>
      <c r="K1900">
        <v>17.71</v>
      </c>
      <c r="L1900" t="s">
        <v>4803</v>
      </c>
      <c r="M1900" s="45" t="s">
        <v>98</v>
      </c>
      <c r="N1900" s="38" t="s">
        <v>230</v>
      </c>
      <c r="O1900" s="38" t="s">
        <v>342</v>
      </c>
      <c r="P1900" s="38" t="s">
        <v>60</v>
      </c>
      <c r="Q1900" s="38" t="s">
        <v>41</v>
      </c>
      <c r="R1900" s="38" t="s">
        <v>270</v>
      </c>
      <c r="S1900" s="38" t="s">
        <v>4804</v>
      </c>
      <c r="T1900" s="38" t="s">
        <v>4806</v>
      </c>
      <c r="U1900" s="38"/>
      <c r="V1900" s="38"/>
      <c r="W1900" s="38"/>
      <c r="X1900" s="14"/>
      <c r="AN1900" s="7" t="s">
        <v>70</v>
      </c>
      <c r="AO1900" s="21">
        <f t="shared" si="96"/>
        <v>0</v>
      </c>
      <c r="AP1900" s="7">
        <f t="shared" si="95"/>
        <v>17.71</v>
      </c>
      <c r="AQ1900" s="31" t="str">
        <f t="shared" si="97"/>
        <v>Complete - No Adjustment</v>
      </c>
    </row>
    <row r="1901" spans="1:43" x14ac:dyDescent="0.2">
      <c r="A1901" s="46">
        <v>1891</v>
      </c>
      <c r="B1901" s="38" t="s">
        <v>266</v>
      </c>
      <c r="C1901" s="38" t="s">
        <v>408</v>
      </c>
      <c r="D1901" s="38" t="s">
        <v>407</v>
      </c>
      <c r="E1901" s="38" t="s">
        <v>4802</v>
      </c>
      <c r="F1901" s="38" t="s">
        <v>4304</v>
      </c>
      <c r="G1901" s="38" t="s">
        <v>111</v>
      </c>
      <c r="H1901" s="44">
        <v>43774</v>
      </c>
      <c r="I1901" s="44">
        <v>44088</v>
      </c>
      <c r="J1901">
        <v>1542.91</v>
      </c>
      <c r="K1901">
        <v>69.459999999999994</v>
      </c>
      <c r="L1901" t="s">
        <v>4803</v>
      </c>
      <c r="M1901" s="45" t="s">
        <v>98</v>
      </c>
      <c r="N1901" s="38" t="s">
        <v>230</v>
      </c>
      <c r="O1901" s="38" t="s">
        <v>342</v>
      </c>
      <c r="P1901" s="38" t="s">
        <v>60</v>
      </c>
      <c r="Q1901" s="38" t="s">
        <v>41</v>
      </c>
      <c r="R1901" s="38" t="s">
        <v>270</v>
      </c>
      <c r="S1901" s="38" t="s">
        <v>4804</v>
      </c>
      <c r="T1901" s="38" t="s">
        <v>4806</v>
      </c>
      <c r="U1901" s="38"/>
      <c r="V1901" s="38"/>
      <c r="W1901" s="38"/>
      <c r="X1901" s="14"/>
      <c r="AB1901" s="14">
        <f>54-25</f>
        <v>29</v>
      </c>
      <c r="AN1901" s="7" t="s">
        <v>66</v>
      </c>
      <c r="AO1901" s="21">
        <f t="shared" si="96"/>
        <v>29</v>
      </c>
      <c r="AP1901" s="7">
        <f t="shared" si="95"/>
        <v>40.459999999999994</v>
      </c>
      <c r="AQ1901" s="31" t="str">
        <f t="shared" si="97"/>
        <v>Complete - With Adjustment</v>
      </c>
    </row>
    <row r="1902" spans="1:43" x14ac:dyDescent="0.2">
      <c r="A1902" s="46">
        <v>1892</v>
      </c>
      <c r="B1902" s="38" t="s">
        <v>266</v>
      </c>
      <c r="C1902" s="38" t="s">
        <v>408</v>
      </c>
      <c r="D1902" s="38" t="s">
        <v>407</v>
      </c>
      <c r="E1902" s="38" t="s">
        <v>4802</v>
      </c>
      <c r="F1902" s="38" t="s">
        <v>4304</v>
      </c>
      <c r="G1902" s="38" t="s">
        <v>111</v>
      </c>
      <c r="H1902" s="44">
        <v>43774</v>
      </c>
      <c r="I1902" s="44">
        <v>44088</v>
      </c>
      <c r="J1902">
        <v>1542.91</v>
      </c>
      <c r="K1902">
        <v>2.81</v>
      </c>
      <c r="L1902" t="s">
        <v>4803</v>
      </c>
      <c r="M1902" s="45" t="s">
        <v>98</v>
      </c>
      <c r="N1902" s="38" t="s">
        <v>230</v>
      </c>
      <c r="O1902" s="38" t="s">
        <v>342</v>
      </c>
      <c r="P1902" s="38" t="s">
        <v>60</v>
      </c>
      <c r="Q1902" s="38" t="s">
        <v>41</v>
      </c>
      <c r="R1902" s="38" t="s">
        <v>270</v>
      </c>
      <c r="S1902" s="38" t="s">
        <v>4804</v>
      </c>
      <c r="T1902" s="38" t="s">
        <v>4806</v>
      </c>
      <c r="U1902" s="38"/>
      <c r="V1902" s="38"/>
      <c r="W1902" s="38"/>
      <c r="X1902" s="14"/>
      <c r="AN1902" s="7" t="s">
        <v>70</v>
      </c>
      <c r="AO1902" s="21">
        <f t="shared" si="96"/>
        <v>0</v>
      </c>
      <c r="AP1902" s="7">
        <f t="shared" si="95"/>
        <v>2.81</v>
      </c>
      <c r="AQ1902" s="31" t="str">
        <f t="shared" si="97"/>
        <v>Complete - No Adjustment</v>
      </c>
    </row>
    <row r="1903" spans="1:43" x14ac:dyDescent="0.2">
      <c r="A1903" s="46">
        <v>1893</v>
      </c>
      <c r="B1903" s="38" t="s">
        <v>266</v>
      </c>
      <c r="C1903" s="38" t="s">
        <v>408</v>
      </c>
      <c r="D1903" s="38" t="s">
        <v>407</v>
      </c>
      <c r="E1903" s="38" t="s">
        <v>4802</v>
      </c>
      <c r="F1903" s="38" t="s">
        <v>4304</v>
      </c>
      <c r="G1903" s="38" t="s">
        <v>111</v>
      </c>
      <c r="H1903" s="44">
        <v>43774</v>
      </c>
      <c r="I1903" s="44">
        <v>44088</v>
      </c>
      <c r="J1903">
        <v>1542.91</v>
      </c>
      <c r="K1903">
        <v>13.53</v>
      </c>
      <c r="L1903" t="s">
        <v>4803</v>
      </c>
      <c r="M1903" s="45" t="s">
        <v>98</v>
      </c>
      <c r="N1903" s="38" t="s">
        <v>230</v>
      </c>
      <c r="O1903" s="38" t="s">
        <v>342</v>
      </c>
      <c r="P1903" s="38" t="s">
        <v>60</v>
      </c>
      <c r="Q1903" s="38" t="s">
        <v>41</v>
      </c>
      <c r="R1903" s="38" t="s">
        <v>270</v>
      </c>
      <c r="S1903" s="38" t="s">
        <v>4804</v>
      </c>
      <c r="T1903" s="38" t="s">
        <v>4806</v>
      </c>
      <c r="U1903" s="38"/>
      <c r="V1903" s="38"/>
      <c r="W1903" s="38"/>
      <c r="X1903" s="14"/>
      <c r="AN1903" s="7" t="s">
        <v>70</v>
      </c>
      <c r="AO1903" s="21">
        <f t="shared" si="96"/>
        <v>0</v>
      </c>
      <c r="AP1903" s="7">
        <f t="shared" si="95"/>
        <v>13.53</v>
      </c>
      <c r="AQ1903" s="31" t="str">
        <f t="shared" si="97"/>
        <v>Complete - No Adjustment</v>
      </c>
    </row>
    <row r="1904" spans="1:43" x14ac:dyDescent="0.2">
      <c r="A1904" s="46">
        <v>1894</v>
      </c>
      <c r="B1904" s="38" t="s">
        <v>266</v>
      </c>
      <c r="C1904" s="38" t="s">
        <v>408</v>
      </c>
      <c r="D1904" s="38" t="s">
        <v>407</v>
      </c>
      <c r="E1904" s="38" t="s">
        <v>4802</v>
      </c>
      <c r="F1904" s="38" t="s">
        <v>4304</v>
      </c>
      <c r="G1904" s="38" t="s">
        <v>111</v>
      </c>
      <c r="H1904" s="44">
        <v>43774</v>
      </c>
      <c r="I1904" s="44">
        <v>44088</v>
      </c>
      <c r="J1904">
        <v>1542.91</v>
      </c>
      <c r="K1904">
        <v>109.92</v>
      </c>
      <c r="L1904" t="s">
        <v>4803</v>
      </c>
      <c r="M1904" s="45" t="s">
        <v>98</v>
      </c>
      <c r="N1904" s="38" t="s">
        <v>230</v>
      </c>
      <c r="O1904" s="38" t="s">
        <v>342</v>
      </c>
      <c r="P1904" s="38" t="s">
        <v>60</v>
      </c>
      <c r="Q1904" s="38" t="s">
        <v>44</v>
      </c>
      <c r="R1904" s="38" t="s">
        <v>270</v>
      </c>
      <c r="S1904" s="38" t="s">
        <v>4804</v>
      </c>
      <c r="T1904" s="38" t="s">
        <v>4810</v>
      </c>
      <c r="U1904" s="38"/>
      <c r="V1904" s="38"/>
      <c r="W1904" s="38"/>
      <c r="X1904" s="14"/>
      <c r="AN1904" s="7" t="s">
        <v>70</v>
      </c>
      <c r="AO1904" s="21">
        <f t="shared" si="96"/>
        <v>0</v>
      </c>
      <c r="AP1904" s="7">
        <f t="shared" si="95"/>
        <v>109.92</v>
      </c>
      <c r="AQ1904" s="31" t="str">
        <f t="shared" si="97"/>
        <v>Complete - No Adjustment</v>
      </c>
    </row>
    <row r="1905" spans="1:43" x14ac:dyDescent="0.2">
      <c r="A1905" s="46">
        <v>1895</v>
      </c>
      <c r="B1905" s="38" t="s">
        <v>266</v>
      </c>
      <c r="C1905" s="38" t="s">
        <v>408</v>
      </c>
      <c r="D1905" s="38" t="s">
        <v>407</v>
      </c>
      <c r="E1905" s="38" t="s">
        <v>4802</v>
      </c>
      <c r="F1905" s="38" t="s">
        <v>4304</v>
      </c>
      <c r="G1905" s="38" t="s">
        <v>111</v>
      </c>
      <c r="H1905" s="44">
        <v>43774</v>
      </c>
      <c r="I1905" s="44">
        <v>44088</v>
      </c>
      <c r="J1905">
        <v>1542.91</v>
      </c>
      <c r="K1905">
        <v>20.239999999999998</v>
      </c>
      <c r="L1905" t="s">
        <v>4803</v>
      </c>
      <c r="M1905" s="45" t="s">
        <v>98</v>
      </c>
      <c r="N1905" s="38" t="s">
        <v>230</v>
      </c>
      <c r="O1905" s="38" t="s">
        <v>342</v>
      </c>
      <c r="P1905" s="38" t="s">
        <v>60</v>
      </c>
      <c r="Q1905" s="38" t="s">
        <v>41</v>
      </c>
      <c r="R1905" s="38" t="s">
        <v>270</v>
      </c>
      <c r="S1905" s="38" t="s">
        <v>4804</v>
      </c>
      <c r="T1905" s="38" t="s">
        <v>4806</v>
      </c>
      <c r="U1905" s="38"/>
      <c r="V1905" s="38"/>
      <c r="W1905" s="38"/>
      <c r="X1905" s="14"/>
      <c r="AN1905" s="7" t="s">
        <v>70</v>
      </c>
      <c r="AO1905" s="21">
        <f t="shared" si="96"/>
        <v>0</v>
      </c>
      <c r="AP1905" s="7">
        <f t="shared" si="95"/>
        <v>20.239999999999998</v>
      </c>
      <c r="AQ1905" s="31" t="str">
        <f t="shared" si="97"/>
        <v>Complete - No Adjustment</v>
      </c>
    </row>
    <row r="1906" spans="1:43" x14ac:dyDescent="0.2">
      <c r="A1906" s="46">
        <v>1896</v>
      </c>
      <c r="B1906" s="38" t="s">
        <v>266</v>
      </c>
      <c r="C1906" s="38" t="s">
        <v>408</v>
      </c>
      <c r="D1906" s="38" t="s">
        <v>407</v>
      </c>
      <c r="E1906" s="38" t="s">
        <v>4811</v>
      </c>
      <c r="F1906" s="38" t="s">
        <v>4261</v>
      </c>
      <c r="G1906" s="38" t="s">
        <v>111</v>
      </c>
      <c r="H1906" s="44">
        <v>43893</v>
      </c>
      <c r="I1906" s="44">
        <v>44104</v>
      </c>
      <c r="J1906">
        <v>2104.8000000000002</v>
      </c>
      <c r="K1906">
        <v>25.07</v>
      </c>
      <c r="L1906" t="s">
        <v>4812</v>
      </c>
      <c r="M1906" s="45" t="s">
        <v>98</v>
      </c>
      <c r="N1906" s="38" t="s">
        <v>230</v>
      </c>
      <c r="O1906" s="38" t="s">
        <v>342</v>
      </c>
      <c r="P1906" s="38" t="s">
        <v>60</v>
      </c>
      <c r="Q1906" s="38" t="s">
        <v>41</v>
      </c>
      <c r="R1906" s="38" t="s">
        <v>270</v>
      </c>
      <c r="S1906" s="38" t="s">
        <v>4813</v>
      </c>
      <c r="T1906" s="38" t="s">
        <v>4814</v>
      </c>
      <c r="U1906" s="38"/>
      <c r="V1906" s="38"/>
      <c r="W1906" s="38"/>
      <c r="X1906" s="14"/>
      <c r="AN1906" s="7" t="s">
        <v>70</v>
      </c>
      <c r="AO1906" s="21">
        <f t="shared" si="96"/>
        <v>0</v>
      </c>
      <c r="AP1906" s="7">
        <f t="shared" si="95"/>
        <v>25.07</v>
      </c>
      <c r="AQ1906" s="31" t="str">
        <f t="shared" si="97"/>
        <v>Complete - No Adjustment</v>
      </c>
    </row>
    <row r="1907" spans="1:43" x14ac:dyDescent="0.2">
      <c r="A1907" s="46">
        <v>1897</v>
      </c>
      <c r="B1907" s="38" t="s">
        <v>266</v>
      </c>
      <c r="C1907" s="38" t="s">
        <v>408</v>
      </c>
      <c r="D1907" s="38" t="s">
        <v>407</v>
      </c>
      <c r="E1907" s="38" t="s">
        <v>4811</v>
      </c>
      <c r="F1907" s="38" t="s">
        <v>4261</v>
      </c>
      <c r="G1907" s="38" t="s">
        <v>111</v>
      </c>
      <c r="H1907" s="44">
        <v>43893</v>
      </c>
      <c r="I1907" s="44">
        <v>44104</v>
      </c>
      <c r="J1907">
        <v>2104.8000000000002</v>
      </c>
      <c r="K1907">
        <v>9.9499999999999993</v>
      </c>
      <c r="L1907" t="s">
        <v>4812</v>
      </c>
      <c r="M1907" s="45" t="s">
        <v>98</v>
      </c>
      <c r="N1907" s="38" t="s">
        <v>230</v>
      </c>
      <c r="O1907" s="38" t="s">
        <v>342</v>
      </c>
      <c r="P1907" s="38" t="s">
        <v>60</v>
      </c>
      <c r="Q1907" s="38" t="s">
        <v>41</v>
      </c>
      <c r="R1907" s="38" t="s">
        <v>270</v>
      </c>
      <c r="S1907" s="38" t="s">
        <v>4813</v>
      </c>
      <c r="T1907" s="38" t="s">
        <v>4814</v>
      </c>
      <c r="U1907" s="38"/>
      <c r="V1907" s="38"/>
      <c r="W1907" s="38"/>
      <c r="X1907" s="14"/>
      <c r="AN1907" s="7" t="s">
        <v>70</v>
      </c>
      <c r="AO1907" s="21">
        <f t="shared" si="96"/>
        <v>0</v>
      </c>
      <c r="AP1907" s="7">
        <f t="shared" si="95"/>
        <v>9.9499999999999993</v>
      </c>
      <c r="AQ1907" s="31" t="str">
        <f t="shared" si="97"/>
        <v>Complete - No Adjustment</v>
      </c>
    </row>
    <row r="1908" spans="1:43" x14ac:dyDescent="0.2">
      <c r="A1908" s="46">
        <v>1898</v>
      </c>
      <c r="B1908" s="38" t="s">
        <v>266</v>
      </c>
      <c r="C1908" s="38" t="s">
        <v>408</v>
      </c>
      <c r="D1908" s="38" t="s">
        <v>407</v>
      </c>
      <c r="E1908" s="38" t="s">
        <v>4811</v>
      </c>
      <c r="F1908" s="38" t="s">
        <v>4261</v>
      </c>
      <c r="G1908" s="38" t="s">
        <v>111</v>
      </c>
      <c r="H1908" s="44">
        <v>43893</v>
      </c>
      <c r="I1908" s="44">
        <v>44104</v>
      </c>
      <c r="J1908">
        <v>2104.8000000000002</v>
      </c>
      <c r="K1908">
        <v>60.6</v>
      </c>
      <c r="L1908" t="s">
        <v>4812</v>
      </c>
      <c r="M1908" s="45" t="s">
        <v>98</v>
      </c>
      <c r="N1908" s="38" t="s">
        <v>230</v>
      </c>
      <c r="O1908" s="38" t="s">
        <v>342</v>
      </c>
      <c r="P1908" s="38" t="s">
        <v>60</v>
      </c>
      <c r="Q1908" s="38" t="s">
        <v>41</v>
      </c>
      <c r="R1908" s="38" t="s">
        <v>270</v>
      </c>
      <c r="S1908" s="38" t="s">
        <v>4813</v>
      </c>
      <c r="T1908" s="38" t="s">
        <v>4814</v>
      </c>
      <c r="U1908" s="38"/>
      <c r="V1908" s="38"/>
      <c r="W1908" s="38"/>
      <c r="X1908" s="14"/>
      <c r="AL1908" s="14">
        <f>60.6</f>
        <v>60.6</v>
      </c>
      <c r="AN1908" s="7" t="s">
        <v>146</v>
      </c>
      <c r="AO1908" s="21">
        <f t="shared" si="96"/>
        <v>60.6</v>
      </c>
      <c r="AP1908" s="7">
        <f t="shared" si="95"/>
        <v>0</v>
      </c>
      <c r="AQ1908" s="31" t="str">
        <f t="shared" si="97"/>
        <v>Complete - With Adjustment</v>
      </c>
    </row>
    <row r="1909" spans="1:43" x14ac:dyDescent="0.2">
      <c r="A1909" s="46">
        <v>1899</v>
      </c>
      <c r="B1909" s="38" t="s">
        <v>266</v>
      </c>
      <c r="C1909" s="38" t="s">
        <v>408</v>
      </c>
      <c r="D1909" s="38" t="s">
        <v>407</v>
      </c>
      <c r="E1909" s="38" t="s">
        <v>4811</v>
      </c>
      <c r="F1909" s="38" t="s">
        <v>4261</v>
      </c>
      <c r="G1909" s="38" t="s">
        <v>111</v>
      </c>
      <c r="H1909" s="44">
        <v>43893</v>
      </c>
      <c r="I1909" s="44">
        <v>44104</v>
      </c>
      <c r="J1909">
        <v>2104.8000000000002</v>
      </c>
      <c r="K1909">
        <v>18.21</v>
      </c>
      <c r="L1909" t="s">
        <v>4812</v>
      </c>
      <c r="M1909" s="45" t="s">
        <v>98</v>
      </c>
      <c r="N1909" s="38" t="s">
        <v>230</v>
      </c>
      <c r="O1909" s="38" t="s">
        <v>342</v>
      </c>
      <c r="P1909" s="38" t="s">
        <v>60</v>
      </c>
      <c r="Q1909" s="38" t="s">
        <v>41</v>
      </c>
      <c r="R1909" s="38" t="s">
        <v>270</v>
      </c>
      <c r="S1909" s="38" t="s">
        <v>4813</v>
      </c>
      <c r="T1909" s="38" t="s">
        <v>4814</v>
      </c>
      <c r="U1909" s="38"/>
      <c r="V1909" s="38"/>
      <c r="W1909" s="38"/>
      <c r="X1909" s="14"/>
      <c r="AN1909" s="7" t="s">
        <v>70</v>
      </c>
      <c r="AO1909" s="21">
        <f t="shared" si="96"/>
        <v>0</v>
      </c>
      <c r="AP1909" s="7">
        <f t="shared" si="95"/>
        <v>18.21</v>
      </c>
      <c r="AQ1909" s="31" t="str">
        <f t="shared" si="97"/>
        <v>Complete - No Adjustment</v>
      </c>
    </row>
    <row r="1910" spans="1:43" x14ac:dyDescent="0.2">
      <c r="A1910" s="46">
        <v>1900</v>
      </c>
      <c r="B1910" s="38" t="s">
        <v>266</v>
      </c>
      <c r="C1910" s="38" t="s">
        <v>408</v>
      </c>
      <c r="D1910" s="38" t="s">
        <v>407</v>
      </c>
      <c r="E1910" s="38" t="s">
        <v>4811</v>
      </c>
      <c r="F1910" s="38" t="s">
        <v>4261</v>
      </c>
      <c r="G1910" s="38" t="s">
        <v>111</v>
      </c>
      <c r="H1910" s="44">
        <v>43893</v>
      </c>
      <c r="I1910" s="44">
        <v>44104</v>
      </c>
      <c r="J1910">
        <v>2104.8000000000002</v>
      </c>
      <c r="K1910">
        <v>446.76</v>
      </c>
      <c r="L1910" t="s">
        <v>4812</v>
      </c>
      <c r="M1910" s="45" t="s">
        <v>98</v>
      </c>
      <c r="N1910" s="38" t="s">
        <v>230</v>
      </c>
      <c r="O1910" s="38" t="s">
        <v>342</v>
      </c>
      <c r="P1910" s="38" t="s">
        <v>60</v>
      </c>
      <c r="Q1910" s="38" t="s">
        <v>44</v>
      </c>
      <c r="R1910" s="38" t="s">
        <v>270</v>
      </c>
      <c r="S1910" s="38" t="s">
        <v>4813</v>
      </c>
      <c r="T1910" s="38" t="s">
        <v>4815</v>
      </c>
      <c r="U1910" s="38"/>
      <c r="V1910" s="38"/>
      <c r="W1910" s="38"/>
      <c r="X1910" s="14"/>
      <c r="AD1910" s="14">
        <f>36.96</f>
        <v>36.96</v>
      </c>
      <c r="AN1910" s="7" t="s">
        <v>147</v>
      </c>
      <c r="AO1910" s="21">
        <f t="shared" si="96"/>
        <v>36.96</v>
      </c>
      <c r="AP1910" s="7">
        <f t="shared" si="95"/>
        <v>409.8</v>
      </c>
      <c r="AQ1910" s="31" t="str">
        <f t="shared" si="97"/>
        <v>Complete - With Adjustment</v>
      </c>
    </row>
    <row r="1911" spans="1:43" x14ac:dyDescent="0.2">
      <c r="A1911" s="46">
        <v>1901</v>
      </c>
      <c r="B1911" s="38" t="s">
        <v>266</v>
      </c>
      <c r="C1911" s="38" t="s">
        <v>408</v>
      </c>
      <c r="D1911" s="38" t="s">
        <v>407</v>
      </c>
      <c r="E1911" s="38" t="s">
        <v>4811</v>
      </c>
      <c r="F1911" s="38" t="s">
        <v>4261</v>
      </c>
      <c r="G1911" s="38" t="s">
        <v>111</v>
      </c>
      <c r="H1911" s="44">
        <v>43893</v>
      </c>
      <c r="I1911" s="44">
        <v>44104</v>
      </c>
      <c r="J1911">
        <v>2104.8000000000002</v>
      </c>
      <c r="K1911">
        <v>8</v>
      </c>
      <c r="L1911" t="s">
        <v>4812</v>
      </c>
      <c r="M1911" s="45" t="s">
        <v>98</v>
      </c>
      <c r="N1911" s="38" t="s">
        <v>230</v>
      </c>
      <c r="O1911" s="38" t="s">
        <v>342</v>
      </c>
      <c r="P1911" s="38" t="s">
        <v>60</v>
      </c>
      <c r="Q1911" s="38" t="s">
        <v>41</v>
      </c>
      <c r="R1911" s="38" t="s">
        <v>270</v>
      </c>
      <c r="S1911" s="38" t="s">
        <v>4813</v>
      </c>
      <c r="T1911" s="38" t="s">
        <v>4814</v>
      </c>
      <c r="U1911" s="38"/>
      <c r="V1911" s="38"/>
      <c r="W1911" s="38"/>
      <c r="X1911" s="14"/>
      <c r="AN1911" s="7" t="s">
        <v>70</v>
      </c>
      <c r="AO1911" s="21">
        <f t="shared" si="96"/>
        <v>0</v>
      </c>
      <c r="AP1911" s="7">
        <f t="shared" si="95"/>
        <v>8</v>
      </c>
      <c r="AQ1911" s="31" t="str">
        <f t="shared" si="97"/>
        <v>Complete - No Adjustment</v>
      </c>
    </row>
    <row r="1912" spans="1:43" x14ac:dyDescent="0.2">
      <c r="A1912" s="46">
        <v>1902</v>
      </c>
      <c r="B1912" s="38" t="s">
        <v>266</v>
      </c>
      <c r="C1912" s="38" t="s">
        <v>408</v>
      </c>
      <c r="D1912" s="38" t="s">
        <v>407</v>
      </c>
      <c r="E1912" s="38" t="s">
        <v>4811</v>
      </c>
      <c r="F1912" s="38" t="s">
        <v>4261</v>
      </c>
      <c r="G1912" s="38" t="s">
        <v>111</v>
      </c>
      <c r="H1912" s="44">
        <v>43893</v>
      </c>
      <c r="I1912" s="44">
        <v>44104</v>
      </c>
      <c r="J1912">
        <v>2104.8000000000002</v>
      </c>
      <c r="K1912">
        <v>5.5</v>
      </c>
      <c r="L1912" t="s">
        <v>4812</v>
      </c>
      <c r="M1912" s="45" t="s">
        <v>98</v>
      </c>
      <c r="N1912" s="38" t="s">
        <v>230</v>
      </c>
      <c r="O1912" s="38" t="s">
        <v>342</v>
      </c>
      <c r="P1912" s="38" t="s">
        <v>60</v>
      </c>
      <c r="Q1912" s="38" t="s">
        <v>41</v>
      </c>
      <c r="R1912" s="38" t="s">
        <v>270</v>
      </c>
      <c r="S1912" s="38" t="s">
        <v>4813</v>
      </c>
      <c r="T1912" s="38" t="s">
        <v>4814</v>
      </c>
      <c r="U1912" s="38"/>
      <c r="V1912" s="38"/>
      <c r="W1912" s="38"/>
      <c r="X1912" s="14"/>
      <c r="AN1912" s="7" t="s">
        <v>70</v>
      </c>
      <c r="AO1912" s="21">
        <f t="shared" si="96"/>
        <v>0</v>
      </c>
      <c r="AP1912" s="7">
        <f t="shared" si="95"/>
        <v>5.5</v>
      </c>
      <c r="AQ1912" s="31" t="str">
        <f t="shared" si="97"/>
        <v>Complete - No Adjustment</v>
      </c>
    </row>
    <row r="1913" spans="1:43" x14ac:dyDescent="0.2">
      <c r="A1913" s="46">
        <v>1903</v>
      </c>
      <c r="B1913" s="38" t="s">
        <v>266</v>
      </c>
      <c r="C1913" s="38" t="s">
        <v>408</v>
      </c>
      <c r="D1913" s="38" t="s">
        <v>407</v>
      </c>
      <c r="E1913" s="38" t="s">
        <v>4811</v>
      </c>
      <c r="F1913" s="38" t="s">
        <v>4261</v>
      </c>
      <c r="G1913" s="38" t="s">
        <v>111</v>
      </c>
      <c r="H1913" s="44">
        <v>43893</v>
      </c>
      <c r="I1913" s="44">
        <v>44104</v>
      </c>
      <c r="J1913">
        <v>2104.8000000000002</v>
      </c>
      <c r="K1913">
        <v>11.11</v>
      </c>
      <c r="L1913" t="s">
        <v>4812</v>
      </c>
      <c r="M1913" s="45" t="s">
        <v>98</v>
      </c>
      <c r="N1913" s="38" t="s">
        <v>230</v>
      </c>
      <c r="O1913" s="38" t="s">
        <v>342</v>
      </c>
      <c r="P1913" s="38" t="s">
        <v>60</v>
      </c>
      <c r="Q1913" s="38" t="s">
        <v>41</v>
      </c>
      <c r="R1913" s="38" t="s">
        <v>270</v>
      </c>
      <c r="S1913" s="38" t="s">
        <v>4813</v>
      </c>
      <c r="T1913" s="38" t="s">
        <v>4814</v>
      </c>
      <c r="U1913" s="38"/>
      <c r="V1913" s="38"/>
      <c r="W1913" s="38"/>
      <c r="X1913" s="14"/>
      <c r="AN1913" s="7" t="s">
        <v>70</v>
      </c>
      <c r="AO1913" s="21">
        <f t="shared" si="96"/>
        <v>0</v>
      </c>
      <c r="AP1913" s="7">
        <f t="shared" si="95"/>
        <v>11.11</v>
      </c>
      <c r="AQ1913" s="31" t="str">
        <f t="shared" si="97"/>
        <v>Complete - No Adjustment</v>
      </c>
    </row>
    <row r="1914" spans="1:43" x14ac:dyDescent="0.2">
      <c r="A1914" s="46">
        <v>1904</v>
      </c>
      <c r="B1914" s="38" t="s">
        <v>266</v>
      </c>
      <c r="C1914" s="38" t="s">
        <v>408</v>
      </c>
      <c r="D1914" s="38" t="s">
        <v>407</v>
      </c>
      <c r="E1914" s="38" t="s">
        <v>4811</v>
      </c>
      <c r="F1914" s="38" t="s">
        <v>4261</v>
      </c>
      <c r="G1914" s="38" t="s">
        <v>111</v>
      </c>
      <c r="H1914" s="44">
        <v>43893</v>
      </c>
      <c r="I1914" s="44">
        <v>44104</v>
      </c>
      <c r="J1914">
        <v>2104.8000000000002</v>
      </c>
      <c r="K1914">
        <v>6.63</v>
      </c>
      <c r="L1914" t="s">
        <v>4812</v>
      </c>
      <c r="M1914" s="45" t="s">
        <v>98</v>
      </c>
      <c r="N1914" s="38" t="s">
        <v>230</v>
      </c>
      <c r="O1914" s="38" t="s">
        <v>342</v>
      </c>
      <c r="P1914" s="38" t="s">
        <v>60</v>
      </c>
      <c r="Q1914" s="38" t="s">
        <v>41</v>
      </c>
      <c r="R1914" s="38" t="s">
        <v>270</v>
      </c>
      <c r="S1914" s="38" t="s">
        <v>4813</v>
      </c>
      <c r="T1914" s="38" t="s">
        <v>4814</v>
      </c>
      <c r="U1914" s="38"/>
      <c r="V1914" s="38"/>
      <c r="W1914" s="38"/>
      <c r="X1914" s="14"/>
      <c r="AN1914" s="7" t="s">
        <v>70</v>
      </c>
      <c r="AO1914" s="21">
        <f t="shared" si="96"/>
        <v>0</v>
      </c>
      <c r="AP1914" s="7">
        <f t="shared" si="95"/>
        <v>6.63</v>
      </c>
      <c r="AQ1914" s="31" t="str">
        <f t="shared" si="97"/>
        <v>Complete - No Adjustment</v>
      </c>
    </row>
    <row r="1915" spans="1:43" x14ac:dyDescent="0.2">
      <c r="A1915" s="46">
        <v>1905</v>
      </c>
      <c r="B1915" s="38" t="s">
        <v>266</v>
      </c>
      <c r="C1915" s="38" t="s">
        <v>408</v>
      </c>
      <c r="D1915" s="38" t="s">
        <v>407</v>
      </c>
      <c r="E1915" s="38" t="s">
        <v>4811</v>
      </c>
      <c r="F1915" s="38" t="s">
        <v>4261</v>
      </c>
      <c r="G1915" s="38" t="s">
        <v>111</v>
      </c>
      <c r="H1915" s="44">
        <v>43893</v>
      </c>
      <c r="I1915" s="44">
        <v>44104</v>
      </c>
      <c r="J1915">
        <v>2104.8000000000002</v>
      </c>
      <c r="K1915">
        <v>32</v>
      </c>
      <c r="L1915" t="s">
        <v>4812</v>
      </c>
      <c r="M1915" s="45" t="s">
        <v>98</v>
      </c>
      <c r="N1915" s="38" t="s">
        <v>230</v>
      </c>
      <c r="O1915" s="38" t="s">
        <v>342</v>
      </c>
      <c r="P1915" s="38" t="s">
        <v>60</v>
      </c>
      <c r="Q1915" s="38" t="s">
        <v>41</v>
      </c>
      <c r="R1915" s="38" t="s">
        <v>270</v>
      </c>
      <c r="S1915" s="38" t="s">
        <v>4813</v>
      </c>
      <c r="T1915" s="38" t="s">
        <v>4814</v>
      </c>
      <c r="U1915" s="38"/>
      <c r="V1915" s="38"/>
      <c r="W1915" s="38"/>
      <c r="X1915" s="14"/>
      <c r="AN1915" s="7" t="s">
        <v>70</v>
      </c>
      <c r="AO1915" s="21">
        <f t="shared" si="96"/>
        <v>0</v>
      </c>
      <c r="AP1915" s="7">
        <f t="shared" si="95"/>
        <v>32</v>
      </c>
      <c r="AQ1915" s="31" t="str">
        <f t="shared" si="97"/>
        <v>Complete - No Adjustment</v>
      </c>
    </row>
    <row r="1916" spans="1:43" x14ac:dyDescent="0.2">
      <c r="A1916" s="46">
        <v>1906</v>
      </c>
      <c r="B1916" s="38" t="s">
        <v>266</v>
      </c>
      <c r="C1916" s="38" t="s">
        <v>408</v>
      </c>
      <c r="D1916" s="38" t="s">
        <v>407</v>
      </c>
      <c r="E1916" s="38" t="s">
        <v>4811</v>
      </c>
      <c r="F1916" s="38" t="s">
        <v>4261</v>
      </c>
      <c r="G1916" s="38" t="s">
        <v>111</v>
      </c>
      <c r="H1916" s="44">
        <v>43893</v>
      </c>
      <c r="I1916" s="44">
        <v>44104</v>
      </c>
      <c r="J1916">
        <v>2104.8000000000002</v>
      </c>
      <c r="K1916">
        <v>1273.17</v>
      </c>
      <c r="L1916" t="s">
        <v>4812</v>
      </c>
      <c r="M1916" s="45" t="s">
        <v>98</v>
      </c>
      <c r="N1916" s="38" t="s">
        <v>230</v>
      </c>
      <c r="O1916" s="38" t="s">
        <v>342</v>
      </c>
      <c r="P1916" s="38" t="s">
        <v>60</v>
      </c>
      <c r="Q1916" s="38" t="s">
        <v>45</v>
      </c>
      <c r="R1916" s="38" t="s">
        <v>270</v>
      </c>
      <c r="S1916" s="38" t="s">
        <v>4813</v>
      </c>
      <c r="T1916" s="38" t="s">
        <v>4816</v>
      </c>
      <c r="U1916" s="38"/>
      <c r="V1916" s="38"/>
      <c r="W1916" s="38"/>
      <c r="X1916" s="14"/>
      <c r="AL1916" s="14">
        <f>1273.17</f>
        <v>1273.17</v>
      </c>
      <c r="AN1916" s="7" t="s">
        <v>146</v>
      </c>
      <c r="AO1916" s="21">
        <f t="shared" si="96"/>
        <v>1273.17</v>
      </c>
      <c r="AP1916" s="7">
        <f t="shared" si="95"/>
        <v>0</v>
      </c>
      <c r="AQ1916" s="31" t="str">
        <f t="shared" si="97"/>
        <v>Complete - With Adjustment</v>
      </c>
    </row>
    <row r="1917" spans="1:43" x14ac:dyDescent="0.2">
      <c r="A1917" s="46">
        <v>1907</v>
      </c>
      <c r="B1917" s="38" t="s">
        <v>266</v>
      </c>
      <c r="C1917" s="38" t="s">
        <v>408</v>
      </c>
      <c r="D1917" s="38" t="s">
        <v>407</v>
      </c>
      <c r="E1917" s="38" t="s">
        <v>4811</v>
      </c>
      <c r="F1917" s="38" t="s">
        <v>4261</v>
      </c>
      <c r="G1917" s="38" t="s">
        <v>111</v>
      </c>
      <c r="H1917" s="44">
        <v>43893</v>
      </c>
      <c r="I1917" s="44">
        <v>44104</v>
      </c>
      <c r="J1917">
        <v>2104.8000000000002</v>
      </c>
      <c r="K1917">
        <v>22.99</v>
      </c>
      <c r="L1917" t="s">
        <v>4812</v>
      </c>
      <c r="M1917" s="45" t="s">
        <v>98</v>
      </c>
      <c r="N1917" s="38" t="s">
        <v>230</v>
      </c>
      <c r="O1917" s="38" t="s">
        <v>342</v>
      </c>
      <c r="P1917" s="38" t="s">
        <v>60</v>
      </c>
      <c r="Q1917" s="38" t="s">
        <v>44</v>
      </c>
      <c r="R1917" s="38" t="s">
        <v>270</v>
      </c>
      <c r="S1917" s="38" t="s">
        <v>4813</v>
      </c>
      <c r="T1917" s="38" t="s">
        <v>4817</v>
      </c>
      <c r="U1917" s="38"/>
      <c r="V1917" s="38"/>
      <c r="W1917" s="38"/>
      <c r="X1917" s="14"/>
      <c r="AN1917" s="7" t="s">
        <v>70</v>
      </c>
      <c r="AO1917" s="21">
        <f t="shared" si="96"/>
        <v>0</v>
      </c>
      <c r="AP1917" s="7">
        <f t="shared" si="95"/>
        <v>22.99</v>
      </c>
      <c r="AQ1917" s="31" t="str">
        <f t="shared" si="97"/>
        <v>Complete - No Adjustment</v>
      </c>
    </row>
    <row r="1918" spans="1:43" x14ac:dyDescent="0.2">
      <c r="A1918" s="46">
        <v>1908</v>
      </c>
      <c r="B1918" s="38" t="s">
        <v>266</v>
      </c>
      <c r="C1918" s="38" t="s">
        <v>408</v>
      </c>
      <c r="D1918" s="38" t="s">
        <v>407</v>
      </c>
      <c r="E1918" s="38" t="s">
        <v>4811</v>
      </c>
      <c r="F1918" s="38" t="s">
        <v>4261</v>
      </c>
      <c r="G1918" s="38" t="s">
        <v>111</v>
      </c>
      <c r="H1918" s="44">
        <v>43893</v>
      </c>
      <c r="I1918" s="44">
        <v>44104</v>
      </c>
      <c r="J1918">
        <v>2104.8000000000002</v>
      </c>
      <c r="K1918">
        <v>27.5</v>
      </c>
      <c r="L1918" t="s">
        <v>4812</v>
      </c>
      <c r="M1918" s="45" t="s">
        <v>98</v>
      </c>
      <c r="N1918" s="38" t="s">
        <v>230</v>
      </c>
      <c r="O1918" s="38" t="s">
        <v>342</v>
      </c>
      <c r="P1918" s="38" t="s">
        <v>60</v>
      </c>
      <c r="Q1918" s="38" t="s">
        <v>44</v>
      </c>
      <c r="R1918" s="38" t="s">
        <v>270</v>
      </c>
      <c r="S1918" s="38" t="s">
        <v>4813</v>
      </c>
      <c r="T1918" s="38" t="s">
        <v>4817</v>
      </c>
      <c r="U1918" s="38"/>
      <c r="V1918" s="38"/>
      <c r="W1918" s="38"/>
      <c r="X1918" s="14"/>
      <c r="AL1918" s="14">
        <f>27.5</f>
        <v>27.5</v>
      </c>
      <c r="AN1918" s="7" t="s">
        <v>146</v>
      </c>
      <c r="AO1918" s="21">
        <f t="shared" si="96"/>
        <v>27.5</v>
      </c>
      <c r="AP1918" s="7">
        <f t="shared" si="95"/>
        <v>0</v>
      </c>
      <c r="AQ1918" s="31" t="str">
        <f t="shared" si="97"/>
        <v>Complete - With Adjustment</v>
      </c>
    </row>
    <row r="1919" spans="1:43" x14ac:dyDescent="0.2">
      <c r="A1919" s="46">
        <v>1909</v>
      </c>
      <c r="B1919" s="38" t="s">
        <v>266</v>
      </c>
      <c r="C1919" s="38" t="s">
        <v>408</v>
      </c>
      <c r="D1919" s="38" t="s">
        <v>407</v>
      </c>
      <c r="E1919" s="38" t="s">
        <v>4811</v>
      </c>
      <c r="F1919" s="38" t="s">
        <v>4261</v>
      </c>
      <c r="G1919" s="38" t="s">
        <v>111</v>
      </c>
      <c r="H1919" s="44">
        <v>43893</v>
      </c>
      <c r="I1919" s="44">
        <v>44104</v>
      </c>
      <c r="J1919">
        <v>2104.8000000000002</v>
      </c>
      <c r="K1919">
        <v>25.6</v>
      </c>
      <c r="L1919" t="s">
        <v>4812</v>
      </c>
      <c r="M1919" s="45" t="s">
        <v>98</v>
      </c>
      <c r="N1919" s="38" t="s">
        <v>230</v>
      </c>
      <c r="O1919" s="38" t="s">
        <v>342</v>
      </c>
      <c r="P1919" s="38" t="s">
        <v>60</v>
      </c>
      <c r="Q1919" s="38" t="s">
        <v>41</v>
      </c>
      <c r="R1919" s="38" t="s">
        <v>270</v>
      </c>
      <c r="S1919" s="38" t="s">
        <v>4813</v>
      </c>
      <c r="T1919" s="38" t="s">
        <v>4814</v>
      </c>
      <c r="U1919" s="38"/>
      <c r="V1919" s="38"/>
      <c r="W1919" s="38"/>
      <c r="X1919" s="14"/>
      <c r="AN1919" s="7" t="s">
        <v>70</v>
      </c>
      <c r="AO1919" s="21">
        <f t="shared" si="96"/>
        <v>0</v>
      </c>
      <c r="AP1919" s="7">
        <f t="shared" si="95"/>
        <v>25.6</v>
      </c>
      <c r="AQ1919" s="31" t="str">
        <f t="shared" si="97"/>
        <v>Complete - No Adjustment</v>
      </c>
    </row>
    <row r="1920" spans="1:43" x14ac:dyDescent="0.2">
      <c r="A1920" s="46">
        <v>1910</v>
      </c>
      <c r="B1920" s="38" t="s">
        <v>266</v>
      </c>
      <c r="C1920" s="38" t="s">
        <v>408</v>
      </c>
      <c r="D1920" s="38" t="s">
        <v>407</v>
      </c>
      <c r="E1920" s="38" t="s">
        <v>4811</v>
      </c>
      <c r="F1920" s="38" t="s">
        <v>4261</v>
      </c>
      <c r="G1920" s="38" t="s">
        <v>111</v>
      </c>
      <c r="H1920" s="44">
        <v>43893</v>
      </c>
      <c r="I1920" s="44">
        <v>44104</v>
      </c>
      <c r="J1920">
        <v>2104.8000000000002</v>
      </c>
      <c r="K1920">
        <v>14</v>
      </c>
      <c r="L1920" t="s">
        <v>4812</v>
      </c>
      <c r="M1920" s="45" t="s">
        <v>98</v>
      </c>
      <c r="N1920" s="38" t="s">
        <v>230</v>
      </c>
      <c r="O1920" s="38" t="s">
        <v>342</v>
      </c>
      <c r="P1920" s="38" t="s">
        <v>60</v>
      </c>
      <c r="Q1920" s="38" t="s">
        <v>41</v>
      </c>
      <c r="R1920" s="38" t="s">
        <v>270</v>
      </c>
      <c r="S1920" s="38" t="s">
        <v>4813</v>
      </c>
      <c r="T1920" s="38" t="s">
        <v>4814</v>
      </c>
      <c r="U1920" s="38"/>
      <c r="V1920" s="38"/>
      <c r="W1920" s="38"/>
      <c r="X1920" s="14"/>
      <c r="Y1920" s="53">
        <f>14</f>
        <v>14</v>
      </c>
      <c r="AN1920" s="7" t="s">
        <v>8</v>
      </c>
      <c r="AO1920" s="21">
        <f t="shared" si="96"/>
        <v>14</v>
      </c>
      <c r="AP1920" s="7">
        <f t="shared" si="95"/>
        <v>0</v>
      </c>
      <c r="AQ1920" s="31" t="str">
        <f t="shared" si="97"/>
        <v>Complete - With Adjustment</v>
      </c>
    </row>
    <row r="1921" spans="1:43" x14ac:dyDescent="0.2">
      <c r="A1921" s="46">
        <v>1911</v>
      </c>
      <c r="B1921" s="38" t="s">
        <v>266</v>
      </c>
      <c r="C1921" s="38" t="s">
        <v>408</v>
      </c>
      <c r="D1921" s="38" t="s">
        <v>407</v>
      </c>
      <c r="E1921" s="38" t="s">
        <v>4811</v>
      </c>
      <c r="F1921" s="38" t="s">
        <v>4261</v>
      </c>
      <c r="G1921" s="38" t="s">
        <v>111</v>
      </c>
      <c r="H1921" s="44">
        <v>43893</v>
      </c>
      <c r="I1921" s="44">
        <v>44104</v>
      </c>
      <c r="J1921">
        <v>2104.8000000000002</v>
      </c>
      <c r="K1921">
        <v>35.36</v>
      </c>
      <c r="L1921" t="s">
        <v>4812</v>
      </c>
      <c r="M1921" s="45" t="s">
        <v>98</v>
      </c>
      <c r="N1921" s="38" t="s">
        <v>230</v>
      </c>
      <c r="O1921" s="38" t="s">
        <v>342</v>
      </c>
      <c r="P1921" s="38" t="s">
        <v>60</v>
      </c>
      <c r="Q1921" s="38" t="s">
        <v>41</v>
      </c>
      <c r="R1921" s="38" t="s">
        <v>270</v>
      </c>
      <c r="S1921" s="38" t="s">
        <v>4813</v>
      </c>
      <c r="T1921" s="38" t="s">
        <v>4814</v>
      </c>
      <c r="U1921" s="38"/>
      <c r="V1921" s="38"/>
      <c r="W1921" s="38"/>
      <c r="X1921" s="14"/>
      <c r="AN1921" s="7" t="s">
        <v>70</v>
      </c>
      <c r="AO1921" s="21">
        <f t="shared" si="96"/>
        <v>0</v>
      </c>
      <c r="AP1921" s="7">
        <f t="shared" si="95"/>
        <v>35.36</v>
      </c>
      <c r="AQ1921" s="31" t="str">
        <f t="shared" si="97"/>
        <v>Complete - No Adjustment</v>
      </c>
    </row>
    <row r="1922" spans="1:43" x14ac:dyDescent="0.2">
      <c r="A1922" s="46">
        <v>1912</v>
      </c>
      <c r="B1922" s="38" t="s">
        <v>266</v>
      </c>
      <c r="C1922" s="38" t="s">
        <v>408</v>
      </c>
      <c r="D1922" s="38" t="s">
        <v>407</v>
      </c>
      <c r="E1922" s="38" t="s">
        <v>4811</v>
      </c>
      <c r="F1922" s="38" t="s">
        <v>4261</v>
      </c>
      <c r="G1922" s="38" t="s">
        <v>111</v>
      </c>
      <c r="H1922" s="44">
        <v>43893</v>
      </c>
      <c r="I1922" s="44">
        <v>44104</v>
      </c>
      <c r="J1922">
        <v>2104.8000000000002</v>
      </c>
      <c r="K1922">
        <v>28</v>
      </c>
      <c r="L1922" t="s">
        <v>4812</v>
      </c>
      <c r="M1922" s="45" t="s">
        <v>97</v>
      </c>
      <c r="N1922" s="38" t="s">
        <v>230</v>
      </c>
      <c r="O1922" s="38" t="s">
        <v>342</v>
      </c>
      <c r="P1922" s="38" t="s">
        <v>42</v>
      </c>
      <c r="Q1922" s="38" t="s">
        <v>41</v>
      </c>
      <c r="R1922" s="38" t="s">
        <v>270</v>
      </c>
      <c r="S1922" s="38" t="s">
        <v>4813</v>
      </c>
      <c r="T1922" s="38" t="s">
        <v>4818</v>
      </c>
      <c r="U1922" s="38"/>
      <c r="V1922" s="38"/>
      <c r="W1922" s="38"/>
      <c r="X1922" s="14"/>
      <c r="Y1922" s="53">
        <f>28</f>
        <v>28</v>
      </c>
      <c r="AN1922" s="7" t="s">
        <v>8</v>
      </c>
      <c r="AO1922" s="21">
        <f t="shared" si="96"/>
        <v>28</v>
      </c>
      <c r="AP1922" s="7">
        <f t="shared" si="95"/>
        <v>0</v>
      </c>
      <c r="AQ1922" s="31" t="str">
        <f t="shared" si="97"/>
        <v>Complete - With Adjustment</v>
      </c>
    </row>
    <row r="1923" spans="1:43" x14ac:dyDescent="0.2">
      <c r="A1923" s="46">
        <v>1913</v>
      </c>
      <c r="B1923" s="38" t="s">
        <v>266</v>
      </c>
      <c r="C1923" s="38" t="s">
        <v>408</v>
      </c>
      <c r="D1923" s="38" t="s">
        <v>407</v>
      </c>
      <c r="E1923" s="38" t="s">
        <v>4811</v>
      </c>
      <c r="F1923" s="38" t="s">
        <v>4261</v>
      </c>
      <c r="G1923" s="38" t="s">
        <v>111</v>
      </c>
      <c r="H1923" s="44">
        <v>43893</v>
      </c>
      <c r="I1923" s="44">
        <v>44104</v>
      </c>
      <c r="J1923">
        <v>2104.8000000000002</v>
      </c>
      <c r="K1923">
        <v>12.13</v>
      </c>
      <c r="L1923" t="s">
        <v>4812</v>
      </c>
      <c r="M1923" s="45" t="s">
        <v>98</v>
      </c>
      <c r="N1923" s="38" t="s">
        <v>230</v>
      </c>
      <c r="O1923" s="38" t="s">
        <v>342</v>
      </c>
      <c r="P1923" s="38" t="s">
        <v>60</v>
      </c>
      <c r="Q1923" s="38" t="s">
        <v>41</v>
      </c>
      <c r="R1923" s="38" t="s">
        <v>270</v>
      </c>
      <c r="S1923" s="38" t="s">
        <v>4813</v>
      </c>
      <c r="T1923" s="38" t="s">
        <v>4814</v>
      </c>
      <c r="U1923" s="38"/>
      <c r="V1923" s="38"/>
      <c r="W1923" s="38"/>
      <c r="X1923" s="14"/>
      <c r="AN1923" s="7" t="s">
        <v>70</v>
      </c>
      <c r="AO1923" s="21">
        <f t="shared" si="96"/>
        <v>0</v>
      </c>
      <c r="AP1923" s="7">
        <f t="shared" si="95"/>
        <v>12.13</v>
      </c>
      <c r="AQ1923" s="31" t="str">
        <f t="shared" si="97"/>
        <v>Complete - No Adjustment</v>
      </c>
    </row>
    <row r="1924" spans="1:43" x14ac:dyDescent="0.2">
      <c r="A1924" s="46">
        <v>1914</v>
      </c>
      <c r="B1924" s="38" t="s">
        <v>266</v>
      </c>
      <c r="C1924" s="38" t="s">
        <v>408</v>
      </c>
      <c r="D1924" s="38" t="s">
        <v>407</v>
      </c>
      <c r="E1924" s="38" t="s">
        <v>4811</v>
      </c>
      <c r="F1924" s="38" t="s">
        <v>4261</v>
      </c>
      <c r="G1924" s="38" t="s">
        <v>111</v>
      </c>
      <c r="H1924" s="44">
        <v>43893</v>
      </c>
      <c r="I1924" s="44">
        <v>44104</v>
      </c>
      <c r="J1924">
        <v>2104.8000000000002</v>
      </c>
      <c r="K1924">
        <v>10.94</v>
      </c>
      <c r="L1924" t="s">
        <v>4812</v>
      </c>
      <c r="M1924" s="45" t="s">
        <v>98</v>
      </c>
      <c r="N1924" s="38" t="s">
        <v>230</v>
      </c>
      <c r="O1924" s="38" t="s">
        <v>342</v>
      </c>
      <c r="P1924" s="38" t="s">
        <v>60</v>
      </c>
      <c r="Q1924" s="38" t="s">
        <v>41</v>
      </c>
      <c r="R1924" s="38" t="s">
        <v>270</v>
      </c>
      <c r="S1924" s="38" t="s">
        <v>4813</v>
      </c>
      <c r="T1924" s="38" t="s">
        <v>4814</v>
      </c>
      <c r="U1924" s="38"/>
      <c r="V1924" s="38"/>
      <c r="W1924" s="38"/>
      <c r="X1924" s="14"/>
      <c r="AN1924" s="7" t="s">
        <v>70</v>
      </c>
      <c r="AO1924" s="21">
        <f t="shared" si="96"/>
        <v>0</v>
      </c>
      <c r="AP1924" s="7">
        <f t="shared" si="95"/>
        <v>10.94</v>
      </c>
      <c r="AQ1924" s="31" t="str">
        <f t="shared" si="97"/>
        <v>Complete - No Adjustment</v>
      </c>
    </row>
    <row r="1925" spans="1:43" x14ac:dyDescent="0.2">
      <c r="A1925" s="46">
        <v>1915</v>
      </c>
      <c r="B1925" s="38" t="s">
        <v>266</v>
      </c>
      <c r="C1925" s="38" t="s">
        <v>408</v>
      </c>
      <c r="D1925" s="38" t="s">
        <v>407</v>
      </c>
      <c r="E1925" s="38" t="s">
        <v>4811</v>
      </c>
      <c r="F1925" s="38" t="s">
        <v>4261</v>
      </c>
      <c r="G1925" s="38" t="s">
        <v>111</v>
      </c>
      <c r="H1925" s="44">
        <v>43893</v>
      </c>
      <c r="I1925" s="44">
        <v>44104</v>
      </c>
      <c r="J1925">
        <v>2104.8000000000002</v>
      </c>
      <c r="K1925">
        <v>10.28</v>
      </c>
      <c r="L1925" t="s">
        <v>4812</v>
      </c>
      <c r="M1925" s="45" t="s">
        <v>98</v>
      </c>
      <c r="N1925" s="38" t="s">
        <v>230</v>
      </c>
      <c r="O1925" s="38" t="s">
        <v>342</v>
      </c>
      <c r="P1925" s="38" t="s">
        <v>60</v>
      </c>
      <c r="Q1925" s="38" t="s">
        <v>41</v>
      </c>
      <c r="R1925" s="38" t="s">
        <v>270</v>
      </c>
      <c r="S1925" s="38" t="s">
        <v>4813</v>
      </c>
      <c r="T1925" s="38" t="s">
        <v>4819</v>
      </c>
      <c r="U1925" s="38"/>
      <c r="V1925" s="38"/>
      <c r="W1925" s="38"/>
      <c r="X1925" s="14"/>
      <c r="AN1925" s="7" t="s">
        <v>70</v>
      </c>
      <c r="AO1925" s="21">
        <f t="shared" si="96"/>
        <v>0</v>
      </c>
      <c r="AP1925" s="7">
        <f t="shared" si="95"/>
        <v>10.28</v>
      </c>
      <c r="AQ1925" s="31" t="str">
        <f t="shared" si="97"/>
        <v>Complete - No Adjustment</v>
      </c>
    </row>
    <row r="1926" spans="1:43" x14ac:dyDescent="0.2">
      <c r="A1926" s="46">
        <v>1916</v>
      </c>
      <c r="B1926" s="38" t="s">
        <v>266</v>
      </c>
      <c r="C1926" s="38" t="s">
        <v>408</v>
      </c>
      <c r="D1926" s="38" t="s">
        <v>407</v>
      </c>
      <c r="E1926" s="38" t="s">
        <v>4811</v>
      </c>
      <c r="F1926" s="38" t="s">
        <v>4261</v>
      </c>
      <c r="G1926" s="38" t="s">
        <v>111</v>
      </c>
      <c r="H1926" s="44">
        <v>43893</v>
      </c>
      <c r="I1926" s="44">
        <v>44104</v>
      </c>
      <c r="J1926">
        <v>2104.8000000000002</v>
      </c>
      <c r="K1926">
        <v>21</v>
      </c>
      <c r="L1926" t="s">
        <v>4812</v>
      </c>
      <c r="M1926" s="45" t="s">
        <v>98</v>
      </c>
      <c r="N1926" s="38" t="s">
        <v>230</v>
      </c>
      <c r="O1926" s="38" t="s">
        <v>342</v>
      </c>
      <c r="P1926" s="38" t="s">
        <v>60</v>
      </c>
      <c r="Q1926" s="38" t="s">
        <v>41</v>
      </c>
      <c r="R1926" s="38" t="s">
        <v>270</v>
      </c>
      <c r="S1926" s="38" t="s">
        <v>4813</v>
      </c>
      <c r="T1926" s="38" t="s">
        <v>4814</v>
      </c>
      <c r="U1926" s="38"/>
      <c r="V1926" s="38"/>
      <c r="W1926" s="38"/>
      <c r="X1926" s="14"/>
      <c r="AN1926" s="7" t="s">
        <v>70</v>
      </c>
      <c r="AO1926" s="21">
        <f t="shared" si="96"/>
        <v>0</v>
      </c>
      <c r="AP1926" s="7">
        <f t="shared" si="95"/>
        <v>21</v>
      </c>
      <c r="AQ1926" s="31" t="str">
        <f t="shared" si="97"/>
        <v>Complete - No Adjustment</v>
      </c>
    </row>
    <row r="1927" spans="1:43" x14ac:dyDescent="0.2">
      <c r="A1927" s="46">
        <v>1917</v>
      </c>
      <c r="B1927" s="38" t="s">
        <v>266</v>
      </c>
      <c r="C1927" s="38" t="s">
        <v>408</v>
      </c>
      <c r="D1927" s="38" t="s">
        <v>407</v>
      </c>
      <c r="E1927" s="38" t="s">
        <v>4820</v>
      </c>
      <c r="F1927" s="38" t="s">
        <v>4261</v>
      </c>
      <c r="G1927" s="38" t="s">
        <v>111</v>
      </c>
      <c r="H1927" s="44">
        <v>43730</v>
      </c>
      <c r="I1927" s="44">
        <v>44104</v>
      </c>
      <c r="J1927">
        <v>2451.34</v>
      </c>
      <c r="K1927">
        <v>5.68</v>
      </c>
      <c r="L1927" t="s">
        <v>4821</v>
      </c>
      <c r="M1927" s="45" t="s">
        <v>98</v>
      </c>
      <c r="N1927" s="38" t="s">
        <v>230</v>
      </c>
      <c r="O1927" s="38" t="s">
        <v>342</v>
      </c>
      <c r="P1927" s="38" t="s">
        <v>60</v>
      </c>
      <c r="Q1927" s="38" t="s">
        <v>41</v>
      </c>
      <c r="R1927" s="38" t="s">
        <v>270</v>
      </c>
      <c r="S1927" s="38" t="s">
        <v>4822</v>
      </c>
      <c r="T1927" s="38" t="s">
        <v>4823</v>
      </c>
      <c r="U1927" s="38"/>
      <c r="V1927" s="38"/>
      <c r="W1927" s="38"/>
      <c r="X1927" s="14"/>
      <c r="AL1927" s="14">
        <f>5.68</f>
        <v>5.68</v>
      </c>
      <c r="AN1927" s="7" t="s">
        <v>146</v>
      </c>
      <c r="AO1927" s="21">
        <f t="shared" si="96"/>
        <v>5.68</v>
      </c>
      <c r="AP1927" s="7">
        <f t="shared" si="95"/>
        <v>0</v>
      </c>
      <c r="AQ1927" s="31" t="str">
        <f t="shared" si="97"/>
        <v>Complete - With Adjustment</v>
      </c>
    </row>
    <row r="1928" spans="1:43" x14ac:dyDescent="0.2">
      <c r="A1928" s="46">
        <v>1918</v>
      </c>
      <c r="B1928" s="38" t="s">
        <v>266</v>
      </c>
      <c r="C1928" s="38" t="s">
        <v>408</v>
      </c>
      <c r="D1928" s="38" t="s">
        <v>407</v>
      </c>
      <c r="E1928" s="38" t="s">
        <v>4820</v>
      </c>
      <c r="F1928" s="38" t="s">
        <v>4261</v>
      </c>
      <c r="G1928" s="38" t="s">
        <v>111</v>
      </c>
      <c r="H1928" s="44">
        <v>43730</v>
      </c>
      <c r="I1928" s="44">
        <v>44104</v>
      </c>
      <c r="J1928">
        <v>2451.34</v>
      </c>
      <c r="K1928">
        <v>15.48</v>
      </c>
      <c r="L1928" t="s">
        <v>4821</v>
      </c>
      <c r="M1928" s="45" t="s">
        <v>98</v>
      </c>
      <c r="N1928" s="38" t="s">
        <v>230</v>
      </c>
      <c r="O1928" s="38" t="s">
        <v>342</v>
      </c>
      <c r="P1928" s="38" t="s">
        <v>60</v>
      </c>
      <c r="Q1928" s="38" t="s">
        <v>41</v>
      </c>
      <c r="R1928" s="38" t="s">
        <v>270</v>
      </c>
      <c r="S1928" s="38" t="s">
        <v>4822</v>
      </c>
      <c r="T1928" s="38" t="s">
        <v>4823</v>
      </c>
      <c r="U1928" s="38"/>
      <c r="V1928" s="38"/>
      <c r="W1928" s="38"/>
      <c r="X1928" s="14"/>
      <c r="AN1928" s="7" t="s">
        <v>70</v>
      </c>
      <c r="AO1928" s="21">
        <f t="shared" si="96"/>
        <v>0</v>
      </c>
      <c r="AP1928" s="7">
        <f t="shared" si="95"/>
        <v>15.48</v>
      </c>
      <c r="AQ1928" s="31" t="str">
        <f t="shared" si="97"/>
        <v>Complete - No Adjustment</v>
      </c>
    </row>
    <row r="1929" spans="1:43" x14ac:dyDescent="0.2">
      <c r="A1929" s="46">
        <v>1919</v>
      </c>
      <c r="B1929" s="38" t="s">
        <v>266</v>
      </c>
      <c r="C1929" s="38" t="s">
        <v>408</v>
      </c>
      <c r="D1929" s="38" t="s">
        <v>407</v>
      </c>
      <c r="E1929" s="38" t="s">
        <v>4820</v>
      </c>
      <c r="F1929" s="38" t="s">
        <v>4261</v>
      </c>
      <c r="G1929" s="38" t="s">
        <v>111</v>
      </c>
      <c r="H1929" s="44">
        <v>43730</v>
      </c>
      <c r="I1929" s="44">
        <v>44104</v>
      </c>
      <c r="J1929">
        <v>2451.34</v>
      </c>
      <c r="K1929">
        <v>572.6</v>
      </c>
      <c r="L1929" t="s">
        <v>4821</v>
      </c>
      <c r="M1929" s="45" t="s">
        <v>98</v>
      </c>
      <c r="N1929" s="38" t="s">
        <v>230</v>
      </c>
      <c r="O1929" s="38" t="s">
        <v>342</v>
      </c>
      <c r="P1929" s="38" t="s">
        <v>60</v>
      </c>
      <c r="Q1929" s="38" t="s">
        <v>44</v>
      </c>
      <c r="R1929" s="38" t="s">
        <v>270</v>
      </c>
      <c r="S1929" s="38" t="s">
        <v>4822</v>
      </c>
      <c r="T1929" s="38" t="s">
        <v>4824</v>
      </c>
      <c r="U1929" s="38"/>
      <c r="V1929" s="38"/>
      <c r="W1929" s="38"/>
      <c r="X1929" s="14"/>
      <c r="AN1929" s="7" t="s">
        <v>70</v>
      </c>
      <c r="AO1929" s="21">
        <f t="shared" si="96"/>
        <v>0</v>
      </c>
      <c r="AP1929" s="7">
        <f t="shared" si="95"/>
        <v>572.6</v>
      </c>
      <c r="AQ1929" s="31" t="str">
        <f t="shared" si="97"/>
        <v>Complete - No Adjustment</v>
      </c>
    </row>
    <row r="1930" spans="1:43" x14ac:dyDescent="0.2">
      <c r="A1930" s="46">
        <v>1920</v>
      </c>
      <c r="B1930" s="38" t="s">
        <v>266</v>
      </c>
      <c r="C1930" s="38" t="s">
        <v>408</v>
      </c>
      <c r="D1930" s="38" t="s">
        <v>407</v>
      </c>
      <c r="E1930" s="38" t="s">
        <v>4820</v>
      </c>
      <c r="F1930" s="38" t="s">
        <v>4261</v>
      </c>
      <c r="G1930" s="38" t="s">
        <v>111</v>
      </c>
      <c r="H1930" s="44">
        <v>43730</v>
      </c>
      <c r="I1930" s="44">
        <v>44104</v>
      </c>
      <c r="J1930">
        <v>2451.34</v>
      </c>
      <c r="K1930">
        <v>75</v>
      </c>
      <c r="L1930" t="s">
        <v>4821</v>
      </c>
      <c r="M1930" s="45" t="s">
        <v>98</v>
      </c>
      <c r="N1930" s="38" t="s">
        <v>230</v>
      </c>
      <c r="O1930" s="38" t="s">
        <v>342</v>
      </c>
      <c r="P1930" s="38" t="s">
        <v>60</v>
      </c>
      <c r="Q1930" s="38" t="s">
        <v>44</v>
      </c>
      <c r="R1930" s="38" t="s">
        <v>270</v>
      </c>
      <c r="S1930" s="38" t="s">
        <v>4822</v>
      </c>
      <c r="T1930" s="38" t="s">
        <v>4824</v>
      </c>
      <c r="U1930" s="38"/>
      <c r="V1930" s="38"/>
      <c r="W1930" s="38"/>
      <c r="X1930" s="14"/>
      <c r="AN1930" s="7" t="s">
        <v>70</v>
      </c>
      <c r="AO1930" s="21">
        <f t="shared" si="96"/>
        <v>0</v>
      </c>
      <c r="AP1930" s="7">
        <f t="shared" ref="AP1930:AP1993" si="98">K1930-AO1930</f>
        <v>75</v>
      </c>
      <c r="AQ1930" s="31" t="str">
        <f t="shared" si="97"/>
        <v>Complete - No Adjustment</v>
      </c>
    </row>
    <row r="1931" spans="1:43" x14ac:dyDescent="0.2">
      <c r="A1931" s="46">
        <v>1921</v>
      </c>
      <c r="B1931" s="38" t="s">
        <v>266</v>
      </c>
      <c r="C1931" s="38" t="s">
        <v>408</v>
      </c>
      <c r="D1931" s="38" t="s">
        <v>407</v>
      </c>
      <c r="E1931" s="38" t="s">
        <v>4820</v>
      </c>
      <c r="F1931" s="38" t="s">
        <v>4261</v>
      </c>
      <c r="G1931" s="38" t="s">
        <v>111</v>
      </c>
      <c r="H1931" s="44">
        <v>43730</v>
      </c>
      <c r="I1931" s="44">
        <v>44104</v>
      </c>
      <c r="J1931">
        <v>2451.34</v>
      </c>
      <c r="K1931">
        <v>25.11</v>
      </c>
      <c r="L1931" t="s">
        <v>4821</v>
      </c>
      <c r="M1931" s="45" t="s">
        <v>98</v>
      </c>
      <c r="N1931" s="38" t="s">
        <v>230</v>
      </c>
      <c r="O1931" s="38" t="s">
        <v>342</v>
      </c>
      <c r="P1931" s="38" t="s">
        <v>60</v>
      </c>
      <c r="Q1931" s="38" t="s">
        <v>41</v>
      </c>
      <c r="R1931" s="38" t="s">
        <v>270</v>
      </c>
      <c r="S1931" s="38" t="s">
        <v>4822</v>
      </c>
      <c r="T1931" s="38" t="s">
        <v>4823</v>
      </c>
      <c r="U1931" s="38"/>
      <c r="V1931" s="38"/>
      <c r="W1931" s="38"/>
      <c r="X1931" s="14"/>
      <c r="AN1931" s="7" t="s">
        <v>70</v>
      </c>
      <c r="AO1931" s="21">
        <f t="shared" ref="AO1931:AO1994" si="99">SUM(Y1931:AL1931)</f>
        <v>0</v>
      </c>
      <c r="AP1931" s="7">
        <f t="shared" si="98"/>
        <v>25.11</v>
      </c>
      <c r="AQ1931" s="31" t="str">
        <f t="shared" si="97"/>
        <v>Complete - No Adjustment</v>
      </c>
    </row>
    <row r="1932" spans="1:43" x14ac:dyDescent="0.2">
      <c r="A1932" s="46">
        <v>1922</v>
      </c>
      <c r="B1932" s="38" t="s">
        <v>266</v>
      </c>
      <c r="C1932" s="38" t="s">
        <v>408</v>
      </c>
      <c r="D1932" s="38" t="s">
        <v>407</v>
      </c>
      <c r="E1932" s="38" t="s">
        <v>4820</v>
      </c>
      <c r="F1932" s="38" t="s">
        <v>4261</v>
      </c>
      <c r="G1932" s="38" t="s">
        <v>111</v>
      </c>
      <c r="H1932" s="44">
        <v>43730</v>
      </c>
      <c r="I1932" s="44">
        <v>44104</v>
      </c>
      <c r="J1932">
        <v>2451.34</v>
      </c>
      <c r="K1932">
        <v>340.74</v>
      </c>
      <c r="L1932" t="s">
        <v>4821</v>
      </c>
      <c r="M1932" s="45" t="s">
        <v>98</v>
      </c>
      <c r="N1932" s="38" t="s">
        <v>230</v>
      </c>
      <c r="O1932" s="38" t="s">
        <v>342</v>
      </c>
      <c r="P1932" s="38" t="s">
        <v>60</v>
      </c>
      <c r="Q1932" s="38" t="s">
        <v>45</v>
      </c>
      <c r="R1932" s="38" t="s">
        <v>270</v>
      </c>
      <c r="S1932" s="38" t="s">
        <v>4822</v>
      </c>
      <c r="T1932" s="38" t="s">
        <v>4825</v>
      </c>
      <c r="U1932" s="38"/>
      <c r="V1932" s="38"/>
      <c r="W1932" s="38"/>
      <c r="X1932" s="14"/>
      <c r="AN1932" s="7" t="s">
        <v>70</v>
      </c>
      <c r="AO1932" s="21">
        <f t="shared" si="99"/>
        <v>0</v>
      </c>
      <c r="AP1932" s="7">
        <f t="shared" si="98"/>
        <v>340.74</v>
      </c>
      <c r="AQ1932" s="31" t="str">
        <f t="shared" si="97"/>
        <v>Complete - No Adjustment</v>
      </c>
    </row>
    <row r="1933" spans="1:43" x14ac:dyDescent="0.2">
      <c r="A1933" s="46">
        <v>1923</v>
      </c>
      <c r="B1933" s="38" t="s">
        <v>266</v>
      </c>
      <c r="C1933" s="38" t="s">
        <v>408</v>
      </c>
      <c r="D1933" s="38" t="s">
        <v>407</v>
      </c>
      <c r="E1933" s="38" t="s">
        <v>4820</v>
      </c>
      <c r="F1933" s="38" t="s">
        <v>4261</v>
      </c>
      <c r="G1933" s="38" t="s">
        <v>111</v>
      </c>
      <c r="H1933" s="44">
        <v>43730</v>
      </c>
      <c r="I1933" s="44">
        <v>44104</v>
      </c>
      <c r="J1933">
        <v>2451.34</v>
      </c>
      <c r="K1933">
        <v>437.74</v>
      </c>
      <c r="L1933" t="s">
        <v>4821</v>
      </c>
      <c r="M1933" s="45" t="s">
        <v>98</v>
      </c>
      <c r="N1933" s="38" t="s">
        <v>230</v>
      </c>
      <c r="O1933" s="38" t="s">
        <v>342</v>
      </c>
      <c r="P1933" s="38" t="s">
        <v>60</v>
      </c>
      <c r="Q1933" s="38" t="s">
        <v>45</v>
      </c>
      <c r="R1933" s="38" t="s">
        <v>270</v>
      </c>
      <c r="S1933" s="38" t="s">
        <v>4822</v>
      </c>
      <c r="T1933" s="38" t="s">
        <v>4825</v>
      </c>
      <c r="U1933" s="38"/>
      <c r="V1933" s="38"/>
      <c r="W1933" s="38"/>
      <c r="X1933" s="14"/>
      <c r="AL1933" s="14">
        <f>437.74</f>
        <v>437.74</v>
      </c>
      <c r="AN1933" s="7" t="s">
        <v>146</v>
      </c>
      <c r="AO1933" s="21">
        <f t="shared" si="99"/>
        <v>437.74</v>
      </c>
      <c r="AP1933" s="7">
        <f t="shared" si="98"/>
        <v>0</v>
      </c>
      <c r="AQ1933" s="31" t="str">
        <f t="shared" si="97"/>
        <v>Complete - With Adjustment</v>
      </c>
    </row>
    <row r="1934" spans="1:43" x14ac:dyDescent="0.2">
      <c r="A1934" s="46">
        <v>1924</v>
      </c>
      <c r="B1934" s="38" t="s">
        <v>266</v>
      </c>
      <c r="C1934" s="38" t="s">
        <v>408</v>
      </c>
      <c r="D1934" s="38" t="s">
        <v>407</v>
      </c>
      <c r="E1934" s="38" t="s">
        <v>4820</v>
      </c>
      <c r="F1934" s="38" t="s">
        <v>4261</v>
      </c>
      <c r="G1934" s="38" t="s">
        <v>111</v>
      </c>
      <c r="H1934" s="44">
        <v>43730</v>
      </c>
      <c r="I1934" s="44">
        <v>44104</v>
      </c>
      <c r="J1934">
        <v>2451.34</v>
      </c>
      <c r="K1934">
        <v>34.15</v>
      </c>
      <c r="L1934" t="s">
        <v>4821</v>
      </c>
      <c r="M1934" s="45" t="s">
        <v>98</v>
      </c>
      <c r="N1934" s="38" t="s">
        <v>230</v>
      </c>
      <c r="O1934" s="38" t="s">
        <v>342</v>
      </c>
      <c r="P1934" s="38" t="s">
        <v>60</v>
      </c>
      <c r="Q1934" s="38" t="s">
        <v>41</v>
      </c>
      <c r="R1934" s="38" t="s">
        <v>270</v>
      </c>
      <c r="S1934" s="38" t="s">
        <v>4822</v>
      </c>
      <c r="T1934" s="38" t="s">
        <v>4823</v>
      </c>
      <c r="U1934" s="38"/>
      <c r="V1934" s="38"/>
      <c r="W1934" s="38"/>
      <c r="X1934" s="14"/>
      <c r="AC1934" s="53">
        <f>(6-28.15*20%)</f>
        <v>0.37000000000000011</v>
      </c>
      <c r="AN1934" s="7" t="s">
        <v>67</v>
      </c>
      <c r="AO1934" s="21">
        <f t="shared" si="99"/>
        <v>0.37000000000000011</v>
      </c>
      <c r="AP1934" s="7">
        <f t="shared" si="98"/>
        <v>33.78</v>
      </c>
      <c r="AQ1934" s="31" t="str">
        <f t="shared" si="97"/>
        <v>Complete - With Adjustment</v>
      </c>
    </row>
    <row r="1935" spans="1:43" x14ac:dyDescent="0.2">
      <c r="A1935" s="46">
        <v>1925</v>
      </c>
      <c r="B1935" s="38" t="s">
        <v>266</v>
      </c>
      <c r="C1935" s="38" t="s">
        <v>408</v>
      </c>
      <c r="D1935" s="38" t="s">
        <v>407</v>
      </c>
      <c r="E1935" s="38" t="s">
        <v>4820</v>
      </c>
      <c r="F1935" s="38" t="s">
        <v>4261</v>
      </c>
      <c r="G1935" s="38" t="s">
        <v>111</v>
      </c>
      <c r="H1935" s="44">
        <v>43730</v>
      </c>
      <c r="I1935" s="44">
        <v>44104</v>
      </c>
      <c r="J1935">
        <v>2451.34</v>
      </c>
      <c r="K1935">
        <v>3.19</v>
      </c>
      <c r="L1935" t="s">
        <v>4821</v>
      </c>
      <c r="M1935" s="45" t="s">
        <v>98</v>
      </c>
      <c r="N1935" s="38" t="s">
        <v>230</v>
      </c>
      <c r="O1935" s="38" t="s">
        <v>342</v>
      </c>
      <c r="P1935" s="38" t="s">
        <v>60</v>
      </c>
      <c r="Q1935" s="38" t="s">
        <v>41</v>
      </c>
      <c r="R1935" s="38" t="s">
        <v>270</v>
      </c>
      <c r="S1935" s="38" t="s">
        <v>4822</v>
      </c>
      <c r="T1935" s="38" t="s">
        <v>4823</v>
      </c>
      <c r="U1935" s="38"/>
      <c r="V1935" s="38"/>
      <c r="W1935" s="38"/>
      <c r="X1935" s="14"/>
      <c r="AN1935" s="7" t="s">
        <v>70</v>
      </c>
      <c r="AO1935" s="21">
        <f t="shared" si="99"/>
        <v>0</v>
      </c>
      <c r="AP1935" s="7">
        <f t="shared" si="98"/>
        <v>3.19</v>
      </c>
      <c r="AQ1935" s="31" t="str">
        <f t="shared" si="97"/>
        <v>Complete - No Adjustment</v>
      </c>
    </row>
    <row r="1936" spans="1:43" x14ac:dyDescent="0.2">
      <c r="A1936" s="46">
        <v>1926</v>
      </c>
      <c r="B1936" s="38" t="s">
        <v>266</v>
      </c>
      <c r="C1936" s="38" t="s">
        <v>408</v>
      </c>
      <c r="D1936" s="38" t="s">
        <v>407</v>
      </c>
      <c r="E1936" s="38" t="s">
        <v>4820</v>
      </c>
      <c r="F1936" s="38" t="s">
        <v>4261</v>
      </c>
      <c r="G1936" s="38" t="s">
        <v>111</v>
      </c>
      <c r="H1936" s="44">
        <v>43730</v>
      </c>
      <c r="I1936" s="44">
        <v>44104</v>
      </c>
      <c r="J1936">
        <v>2451.34</v>
      </c>
      <c r="K1936">
        <v>25.41</v>
      </c>
      <c r="L1936" t="s">
        <v>4821</v>
      </c>
      <c r="M1936" s="45" t="s">
        <v>98</v>
      </c>
      <c r="N1936" s="38" t="s">
        <v>230</v>
      </c>
      <c r="O1936" s="38" t="s">
        <v>342</v>
      </c>
      <c r="P1936" s="38" t="s">
        <v>60</v>
      </c>
      <c r="Q1936" s="38" t="s">
        <v>41</v>
      </c>
      <c r="R1936" s="38" t="s">
        <v>270</v>
      </c>
      <c r="S1936" s="38" t="s">
        <v>4822</v>
      </c>
      <c r="T1936" s="38" t="s">
        <v>4823</v>
      </c>
      <c r="U1936" s="38"/>
      <c r="V1936" s="38"/>
      <c r="W1936" s="38"/>
      <c r="X1936" s="14"/>
      <c r="AN1936" s="7" t="s">
        <v>70</v>
      </c>
      <c r="AO1936" s="21">
        <f t="shared" si="99"/>
        <v>0</v>
      </c>
      <c r="AP1936" s="7">
        <f t="shared" si="98"/>
        <v>25.41</v>
      </c>
      <c r="AQ1936" s="31" t="str">
        <f t="shared" si="97"/>
        <v>Complete - No Adjustment</v>
      </c>
    </row>
    <row r="1937" spans="1:43" x14ac:dyDescent="0.2">
      <c r="A1937" s="46">
        <v>1927</v>
      </c>
      <c r="B1937" s="38" t="s">
        <v>266</v>
      </c>
      <c r="C1937" s="38" t="s">
        <v>408</v>
      </c>
      <c r="D1937" s="38" t="s">
        <v>407</v>
      </c>
      <c r="E1937" s="38" t="s">
        <v>4820</v>
      </c>
      <c r="F1937" s="38" t="s">
        <v>4261</v>
      </c>
      <c r="G1937" s="38" t="s">
        <v>111</v>
      </c>
      <c r="H1937" s="44">
        <v>43730</v>
      </c>
      <c r="I1937" s="44">
        <v>44104</v>
      </c>
      <c r="J1937">
        <v>2451.34</v>
      </c>
      <c r="K1937">
        <v>19.73</v>
      </c>
      <c r="L1937" t="s">
        <v>4821</v>
      </c>
      <c r="M1937" s="45" t="s">
        <v>98</v>
      </c>
      <c r="N1937" s="38" t="s">
        <v>230</v>
      </c>
      <c r="O1937" s="38" t="s">
        <v>342</v>
      </c>
      <c r="P1937" s="38" t="s">
        <v>60</v>
      </c>
      <c r="Q1937" s="38" t="s">
        <v>41</v>
      </c>
      <c r="R1937" s="38" t="s">
        <v>270</v>
      </c>
      <c r="S1937" s="38" t="s">
        <v>4822</v>
      </c>
      <c r="T1937" s="38" t="s">
        <v>4823</v>
      </c>
      <c r="U1937" s="38"/>
      <c r="V1937" s="38"/>
      <c r="W1937" s="38"/>
      <c r="X1937" s="14"/>
      <c r="AN1937" s="7" t="s">
        <v>70</v>
      </c>
      <c r="AO1937" s="21">
        <f t="shared" si="99"/>
        <v>0</v>
      </c>
      <c r="AP1937" s="7">
        <f t="shared" si="98"/>
        <v>19.73</v>
      </c>
      <c r="AQ1937" s="31" t="str">
        <f t="shared" si="97"/>
        <v>Complete - No Adjustment</v>
      </c>
    </row>
    <row r="1938" spans="1:43" x14ac:dyDescent="0.2">
      <c r="A1938" s="46">
        <v>1928</v>
      </c>
      <c r="B1938" s="38" t="s">
        <v>266</v>
      </c>
      <c r="C1938" s="38" t="s">
        <v>408</v>
      </c>
      <c r="D1938" s="38" t="s">
        <v>407</v>
      </c>
      <c r="E1938" s="38" t="s">
        <v>4820</v>
      </c>
      <c r="F1938" s="38" t="s">
        <v>4261</v>
      </c>
      <c r="G1938" s="38" t="s">
        <v>111</v>
      </c>
      <c r="H1938" s="44">
        <v>43730</v>
      </c>
      <c r="I1938" s="44">
        <v>44104</v>
      </c>
      <c r="J1938">
        <v>2451.34</v>
      </c>
      <c r="K1938">
        <v>875</v>
      </c>
      <c r="L1938" t="s">
        <v>4821</v>
      </c>
      <c r="M1938" s="45" t="s">
        <v>98</v>
      </c>
      <c r="N1938" s="38" t="s">
        <v>230</v>
      </c>
      <c r="O1938" s="38" t="s">
        <v>342</v>
      </c>
      <c r="P1938" s="38" t="s">
        <v>60</v>
      </c>
      <c r="Q1938" s="38" t="s">
        <v>56</v>
      </c>
      <c r="R1938" s="38" t="s">
        <v>270</v>
      </c>
      <c r="S1938" s="38" t="s">
        <v>4822</v>
      </c>
      <c r="T1938" s="38" t="s">
        <v>4826</v>
      </c>
      <c r="U1938" s="38"/>
      <c r="V1938" s="38"/>
      <c r="W1938" s="38"/>
      <c r="X1938" s="14"/>
      <c r="AN1938" s="7" t="s">
        <v>115</v>
      </c>
      <c r="AO1938" s="21">
        <f t="shared" si="99"/>
        <v>0</v>
      </c>
      <c r="AP1938" s="7">
        <f t="shared" si="98"/>
        <v>875</v>
      </c>
      <c r="AQ1938" s="31" t="str">
        <f t="shared" ref="AQ1938:AQ2001" si="100">IF(AO1938&lt;&gt;0,"Complete - With Adjustment","Complete - No Adjustment")</f>
        <v>Complete - No Adjustment</v>
      </c>
    </row>
    <row r="1939" spans="1:43" x14ac:dyDescent="0.2">
      <c r="A1939" s="46">
        <v>1929</v>
      </c>
      <c r="B1939" s="38" t="s">
        <v>266</v>
      </c>
      <c r="C1939" s="38" t="s">
        <v>408</v>
      </c>
      <c r="D1939" s="38" t="s">
        <v>407</v>
      </c>
      <c r="E1939" s="38" t="s">
        <v>4820</v>
      </c>
      <c r="F1939" s="38" t="s">
        <v>4261</v>
      </c>
      <c r="G1939" s="38" t="s">
        <v>111</v>
      </c>
      <c r="H1939" s="44">
        <v>43730</v>
      </c>
      <c r="I1939" s="44">
        <v>44104</v>
      </c>
      <c r="J1939">
        <v>2451.34</v>
      </c>
      <c r="K1939">
        <v>8.01</v>
      </c>
      <c r="L1939" t="s">
        <v>4821</v>
      </c>
      <c r="M1939" s="45" t="s">
        <v>98</v>
      </c>
      <c r="N1939" s="38" t="s">
        <v>230</v>
      </c>
      <c r="O1939" s="38" t="s">
        <v>342</v>
      </c>
      <c r="P1939" s="38" t="s">
        <v>60</v>
      </c>
      <c r="Q1939" s="38" t="s">
        <v>41</v>
      </c>
      <c r="R1939" s="38" t="s">
        <v>270</v>
      </c>
      <c r="S1939" s="38" t="s">
        <v>4822</v>
      </c>
      <c r="T1939" s="38" t="s">
        <v>4823</v>
      </c>
      <c r="U1939" s="38"/>
      <c r="V1939" s="38"/>
      <c r="W1939" s="38"/>
      <c r="X1939" s="14"/>
      <c r="AN1939" s="7" t="s">
        <v>70</v>
      </c>
      <c r="AO1939" s="21">
        <f t="shared" si="99"/>
        <v>0</v>
      </c>
      <c r="AP1939" s="7">
        <f t="shared" si="98"/>
        <v>8.01</v>
      </c>
      <c r="AQ1939" s="31" t="str">
        <f t="shared" si="100"/>
        <v>Complete - No Adjustment</v>
      </c>
    </row>
    <row r="1940" spans="1:43" x14ac:dyDescent="0.2">
      <c r="A1940" s="46">
        <v>1930</v>
      </c>
      <c r="B1940" s="38" t="s">
        <v>266</v>
      </c>
      <c r="C1940" s="38" t="s">
        <v>408</v>
      </c>
      <c r="D1940" s="38" t="s">
        <v>407</v>
      </c>
      <c r="E1940" s="38" t="s">
        <v>4820</v>
      </c>
      <c r="F1940" s="38" t="s">
        <v>4261</v>
      </c>
      <c r="G1940" s="38" t="s">
        <v>111</v>
      </c>
      <c r="H1940" s="44">
        <v>43730</v>
      </c>
      <c r="I1940" s="44">
        <v>44104</v>
      </c>
      <c r="J1940">
        <v>2451.34</v>
      </c>
      <c r="K1940">
        <v>13.5</v>
      </c>
      <c r="L1940" t="s">
        <v>4821</v>
      </c>
      <c r="M1940" s="45" t="s">
        <v>98</v>
      </c>
      <c r="N1940" s="38" t="s">
        <v>230</v>
      </c>
      <c r="O1940" s="38" t="s">
        <v>342</v>
      </c>
      <c r="P1940" s="38" t="s">
        <v>60</v>
      </c>
      <c r="Q1940" s="38" t="s">
        <v>41</v>
      </c>
      <c r="R1940" s="38" t="s">
        <v>270</v>
      </c>
      <c r="S1940" s="38" t="s">
        <v>4822</v>
      </c>
      <c r="T1940" s="38" t="s">
        <v>4823</v>
      </c>
      <c r="U1940" s="38"/>
      <c r="V1940" s="38"/>
      <c r="W1940" s="38"/>
      <c r="X1940" s="14"/>
      <c r="AN1940" s="7" t="s">
        <v>70</v>
      </c>
      <c r="AO1940" s="21">
        <f t="shared" si="99"/>
        <v>0</v>
      </c>
      <c r="AP1940" s="7">
        <f t="shared" si="98"/>
        <v>13.5</v>
      </c>
      <c r="AQ1940" s="31" t="str">
        <f t="shared" si="100"/>
        <v>Complete - No Adjustment</v>
      </c>
    </row>
    <row r="1941" spans="1:43" x14ac:dyDescent="0.2">
      <c r="A1941" s="46">
        <v>1931</v>
      </c>
      <c r="B1941" s="38" t="s">
        <v>266</v>
      </c>
      <c r="C1941" s="38" t="s">
        <v>841</v>
      </c>
      <c r="D1941" s="38" t="s">
        <v>842</v>
      </c>
      <c r="E1941" s="38" t="s">
        <v>4827</v>
      </c>
      <c r="F1941" s="38" t="s">
        <v>4261</v>
      </c>
      <c r="G1941" s="38" t="s">
        <v>111</v>
      </c>
      <c r="H1941" s="44">
        <v>44102</v>
      </c>
      <c r="I1941" s="44">
        <v>44104</v>
      </c>
      <c r="J1941">
        <v>400</v>
      </c>
      <c r="K1941">
        <v>400</v>
      </c>
      <c r="L1941" t="s">
        <v>4828</v>
      </c>
      <c r="M1941" s="45" t="s">
        <v>98</v>
      </c>
      <c r="N1941" s="38" t="s">
        <v>230</v>
      </c>
      <c r="O1941" s="38" t="s">
        <v>277</v>
      </c>
      <c r="P1941" s="38" t="s">
        <v>60</v>
      </c>
      <c r="Q1941" s="38" t="s">
        <v>59</v>
      </c>
      <c r="R1941" s="38" t="s">
        <v>270</v>
      </c>
      <c r="S1941" s="38" t="s">
        <v>4829</v>
      </c>
      <c r="T1941" s="38" t="s">
        <v>4830</v>
      </c>
      <c r="U1941" s="38"/>
      <c r="V1941" s="38"/>
      <c r="W1941" s="38"/>
      <c r="X1941" s="14"/>
      <c r="AN1941" s="7" t="s">
        <v>70</v>
      </c>
      <c r="AO1941" s="21">
        <f t="shared" si="99"/>
        <v>0</v>
      </c>
      <c r="AP1941" s="7">
        <f t="shared" si="98"/>
        <v>400</v>
      </c>
      <c r="AQ1941" s="31" t="str">
        <f t="shared" si="100"/>
        <v>Complete - No Adjustment</v>
      </c>
    </row>
    <row r="1942" spans="1:43" x14ac:dyDescent="0.2">
      <c r="A1942" s="46">
        <v>1932</v>
      </c>
      <c r="B1942" s="38" t="s">
        <v>266</v>
      </c>
      <c r="C1942" s="38" t="s">
        <v>703</v>
      </c>
      <c r="D1942" s="38" t="s">
        <v>702</v>
      </c>
      <c r="E1942" s="38" t="s">
        <v>4831</v>
      </c>
      <c r="F1942" s="38" t="s">
        <v>4221</v>
      </c>
      <c r="G1942" s="38" t="s">
        <v>111</v>
      </c>
      <c r="H1942" s="44">
        <v>44095</v>
      </c>
      <c r="I1942" s="44">
        <v>44097</v>
      </c>
      <c r="J1942">
        <v>190.34</v>
      </c>
      <c r="K1942">
        <v>25</v>
      </c>
      <c r="L1942" t="s">
        <v>4832</v>
      </c>
      <c r="M1942" s="45" t="s">
        <v>98</v>
      </c>
      <c r="N1942" s="38" t="s">
        <v>230</v>
      </c>
      <c r="O1942" s="38" t="s">
        <v>78</v>
      </c>
      <c r="P1942" s="38" t="s">
        <v>60</v>
      </c>
      <c r="Q1942" s="38" t="s">
        <v>41</v>
      </c>
      <c r="R1942" s="38" t="s">
        <v>270</v>
      </c>
      <c r="S1942" s="38" t="s">
        <v>4833</v>
      </c>
      <c r="T1942" s="38" t="s">
        <v>4834</v>
      </c>
      <c r="U1942" s="38"/>
      <c r="V1942" s="38"/>
      <c r="W1942" s="38"/>
      <c r="X1942" s="14"/>
      <c r="AB1942" s="14">
        <f>25-15</f>
        <v>10</v>
      </c>
      <c r="AN1942" s="7" t="s">
        <v>4257</v>
      </c>
      <c r="AO1942" s="21">
        <f t="shared" si="99"/>
        <v>10</v>
      </c>
      <c r="AP1942" s="7">
        <f t="shared" si="98"/>
        <v>15</v>
      </c>
      <c r="AQ1942" s="31" t="str">
        <f t="shared" si="100"/>
        <v>Complete - With Adjustment</v>
      </c>
    </row>
    <row r="1943" spans="1:43" x14ac:dyDescent="0.2">
      <c r="A1943" s="46">
        <v>1933</v>
      </c>
      <c r="B1943" s="38" t="s">
        <v>266</v>
      </c>
      <c r="C1943" s="38" t="s">
        <v>703</v>
      </c>
      <c r="D1943" s="38" t="s">
        <v>702</v>
      </c>
      <c r="E1943" s="38" t="s">
        <v>4831</v>
      </c>
      <c r="F1943" s="38" t="s">
        <v>4221</v>
      </c>
      <c r="G1943" s="38" t="s">
        <v>111</v>
      </c>
      <c r="H1943" s="44">
        <v>44095</v>
      </c>
      <c r="I1943" s="44">
        <v>44097</v>
      </c>
      <c r="J1943">
        <v>190.34</v>
      </c>
      <c r="K1943">
        <v>13.79</v>
      </c>
      <c r="L1943" t="s">
        <v>4832</v>
      </c>
      <c r="M1943" s="45" t="s">
        <v>98</v>
      </c>
      <c r="N1943" s="38" t="s">
        <v>230</v>
      </c>
      <c r="O1943" s="38" t="s">
        <v>78</v>
      </c>
      <c r="P1943" s="38" t="s">
        <v>60</v>
      </c>
      <c r="Q1943" s="38" t="s">
        <v>41</v>
      </c>
      <c r="R1943" s="38" t="s">
        <v>270</v>
      </c>
      <c r="S1943" s="38" t="s">
        <v>4833</v>
      </c>
      <c r="T1943" s="38" t="s">
        <v>4835</v>
      </c>
      <c r="U1943" s="38"/>
      <c r="V1943" s="38"/>
      <c r="W1943" s="38"/>
      <c r="X1943" s="14"/>
      <c r="AN1943" s="7" t="s">
        <v>155</v>
      </c>
      <c r="AO1943" s="21">
        <f t="shared" si="99"/>
        <v>0</v>
      </c>
      <c r="AP1943" s="7">
        <f t="shared" si="98"/>
        <v>13.79</v>
      </c>
      <c r="AQ1943" s="31" t="str">
        <f t="shared" si="100"/>
        <v>Complete - No Adjustment</v>
      </c>
    </row>
    <row r="1944" spans="1:43" x14ac:dyDescent="0.2">
      <c r="A1944" s="46">
        <v>1934</v>
      </c>
      <c r="B1944" s="38" t="s">
        <v>266</v>
      </c>
      <c r="C1944" s="38" t="s">
        <v>703</v>
      </c>
      <c r="D1944" s="38" t="s">
        <v>702</v>
      </c>
      <c r="E1944" s="38" t="s">
        <v>4831</v>
      </c>
      <c r="F1944" s="38" t="s">
        <v>4221</v>
      </c>
      <c r="G1944" s="38" t="s">
        <v>111</v>
      </c>
      <c r="H1944" s="44">
        <v>44095</v>
      </c>
      <c r="I1944" s="44">
        <v>44097</v>
      </c>
      <c r="J1944">
        <v>190.34</v>
      </c>
      <c r="K1944">
        <v>151.55000000000001</v>
      </c>
      <c r="L1944" t="s">
        <v>4832</v>
      </c>
      <c r="M1944" s="45" t="s">
        <v>98</v>
      </c>
      <c r="N1944" s="38" t="s">
        <v>230</v>
      </c>
      <c r="O1944" s="38" t="s">
        <v>78</v>
      </c>
      <c r="P1944" s="38" t="s">
        <v>60</v>
      </c>
      <c r="Q1944" s="38" t="s">
        <v>46</v>
      </c>
      <c r="R1944" s="38" t="s">
        <v>270</v>
      </c>
      <c r="S1944" s="38" t="s">
        <v>4833</v>
      </c>
      <c r="T1944" s="38" t="s">
        <v>4836</v>
      </c>
      <c r="U1944" s="38"/>
      <c r="V1944" s="38"/>
      <c r="W1944" s="38"/>
      <c r="X1944" s="14"/>
      <c r="AN1944" s="7" t="s">
        <v>155</v>
      </c>
      <c r="AO1944" s="21">
        <f t="shared" si="99"/>
        <v>0</v>
      </c>
      <c r="AP1944" s="7">
        <f t="shared" si="98"/>
        <v>151.55000000000001</v>
      </c>
      <c r="AQ1944" s="31" t="str">
        <f t="shared" si="100"/>
        <v>Complete - No Adjustment</v>
      </c>
    </row>
    <row r="1945" spans="1:43" x14ac:dyDescent="0.2">
      <c r="A1945" s="46">
        <v>1935</v>
      </c>
      <c r="B1945" s="38" t="s">
        <v>266</v>
      </c>
      <c r="C1945" s="38" t="s">
        <v>542</v>
      </c>
      <c r="D1945" s="38" t="s">
        <v>541</v>
      </c>
      <c r="E1945" s="38" t="s">
        <v>4837</v>
      </c>
      <c r="F1945" s="38" t="s">
        <v>4462</v>
      </c>
      <c r="G1945" s="38" t="s">
        <v>111</v>
      </c>
      <c r="H1945" s="44">
        <v>44085</v>
      </c>
      <c r="I1945" s="44">
        <v>44089</v>
      </c>
      <c r="J1945">
        <v>58.25</v>
      </c>
      <c r="K1945">
        <v>58.25</v>
      </c>
      <c r="L1945" t="s">
        <v>4838</v>
      </c>
      <c r="M1945" s="45" t="s">
        <v>98</v>
      </c>
      <c r="N1945" s="38" t="s">
        <v>230</v>
      </c>
      <c r="O1945" s="38" t="s">
        <v>277</v>
      </c>
      <c r="P1945" s="38" t="s">
        <v>60</v>
      </c>
      <c r="Q1945" s="38" t="s">
        <v>59</v>
      </c>
      <c r="R1945" s="38" t="s">
        <v>270</v>
      </c>
      <c r="S1945" s="38" t="s">
        <v>4839</v>
      </c>
      <c r="T1945" s="38" t="s">
        <v>4840</v>
      </c>
      <c r="U1945" s="38"/>
      <c r="V1945" s="38"/>
      <c r="W1945" s="38"/>
      <c r="X1945" s="14"/>
      <c r="AN1945" s="7" t="s">
        <v>70</v>
      </c>
      <c r="AO1945" s="21">
        <f t="shared" si="99"/>
        <v>0</v>
      </c>
      <c r="AP1945" s="7">
        <f t="shared" si="98"/>
        <v>58.25</v>
      </c>
      <c r="AQ1945" s="31" t="str">
        <f t="shared" si="100"/>
        <v>Complete - No Adjustment</v>
      </c>
    </row>
    <row r="1946" spans="1:43" x14ac:dyDescent="0.2">
      <c r="A1946" s="46">
        <v>1936</v>
      </c>
      <c r="B1946" s="38" t="s">
        <v>266</v>
      </c>
      <c r="C1946" s="38" t="s">
        <v>410</v>
      </c>
      <c r="D1946" s="38" t="s">
        <v>409</v>
      </c>
      <c r="E1946" s="38" t="s">
        <v>4841</v>
      </c>
      <c r="F1946" s="38" t="s">
        <v>4421</v>
      </c>
      <c r="G1946" s="38" t="s">
        <v>111</v>
      </c>
      <c r="H1946" s="44">
        <v>44084</v>
      </c>
      <c r="I1946" s="44">
        <v>44085</v>
      </c>
      <c r="J1946">
        <v>129.53</v>
      </c>
      <c r="K1946">
        <v>56.5</v>
      </c>
      <c r="L1946" t="s">
        <v>4842</v>
      </c>
      <c r="M1946" s="45" t="s">
        <v>98</v>
      </c>
      <c r="N1946" s="38" t="s">
        <v>230</v>
      </c>
      <c r="O1946" s="38" t="s">
        <v>292</v>
      </c>
      <c r="P1946" s="38" t="s">
        <v>60</v>
      </c>
      <c r="Q1946" s="38" t="s">
        <v>41</v>
      </c>
      <c r="R1946" s="38" t="s">
        <v>270</v>
      </c>
      <c r="S1946" s="38" t="s">
        <v>4843</v>
      </c>
      <c r="T1946" s="38" t="s">
        <v>4844</v>
      </c>
      <c r="U1946" s="38"/>
      <c r="V1946" s="38"/>
      <c r="W1946" s="38"/>
      <c r="X1946" s="14"/>
      <c r="AL1946" s="14">
        <f>56.5</f>
        <v>56.5</v>
      </c>
      <c r="AN1946" s="7" t="s">
        <v>146</v>
      </c>
      <c r="AO1946" s="21">
        <f t="shared" si="99"/>
        <v>56.5</v>
      </c>
      <c r="AP1946" s="7">
        <f t="shared" si="98"/>
        <v>0</v>
      </c>
      <c r="AQ1946" s="31" t="str">
        <f t="shared" si="100"/>
        <v>Complete - With Adjustment</v>
      </c>
    </row>
    <row r="1947" spans="1:43" x14ac:dyDescent="0.2">
      <c r="A1947" s="46">
        <v>1937</v>
      </c>
      <c r="B1947" s="38" t="s">
        <v>266</v>
      </c>
      <c r="C1947" s="38" t="s">
        <v>410</v>
      </c>
      <c r="D1947" s="38" t="s">
        <v>409</v>
      </c>
      <c r="E1947" s="38" t="s">
        <v>4841</v>
      </c>
      <c r="F1947" s="38" t="s">
        <v>4421</v>
      </c>
      <c r="G1947" s="38" t="s">
        <v>111</v>
      </c>
      <c r="H1947" s="44">
        <v>44084</v>
      </c>
      <c r="I1947" s="44">
        <v>44085</v>
      </c>
      <c r="J1947">
        <v>129.53</v>
      </c>
      <c r="K1947">
        <v>73.03</v>
      </c>
      <c r="L1947" t="s">
        <v>4842</v>
      </c>
      <c r="M1947" s="45" t="s">
        <v>98</v>
      </c>
      <c r="N1947" s="38" t="s">
        <v>230</v>
      </c>
      <c r="O1947" s="38" t="s">
        <v>292</v>
      </c>
      <c r="P1947" s="38" t="s">
        <v>60</v>
      </c>
      <c r="Q1947" s="38" t="s">
        <v>44</v>
      </c>
      <c r="R1947" s="38" t="s">
        <v>270</v>
      </c>
      <c r="S1947" s="38" t="s">
        <v>4843</v>
      </c>
      <c r="T1947" s="38" t="s">
        <v>4845</v>
      </c>
      <c r="U1947" s="38"/>
      <c r="V1947" s="38"/>
      <c r="W1947" s="38"/>
      <c r="X1947" s="14"/>
      <c r="AK1947" s="53">
        <f>73.03</f>
        <v>73.03</v>
      </c>
      <c r="AN1947" s="7" t="s">
        <v>148</v>
      </c>
      <c r="AO1947" s="21">
        <f t="shared" si="99"/>
        <v>73.03</v>
      </c>
      <c r="AP1947" s="7">
        <f t="shared" si="98"/>
        <v>0</v>
      </c>
      <c r="AQ1947" s="31" t="str">
        <f t="shared" si="100"/>
        <v>Complete - With Adjustment</v>
      </c>
    </row>
    <row r="1948" spans="1:43" x14ac:dyDescent="0.2">
      <c r="A1948" s="46">
        <v>1938</v>
      </c>
      <c r="B1948" s="38" t="s">
        <v>266</v>
      </c>
      <c r="C1948" s="38" t="s">
        <v>1219</v>
      </c>
      <c r="D1948" s="38" t="s">
        <v>1220</v>
      </c>
      <c r="E1948" s="38" t="s">
        <v>4846</v>
      </c>
      <c r="F1948" s="38" t="s">
        <v>4382</v>
      </c>
      <c r="G1948" s="38" t="s">
        <v>111</v>
      </c>
      <c r="H1948" s="44">
        <v>44097</v>
      </c>
      <c r="I1948" s="44">
        <v>44099</v>
      </c>
      <c r="J1948">
        <v>52</v>
      </c>
      <c r="K1948">
        <v>52</v>
      </c>
      <c r="L1948" t="s">
        <v>4847</v>
      </c>
      <c r="M1948" s="45" t="s">
        <v>98</v>
      </c>
      <c r="N1948" s="38" t="s">
        <v>230</v>
      </c>
      <c r="O1948" s="38" t="s">
        <v>673</v>
      </c>
      <c r="P1948" s="38" t="s">
        <v>60</v>
      </c>
      <c r="Q1948" s="38" t="s">
        <v>123</v>
      </c>
      <c r="R1948" s="38" t="s">
        <v>270</v>
      </c>
      <c r="S1948" s="38" t="s">
        <v>4848</v>
      </c>
      <c r="T1948" s="38" t="s">
        <v>4849</v>
      </c>
      <c r="U1948" s="38"/>
      <c r="V1948" s="38"/>
      <c r="W1948" s="38"/>
      <c r="X1948" s="14"/>
      <c r="AN1948" s="7" t="s">
        <v>70</v>
      </c>
      <c r="AO1948" s="21">
        <f t="shared" si="99"/>
        <v>0</v>
      </c>
      <c r="AP1948" s="7">
        <f t="shared" si="98"/>
        <v>52</v>
      </c>
      <c r="AQ1948" s="31" t="str">
        <f t="shared" si="100"/>
        <v>Complete - No Adjustment</v>
      </c>
    </row>
    <row r="1949" spans="1:43" x14ac:dyDescent="0.2">
      <c r="A1949" s="46">
        <v>1939</v>
      </c>
      <c r="B1949" s="38" t="s">
        <v>266</v>
      </c>
      <c r="C1949" s="38" t="s">
        <v>1228</v>
      </c>
      <c r="D1949" s="38" t="s">
        <v>1229</v>
      </c>
      <c r="E1949" s="38" t="s">
        <v>4850</v>
      </c>
      <c r="F1949" s="38" t="s">
        <v>4558</v>
      </c>
      <c r="G1949" s="38" t="s">
        <v>111</v>
      </c>
      <c r="H1949" s="44">
        <v>44070</v>
      </c>
      <c r="I1949" s="44">
        <v>44075</v>
      </c>
      <c r="J1949">
        <v>38.22</v>
      </c>
      <c r="K1949">
        <v>15.29</v>
      </c>
      <c r="L1949" t="s">
        <v>4851</v>
      </c>
      <c r="M1949" s="45" t="s">
        <v>98</v>
      </c>
      <c r="N1949" s="38" t="s">
        <v>230</v>
      </c>
      <c r="O1949" s="38" t="s">
        <v>545</v>
      </c>
      <c r="P1949" s="38" t="s">
        <v>60</v>
      </c>
      <c r="Q1949" s="38" t="s">
        <v>46</v>
      </c>
      <c r="R1949" s="38" t="s">
        <v>270</v>
      </c>
      <c r="S1949" s="38" t="s">
        <v>4852</v>
      </c>
      <c r="T1949" s="38" t="s">
        <v>4853</v>
      </c>
      <c r="U1949" s="38"/>
      <c r="V1949" s="38"/>
      <c r="W1949" s="38"/>
      <c r="X1949" s="14"/>
      <c r="AN1949" s="7" t="s">
        <v>155</v>
      </c>
      <c r="AO1949" s="21">
        <f t="shared" si="99"/>
        <v>0</v>
      </c>
      <c r="AP1949" s="7">
        <f t="shared" si="98"/>
        <v>15.29</v>
      </c>
      <c r="AQ1949" s="31" t="str">
        <f t="shared" si="100"/>
        <v>Complete - No Adjustment</v>
      </c>
    </row>
    <row r="1950" spans="1:43" x14ac:dyDescent="0.2">
      <c r="A1950" s="46">
        <v>1940</v>
      </c>
      <c r="B1950" s="38" t="s">
        <v>266</v>
      </c>
      <c r="C1950" s="38" t="s">
        <v>1228</v>
      </c>
      <c r="D1950" s="38" t="s">
        <v>1229</v>
      </c>
      <c r="E1950" s="38" t="s">
        <v>4850</v>
      </c>
      <c r="F1950" s="38" t="s">
        <v>4558</v>
      </c>
      <c r="G1950" s="38" t="s">
        <v>111</v>
      </c>
      <c r="H1950" s="44">
        <v>44070</v>
      </c>
      <c r="I1950" s="44">
        <v>44075</v>
      </c>
      <c r="J1950">
        <v>38.22</v>
      </c>
      <c r="K1950">
        <v>22.93</v>
      </c>
      <c r="L1950" t="s">
        <v>4851</v>
      </c>
      <c r="M1950" s="45" t="s">
        <v>98</v>
      </c>
      <c r="N1950" s="38" t="s">
        <v>230</v>
      </c>
      <c r="O1950" s="38" t="s">
        <v>545</v>
      </c>
      <c r="P1950" s="38" t="s">
        <v>60</v>
      </c>
      <c r="Q1950" s="38" t="s">
        <v>62</v>
      </c>
      <c r="R1950" s="38" t="s">
        <v>270</v>
      </c>
      <c r="S1950" s="38" t="s">
        <v>4852</v>
      </c>
      <c r="T1950" s="38" t="s">
        <v>4854</v>
      </c>
      <c r="U1950" s="38"/>
      <c r="V1950" s="38"/>
      <c r="W1950" s="38"/>
      <c r="X1950" s="14"/>
      <c r="AN1950" s="7" t="s">
        <v>155</v>
      </c>
      <c r="AO1950" s="21">
        <f t="shared" si="99"/>
        <v>0</v>
      </c>
      <c r="AP1950" s="7">
        <f t="shared" si="98"/>
        <v>22.93</v>
      </c>
      <c r="AQ1950" s="31" t="str">
        <f t="shared" si="100"/>
        <v>Complete - No Adjustment</v>
      </c>
    </row>
    <row r="1951" spans="1:43" x14ac:dyDescent="0.2">
      <c r="A1951" s="46">
        <v>1941</v>
      </c>
      <c r="B1951" s="38" t="s">
        <v>266</v>
      </c>
      <c r="C1951" s="38" t="s">
        <v>412</v>
      </c>
      <c r="D1951" s="38" t="s">
        <v>411</v>
      </c>
      <c r="E1951" s="38" t="s">
        <v>4855</v>
      </c>
      <c r="F1951" s="38" t="s">
        <v>4382</v>
      </c>
      <c r="G1951" s="38" t="s">
        <v>111</v>
      </c>
      <c r="H1951" s="44">
        <v>44097</v>
      </c>
      <c r="I1951" s="44">
        <v>44099</v>
      </c>
      <c r="J1951">
        <v>56.58</v>
      </c>
      <c r="K1951">
        <v>13.21</v>
      </c>
      <c r="L1951" t="s">
        <v>4856</v>
      </c>
      <c r="M1951" s="45" t="s">
        <v>98</v>
      </c>
      <c r="N1951" s="38" t="s">
        <v>230</v>
      </c>
      <c r="O1951" s="38" t="s">
        <v>288</v>
      </c>
      <c r="P1951" s="38" t="s">
        <v>60</v>
      </c>
      <c r="Q1951" s="38" t="s">
        <v>41</v>
      </c>
      <c r="R1951" s="38" t="s">
        <v>270</v>
      </c>
      <c r="S1951" s="38" t="s">
        <v>4857</v>
      </c>
      <c r="T1951" s="38" t="s">
        <v>4858</v>
      </c>
      <c r="U1951" s="38"/>
      <c r="V1951" s="38"/>
      <c r="W1951" s="38"/>
      <c r="X1951" s="14"/>
      <c r="AN1951" s="7" t="s">
        <v>155</v>
      </c>
      <c r="AO1951" s="21">
        <f t="shared" si="99"/>
        <v>0</v>
      </c>
      <c r="AP1951" s="7">
        <f t="shared" si="98"/>
        <v>13.21</v>
      </c>
      <c r="AQ1951" s="31" t="str">
        <f t="shared" si="100"/>
        <v>Complete - No Adjustment</v>
      </c>
    </row>
    <row r="1952" spans="1:43" x14ac:dyDescent="0.2">
      <c r="A1952" s="46">
        <v>1942</v>
      </c>
      <c r="B1952" s="38" t="s">
        <v>266</v>
      </c>
      <c r="C1952" s="38" t="s">
        <v>412</v>
      </c>
      <c r="D1952" s="38" t="s">
        <v>411</v>
      </c>
      <c r="E1952" s="38" t="s">
        <v>4855</v>
      </c>
      <c r="F1952" s="38" t="s">
        <v>4382</v>
      </c>
      <c r="G1952" s="38" t="s">
        <v>111</v>
      </c>
      <c r="H1952" s="44">
        <v>44097</v>
      </c>
      <c r="I1952" s="44">
        <v>44099</v>
      </c>
      <c r="J1952">
        <v>56.58</v>
      </c>
      <c r="K1952">
        <v>20.28</v>
      </c>
      <c r="L1952" t="s">
        <v>4856</v>
      </c>
      <c r="M1952" s="45" t="s">
        <v>98</v>
      </c>
      <c r="N1952" s="38" t="s">
        <v>230</v>
      </c>
      <c r="O1952" s="38" t="s">
        <v>288</v>
      </c>
      <c r="P1952" s="38" t="s">
        <v>60</v>
      </c>
      <c r="Q1952" s="38" t="s">
        <v>41</v>
      </c>
      <c r="R1952" s="38" t="s">
        <v>270</v>
      </c>
      <c r="S1952" s="38" t="s">
        <v>4857</v>
      </c>
      <c r="T1952" s="38" t="s">
        <v>4859</v>
      </c>
      <c r="U1952" s="38"/>
      <c r="V1952" s="38"/>
      <c r="W1952" s="38"/>
      <c r="X1952" s="14"/>
      <c r="AN1952" s="7" t="s">
        <v>155</v>
      </c>
      <c r="AO1952" s="21">
        <f t="shared" si="99"/>
        <v>0</v>
      </c>
      <c r="AP1952" s="7">
        <f t="shared" si="98"/>
        <v>20.28</v>
      </c>
      <c r="AQ1952" s="31" t="str">
        <f t="shared" si="100"/>
        <v>Complete - No Adjustment</v>
      </c>
    </row>
    <row r="1953" spans="1:43" x14ac:dyDescent="0.2">
      <c r="A1953" s="46">
        <v>1943</v>
      </c>
      <c r="B1953" s="38" t="s">
        <v>266</v>
      </c>
      <c r="C1953" s="38" t="s">
        <v>412</v>
      </c>
      <c r="D1953" s="38" t="s">
        <v>411</v>
      </c>
      <c r="E1953" s="38" t="s">
        <v>4855</v>
      </c>
      <c r="F1953" s="38" t="s">
        <v>4382</v>
      </c>
      <c r="G1953" s="38" t="s">
        <v>111</v>
      </c>
      <c r="H1953" s="44">
        <v>44097</v>
      </c>
      <c r="I1953" s="44">
        <v>44099</v>
      </c>
      <c r="J1953">
        <v>56.58</v>
      </c>
      <c r="K1953">
        <v>12.71</v>
      </c>
      <c r="L1953" t="s">
        <v>4856</v>
      </c>
      <c r="M1953" s="45" t="s">
        <v>98</v>
      </c>
      <c r="N1953" s="38" t="s">
        <v>230</v>
      </c>
      <c r="O1953" s="38" t="s">
        <v>288</v>
      </c>
      <c r="P1953" s="38" t="s">
        <v>60</v>
      </c>
      <c r="Q1953" s="38" t="s">
        <v>41</v>
      </c>
      <c r="R1953" s="38" t="s">
        <v>270</v>
      </c>
      <c r="S1953" s="38" t="s">
        <v>4857</v>
      </c>
      <c r="T1953" s="38" t="s">
        <v>4859</v>
      </c>
      <c r="U1953" s="38"/>
      <c r="V1953" s="38"/>
      <c r="W1953" s="38"/>
      <c r="X1953" s="14"/>
      <c r="AN1953" s="7" t="s">
        <v>155</v>
      </c>
      <c r="AO1953" s="21">
        <f t="shared" si="99"/>
        <v>0</v>
      </c>
      <c r="AP1953" s="7">
        <f t="shared" si="98"/>
        <v>12.71</v>
      </c>
      <c r="AQ1953" s="31" t="str">
        <f t="shared" si="100"/>
        <v>Complete - No Adjustment</v>
      </c>
    </row>
    <row r="1954" spans="1:43" x14ac:dyDescent="0.2">
      <c r="A1954" s="46">
        <v>1944</v>
      </c>
      <c r="B1954" s="38" t="s">
        <v>266</v>
      </c>
      <c r="C1954" s="38" t="s">
        <v>412</v>
      </c>
      <c r="D1954" s="38" t="s">
        <v>411</v>
      </c>
      <c r="E1954" s="38" t="s">
        <v>4855</v>
      </c>
      <c r="F1954" s="38" t="s">
        <v>4382</v>
      </c>
      <c r="G1954" s="38" t="s">
        <v>111</v>
      </c>
      <c r="H1954" s="44">
        <v>44097</v>
      </c>
      <c r="I1954" s="44">
        <v>44099</v>
      </c>
      <c r="J1954">
        <v>56.58</v>
      </c>
      <c r="K1954">
        <v>10.38</v>
      </c>
      <c r="L1954" t="s">
        <v>4856</v>
      </c>
      <c r="M1954" s="45" t="s">
        <v>98</v>
      </c>
      <c r="N1954" s="38" t="s">
        <v>230</v>
      </c>
      <c r="O1954" s="38" t="s">
        <v>288</v>
      </c>
      <c r="P1954" s="38" t="s">
        <v>60</v>
      </c>
      <c r="Q1954" s="38" t="s">
        <v>41</v>
      </c>
      <c r="R1954" s="38" t="s">
        <v>270</v>
      </c>
      <c r="S1954" s="38" t="s">
        <v>4857</v>
      </c>
      <c r="T1954" s="38" t="s">
        <v>4859</v>
      </c>
      <c r="U1954" s="38"/>
      <c r="V1954" s="38"/>
      <c r="W1954" s="38"/>
      <c r="X1954" s="14"/>
      <c r="AN1954" s="7" t="s">
        <v>155</v>
      </c>
      <c r="AO1954" s="21">
        <f t="shared" si="99"/>
        <v>0</v>
      </c>
      <c r="AP1954" s="7">
        <f t="shared" si="98"/>
        <v>10.38</v>
      </c>
      <c r="AQ1954" s="31" t="str">
        <f t="shared" si="100"/>
        <v>Complete - No Adjustment</v>
      </c>
    </row>
    <row r="1955" spans="1:43" x14ac:dyDescent="0.2">
      <c r="A1955" s="46">
        <v>1945</v>
      </c>
      <c r="B1955" s="38" t="s">
        <v>266</v>
      </c>
      <c r="C1955" s="38" t="s">
        <v>412</v>
      </c>
      <c r="D1955" s="38" t="s">
        <v>411</v>
      </c>
      <c r="E1955" s="38" t="s">
        <v>4860</v>
      </c>
      <c r="F1955" s="38" t="s">
        <v>4382</v>
      </c>
      <c r="G1955" s="38" t="s">
        <v>111</v>
      </c>
      <c r="H1955" s="44">
        <v>44097</v>
      </c>
      <c r="I1955" s="44">
        <v>44099</v>
      </c>
      <c r="J1955">
        <v>172.8</v>
      </c>
      <c r="K1955">
        <v>172.8</v>
      </c>
      <c r="L1955" t="s">
        <v>4861</v>
      </c>
      <c r="M1955" s="45" t="s">
        <v>98</v>
      </c>
      <c r="N1955" s="38" t="s">
        <v>230</v>
      </c>
      <c r="O1955" s="38" t="s">
        <v>288</v>
      </c>
      <c r="P1955" s="38" t="s">
        <v>60</v>
      </c>
      <c r="Q1955" s="38" t="s">
        <v>49</v>
      </c>
      <c r="R1955" s="38" t="s">
        <v>270</v>
      </c>
      <c r="S1955" s="38" t="s">
        <v>4862</v>
      </c>
      <c r="T1955" s="38" t="s">
        <v>4863</v>
      </c>
      <c r="U1955" s="38"/>
      <c r="V1955" s="38"/>
      <c r="W1955" s="38"/>
      <c r="X1955" s="14"/>
      <c r="AN1955" s="7" t="s">
        <v>70</v>
      </c>
      <c r="AO1955" s="21">
        <f t="shared" si="99"/>
        <v>0</v>
      </c>
      <c r="AP1955" s="7">
        <f t="shared" si="98"/>
        <v>172.8</v>
      </c>
      <c r="AQ1955" s="31" t="str">
        <f t="shared" si="100"/>
        <v>Complete - No Adjustment</v>
      </c>
    </row>
    <row r="1956" spans="1:43" x14ac:dyDescent="0.2">
      <c r="A1956" s="46">
        <v>1946</v>
      </c>
      <c r="B1956" s="38" t="s">
        <v>266</v>
      </c>
      <c r="C1956" s="38" t="s">
        <v>414</v>
      </c>
      <c r="D1956" s="38" t="s">
        <v>413</v>
      </c>
      <c r="E1956" s="38" t="s">
        <v>4864</v>
      </c>
      <c r="F1956" s="38" t="s">
        <v>4304</v>
      </c>
      <c r="G1956" s="38" t="s">
        <v>111</v>
      </c>
      <c r="H1956" s="44">
        <v>44060</v>
      </c>
      <c r="I1956" s="44">
        <v>44088</v>
      </c>
      <c r="J1956">
        <v>910.58</v>
      </c>
      <c r="K1956">
        <v>24.15</v>
      </c>
      <c r="L1956" t="s">
        <v>4865</v>
      </c>
      <c r="M1956" s="45" t="s">
        <v>98</v>
      </c>
      <c r="N1956" s="38" t="s">
        <v>230</v>
      </c>
      <c r="O1956" s="38" t="s">
        <v>317</v>
      </c>
      <c r="P1956" s="38" t="s">
        <v>60</v>
      </c>
      <c r="Q1956" s="38" t="s">
        <v>41</v>
      </c>
      <c r="R1956" s="38" t="s">
        <v>270</v>
      </c>
      <c r="S1956" s="38" t="s">
        <v>4866</v>
      </c>
      <c r="T1956" s="38" t="s">
        <v>4867</v>
      </c>
      <c r="U1956" s="38"/>
      <c r="V1956" s="38"/>
      <c r="W1956" s="38"/>
      <c r="X1956" s="14"/>
      <c r="AN1956" s="7" t="s">
        <v>155</v>
      </c>
      <c r="AO1956" s="21">
        <f t="shared" si="99"/>
        <v>0</v>
      </c>
      <c r="AP1956" s="7">
        <f t="shared" si="98"/>
        <v>24.15</v>
      </c>
      <c r="AQ1956" s="31" t="str">
        <f t="shared" si="100"/>
        <v>Complete - No Adjustment</v>
      </c>
    </row>
    <row r="1957" spans="1:43" x14ac:dyDescent="0.2">
      <c r="A1957" s="46">
        <v>1947</v>
      </c>
      <c r="B1957" s="38" t="s">
        <v>266</v>
      </c>
      <c r="C1957" s="38" t="s">
        <v>414</v>
      </c>
      <c r="D1957" s="38" t="s">
        <v>413</v>
      </c>
      <c r="E1957" s="38" t="s">
        <v>4864</v>
      </c>
      <c r="F1957" s="38" t="s">
        <v>4304</v>
      </c>
      <c r="G1957" s="38" t="s">
        <v>111</v>
      </c>
      <c r="H1957" s="44">
        <v>44060</v>
      </c>
      <c r="I1957" s="44">
        <v>44088</v>
      </c>
      <c r="J1957">
        <v>910.58</v>
      </c>
      <c r="K1957">
        <v>22.92</v>
      </c>
      <c r="L1957" t="s">
        <v>4865</v>
      </c>
      <c r="M1957" s="45" t="s">
        <v>98</v>
      </c>
      <c r="N1957" s="38" t="s">
        <v>230</v>
      </c>
      <c r="O1957" s="38" t="s">
        <v>317</v>
      </c>
      <c r="P1957" s="38" t="s">
        <v>60</v>
      </c>
      <c r="Q1957" s="38" t="s">
        <v>41</v>
      </c>
      <c r="R1957" s="38" t="s">
        <v>270</v>
      </c>
      <c r="S1957" s="38" t="s">
        <v>4866</v>
      </c>
      <c r="T1957" s="38" t="s">
        <v>3999</v>
      </c>
      <c r="U1957" s="38"/>
      <c r="V1957" s="38"/>
      <c r="W1957" s="38"/>
      <c r="X1957" s="14"/>
      <c r="AN1957" s="7" t="s">
        <v>155</v>
      </c>
      <c r="AO1957" s="21">
        <f t="shared" si="99"/>
        <v>0</v>
      </c>
      <c r="AP1957" s="7">
        <f t="shared" si="98"/>
        <v>22.92</v>
      </c>
      <c r="AQ1957" s="31" t="str">
        <f t="shared" si="100"/>
        <v>Complete - No Adjustment</v>
      </c>
    </row>
    <row r="1958" spans="1:43" x14ac:dyDescent="0.2">
      <c r="A1958" s="46">
        <v>1948</v>
      </c>
      <c r="B1958" s="38" t="s">
        <v>266</v>
      </c>
      <c r="C1958" s="38" t="s">
        <v>414</v>
      </c>
      <c r="D1958" s="38" t="s">
        <v>413</v>
      </c>
      <c r="E1958" s="38" t="s">
        <v>4864</v>
      </c>
      <c r="F1958" s="38" t="s">
        <v>4304</v>
      </c>
      <c r="G1958" s="38" t="s">
        <v>111</v>
      </c>
      <c r="H1958" s="44">
        <v>44060</v>
      </c>
      <c r="I1958" s="44">
        <v>44088</v>
      </c>
      <c r="J1958">
        <v>910.58</v>
      </c>
      <c r="K1958">
        <v>31.71</v>
      </c>
      <c r="L1958" t="s">
        <v>4865</v>
      </c>
      <c r="M1958" s="45" t="s">
        <v>98</v>
      </c>
      <c r="N1958" s="38" t="s">
        <v>230</v>
      </c>
      <c r="O1958" s="38" t="s">
        <v>317</v>
      </c>
      <c r="P1958" s="38" t="s">
        <v>60</v>
      </c>
      <c r="Q1958" s="38" t="s">
        <v>41</v>
      </c>
      <c r="R1958" s="38" t="s">
        <v>270</v>
      </c>
      <c r="S1958" s="38" t="s">
        <v>4866</v>
      </c>
      <c r="T1958" s="38" t="s">
        <v>3997</v>
      </c>
      <c r="U1958" s="38"/>
      <c r="V1958" s="38"/>
      <c r="W1958" s="38"/>
      <c r="X1958" s="14"/>
      <c r="AB1958" s="14">
        <f>2.27</f>
        <v>2.27</v>
      </c>
      <c r="AN1958" s="7" t="s">
        <v>66</v>
      </c>
      <c r="AO1958" s="21">
        <f t="shared" si="99"/>
        <v>2.27</v>
      </c>
      <c r="AP1958" s="7">
        <f t="shared" si="98"/>
        <v>29.44</v>
      </c>
      <c r="AQ1958" s="31" t="str">
        <f t="shared" si="100"/>
        <v>Complete - With Adjustment</v>
      </c>
    </row>
    <row r="1959" spans="1:43" x14ac:dyDescent="0.2">
      <c r="A1959" s="46">
        <v>1949</v>
      </c>
      <c r="B1959" s="38" t="s">
        <v>266</v>
      </c>
      <c r="C1959" s="38" t="s">
        <v>414</v>
      </c>
      <c r="D1959" s="38" t="s">
        <v>413</v>
      </c>
      <c r="E1959" s="38" t="s">
        <v>4864</v>
      </c>
      <c r="F1959" s="38" t="s">
        <v>4304</v>
      </c>
      <c r="G1959" s="38" t="s">
        <v>111</v>
      </c>
      <c r="H1959" s="44">
        <v>44060</v>
      </c>
      <c r="I1959" s="44">
        <v>44088</v>
      </c>
      <c r="J1959">
        <v>910.58</v>
      </c>
      <c r="K1959">
        <v>29.43</v>
      </c>
      <c r="L1959" t="s">
        <v>4865</v>
      </c>
      <c r="M1959" s="45" t="s">
        <v>98</v>
      </c>
      <c r="N1959" s="38" t="s">
        <v>230</v>
      </c>
      <c r="O1959" s="38" t="s">
        <v>317</v>
      </c>
      <c r="P1959" s="38" t="s">
        <v>60</v>
      </c>
      <c r="Q1959" s="38" t="s">
        <v>41</v>
      </c>
      <c r="R1959" s="38" t="s">
        <v>270</v>
      </c>
      <c r="S1959" s="38" t="s">
        <v>4866</v>
      </c>
      <c r="T1959" s="38" t="s">
        <v>3997</v>
      </c>
      <c r="U1959" s="38"/>
      <c r="V1959" s="38"/>
      <c r="W1959" s="38"/>
      <c r="X1959" s="14"/>
      <c r="AN1959" s="7" t="s">
        <v>70</v>
      </c>
      <c r="AO1959" s="21">
        <f t="shared" si="99"/>
        <v>0</v>
      </c>
      <c r="AP1959" s="7">
        <f t="shared" si="98"/>
        <v>29.43</v>
      </c>
      <c r="AQ1959" s="31" t="str">
        <f t="shared" si="100"/>
        <v>Complete - No Adjustment</v>
      </c>
    </row>
    <row r="1960" spans="1:43" x14ac:dyDescent="0.2">
      <c r="A1960" s="46">
        <v>1950</v>
      </c>
      <c r="B1960" s="38" t="s">
        <v>266</v>
      </c>
      <c r="C1960" s="38" t="s">
        <v>414</v>
      </c>
      <c r="D1960" s="38" t="s">
        <v>413</v>
      </c>
      <c r="E1960" s="38" t="s">
        <v>4864</v>
      </c>
      <c r="F1960" s="38" t="s">
        <v>4304</v>
      </c>
      <c r="G1960" s="38" t="s">
        <v>111</v>
      </c>
      <c r="H1960" s="44">
        <v>44060</v>
      </c>
      <c r="I1960" s="44">
        <v>44088</v>
      </c>
      <c r="J1960">
        <v>910.58</v>
      </c>
      <c r="K1960">
        <v>780</v>
      </c>
      <c r="L1960" t="s">
        <v>4865</v>
      </c>
      <c r="M1960" s="45" t="s">
        <v>98</v>
      </c>
      <c r="N1960" s="38" t="s">
        <v>230</v>
      </c>
      <c r="O1960" s="38" t="s">
        <v>317</v>
      </c>
      <c r="P1960" s="38" t="s">
        <v>60</v>
      </c>
      <c r="Q1960" s="38" t="s">
        <v>123</v>
      </c>
      <c r="R1960" s="38" t="s">
        <v>270</v>
      </c>
      <c r="S1960" s="38" t="s">
        <v>4866</v>
      </c>
      <c r="T1960" s="38" t="s">
        <v>4868</v>
      </c>
      <c r="U1960" s="38"/>
      <c r="V1960" s="38"/>
      <c r="W1960" s="38"/>
      <c r="X1960" s="14"/>
      <c r="AN1960" s="7" t="s">
        <v>70</v>
      </c>
      <c r="AO1960" s="21">
        <f t="shared" si="99"/>
        <v>0</v>
      </c>
      <c r="AP1960" s="7">
        <f t="shared" si="98"/>
        <v>780</v>
      </c>
      <c r="AQ1960" s="31" t="str">
        <f t="shared" si="100"/>
        <v>Complete - No Adjustment</v>
      </c>
    </row>
    <row r="1961" spans="1:43" x14ac:dyDescent="0.2">
      <c r="A1961" s="46">
        <v>1951</v>
      </c>
      <c r="B1961" s="38" t="s">
        <v>266</v>
      </c>
      <c r="C1961" s="38" t="s">
        <v>414</v>
      </c>
      <c r="D1961" s="38" t="s">
        <v>413</v>
      </c>
      <c r="E1961" s="38" t="s">
        <v>4864</v>
      </c>
      <c r="F1961" s="38" t="s">
        <v>4304</v>
      </c>
      <c r="G1961" s="38" t="s">
        <v>111</v>
      </c>
      <c r="H1961" s="44">
        <v>44060</v>
      </c>
      <c r="I1961" s="44">
        <v>44088</v>
      </c>
      <c r="J1961">
        <v>910.58</v>
      </c>
      <c r="K1961">
        <v>22.37</v>
      </c>
      <c r="L1961" t="s">
        <v>4865</v>
      </c>
      <c r="M1961" s="45" t="s">
        <v>98</v>
      </c>
      <c r="N1961" s="38" t="s">
        <v>230</v>
      </c>
      <c r="O1961" s="38" t="s">
        <v>317</v>
      </c>
      <c r="P1961" s="38" t="s">
        <v>60</v>
      </c>
      <c r="Q1961" s="38" t="s">
        <v>41</v>
      </c>
      <c r="R1961" s="38" t="s">
        <v>270</v>
      </c>
      <c r="S1961" s="38" t="s">
        <v>4866</v>
      </c>
      <c r="T1961" s="38" t="s">
        <v>3999</v>
      </c>
      <c r="U1961" s="38"/>
      <c r="V1961" s="38"/>
      <c r="W1961" s="38"/>
      <c r="X1961" s="14"/>
      <c r="AN1961" s="7" t="s">
        <v>155</v>
      </c>
      <c r="AO1961" s="21">
        <f t="shared" si="99"/>
        <v>0</v>
      </c>
      <c r="AP1961" s="7">
        <f t="shared" si="98"/>
        <v>22.37</v>
      </c>
      <c r="AQ1961" s="31" t="str">
        <f t="shared" si="100"/>
        <v>Complete - No Adjustment</v>
      </c>
    </row>
    <row r="1962" spans="1:43" x14ac:dyDescent="0.2">
      <c r="A1962" s="46">
        <v>1952</v>
      </c>
      <c r="B1962" s="38" t="s">
        <v>266</v>
      </c>
      <c r="C1962" s="38" t="s">
        <v>605</v>
      </c>
      <c r="D1962" s="38" t="s">
        <v>604</v>
      </c>
      <c r="E1962" s="38" t="s">
        <v>4869</v>
      </c>
      <c r="F1962" s="38" t="s">
        <v>4221</v>
      </c>
      <c r="G1962" s="38" t="s">
        <v>111</v>
      </c>
      <c r="H1962" s="44">
        <v>44088</v>
      </c>
      <c r="I1962" s="44">
        <v>44097</v>
      </c>
      <c r="J1962">
        <v>40</v>
      </c>
      <c r="K1962">
        <v>15</v>
      </c>
      <c r="L1962" t="s">
        <v>4870</v>
      </c>
      <c r="M1962" s="45" t="s">
        <v>98</v>
      </c>
      <c r="N1962" s="38" t="s">
        <v>230</v>
      </c>
      <c r="O1962" s="38" t="s">
        <v>444</v>
      </c>
      <c r="P1962" s="38" t="s">
        <v>60</v>
      </c>
      <c r="Q1962" s="38" t="s">
        <v>41</v>
      </c>
      <c r="R1962" s="38" t="s">
        <v>270</v>
      </c>
      <c r="S1962" s="38" t="s">
        <v>4871</v>
      </c>
      <c r="T1962" s="38" t="s">
        <v>4872</v>
      </c>
      <c r="U1962" s="38"/>
      <c r="V1962" s="38"/>
      <c r="W1962" s="38"/>
      <c r="X1962" s="14"/>
      <c r="AN1962" s="7" t="s">
        <v>155</v>
      </c>
      <c r="AO1962" s="21">
        <f t="shared" si="99"/>
        <v>0</v>
      </c>
      <c r="AP1962" s="7">
        <f t="shared" si="98"/>
        <v>15</v>
      </c>
      <c r="AQ1962" s="31" t="str">
        <f t="shared" si="100"/>
        <v>Complete - No Adjustment</v>
      </c>
    </row>
    <row r="1963" spans="1:43" x14ac:dyDescent="0.2">
      <c r="A1963" s="46">
        <v>1953</v>
      </c>
      <c r="B1963" s="38" t="s">
        <v>266</v>
      </c>
      <c r="C1963" s="38" t="s">
        <v>605</v>
      </c>
      <c r="D1963" s="38" t="s">
        <v>604</v>
      </c>
      <c r="E1963" s="38" t="s">
        <v>4869</v>
      </c>
      <c r="F1963" s="38" t="s">
        <v>4221</v>
      </c>
      <c r="G1963" s="38" t="s">
        <v>111</v>
      </c>
      <c r="H1963" s="44">
        <v>44088</v>
      </c>
      <c r="I1963" s="44">
        <v>44097</v>
      </c>
      <c r="J1963">
        <v>40</v>
      </c>
      <c r="K1963">
        <v>25</v>
      </c>
      <c r="L1963" t="s">
        <v>4870</v>
      </c>
      <c r="M1963" s="45" t="s">
        <v>98</v>
      </c>
      <c r="N1963" s="38" t="s">
        <v>230</v>
      </c>
      <c r="O1963" s="38" t="s">
        <v>444</v>
      </c>
      <c r="P1963" s="38" t="s">
        <v>60</v>
      </c>
      <c r="Q1963" s="38" t="s">
        <v>41</v>
      </c>
      <c r="R1963" s="38" t="s">
        <v>270</v>
      </c>
      <c r="S1963" s="38" t="s">
        <v>4871</v>
      </c>
      <c r="T1963" s="38" t="s">
        <v>4873</v>
      </c>
      <c r="U1963" s="38"/>
      <c r="V1963" s="38"/>
      <c r="W1963" s="38"/>
      <c r="X1963" s="14"/>
      <c r="AL1963" s="14">
        <f>25</f>
        <v>25</v>
      </c>
      <c r="AN1963" s="7" t="s">
        <v>146</v>
      </c>
      <c r="AO1963" s="21">
        <f t="shared" si="99"/>
        <v>25</v>
      </c>
      <c r="AP1963" s="7">
        <f t="shared" si="98"/>
        <v>0</v>
      </c>
      <c r="AQ1963" s="31" t="str">
        <f t="shared" si="100"/>
        <v>Complete - With Adjustment</v>
      </c>
    </row>
    <row r="1964" spans="1:43" x14ac:dyDescent="0.2">
      <c r="A1964" s="46">
        <v>1954</v>
      </c>
      <c r="B1964" s="38" t="s">
        <v>266</v>
      </c>
      <c r="C1964" s="38" t="s">
        <v>418</v>
      </c>
      <c r="D1964" s="38" t="s">
        <v>417</v>
      </c>
      <c r="E1964" s="38" t="s">
        <v>4874</v>
      </c>
      <c r="F1964" s="38" t="s">
        <v>4221</v>
      </c>
      <c r="G1964" s="38" t="s">
        <v>111</v>
      </c>
      <c r="H1964" s="44">
        <v>44092</v>
      </c>
      <c r="I1964" s="44">
        <v>44097</v>
      </c>
      <c r="J1964">
        <v>110.16</v>
      </c>
      <c r="K1964">
        <v>44.19</v>
      </c>
      <c r="L1964" t="s">
        <v>4875</v>
      </c>
      <c r="M1964" s="45" t="s">
        <v>98</v>
      </c>
      <c r="N1964" s="38" t="s">
        <v>230</v>
      </c>
      <c r="O1964" s="38" t="s">
        <v>303</v>
      </c>
      <c r="P1964" s="38" t="s">
        <v>60</v>
      </c>
      <c r="Q1964" s="38" t="s">
        <v>41</v>
      </c>
      <c r="R1964" s="38" t="s">
        <v>270</v>
      </c>
      <c r="S1964" s="38" t="s">
        <v>4876</v>
      </c>
      <c r="T1964" s="38" t="s">
        <v>4877</v>
      </c>
      <c r="U1964" s="38"/>
      <c r="V1964" s="38"/>
      <c r="W1964" s="38"/>
      <c r="X1964" s="14"/>
      <c r="AN1964" s="7" t="s">
        <v>70</v>
      </c>
      <c r="AO1964" s="21">
        <f t="shared" si="99"/>
        <v>0</v>
      </c>
      <c r="AP1964" s="7">
        <f t="shared" si="98"/>
        <v>44.19</v>
      </c>
      <c r="AQ1964" s="31" t="str">
        <f t="shared" si="100"/>
        <v>Complete - No Adjustment</v>
      </c>
    </row>
    <row r="1965" spans="1:43" x14ac:dyDescent="0.2">
      <c r="A1965" s="46">
        <v>1955</v>
      </c>
      <c r="B1965" s="38" t="s">
        <v>266</v>
      </c>
      <c r="C1965" s="38" t="s">
        <v>418</v>
      </c>
      <c r="D1965" s="38" t="s">
        <v>417</v>
      </c>
      <c r="E1965" s="38" t="s">
        <v>4874</v>
      </c>
      <c r="F1965" s="38" t="s">
        <v>4221</v>
      </c>
      <c r="G1965" s="38" t="s">
        <v>111</v>
      </c>
      <c r="H1965" s="44">
        <v>44092</v>
      </c>
      <c r="I1965" s="44">
        <v>44097</v>
      </c>
      <c r="J1965">
        <v>110.16</v>
      </c>
      <c r="K1965">
        <v>26.54</v>
      </c>
      <c r="L1965" t="s">
        <v>4875</v>
      </c>
      <c r="M1965" s="45" t="s">
        <v>98</v>
      </c>
      <c r="N1965" s="38" t="s">
        <v>230</v>
      </c>
      <c r="O1965" s="38" t="s">
        <v>303</v>
      </c>
      <c r="P1965" s="38" t="s">
        <v>60</v>
      </c>
      <c r="Q1965" s="38" t="s">
        <v>41</v>
      </c>
      <c r="R1965" s="38" t="s">
        <v>270</v>
      </c>
      <c r="S1965" s="38" t="s">
        <v>4876</v>
      </c>
      <c r="T1965" s="38" t="s">
        <v>4878</v>
      </c>
      <c r="U1965" s="38"/>
      <c r="V1965" s="38"/>
      <c r="W1965" s="38"/>
      <c r="X1965" s="14"/>
      <c r="AN1965" s="7" t="s">
        <v>70</v>
      </c>
      <c r="AO1965" s="21">
        <f t="shared" si="99"/>
        <v>0</v>
      </c>
      <c r="AP1965" s="7">
        <f t="shared" si="98"/>
        <v>26.54</v>
      </c>
      <c r="AQ1965" s="31" t="str">
        <f t="shared" si="100"/>
        <v>Complete - No Adjustment</v>
      </c>
    </row>
    <row r="1966" spans="1:43" x14ac:dyDescent="0.2">
      <c r="A1966" s="46">
        <v>1956</v>
      </c>
      <c r="B1966" s="38" t="s">
        <v>266</v>
      </c>
      <c r="C1966" s="38" t="s">
        <v>418</v>
      </c>
      <c r="D1966" s="38" t="s">
        <v>417</v>
      </c>
      <c r="E1966" s="38" t="s">
        <v>4874</v>
      </c>
      <c r="F1966" s="38" t="s">
        <v>4221</v>
      </c>
      <c r="G1966" s="38" t="s">
        <v>111</v>
      </c>
      <c r="H1966" s="44">
        <v>44092</v>
      </c>
      <c r="I1966" s="44">
        <v>44097</v>
      </c>
      <c r="J1966">
        <v>110.16</v>
      </c>
      <c r="K1966">
        <v>16.23</v>
      </c>
      <c r="L1966" t="s">
        <v>4875</v>
      </c>
      <c r="M1966" s="45" t="s">
        <v>98</v>
      </c>
      <c r="N1966" s="38" t="s">
        <v>230</v>
      </c>
      <c r="O1966" s="38" t="s">
        <v>303</v>
      </c>
      <c r="P1966" s="38" t="s">
        <v>60</v>
      </c>
      <c r="Q1966" s="38" t="s">
        <v>62</v>
      </c>
      <c r="R1966" s="38" t="s">
        <v>270</v>
      </c>
      <c r="S1966" s="38" t="s">
        <v>4876</v>
      </c>
      <c r="T1966" s="38" t="s">
        <v>4879</v>
      </c>
      <c r="U1966" s="38"/>
      <c r="V1966" s="38"/>
      <c r="W1966" s="38"/>
      <c r="X1966" s="14"/>
      <c r="AN1966" s="7" t="s">
        <v>70</v>
      </c>
      <c r="AO1966" s="21">
        <f t="shared" si="99"/>
        <v>0</v>
      </c>
      <c r="AP1966" s="7">
        <f t="shared" si="98"/>
        <v>16.23</v>
      </c>
      <c r="AQ1966" s="31" t="str">
        <f t="shared" si="100"/>
        <v>Complete - No Adjustment</v>
      </c>
    </row>
    <row r="1967" spans="1:43" x14ac:dyDescent="0.2">
      <c r="A1967" s="46">
        <v>1957</v>
      </c>
      <c r="B1967" s="38" t="s">
        <v>266</v>
      </c>
      <c r="C1967" s="38" t="s">
        <v>418</v>
      </c>
      <c r="D1967" s="38" t="s">
        <v>417</v>
      </c>
      <c r="E1967" s="38" t="s">
        <v>4874</v>
      </c>
      <c r="F1967" s="38" t="s">
        <v>4221</v>
      </c>
      <c r="G1967" s="38" t="s">
        <v>111</v>
      </c>
      <c r="H1967" s="44">
        <v>44092</v>
      </c>
      <c r="I1967" s="44">
        <v>44097</v>
      </c>
      <c r="J1967">
        <v>110.16</v>
      </c>
      <c r="K1967">
        <v>12.02</v>
      </c>
      <c r="L1967" t="s">
        <v>4875</v>
      </c>
      <c r="M1967" s="45" t="s">
        <v>98</v>
      </c>
      <c r="N1967" s="38" t="s">
        <v>230</v>
      </c>
      <c r="O1967" s="38" t="s">
        <v>303</v>
      </c>
      <c r="P1967" s="38" t="s">
        <v>60</v>
      </c>
      <c r="Q1967" s="38" t="s">
        <v>41</v>
      </c>
      <c r="R1967" s="38" t="s">
        <v>270</v>
      </c>
      <c r="S1967" s="38" t="s">
        <v>4876</v>
      </c>
      <c r="T1967" s="38" t="s">
        <v>4880</v>
      </c>
      <c r="U1967" s="38"/>
      <c r="V1967" s="38"/>
      <c r="W1967" s="38"/>
      <c r="X1967" s="14"/>
      <c r="AN1967" s="7" t="s">
        <v>155</v>
      </c>
      <c r="AO1967" s="21">
        <f t="shared" si="99"/>
        <v>0</v>
      </c>
      <c r="AP1967" s="7">
        <f t="shared" si="98"/>
        <v>12.02</v>
      </c>
      <c r="AQ1967" s="31" t="str">
        <f t="shared" si="100"/>
        <v>Complete - No Adjustment</v>
      </c>
    </row>
    <row r="1968" spans="1:43" x14ac:dyDescent="0.2">
      <c r="A1968" s="46">
        <v>1958</v>
      </c>
      <c r="B1968" s="38" t="s">
        <v>266</v>
      </c>
      <c r="C1968" s="38" t="s">
        <v>418</v>
      </c>
      <c r="D1968" s="38" t="s">
        <v>417</v>
      </c>
      <c r="E1968" s="38" t="s">
        <v>4874</v>
      </c>
      <c r="F1968" s="38" t="s">
        <v>4221</v>
      </c>
      <c r="G1968" s="38" t="s">
        <v>111</v>
      </c>
      <c r="H1968" s="44">
        <v>44092</v>
      </c>
      <c r="I1968" s="44">
        <v>44097</v>
      </c>
      <c r="J1968">
        <v>110.16</v>
      </c>
      <c r="K1968">
        <v>11.18</v>
      </c>
      <c r="L1968" t="s">
        <v>4875</v>
      </c>
      <c r="M1968" s="45" t="s">
        <v>98</v>
      </c>
      <c r="N1968" s="38" t="s">
        <v>230</v>
      </c>
      <c r="O1968" s="38" t="s">
        <v>303</v>
      </c>
      <c r="P1968" s="38" t="s">
        <v>60</v>
      </c>
      <c r="Q1968" s="38" t="s">
        <v>62</v>
      </c>
      <c r="R1968" s="38" t="s">
        <v>270</v>
      </c>
      <c r="S1968" s="38" t="s">
        <v>4876</v>
      </c>
      <c r="T1968" s="38" t="s">
        <v>4881</v>
      </c>
      <c r="U1968" s="38"/>
      <c r="V1968" s="38"/>
      <c r="W1968" s="38"/>
      <c r="X1968" s="14"/>
      <c r="AN1968" s="7" t="s">
        <v>70</v>
      </c>
      <c r="AO1968" s="21">
        <f t="shared" si="99"/>
        <v>0</v>
      </c>
      <c r="AP1968" s="7">
        <f t="shared" si="98"/>
        <v>11.18</v>
      </c>
      <c r="AQ1968" s="31" t="str">
        <f t="shared" si="100"/>
        <v>Complete - No Adjustment</v>
      </c>
    </row>
    <row r="1969" spans="1:43" x14ac:dyDescent="0.2">
      <c r="A1969" s="46">
        <v>1959</v>
      </c>
      <c r="B1969" s="38" t="s">
        <v>266</v>
      </c>
      <c r="C1969" s="38" t="s">
        <v>2523</v>
      </c>
      <c r="D1969" s="38" t="s">
        <v>2524</v>
      </c>
      <c r="E1969" s="38" t="s">
        <v>4882</v>
      </c>
      <c r="F1969" s="38" t="s">
        <v>4358</v>
      </c>
      <c r="G1969" s="38" t="s">
        <v>111</v>
      </c>
      <c r="H1969" s="44">
        <v>44090</v>
      </c>
      <c r="I1969" s="44">
        <v>44098</v>
      </c>
      <c r="J1969">
        <v>15</v>
      </c>
      <c r="K1969">
        <v>15</v>
      </c>
      <c r="L1969" t="s">
        <v>4883</v>
      </c>
      <c r="M1969" s="45" t="s">
        <v>98</v>
      </c>
      <c r="N1969" s="38" t="s">
        <v>230</v>
      </c>
      <c r="O1969" s="38" t="s">
        <v>397</v>
      </c>
      <c r="P1969" s="38" t="s">
        <v>60</v>
      </c>
      <c r="Q1969" s="38" t="s">
        <v>41</v>
      </c>
      <c r="R1969" s="38" t="s">
        <v>270</v>
      </c>
      <c r="S1969" s="38" t="s">
        <v>4884</v>
      </c>
      <c r="T1969" s="38" t="s">
        <v>4885</v>
      </c>
      <c r="U1969" s="38"/>
      <c r="V1969" s="38"/>
      <c r="W1969" s="38"/>
      <c r="X1969" s="14"/>
      <c r="AN1969" s="7" t="s">
        <v>155</v>
      </c>
      <c r="AO1969" s="21">
        <f t="shared" si="99"/>
        <v>0</v>
      </c>
      <c r="AP1969" s="7">
        <f t="shared" si="98"/>
        <v>15</v>
      </c>
      <c r="AQ1969" s="31" t="str">
        <f t="shared" si="100"/>
        <v>Complete - No Adjustment</v>
      </c>
    </row>
    <row r="1970" spans="1:43" x14ac:dyDescent="0.2">
      <c r="A1970" s="46">
        <v>1960</v>
      </c>
      <c r="B1970" s="38" t="s">
        <v>266</v>
      </c>
      <c r="C1970" s="38" t="s">
        <v>548</v>
      </c>
      <c r="D1970" s="38" t="s">
        <v>547</v>
      </c>
      <c r="E1970" s="38" t="s">
        <v>4886</v>
      </c>
      <c r="F1970" s="38" t="s">
        <v>4224</v>
      </c>
      <c r="G1970" s="38" t="s">
        <v>111</v>
      </c>
      <c r="H1970" s="44">
        <v>44090</v>
      </c>
      <c r="I1970" s="44">
        <v>44092</v>
      </c>
      <c r="J1970">
        <v>475</v>
      </c>
      <c r="K1970">
        <v>475</v>
      </c>
      <c r="L1970" t="s">
        <v>4887</v>
      </c>
      <c r="M1970" s="45" t="s">
        <v>98</v>
      </c>
      <c r="N1970" s="38" t="s">
        <v>230</v>
      </c>
      <c r="O1970" s="38" t="s">
        <v>507</v>
      </c>
      <c r="P1970" s="38" t="s">
        <v>60</v>
      </c>
      <c r="Q1970" s="38" t="s">
        <v>59</v>
      </c>
      <c r="R1970" s="38" t="s">
        <v>270</v>
      </c>
      <c r="S1970" s="38" t="s">
        <v>4888</v>
      </c>
      <c r="T1970" s="38" t="s">
        <v>4889</v>
      </c>
      <c r="U1970" s="38"/>
      <c r="V1970" s="38"/>
      <c r="W1970" s="38"/>
      <c r="X1970" s="14"/>
      <c r="AN1970" s="7" t="s">
        <v>70</v>
      </c>
      <c r="AO1970" s="21">
        <f t="shared" si="99"/>
        <v>0</v>
      </c>
      <c r="AP1970" s="7">
        <f t="shared" si="98"/>
        <v>475</v>
      </c>
      <c r="AQ1970" s="31" t="str">
        <f t="shared" si="100"/>
        <v>Complete - No Adjustment</v>
      </c>
    </row>
    <row r="1971" spans="1:43" x14ac:dyDescent="0.2">
      <c r="A1971" s="46">
        <v>1961</v>
      </c>
      <c r="B1971" s="38" t="s">
        <v>266</v>
      </c>
      <c r="C1971" s="38" t="s">
        <v>609</v>
      </c>
      <c r="D1971" s="38" t="s">
        <v>608</v>
      </c>
      <c r="E1971" s="38" t="s">
        <v>4890</v>
      </c>
      <c r="F1971" s="38" t="s">
        <v>4233</v>
      </c>
      <c r="G1971" s="38" t="s">
        <v>111</v>
      </c>
      <c r="H1971" s="44">
        <v>44091</v>
      </c>
      <c r="I1971" s="44">
        <v>44095</v>
      </c>
      <c r="J1971">
        <v>16.010000000000002</v>
      </c>
      <c r="K1971">
        <v>16.010000000000002</v>
      </c>
      <c r="L1971" t="s">
        <v>4891</v>
      </c>
      <c r="M1971" s="45" t="s">
        <v>98</v>
      </c>
      <c r="N1971" s="38" t="s">
        <v>230</v>
      </c>
      <c r="O1971" s="38" t="s">
        <v>303</v>
      </c>
      <c r="P1971" s="38" t="s">
        <v>60</v>
      </c>
      <c r="Q1971" s="38" t="s">
        <v>41</v>
      </c>
      <c r="R1971" s="38" t="s">
        <v>270</v>
      </c>
      <c r="S1971" s="38" t="s">
        <v>4892</v>
      </c>
      <c r="T1971" s="38" t="s">
        <v>4893</v>
      </c>
      <c r="U1971" s="38"/>
      <c r="V1971" s="38"/>
      <c r="W1971" s="38"/>
      <c r="X1971" s="14"/>
      <c r="AB1971" s="14">
        <f>16.01-15</f>
        <v>1.0100000000000016</v>
      </c>
      <c r="AN1971" s="7" t="s">
        <v>4257</v>
      </c>
      <c r="AO1971" s="21">
        <f t="shared" si="99"/>
        <v>1.0100000000000016</v>
      </c>
      <c r="AP1971" s="7">
        <f t="shared" si="98"/>
        <v>15</v>
      </c>
      <c r="AQ1971" s="31" t="str">
        <f t="shared" si="100"/>
        <v>Complete - With Adjustment</v>
      </c>
    </row>
    <row r="1972" spans="1:43" x14ac:dyDescent="0.2">
      <c r="A1972" s="46">
        <v>1962</v>
      </c>
      <c r="B1972" s="38" t="s">
        <v>266</v>
      </c>
      <c r="C1972" s="38" t="s">
        <v>2548</v>
      </c>
      <c r="D1972" s="38" t="s">
        <v>2549</v>
      </c>
      <c r="E1972" s="38" t="s">
        <v>4894</v>
      </c>
      <c r="F1972" s="38" t="s">
        <v>4221</v>
      </c>
      <c r="G1972" s="38" t="s">
        <v>111</v>
      </c>
      <c r="H1972" s="44">
        <v>44095</v>
      </c>
      <c r="I1972" s="44">
        <v>44097</v>
      </c>
      <c r="J1972">
        <v>15</v>
      </c>
      <c r="K1972">
        <v>15</v>
      </c>
      <c r="L1972" t="s">
        <v>4895</v>
      </c>
      <c r="M1972" s="45" t="s">
        <v>98</v>
      </c>
      <c r="N1972" s="38" t="s">
        <v>230</v>
      </c>
      <c r="O1972" s="38" t="s">
        <v>559</v>
      </c>
      <c r="P1972" s="38" t="s">
        <v>60</v>
      </c>
      <c r="Q1972" s="38" t="s">
        <v>41</v>
      </c>
      <c r="R1972" s="38" t="s">
        <v>270</v>
      </c>
      <c r="S1972" s="38" t="s">
        <v>4896</v>
      </c>
      <c r="T1972" s="38" t="s">
        <v>4897</v>
      </c>
      <c r="U1972" s="38"/>
      <c r="V1972" s="38"/>
      <c r="W1972" s="38"/>
      <c r="X1972" s="14"/>
      <c r="AN1972" s="7" t="s">
        <v>155</v>
      </c>
      <c r="AO1972" s="21">
        <f t="shared" si="99"/>
        <v>0</v>
      </c>
      <c r="AP1972" s="7">
        <f t="shared" si="98"/>
        <v>15</v>
      </c>
      <c r="AQ1972" s="31" t="str">
        <f t="shared" si="100"/>
        <v>Complete - No Adjustment</v>
      </c>
    </row>
    <row r="1973" spans="1:43" x14ac:dyDescent="0.2">
      <c r="A1973" s="46">
        <v>1963</v>
      </c>
      <c r="B1973" s="38" t="s">
        <v>266</v>
      </c>
      <c r="C1973" s="38" t="s">
        <v>552</v>
      </c>
      <c r="D1973" s="38" t="s">
        <v>551</v>
      </c>
      <c r="E1973" s="38" t="s">
        <v>4898</v>
      </c>
      <c r="F1973" s="38" t="s">
        <v>4221</v>
      </c>
      <c r="G1973" s="38" t="s">
        <v>111</v>
      </c>
      <c r="H1973" s="44">
        <v>44092</v>
      </c>
      <c r="I1973" s="44">
        <v>44097</v>
      </c>
      <c r="J1973">
        <v>12.72</v>
      </c>
      <c r="K1973">
        <v>12.72</v>
      </c>
      <c r="L1973" t="s">
        <v>4899</v>
      </c>
      <c r="M1973" s="45" t="s">
        <v>98</v>
      </c>
      <c r="N1973" s="38" t="s">
        <v>230</v>
      </c>
      <c r="O1973" s="38" t="s">
        <v>342</v>
      </c>
      <c r="P1973" s="38" t="s">
        <v>60</v>
      </c>
      <c r="Q1973" s="38" t="s">
        <v>41</v>
      </c>
      <c r="R1973" s="38" t="s">
        <v>270</v>
      </c>
      <c r="S1973" s="38" t="s">
        <v>4900</v>
      </c>
      <c r="T1973" s="38" t="s">
        <v>4901</v>
      </c>
      <c r="U1973" s="38"/>
      <c r="V1973" s="38"/>
      <c r="W1973" s="38"/>
      <c r="X1973" s="14"/>
      <c r="AN1973" s="7" t="s">
        <v>4219</v>
      </c>
      <c r="AO1973" s="21">
        <f t="shared" si="99"/>
        <v>0</v>
      </c>
      <c r="AP1973" s="7">
        <f t="shared" si="98"/>
        <v>12.72</v>
      </c>
      <c r="AQ1973" s="31" t="str">
        <f t="shared" si="100"/>
        <v>Complete - No Adjustment</v>
      </c>
    </row>
    <row r="1974" spans="1:43" x14ac:dyDescent="0.2">
      <c r="A1974" s="46">
        <v>1964</v>
      </c>
      <c r="B1974" s="38" t="s">
        <v>266</v>
      </c>
      <c r="C1974" s="38" t="s">
        <v>425</v>
      </c>
      <c r="D1974" s="38" t="s">
        <v>424</v>
      </c>
      <c r="E1974" s="38" t="s">
        <v>4902</v>
      </c>
      <c r="F1974" s="38" t="s">
        <v>4432</v>
      </c>
      <c r="G1974" s="38" t="s">
        <v>111</v>
      </c>
      <c r="H1974" s="44">
        <v>44089</v>
      </c>
      <c r="I1974" s="44">
        <v>44091</v>
      </c>
      <c r="J1974">
        <v>40</v>
      </c>
      <c r="K1974">
        <v>40</v>
      </c>
      <c r="L1974" t="s">
        <v>4903</v>
      </c>
      <c r="M1974" s="45" t="s">
        <v>98</v>
      </c>
      <c r="N1974" s="38" t="s">
        <v>230</v>
      </c>
      <c r="O1974" s="38" t="s">
        <v>426</v>
      </c>
      <c r="P1974" s="38" t="s">
        <v>60</v>
      </c>
      <c r="Q1974" s="38" t="s">
        <v>59</v>
      </c>
      <c r="R1974" s="38" t="s">
        <v>270</v>
      </c>
      <c r="S1974" s="38" t="s">
        <v>4904</v>
      </c>
      <c r="T1974" s="38" t="s">
        <v>4905</v>
      </c>
      <c r="U1974" s="38"/>
      <c r="V1974" s="38"/>
      <c r="W1974" s="38"/>
      <c r="X1974" s="14"/>
      <c r="AN1974" s="7" t="s">
        <v>70</v>
      </c>
      <c r="AO1974" s="21">
        <f t="shared" si="99"/>
        <v>0</v>
      </c>
      <c r="AP1974" s="7">
        <f t="shared" si="98"/>
        <v>40</v>
      </c>
      <c r="AQ1974" s="31" t="str">
        <f t="shared" si="100"/>
        <v>Complete - No Adjustment</v>
      </c>
    </row>
    <row r="1975" spans="1:43" x14ac:dyDescent="0.2">
      <c r="A1975" s="46">
        <v>1965</v>
      </c>
      <c r="B1975" s="38" t="s">
        <v>266</v>
      </c>
      <c r="C1975" s="38" t="s">
        <v>428</v>
      </c>
      <c r="D1975" s="38" t="s">
        <v>2570</v>
      </c>
      <c r="E1975" s="38" t="s">
        <v>4906</v>
      </c>
      <c r="F1975" s="38" t="s">
        <v>4224</v>
      </c>
      <c r="G1975" s="38" t="s">
        <v>111</v>
      </c>
      <c r="H1975" s="44">
        <v>44090</v>
      </c>
      <c r="I1975" s="44">
        <v>44092</v>
      </c>
      <c r="J1975">
        <v>14.06</v>
      </c>
      <c r="K1975">
        <v>9.84</v>
      </c>
      <c r="L1975" t="s">
        <v>4907</v>
      </c>
      <c r="M1975" s="45" t="s">
        <v>98</v>
      </c>
      <c r="N1975" s="38" t="s">
        <v>230</v>
      </c>
      <c r="O1975" s="38" t="s">
        <v>356</v>
      </c>
      <c r="P1975" s="38" t="s">
        <v>60</v>
      </c>
      <c r="Q1975" s="38" t="s">
        <v>41</v>
      </c>
      <c r="R1975" s="38" t="s">
        <v>270</v>
      </c>
      <c r="S1975" s="38" t="s">
        <v>4908</v>
      </c>
      <c r="T1975" s="38" t="s">
        <v>4909</v>
      </c>
      <c r="U1975" s="38"/>
      <c r="V1975" s="38"/>
      <c r="W1975" s="38"/>
      <c r="X1975" s="14"/>
      <c r="AN1975" s="7" t="s">
        <v>4219</v>
      </c>
      <c r="AO1975" s="21">
        <f t="shared" si="99"/>
        <v>0</v>
      </c>
      <c r="AP1975" s="7">
        <f t="shared" si="98"/>
        <v>9.84</v>
      </c>
      <c r="AQ1975" s="31" t="str">
        <f t="shared" si="100"/>
        <v>Complete - No Adjustment</v>
      </c>
    </row>
    <row r="1976" spans="1:43" x14ac:dyDescent="0.2">
      <c r="A1976" s="46">
        <v>1966</v>
      </c>
      <c r="B1976" s="38" t="s">
        <v>266</v>
      </c>
      <c r="C1976" s="38" t="s">
        <v>428</v>
      </c>
      <c r="D1976" s="38" t="s">
        <v>2570</v>
      </c>
      <c r="E1976" s="38" t="s">
        <v>4906</v>
      </c>
      <c r="F1976" s="38" t="s">
        <v>4224</v>
      </c>
      <c r="G1976" s="38" t="s">
        <v>111</v>
      </c>
      <c r="H1976" s="44">
        <v>44090</v>
      </c>
      <c r="I1976" s="44">
        <v>44092</v>
      </c>
      <c r="J1976">
        <v>14.06</v>
      </c>
      <c r="K1976">
        <v>4.22</v>
      </c>
      <c r="L1976" t="s">
        <v>4907</v>
      </c>
      <c r="M1976" s="45" t="s">
        <v>97</v>
      </c>
      <c r="N1976" s="38" t="s">
        <v>230</v>
      </c>
      <c r="O1976" s="38" t="s">
        <v>50</v>
      </c>
      <c r="P1976" s="38" t="s">
        <v>72</v>
      </c>
      <c r="Q1976" s="38" t="s">
        <v>41</v>
      </c>
      <c r="R1976" s="38" t="s">
        <v>270</v>
      </c>
      <c r="S1976" s="38" t="s">
        <v>4908</v>
      </c>
      <c r="T1976" s="38" t="s">
        <v>4909</v>
      </c>
      <c r="U1976" s="38"/>
      <c r="V1976" s="38"/>
      <c r="W1976" s="38"/>
      <c r="X1976" s="14"/>
      <c r="AN1976" s="7" t="s">
        <v>4219</v>
      </c>
      <c r="AO1976" s="21">
        <f t="shared" si="99"/>
        <v>0</v>
      </c>
      <c r="AP1976" s="7">
        <f t="shared" si="98"/>
        <v>4.22</v>
      </c>
      <c r="AQ1976" s="31" t="str">
        <f t="shared" si="100"/>
        <v>Complete - No Adjustment</v>
      </c>
    </row>
    <row r="1977" spans="1:43" x14ac:dyDescent="0.2">
      <c r="A1977" s="46">
        <v>1967</v>
      </c>
      <c r="B1977" s="38" t="s">
        <v>266</v>
      </c>
      <c r="C1977" s="38" t="s">
        <v>710</v>
      </c>
      <c r="D1977" s="38" t="s">
        <v>709</v>
      </c>
      <c r="E1977" s="38" t="s">
        <v>4910</v>
      </c>
      <c r="F1977" s="38" t="s">
        <v>4382</v>
      </c>
      <c r="G1977" s="38" t="s">
        <v>111</v>
      </c>
      <c r="H1977" s="44">
        <v>44097</v>
      </c>
      <c r="I1977" s="44">
        <v>44099</v>
      </c>
      <c r="J1977">
        <v>36.090000000000003</v>
      </c>
      <c r="K1977">
        <v>11.64</v>
      </c>
      <c r="L1977" t="s">
        <v>4911</v>
      </c>
      <c r="M1977" s="45" t="s">
        <v>98</v>
      </c>
      <c r="N1977" s="38" t="s">
        <v>230</v>
      </c>
      <c r="O1977" s="38" t="s">
        <v>288</v>
      </c>
      <c r="P1977" s="38" t="s">
        <v>60</v>
      </c>
      <c r="Q1977" s="38" t="s">
        <v>41</v>
      </c>
      <c r="R1977" s="38" t="s">
        <v>270</v>
      </c>
      <c r="S1977" s="38" t="s">
        <v>4912</v>
      </c>
      <c r="T1977" s="38" t="s">
        <v>4913</v>
      </c>
      <c r="U1977" s="38"/>
      <c r="V1977" s="38"/>
      <c r="W1977" s="38"/>
      <c r="X1977" s="14"/>
      <c r="AN1977" s="7" t="s">
        <v>155</v>
      </c>
      <c r="AO1977" s="21">
        <f t="shared" si="99"/>
        <v>0</v>
      </c>
      <c r="AP1977" s="7">
        <f t="shared" si="98"/>
        <v>11.64</v>
      </c>
      <c r="AQ1977" s="31" t="str">
        <f t="shared" si="100"/>
        <v>Complete - No Adjustment</v>
      </c>
    </row>
    <row r="1978" spans="1:43" x14ac:dyDescent="0.2">
      <c r="A1978" s="46">
        <v>1968</v>
      </c>
      <c r="B1978" s="38" t="s">
        <v>266</v>
      </c>
      <c r="C1978" s="38" t="s">
        <v>710</v>
      </c>
      <c r="D1978" s="38" t="s">
        <v>709</v>
      </c>
      <c r="E1978" s="38" t="s">
        <v>4910</v>
      </c>
      <c r="F1978" s="38" t="s">
        <v>4382</v>
      </c>
      <c r="G1978" s="38" t="s">
        <v>111</v>
      </c>
      <c r="H1978" s="44">
        <v>44097</v>
      </c>
      <c r="I1978" s="44">
        <v>44099</v>
      </c>
      <c r="J1978">
        <v>36.090000000000003</v>
      </c>
      <c r="K1978">
        <v>11.19</v>
      </c>
      <c r="L1978" t="s">
        <v>4911</v>
      </c>
      <c r="M1978" s="45" t="s">
        <v>98</v>
      </c>
      <c r="N1978" s="38" t="s">
        <v>230</v>
      </c>
      <c r="O1978" s="38" t="s">
        <v>288</v>
      </c>
      <c r="P1978" s="38" t="s">
        <v>60</v>
      </c>
      <c r="Q1978" s="38" t="s">
        <v>41</v>
      </c>
      <c r="R1978" s="38" t="s">
        <v>270</v>
      </c>
      <c r="S1978" s="38" t="s">
        <v>4912</v>
      </c>
      <c r="T1978" s="38" t="s">
        <v>4913</v>
      </c>
      <c r="U1978" s="38"/>
      <c r="V1978" s="38"/>
      <c r="W1978" s="38"/>
      <c r="X1978" s="14"/>
      <c r="AN1978" s="7" t="s">
        <v>155</v>
      </c>
      <c r="AO1978" s="21">
        <f t="shared" si="99"/>
        <v>0</v>
      </c>
      <c r="AP1978" s="7">
        <f t="shared" si="98"/>
        <v>11.19</v>
      </c>
      <c r="AQ1978" s="31" t="str">
        <f t="shared" si="100"/>
        <v>Complete - No Adjustment</v>
      </c>
    </row>
    <row r="1979" spans="1:43" x14ac:dyDescent="0.2">
      <c r="A1979" s="46">
        <v>1969</v>
      </c>
      <c r="B1979" s="38" t="s">
        <v>266</v>
      </c>
      <c r="C1979" s="38" t="s">
        <v>710</v>
      </c>
      <c r="D1979" s="38" t="s">
        <v>709</v>
      </c>
      <c r="E1979" s="38" t="s">
        <v>4910</v>
      </c>
      <c r="F1979" s="38" t="s">
        <v>4382</v>
      </c>
      <c r="G1979" s="38" t="s">
        <v>111</v>
      </c>
      <c r="H1979" s="44">
        <v>44097</v>
      </c>
      <c r="I1979" s="44">
        <v>44099</v>
      </c>
      <c r="J1979">
        <v>36.090000000000003</v>
      </c>
      <c r="K1979">
        <v>13.26</v>
      </c>
      <c r="L1979" t="s">
        <v>4911</v>
      </c>
      <c r="M1979" s="45" t="s">
        <v>98</v>
      </c>
      <c r="N1979" s="38" t="s">
        <v>230</v>
      </c>
      <c r="O1979" s="38" t="s">
        <v>288</v>
      </c>
      <c r="P1979" s="38" t="s">
        <v>60</v>
      </c>
      <c r="Q1979" s="38" t="s">
        <v>41</v>
      </c>
      <c r="R1979" s="38" t="s">
        <v>270</v>
      </c>
      <c r="S1979" s="38" t="s">
        <v>4912</v>
      </c>
      <c r="T1979" s="38" t="s">
        <v>4913</v>
      </c>
      <c r="U1979" s="38"/>
      <c r="V1979" s="38"/>
      <c r="W1979" s="38"/>
      <c r="X1979" s="14"/>
      <c r="AN1979" s="7" t="s">
        <v>155</v>
      </c>
      <c r="AO1979" s="21">
        <f t="shared" si="99"/>
        <v>0</v>
      </c>
      <c r="AP1979" s="7">
        <f t="shared" si="98"/>
        <v>13.26</v>
      </c>
      <c r="AQ1979" s="31" t="str">
        <f t="shared" si="100"/>
        <v>Complete - No Adjustment</v>
      </c>
    </row>
    <row r="1980" spans="1:43" x14ac:dyDescent="0.2">
      <c r="A1980" s="46">
        <v>1970</v>
      </c>
      <c r="B1980" s="38" t="s">
        <v>266</v>
      </c>
      <c r="C1980" s="38" t="s">
        <v>710</v>
      </c>
      <c r="D1980" s="38" t="s">
        <v>709</v>
      </c>
      <c r="E1980" s="38" t="s">
        <v>4914</v>
      </c>
      <c r="F1980" s="38" t="s">
        <v>4291</v>
      </c>
      <c r="G1980" s="38" t="s">
        <v>111</v>
      </c>
      <c r="H1980" s="44">
        <v>44077</v>
      </c>
      <c r="I1980" s="44">
        <v>44078</v>
      </c>
      <c r="J1980">
        <v>122.15</v>
      </c>
      <c r="K1980">
        <v>122.15</v>
      </c>
      <c r="L1980" t="s">
        <v>4915</v>
      </c>
      <c r="M1980" s="45" t="s">
        <v>98</v>
      </c>
      <c r="N1980" s="38" t="s">
        <v>230</v>
      </c>
      <c r="O1980" s="38" t="s">
        <v>288</v>
      </c>
      <c r="P1980" s="38" t="s">
        <v>60</v>
      </c>
      <c r="Q1980" s="38" t="s">
        <v>49</v>
      </c>
      <c r="R1980" s="38" t="s">
        <v>270</v>
      </c>
      <c r="S1980" s="38" t="s">
        <v>4916</v>
      </c>
      <c r="T1980" s="38" t="s">
        <v>4917</v>
      </c>
      <c r="U1980" s="38"/>
      <c r="V1980" s="38"/>
      <c r="W1980" s="38"/>
      <c r="X1980" s="14"/>
      <c r="AN1980" s="7" t="s">
        <v>70</v>
      </c>
      <c r="AO1980" s="21">
        <f t="shared" si="99"/>
        <v>0</v>
      </c>
      <c r="AP1980" s="7">
        <f t="shared" si="98"/>
        <v>122.15</v>
      </c>
      <c r="AQ1980" s="31" t="str">
        <f t="shared" si="100"/>
        <v>Complete - No Adjustment</v>
      </c>
    </row>
    <row r="1981" spans="1:43" x14ac:dyDescent="0.2">
      <c r="A1981" s="46">
        <v>1971</v>
      </c>
      <c r="B1981" s="38" t="s">
        <v>266</v>
      </c>
      <c r="C1981" s="38" t="s">
        <v>246</v>
      </c>
      <c r="D1981" s="38" t="s">
        <v>245</v>
      </c>
      <c r="E1981" s="38" t="s">
        <v>4918</v>
      </c>
      <c r="F1981" s="38" t="s">
        <v>4224</v>
      </c>
      <c r="G1981" s="38" t="s">
        <v>111</v>
      </c>
      <c r="H1981" s="44">
        <v>44089</v>
      </c>
      <c r="I1981" s="44">
        <v>44092</v>
      </c>
      <c r="J1981">
        <v>337</v>
      </c>
      <c r="K1981">
        <v>2</v>
      </c>
      <c r="L1981" t="s">
        <v>4919</v>
      </c>
      <c r="M1981" s="45" t="s">
        <v>98</v>
      </c>
      <c r="N1981" s="38" t="s">
        <v>230</v>
      </c>
      <c r="O1981" s="38" t="s">
        <v>784</v>
      </c>
      <c r="P1981" s="38" t="s">
        <v>60</v>
      </c>
      <c r="Q1981" s="38" t="s">
        <v>62</v>
      </c>
      <c r="R1981" s="38" t="s">
        <v>270</v>
      </c>
      <c r="S1981" s="38" t="s">
        <v>4920</v>
      </c>
      <c r="T1981" s="38" t="s">
        <v>4921</v>
      </c>
      <c r="U1981" s="38"/>
      <c r="V1981" s="38"/>
      <c r="W1981" s="38"/>
      <c r="X1981" s="14"/>
      <c r="AN1981" s="7" t="s">
        <v>70</v>
      </c>
      <c r="AO1981" s="21">
        <f t="shared" si="99"/>
        <v>0</v>
      </c>
      <c r="AP1981" s="7">
        <f t="shared" si="98"/>
        <v>2</v>
      </c>
      <c r="AQ1981" s="31" t="str">
        <f t="shared" si="100"/>
        <v>Complete - No Adjustment</v>
      </c>
    </row>
    <row r="1982" spans="1:43" x14ac:dyDescent="0.2">
      <c r="A1982" s="46">
        <v>1972</v>
      </c>
      <c r="B1982" s="38" t="s">
        <v>266</v>
      </c>
      <c r="C1982" s="38" t="s">
        <v>246</v>
      </c>
      <c r="D1982" s="38" t="s">
        <v>245</v>
      </c>
      <c r="E1982" s="38" t="s">
        <v>4918</v>
      </c>
      <c r="F1982" s="38" t="s">
        <v>4224</v>
      </c>
      <c r="G1982" s="38" t="s">
        <v>111</v>
      </c>
      <c r="H1982" s="44">
        <v>44089</v>
      </c>
      <c r="I1982" s="44">
        <v>44092</v>
      </c>
      <c r="J1982">
        <v>337</v>
      </c>
      <c r="K1982">
        <v>21</v>
      </c>
      <c r="L1982" t="s">
        <v>4919</v>
      </c>
      <c r="M1982" s="45" t="s">
        <v>98</v>
      </c>
      <c r="N1982" s="38" t="s">
        <v>230</v>
      </c>
      <c r="O1982" s="38" t="s">
        <v>784</v>
      </c>
      <c r="P1982" s="38" t="s">
        <v>60</v>
      </c>
      <c r="Q1982" s="38" t="s">
        <v>62</v>
      </c>
      <c r="R1982" s="38" t="s">
        <v>270</v>
      </c>
      <c r="S1982" s="38" t="s">
        <v>4920</v>
      </c>
      <c r="T1982" s="38" t="s">
        <v>4922</v>
      </c>
      <c r="U1982" s="38"/>
      <c r="V1982" s="38"/>
      <c r="W1982" s="38"/>
      <c r="X1982" s="14"/>
      <c r="AN1982" s="7" t="s">
        <v>70</v>
      </c>
      <c r="AO1982" s="21">
        <f t="shared" si="99"/>
        <v>0</v>
      </c>
      <c r="AP1982" s="7">
        <f t="shared" si="98"/>
        <v>21</v>
      </c>
      <c r="AQ1982" s="31" t="str">
        <f t="shared" si="100"/>
        <v>Complete - No Adjustment</v>
      </c>
    </row>
    <row r="1983" spans="1:43" x14ac:dyDescent="0.2">
      <c r="A1983" s="46">
        <v>1973</v>
      </c>
      <c r="B1983" s="38" t="s">
        <v>266</v>
      </c>
      <c r="C1983" s="38" t="s">
        <v>246</v>
      </c>
      <c r="D1983" s="38" t="s">
        <v>245</v>
      </c>
      <c r="E1983" s="38" t="s">
        <v>4918</v>
      </c>
      <c r="F1983" s="38" t="s">
        <v>4224</v>
      </c>
      <c r="G1983" s="38" t="s">
        <v>111</v>
      </c>
      <c r="H1983" s="44">
        <v>44089</v>
      </c>
      <c r="I1983" s="44">
        <v>44092</v>
      </c>
      <c r="J1983">
        <v>337</v>
      </c>
      <c r="K1983">
        <v>2</v>
      </c>
      <c r="L1983" t="s">
        <v>4919</v>
      </c>
      <c r="M1983" s="45" t="s">
        <v>98</v>
      </c>
      <c r="N1983" s="38" t="s">
        <v>230</v>
      </c>
      <c r="O1983" s="38" t="s">
        <v>784</v>
      </c>
      <c r="P1983" s="38" t="s">
        <v>60</v>
      </c>
      <c r="Q1983" s="38" t="s">
        <v>62</v>
      </c>
      <c r="R1983" s="38" t="s">
        <v>270</v>
      </c>
      <c r="S1983" s="38" t="s">
        <v>4920</v>
      </c>
      <c r="T1983" s="38" t="s">
        <v>4923</v>
      </c>
      <c r="U1983" s="38"/>
      <c r="V1983" s="38"/>
      <c r="W1983" s="38"/>
      <c r="X1983" s="14"/>
      <c r="AN1983" s="7" t="s">
        <v>70</v>
      </c>
      <c r="AO1983" s="21">
        <f t="shared" si="99"/>
        <v>0</v>
      </c>
      <c r="AP1983" s="7">
        <f t="shared" si="98"/>
        <v>2</v>
      </c>
      <c r="AQ1983" s="31" t="str">
        <f t="shared" si="100"/>
        <v>Complete - No Adjustment</v>
      </c>
    </row>
    <row r="1984" spans="1:43" x14ac:dyDescent="0.2">
      <c r="A1984" s="46">
        <v>1974</v>
      </c>
      <c r="B1984" s="38" t="s">
        <v>266</v>
      </c>
      <c r="C1984" s="38" t="s">
        <v>246</v>
      </c>
      <c r="D1984" s="38" t="s">
        <v>245</v>
      </c>
      <c r="E1984" s="38" t="s">
        <v>4918</v>
      </c>
      <c r="F1984" s="38" t="s">
        <v>4224</v>
      </c>
      <c r="G1984" s="38" t="s">
        <v>111</v>
      </c>
      <c r="H1984" s="44">
        <v>44089</v>
      </c>
      <c r="I1984" s="44">
        <v>44092</v>
      </c>
      <c r="J1984">
        <v>337</v>
      </c>
      <c r="K1984">
        <v>89</v>
      </c>
      <c r="L1984" t="s">
        <v>4919</v>
      </c>
      <c r="M1984" s="45" t="s">
        <v>98</v>
      </c>
      <c r="N1984" s="38" t="s">
        <v>230</v>
      </c>
      <c r="O1984" s="38" t="s">
        <v>784</v>
      </c>
      <c r="P1984" s="38" t="s">
        <v>60</v>
      </c>
      <c r="Q1984" s="38" t="s">
        <v>62</v>
      </c>
      <c r="R1984" s="38" t="s">
        <v>270</v>
      </c>
      <c r="S1984" s="38" t="s">
        <v>4920</v>
      </c>
      <c r="T1984" s="38" t="s">
        <v>4924</v>
      </c>
      <c r="U1984" s="38"/>
      <c r="V1984" s="38"/>
      <c r="W1984" s="38"/>
      <c r="X1984" s="14"/>
      <c r="AN1984" s="7" t="s">
        <v>70</v>
      </c>
      <c r="AO1984" s="21">
        <f t="shared" si="99"/>
        <v>0</v>
      </c>
      <c r="AP1984" s="7">
        <f t="shared" si="98"/>
        <v>89</v>
      </c>
      <c r="AQ1984" s="31" t="str">
        <f t="shared" si="100"/>
        <v>Complete - No Adjustment</v>
      </c>
    </row>
    <row r="1985" spans="1:43" x14ac:dyDescent="0.2">
      <c r="A1985" s="46">
        <v>1975</v>
      </c>
      <c r="B1985" s="38" t="s">
        <v>266</v>
      </c>
      <c r="C1985" s="38" t="s">
        <v>246</v>
      </c>
      <c r="D1985" s="38" t="s">
        <v>245</v>
      </c>
      <c r="E1985" s="38" t="s">
        <v>4918</v>
      </c>
      <c r="F1985" s="38" t="s">
        <v>4224</v>
      </c>
      <c r="G1985" s="38" t="s">
        <v>111</v>
      </c>
      <c r="H1985" s="44">
        <v>44089</v>
      </c>
      <c r="I1985" s="44">
        <v>44092</v>
      </c>
      <c r="J1985">
        <v>337</v>
      </c>
      <c r="K1985">
        <v>89</v>
      </c>
      <c r="L1985" t="s">
        <v>4919</v>
      </c>
      <c r="M1985" s="45" t="s">
        <v>98</v>
      </c>
      <c r="N1985" s="38" t="s">
        <v>230</v>
      </c>
      <c r="O1985" s="38" t="s">
        <v>784</v>
      </c>
      <c r="P1985" s="38" t="s">
        <v>60</v>
      </c>
      <c r="Q1985" s="38" t="s">
        <v>62</v>
      </c>
      <c r="R1985" s="38" t="s">
        <v>270</v>
      </c>
      <c r="S1985" s="38" t="s">
        <v>4920</v>
      </c>
      <c r="T1985" s="38" t="s">
        <v>4924</v>
      </c>
      <c r="U1985" s="38"/>
      <c r="V1985" s="38"/>
      <c r="W1985" s="38"/>
      <c r="X1985" s="14"/>
      <c r="AN1985" s="7" t="s">
        <v>70</v>
      </c>
      <c r="AO1985" s="21">
        <f t="shared" si="99"/>
        <v>0</v>
      </c>
      <c r="AP1985" s="7">
        <f t="shared" si="98"/>
        <v>89</v>
      </c>
      <c r="AQ1985" s="31" t="str">
        <f t="shared" si="100"/>
        <v>Complete - No Adjustment</v>
      </c>
    </row>
    <row r="1986" spans="1:43" x14ac:dyDescent="0.2">
      <c r="A1986" s="46">
        <v>1976</v>
      </c>
      <c r="B1986" s="38" t="s">
        <v>266</v>
      </c>
      <c r="C1986" s="38" t="s">
        <v>246</v>
      </c>
      <c r="D1986" s="38" t="s">
        <v>245</v>
      </c>
      <c r="E1986" s="38" t="s">
        <v>4918</v>
      </c>
      <c r="F1986" s="38" t="s">
        <v>4224</v>
      </c>
      <c r="G1986" s="38" t="s">
        <v>111</v>
      </c>
      <c r="H1986" s="44">
        <v>44089</v>
      </c>
      <c r="I1986" s="44">
        <v>44092</v>
      </c>
      <c r="J1986">
        <v>337</v>
      </c>
      <c r="K1986">
        <v>4</v>
      </c>
      <c r="L1986" t="s">
        <v>4919</v>
      </c>
      <c r="M1986" s="45" t="s">
        <v>98</v>
      </c>
      <c r="N1986" s="38" t="s">
        <v>230</v>
      </c>
      <c r="O1986" s="38" t="s">
        <v>784</v>
      </c>
      <c r="P1986" s="38" t="s">
        <v>60</v>
      </c>
      <c r="Q1986" s="38" t="s">
        <v>62</v>
      </c>
      <c r="R1986" s="38" t="s">
        <v>270</v>
      </c>
      <c r="S1986" s="38" t="s">
        <v>4920</v>
      </c>
      <c r="T1986" s="38" t="s">
        <v>4925</v>
      </c>
      <c r="U1986" s="38"/>
      <c r="V1986" s="38"/>
      <c r="W1986" s="38"/>
      <c r="X1986" s="14"/>
      <c r="AN1986" s="7" t="s">
        <v>70</v>
      </c>
      <c r="AO1986" s="21">
        <f t="shared" si="99"/>
        <v>0</v>
      </c>
      <c r="AP1986" s="7">
        <f t="shared" si="98"/>
        <v>4</v>
      </c>
      <c r="AQ1986" s="31" t="str">
        <f t="shared" si="100"/>
        <v>Complete - No Adjustment</v>
      </c>
    </row>
    <row r="1987" spans="1:43" x14ac:dyDescent="0.2">
      <c r="A1987" s="46">
        <v>1977</v>
      </c>
      <c r="B1987" s="38" t="s">
        <v>266</v>
      </c>
      <c r="C1987" s="38" t="s">
        <v>246</v>
      </c>
      <c r="D1987" s="38" t="s">
        <v>245</v>
      </c>
      <c r="E1987" s="38" t="s">
        <v>4918</v>
      </c>
      <c r="F1987" s="38" t="s">
        <v>4224</v>
      </c>
      <c r="G1987" s="38" t="s">
        <v>111</v>
      </c>
      <c r="H1987" s="44">
        <v>44089</v>
      </c>
      <c r="I1987" s="44">
        <v>44092</v>
      </c>
      <c r="J1987">
        <v>337</v>
      </c>
      <c r="K1987">
        <v>89</v>
      </c>
      <c r="L1987" t="s">
        <v>4919</v>
      </c>
      <c r="M1987" s="45" t="s">
        <v>98</v>
      </c>
      <c r="N1987" s="38" t="s">
        <v>230</v>
      </c>
      <c r="O1987" s="38" t="s">
        <v>784</v>
      </c>
      <c r="P1987" s="38" t="s">
        <v>60</v>
      </c>
      <c r="Q1987" s="38" t="s">
        <v>62</v>
      </c>
      <c r="R1987" s="38" t="s">
        <v>270</v>
      </c>
      <c r="S1987" s="38" t="s">
        <v>4920</v>
      </c>
      <c r="T1987" s="38" t="s">
        <v>4924</v>
      </c>
      <c r="U1987" s="38"/>
      <c r="V1987" s="38"/>
      <c r="W1987" s="38"/>
      <c r="X1987" s="14"/>
      <c r="AN1987" s="7" t="s">
        <v>70</v>
      </c>
      <c r="AO1987" s="21">
        <f t="shared" si="99"/>
        <v>0</v>
      </c>
      <c r="AP1987" s="7">
        <f t="shared" si="98"/>
        <v>89</v>
      </c>
      <c r="AQ1987" s="31" t="str">
        <f t="shared" si="100"/>
        <v>Complete - No Adjustment</v>
      </c>
    </row>
    <row r="1988" spans="1:43" x14ac:dyDescent="0.2">
      <c r="A1988" s="46">
        <v>1978</v>
      </c>
      <c r="B1988" s="38" t="s">
        <v>266</v>
      </c>
      <c r="C1988" s="38" t="s">
        <v>246</v>
      </c>
      <c r="D1988" s="38" t="s">
        <v>245</v>
      </c>
      <c r="E1988" s="38" t="s">
        <v>4918</v>
      </c>
      <c r="F1988" s="38" t="s">
        <v>4224</v>
      </c>
      <c r="G1988" s="38" t="s">
        <v>111</v>
      </c>
      <c r="H1988" s="44">
        <v>44089</v>
      </c>
      <c r="I1988" s="44">
        <v>44092</v>
      </c>
      <c r="J1988">
        <v>337</v>
      </c>
      <c r="K1988">
        <v>15</v>
      </c>
      <c r="L1988" t="s">
        <v>4919</v>
      </c>
      <c r="M1988" s="45" t="s">
        <v>98</v>
      </c>
      <c r="N1988" s="38" t="s">
        <v>230</v>
      </c>
      <c r="O1988" s="38" t="s">
        <v>784</v>
      </c>
      <c r="P1988" s="38" t="s">
        <v>60</v>
      </c>
      <c r="Q1988" s="38" t="s">
        <v>62</v>
      </c>
      <c r="R1988" s="38" t="s">
        <v>270</v>
      </c>
      <c r="S1988" s="38" t="s">
        <v>4920</v>
      </c>
      <c r="T1988" s="38" t="s">
        <v>4926</v>
      </c>
      <c r="U1988" s="38"/>
      <c r="V1988" s="38"/>
      <c r="W1988" s="38"/>
      <c r="X1988" s="14"/>
      <c r="AN1988" s="7" t="s">
        <v>70</v>
      </c>
      <c r="AO1988" s="21">
        <f t="shared" si="99"/>
        <v>0</v>
      </c>
      <c r="AP1988" s="7">
        <f t="shared" si="98"/>
        <v>15</v>
      </c>
      <c r="AQ1988" s="31" t="str">
        <f t="shared" si="100"/>
        <v>Complete - No Adjustment</v>
      </c>
    </row>
    <row r="1989" spans="1:43" x14ac:dyDescent="0.2">
      <c r="A1989" s="46">
        <v>1979</v>
      </c>
      <c r="B1989" s="38" t="s">
        <v>266</v>
      </c>
      <c r="C1989" s="38" t="s">
        <v>246</v>
      </c>
      <c r="D1989" s="38" t="s">
        <v>245</v>
      </c>
      <c r="E1989" s="38" t="s">
        <v>4918</v>
      </c>
      <c r="F1989" s="38" t="s">
        <v>4224</v>
      </c>
      <c r="G1989" s="38" t="s">
        <v>111</v>
      </c>
      <c r="H1989" s="44">
        <v>44089</v>
      </c>
      <c r="I1989" s="44">
        <v>44092</v>
      </c>
      <c r="J1989">
        <v>337</v>
      </c>
      <c r="K1989">
        <v>4</v>
      </c>
      <c r="L1989" t="s">
        <v>4919</v>
      </c>
      <c r="M1989" s="45" t="s">
        <v>98</v>
      </c>
      <c r="N1989" s="38" t="s">
        <v>230</v>
      </c>
      <c r="O1989" s="38" t="s">
        <v>784</v>
      </c>
      <c r="P1989" s="38" t="s">
        <v>60</v>
      </c>
      <c r="Q1989" s="38" t="s">
        <v>62</v>
      </c>
      <c r="R1989" s="38" t="s">
        <v>270</v>
      </c>
      <c r="S1989" s="38" t="s">
        <v>4920</v>
      </c>
      <c r="T1989" s="38" t="s">
        <v>4927</v>
      </c>
      <c r="U1989" s="38"/>
      <c r="V1989" s="38"/>
      <c r="W1989" s="38"/>
      <c r="X1989" s="14"/>
      <c r="AN1989" s="7" t="s">
        <v>70</v>
      </c>
      <c r="AO1989" s="21">
        <f t="shared" si="99"/>
        <v>0</v>
      </c>
      <c r="AP1989" s="7">
        <f t="shared" si="98"/>
        <v>4</v>
      </c>
      <c r="AQ1989" s="31" t="str">
        <f t="shared" si="100"/>
        <v>Complete - No Adjustment</v>
      </c>
    </row>
    <row r="1990" spans="1:43" x14ac:dyDescent="0.2">
      <c r="A1990" s="46">
        <v>1980</v>
      </c>
      <c r="B1990" s="38" t="s">
        <v>266</v>
      </c>
      <c r="C1990" s="38" t="s">
        <v>246</v>
      </c>
      <c r="D1990" s="38" t="s">
        <v>245</v>
      </c>
      <c r="E1990" s="38" t="s">
        <v>4918</v>
      </c>
      <c r="F1990" s="38" t="s">
        <v>4224</v>
      </c>
      <c r="G1990" s="38" t="s">
        <v>111</v>
      </c>
      <c r="H1990" s="44">
        <v>44089</v>
      </c>
      <c r="I1990" s="44">
        <v>44092</v>
      </c>
      <c r="J1990">
        <v>337</v>
      </c>
      <c r="K1990">
        <v>16</v>
      </c>
      <c r="L1990" t="s">
        <v>4919</v>
      </c>
      <c r="M1990" s="45" t="s">
        <v>98</v>
      </c>
      <c r="N1990" s="38" t="s">
        <v>230</v>
      </c>
      <c r="O1990" s="38" t="s">
        <v>784</v>
      </c>
      <c r="P1990" s="38" t="s">
        <v>60</v>
      </c>
      <c r="Q1990" s="38" t="s">
        <v>62</v>
      </c>
      <c r="R1990" s="38" t="s">
        <v>270</v>
      </c>
      <c r="S1990" s="38" t="s">
        <v>4920</v>
      </c>
      <c r="T1990" s="38" t="s">
        <v>4928</v>
      </c>
      <c r="U1990" s="38"/>
      <c r="V1990" s="38"/>
      <c r="W1990" s="38"/>
      <c r="X1990" s="14"/>
      <c r="AN1990" s="7" t="s">
        <v>70</v>
      </c>
      <c r="AO1990" s="21">
        <f t="shared" si="99"/>
        <v>0</v>
      </c>
      <c r="AP1990" s="7">
        <f t="shared" si="98"/>
        <v>16</v>
      </c>
      <c r="AQ1990" s="31" t="str">
        <f t="shared" si="100"/>
        <v>Complete - No Adjustment</v>
      </c>
    </row>
    <row r="1991" spans="1:43" x14ac:dyDescent="0.2">
      <c r="A1991" s="46">
        <v>1981</v>
      </c>
      <c r="B1991" s="38" t="s">
        <v>266</v>
      </c>
      <c r="C1991" s="38" t="s">
        <v>246</v>
      </c>
      <c r="D1991" s="38" t="s">
        <v>245</v>
      </c>
      <c r="E1991" s="38" t="s">
        <v>4918</v>
      </c>
      <c r="F1991" s="38" t="s">
        <v>4224</v>
      </c>
      <c r="G1991" s="38" t="s">
        <v>111</v>
      </c>
      <c r="H1991" s="44">
        <v>44089</v>
      </c>
      <c r="I1991" s="44">
        <v>44092</v>
      </c>
      <c r="J1991">
        <v>337</v>
      </c>
      <c r="K1991">
        <v>2</v>
      </c>
      <c r="L1991" t="s">
        <v>4919</v>
      </c>
      <c r="M1991" s="45" t="s">
        <v>98</v>
      </c>
      <c r="N1991" s="38" t="s">
        <v>230</v>
      </c>
      <c r="O1991" s="38" t="s">
        <v>784</v>
      </c>
      <c r="P1991" s="38" t="s">
        <v>60</v>
      </c>
      <c r="Q1991" s="38" t="s">
        <v>62</v>
      </c>
      <c r="R1991" s="38" t="s">
        <v>270</v>
      </c>
      <c r="S1991" s="38" t="s">
        <v>4920</v>
      </c>
      <c r="T1991" s="38" t="s">
        <v>4929</v>
      </c>
      <c r="U1991" s="38"/>
      <c r="V1991" s="38"/>
      <c r="W1991" s="38"/>
      <c r="X1991" s="14"/>
      <c r="AN1991" s="7" t="s">
        <v>70</v>
      </c>
      <c r="AO1991" s="21">
        <f t="shared" si="99"/>
        <v>0</v>
      </c>
      <c r="AP1991" s="7">
        <f t="shared" si="98"/>
        <v>2</v>
      </c>
      <c r="AQ1991" s="31" t="str">
        <f t="shared" si="100"/>
        <v>Complete - No Adjustment</v>
      </c>
    </row>
    <row r="1992" spans="1:43" x14ac:dyDescent="0.2">
      <c r="A1992" s="46">
        <v>1982</v>
      </c>
      <c r="B1992" s="38" t="s">
        <v>266</v>
      </c>
      <c r="C1992" s="38" t="s">
        <v>246</v>
      </c>
      <c r="D1992" s="38" t="s">
        <v>245</v>
      </c>
      <c r="E1992" s="38" t="s">
        <v>4918</v>
      </c>
      <c r="F1992" s="38" t="s">
        <v>4224</v>
      </c>
      <c r="G1992" s="38" t="s">
        <v>111</v>
      </c>
      <c r="H1992" s="44">
        <v>44089</v>
      </c>
      <c r="I1992" s="44">
        <v>44092</v>
      </c>
      <c r="J1992">
        <v>337</v>
      </c>
      <c r="K1992">
        <v>4</v>
      </c>
      <c r="L1992" t="s">
        <v>4919</v>
      </c>
      <c r="M1992" s="45" t="s">
        <v>98</v>
      </c>
      <c r="N1992" s="38" t="s">
        <v>230</v>
      </c>
      <c r="O1992" s="38" t="s">
        <v>784</v>
      </c>
      <c r="P1992" s="38" t="s">
        <v>60</v>
      </c>
      <c r="Q1992" s="38" t="s">
        <v>62</v>
      </c>
      <c r="R1992" s="38" t="s">
        <v>270</v>
      </c>
      <c r="S1992" s="38" t="s">
        <v>4920</v>
      </c>
      <c r="T1992" s="38" t="s">
        <v>4930</v>
      </c>
      <c r="U1992" s="38"/>
      <c r="V1992" s="38"/>
      <c r="W1992" s="38"/>
      <c r="X1992" s="14"/>
      <c r="AN1992" s="7" t="s">
        <v>70</v>
      </c>
      <c r="AO1992" s="21">
        <f t="shared" si="99"/>
        <v>0</v>
      </c>
      <c r="AP1992" s="7">
        <f t="shared" si="98"/>
        <v>4</v>
      </c>
      <c r="AQ1992" s="31" t="str">
        <f t="shared" si="100"/>
        <v>Complete - No Adjustment</v>
      </c>
    </row>
    <row r="1993" spans="1:43" x14ac:dyDescent="0.2">
      <c r="A1993" s="46">
        <v>1983</v>
      </c>
      <c r="B1993" s="38" t="s">
        <v>266</v>
      </c>
      <c r="C1993" s="38" t="s">
        <v>431</v>
      </c>
      <c r="D1993" s="38" t="s">
        <v>430</v>
      </c>
      <c r="E1993" s="38" t="s">
        <v>4931</v>
      </c>
      <c r="F1993" s="38" t="s">
        <v>4291</v>
      </c>
      <c r="G1993" s="38" t="s">
        <v>111</v>
      </c>
      <c r="H1993" s="44">
        <v>44076</v>
      </c>
      <c r="I1993" s="44">
        <v>44078</v>
      </c>
      <c r="J1993">
        <v>75</v>
      </c>
      <c r="K1993">
        <v>75</v>
      </c>
      <c r="L1993" t="s">
        <v>4932</v>
      </c>
      <c r="M1993" s="45" t="s">
        <v>98</v>
      </c>
      <c r="N1993" s="38" t="s">
        <v>230</v>
      </c>
      <c r="O1993" s="38" t="s">
        <v>78</v>
      </c>
      <c r="P1993" s="38" t="s">
        <v>60</v>
      </c>
      <c r="Q1993" s="38" t="s">
        <v>59</v>
      </c>
      <c r="R1993" s="38" t="s">
        <v>270</v>
      </c>
      <c r="S1993" s="38" t="s">
        <v>4933</v>
      </c>
      <c r="T1993" s="38" t="s">
        <v>4934</v>
      </c>
      <c r="U1993" s="38"/>
      <c r="V1993" s="38"/>
      <c r="W1993" s="38"/>
      <c r="X1993" s="14"/>
      <c r="AN1993" s="7" t="s">
        <v>70</v>
      </c>
      <c r="AO1993" s="21">
        <f t="shared" si="99"/>
        <v>0</v>
      </c>
      <c r="AP1993" s="7">
        <f t="shared" si="98"/>
        <v>75</v>
      </c>
      <c r="AQ1993" s="31" t="str">
        <f t="shared" si="100"/>
        <v>Complete - No Adjustment</v>
      </c>
    </row>
    <row r="1994" spans="1:43" x14ac:dyDescent="0.2">
      <c r="A1994" s="46">
        <v>1984</v>
      </c>
      <c r="B1994" s="38" t="s">
        <v>266</v>
      </c>
      <c r="C1994" s="38" t="s">
        <v>712</v>
      </c>
      <c r="D1994" s="38" t="s">
        <v>711</v>
      </c>
      <c r="E1994" s="38" t="s">
        <v>4935</v>
      </c>
      <c r="F1994" s="38" t="s">
        <v>4215</v>
      </c>
      <c r="G1994" s="38" t="s">
        <v>111</v>
      </c>
      <c r="H1994" s="44">
        <v>44092</v>
      </c>
      <c r="I1994" s="44">
        <v>44096</v>
      </c>
      <c r="J1994">
        <v>13.63</v>
      </c>
      <c r="K1994">
        <v>13.63</v>
      </c>
      <c r="L1994" t="s">
        <v>4936</v>
      </c>
      <c r="M1994" s="45" t="s">
        <v>98</v>
      </c>
      <c r="N1994" s="38" t="s">
        <v>230</v>
      </c>
      <c r="O1994" s="38" t="s">
        <v>658</v>
      </c>
      <c r="P1994" s="38" t="s">
        <v>60</v>
      </c>
      <c r="Q1994" s="38" t="s">
        <v>41</v>
      </c>
      <c r="R1994" s="38" t="s">
        <v>270</v>
      </c>
      <c r="S1994" s="38" t="s">
        <v>4937</v>
      </c>
      <c r="T1994" s="38" t="s">
        <v>4938</v>
      </c>
      <c r="U1994" s="38"/>
      <c r="V1994" s="38"/>
      <c r="W1994" s="38"/>
      <c r="X1994" s="14"/>
      <c r="AL1994" s="14">
        <f>13.63</f>
        <v>13.63</v>
      </c>
      <c r="AN1994" s="7" t="s">
        <v>146</v>
      </c>
      <c r="AO1994" s="21">
        <f t="shared" si="99"/>
        <v>13.63</v>
      </c>
      <c r="AP1994" s="7">
        <f t="shared" ref="AP1994:AP2057" si="101">K1994-AO1994</f>
        <v>0</v>
      </c>
      <c r="AQ1994" s="31" t="str">
        <f t="shared" si="100"/>
        <v>Complete - With Adjustment</v>
      </c>
    </row>
    <row r="1995" spans="1:43" x14ac:dyDescent="0.2">
      <c r="A1995" s="46">
        <v>1985</v>
      </c>
      <c r="B1995" s="38" t="s">
        <v>266</v>
      </c>
      <c r="C1995" s="38" t="s">
        <v>435</v>
      </c>
      <c r="D1995" s="38" t="s">
        <v>434</v>
      </c>
      <c r="E1995" s="38" t="s">
        <v>4939</v>
      </c>
      <c r="F1995" s="38" t="s">
        <v>4558</v>
      </c>
      <c r="G1995" s="38" t="s">
        <v>111</v>
      </c>
      <c r="H1995" s="44">
        <v>44071</v>
      </c>
      <c r="I1995" s="44">
        <v>44075</v>
      </c>
      <c r="J1995">
        <v>68.19</v>
      </c>
      <c r="K1995">
        <v>68.19</v>
      </c>
      <c r="L1995" t="s">
        <v>4940</v>
      </c>
      <c r="M1995" s="45" t="s">
        <v>98</v>
      </c>
      <c r="N1995" s="38" t="s">
        <v>230</v>
      </c>
      <c r="O1995" s="38" t="s">
        <v>287</v>
      </c>
      <c r="P1995" s="38" t="s">
        <v>60</v>
      </c>
      <c r="Q1995" s="38" t="s">
        <v>62</v>
      </c>
      <c r="R1995" s="38" t="s">
        <v>270</v>
      </c>
      <c r="S1995" s="38" t="s">
        <v>4941</v>
      </c>
      <c r="T1995" s="38" t="s">
        <v>4942</v>
      </c>
      <c r="U1995" s="38"/>
      <c r="V1995" s="38"/>
      <c r="W1995" s="38"/>
      <c r="X1995" s="14"/>
      <c r="AN1995" s="7" t="s">
        <v>155</v>
      </c>
      <c r="AO1995" s="21">
        <f t="shared" ref="AO1995:AO2058" si="102">SUM(Y1995:AL1995)</f>
        <v>0</v>
      </c>
      <c r="AP1995" s="7">
        <f t="shared" si="101"/>
        <v>68.19</v>
      </c>
      <c r="AQ1995" s="31" t="str">
        <f t="shared" si="100"/>
        <v>Complete - No Adjustment</v>
      </c>
    </row>
    <row r="1996" spans="1:43" x14ac:dyDescent="0.2">
      <c r="A1996" s="46">
        <v>1986</v>
      </c>
      <c r="B1996" s="38" t="s">
        <v>266</v>
      </c>
      <c r="C1996" s="38" t="s">
        <v>437</v>
      </c>
      <c r="D1996" s="38" t="s">
        <v>436</v>
      </c>
      <c r="E1996" s="38" t="s">
        <v>4943</v>
      </c>
      <c r="F1996" s="38" t="s">
        <v>4238</v>
      </c>
      <c r="G1996" s="38" t="s">
        <v>111</v>
      </c>
      <c r="H1996" s="44">
        <v>44098</v>
      </c>
      <c r="I1996" s="44">
        <v>44102</v>
      </c>
      <c r="J1996">
        <v>262.69</v>
      </c>
      <c r="K1996">
        <v>20.3</v>
      </c>
      <c r="L1996" t="s">
        <v>4944</v>
      </c>
      <c r="M1996" s="45" t="s">
        <v>98</v>
      </c>
      <c r="N1996" s="38" t="s">
        <v>230</v>
      </c>
      <c r="O1996" s="38" t="s">
        <v>288</v>
      </c>
      <c r="P1996" s="38" t="s">
        <v>60</v>
      </c>
      <c r="Q1996" s="38" t="s">
        <v>41</v>
      </c>
      <c r="R1996" s="38" t="s">
        <v>270</v>
      </c>
      <c r="S1996" s="38" t="s">
        <v>4945</v>
      </c>
      <c r="T1996" s="38" t="s">
        <v>4946</v>
      </c>
      <c r="U1996" s="38"/>
      <c r="V1996" s="38"/>
      <c r="W1996" s="38"/>
      <c r="X1996" s="14"/>
      <c r="AN1996" s="7" t="s">
        <v>70</v>
      </c>
      <c r="AO1996" s="21">
        <f t="shared" si="102"/>
        <v>0</v>
      </c>
      <c r="AP1996" s="7">
        <f t="shared" si="101"/>
        <v>20.3</v>
      </c>
      <c r="AQ1996" s="31" t="str">
        <f t="shared" si="100"/>
        <v>Complete - No Adjustment</v>
      </c>
    </row>
    <row r="1997" spans="1:43" x14ac:dyDescent="0.2">
      <c r="A1997" s="46">
        <v>1987</v>
      </c>
      <c r="B1997" s="38" t="s">
        <v>266</v>
      </c>
      <c r="C1997" s="38" t="s">
        <v>437</v>
      </c>
      <c r="D1997" s="38" t="s">
        <v>436</v>
      </c>
      <c r="E1997" s="38" t="s">
        <v>4943</v>
      </c>
      <c r="F1997" s="38" t="s">
        <v>4238</v>
      </c>
      <c r="G1997" s="38" t="s">
        <v>111</v>
      </c>
      <c r="H1997" s="44">
        <v>44098</v>
      </c>
      <c r="I1997" s="44">
        <v>44102</v>
      </c>
      <c r="J1997">
        <v>262.69</v>
      </c>
      <c r="K1997">
        <v>20.3</v>
      </c>
      <c r="L1997" t="s">
        <v>4944</v>
      </c>
      <c r="M1997" s="45" t="s">
        <v>98</v>
      </c>
      <c r="N1997" s="38" t="s">
        <v>230</v>
      </c>
      <c r="O1997" s="38" t="s">
        <v>288</v>
      </c>
      <c r="P1997" s="38" t="s">
        <v>60</v>
      </c>
      <c r="Q1997" s="38" t="s">
        <v>41</v>
      </c>
      <c r="R1997" s="38" t="s">
        <v>270</v>
      </c>
      <c r="S1997" s="38" t="s">
        <v>4945</v>
      </c>
      <c r="T1997" s="38" t="s">
        <v>4946</v>
      </c>
      <c r="U1997" s="38"/>
      <c r="V1997" s="38"/>
      <c r="W1997" s="38"/>
      <c r="X1997" s="14"/>
      <c r="AN1997" s="7" t="s">
        <v>70</v>
      </c>
      <c r="AO1997" s="21">
        <f t="shared" si="102"/>
        <v>0</v>
      </c>
      <c r="AP1997" s="7">
        <f t="shared" si="101"/>
        <v>20.3</v>
      </c>
      <c r="AQ1997" s="31" t="str">
        <f t="shared" si="100"/>
        <v>Complete - No Adjustment</v>
      </c>
    </row>
    <row r="1998" spans="1:43" x14ac:dyDescent="0.2">
      <c r="A1998" s="46">
        <v>1988</v>
      </c>
      <c r="B1998" s="38" t="s">
        <v>266</v>
      </c>
      <c r="C1998" s="38" t="s">
        <v>437</v>
      </c>
      <c r="D1998" s="38" t="s">
        <v>436</v>
      </c>
      <c r="E1998" s="38" t="s">
        <v>4943</v>
      </c>
      <c r="F1998" s="38" t="s">
        <v>4238</v>
      </c>
      <c r="G1998" s="38" t="s">
        <v>111</v>
      </c>
      <c r="H1998" s="44">
        <v>44098</v>
      </c>
      <c r="I1998" s="44">
        <v>44102</v>
      </c>
      <c r="J1998">
        <v>262.69</v>
      </c>
      <c r="K1998">
        <v>146.29</v>
      </c>
      <c r="L1998" t="s">
        <v>4944</v>
      </c>
      <c r="M1998" s="45" t="s">
        <v>98</v>
      </c>
      <c r="N1998" s="38" t="s">
        <v>230</v>
      </c>
      <c r="O1998" s="38" t="s">
        <v>288</v>
      </c>
      <c r="P1998" s="38" t="s">
        <v>60</v>
      </c>
      <c r="Q1998" s="38" t="s">
        <v>49</v>
      </c>
      <c r="R1998" s="38" t="s">
        <v>270</v>
      </c>
      <c r="S1998" s="38" t="s">
        <v>4945</v>
      </c>
      <c r="T1998" s="38" t="s">
        <v>4947</v>
      </c>
      <c r="U1998" s="38"/>
      <c r="V1998" s="38"/>
      <c r="W1998" s="38"/>
      <c r="X1998" s="14"/>
      <c r="AN1998" s="7" t="s">
        <v>70</v>
      </c>
      <c r="AO1998" s="21">
        <f t="shared" si="102"/>
        <v>0</v>
      </c>
      <c r="AP1998" s="7">
        <f t="shared" si="101"/>
        <v>146.29</v>
      </c>
      <c r="AQ1998" s="31" t="str">
        <f t="shared" si="100"/>
        <v>Complete - No Adjustment</v>
      </c>
    </row>
    <row r="1999" spans="1:43" x14ac:dyDescent="0.2">
      <c r="A1999" s="46">
        <v>1989</v>
      </c>
      <c r="B1999" s="38" t="s">
        <v>266</v>
      </c>
      <c r="C1999" s="38" t="s">
        <v>437</v>
      </c>
      <c r="D1999" s="38" t="s">
        <v>436</v>
      </c>
      <c r="E1999" s="38" t="s">
        <v>4943</v>
      </c>
      <c r="F1999" s="38" t="s">
        <v>4238</v>
      </c>
      <c r="G1999" s="38" t="s">
        <v>111</v>
      </c>
      <c r="H1999" s="44">
        <v>44098</v>
      </c>
      <c r="I1999" s="44">
        <v>44102</v>
      </c>
      <c r="J1999">
        <v>262.69</v>
      </c>
      <c r="K1999">
        <v>16.72</v>
      </c>
      <c r="L1999" t="s">
        <v>4944</v>
      </c>
      <c r="M1999" s="45" t="s">
        <v>98</v>
      </c>
      <c r="N1999" s="38" t="s">
        <v>230</v>
      </c>
      <c r="O1999" s="38" t="s">
        <v>288</v>
      </c>
      <c r="P1999" s="38" t="s">
        <v>60</v>
      </c>
      <c r="Q1999" s="38" t="s">
        <v>41</v>
      </c>
      <c r="R1999" s="38" t="s">
        <v>270</v>
      </c>
      <c r="S1999" s="38" t="s">
        <v>4945</v>
      </c>
      <c r="T1999" s="38" t="s">
        <v>4946</v>
      </c>
      <c r="U1999" s="38"/>
      <c r="V1999" s="38"/>
      <c r="W1999" s="38"/>
      <c r="X1999" s="14"/>
      <c r="AN1999" s="7" t="s">
        <v>70</v>
      </c>
      <c r="AO1999" s="21">
        <f t="shared" si="102"/>
        <v>0</v>
      </c>
      <c r="AP1999" s="7">
        <f t="shared" si="101"/>
        <v>16.72</v>
      </c>
      <c r="AQ1999" s="31" t="str">
        <f t="shared" si="100"/>
        <v>Complete - No Adjustment</v>
      </c>
    </row>
    <row r="2000" spans="1:43" x14ac:dyDescent="0.2">
      <c r="A2000" s="46">
        <v>1990</v>
      </c>
      <c r="B2000" s="38" t="s">
        <v>266</v>
      </c>
      <c r="C2000" s="38" t="s">
        <v>437</v>
      </c>
      <c r="D2000" s="38" t="s">
        <v>436</v>
      </c>
      <c r="E2000" s="38" t="s">
        <v>4943</v>
      </c>
      <c r="F2000" s="38" t="s">
        <v>4238</v>
      </c>
      <c r="G2000" s="38" t="s">
        <v>111</v>
      </c>
      <c r="H2000" s="44">
        <v>44098</v>
      </c>
      <c r="I2000" s="44">
        <v>44102</v>
      </c>
      <c r="J2000">
        <v>262.69</v>
      </c>
      <c r="K2000">
        <v>23.05</v>
      </c>
      <c r="L2000" t="s">
        <v>4944</v>
      </c>
      <c r="M2000" s="45" t="s">
        <v>98</v>
      </c>
      <c r="N2000" s="38" t="s">
        <v>230</v>
      </c>
      <c r="O2000" s="38" t="s">
        <v>288</v>
      </c>
      <c r="P2000" s="38" t="s">
        <v>60</v>
      </c>
      <c r="Q2000" s="38" t="s">
        <v>41</v>
      </c>
      <c r="R2000" s="38" t="s">
        <v>270</v>
      </c>
      <c r="S2000" s="38" t="s">
        <v>4945</v>
      </c>
      <c r="T2000" s="38" t="s">
        <v>4946</v>
      </c>
      <c r="U2000" s="38"/>
      <c r="V2000" s="38"/>
      <c r="W2000" s="38"/>
      <c r="X2000" s="14"/>
      <c r="AN2000" s="7" t="s">
        <v>70</v>
      </c>
      <c r="AO2000" s="21">
        <f t="shared" si="102"/>
        <v>0</v>
      </c>
      <c r="AP2000" s="7">
        <f t="shared" si="101"/>
        <v>23.05</v>
      </c>
      <c r="AQ2000" s="31" t="str">
        <f t="shared" si="100"/>
        <v>Complete - No Adjustment</v>
      </c>
    </row>
    <row r="2001" spans="1:43" x14ac:dyDescent="0.2">
      <c r="A2001" s="46">
        <v>1991</v>
      </c>
      <c r="B2001" s="38" t="s">
        <v>266</v>
      </c>
      <c r="C2001" s="38" t="s">
        <v>437</v>
      </c>
      <c r="D2001" s="38" t="s">
        <v>436</v>
      </c>
      <c r="E2001" s="38" t="s">
        <v>4943</v>
      </c>
      <c r="F2001" s="38" t="s">
        <v>4238</v>
      </c>
      <c r="G2001" s="38" t="s">
        <v>111</v>
      </c>
      <c r="H2001" s="44">
        <v>44098</v>
      </c>
      <c r="I2001" s="44">
        <v>44102</v>
      </c>
      <c r="J2001">
        <v>262.69</v>
      </c>
      <c r="K2001">
        <v>15.73</v>
      </c>
      <c r="L2001" t="s">
        <v>4944</v>
      </c>
      <c r="M2001" s="45" t="s">
        <v>98</v>
      </c>
      <c r="N2001" s="38" t="s">
        <v>230</v>
      </c>
      <c r="O2001" s="38" t="s">
        <v>288</v>
      </c>
      <c r="P2001" s="38" t="s">
        <v>60</v>
      </c>
      <c r="Q2001" s="38" t="s">
        <v>41</v>
      </c>
      <c r="R2001" s="38" t="s">
        <v>270</v>
      </c>
      <c r="S2001" s="38" t="s">
        <v>4945</v>
      </c>
      <c r="T2001" s="38" t="s">
        <v>4948</v>
      </c>
      <c r="U2001" s="38"/>
      <c r="V2001" s="38"/>
      <c r="W2001" s="38"/>
      <c r="X2001" s="14"/>
      <c r="AN2001" s="7" t="s">
        <v>4219</v>
      </c>
      <c r="AO2001" s="21">
        <f t="shared" si="102"/>
        <v>0</v>
      </c>
      <c r="AP2001" s="7">
        <f t="shared" si="101"/>
        <v>15.73</v>
      </c>
      <c r="AQ2001" s="31" t="str">
        <f t="shared" si="100"/>
        <v>Complete - No Adjustment</v>
      </c>
    </row>
    <row r="2002" spans="1:43" x14ac:dyDescent="0.2">
      <c r="A2002" s="46">
        <v>1992</v>
      </c>
      <c r="B2002" s="38" t="s">
        <v>266</v>
      </c>
      <c r="C2002" s="38" t="s">
        <v>437</v>
      </c>
      <c r="D2002" s="38" t="s">
        <v>436</v>
      </c>
      <c r="E2002" s="38" t="s">
        <v>4943</v>
      </c>
      <c r="F2002" s="38" t="s">
        <v>4238</v>
      </c>
      <c r="G2002" s="38" t="s">
        <v>111</v>
      </c>
      <c r="H2002" s="44">
        <v>44098</v>
      </c>
      <c r="I2002" s="44">
        <v>44102</v>
      </c>
      <c r="J2002">
        <v>262.69</v>
      </c>
      <c r="K2002">
        <v>20.3</v>
      </c>
      <c r="L2002" t="s">
        <v>4944</v>
      </c>
      <c r="M2002" s="45" t="s">
        <v>98</v>
      </c>
      <c r="N2002" s="38" t="s">
        <v>230</v>
      </c>
      <c r="O2002" s="38" t="s">
        <v>288</v>
      </c>
      <c r="P2002" s="38" t="s">
        <v>60</v>
      </c>
      <c r="Q2002" s="38" t="s">
        <v>41</v>
      </c>
      <c r="R2002" s="38" t="s">
        <v>270</v>
      </c>
      <c r="S2002" s="38" t="s">
        <v>4945</v>
      </c>
      <c r="T2002" s="38" t="s">
        <v>4946</v>
      </c>
      <c r="U2002" s="38"/>
      <c r="V2002" s="38"/>
      <c r="W2002" s="38"/>
      <c r="X2002" s="14"/>
      <c r="AN2002" s="7" t="s">
        <v>70</v>
      </c>
      <c r="AO2002" s="21">
        <f t="shared" si="102"/>
        <v>0</v>
      </c>
      <c r="AP2002" s="7">
        <f t="shared" si="101"/>
        <v>20.3</v>
      </c>
      <c r="AQ2002" s="31" t="str">
        <f t="shared" ref="AQ2002:AQ2065" si="103">IF(AO2002&lt;&gt;0,"Complete - With Adjustment","Complete - No Adjustment")</f>
        <v>Complete - No Adjustment</v>
      </c>
    </row>
    <row r="2003" spans="1:43" x14ac:dyDescent="0.2">
      <c r="A2003" s="46">
        <v>1993</v>
      </c>
      <c r="B2003" s="38" t="s">
        <v>266</v>
      </c>
      <c r="C2003" s="38" t="s">
        <v>2588</v>
      </c>
      <c r="D2003" s="38" t="s">
        <v>2589</v>
      </c>
      <c r="E2003" s="38" t="s">
        <v>4949</v>
      </c>
      <c r="F2003" s="38" t="s">
        <v>4215</v>
      </c>
      <c r="G2003" s="38" t="s">
        <v>111</v>
      </c>
      <c r="H2003" s="44">
        <v>44090</v>
      </c>
      <c r="I2003" s="44">
        <v>44096</v>
      </c>
      <c r="J2003">
        <v>15</v>
      </c>
      <c r="K2003">
        <v>15</v>
      </c>
      <c r="L2003" t="s">
        <v>4950</v>
      </c>
      <c r="M2003" s="45" t="s">
        <v>98</v>
      </c>
      <c r="N2003" s="38" t="s">
        <v>230</v>
      </c>
      <c r="O2003" s="38" t="s">
        <v>280</v>
      </c>
      <c r="P2003" s="38" t="s">
        <v>60</v>
      </c>
      <c r="Q2003" s="38" t="s">
        <v>46</v>
      </c>
      <c r="R2003" s="38" t="s">
        <v>270</v>
      </c>
      <c r="S2003" s="38" t="s">
        <v>4951</v>
      </c>
      <c r="T2003" s="38" t="s">
        <v>4952</v>
      </c>
      <c r="U2003" s="38"/>
      <c r="V2003" s="38"/>
      <c r="W2003" s="38"/>
      <c r="X2003" s="14"/>
      <c r="AN2003" s="7" t="s">
        <v>4219</v>
      </c>
      <c r="AO2003" s="21">
        <f t="shared" si="102"/>
        <v>0</v>
      </c>
      <c r="AP2003" s="7">
        <f t="shared" si="101"/>
        <v>15</v>
      </c>
      <c r="AQ2003" s="31" t="str">
        <f t="shared" si="103"/>
        <v>Complete - No Adjustment</v>
      </c>
    </row>
    <row r="2004" spans="1:43" x14ac:dyDescent="0.2">
      <c r="A2004" s="46">
        <v>1994</v>
      </c>
      <c r="B2004" s="38" t="s">
        <v>266</v>
      </c>
      <c r="C2004" s="38" t="s">
        <v>612</v>
      </c>
      <c r="D2004" s="38" t="s">
        <v>845</v>
      </c>
      <c r="E2004" s="38" t="s">
        <v>4953</v>
      </c>
      <c r="F2004" s="38" t="s">
        <v>4298</v>
      </c>
      <c r="G2004" s="38" t="s">
        <v>111</v>
      </c>
      <c r="H2004" s="44">
        <v>44099</v>
      </c>
      <c r="I2004" s="44">
        <v>44103</v>
      </c>
      <c r="J2004">
        <v>21.74</v>
      </c>
      <c r="K2004">
        <v>21.74</v>
      </c>
      <c r="L2004" t="s">
        <v>4954</v>
      </c>
      <c r="M2004" s="45" t="s">
        <v>98</v>
      </c>
      <c r="N2004" s="38" t="s">
        <v>230</v>
      </c>
      <c r="O2004" s="38" t="s">
        <v>323</v>
      </c>
      <c r="P2004" s="38" t="s">
        <v>60</v>
      </c>
      <c r="Q2004" s="38" t="s">
        <v>41</v>
      </c>
      <c r="R2004" s="38" t="s">
        <v>270</v>
      </c>
      <c r="S2004" s="38" t="s">
        <v>4955</v>
      </c>
      <c r="T2004" s="38" t="s">
        <v>4956</v>
      </c>
      <c r="U2004" s="38"/>
      <c r="V2004" s="38"/>
      <c r="W2004" s="38"/>
      <c r="X2004" s="14"/>
      <c r="AB2004" s="14">
        <f>21.74-15</f>
        <v>6.7399999999999984</v>
      </c>
      <c r="AN2004" s="7" t="s">
        <v>4257</v>
      </c>
      <c r="AO2004" s="21">
        <f t="shared" si="102"/>
        <v>6.7399999999999984</v>
      </c>
      <c r="AP2004" s="7">
        <f t="shared" si="101"/>
        <v>15</v>
      </c>
      <c r="AQ2004" s="31" t="str">
        <f t="shared" si="103"/>
        <v>Complete - With Adjustment</v>
      </c>
    </row>
    <row r="2005" spans="1:43" x14ac:dyDescent="0.2">
      <c r="A2005" s="46">
        <v>1995</v>
      </c>
      <c r="B2005" s="38" t="s">
        <v>266</v>
      </c>
      <c r="C2005" s="38" t="s">
        <v>612</v>
      </c>
      <c r="D2005" s="38" t="s">
        <v>845</v>
      </c>
      <c r="E2005" s="38" t="s">
        <v>4957</v>
      </c>
      <c r="F2005" s="38" t="s">
        <v>4298</v>
      </c>
      <c r="G2005" s="38" t="s">
        <v>111</v>
      </c>
      <c r="H2005" s="44">
        <v>44078</v>
      </c>
      <c r="I2005" s="44">
        <v>44103</v>
      </c>
      <c r="J2005">
        <v>25.16</v>
      </c>
      <c r="K2005">
        <v>25.16</v>
      </c>
      <c r="L2005" t="s">
        <v>4958</v>
      </c>
      <c r="M2005" s="45" t="s">
        <v>98</v>
      </c>
      <c r="N2005" s="38" t="s">
        <v>230</v>
      </c>
      <c r="O2005" s="38" t="s">
        <v>323</v>
      </c>
      <c r="P2005" s="38" t="s">
        <v>60</v>
      </c>
      <c r="Q2005" s="38" t="s">
        <v>41</v>
      </c>
      <c r="R2005" s="38" t="s">
        <v>270</v>
      </c>
      <c r="S2005" s="38" t="s">
        <v>4959</v>
      </c>
      <c r="T2005" s="38" t="s">
        <v>4960</v>
      </c>
      <c r="U2005" s="38"/>
      <c r="V2005" s="38"/>
      <c r="W2005" s="38"/>
      <c r="X2005" s="14"/>
      <c r="AN2005" s="7" t="s">
        <v>70</v>
      </c>
      <c r="AO2005" s="21">
        <f t="shared" si="102"/>
        <v>0</v>
      </c>
      <c r="AP2005" s="7">
        <f t="shared" si="101"/>
        <v>25.16</v>
      </c>
      <c r="AQ2005" s="31" t="str">
        <f t="shared" si="103"/>
        <v>Complete - No Adjustment</v>
      </c>
    </row>
    <row r="2006" spans="1:43" x14ac:dyDescent="0.2">
      <c r="A2006" s="46">
        <v>1996</v>
      </c>
      <c r="B2006" s="38" t="s">
        <v>266</v>
      </c>
      <c r="C2006" s="38" t="s">
        <v>2610</v>
      </c>
      <c r="D2006" s="38" t="s">
        <v>2611</v>
      </c>
      <c r="E2006" s="38" t="s">
        <v>4961</v>
      </c>
      <c r="F2006" s="38" t="s">
        <v>4261</v>
      </c>
      <c r="G2006" s="38" t="s">
        <v>111</v>
      </c>
      <c r="H2006" s="44">
        <v>44090</v>
      </c>
      <c r="I2006" s="44">
        <v>44104</v>
      </c>
      <c r="J2006">
        <v>14.26</v>
      </c>
      <c r="K2006">
        <v>14.26</v>
      </c>
      <c r="L2006" t="s">
        <v>4962</v>
      </c>
      <c r="M2006" s="45" t="s">
        <v>98</v>
      </c>
      <c r="N2006" s="38" t="s">
        <v>230</v>
      </c>
      <c r="O2006" s="38" t="s">
        <v>444</v>
      </c>
      <c r="P2006" s="38" t="s">
        <v>60</v>
      </c>
      <c r="Q2006" s="38" t="s">
        <v>41</v>
      </c>
      <c r="R2006" s="38" t="s">
        <v>270</v>
      </c>
      <c r="S2006" s="38" t="s">
        <v>4963</v>
      </c>
      <c r="T2006" s="38" t="s">
        <v>4964</v>
      </c>
      <c r="U2006" s="38"/>
      <c r="V2006" s="38"/>
      <c r="W2006" s="38"/>
      <c r="X2006" s="14"/>
      <c r="AN2006" s="7" t="s">
        <v>155</v>
      </c>
      <c r="AO2006" s="21">
        <f t="shared" si="102"/>
        <v>0</v>
      </c>
      <c r="AP2006" s="7">
        <f t="shared" si="101"/>
        <v>14.26</v>
      </c>
      <c r="AQ2006" s="31" t="str">
        <f t="shared" si="103"/>
        <v>Complete - No Adjustment</v>
      </c>
    </row>
    <row r="2007" spans="1:43" x14ac:dyDescent="0.2">
      <c r="A2007" s="46">
        <v>1997</v>
      </c>
      <c r="B2007" s="38" t="s">
        <v>266</v>
      </c>
      <c r="C2007" s="38" t="s">
        <v>2610</v>
      </c>
      <c r="D2007" s="38" t="s">
        <v>2611</v>
      </c>
      <c r="E2007" s="38" t="s">
        <v>4965</v>
      </c>
      <c r="F2007" s="38" t="s">
        <v>4261</v>
      </c>
      <c r="G2007" s="38" t="s">
        <v>111</v>
      </c>
      <c r="H2007" s="44">
        <v>44102</v>
      </c>
      <c r="I2007" s="44">
        <v>44104</v>
      </c>
      <c r="J2007">
        <v>56.28</v>
      </c>
      <c r="K2007">
        <v>56.28</v>
      </c>
      <c r="L2007" t="s">
        <v>4966</v>
      </c>
      <c r="M2007" s="45" t="s">
        <v>98</v>
      </c>
      <c r="N2007" s="38" t="s">
        <v>230</v>
      </c>
      <c r="O2007" s="38" t="s">
        <v>444</v>
      </c>
      <c r="P2007" s="38" t="s">
        <v>60</v>
      </c>
      <c r="Q2007" s="38" t="s">
        <v>62</v>
      </c>
      <c r="R2007" s="38" t="s">
        <v>270</v>
      </c>
      <c r="S2007" s="38" t="s">
        <v>4967</v>
      </c>
      <c r="T2007" s="38" t="s">
        <v>4968</v>
      </c>
      <c r="U2007" s="38"/>
      <c r="V2007" s="38"/>
      <c r="W2007" s="38"/>
      <c r="X2007" s="14"/>
      <c r="AN2007" s="7" t="s">
        <v>155</v>
      </c>
      <c r="AO2007" s="21">
        <f t="shared" si="102"/>
        <v>0</v>
      </c>
      <c r="AP2007" s="7">
        <f t="shared" si="101"/>
        <v>56.28</v>
      </c>
      <c r="AQ2007" s="31" t="str">
        <f t="shared" si="103"/>
        <v>Complete - No Adjustment</v>
      </c>
    </row>
    <row r="2008" spans="1:43" x14ac:dyDescent="0.2">
      <c r="A2008" s="46">
        <v>1998</v>
      </c>
      <c r="B2008" s="38" t="s">
        <v>266</v>
      </c>
      <c r="C2008" s="38" t="s">
        <v>846</v>
      </c>
      <c r="D2008" s="38" t="s">
        <v>847</v>
      </c>
      <c r="E2008" s="38" t="s">
        <v>4969</v>
      </c>
      <c r="F2008" s="38" t="s">
        <v>4224</v>
      </c>
      <c r="G2008" s="38" t="s">
        <v>111</v>
      </c>
      <c r="H2008" s="44">
        <v>44090</v>
      </c>
      <c r="I2008" s="44">
        <v>44092</v>
      </c>
      <c r="J2008">
        <v>85</v>
      </c>
      <c r="K2008">
        <v>85</v>
      </c>
      <c r="L2008" t="s">
        <v>4970</v>
      </c>
      <c r="M2008" s="45" t="s">
        <v>98</v>
      </c>
      <c r="N2008" s="38" t="s">
        <v>230</v>
      </c>
      <c r="O2008" s="38" t="s">
        <v>314</v>
      </c>
      <c r="P2008" s="38" t="s">
        <v>60</v>
      </c>
      <c r="Q2008" s="38" t="s">
        <v>46</v>
      </c>
      <c r="R2008" s="38" t="s">
        <v>270</v>
      </c>
      <c r="S2008" s="38" t="s">
        <v>4971</v>
      </c>
      <c r="T2008" s="38" t="s">
        <v>4972</v>
      </c>
      <c r="U2008" s="38"/>
      <c r="V2008" s="38"/>
      <c r="W2008" s="38"/>
      <c r="X2008" s="14"/>
      <c r="AN2008" s="7" t="s">
        <v>70</v>
      </c>
      <c r="AO2008" s="21">
        <f t="shared" si="102"/>
        <v>0</v>
      </c>
      <c r="AP2008" s="7">
        <f t="shared" si="101"/>
        <v>85</v>
      </c>
      <c r="AQ2008" s="31" t="str">
        <f t="shared" si="103"/>
        <v>Complete - No Adjustment</v>
      </c>
    </row>
    <row r="2009" spans="1:43" x14ac:dyDescent="0.2">
      <c r="A2009" s="46">
        <v>1999</v>
      </c>
      <c r="B2009" s="38" t="s">
        <v>266</v>
      </c>
      <c r="C2009" s="38" t="s">
        <v>846</v>
      </c>
      <c r="D2009" s="38" t="s">
        <v>847</v>
      </c>
      <c r="E2009" s="38" t="s">
        <v>4973</v>
      </c>
      <c r="F2009" s="38" t="s">
        <v>4432</v>
      </c>
      <c r="G2009" s="38" t="s">
        <v>111</v>
      </c>
      <c r="H2009" s="44">
        <v>44090</v>
      </c>
      <c r="I2009" s="44">
        <v>44091</v>
      </c>
      <c r="J2009">
        <v>227.7</v>
      </c>
      <c r="K2009">
        <v>227.7</v>
      </c>
      <c r="L2009" t="s">
        <v>4974</v>
      </c>
      <c r="M2009" s="45" t="s">
        <v>98</v>
      </c>
      <c r="N2009" s="38" t="s">
        <v>230</v>
      </c>
      <c r="O2009" s="38" t="s">
        <v>314</v>
      </c>
      <c r="P2009" s="38" t="s">
        <v>60</v>
      </c>
      <c r="Q2009" s="38" t="s">
        <v>44</v>
      </c>
      <c r="R2009" s="38" t="s">
        <v>270</v>
      </c>
      <c r="S2009" s="38" t="s">
        <v>4029</v>
      </c>
      <c r="T2009" s="38" t="s">
        <v>4030</v>
      </c>
      <c r="U2009" s="38"/>
      <c r="V2009" s="38"/>
      <c r="W2009" s="38"/>
      <c r="X2009" s="14"/>
      <c r="AN2009" s="7" t="s">
        <v>70</v>
      </c>
      <c r="AO2009" s="21">
        <f t="shared" si="102"/>
        <v>0</v>
      </c>
      <c r="AP2009" s="7">
        <f t="shared" si="101"/>
        <v>227.7</v>
      </c>
      <c r="AQ2009" s="31" t="str">
        <f t="shared" si="103"/>
        <v>Complete - No Adjustment</v>
      </c>
    </row>
    <row r="2010" spans="1:43" x14ac:dyDescent="0.2">
      <c r="A2010" s="46">
        <v>2000</v>
      </c>
      <c r="B2010" s="38" t="s">
        <v>266</v>
      </c>
      <c r="C2010" s="38" t="s">
        <v>771</v>
      </c>
      <c r="D2010" s="38" t="s">
        <v>770</v>
      </c>
      <c r="E2010" s="38" t="s">
        <v>4975</v>
      </c>
      <c r="F2010" s="38" t="s">
        <v>4215</v>
      </c>
      <c r="G2010" s="38" t="s">
        <v>111</v>
      </c>
      <c r="H2010" s="44">
        <v>44092</v>
      </c>
      <c r="I2010" s="44">
        <v>44096</v>
      </c>
      <c r="J2010">
        <v>52</v>
      </c>
      <c r="K2010">
        <v>39</v>
      </c>
      <c r="L2010" t="s">
        <v>4976</v>
      </c>
      <c r="M2010" s="45" t="s">
        <v>98</v>
      </c>
      <c r="N2010" s="38" t="s">
        <v>230</v>
      </c>
      <c r="O2010" s="38" t="s">
        <v>642</v>
      </c>
      <c r="P2010" s="38" t="s">
        <v>60</v>
      </c>
      <c r="Q2010" s="38" t="s">
        <v>48</v>
      </c>
      <c r="R2010" s="38" t="s">
        <v>270</v>
      </c>
      <c r="S2010" s="38" t="s">
        <v>4977</v>
      </c>
      <c r="T2010" s="38" t="s">
        <v>4978</v>
      </c>
      <c r="U2010" s="38"/>
      <c r="V2010" s="38"/>
      <c r="W2010" s="38"/>
      <c r="X2010" s="14"/>
      <c r="AN2010" s="7" t="s">
        <v>70</v>
      </c>
      <c r="AO2010" s="21">
        <f t="shared" si="102"/>
        <v>0</v>
      </c>
      <c r="AP2010" s="7">
        <f t="shared" si="101"/>
        <v>39</v>
      </c>
      <c r="AQ2010" s="31" t="str">
        <f t="shared" si="103"/>
        <v>Complete - No Adjustment</v>
      </c>
    </row>
    <row r="2011" spans="1:43" x14ac:dyDescent="0.2">
      <c r="A2011" s="46">
        <v>2001</v>
      </c>
      <c r="B2011" s="38" t="s">
        <v>266</v>
      </c>
      <c r="C2011" s="38" t="s">
        <v>439</v>
      </c>
      <c r="D2011" s="38" t="s">
        <v>438</v>
      </c>
      <c r="E2011" s="38" t="s">
        <v>4979</v>
      </c>
      <c r="F2011" s="38" t="s">
        <v>4261</v>
      </c>
      <c r="G2011" s="38" t="s">
        <v>111</v>
      </c>
      <c r="H2011" s="44">
        <v>44099</v>
      </c>
      <c r="I2011" s="44">
        <v>44104</v>
      </c>
      <c r="J2011">
        <v>16144.23</v>
      </c>
      <c r="K2011">
        <v>32.64</v>
      </c>
      <c r="L2011" t="s">
        <v>4980</v>
      </c>
      <c r="M2011" s="45" t="s">
        <v>97</v>
      </c>
      <c r="N2011" s="38" t="s">
        <v>230</v>
      </c>
      <c r="O2011" s="38" t="s">
        <v>386</v>
      </c>
      <c r="P2011" s="38" t="s">
        <v>42</v>
      </c>
      <c r="Q2011" s="38" t="s">
        <v>55</v>
      </c>
      <c r="R2011" s="38" t="s">
        <v>270</v>
      </c>
      <c r="S2011" s="38" t="s">
        <v>4981</v>
      </c>
      <c r="T2011" s="38" t="s">
        <v>4982</v>
      </c>
      <c r="U2011" s="38"/>
      <c r="V2011" s="38"/>
      <c r="W2011" s="38"/>
      <c r="X2011" s="14"/>
      <c r="AI2011" s="53">
        <f>32.64</f>
        <v>32.64</v>
      </c>
      <c r="AN2011" s="7" t="s">
        <v>145</v>
      </c>
      <c r="AO2011" s="21">
        <f t="shared" si="102"/>
        <v>32.64</v>
      </c>
      <c r="AP2011" s="7">
        <f t="shared" si="101"/>
        <v>0</v>
      </c>
      <c r="AQ2011" s="31" t="str">
        <f t="shared" si="103"/>
        <v>Complete - With Adjustment</v>
      </c>
    </row>
    <row r="2012" spans="1:43" x14ac:dyDescent="0.2">
      <c r="A2012" s="46">
        <v>2002</v>
      </c>
      <c r="B2012" s="38" t="s">
        <v>266</v>
      </c>
      <c r="C2012" s="38" t="s">
        <v>439</v>
      </c>
      <c r="D2012" s="38" t="s">
        <v>438</v>
      </c>
      <c r="E2012" s="38" t="s">
        <v>4979</v>
      </c>
      <c r="F2012" s="38" t="s">
        <v>4261</v>
      </c>
      <c r="G2012" s="38" t="s">
        <v>111</v>
      </c>
      <c r="H2012" s="44">
        <v>44099</v>
      </c>
      <c r="I2012" s="44">
        <v>44104</v>
      </c>
      <c r="J2012">
        <v>16144.23</v>
      </c>
      <c r="K2012">
        <v>37.65</v>
      </c>
      <c r="L2012" t="s">
        <v>4980</v>
      </c>
      <c r="M2012" s="45" t="s">
        <v>97</v>
      </c>
      <c r="N2012" s="38" t="s">
        <v>230</v>
      </c>
      <c r="O2012" s="38" t="s">
        <v>386</v>
      </c>
      <c r="P2012" s="38" t="s">
        <v>42</v>
      </c>
      <c r="Q2012" s="38" t="s">
        <v>55</v>
      </c>
      <c r="R2012" s="38" t="s">
        <v>270</v>
      </c>
      <c r="S2012" s="38" t="s">
        <v>4981</v>
      </c>
      <c r="T2012" s="38" t="s">
        <v>4983</v>
      </c>
      <c r="U2012" s="38"/>
      <c r="V2012" s="38"/>
      <c r="W2012" s="38"/>
      <c r="X2012" s="14"/>
      <c r="AI2012" s="53">
        <f>37.65</f>
        <v>37.65</v>
      </c>
      <c r="AN2012" s="7" t="s">
        <v>145</v>
      </c>
      <c r="AO2012" s="21">
        <f t="shared" si="102"/>
        <v>37.65</v>
      </c>
      <c r="AP2012" s="7">
        <f t="shared" si="101"/>
        <v>0</v>
      </c>
      <c r="AQ2012" s="31" t="str">
        <f t="shared" si="103"/>
        <v>Complete - With Adjustment</v>
      </c>
    </row>
    <row r="2013" spans="1:43" x14ac:dyDescent="0.2">
      <c r="A2013" s="46">
        <v>2003</v>
      </c>
      <c r="B2013" s="38" t="s">
        <v>266</v>
      </c>
      <c r="C2013" s="38" t="s">
        <v>439</v>
      </c>
      <c r="D2013" s="38" t="s">
        <v>438</v>
      </c>
      <c r="E2013" s="38" t="s">
        <v>4979</v>
      </c>
      <c r="F2013" s="38" t="s">
        <v>4261</v>
      </c>
      <c r="G2013" s="38" t="s">
        <v>111</v>
      </c>
      <c r="H2013" s="44">
        <v>44099</v>
      </c>
      <c r="I2013" s="44">
        <v>44104</v>
      </c>
      <c r="J2013">
        <v>16144.23</v>
      </c>
      <c r="K2013">
        <v>15278.6</v>
      </c>
      <c r="L2013" t="s">
        <v>4980</v>
      </c>
      <c r="M2013" s="45" t="s">
        <v>98</v>
      </c>
      <c r="N2013" s="38" t="s">
        <v>230</v>
      </c>
      <c r="O2013" s="38" t="s">
        <v>386</v>
      </c>
      <c r="P2013" s="38" t="s">
        <v>60</v>
      </c>
      <c r="Q2013" s="38" t="s">
        <v>46</v>
      </c>
      <c r="R2013" s="38" t="s">
        <v>270</v>
      </c>
      <c r="S2013" s="38" t="s">
        <v>4981</v>
      </c>
      <c r="T2013" s="38" t="s">
        <v>4984</v>
      </c>
      <c r="U2013" s="38"/>
      <c r="V2013" s="38"/>
      <c r="W2013" s="38"/>
      <c r="X2013" s="14"/>
      <c r="AI2013" s="53">
        <f>15278.6</f>
        <v>15278.6</v>
      </c>
      <c r="AN2013" s="7" t="s">
        <v>145</v>
      </c>
      <c r="AO2013" s="21">
        <f t="shared" si="102"/>
        <v>15278.6</v>
      </c>
      <c r="AP2013" s="7">
        <f t="shared" si="101"/>
        <v>0</v>
      </c>
      <c r="AQ2013" s="31" t="str">
        <f t="shared" si="103"/>
        <v>Complete - With Adjustment</v>
      </c>
    </row>
    <row r="2014" spans="1:43" x14ac:dyDescent="0.2">
      <c r="A2014" s="46">
        <v>2004</v>
      </c>
      <c r="B2014" s="38" t="s">
        <v>266</v>
      </c>
      <c r="C2014" s="38" t="s">
        <v>439</v>
      </c>
      <c r="D2014" s="38" t="s">
        <v>438</v>
      </c>
      <c r="E2014" s="38" t="s">
        <v>4979</v>
      </c>
      <c r="F2014" s="38" t="s">
        <v>4261</v>
      </c>
      <c r="G2014" s="38" t="s">
        <v>111</v>
      </c>
      <c r="H2014" s="44">
        <v>44099</v>
      </c>
      <c r="I2014" s="44">
        <v>44104</v>
      </c>
      <c r="J2014">
        <v>16144.23</v>
      </c>
      <c r="K2014">
        <v>49.03</v>
      </c>
      <c r="L2014" t="s">
        <v>4980</v>
      </c>
      <c r="M2014" s="45" t="s">
        <v>97</v>
      </c>
      <c r="N2014" s="38" t="s">
        <v>230</v>
      </c>
      <c r="O2014" s="38" t="s">
        <v>386</v>
      </c>
      <c r="P2014" s="38" t="s">
        <v>42</v>
      </c>
      <c r="Q2014" s="38" t="s">
        <v>55</v>
      </c>
      <c r="R2014" s="38" t="s">
        <v>270</v>
      </c>
      <c r="S2014" s="38" t="s">
        <v>4981</v>
      </c>
      <c r="T2014" s="38" t="s">
        <v>4985</v>
      </c>
      <c r="U2014" s="38"/>
      <c r="V2014" s="38"/>
      <c r="W2014" s="38"/>
      <c r="X2014" s="14"/>
      <c r="AI2014" s="53">
        <f>49.03</f>
        <v>49.03</v>
      </c>
      <c r="AN2014" s="7" t="s">
        <v>145</v>
      </c>
      <c r="AO2014" s="21">
        <f t="shared" si="102"/>
        <v>49.03</v>
      </c>
      <c r="AP2014" s="7">
        <f t="shared" si="101"/>
        <v>0</v>
      </c>
      <c r="AQ2014" s="31" t="str">
        <f t="shared" si="103"/>
        <v>Complete - With Adjustment</v>
      </c>
    </row>
    <row r="2015" spans="1:43" x14ac:dyDescent="0.2">
      <c r="A2015" s="46">
        <v>2005</v>
      </c>
      <c r="B2015" s="38" t="s">
        <v>266</v>
      </c>
      <c r="C2015" s="38" t="s">
        <v>439</v>
      </c>
      <c r="D2015" s="38" t="s">
        <v>438</v>
      </c>
      <c r="E2015" s="38" t="s">
        <v>4979</v>
      </c>
      <c r="F2015" s="38" t="s">
        <v>4261</v>
      </c>
      <c r="G2015" s="38" t="s">
        <v>111</v>
      </c>
      <c r="H2015" s="44">
        <v>44099</v>
      </c>
      <c r="I2015" s="44">
        <v>44104</v>
      </c>
      <c r="J2015">
        <v>16144.23</v>
      </c>
      <c r="K2015">
        <v>41.45</v>
      </c>
      <c r="L2015" t="s">
        <v>4980</v>
      </c>
      <c r="M2015" s="45" t="s">
        <v>97</v>
      </c>
      <c r="N2015" s="38" t="s">
        <v>230</v>
      </c>
      <c r="O2015" s="38" t="s">
        <v>386</v>
      </c>
      <c r="P2015" s="38" t="s">
        <v>42</v>
      </c>
      <c r="Q2015" s="38" t="s">
        <v>55</v>
      </c>
      <c r="R2015" s="38" t="s">
        <v>270</v>
      </c>
      <c r="S2015" s="38" t="s">
        <v>4981</v>
      </c>
      <c r="T2015" s="38" t="s">
        <v>4986</v>
      </c>
      <c r="U2015" s="38"/>
      <c r="V2015" s="38"/>
      <c r="W2015" s="38"/>
      <c r="X2015" s="14"/>
      <c r="AI2015" s="53">
        <f>41.45</f>
        <v>41.45</v>
      </c>
      <c r="AN2015" s="7" t="s">
        <v>145</v>
      </c>
      <c r="AO2015" s="21">
        <f t="shared" si="102"/>
        <v>41.45</v>
      </c>
      <c r="AP2015" s="7">
        <f t="shared" si="101"/>
        <v>0</v>
      </c>
      <c r="AQ2015" s="31" t="str">
        <f t="shared" si="103"/>
        <v>Complete - With Adjustment</v>
      </c>
    </row>
    <row r="2016" spans="1:43" x14ac:dyDescent="0.2">
      <c r="A2016" s="46">
        <v>2006</v>
      </c>
      <c r="B2016" s="38" t="s">
        <v>266</v>
      </c>
      <c r="C2016" s="38" t="s">
        <v>439</v>
      </c>
      <c r="D2016" s="38" t="s">
        <v>438</v>
      </c>
      <c r="E2016" s="38" t="s">
        <v>4979</v>
      </c>
      <c r="F2016" s="38" t="s">
        <v>4261</v>
      </c>
      <c r="G2016" s="38" t="s">
        <v>111</v>
      </c>
      <c r="H2016" s="44">
        <v>44099</v>
      </c>
      <c r="I2016" s="44">
        <v>44104</v>
      </c>
      <c r="J2016">
        <v>16144.23</v>
      </c>
      <c r="K2016">
        <v>39.81</v>
      </c>
      <c r="L2016" t="s">
        <v>4980</v>
      </c>
      <c r="M2016" s="45" t="s">
        <v>97</v>
      </c>
      <c r="N2016" s="38" t="s">
        <v>230</v>
      </c>
      <c r="O2016" s="38" t="s">
        <v>386</v>
      </c>
      <c r="P2016" s="38" t="s">
        <v>42</v>
      </c>
      <c r="Q2016" s="38" t="s">
        <v>55</v>
      </c>
      <c r="R2016" s="38" t="s">
        <v>270</v>
      </c>
      <c r="S2016" s="38" t="s">
        <v>4981</v>
      </c>
      <c r="T2016" s="38" t="s">
        <v>4987</v>
      </c>
      <c r="U2016" s="38"/>
      <c r="V2016" s="38"/>
      <c r="W2016" s="38"/>
      <c r="X2016" s="14"/>
      <c r="AI2016" s="53">
        <f>39.81</f>
        <v>39.81</v>
      </c>
      <c r="AN2016" s="7" t="s">
        <v>145</v>
      </c>
      <c r="AO2016" s="21">
        <f t="shared" si="102"/>
        <v>39.81</v>
      </c>
      <c r="AP2016" s="7">
        <f t="shared" si="101"/>
        <v>0</v>
      </c>
      <c r="AQ2016" s="31" t="str">
        <f t="shared" si="103"/>
        <v>Complete - With Adjustment</v>
      </c>
    </row>
    <row r="2017" spans="1:43" x14ac:dyDescent="0.2">
      <c r="A2017" s="46">
        <v>2007</v>
      </c>
      <c r="B2017" s="38" t="s">
        <v>266</v>
      </c>
      <c r="C2017" s="38" t="s">
        <v>439</v>
      </c>
      <c r="D2017" s="38" t="s">
        <v>438</v>
      </c>
      <c r="E2017" s="38" t="s">
        <v>4979</v>
      </c>
      <c r="F2017" s="38" t="s">
        <v>4261</v>
      </c>
      <c r="G2017" s="38" t="s">
        <v>111</v>
      </c>
      <c r="H2017" s="44">
        <v>44099</v>
      </c>
      <c r="I2017" s="44">
        <v>44104</v>
      </c>
      <c r="J2017">
        <v>16144.23</v>
      </c>
      <c r="K2017">
        <v>40.83</v>
      </c>
      <c r="L2017" t="s">
        <v>4980</v>
      </c>
      <c r="M2017" s="45" t="s">
        <v>97</v>
      </c>
      <c r="N2017" s="38" t="s">
        <v>230</v>
      </c>
      <c r="O2017" s="38" t="s">
        <v>386</v>
      </c>
      <c r="P2017" s="38" t="s">
        <v>42</v>
      </c>
      <c r="Q2017" s="38" t="s">
        <v>55</v>
      </c>
      <c r="R2017" s="38" t="s">
        <v>270</v>
      </c>
      <c r="S2017" s="38" t="s">
        <v>4981</v>
      </c>
      <c r="T2017" s="38" t="s">
        <v>4988</v>
      </c>
      <c r="U2017" s="38"/>
      <c r="V2017" s="38"/>
      <c r="W2017" s="38"/>
      <c r="X2017" s="14"/>
      <c r="AI2017" s="53">
        <f>40.83</f>
        <v>40.83</v>
      </c>
      <c r="AN2017" s="7" t="s">
        <v>145</v>
      </c>
      <c r="AO2017" s="21">
        <f t="shared" si="102"/>
        <v>40.83</v>
      </c>
      <c r="AP2017" s="7">
        <f t="shared" si="101"/>
        <v>0</v>
      </c>
      <c r="AQ2017" s="31" t="str">
        <f t="shared" si="103"/>
        <v>Complete - With Adjustment</v>
      </c>
    </row>
    <row r="2018" spans="1:43" x14ac:dyDescent="0.2">
      <c r="A2018" s="46">
        <v>2008</v>
      </c>
      <c r="B2018" s="38" t="s">
        <v>266</v>
      </c>
      <c r="C2018" s="38" t="s">
        <v>439</v>
      </c>
      <c r="D2018" s="38" t="s">
        <v>438</v>
      </c>
      <c r="E2018" s="38" t="s">
        <v>4979</v>
      </c>
      <c r="F2018" s="38" t="s">
        <v>4261</v>
      </c>
      <c r="G2018" s="38" t="s">
        <v>111</v>
      </c>
      <c r="H2018" s="44">
        <v>44099</v>
      </c>
      <c r="I2018" s="44">
        <v>44104</v>
      </c>
      <c r="J2018">
        <v>16144.23</v>
      </c>
      <c r="K2018">
        <v>34.840000000000003</v>
      </c>
      <c r="L2018" t="s">
        <v>4980</v>
      </c>
      <c r="M2018" s="45" t="s">
        <v>97</v>
      </c>
      <c r="N2018" s="38" t="s">
        <v>230</v>
      </c>
      <c r="O2018" s="38" t="s">
        <v>386</v>
      </c>
      <c r="P2018" s="38" t="s">
        <v>42</v>
      </c>
      <c r="Q2018" s="38" t="s">
        <v>55</v>
      </c>
      <c r="R2018" s="38" t="s">
        <v>270</v>
      </c>
      <c r="S2018" s="38" t="s">
        <v>4981</v>
      </c>
      <c r="T2018" s="38" t="s">
        <v>4989</v>
      </c>
      <c r="U2018" s="38"/>
      <c r="V2018" s="38"/>
      <c r="W2018" s="38"/>
      <c r="X2018" s="14"/>
      <c r="AI2018" s="53">
        <f>34.84</f>
        <v>34.840000000000003</v>
      </c>
      <c r="AN2018" s="7" t="s">
        <v>145</v>
      </c>
      <c r="AO2018" s="21">
        <f t="shared" si="102"/>
        <v>34.840000000000003</v>
      </c>
      <c r="AP2018" s="7">
        <f t="shared" si="101"/>
        <v>0</v>
      </c>
      <c r="AQ2018" s="31" t="str">
        <f t="shared" si="103"/>
        <v>Complete - With Adjustment</v>
      </c>
    </row>
    <row r="2019" spans="1:43" x14ac:dyDescent="0.2">
      <c r="A2019" s="46">
        <v>2009</v>
      </c>
      <c r="B2019" s="38" t="s">
        <v>266</v>
      </c>
      <c r="C2019" s="38" t="s">
        <v>439</v>
      </c>
      <c r="D2019" s="38" t="s">
        <v>438</v>
      </c>
      <c r="E2019" s="38" t="s">
        <v>4979</v>
      </c>
      <c r="F2019" s="38" t="s">
        <v>4261</v>
      </c>
      <c r="G2019" s="38" t="s">
        <v>111</v>
      </c>
      <c r="H2019" s="44">
        <v>44099</v>
      </c>
      <c r="I2019" s="44">
        <v>44104</v>
      </c>
      <c r="J2019">
        <v>16144.23</v>
      </c>
      <c r="K2019">
        <v>36.79</v>
      </c>
      <c r="L2019" t="s">
        <v>4980</v>
      </c>
      <c r="M2019" s="45" t="s">
        <v>98</v>
      </c>
      <c r="N2019" s="38" t="s">
        <v>230</v>
      </c>
      <c r="O2019" s="38" t="s">
        <v>271</v>
      </c>
      <c r="P2019" s="38" t="s">
        <v>60</v>
      </c>
      <c r="Q2019" s="38" t="s">
        <v>62</v>
      </c>
      <c r="R2019" s="38" t="s">
        <v>270</v>
      </c>
      <c r="S2019" s="38" t="s">
        <v>4981</v>
      </c>
      <c r="T2019" s="38" t="s">
        <v>4990</v>
      </c>
      <c r="U2019" s="38"/>
      <c r="V2019" s="38"/>
      <c r="W2019" s="38"/>
      <c r="X2019" s="14"/>
      <c r="AN2019" s="7" t="s">
        <v>155</v>
      </c>
      <c r="AO2019" s="21">
        <f t="shared" si="102"/>
        <v>0</v>
      </c>
      <c r="AP2019" s="7">
        <f t="shared" si="101"/>
        <v>36.79</v>
      </c>
      <c r="AQ2019" s="31" t="str">
        <f t="shared" si="103"/>
        <v>Complete - No Adjustment</v>
      </c>
    </row>
    <row r="2020" spans="1:43" x14ac:dyDescent="0.2">
      <c r="A2020" s="46">
        <v>2010</v>
      </c>
      <c r="B2020" s="38" t="s">
        <v>266</v>
      </c>
      <c r="C2020" s="38" t="s">
        <v>439</v>
      </c>
      <c r="D2020" s="38" t="s">
        <v>438</v>
      </c>
      <c r="E2020" s="38" t="s">
        <v>4979</v>
      </c>
      <c r="F2020" s="38" t="s">
        <v>4261</v>
      </c>
      <c r="G2020" s="38" t="s">
        <v>111</v>
      </c>
      <c r="H2020" s="44">
        <v>44099</v>
      </c>
      <c r="I2020" s="44">
        <v>44104</v>
      </c>
      <c r="J2020">
        <v>16144.23</v>
      </c>
      <c r="K2020">
        <v>103.91</v>
      </c>
      <c r="L2020" t="s">
        <v>4980</v>
      </c>
      <c r="M2020" s="45" t="s">
        <v>98</v>
      </c>
      <c r="N2020" s="38" t="s">
        <v>230</v>
      </c>
      <c r="O2020" s="38" t="s">
        <v>271</v>
      </c>
      <c r="P2020" s="38" t="s">
        <v>60</v>
      </c>
      <c r="Q2020" s="38" t="s">
        <v>62</v>
      </c>
      <c r="R2020" s="38" t="s">
        <v>270</v>
      </c>
      <c r="S2020" s="38" t="s">
        <v>4981</v>
      </c>
      <c r="T2020" s="38" t="s">
        <v>4991</v>
      </c>
      <c r="U2020" s="38"/>
      <c r="V2020" s="38"/>
      <c r="W2020" s="38"/>
      <c r="X2020" s="14"/>
      <c r="AN2020" s="7" t="s">
        <v>70</v>
      </c>
      <c r="AO2020" s="21">
        <f t="shared" si="102"/>
        <v>0</v>
      </c>
      <c r="AP2020" s="7">
        <f t="shared" si="101"/>
        <v>103.91</v>
      </c>
      <c r="AQ2020" s="31" t="str">
        <f t="shared" si="103"/>
        <v>Complete - No Adjustment</v>
      </c>
    </row>
    <row r="2021" spans="1:43" x14ac:dyDescent="0.2">
      <c r="A2021" s="46">
        <v>2011</v>
      </c>
      <c r="B2021" s="38" t="s">
        <v>266</v>
      </c>
      <c r="C2021" s="38" t="s">
        <v>439</v>
      </c>
      <c r="D2021" s="38" t="s">
        <v>438</v>
      </c>
      <c r="E2021" s="38" t="s">
        <v>4979</v>
      </c>
      <c r="F2021" s="38" t="s">
        <v>4261</v>
      </c>
      <c r="G2021" s="38" t="s">
        <v>111</v>
      </c>
      <c r="H2021" s="44">
        <v>44099</v>
      </c>
      <c r="I2021" s="44">
        <v>44104</v>
      </c>
      <c r="J2021">
        <v>16144.23</v>
      </c>
      <c r="K2021">
        <v>30.02</v>
      </c>
      <c r="L2021" t="s">
        <v>4980</v>
      </c>
      <c r="M2021" s="45" t="s">
        <v>97</v>
      </c>
      <c r="N2021" s="38" t="s">
        <v>230</v>
      </c>
      <c r="O2021" s="38" t="s">
        <v>386</v>
      </c>
      <c r="P2021" s="38" t="s">
        <v>42</v>
      </c>
      <c r="Q2021" s="38" t="s">
        <v>55</v>
      </c>
      <c r="R2021" s="38" t="s">
        <v>270</v>
      </c>
      <c r="S2021" s="38" t="s">
        <v>4981</v>
      </c>
      <c r="T2021" s="38" t="s">
        <v>4992</v>
      </c>
      <c r="U2021" s="38"/>
      <c r="V2021" s="38"/>
      <c r="W2021" s="38"/>
      <c r="X2021" s="14"/>
      <c r="AI2021" s="53">
        <f>30.02</f>
        <v>30.02</v>
      </c>
      <c r="AN2021" s="7" t="s">
        <v>145</v>
      </c>
      <c r="AO2021" s="21">
        <f t="shared" si="102"/>
        <v>30.02</v>
      </c>
      <c r="AP2021" s="7">
        <f t="shared" si="101"/>
        <v>0</v>
      </c>
      <c r="AQ2021" s="31" t="str">
        <f t="shared" si="103"/>
        <v>Complete - With Adjustment</v>
      </c>
    </row>
    <row r="2022" spans="1:43" x14ac:dyDescent="0.2">
      <c r="A2022" s="46">
        <v>2012</v>
      </c>
      <c r="B2022" s="38" t="s">
        <v>266</v>
      </c>
      <c r="C2022" s="38" t="s">
        <v>439</v>
      </c>
      <c r="D2022" s="38" t="s">
        <v>438</v>
      </c>
      <c r="E2022" s="38" t="s">
        <v>4979</v>
      </c>
      <c r="F2022" s="38" t="s">
        <v>4261</v>
      </c>
      <c r="G2022" s="38" t="s">
        <v>111</v>
      </c>
      <c r="H2022" s="44">
        <v>44099</v>
      </c>
      <c r="I2022" s="44">
        <v>44104</v>
      </c>
      <c r="J2022">
        <v>16144.23</v>
      </c>
      <c r="K2022">
        <v>47.1</v>
      </c>
      <c r="L2022" t="s">
        <v>4980</v>
      </c>
      <c r="M2022" s="45" t="s">
        <v>97</v>
      </c>
      <c r="N2022" s="38" t="s">
        <v>230</v>
      </c>
      <c r="O2022" s="38" t="s">
        <v>386</v>
      </c>
      <c r="P2022" s="38" t="s">
        <v>42</v>
      </c>
      <c r="Q2022" s="38" t="s">
        <v>55</v>
      </c>
      <c r="R2022" s="38" t="s">
        <v>270</v>
      </c>
      <c r="S2022" s="38" t="s">
        <v>4981</v>
      </c>
      <c r="T2022" s="38" t="s">
        <v>4993</v>
      </c>
      <c r="U2022" s="38"/>
      <c r="V2022" s="38"/>
      <c r="W2022" s="38"/>
      <c r="X2022" s="14"/>
      <c r="AI2022" s="53">
        <f>47.1</f>
        <v>47.1</v>
      </c>
      <c r="AN2022" s="7" t="s">
        <v>145</v>
      </c>
      <c r="AO2022" s="21">
        <f t="shared" si="102"/>
        <v>47.1</v>
      </c>
      <c r="AP2022" s="7">
        <f t="shared" si="101"/>
        <v>0</v>
      </c>
      <c r="AQ2022" s="31" t="str">
        <f t="shared" si="103"/>
        <v>Complete - With Adjustment</v>
      </c>
    </row>
    <row r="2023" spans="1:43" x14ac:dyDescent="0.2">
      <c r="A2023" s="46">
        <v>2013</v>
      </c>
      <c r="B2023" s="38" t="s">
        <v>266</v>
      </c>
      <c r="C2023" s="38" t="s">
        <v>439</v>
      </c>
      <c r="D2023" s="38" t="s">
        <v>438</v>
      </c>
      <c r="E2023" s="38" t="s">
        <v>4979</v>
      </c>
      <c r="F2023" s="38" t="s">
        <v>4261</v>
      </c>
      <c r="G2023" s="38" t="s">
        <v>111</v>
      </c>
      <c r="H2023" s="44">
        <v>44099</v>
      </c>
      <c r="I2023" s="44">
        <v>44104</v>
      </c>
      <c r="J2023">
        <v>16144.23</v>
      </c>
      <c r="K2023">
        <v>39.049999999999997</v>
      </c>
      <c r="L2023" t="s">
        <v>4980</v>
      </c>
      <c r="M2023" s="45" t="s">
        <v>97</v>
      </c>
      <c r="N2023" s="38" t="s">
        <v>230</v>
      </c>
      <c r="O2023" s="38" t="s">
        <v>386</v>
      </c>
      <c r="P2023" s="38" t="s">
        <v>42</v>
      </c>
      <c r="Q2023" s="38" t="s">
        <v>55</v>
      </c>
      <c r="R2023" s="38" t="s">
        <v>270</v>
      </c>
      <c r="S2023" s="38" t="s">
        <v>4981</v>
      </c>
      <c r="T2023" s="38" t="s">
        <v>4994</v>
      </c>
      <c r="U2023" s="38"/>
      <c r="V2023" s="38"/>
      <c r="W2023" s="38"/>
      <c r="X2023" s="14"/>
      <c r="AI2023" s="53">
        <f>39.05</f>
        <v>39.049999999999997</v>
      </c>
      <c r="AN2023" s="7" t="s">
        <v>145</v>
      </c>
      <c r="AO2023" s="21">
        <f t="shared" si="102"/>
        <v>39.049999999999997</v>
      </c>
      <c r="AP2023" s="7">
        <f t="shared" si="101"/>
        <v>0</v>
      </c>
      <c r="AQ2023" s="31" t="str">
        <f t="shared" si="103"/>
        <v>Complete - With Adjustment</v>
      </c>
    </row>
    <row r="2024" spans="1:43" x14ac:dyDescent="0.2">
      <c r="A2024" s="46">
        <v>2014</v>
      </c>
      <c r="B2024" s="38" t="s">
        <v>266</v>
      </c>
      <c r="C2024" s="38" t="s">
        <v>439</v>
      </c>
      <c r="D2024" s="38" t="s">
        <v>438</v>
      </c>
      <c r="E2024" s="38" t="s">
        <v>4979</v>
      </c>
      <c r="F2024" s="38" t="s">
        <v>4261</v>
      </c>
      <c r="G2024" s="38" t="s">
        <v>111</v>
      </c>
      <c r="H2024" s="44">
        <v>44099</v>
      </c>
      <c r="I2024" s="44">
        <v>44104</v>
      </c>
      <c r="J2024">
        <v>16144.23</v>
      </c>
      <c r="K2024">
        <v>39.33</v>
      </c>
      <c r="L2024" t="s">
        <v>4980</v>
      </c>
      <c r="M2024" s="45" t="s">
        <v>97</v>
      </c>
      <c r="N2024" s="38" t="s">
        <v>230</v>
      </c>
      <c r="O2024" s="38" t="s">
        <v>386</v>
      </c>
      <c r="P2024" s="38" t="s">
        <v>42</v>
      </c>
      <c r="Q2024" s="38" t="s">
        <v>55</v>
      </c>
      <c r="R2024" s="38" t="s">
        <v>270</v>
      </c>
      <c r="S2024" s="38" t="s">
        <v>4981</v>
      </c>
      <c r="T2024" s="38" t="s">
        <v>4995</v>
      </c>
      <c r="U2024" s="38"/>
      <c r="V2024" s="38"/>
      <c r="W2024" s="38"/>
      <c r="X2024" s="14"/>
      <c r="AI2024" s="53">
        <f>39.33</f>
        <v>39.33</v>
      </c>
      <c r="AN2024" s="7" t="s">
        <v>145</v>
      </c>
      <c r="AO2024" s="21">
        <f t="shared" si="102"/>
        <v>39.33</v>
      </c>
      <c r="AP2024" s="7">
        <f t="shared" si="101"/>
        <v>0</v>
      </c>
      <c r="AQ2024" s="31" t="str">
        <f t="shared" si="103"/>
        <v>Complete - With Adjustment</v>
      </c>
    </row>
    <row r="2025" spans="1:43" x14ac:dyDescent="0.2">
      <c r="A2025" s="46">
        <v>2015</v>
      </c>
      <c r="B2025" s="38" t="s">
        <v>266</v>
      </c>
      <c r="C2025" s="38" t="s">
        <v>439</v>
      </c>
      <c r="D2025" s="38" t="s">
        <v>438</v>
      </c>
      <c r="E2025" s="38" t="s">
        <v>4979</v>
      </c>
      <c r="F2025" s="38" t="s">
        <v>4261</v>
      </c>
      <c r="G2025" s="38" t="s">
        <v>111</v>
      </c>
      <c r="H2025" s="44">
        <v>44099</v>
      </c>
      <c r="I2025" s="44">
        <v>44104</v>
      </c>
      <c r="J2025">
        <v>16144.23</v>
      </c>
      <c r="K2025">
        <v>37.409999999999997</v>
      </c>
      <c r="L2025" t="s">
        <v>4980</v>
      </c>
      <c r="M2025" s="45" t="s">
        <v>97</v>
      </c>
      <c r="N2025" s="38" t="s">
        <v>230</v>
      </c>
      <c r="O2025" s="38" t="s">
        <v>386</v>
      </c>
      <c r="P2025" s="38" t="s">
        <v>42</v>
      </c>
      <c r="Q2025" s="38" t="s">
        <v>55</v>
      </c>
      <c r="R2025" s="38" t="s">
        <v>270</v>
      </c>
      <c r="S2025" s="38" t="s">
        <v>4981</v>
      </c>
      <c r="T2025" s="38" t="s">
        <v>4996</v>
      </c>
      <c r="U2025" s="38"/>
      <c r="V2025" s="38"/>
      <c r="W2025" s="38"/>
      <c r="X2025" s="14"/>
      <c r="AI2025" s="53">
        <f>37.41</f>
        <v>37.409999999999997</v>
      </c>
      <c r="AN2025" s="7" t="s">
        <v>145</v>
      </c>
      <c r="AO2025" s="21">
        <f t="shared" si="102"/>
        <v>37.409999999999997</v>
      </c>
      <c r="AP2025" s="7">
        <f t="shared" si="101"/>
        <v>0</v>
      </c>
      <c r="AQ2025" s="31" t="str">
        <f t="shared" si="103"/>
        <v>Complete - With Adjustment</v>
      </c>
    </row>
    <row r="2026" spans="1:43" x14ac:dyDescent="0.2">
      <c r="A2026" s="46">
        <v>2016</v>
      </c>
      <c r="B2026" s="38" t="s">
        <v>266</v>
      </c>
      <c r="C2026" s="38" t="s">
        <v>439</v>
      </c>
      <c r="D2026" s="38" t="s">
        <v>438</v>
      </c>
      <c r="E2026" s="38" t="s">
        <v>4979</v>
      </c>
      <c r="F2026" s="38" t="s">
        <v>4261</v>
      </c>
      <c r="G2026" s="38" t="s">
        <v>111</v>
      </c>
      <c r="H2026" s="44">
        <v>44099</v>
      </c>
      <c r="I2026" s="44">
        <v>44104</v>
      </c>
      <c r="J2026">
        <v>16144.23</v>
      </c>
      <c r="K2026">
        <v>50.6</v>
      </c>
      <c r="L2026" t="s">
        <v>4980</v>
      </c>
      <c r="M2026" s="45" t="s">
        <v>97</v>
      </c>
      <c r="N2026" s="38" t="s">
        <v>230</v>
      </c>
      <c r="O2026" s="38" t="s">
        <v>386</v>
      </c>
      <c r="P2026" s="38" t="s">
        <v>42</v>
      </c>
      <c r="Q2026" s="38" t="s">
        <v>55</v>
      </c>
      <c r="R2026" s="38" t="s">
        <v>270</v>
      </c>
      <c r="S2026" s="38" t="s">
        <v>4981</v>
      </c>
      <c r="T2026" s="38" t="s">
        <v>4997</v>
      </c>
      <c r="U2026" s="38"/>
      <c r="V2026" s="38"/>
      <c r="W2026" s="38"/>
      <c r="X2026" s="14"/>
      <c r="AI2026" s="53">
        <f>50.6</f>
        <v>50.6</v>
      </c>
      <c r="AN2026" s="7" t="s">
        <v>145</v>
      </c>
      <c r="AO2026" s="21">
        <f t="shared" si="102"/>
        <v>50.6</v>
      </c>
      <c r="AP2026" s="7">
        <f t="shared" si="101"/>
        <v>0</v>
      </c>
      <c r="AQ2026" s="31" t="str">
        <f t="shared" si="103"/>
        <v>Complete - With Adjustment</v>
      </c>
    </row>
    <row r="2027" spans="1:43" x14ac:dyDescent="0.2">
      <c r="A2027" s="46">
        <v>2017</v>
      </c>
      <c r="B2027" s="38" t="s">
        <v>266</v>
      </c>
      <c r="C2027" s="38" t="s">
        <v>439</v>
      </c>
      <c r="D2027" s="38" t="s">
        <v>438</v>
      </c>
      <c r="E2027" s="38" t="s">
        <v>4979</v>
      </c>
      <c r="F2027" s="38" t="s">
        <v>4261</v>
      </c>
      <c r="G2027" s="38" t="s">
        <v>111</v>
      </c>
      <c r="H2027" s="44">
        <v>44099</v>
      </c>
      <c r="I2027" s="44">
        <v>44104</v>
      </c>
      <c r="J2027">
        <v>16144.23</v>
      </c>
      <c r="K2027">
        <v>37.47</v>
      </c>
      <c r="L2027" t="s">
        <v>4980</v>
      </c>
      <c r="M2027" s="45" t="s">
        <v>97</v>
      </c>
      <c r="N2027" s="38" t="s">
        <v>230</v>
      </c>
      <c r="O2027" s="38" t="s">
        <v>386</v>
      </c>
      <c r="P2027" s="38" t="s">
        <v>42</v>
      </c>
      <c r="Q2027" s="38" t="s">
        <v>55</v>
      </c>
      <c r="R2027" s="38" t="s">
        <v>270</v>
      </c>
      <c r="S2027" s="38" t="s">
        <v>4981</v>
      </c>
      <c r="T2027" s="38" t="s">
        <v>4998</v>
      </c>
      <c r="U2027" s="38"/>
      <c r="V2027" s="38"/>
      <c r="W2027" s="38"/>
      <c r="X2027" s="14"/>
      <c r="AI2027" s="53">
        <f>37.47</f>
        <v>37.47</v>
      </c>
      <c r="AN2027" s="7" t="s">
        <v>145</v>
      </c>
      <c r="AO2027" s="21">
        <f t="shared" si="102"/>
        <v>37.47</v>
      </c>
      <c r="AP2027" s="7">
        <f t="shared" si="101"/>
        <v>0</v>
      </c>
      <c r="AQ2027" s="31" t="str">
        <f t="shared" si="103"/>
        <v>Complete - With Adjustment</v>
      </c>
    </row>
    <row r="2028" spans="1:43" x14ac:dyDescent="0.2">
      <c r="A2028" s="46">
        <v>2018</v>
      </c>
      <c r="B2028" s="38" t="s">
        <v>266</v>
      </c>
      <c r="C2028" s="38" t="s">
        <v>439</v>
      </c>
      <c r="D2028" s="38" t="s">
        <v>438</v>
      </c>
      <c r="E2028" s="38" t="s">
        <v>4979</v>
      </c>
      <c r="F2028" s="38" t="s">
        <v>4261</v>
      </c>
      <c r="G2028" s="38" t="s">
        <v>111</v>
      </c>
      <c r="H2028" s="44">
        <v>44099</v>
      </c>
      <c r="I2028" s="44">
        <v>44104</v>
      </c>
      <c r="J2028">
        <v>16144.23</v>
      </c>
      <c r="K2028">
        <v>119.4</v>
      </c>
      <c r="L2028" t="s">
        <v>4980</v>
      </c>
      <c r="M2028" s="45" t="s">
        <v>98</v>
      </c>
      <c r="N2028" s="38" t="s">
        <v>230</v>
      </c>
      <c r="O2028" s="38" t="s">
        <v>271</v>
      </c>
      <c r="P2028" s="38" t="s">
        <v>60</v>
      </c>
      <c r="Q2028" s="38" t="s">
        <v>62</v>
      </c>
      <c r="R2028" s="38" t="s">
        <v>270</v>
      </c>
      <c r="S2028" s="38" t="s">
        <v>4981</v>
      </c>
      <c r="T2028" s="38" t="s">
        <v>4999</v>
      </c>
      <c r="U2028" s="38"/>
      <c r="V2028" s="38"/>
      <c r="W2028" s="38"/>
      <c r="X2028" s="14"/>
      <c r="AN2028" s="7" t="s">
        <v>70</v>
      </c>
      <c r="AO2028" s="21">
        <f t="shared" si="102"/>
        <v>0</v>
      </c>
      <c r="AP2028" s="7">
        <f t="shared" si="101"/>
        <v>119.4</v>
      </c>
      <c r="AQ2028" s="31" t="str">
        <f t="shared" si="103"/>
        <v>Complete - No Adjustment</v>
      </c>
    </row>
    <row r="2029" spans="1:43" x14ac:dyDescent="0.2">
      <c r="A2029" s="46">
        <v>2019</v>
      </c>
      <c r="B2029" s="38" t="s">
        <v>266</v>
      </c>
      <c r="C2029" s="38" t="s">
        <v>439</v>
      </c>
      <c r="D2029" s="38" t="s">
        <v>438</v>
      </c>
      <c r="E2029" s="38" t="s">
        <v>4979</v>
      </c>
      <c r="F2029" s="38" t="s">
        <v>4261</v>
      </c>
      <c r="G2029" s="38" t="s">
        <v>111</v>
      </c>
      <c r="H2029" s="44">
        <v>44099</v>
      </c>
      <c r="I2029" s="44">
        <v>44104</v>
      </c>
      <c r="J2029">
        <v>16144.23</v>
      </c>
      <c r="K2029">
        <v>48.3</v>
      </c>
      <c r="L2029" t="s">
        <v>4980</v>
      </c>
      <c r="M2029" s="45" t="s">
        <v>97</v>
      </c>
      <c r="N2029" s="38" t="s">
        <v>230</v>
      </c>
      <c r="O2029" s="38" t="s">
        <v>386</v>
      </c>
      <c r="P2029" s="38" t="s">
        <v>42</v>
      </c>
      <c r="Q2029" s="38" t="s">
        <v>55</v>
      </c>
      <c r="R2029" s="38" t="s">
        <v>270</v>
      </c>
      <c r="S2029" s="38" t="s">
        <v>4981</v>
      </c>
      <c r="T2029" s="38" t="s">
        <v>5000</v>
      </c>
      <c r="U2029" s="38"/>
      <c r="V2029" s="38"/>
      <c r="W2029" s="38"/>
      <c r="X2029" s="14"/>
      <c r="AI2029" s="53">
        <f>48.3</f>
        <v>48.3</v>
      </c>
      <c r="AN2029" s="7" t="s">
        <v>145</v>
      </c>
      <c r="AO2029" s="21">
        <f t="shared" si="102"/>
        <v>48.3</v>
      </c>
      <c r="AP2029" s="7">
        <f t="shared" si="101"/>
        <v>0</v>
      </c>
      <c r="AQ2029" s="31" t="str">
        <f t="shared" si="103"/>
        <v>Complete - With Adjustment</v>
      </c>
    </row>
    <row r="2030" spans="1:43" x14ac:dyDescent="0.2">
      <c r="A2030" s="46">
        <v>2020</v>
      </c>
      <c r="B2030" s="38" t="s">
        <v>266</v>
      </c>
      <c r="C2030" s="38" t="s">
        <v>786</v>
      </c>
      <c r="D2030" s="38" t="s">
        <v>785</v>
      </c>
      <c r="E2030" s="38" t="s">
        <v>5001</v>
      </c>
      <c r="F2030" s="38" t="s">
        <v>4298</v>
      </c>
      <c r="G2030" s="38" t="s">
        <v>111</v>
      </c>
      <c r="H2030" s="44">
        <v>44099</v>
      </c>
      <c r="I2030" s="44">
        <v>44103</v>
      </c>
      <c r="J2030">
        <v>17.61</v>
      </c>
      <c r="K2030">
        <v>17.61</v>
      </c>
      <c r="L2030" t="s">
        <v>5002</v>
      </c>
      <c r="M2030" s="45" t="s">
        <v>98</v>
      </c>
      <c r="N2030" s="38" t="s">
        <v>230</v>
      </c>
      <c r="O2030" s="38" t="s">
        <v>365</v>
      </c>
      <c r="P2030" s="38" t="s">
        <v>60</v>
      </c>
      <c r="Q2030" s="38" t="s">
        <v>41</v>
      </c>
      <c r="R2030" s="38" t="s">
        <v>270</v>
      </c>
      <c r="S2030" s="38" t="s">
        <v>5003</v>
      </c>
      <c r="T2030" s="38" t="s">
        <v>5004</v>
      </c>
      <c r="U2030" s="38"/>
      <c r="V2030" s="38"/>
      <c r="W2030" s="38"/>
      <c r="X2030" s="14"/>
      <c r="AI2030" s="53">
        <f>17.61</f>
        <v>17.61</v>
      </c>
      <c r="AN2030" s="7" t="s">
        <v>145</v>
      </c>
      <c r="AO2030" s="21">
        <f t="shared" si="102"/>
        <v>17.61</v>
      </c>
      <c r="AP2030" s="7">
        <f t="shared" si="101"/>
        <v>0</v>
      </c>
      <c r="AQ2030" s="31" t="str">
        <f t="shared" si="103"/>
        <v>Complete - With Adjustment</v>
      </c>
    </row>
    <row r="2031" spans="1:43" x14ac:dyDescent="0.2">
      <c r="A2031" s="46">
        <v>2021</v>
      </c>
      <c r="B2031" s="38" t="s">
        <v>266</v>
      </c>
      <c r="C2031" s="38" t="s">
        <v>786</v>
      </c>
      <c r="D2031" s="38" t="s">
        <v>785</v>
      </c>
      <c r="E2031" s="38" t="s">
        <v>5005</v>
      </c>
      <c r="F2031" s="38" t="s">
        <v>4298</v>
      </c>
      <c r="G2031" s="38" t="s">
        <v>111</v>
      </c>
      <c r="H2031" s="44">
        <v>44099</v>
      </c>
      <c r="I2031" s="44">
        <v>44103</v>
      </c>
      <c r="J2031">
        <v>19.72</v>
      </c>
      <c r="K2031">
        <v>19.72</v>
      </c>
      <c r="L2031" t="s">
        <v>5006</v>
      </c>
      <c r="M2031" s="45" t="s">
        <v>98</v>
      </c>
      <c r="N2031" s="38" t="s">
        <v>230</v>
      </c>
      <c r="O2031" s="38" t="s">
        <v>365</v>
      </c>
      <c r="P2031" s="38" t="s">
        <v>60</v>
      </c>
      <c r="Q2031" s="38" t="s">
        <v>41</v>
      </c>
      <c r="R2031" s="38" t="s">
        <v>270</v>
      </c>
      <c r="S2031" s="38" t="s">
        <v>5007</v>
      </c>
      <c r="T2031" s="38" t="s">
        <v>5008</v>
      </c>
      <c r="U2031" s="38"/>
      <c r="V2031" s="38"/>
      <c r="W2031" s="38"/>
      <c r="X2031" s="14"/>
      <c r="AB2031" s="14">
        <f>19.72-15</f>
        <v>4.7199999999999989</v>
      </c>
      <c r="AN2031" s="7" t="s">
        <v>4257</v>
      </c>
      <c r="AO2031" s="21">
        <f t="shared" si="102"/>
        <v>4.7199999999999989</v>
      </c>
      <c r="AP2031" s="7">
        <f t="shared" si="101"/>
        <v>15</v>
      </c>
      <c r="AQ2031" s="31" t="str">
        <f t="shared" si="103"/>
        <v>Complete - With Adjustment</v>
      </c>
    </row>
    <row r="2032" spans="1:43" x14ac:dyDescent="0.2">
      <c r="A2032" s="46">
        <v>2022</v>
      </c>
      <c r="B2032" s="38" t="s">
        <v>266</v>
      </c>
      <c r="C2032" s="38" t="s">
        <v>443</v>
      </c>
      <c r="D2032" s="38" t="s">
        <v>442</v>
      </c>
      <c r="E2032" s="38" t="s">
        <v>5009</v>
      </c>
      <c r="F2032" s="38" t="s">
        <v>4238</v>
      </c>
      <c r="G2032" s="38" t="s">
        <v>111</v>
      </c>
      <c r="H2032" s="44">
        <v>44089</v>
      </c>
      <c r="I2032" s="44">
        <v>44102</v>
      </c>
      <c r="J2032">
        <v>16.18</v>
      </c>
      <c r="K2032">
        <v>16.18</v>
      </c>
      <c r="L2032" t="s">
        <v>5010</v>
      </c>
      <c r="M2032" s="45" t="s">
        <v>98</v>
      </c>
      <c r="N2032" s="38" t="s">
        <v>230</v>
      </c>
      <c r="O2032" s="38" t="s">
        <v>444</v>
      </c>
      <c r="P2032" s="38" t="s">
        <v>60</v>
      </c>
      <c r="Q2032" s="38" t="s">
        <v>41</v>
      </c>
      <c r="R2032" s="38" t="s">
        <v>270</v>
      </c>
      <c r="S2032" s="38" t="s">
        <v>5011</v>
      </c>
      <c r="T2032" s="38" t="s">
        <v>5012</v>
      </c>
      <c r="U2032" s="38"/>
      <c r="V2032" s="38"/>
      <c r="W2032" s="38"/>
      <c r="X2032" s="14"/>
      <c r="AB2032" s="14">
        <f>16.18-15</f>
        <v>1.1799999999999997</v>
      </c>
      <c r="AN2032" s="7" t="s">
        <v>4257</v>
      </c>
      <c r="AO2032" s="21">
        <f t="shared" si="102"/>
        <v>1.1799999999999997</v>
      </c>
      <c r="AP2032" s="7">
        <f t="shared" si="101"/>
        <v>15</v>
      </c>
      <c r="AQ2032" s="31" t="str">
        <f t="shared" si="103"/>
        <v>Complete - With Adjustment</v>
      </c>
    </row>
    <row r="2033" spans="1:43" x14ac:dyDescent="0.2">
      <c r="A2033" s="46">
        <v>2023</v>
      </c>
      <c r="B2033" s="38" t="s">
        <v>266</v>
      </c>
      <c r="C2033" s="38" t="s">
        <v>678</v>
      </c>
      <c r="D2033" s="38" t="s">
        <v>677</v>
      </c>
      <c r="E2033" s="38" t="s">
        <v>5013</v>
      </c>
      <c r="F2033" s="38" t="s">
        <v>4224</v>
      </c>
      <c r="G2033" s="38" t="s">
        <v>111</v>
      </c>
      <c r="H2033" s="44">
        <v>44090</v>
      </c>
      <c r="I2033" s="44">
        <v>44092</v>
      </c>
      <c r="J2033">
        <v>12.48</v>
      </c>
      <c r="K2033">
        <v>12.48</v>
      </c>
      <c r="L2033" t="s">
        <v>5014</v>
      </c>
      <c r="M2033" s="45" t="s">
        <v>98</v>
      </c>
      <c r="N2033" s="38" t="s">
        <v>230</v>
      </c>
      <c r="O2033" s="38" t="s">
        <v>78</v>
      </c>
      <c r="P2033" s="38" t="s">
        <v>60</v>
      </c>
      <c r="Q2033" s="38" t="s">
        <v>41</v>
      </c>
      <c r="R2033" s="38" t="s">
        <v>270</v>
      </c>
      <c r="S2033" s="38" t="s">
        <v>5015</v>
      </c>
      <c r="T2033" s="38" t="s">
        <v>5016</v>
      </c>
      <c r="U2033" s="38"/>
      <c r="V2033" s="38"/>
      <c r="W2033" s="38"/>
      <c r="X2033" s="14"/>
      <c r="AN2033" s="7" t="s">
        <v>4219</v>
      </c>
      <c r="AO2033" s="21">
        <f t="shared" si="102"/>
        <v>0</v>
      </c>
      <c r="AP2033" s="7">
        <f t="shared" si="101"/>
        <v>12.48</v>
      </c>
      <c r="AQ2033" s="31" t="str">
        <f t="shared" si="103"/>
        <v>Complete - No Adjustment</v>
      </c>
    </row>
    <row r="2034" spans="1:43" x14ac:dyDescent="0.2">
      <c r="A2034" s="46">
        <v>2024</v>
      </c>
      <c r="B2034" s="38" t="s">
        <v>266</v>
      </c>
      <c r="C2034" s="38" t="s">
        <v>561</v>
      </c>
      <c r="D2034" s="38" t="s">
        <v>560</v>
      </c>
      <c r="E2034" s="38" t="s">
        <v>5017</v>
      </c>
      <c r="F2034" s="38" t="s">
        <v>4215</v>
      </c>
      <c r="G2034" s="38" t="s">
        <v>111</v>
      </c>
      <c r="H2034" s="44">
        <v>44091</v>
      </c>
      <c r="I2034" s="44">
        <v>44096</v>
      </c>
      <c r="J2034">
        <v>40.15</v>
      </c>
      <c r="K2034">
        <v>11.14</v>
      </c>
      <c r="L2034" t="s">
        <v>5018</v>
      </c>
      <c r="M2034" s="45" t="s">
        <v>98</v>
      </c>
      <c r="N2034" s="38" t="s">
        <v>230</v>
      </c>
      <c r="O2034" s="38" t="s">
        <v>281</v>
      </c>
      <c r="P2034" s="38" t="s">
        <v>60</v>
      </c>
      <c r="Q2034" s="38" t="s">
        <v>41</v>
      </c>
      <c r="R2034" s="38" t="s">
        <v>270</v>
      </c>
      <c r="S2034" s="38" t="s">
        <v>5019</v>
      </c>
      <c r="T2034" s="38" t="s">
        <v>5020</v>
      </c>
      <c r="U2034" s="38"/>
      <c r="V2034" s="38"/>
      <c r="W2034" s="38"/>
      <c r="X2034" s="14"/>
      <c r="AN2034" s="7" t="s">
        <v>155</v>
      </c>
      <c r="AO2034" s="21">
        <f t="shared" si="102"/>
        <v>0</v>
      </c>
      <c r="AP2034" s="7">
        <f t="shared" si="101"/>
        <v>11.14</v>
      </c>
      <c r="AQ2034" s="31" t="str">
        <f t="shared" si="103"/>
        <v>Complete - No Adjustment</v>
      </c>
    </row>
    <row r="2035" spans="1:43" x14ac:dyDescent="0.2">
      <c r="A2035" s="46">
        <v>2025</v>
      </c>
      <c r="B2035" s="38" t="s">
        <v>266</v>
      </c>
      <c r="C2035" s="38" t="s">
        <v>561</v>
      </c>
      <c r="D2035" s="38" t="s">
        <v>560</v>
      </c>
      <c r="E2035" s="38" t="s">
        <v>5017</v>
      </c>
      <c r="F2035" s="38" t="s">
        <v>4215</v>
      </c>
      <c r="G2035" s="38" t="s">
        <v>111</v>
      </c>
      <c r="H2035" s="44">
        <v>44091</v>
      </c>
      <c r="I2035" s="44">
        <v>44096</v>
      </c>
      <c r="J2035">
        <v>40.15</v>
      </c>
      <c r="K2035">
        <v>11.85</v>
      </c>
      <c r="L2035" t="s">
        <v>5018</v>
      </c>
      <c r="M2035" s="45" t="s">
        <v>98</v>
      </c>
      <c r="N2035" s="38" t="s">
        <v>230</v>
      </c>
      <c r="O2035" s="38" t="s">
        <v>281</v>
      </c>
      <c r="P2035" s="38" t="s">
        <v>60</v>
      </c>
      <c r="Q2035" s="38" t="s">
        <v>41</v>
      </c>
      <c r="R2035" s="38" t="s">
        <v>270</v>
      </c>
      <c r="S2035" s="38" t="s">
        <v>5019</v>
      </c>
      <c r="T2035" s="38" t="s">
        <v>5021</v>
      </c>
      <c r="U2035" s="38"/>
      <c r="V2035" s="38"/>
      <c r="W2035" s="38"/>
      <c r="X2035" s="14"/>
      <c r="AN2035" s="7" t="s">
        <v>155</v>
      </c>
      <c r="AO2035" s="21">
        <f t="shared" si="102"/>
        <v>0</v>
      </c>
      <c r="AP2035" s="7">
        <f t="shared" si="101"/>
        <v>11.85</v>
      </c>
      <c r="AQ2035" s="31" t="str">
        <f t="shared" si="103"/>
        <v>Complete - No Adjustment</v>
      </c>
    </row>
    <row r="2036" spans="1:43" x14ac:dyDescent="0.2">
      <c r="A2036" s="46">
        <v>2026</v>
      </c>
      <c r="B2036" s="38" t="s">
        <v>266</v>
      </c>
      <c r="C2036" s="38" t="s">
        <v>561</v>
      </c>
      <c r="D2036" s="38" t="s">
        <v>560</v>
      </c>
      <c r="E2036" s="38" t="s">
        <v>5017</v>
      </c>
      <c r="F2036" s="38" t="s">
        <v>4215</v>
      </c>
      <c r="G2036" s="38" t="s">
        <v>111</v>
      </c>
      <c r="H2036" s="44">
        <v>44091</v>
      </c>
      <c r="I2036" s="44">
        <v>44096</v>
      </c>
      <c r="J2036">
        <v>40.15</v>
      </c>
      <c r="K2036">
        <v>17.16</v>
      </c>
      <c r="L2036" t="s">
        <v>5018</v>
      </c>
      <c r="M2036" s="45" t="s">
        <v>98</v>
      </c>
      <c r="N2036" s="38" t="s">
        <v>230</v>
      </c>
      <c r="O2036" s="38" t="s">
        <v>281</v>
      </c>
      <c r="P2036" s="38" t="s">
        <v>60</v>
      </c>
      <c r="Q2036" s="38" t="s">
        <v>41</v>
      </c>
      <c r="R2036" s="38" t="s">
        <v>270</v>
      </c>
      <c r="S2036" s="38" t="s">
        <v>5019</v>
      </c>
      <c r="T2036" s="38" t="s">
        <v>1401</v>
      </c>
      <c r="U2036" s="38"/>
      <c r="V2036" s="38"/>
      <c r="W2036" s="38"/>
      <c r="X2036" s="14"/>
      <c r="AN2036" s="7" t="s">
        <v>155</v>
      </c>
      <c r="AO2036" s="21">
        <f t="shared" si="102"/>
        <v>0</v>
      </c>
      <c r="AP2036" s="7">
        <f t="shared" si="101"/>
        <v>17.16</v>
      </c>
      <c r="AQ2036" s="31" t="str">
        <f t="shared" si="103"/>
        <v>Complete - No Adjustment</v>
      </c>
    </row>
    <row r="2037" spans="1:43" x14ac:dyDescent="0.2">
      <c r="A2037" s="46">
        <v>2027</v>
      </c>
      <c r="B2037" s="38" t="s">
        <v>266</v>
      </c>
      <c r="C2037" s="38" t="s">
        <v>561</v>
      </c>
      <c r="D2037" s="38" t="s">
        <v>560</v>
      </c>
      <c r="E2037" s="38" t="s">
        <v>5022</v>
      </c>
      <c r="F2037" s="38" t="s">
        <v>4210</v>
      </c>
      <c r="G2037" s="38" t="s">
        <v>111</v>
      </c>
      <c r="H2037" s="44">
        <v>44071</v>
      </c>
      <c r="I2037" s="44">
        <v>44076</v>
      </c>
      <c r="J2037">
        <v>153.38999999999999</v>
      </c>
      <c r="K2037">
        <v>19.72</v>
      </c>
      <c r="L2037" t="s">
        <v>5023</v>
      </c>
      <c r="M2037" s="45" t="s">
        <v>98</v>
      </c>
      <c r="N2037" s="38" t="s">
        <v>230</v>
      </c>
      <c r="O2037" s="38" t="s">
        <v>311</v>
      </c>
      <c r="P2037" s="38" t="s">
        <v>60</v>
      </c>
      <c r="Q2037" s="38" t="s">
        <v>41</v>
      </c>
      <c r="R2037" s="38" t="s">
        <v>270</v>
      </c>
      <c r="S2037" s="38" t="s">
        <v>5024</v>
      </c>
      <c r="T2037" s="38" t="s">
        <v>5025</v>
      </c>
      <c r="U2037" s="38"/>
      <c r="V2037" s="38"/>
      <c r="W2037" s="38"/>
      <c r="X2037" s="14"/>
      <c r="AI2037" s="53">
        <f>19.72</f>
        <v>19.72</v>
      </c>
      <c r="AN2037" s="7" t="s">
        <v>145</v>
      </c>
      <c r="AO2037" s="21">
        <f t="shared" si="102"/>
        <v>19.72</v>
      </c>
      <c r="AP2037" s="7">
        <f t="shared" si="101"/>
        <v>0</v>
      </c>
      <c r="AQ2037" s="31" t="str">
        <f t="shared" si="103"/>
        <v>Complete - With Adjustment</v>
      </c>
    </row>
    <row r="2038" spans="1:43" x14ac:dyDescent="0.2">
      <c r="A2038" s="46">
        <v>2028</v>
      </c>
      <c r="B2038" s="38" t="s">
        <v>266</v>
      </c>
      <c r="C2038" s="38" t="s">
        <v>561</v>
      </c>
      <c r="D2038" s="38" t="s">
        <v>560</v>
      </c>
      <c r="E2038" s="38" t="s">
        <v>5022</v>
      </c>
      <c r="F2038" s="38" t="s">
        <v>4210</v>
      </c>
      <c r="G2038" s="38" t="s">
        <v>111</v>
      </c>
      <c r="H2038" s="44">
        <v>44071</v>
      </c>
      <c r="I2038" s="44">
        <v>44076</v>
      </c>
      <c r="J2038">
        <v>153.38999999999999</v>
      </c>
      <c r="K2038">
        <v>15</v>
      </c>
      <c r="L2038" t="s">
        <v>5023</v>
      </c>
      <c r="M2038" s="45" t="s">
        <v>98</v>
      </c>
      <c r="N2038" s="38" t="s">
        <v>230</v>
      </c>
      <c r="O2038" s="38" t="s">
        <v>281</v>
      </c>
      <c r="P2038" s="38" t="s">
        <v>60</v>
      </c>
      <c r="Q2038" s="38" t="s">
        <v>41</v>
      </c>
      <c r="R2038" s="38" t="s">
        <v>270</v>
      </c>
      <c r="S2038" s="38" t="s">
        <v>5024</v>
      </c>
      <c r="T2038" s="38" t="s">
        <v>3477</v>
      </c>
      <c r="U2038" s="38"/>
      <c r="V2038" s="38"/>
      <c r="W2038" s="38"/>
      <c r="X2038" s="14"/>
      <c r="AN2038" s="7" t="s">
        <v>155</v>
      </c>
      <c r="AO2038" s="21">
        <f t="shared" si="102"/>
        <v>0</v>
      </c>
      <c r="AP2038" s="7">
        <f t="shared" si="101"/>
        <v>15</v>
      </c>
      <c r="AQ2038" s="31" t="str">
        <f t="shared" si="103"/>
        <v>Complete - No Adjustment</v>
      </c>
    </row>
    <row r="2039" spans="1:43" x14ac:dyDescent="0.2">
      <c r="A2039" s="46">
        <v>2029</v>
      </c>
      <c r="B2039" s="38" t="s">
        <v>266</v>
      </c>
      <c r="C2039" s="38" t="s">
        <v>561</v>
      </c>
      <c r="D2039" s="38" t="s">
        <v>560</v>
      </c>
      <c r="E2039" s="38" t="s">
        <v>5022</v>
      </c>
      <c r="F2039" s="38" t="s">
        <v>4210</v>
      </c>
      <c r="G2039" s="38" t="s">
        <v>111</v>
      </c>
      <c r="H2039" s="44">
        <v>44071</v>
      </c>
      <c r="I2039" s="44">
        <v>44076</v>
      </c>
      <c r="J2039">
        <v>153.38999999999999</v>
      </c>
      <c r="K2039">
        <v>20</v>
      </c>
      <c r="L2039" t="s">
        <v>5023</v>
      </c>
      <c r="M2039" s="45" t="s">
        <v>98</v>
      </c>
      <c r="N2039" s="38" t="s">
        <v>230</v>
      </c>
      <c r="O2039" s="38" t="s">
        <v>281</v>
      </c>
      <c r="P2039" s="38" t="s">
        <v>60</v>
      </c>
      <c r="Q2039" s="38" t="s">
        <v>41</v>
      </c>
      <c r="R2039" s="38" t="s">
        <v>270</v>
      </c>
      <c r="S2039" s="38" t="s">
        <v>5024</v>
      </c>
      <c r="T2039" s="38" t="s">
        <v>3477</v>
      </c>
      <c r="U2039" s="38"/>
      <c r="V2039" s="38"/>
      <c r="W2039" s="38"/>
      <c r="X2039" s="14"/>
      <c r="AN2039" s="7" t="s">
        <v>155</v>
      </c>
      <c r="AO2039" s="21">
        <f t="shared" si="102"/>
        <v>0</v>
      </c>
      <c r="AP2039" s="7">
        <f t="shared" si="101"/>
        <v>20</v>
      </c>
      <c r="AQ2039" s="31" t="str">
        <f t="shared" si="103"/>
        <v>Complete - No Adjustment</v>
      </c>
    </row>
    <row r="2040" spans="1:43" x14ac:dyDescent="0.2">
      <c r="A2040" s="46">
        <v>2030</v>
      </c>
      <c r="B2040" s="38" t="s">
        <v>266</v>
      </c>
      <c r="C2040" s="38" t="s">
        <v>561</v>
      </c>
      <c r="D2040" s="38" t="s">
        <v>560</v>
      </c>
      <c r="E2040" s="38" t="s">
        <v>5022</v>
      </c>
      <c r="F2040" s="38" t="s">
        <v>4210</v>
      </c>
      <c r="G2040" s="38" t="s">
        <v>111</v>
      </c>
      <c r="H2040" s="44">
        <v>44071</v>
      </c>
      <c r="I2040" s="44">
        <v>44076</v>
      </c>
      <c r="J2040">
        <v>153.38999999999999</v>
      </c>
      <c r="K2040">
        <v>16.04</v>
      </c>
      <c r="L2040" t="s">
        <v>5023</v>
      </c>
      <c r="M2040" s="45" t="s">
        <v>98</v>
      </c>
      <c r="N2040" s="38" t="s">
        <v>230</v>
      </c>
      <c r="O2040" s="38" t="s">
        <v>281</v>
      </c>
      <c r="P2040" s="38" t="s">
        <v>60</v>
      </c>
      <c r="Q2040" s="38" t="s">
        <v>174</v>
      </c>
      <c r="R2040" s="38" t="s">
        <v>270</v>
      </c>
      <c r="S2040" s="38" t="s">
        <v>5024</v>
      </c>
      <c r="T2040" s="38" t="s">
        <v>5026</v>
      </c>
      <c r="U2040" s="38"/>
      <c r="V2040" s="38"/>
      <c r="W2040" s="38"/>
      <c r="X2040" s="14"/>
      <c r="AN2040" s="7" t="s">
        <v>70</v>
      </c>
      <c r="AO2040" s="21">
        <f t="shared" si="102"/>
        <v>0</v>
      </c>
      <c r="AP2040" s="7">
        <f t="shared" si="101"/>
        <v>16.04</v>
      </c>
      <c r="AQ2040" s="31" t="str">
        <f t="shared" si="103"/>
        <v>Complete - No Adjustment</v>
      </c>
    </row>
    <row r="2041" spans="1:43" x14ac:dyDescent="0.2">
      <c r="A2041" s="46">
        <v>2031</v>
      </c>
      <c r="B2041" s="38" t="s">
        <v>266</v>
      </c>
      <c r="C2041" s="38" t="s">
        <v>561</v>
      </c>
      <c r="D2041" s="38" t="s">
        <v>560</v>
      </c>
      <c r="E2041" s="38" t="s">
        <v>5022</v>
      </c>
      <c r="F2041" s="38" t="s">
        <v>4210</v>
      </c>
      <c r="G2041" s="38" t="s">
        <v>111</v>
      </c>
      <c r="H2041" s="44">
        <v>44071</v>
      </c>
      <c r="I2041" s="44">
        <v>44076</v>
      </c>
      <c r="J2041">
        <v>153.38999999999999</v>
      </c>
      <c r="K2041">
        <v>19.72</v>
      </c>
      <c r="L2041" t="s">
        <v>5023</v>
      </c>
      <c r="M2041" s="45" t="s">
        <v>98</v>
      </c>
      <c r="N2041" s="38" t="s">
        <v>230</v>
      </c>
      <c r="O2041" s="38" t="s">
        <v>281</v>
      </c>
      <c r="P2041" s="38" t="s">
        <v>60</v>
      </c>
      <c r="Q2041" s="38" t="s">
        <v>41</v>
      </c>
      <c r="R2041" s="38" t="s">
        <v>270</v>
      </c>
      <c r="S2041" s="38" t="s">
        <v>5024</v>
      </c>
      <c r="T2041" s="38" t="s">
        <v>3477</v>
      </c>
      <c r="U2041" s="38"/>
      <c r="V2041" s="38"/>
      <c r="W2041" s="38"/>
      <c r="X2041" s="14"/>
      <c r="AN2041" s="7" t="s">
        <v>155</v>
      </c>
      <c r="AO2041" s="21">
        <f t="shared" si="102"/>
        <v>0</v>
      </c>
      <c r="AP2041" s="7">
        <f t="shared" si="101"/>
        <v>19.72</v>
      </c>
      <c r="AQ2041" s="31" t="str">
        <f t="shared" si="103"/>
        <v>Complete - No Adjustment</v>
      </c>
    </row>
    <row r="2042" spans="1:43" x14ac:dyDescent="0.2">
      <c r="A2042" s="46">
        <v>2032</v>
      </c>
      <c r="B2042" s="38" t="s">
        <v>266</v>
      </c>
      <c r="C2042" s="38" t="s">
        <v>561</v>
      </c>
      <c r="D2042" s="38" t="s">
        <v>560</v>
      </c>
      <c r="E2042" s="38" t="s">
        <v>5022</v>
      </c>
      <c r="F2042" s="38" t="s">
        <v>4210</v>
      </c>
      <c r="G2042" s="38" t="s">
        <v>111</v>
      </c>
      <c r="H2042" s="44">
        <v>44071</v>
      </c>
      <c r="I2042" s="44">
        <v>44076</v>
      </c>
      <c r="J2042">
        <v>153.38999999999999</v>
      </c>
      <c r="K2042">
        <v>19.93</v>
      </c>
      <c r="L2042" t="s">
        <v>5023</v>
      </c>
      <c r="M2042" s="45" t="s">
        <v>98</v>
      </c>
      <c r="N2042" s="38" t="s">
        <v>230</v>
      </c>
      <c r="O2042" s="38" t="s">
        <v>281</v>
      </c>
      <c r="P2042" s="38" t="s">
        <v>60</v>
      </c>
      <c r="Q2042" s="38" t="s">
        <v>41</v>
      </c>
      <c r="R2042" s="38" t="s">
        <v>270</v>
      </c>
      <c r="S2042" s="38" t="s">
        <v>5024</v>
      </c>
      <c r="T2042" s="38" t="s">
        <v>3477</v>
      </c>
      <c r="U2042" s="38"/>
      <c r="V2042" s="38"/>
      <c r="W2042" s="38"/>
      <c r="X2042" s="14"/>
      <c r="AN2042" s="7" t="s">
        <v>155</v>
      </c>
      <c r="AO2042" s="21">
        <f t="shared" si="102"/>
        <v>0</v>
      </c>
      <c r="AP2042" s="7">
        <f t="shared" si="101"/>
        <v>19.93</v>
      </c>
      <c r="AQ2042" s="31" t="str">
        <f t="shared" si="103"/>
        <v>Complete - No Adjustment</v>
      </c>
    </row>
    <row r="2043" spans="1:43" x14ac:dyDescent="0.2">
      <c r="A2043" s="46">
        <v>2033</v>
      </c>
      <c r="B2043" s="38" t="s">
        <v>266</v>
      </c>
      <c r="C2043" s="38" t="s">
        <v>561</v>
      </c>
      <c r="D2043" s="38" t="s">
        <v>560</v>
      </c>
      <c r="E2043" s="38" t="s">
        <v>5022</v>
      </c>
      <c r="F2043" s="38" t="s">
        <v>4210</v>
      </c>
      <c r="G2043" s="38" t="s">
        <v>111</v>
      </c>
      <c r="H2043" s="44">
        <v>44071</v>
      </c>
      <c r="I2043" s="44">
        <v>44076</v>
      </c>
      <c r="J2043">
        <v>153.38999999999999</v>
      </c>
      <c r="K2043">
        <v>19.489999999999998</v>
      </c>
      <c r="L2043" t="s">
        <v>5023</v>
      </c>
      <c r="M2043" s="45" t="s">
        <v>98</v>
      </c>
      <c r="N2043" s="38" t="s">
        <v>230</v>
      </c>
      <c r="O2043" s="38" t="s">
        <v>281</v>
      </c>
      <c r="P2043" s="38" t="s">
        <v>60</v>
      </c>
      <c r="Q2043" s="38" t="s">
        <v>41</v>
      </c>
      <c r="R2043" s="38" t="s">
        <v>270</v>
      </c>
      <c r="S2043" s="38" t="s">
        <v>5024</v>
      </c>
      <c r="T2043" s="38" t="s">
        <v>3477</v>
      </c>
      <c r="U2043" s="38"/>
      <c r="V2043" s="38"/>
      <c r="W2043" s="38"/>
      <c r="X2043" s="14"/>
      <c r="AN2043" s="7" t="s">
        <v>155</v>
      </c>
      <c r="AO2043" s="21">
        <f t="shared" si="102"/>
        <v>0</v>
      </c>
      <c r="AP2043" s="7">
        <f t="shared" si="101"/>
        <v>19.489999999999998</v>
      </c>
      <c r="AQ2043" s="31" t="str">
        <f t="shared" si="103"/>
        <v>Complete - No Adjustment</v>
      </c>
    </row>
    <row r="2044" spans="1:43" x14ac:dyDescent="0.2">
      <c r="A2044" s="46">
        <v>2034</v>
      </c>
      <c r="B2044" s="38" t="s">
        <v>266</v>
      </c>
      <c r="C2044" s="38" t="s">
        <v>561</v>
      </c>
      <c r="D2044" s="38" t="s">
        <v>560</v>
      </c>
      <c r="E2044" s="38" t="s">
        <v>5022</v>
      </c>
      <c r="F2044" s="38" t="s">
        <v>4210</v>
      </c>
      <c r="G2044" s="38" t="s">
        <v>111</v>
      </c>
      <c r="H2044" s="44">
        <v>44071</v>
      </c>
      <c r="I2044" s="44">
        <v>44076</v>
      </c>
      <c r="J2044">
        <v>153.38999999999999</v>
      </c>
      <c r="K2044">
        <v>23.49</v>
      </c>
      <c r="L2044" t="s">
        <v>5023</v>
      </c>
      <c r="M2044" s="45" t="s">
        <v>98</v>
      </c>
      <c r="N2044" s="38" t="s">
        <v>230</v>
      </c>
      <c r="O2044" s="38" t="s">
        <v>281</v>
      </c>
      <c r="P2044" s="38" t="s">
        <v>60</v>
      </c>
      <c r="Q2044" s="38" t="s">
        <v>41</v>
      </c>
      <c r="R2044" s="38" t="s">
        <v>270</v>
      </c>
      <c r="S2044" s="38" t="s">
        <v>5024</v>
      </c>
      <c r="T2044" s="38" t="s">
        <v>3477</v>
      </c>
      <c r="U2044" s="38"/>
      <c r="V2044" s="38"/>
      <c r="W2044" s="38"/>
      <c r="X2044" s="14"/>
      <c r="AN2044" s="7" t="s">
        <v>155</v>
      </c>
      <c r="AO2044" s="21">
        <f t="shared" si="102"/>
        <v>0</v>
      </c>
      <c r="AP2044" s="7">
        <f t="shared" si="101"/>
        <v>23.49</v>
      </c>
      <c r="AQ2044" s="31" t="str">
        <f t="shared" si="103"/>
        <v>Complete - No Adjustment</v>
      </c>
    </row>
    <row r="2045" spans="1:43" x14ac:dyDescent="0.2">
      <c r="A2045" s="46">
        <v>2035</v>
      </c>
      <c r="B2045" s="38" t="s">
        <v>266</v>
      </c>
      <c r="C2045" s="38" t="s">
        <v>446</v>
      </c>
      <c r="D2045" s="38" t="s">
        <v>445</v>
      </c>
      <c r="E2045" s="38" t="s">
        <v>5027</v>
      </c>
      <c r="F2045" s="38" t="s">
        <v>4224</v>
      </c>
      <c r="G2045" s="38" t="s">
        <v>111</v>
      </c>
      <c r="H2045" s="44">
        <v>44090</v>
      </c>
      <c r="I2045" s="44">
        <v>44092</v>
      </c>
      <c r="J2045">
        <v>198</v>
      </c>
      <c r="K2045">
        <v>99</v>
      </c>
      <c r="L2045" t="s">
        <v>5028</v>
      </c>
      <c r="M2045" s="45" t="s">
        <v>98</v>
      </c>
      <c r="N2045" s="38" t="s">
        <v>230</v>
      </c>
      <c r="O2045" s="38" t="s">
        <v>293</v>
      </c>
      <c r="P2045" s="38" t="s">
        <v>60</v>
      </c>
      <c r="Q2045" s="38" t="s">
        <v>56</v>
      </c>
      <c r="R2045" s="38" t="s">
        <v>270</v>
      </c>
      <c r="S2045" s="38" t="s">
        <v>5029</v>
      </c>
      <c r="T2045" s="38" t="s">
        <v>5030</v>
      </c>
      <c r="U2045" s="38"/>
      <c r="V2045" s="38"/>
      <c r="W2045" s="38"/>
      <c r="X2045" s="14"/>
      <c r="AN2045" s="7" t="s">
        <v>70</v>
      </c>
      <c r="AO2045" s="21">
        <f t="shared" si="102"/>
        <v>0</v>
      </c>
      <c r="AP2045" s="7">
        <f t="shared" si="101"/>
        <v>99</v>
      </c>
      <c r="AQ2045" s="31" t="str">
        <f t="shared" si="103"/>
        <v>Complete - No Adjustment</v>
      </c>
    </row>
    <row r="2046" spans="1:43" x14ac:dyDescent="0.2">
      <c r="A2046" s="46">
        <v>2036</v>
      </c>
      <c r="B2046" s="38" t="s">
        <v>266</v>
      </c>
      <c r="C2046" s="38" t="s">
        <v>446</v>
      </c>
      <c r="D2046" s="38" t="s">
        <v>445</v>
      </c>
      <c r="E2046" s="38" t="s">
        <v>5027</v>
      </c>
      <c r="F2046" s="38" t="s">
        <v>4224</v>
      </c>
      <c r="G2046" s="38" t="s">
        <v>111</v>
      </c>
      <c r="H2046" s="44">
        <v>44090</v>
      </c>
      <c r="I2046" s="44">
        <v>44092</v>
      </c>
      <c r="J2046">
        <v>198</v>
      </c>
      <c r="K2046">
        <v>99</v>
      </c>
      <c r="L2046" t="s">
        <v>5028</v>
      </c>
      <c r="M2046" s="45" t="s">
        <v>98</v>
      </c>
      <c r="N2046" s="38" t="s">
        <v>230</v>
      </c>
      <c r="O2046" s="38" t="s">
        <v>293</v>
      </c>
      <c r="P2046" s="38" t="s">
        <v>60</v>
      </c>
      <c r="Q2046" s="38" t="s">
        <v>56</v>
      </c>
      <c r="R2046" s="38" t="s">
        <v>270</v>
      </c>
      <c r="S2046" s="38" t="s">
        <v>5029</v>
      </c>
      <c r="T2046" s="38" t="s">
        <v>5031</v>
      </c>
      <c r="U2046" s="38"/>
      <c r="V2046" s="38"/>
      <c r="W2046" s="38"/>
      <c r="X2046" s="14"/>
      <c r="AN2046" s="7" t="s">
        <v>70</v>
      </c>
      <c r="AO2046" s="21">
        <f t="shared" si="102"/>
        <v>0</v>
      </c>
      <c r="AP2046" s="7">
        <f t="shared" si="101"/>
        <v>99</v>
      </c>
      <c r="AQ2046" s="31" t="str">
        <f t="shared" si="103"/>
        <v>Complete - No Adjustment</v>
      </c>
    </row>
    <row r="2047" spans="1:43" x14ac:dyDescent="0.2">
      <c r="A2047" s="46">
        <v>2037</v>
      </c>
      <c r="B2047" s="38" t="s">
        <v>266</v>
      </c>
      <c r="C2047" s="38" t="s">
        <v>5032</v>
      </c>
      <c r="D2047" s="38" t="s">
        <v>5033</v>
      </c>
      <c r="E2047" s="38" t="s">
        <v>5034</v>
      </c>
      <c r="F2047" s="38" t="s">
        <v>4291</v>
      </c>
      <c r="G2047" s="38" t="s">
        <v>111</v>
      </c>
      <c r="H2047" s="44">
        <v>44076</v>
      </c>
      <c r="I2047" s="44">
        <v>44078</v>
      </c>
      <c r="J2047">
        <v>10.28</v>
      </c>
      <c r="K2047">
        <v>10.28</v>
      </c>
      <c r="L2047" t="s">
        <v>5035</v>
      </c>
      <c r="M2047" s="45" t="s">
        <v>98</v>
      </c>
      <c r="N2047" s="38" t="s">
        <v>230</v>
      </c>
      <c r="O2047" s="38" t="s">
        <v>320</v>
      </c>
      <c r="P2047" s="38" t="s">
        <v>60</v>
      </c>
      <c r="Q2047" s="38" t="s">
        <v>46</v>
      </c>
      <c r="R2047" s="38" t="s">
        <v>270</v>
      </c>
      <c r="S2047" s="38" t="s">
        <v>5036</v>
      </c>
      <c r="T2047" s="38" t="s">
        <v>5037</v>
      </c>
      <c r="U2047" s="38"/>
      <c r="V2047" s="38"/>
      <c r="W2047" s="38"/>
      <c r="X2047" s="14"/>
      <c r="AI2047" s="53">
        <f>10.28</f>
        <v>10.28</v>
      </c>
      <c r="AN2047" s="7" t="s">
        <v>145</v>
      </c>
      <c r="AO2047" s="21">
        <f t="shared" si="102"/>
        <v>10.28</v>
      </c>
      <c r="AP2047" s="7">
        <f t="shared" si="101"/>
        <v>0</v>
      </c>
      <c r="AQ2047" s="31" t="str">
        <f t="shared" si="103"/>
        <v>Complete - With Adjustment</v>
      </c>
    </row>
    <row r="2048" spans="1:43" x14ac:dyDescent="0.2">
      <c r="A2048" s="46">
        <v>2038</v>
      </c>
      <c r="B2048" s="38" t="s">
        <v>266</v>
      </c>
      <c r="C2048" s="38" t="s">
        <v>5032</v>
      </c>
      <c r="D2048" s="38" t="s">
        <v>5033</v>
      </c>
      <c r="E2048" s="38" t="s">
        <v>5038</v>
      </c>
      <c r="F2048" s="38" t="s">
        <v>4224</v>
      </c>
      <c r="G2048" s="38" t="s">
        <v>111</v>
      </c>
      <c r="H2048" s="44">
        <v>44090</v>
      </c>
      <c r="I2048" s="44">
        <v>44092</v>
      </c>
      <c r="J2048">
        <v>13.98</v>
      </c>
      <c r="K2048">
        <v>13.98</v>
      </c>
      <c r="L2048" t="s">
        <v>5039</v>
      </c>
      <c r="M2048" s="45" t="s">
        <v>98</v>
      </c>
      <c r="N2048" s="38" t="s">
        <v>230</v>
      </c>
      <c r="O2048" s="38" t="s">
        <v>320</v>
      </c>
      <c r="P2048" s="38" t="s">
        <v>60</v>
      </c>
      <c r="Q2048" s="38" t="s">
        <v>46</v>
      </c>
      <c r="R2048" s="38" t="s">
        <v>270</v>
      </c>
      <c r="S2048" s="38" t="s">
        <v>5040</v>
      </c>
      <c r="T2048" s="38" t="s">
        <v>5041</v>
      </c>
      <c r="U2048" s="38"/>
      <c r="V2048" s="38"/>
      <c r="W2048" s="38"/>
      <c r="X2048" s="14"/>
      <c r="AN2048" s="7" t="s">
        <v>4219</v>
      </c>
      <c r="AO2048" s="21">
        <f t="shared" si="102"/>
        <v>0</v>
      </c>
      <c r="AP2048" s="7">
        <f t="shared" si="101"/>
        <v>13.98</v>
      </c>
      <c r="AQ2048" s="31" t="str">
        <f t="shared" si="103"/>
        <v>Complete - No Adjustment</v>
      </c>
    </row>
    <row r="2049" spans="1:43" x14ac:dyDescent="0.2">
      <c r="A2049" s="46">
        <v>2039</v>
      </c>
      <c r="B2049" s="38" t="s">
        <v>266</v>
      </c>
      <c r="C2049" s="38" t="s">
        <v>5032</v>
      </c>
      <c r="D2049" s="38" t="s">
        <v>5033</v>
      </c>
      <c r="E2049" s="38" t="s">
        <v>5042</v>
      </c>
      <c r="F2049" s="38" t="s">
        <v>4349</v>
      </c>
      <c r="G2049" s="38" t="s">
        <v>111</v>
      </c>
      <c r="H2049" s="44">
        <v>44083</v>
      </c>
      <c r="I2049" s="44">
        <v>44084</v>
      </c>
      <c r="J2049">
        <v>15</v>
      </c>
      <c r="K2049">
        <v>15</v>
      </c>
      <c r="L2049" t="s">
        <v>5043</v>
      </c>
      <c r="M2049" s="45" t="s">
        <v>98</v>
      </c>
      <c r="N2049" s="38" t="s">
        <v>230</v>
      </c>
      <c r="O2049" s="38" t="s">
        <v>320</v>
      </c>
      <c r="P2049" s="38" t="s">
        <v>60</v>
      </c>
      <c r="Q2049" s="38" t="s">
        <v>46</v>
      </c>
      <c r="R2049" s="38" t="s">
        <v>270</v>
      </c>
      <c r="S2049" s="38" t="s">
        <v>5044</v>
      </c>
      <c r="T2049" s="38" t="s">
        <v>5045</v>
      </c>
      <c r="U2049" s="38"/>
      <c r="V2049" s="38"/>
      <c r="W2049" s="38"/>
      <c r="X2049" s="14"/>
      <c r="AL2049" s="14">
        <f>15</f>
        <v>15</v>
      </c>
      <c r="AN2049" s="7" t="s">
        <v>146</v>
      </c>
      <c r="AO2049" s="21">
        <f t="shared" si="102"/>
        <v>15</v>
      </c>
      <c r="AP2049" s="7">
        <f t="shared" si="101"/>
        <v>0</v>
      </c>
      <c r="AQ2049" s="31" t="str">
        <f t="shared" si="103"/>
        <v>Complete - With Adjustment</v>
      </c>
    </row>
    <row r="2050" spans="1:43" x14ac:dyDescent="0.2">
      <c r="A2050" s="46">
        <v>2040</v>
      </c>
      <c r="B2050" s="38" t="s">
        <v>266</v>
      </c>
      <c r="C2050" s="38" t="s">
        <v>680</v>
      </c>
      <c r="D2050" s="38" t="s">
        <v>679</v>
      </c>
      <c r="E2050" s="38" t="s">
        <v>5046</v>
      </c>
      <c r="F2050" s="38" t="s">
        <v>4224</v>
      </c>
      <c r="G2050" s="38" t="s">
        <v>111</v>
      </c>
      <c r="H2050" s="44">
        <v>44090</v>
      </c>
      <c r="I2050" s="44">
        <v>44092</v>
      </c>
      <c r="J2050">
        <v>15.18</v>
      </c>
      <c r="K2050">
        <v>15.18</v>
      </c>
      <c r="L2050" t="s">
        <v>5047</v>
      </c>
      <c r="M2050" s="45" t="s">
        <v>98</v>
      </c>
      <c r="N2050" s="38" t="s">
        <v>230</v>
      </c>
      <c r="O2050" s="38" t="s">
        <v>404</v>
      </c>
      <c r="P2050" s="38" t="s">
        <v>60</v>
      </c>
      <c r="Q2050" s="38" t="s">
        <v>41</v>
      </c>
      <c r="R2050" s="38" t="s">
        <v>270</v>
      </c>
      <c r="S2050" s="38" t="s">
        <v>5048</v>
      </c>
      <c r="T2050" s="38" t="s">
        <v>5049</v>
      </c>
      <c r="U2050" s="38"/>
      <c r="V2050" s="38"/>
      <c r="W2050" s="38"/>
      <c r="X2050" s="14"/>
      <c r="AN2050" s="7" t="s">
        <v>4219</v>
      </c>
      <c r="AO2050" s="21">
        <f t="shared" si="102"/>
        <v>0</v>
      </c>
      <c r="AP2050" s="7">
        <f t="shared" si="101"/>
        <v>15.18</v>
      </c>
      <c r="AQ2050" s="31" t="str">
        <f t="shared" si="103"/>
        <v>Complete - No Adjustment</v>
      </c>
    </row>
    <row r="2051" spans="1:43" x14ac:dyDescent="0.2">
      <c r="A2051" s="46">
        <v>2041</v>
      </c>
      <c r="B2051" s="38" t="s">
        <v>266</v>
      </c>
      <c r="C2051" s="38" t="s">
        <v>563</v>
      </c>
      <c r="D2051" s="38" t="s">
        <v>562</v>
      </c>
      <c r="E2051" s="38" t="s">
        <v>5050</v>
      </c>
      <c r="F2051" s="38" t="s">
        <v>4382</v>
      </c>
      <c r="G2051" s="38" t="s">
        <v>111</v>
      </c>
      <c r="H2051" s="44">
        <v>44095</v>
      </c>
      <c r="I2051" s="44">
        <v>44099</v>
      </c>
      <c r="J2051">
        <v>52</v>
      </c>
      <c r="K2051">
        <v>52</v>
      </c>
      <c r="L2051" t="s">
        <v>5051</v>
      </c>
      <c r="M2051" s="45" t="s">
        <v>98</v>
      </c>
      <c r="N2051" s="38" t="s">
        <v>230</v>
      </c>
      <c r="O2051" s="38" t="s">
        <v>484</v>
      </c>
      <c r="P2051" s="38" t="s">
        <v>60</v>
      </c>
      <c r="Q2051" s="38" t="s">
        <v>48</v>
      </c>
      <c r="R2051" s="38" t="s">
        <v>270</v>
      </c>
      <c r="S2051" s="38" t="s">
        <v>5052</v>
      </c>
      <c r="T2051" s="38" t="s">
        <v>5053</v>
      </c>
      <c r="U2051" s="38"/>
      <c r="V2051" s="38"/>
      <c r="W2051" s="38"/>
      <c r="X2051" s="14"/>
      <c r="AN2051" s="7" t="s">
        <v>70</v>
      </c>
      <c r="AO2051" s="21">
        <f t="shared" si="102"/>
        <v>0</v>
      </c>
      <c r="AP2051" s="7">
        <f t="shared" si="101"/>
        <v>52</v>
      </c>
      <c r="AQ2051" s="31" t="str">
        <f t="shared" si="103"/>
        <v>Complete - No Adjustment</v>
      </c>
    </row>
    <row r="2052" spans="1:43" x14ac:dyDescent="0.2">
      <c r="A2052" s="46">
        <v>2042</v>
      </c>
      <c r="B2052" s="38" t="s">
        <v>266</v>
      </c>
      <c r="C2052" s="38" t="s">
        <v>450</v>
      </c>
      <c r="D2052" s="38" t="s">
        <v>449</v>
      </c>
      <c r="E2052" s="38" t="s">
        <v>5054</v>
      </c>
      <c r="F2052" s="38" t="s">
        <v>4382</v>
      </c>
      <c r="G2052" s="38" t="s">
        <v>111</v>
      </c>
      <c r="H2052" s="44">
        <v>44097</v>
      </c>
      <c r="I2052" s="44">
        <v>44099</v>
      </c>
      <c r="J2052">
        <v>363.67</v>
      </c>
      <c r="K2052">
        <v>363.67</v>
      </c>
      <c r="L2052" t="s">
        <v>5055</v>
      </c>
      <c r="M2052" s="45" t="s">
        <v>98</v>
      </c>
      <c r="N2052" s="38" t="s">
        <v>230</v>
      </c>
      <c r="O2052" s="38" t="s">
        <v>451</v>
      </c>
      <c r="P2052" s="38" t="s">
        <v>60</v>
      </c>
      <c r="Q2052" s="38" t="s">
        <v>104</v>
      </c>
      <c r="R2052" s="38" t="s">
        <v>270</v>
      </c>
      <c r="S2052" s="38" t="s">
        <v>5056</v>
      </c>
      <c r="T2052" s="38" t="s">
        <v>5057</v>
      </c>
      <c r="U2052" s="38"/>
      <c r="V2052" s="38"/>
      <c r="W2052" s="38"/>
      <c r="X2052" s="14"/>
      <c r="AN2052" s="7" t="s">
        <v>70</v>
      </c>
      <c r="AO2052" s="21">
        <f t="shared" si="102"/>
        <v>0</v>
      </c>
      <c r="AP2052" s="7">
        <f t="shared" si="101"/>
        <v>363.67</v>
      </c>
      <c r="AQ2052" s="31" t="str">
        <f t="shared" si="103"/>
        <v>Complete - No Adjustment</v>
      </c>
    </row>
    <row r="2053" spans="1:43" x14ac:dyDescent="0.2">
      <c r="A2053" s="46">
        <v>2043</v>
      </c>
      <c r="B2053" s="38" t="s">
        <v>266</v>
      </c>
      <c r="C2053" s="38" t="s">
        <v>450</v>
      </c>
      <c r="D2053" s="38" t="s">
        <v>449</v>
      </c>
      <c r="E2053" s="38" t="s">
        <v>5058</v>
      </c>
      <c r="F2053" s="38" t="s">
        <v>4358</v>
      </c>
      <c r="G2053" s="38" t="s">
        <v>111</v>
      </c>
      <c r="H2053" s="44">
        <v>44096</v>
      </c>
      <c r="I2053" s="44">
        <v>44098</v>
      </c>
      <c r="J2053">
        <v>1370</v>
      </c>
      <c r="K2053">
        <v>1370</v>
      </c>
      <c r="L2053" t="s">
        <v>5059</v>
      </c>
      <c r="M2053" s="45" t="s">
        <v>98</v>
      </c>
      <c r="N2053" s="38" t="s">
        <v>230</v>
      </c>
      <c r="O2053" s="38" t="s">
        <v>451</v>
      </c>
      <c r="P2053" s="38" t="s">
        <v>60</v>
      </c>
      <c r="Q2053" s="38" t="s">
        <v>104</v>
      </c>
      <c r="R2053" s="38" t="s">
        <v>270</v>
      </c>
      <c r="S2053" s="38" t="s">
        <v>5060</v>
      </c>
      <c r="T2053" s="38" t="s">
        <v>5061</v>
      </c>
      <c r="U2053" s="38"/>
      <c r="V2053" s="38"/>
      <c r="W2053" s="38"/>
      <c r="X2053" s="14"/>
      <c r="AN2053" s="7" t="s">
        <v>70</v>
      </c>
      <c r="AO2053" s="21">
        <f t="shared" si="102"/>
        <v>0</v>
      </c>
      <c r="AP2053" s="7">
        <f t="shared" si="101"/>
        <v>1370</v>
      </c>
      <c r="AQ2053" s="31" t="str">
        <f t="shared" si="103"/>
        <v>Complete - No Adjustment</v>
      </c>
    </row>
    <row r="2054" spans="1:43" x14ac:dyDescent="0.2">
      <c r="A2054" s="46">
        <v>2044</v>
      </c>
      <c r="B2054" s="38" t="s">
        <v>266</v>
      </c>
      <c r="C2054" s="38" t="s">
        <v>720</v>
      </c>
      <c r="D2054" s="38" t="s">
        <v>1424</v>
      </c>
      <c r="E2054" s="38" t="s">
        <v>5062</v>
      </c>
      <c r="F2054" s="38" t="s">
        <v>4221</v>
      </c>
      <c r="G2054" s="38" t="s">
        <v>111</v>
      </c>
      <c r="H2054" s="44">
        <v>44095</v>
      </c>
      <c r="I2054" s="44">
        <v>44097</v>
      </c>
      <c r="J2054">
        <v>355.13</v>
      </c>
      <c r="K2054">
        <v>34.840000000000003</v>
      </c>
      <c r="L2054" t="s">
        <v>5063</v>
      </c>
      <c r="M2054" s="45" t="s">
        <v>98</v>
      </c>
      <c r="N2054" s="38" t="s">
        <v>230</v>
      </c>
      <c r="O2054" s="38" t="s">
        <v>386</v>
      </c>
      <c r="P2054" s="38" t="s">
        <v>60</v>
      </c>
      <c r="Q2054" s="38" t="s">
        <v>46</v>
      </c>
      <c r="R2054" s="38" t="s">
        <v>270</v>
      </c>
      <c r="S2054" s="38" t="s">
        <v>5064</v>
      </c>
      <c r="T2054" s="38" t="s">
        <v>5065</v>
      </c>
      <c r="U2054" s="38"/>
      <c r="V2054" s="38"/>
      <c r="W2054" s="38"/>
      <c r="X2054" s="14"/>
      <c r="AI2054" s="53">
        <f>34.84</f>
        <v>34.840000000000003</v>
      </c>
      <c r="AN2054" s="7" t="s">
        <v>145</v>
      </c>
      <c r="AO2054" s="21">
        <f t="shared" si="102"/>
        <v>34.840000000000003</v>
      </c>
      <c r="AP2054" s="7">
        <f t="shared" si="101"/>
        <v>0</v>
      </c>
      <c r="AQ2054" s="31" t="str">
        <f t="shared" si="103"/>
        <v>Complete - With Adjustment</v>
      </c>
    </row>
    <row r="2055" spans="1:43" x14ac:dyDescent="0.2">
      <c r="A2055" s="46">
        <v>2045</v>
      </c>
      <c r="B2055" s="38" t="s">
        <v>266</v>
      </c>
      <c r="C2055" s="38" t="s">
        <v>720</v>
      </c>
      <c r="D2055" s="38" t="s">
        <v>1424</v>
      </c>
      <c r="E2055" s="38" t="s">
        <v>5062</v>
      </c>
      <c r="F2055" s="38" t="s">
        <v>4221</v>
      </c>
      <c r="G2055" s="38" t="s">
        <v>111</v>
      </c>
      <c r="H2055" s="44">
        <v>44095</v>
      </c>
      <c r="I2055" s="44">
        <v>44097</v>
      </c>
      <c r="J2055">
        <v>355.13</v>
      </c>
      <c r="K2055">
        <v>37.299999999999997</v>
      </c>
      <c r="L2055" t="s">
        <v>5063</v>
      </c>
      <c r="M2055" s="45" t="s">
        <v>98</v>
      </c>
      <c r="N2055" s="38" t="s">
        <v>230</v>
      </c>
      <c r="O2055" s="38" t="s">
        <v>386</v>
      </c>
      <c r="P2055" s="38" t="s">
        <v>60</v>
      </c>
      <c r="Q2055" s="38" t="s">
        <v>46</v>
      </c>
      <c r="R2055" s="38" t="s">
        <v>270</v>
      </c>
      <c r="S2055" s="38" t="s">
        <v>5064</v>
      </c>
      <c r="T2055" s="38" t="s">
        <v>5066</v>
      </c>
      <c r="U2055" s="38"/>
      <c r="V2055" s="38"/>
      <c r="W2055" s="38"/>
      <c r="X2055" s="14"/>
      <c r="AI2055" s="53">
        <f>37.3</f>
        <v>37.299999999999997</v>
      </c>
      <c r="AN2055" s="7" t="s">
        <v>145</v>
      </c>
      <c r="AO2055" s="21">
        <f t="shared" si="102"/>
        <v>37.299999999999997</v>
      </c>
      <c r="AP2055" s="7">
        <f t="shared" si="101"/>
        <v>0</v>
      </c>
      <c r="AQ2055" s="31" t="str">
        <f t="shared" si="103"/>
        <v>Complete - With Adjustment</v>
      </c>
    </row>
    <row r="2056" spans="1:43" x14ac:dyDescent="0.2">
      <c r="A2056" s="46">
        <v>2046</v>
      </c>
      <c r="B2056" s="38" t="s">
        <v>266</v>
      </c>
      <c r="C2056" s="38" t="s">
        <v>720</v>
      </c>
      <c r="D2056" s="38" t="s">
        <v>1424</v>
      </c>
      <c r="E2056" s="38" t="s">
        <v>5062</v>
      </c>
      <c r="F2056" s="38" t="s">
        <v>4221</v>
      </c>
      <c r="G2056" s="38" t="s">
        <v>111</v>
      </c>
      <c r="H2056" s="44">
        <v>44095</v>
      </c>
      <c r="I2056" s="44">
        <v>44097</v>
      </c>
      <c r="J2056">
        <v>355.13</v>
      </c>
      <c r="K2056">
        <v>35.090000000000003</v>
      </c>
      <c r="L2056" t="s">
        <v>5063</v>
      </c>
      <c r="M2056" s="45" t="s">
        <v>98</v>
      </c>
      <c r="N2056" s="38" t="s">
        <v>230</v>
      </c>
      <c r="O2056" s="38" t="s">
        <v>386</v>
      </c>
      <c r="P2056" s="38" t="s">
        <v>60</v>
      </c>
      <c r="Q2056" s="38" t="s">
        <v>46</v>
      </c>
      <c r="R2056" s="38" t="s">
        <v>270</v>
      </c>
      <c r="S2056" s="38" t="s">
        <v>5064</v>
      </c>
      <c r="T2056" s="38" t="s">
        <v>5067</v>
      </c>
      <c r="U2056" s="38"/>
      <c r="V2056" s="38"/>
      <c r="W2056" s="38"/>
      <c r="X2056" s="14"/>
      <c r="AI2056" s="53">
        <f>35.09</f>
        <v>35.090000000000003</v>
      </c>
      <c r="AN2056" s="7" t="s">
        <v>145</v>
      </c>
      <c r="AO2056" s="21">
        <f t="shared" si="102"/>
        <v>35.090000000000003</v>
      </c>
      <c r="AP2056" s="7">
        <f t="shared" si="101"/>
        <v>0</v>
      </c>
      <c r="AQ2056" s="31" t="str">
        <f t="shared" si="103"/>
        <v>Complete - With Adjustment</v>
      </c>
    </row>
    <row r="2057" spans="1:43" x14ac:dyDescent="0.2">
      <c r="A2057" s="46">
        <v>2047</v>
      </c>
      <c r="B2057" s="38" t="s">
        <v>266</v>
      </c>
      <c r="C2057" s="38" t="s">
        <v>720</v>
      </c>
      <c r="D2057" s="38" t="s">
        <v>1424</v>
      </c>
      <c r="E2057" s="38" t="s">
        <v>5062</v>
      </c>
      <c r="F2057" s="38" t="s">
        <v>4221</v>
      </c>
      <c r="G2057" s="38" t="s">
        <v>111</v>
      </c>
      <c r="H2057" s="44">
        <v>44095</v>
      </c>
      <c r="I2057" s="44">
        <v>44097</v>
      </c>
      <c r="J2057">
        <v>355.13</v>
      </c>
      <c r="K2057">
        <v>26.2</v>
      </c>
      <c r="L2057" t="s">
        <v>5063</v>
      </c>
      <c r="M2057" s="45" t="s">
        <v>98</v>
      </c>
      <c r="N2057" s="38" t="s">
        <v>230</v>
      </c>
      <c r="O2057" s="38" t="s">
        <v>386</v>
      </c>
      <c r="P2057" s="38" t="s">
        <v>60</v>
      </c>
      <c r="Q2057" s="38" t="s">
        <v>46</v>
      </c>
      <c r="R2057" s="38" t="s">
        <v>270</v>
      </c>
      <c r="S2057" s="38" t="s">
        <v>5064</v>
      </c>
      <c r="T2057" s="38" t="s">
        <v>5068</v>
      </c>
      <c r="U2057" s="38"/>
      <c r="V2057" s="38"/>
      <c r="W2057" s="38"/>
      <c r="X2057" s="14"/>
      <c r="AI2057" s="53">
        <f>26.2</f>
        <v>26.2</v>
      </c>
      <c r="AN2057" s="7" t="s">
        <v>145</v>
      </c>
      <c r="AO2057" s="21">
        <f t="shared" si="102"/>
        <v>26.2</v>
      </c>
      <c r="AP2057" s="7">
        <f t="shared" si="101"/>
        <v>0</v>
      </c>
      <c r="AQ2057" s="31" t="str">
        <f t="shared" si="103"/>
        <v>Complete - With Adjustment</v>
      </c>
    </row>
    <row r="2058" spans="1:43" x14ac:dyDescent="0.2">
      <c r="A2058" s="46">
        <v>2048</v>
      </c>
      <c r="B2058" s="38" t="s">
        <v>266</v>
      </c>
      <c r="C2058" s="38" t="s">
        <v>720</v>
      </c>
      <c r="D2058" s="38" t="s">
        <v>1424</v>
      </c>
      <c r="E2058" s="38" t="s">
        <v>5062</v>
      </c>
      <c r="F2058" s="38" t="s">
        <v>4221</v>
      </c>
      <c r="G2058" s="38" t="s">
        <v>111</v>
      </c>
      <c r="H2058" s="44">
        <v>44095</v>
      </c>
      <c r="I2058" s="44">
        <v>44097</v>
      </c>
      <c r="J2058">
        <v>355.13</v>
      </c>
      <c r="K2058">
        <v>60.9</v>
      </c>
      <c r="L2058" t="s">
        <v>5063</v>
      </c>
      <c r="M2058" s="45" t="s">
        <v>98</v>
      </c>
      <c r="N2058" s="38" t="s">
        <v>230</v>
      </c>
      <c r="O2058" s="38" t="s">
        <v>386</v>
      </c>
      <c r="P2058" s="38" t="s">
        <v>60</v>
      </c>
      <c r="Q2058" s="38" t="s">
        <v>46</v>
      </c>
      <c r="R2058" s="38" t="s">
        <v>270</v>
      </c>
      <c r="S2058" s="38" t="s">
        <v>5064</v>
      </c>
      <c r="T2058" s="38" t="s">
        <v>5069</v>
      </c>
      <c r="U2058" s="38"/>
      <c r="V2058" s="38"/>
      <c r="W2058" s="38"/>
      <c r="X2058" s="14"/>
      <c r="AI2058" s="53">
        <f>60.9</f>
        <v>60.9</v>
      </c>
      <c r="AN2058" s="7" t="s">
        <v>145</v>
      </c>
      <c r="AO2058" s="21">
        <f t="shared" si="102"/>
        <v>60.9</v>
      </c>
      <c r="AP2058" s="7">
        <f t="shared" ref="AP2058:AP2121" si="104">K2058-AO2058</f>
        <v>0</v>
      </c>
      <c r="AQ2058" s="31" t="str">
        <f t="shared" si="103"/>
        <v>Complete - With Adjustment</v>
      </c>
    </row>
    <row r="2059" spans="1:43" x14ac:dyDescent="0.2">
      <c r="A2059" s="46">
        <v>2049</v>
      </c>
      <c r="B2059" s="38" t="s">
        <v>266</v>
      </c>
      <c r="C2059" s="38" t="s">
        <v>720</v>
      </c>
      <c r="D2059" s="38" t="s">
        <v>1424</v>
      </c>
      <c r="E2059" s="38" t="s">
        <v>5062</v>
      </c>
      <c r="F2059" s="38" t="s">
        <v>4221</v>
      </c>
      <c r="G2059" s="38" t="s">
        <v>111</v>
      </c>
      <c r="H2059" s="44">
        <v>44095</v>
      </c>
      <c r="I2059" s="44">
        <v>44097</v>
      </c>
      <c r="J2059">
        <v>355.13</v>
      </c>
      <c r="K2059">
        <v>38.22</v>
      </c>
      <c r="L2059" t="s">
        <v>5063</v>
      </c>
      <c r="M2059" s="45" t="s">
        <v>98</v>
      </c>
      <c r="N2059" s="38" t="s">
        <v>230</v>
      </c>
      <c r="O2059" s="38" t="s">
        <v>386</v>
      </c>
      <c r="P2059" s="38" t="s">
        <v>60</v>
      </c>
      <c r="Q2059" s="38" t="s">
        <v>46</v>
      </c>
      <c r="R2059" s="38" t="s">
        <v>270</v>
      </c>
      <c r="S2059" s="38" t="s">
        <v>5064</v>
      </c>
      <c r="T2059" s="38" t="s">
        <v>5070</v>
      </c>
      <c r="U2059" s="38"/>
      <c r="V2059" s="38"/>
      <c r="W2059" s="38"/>
      <c r="X2059" s="14"/>
      <c r="AI2059" s="53">
        <f>38.22</f>
        <v>38.22</v>
      </c>
      <c r="AN2059" s="7" t="s">
        <v>145</v>
      </c>
      <c r="AO2059" s="21">
        <f t="shared" ref="AO2059:AO2123" si="105">SUM(Y2059:AL2059)</f>
        <v>38.22</v>
      </c>
      <c r="AP2059" s="7">
        <f t="shared" si="104"/>
        <v>0</v>
      </c>
      <c r="AQ2059" s="31" t="str">
        <f t="shared" si="103"/>
        <v>Complete - With Adjustment</v>
      </c>
    </row>
    <row r="2060" spans="1:43" x14ac:dyDescent="0.2">
      <c r="A2060" s="46">
        <v>2050</v>
      </c>
      <c r="B2060" s="38" t="s">
        <v>266</v>
      </c>
      <c r="C2060" s="38" t="s">
        <v>720</v>
      </c>
      <c r="D2060" s="38" t="s">
        <v>1424</v>
      </c>
      <c r="E2060" s="38" t="s">
        <v>5062</v>
      </c>
      <c r="F2060" s="38" t="s">
        <v>4221</v>
      </c>
      <c r="G2060" s="38" t="s">
        <v>111</v>
      </c>
      <c r="H2060" s="44">
        <v>44095</v>
      </c>
      <c r="I2060" s="44">
        <v>44097</v>
      </c>
      <c r="J2060">
        <v>355.13</v>
      </c>
      <c r="K2060">
        <v>36.33</v>
      </c>
      <c r="L2060" t="s">
        <v>5063</v>
      </c>
      <c r="M2060" s="45" t="s">
        <v>98</v>
      </c>
      <c r="N2060" s="38" t="s">
        <v>230</v>
      </c>
      <c r="O2060" s="38" t="s">
        <v>386</v>
      </c>
      <c r="P2060" s="38" t="s">
        <v>60</v>
      </c>
      <c r="Q2060" s="38" t="s">
        <v>46</v>
      </c>
      <c r="R2060" s="38" t="s">
        <v>270</v>
      </c>
      <c r="S2060" s="38" t="s">
        <v>5064</v>
      </c>
      <c r="T2060" s="38" t="s">
        <v>5071</v>
      </c>
      <c r="U2060" s="38"/>
      <c r="V2060" s="38"/>
      <c r="W2060" s="38"/>
      <c r="X2060" s="14"/>
      <c r="AI2060" s="53">
        <f>36.33</f>
        <v>36.33</v>
      </c>
      <c r="AN2060" s="7" t="s">
        <v>145</v>
      </c>
      <c r="AO2060" s="21">
        <f t="shared" si="105"/>
        <v>36.33</v>
      </c>
      <c r="AP2060" s="7">
        <f t="shared" si="104"/>
        <v>0</v>
      </c>
      <c r="AQ2060" s="31" t="str">
        <f t="shared" si="103"/>
        <v>Complete - With Adjustment</v>
      </c>
    </row>
    <row r="2061" spans="1:43" x14ac:dyDescent="0.2">
      <c r="A2061" s="46">
        <v>2051</v>
      </c>
      <c r="B2061" s="38" t="s">
        <v>266</v>
      </c>
      <c r="C2061" s="38" t="s">
        <v>720</v>
      </c>
      <c r="D2061" s="38" t="s">
        <v>1424</v>
      </c>
      <c r="E2061" s="38" t="s">
        <v>5062</v>
      </c>
      <c r="F2061" s="38" t="s">
        <v>4221</v>
      </c>
      <c r="G2061" s="38" t="s">
        <v>111</v>
      </c>
      <c r="H2061" s="44">
        <v>44095</v>
      </c>
      <c r="I2061" s="44">
        <v>44097</v>
      </c>
      <c r="J2061">
        <v>355.13</v>
      </c>
      <c r="K2061">
        <v>34.840000000000003</v>
      </c>
      <c r="L2061" t="s">
        <v>5063</v>
      </c>
      <c r="M2061" s="45" t="s">
        <v>98</v>
      </c>
      <c r="N2061" s="38" t="s">
        <v>230</v>
      </c>
      <c r="O2061" s="38" t="s">
        <v>386</v>
      </c>
      <c r="P2061" s="38" t="s">
        <v>60</v>
      </c>
      <c r="Q2061" s="38" t="s">
        <v>46</v>
      </c>
      <c r="R2061" s="38" t="s">
        <v>270</v>
      </c>
      <c r="S2061" s="38" t="s">
        <v>5064</v>
      </c>
      <c r="T2061" s="38" t="s">
        <v>5072</v>
      </c>
      <c r="U2061" s="38"/>
      <c r="V2061" s="38"/>
      <c r="W2061" s="38"/>
      <c r="X2061" s="14"/>
      <c r="AI2061" s="53">
        <f>34.84</f>
        <v>34.840000000000003</v>
      </c>
      <c r="AN2061" s="7" t="s">
        <v>145</v>
      </c>
      <c r="AO2061" s="21">
        <f t="shared" si="105"/>
        <v>34.840000000000003</v>
      </c>
      <c r="AP2061" s="7">
        <f t="shared" si="104"/>
        <v>0</v>
      </c>
      <c r="AQ2061" s="31" t="str">
        <f t="shared" si="103"/>
        <v>Complete - With Adjustment</v>
      </c>
    </row>
    <row r="2062" spans="1:43" x14ac:dyDescent="0.2">
      <c r="A2062" s="46">
        <v>2052</v>
      </c>
      <c r="B2062" s="38" t="s">
        <v>266</v>
      </c>
      <c r="C2062" s="38" t="s">
        <v>720</v>
      </c>
      <c r="D2062" s="38" t="s">
        <v>1424</v>
      </c>
      <c r="E2062" s="38" t="s">
        <v>5062</v>
      </c>
      <c r="F2062" s="38" t="s">
        <v>4221</v>
      </c>
      <c r="G2062" s="38" t="s">
        <v>111</v>
      </c>
      <c r="H2062" s="44">
        <v>44095</v>
      </c>
      <c r="I2062" s="44">
        <v>44097</v>
      </c>
      <c r="J2062">
        <v>355.13</v>
      </c>
      <c r="K2062">
        <v>51.41</v>
      </c>
      <c r="L2062" t="s">
        <v>5063</v>
      </c>
      <c r="M2062" s="45" t="s">
        <v>98</v>
      </c>
      <c r="N2062" s="38" t="s">
        <v>230</v>
      </c>
      <c r="O2062" s="38" t="s">
        <v>386</v>
      </c>
      <c r="P2062" s="38" t="s">
        <v>60</v>
      </c>
      <c r="Q2062" s="38" t="s">
        <v>46</v>
      </c>
      <c r="R2062" s="38" t="s">
        <v>270</v>
      </c>
      <c r="S2062" s="38" t="s">
        <v>5064</v>
      </c>
      <c r="T2062" s="38" t="s">
        <v>5073</v>
      </c>
      <c r="U2062" s="38"/>
      <c r="V2062" s="38"/>
      <c r="W2062" s="38"/>
      <c r="X2062" s="14"/>
      <c r="AI2062" s="53">
        <f>51.41</f>
        <v>51.41</v>
      </c>
      <c r="AN2062" s="7" t="s">
        <v>145</v>
      </c>
      <c r="AO2062" s="21">
        <f t="shared" si="105"/>
        <v>51.41</v>
      </c>
      <c r="AP2062" s="7">
        <f t="shared" si="104"/>
        <v>0</v>
      </c>
      <c r="AQ2062" s="31" t="str">
        <f t="shared" si="103"/>
        <v>Complete - With Adjustment</v>
      </c>
    </row>
    <row r="2063" spans="1:43" x14ac:dyDescent="0.2">
      <c r="A2063" s="46">
        <v>2053</v>
      </c>
      <c r="B2063" s="38" t="s">
        <v>266</v>
      </c>
      <c r="C2063" s="38" t="s">
        <v>731</v>
      </c>
      <c r="D2063" s="38" t="s">
        <v>730</v>
      </c>
      <c r="E2063" s="38" t="s">
        <v>5074</v>
      </c>
      <c r="F2063" s="38" t="s">
        <v>4233</v>
      </c>
      <c r="G2063" s="38" t="s">
        <v>111</v>
      </c>
      <c r="H2063" s="44">
        <v>44092</v>
      </c>
      <c r="I2063" s="44">
        <v>44095</v>
      </c>
      <c r="J2063">
        <v>11.8</v>
      </c>
      <c r="K2063">
        <v>11.8</v>
      </c>
      <c r="L2063" t="s">
        <v>5075</v>
      </c>
      <c r="M2063" s="45" t="s">
        <v>98</v>
      </c>
      <c r="N2063" s="38" t="s">
        <v>230</v>
      </c>
      <c r="O2063" s="38" t="s">
        <v>365</v>
      </c>
      <c r="P2063" s="38" t="s">
        <v>60</v>
      </c>
      <c r="Q2063" s="38" t="s">
        <v>41</v>
      </c>
      <c r="R2063" s="38" t="s">
        <v>270</v>
      </c>
      <c r="S2063" s="38" t="s">
        <v>5076</v>
      </c>
      <c r="T2063" s="38" t="s">
        <v>5077</v>
      </c>
      <c r="U2063" s="38"/>
      <c r="V2063" s="38"/>
      <c r="W2063" s="38"/>
      <c r="X2063" s="14"/>
      <c r="AN2063" s="7" t="s">
        <v>4219</v>
      </c>
      <c r="AO2063" s="21">
        <f t="shared" si="105"/>
        <v>0</v>
      </c>
      <c r="AP2063" s="7">
        <f t="shared" si="104"/>
        <v>11.8</v>
      </c>
      <c r="AQ2063" s="31" t="str">
        <f t="shared" si="103"/>
        <v>Complete - No Adjustment</v>
      </c>
    </row>
    <row r="2064" spans="1:43" x14ac:dyDescent="0.2">
      <c r="A2064" s="46">
        <v>2054</v>
      </c>
      <c r="B2064" s="38" t="s">
        <v>266</v>
      </c>
      <c r="C2064" s="38" t="s">
        <v>455</v>
      </c>
      <c r="D2064" s="38" t="s">
        <v>454</v>
      </c>
      <c r="E2064" s="38" t="s">
        <v>5078</v>
      </c>
      <c r="F2064" s="38" t="s">
        <v>4238</v>
      </c>
      <c r="G2064" s="38" t="s">
        <v>111</v>
      </c>
      <c r="H2064" s="44">
        <v>44097</v>
      </c>
      <c r="I2064" s="44">
        <v>44102</v>
      </c>
      <c r="J2064">
        <v>581.79999999999995</v>
      </c>
      <c r="K2064">
        <v>407.26</v>
      </c>
      <c r="L2064" t="s">
        <v>5079</v>
      </c>
      <c r="M2064" s="45" t="s">
        <v>98</v>
      </c>
      <c r="N2064" s="38" t="s">
        <v>230</v>
      </c>
      <c r="O2064" s="38" t="s">
        <v>456</v>
      </c>
      <c r="P2064" s="38" t="s">
        <v>60</v>
      </c>
      <c r="Q2064" s="38" t="s">
        <v>44</v>
      </c>
      <c r="R2064" s="38" t="s">
        <v>270</v>
      </c>
      <c r="S2064" s="38" t="s">
        <v>5080</v>
      </c>
      <c r="T2064" s="38" t="s">
        <v>5081</v>
      </c>
      <c r="U2064" s="38"/>
      <c r="V2064" s="38"/>
      <c r="W2064" s="38"/>
      <c r="X2064" s="14"/>
      <c r="AN2064" s="7" t="s">
        <v>70</v>
      </c>
      <c r="AO2064" s="21">
        <f t="shared" si="105"/>
        <v>0</v>
      </c>
      <c r="AP2064" s="7">
        <f t="shared" si="104"/>
        <v>407.26</v>
      </c>
      <c r="AQ2064" s="31" t="str">
        <f t="shared" si="103"/>
        <v>Complete - No Adjustment</v>
      </c>
    </row>
    <row r="2065" spans="1:43" x14ac:dyDescent="0.2">
      <c r="A2065" s="46">
        <v>2055</v>
      </c>
      <c r="B2065" s="38" t="s">
        <v>266</v>
      </c>
      <c r="C2065" s="38" t="s">
        <v>455</v>
      </c>
      <c r="D2065" s="38" t="s">
        <v>454</v>
      </c>
      <c r="E2065" s="38" t="s">
        <v>5078</v>
      </c>
      <c r="F2065" s="38" t="s">
        <v>4238</v>
      </c>
      <c r="G2065" s="38" t="s">
        <v>111</v>
      </c>
      <c r="H2065" s="44">
        <v>44097</v>
      </c>
      <c r="I2065" s="44">
        <v>44102</v>
      </c>
      <c r="J2065">
        <v>581.79999999999995</v>
      </c>
      <c r="K2065">
        <v>174.54</v>
      </c>
      <c r="L2065" t="s">
        <v>5079</v>
      </c>
      <c r="M2065" s="45" t="s">
        <v>97</v>
      </c>
      <c r="N2065" s="38" t="s">
        <v>230</v>
      </c>
      <c r="O2065" s="38" t="s">
        <v>50</v>
      </c>
      <c r="P2065" s="38" t="s">
        <v>72</v>
      </c>
      <c r="Q2065" s="38" t="s">
        <v>44</v>
      </c>
      <c r="R2065" s="38" t="s">
        <v>270</v>
      </c>
      <c r="S2065" s="38" t="s">
        <v>5080</v>
      </c>
      <c r="T2065" s="38" t="s">
        <v>5081</v>
      </c>
      <c r="U2065" s="38"/>
      <c r="V2065" s="38"/>
      <c r="W2065" s="38"/>
      <c r="X2065" s="14"/>
      <c r="AN2065" s="7" t="s">
        <v>70</v>
      </c>
      <c r="AO2065" s="21">
        <f t="shared" si="105"/>
        <v>0</v>
      </c>
      <c r="AP2065" s="7">
        <f t="shared" si="104"/>
        <v>174.54</v>
      </c>
      <c r="AQ2065" s="31" t="str">
        <f t="shared" si="103"/>
        <v>Complete - No Adjustment</v>
      </c>
    </row>
    <row r="2066" spans="1:43" x14ac:dyDescent="0.2">
      <c r="A2066" s="46">
        <v>2056</v>
      </c>
      <c r="B2066" s="38" t="s">
        <v>266</v>
      </c>
      <c r="C2066" s="38" t="s">
        <v>566</v>
      </c>
      <c r="D2066" s="38" t="s">
        <v>565</v>
      </c>
      <c r="E2066" s="38" t="s">
        <v>5082</v>
      </c>
      <c r="F2066" s="38" t="s">
        <v>4215</v>
      </c>
      <c r="G2066" s="38" t="s">
        <v>111</v>
      </c>
      <c r="H2066" s="44">
        <v>44090</v>
      </c>
      <c r="I2066" s="44">
        <v>44096</v>
      </c>
      <c r="J2066">
        <v>157.65</v>
      </c>
      <c r="K2066">
        <v>15</v>
      </c>
      <c r="L2066" t="s">
        <v>5083</v>
      </c>
      <c r="M2066" s="45" t="s">
        <v>98</v>
      </c>
      <c r="N2066" s="38" t="s">
        <v>230</v>
      </c>
      <c r="O2066" s="38" t="s">
        <v>280</v>
      </c>
      <c r="P2066" s="38" t="s">
        <v>60</v>
      </c>
      <c r="Q2066" s="38" t="s">
        <v>41</v>
      </c>
      <c r="R2066" s="38" t="s">
        <v>270</v>
      </c>
      <c r="S2066" s="38" t="s">
        <v>5084</v>
      </c>
      <c r="T2066" s="38" t="s">
        <v>5085</v>
      </c>
      <c r="U2066" s="38"/>
      <c r="V2066" s="38"/>
      <c r="W2066" s="38"/>
      <c r="X2066" s="14"/>
      <c r="AN2066" s="7" t="s">
        <v>4219</v>
      </c>
      <c r="AO2066" s="21">
        <f t="shared" si="105"/>
        <v>0</v>
      </c>
      <c r="AP2066" s="7">
        <f t="shared" si="104"/>
        <v>15</v>
      </c>
      <c r="AQ2066" s="31" t="str">
        <f t="shared" ref="AQ2066:AQ2130" si="106">IF(AO2066&lt;&gt;0,"Complete - With Adjustment","Complete - No Adjustment")</f>
        <v>Complete - No Adjustment</v>
      </c>
    </row>
    <row r="2067" spans="1:43" x14ac:dyDescent="0.2">
      <c r="A2067" s="46">
        <v>2057</v>
      </c>
      <c r="B2067" s="38" t="s">
        <v>266</v>
      </c>
      <c r="C2067" s="38" t="s">
        <v>566</v>
      </c>
      <c r="D2067" s="38" t="s">
        <v>565</v>
      </c>
      <c r="E2067" s="38" t="s">
        <v>5082</v>
      </c>
      <c r="F2067" s="38" t="s">
        <v>4215</v>
      </c>
      <c r="G2067" s="38" t="s">
        <v>111</v>
      </c>
      <c r="H2067" s="44">
        <v>44090</v>
      </c>
      <c r="I2067" s="44">
        <v>44096</v>
      </c>
      <c r="J2067">
        <v>157.65</v>
      </c>
      <c r="K2067">
        <v>15</v>
      </c>
      <c r="L2067" t="s">
        <v>5083</v>
      </c>
      <c r="M2067" s="45" t="s">
        <v>98</v>
      </c>
      <c r="N2067" s="38" t="s">
        <v>230</v>
      </c>
      <c r="O2067" s="38" t="s">
        <v>280</v>
      </c>
      <c r="P2067" s="38" t="s">
        <v>60</v>
      </c>
      <c r="Q2067" s="38" t="s">
        <v>41</v>
      </c>
      <c r="R2067" s="38" t="s">
        <v>270</v>
      </c>
      <c r="S2067" s="38" t="s">
        <v>5084</v>
      </c>
      <c r="T2067" s="38" t="s">
        <v>5086</v>
      </c>
      <c r="U2067" s="38"/>
      <c r="V2067" s="38"/>
      <c r="W2067" s="38"/>
      <c r="X2067" s="14"/>
      <c r="AN2067" s="7" t="s">
        <v>155</v>
      </c>
      <c r="AO2067" s="21">
        <f t="shared" si="105"/>
        <v>0</v>
      </c>
      <c r="AP2067" s="7">
        <f t="shared" si="104"/>
        <v>15</v>
      </c>
      <c r="AQ2067" s="31" t="str">
        <f t="shared" si="106"/>
        <v>Complete - No Adjustment</v>
      </c>
    </row>
    <row r="2068" spans="1:43" x14ac:dyDescent="0.2">
      <c r="A2068" s="46">
        <v>2058</v>
      </c>
      <c r="B2068" s="38" t="s">
        <v>266</v>
      </c>
      <c r="C2068" s="38" t="s">
        <v>566</v>
      </c>
      <c r="D2068" s="38" t="s">
        <v>565</v>
      </c>
      <c r="E2068" s="38" t="s">
        <v>5082</v>
      </c>
      <c r="F2068" s="38" t="s">
        <v>4215</v>
      </c>
      <c r="G2068" s="38" t="s">
        <v>111</v>
      </c>
      <c r="H2068" s="44">
        <v>44090</v>
      </c>
      <c r="I2068" s="44">
        <v>44096</v>
      </c>
      <c r="J2068">
        <v>157.65</v>
      </c>
      <c r="K2068">
        <v>79</v>
      </c>
      <c r="L2068" t="s">
        <v>5083</v>
      </c>
      <c r="M2068" s="45" t="s">
        <v>98</v>
      </c>
      <c r="N2068" s="38" t="s">
        <v>230</v>
      </c>
      <c r="O2068" s="38" t="s">
        <v>280</v>
      </c>
      <c r="P2068" s="38" t="s">
        <v>60</v>
      </c>
      <c r="Q2068" s="38" t="s">
        <v>74</v>
      </c>
      <c r="R2068" s="38" t="s">
        <v>270</v>
      </c>
      <c r="S2068" s="38" t="s">
        <v>5084</v>
      </c>
      <c r="T2068" s="38" t="s">
        <v>5087</v>
      </c>
      <c r="U2068" s="38"/>
      <c r="V2068" s="38"/>
      <c r="W2068" s="38"/>
      <c r="X2068" s="14"/>
      <c r="AN2068" s="7" t="s">
        <v>70</v>
      </c>
      <c r="AO2068" s="21">
        <f t="shared" si="105"/>
        <v>0</v>
      </c>
      <c r="AP2068" s="7">
        <f t="shared" si="104"/>
        <v>79</v>
      </c>
      <c r="AQ2068" s="31" t="str">
        <f t="shared" si="106"/>
        <v>Complete - No Adjustment</v>
      </c>
    </row>
    <row r="2069" spans="1:43" x14ac:dyDescent="0.2">
      <c r="A2069" s="46">
        <v>2059</v>
      </c>
      <c r="B2069" s="38" t="s">
        <v>266</v>
      </c>
      <c r="C2069" s="38" t="s">
        <v>566</v>
      </c>
      <c r="D2069" s="38" t="s">
        <v>565</v>
      </c>
      <c r="E2069" s="38" t="s">
        <v>5082</v>
      </c>
      <c r="F2069" s="38" t="s">
        <v>4215</v>
      </c>
      <c r="G2069" s="38" t="s">
        <v>111</v>
      </c>
      <c r="H2069" s="44">
        <v>44090</v>
      </c>
      <c r="I2069" s="44">
        <v>44096</v>
      </c>
      <c r="J2069">
        <v>157.65</v>
      </c>
      <c r="K2069">
        <v>48.65</v>
      </c>
      <c r="L2069" t="s">
        <v>5083</v>
      </c>
      <c r="M2069" s="45" t="s">
        <v>98</v>
      </c>
      <c r="N2069" s="38" t="s">
        <v>230</v>
      </c>
      <c r="O2069" s="38" t="s">
        <v>280</v>
      </c>
      <c r="P2069" s="38" t="s">
        <v>60</v>
      </c>
      <c r="Q2069" s="38" t="s">
        <v>74</v>
      </c>
      <c r="R2069" s="38" t="s">
        <v>270</v>
      </c>
      <c r="S2069" s="38" t="s">
        <v>5084</v>
      </c>
      <c r="T2069" s="38" t="s">
        <v>5088</v>
      </c>
      <c r="U2069" s="38"/>
      <c r="V2069" s="38"/>
      <c r="W2069" s="38"/>
      <c r="X2069" s="14"/>
      <c r="AN2069" s="7" t="s">
        <v>70</v>
      </c>
      <c r="AO2069" s="21">
        <f t="shared" si="105"/>
        <v>0</v>
      </c>
      <c r="AP2069" s="7">
        <f t="shared" si="104"/>
        <v>48.65</v>
      </c>
      <c r="AQ2069" s="31" t="str">
        <f t="shared" si="106"/>
        <v>Complete - No Adjustment</v>
      </c>
    </row>
    <row r="2070" spans="1:43" x14ac:dyDescent="0.2">
      <c r="A2070" s="46">
        <v>2060</v>
      </c>
      <c r="B2070" s="38" t="s">
        <v>266</v>
      </c>
      <c r="C2070" s="38" t="s">
        <v>620</v>
      </c>
      <c r="D2070" s="38" t="s">
        <v>619</v>
      </c>
      <c r="E2070" s="38" t="s">
        <v>5089</v>
      </c>
      <c r="F2070" s="38" t="s">
        <v>4349</v>
      </c>
      <c r="G2070" s="38" t="s">
        <v>111</v>
      </c>
      <c r="H2070" s="44">
        <v>44083</v>
      </c>
      <c r="I2070" s="44">
        <v>44084</v>
      </c>
      <c r="J2070">
        <v>13</v>
      </c>
      <c r="K2070">
        <v>13</v>
      </c>
      <c r="L2070" t="s">
        <v>5090</v>
      </c>
      <c r="M2070" s="45" t="s">
        <v>98</v>
      </c>
      <c r="N2070" s="38" t="s">
        <v>230</v>
      </c>
      <c r="O2070" s="38" t="s">
        <v>320</v>
      </c>
      <c r="P2070" s="38" t="s">
        <v>60</v>
      </c>
      <c r="Q2070" s="38" t="s">
        <v>41</v>
      </c>
      <c r="R2070" s="38" t="s">
        <v>270</v>
      </c>
      <c r="S2070" s="38" t="s">
        <v>5091</v>
      </c>
      <c r="T2070" s="38" t="s">
        <v>5092</v>
      </c>
      <c r="U2070" s="38"/>
      <c r="V2070" s="38"/>
      <c r="W2070" s="38"/>
      <c r="X2070" s="14"/>
      <c r="AL2070" s="14">
        <f>13</f>
        <v>13</v>
      </c>
      <c r="AN2070" s="7" t="s">
        <v>146</v>
      </c>
      <c r="AO2070" s="21">
        <f t="shared" si="105"/>
        <v>13</v>
      </c>
      <c r="AP2070" s="7">
        <f t="shared" si="104"/>
        <v>0</v>
      </c>
      <c r="AQ2070" s="31" t="str">
        <f t="shared" si="106"/>
        <v>Complete - With Adjustment</v>
      </c>
    </row>
    <row r="2071" spans="1:43" x14ac:dyDescent="0.2">
      <c r="A2071" s="46">
        <v>2061</v>
      </c>
      <c r="B2071" s="38" t="s">
        <v>266</v>
      </c>
      <c r="C2071" s="38" t="s">
        <v>620</v>
      </c>
      <c r="D2071" s="38" t="s">
        <v>619</v>
      </c>
      <c r="E2071" s="38" t="s">
        <v>5093</v>
      </c>
      <c r="F2071" s="38" t="s">
        <v>4224</v>
      </c>
      <c r="G2071" s="38" t="s">
        <v>111</v>
      </c>
      <c r="H2071" s="44">
        <v>44090</v>
      </c>
      <c r="I2071" s="44">
        <v>44092</v>
      </c>
      <c r="J2071">
        <v>13.98</v>
      </c>
      <c r="K2071">
        <v>13.98</v>
      </c>
      <c r="L2071" t="s">
        <v>5094</v>
      </c>
      <c r="M2071" s="45" t="s">
        <v>98</v>
      </c>
      <c r="N2071" s="38" t="s">
        <v>230</v>
      </c>
      <c r="O2071" s="38" t="s">
        <v>320</v>
      </c>
      <c r="P2071" s="38" t="s">
        <v>60</v>
      </c>
      <c r="Q2071" s="38" t="s">
        <v>41</v>
      </c>
      <c r="R2071" s="38" t="s">
        <v>270</v>
      </c>
      <c r="S2071" s="38" t="s">
        <v>5095</v>
      </c>
      <c r="T2071" s="38" t="s">
        <v>5096</v>
      </c>
      <c r="U2071" s="38"/>
      <c r="V2071" s="38"/>
      <c r="W2071" s="38"/>
      <c r="X2071" s="14"/>
      <c r="AN2071" s="7" t="s">
        <v>4219</v>
      </c>
      <c r="AO2071" s="21">
        <f t="shared" si="105"/>
        <v>0</v>
      </c>
      <c r="AP2071" s="7">
        <f t="shared" si="104"/>
        <v>13.98</v>
      </c>
      <c r="AQ2071" s="31" t="str">
        <f t="shared" si="106"/>
        <v>Complete - No Adjustment</v>
      </c>
    </row>
    <row r="2072" spans="1:43" x14ac:dyDescent="0.2">
      <c r="A2072" s="46">
        <v>2062</v>
      </c>
      <c r="B2072" s="38" t="s">
        <v>266</v>
      </c>
      <c r="C2072" s="38" t="s">
        <v>620</v>
      </c>
      <c r="D2072" s="38" t="s">
        <v>619</v>
      </c>
      <c r="E2072" s="38" t="s">
        <v>5097</v>
      </c>
      <c r="F2072" s="38" t="s">
        <v>4210</v>
      </c>
      <c r="G2072" s="38" t="s">
        <v>111</v>
      </c>
      <c r="H2072" s="44">
        <v>44074</v>
      </c>
      <c r="I2072" s="44">
        <v>44076</v>
      </c>
      <c r="J2072">
        <v>15</v>
      </c>
      <c r="K2072">
        <v>15</v>
      </c>
      <c r="L2072" t="s">
        <v>5098</v>
      </c>
      <c r="M2072" s="45" t="s">
        <v>98</v>
      </c>
      <c r="N2072" s="38" t="s">
        <v>230</v>
      </c>
      <c r="O2072" s="38" t="s">
        <v>320</v>
      </c>
      <c r="P2072" s="38" t="s">
        <v>60</v>
      </c>
      <c r="Q2072" s="38" t="s">
        <v>41</v>
      </c>
      <c r="R2072" s="38" t="s">
        <v>270</v>
      </c>
      <c r="S2072" s="38" t="s">
        <v>5099</v>
      </c>
      <c r="T2072" s="38" t="s">
        <v>5100</v>
      </c>
      <c r="U2072" s="38"/>
      <c r="V2072" s="38"/>
      <c r="W2072" s="38"/>
      <c r="X2072" s="14"/>
      <c r="AI2072" s="53">
        <f>15</f>
        <v>15</v>
      </c>
      <c r="AN2072" s="7" t="s">
        <v>145</v>
      </c>
      <c r="AO2072" s="21">
        <f t="shared" si="105"/>
        <v>15</v>
      </c>
      <c r="AP2072" s="7">
        <f t="shared" si="104"/>
        <v>0</v>
      </c>
      <c r="AQ2072" s="31" t="str">
        <f t="shared" si="106"/>
        <v>Complete - With Adjustment</v>
      </c>
    </row>
    <row r="2073" spans="1:43" x14ac:dyDescent="0.2">
      <c r="A2073" s="46">
        <v>2063</v>
      </c>
      <c r="B2073" s="38" t="s">
        <v>266</v>
      </c>
      <c r="C2073" s="38" t="s">
        <v>568</v>
      </c>
      <c r="D2073" s="38" t="s">
        <v>567</v>
      </c>
      <c r="E2073" s="38" t="s">
        <v>5101</v>
      </c>
      <c r="F2073" s="38" t="s">
        <v>4215</v>
      </c>
      <c r="G2073" s="38" t="s">
        <v>111</v>
      </c>
      <c r="H2073" s="44">
        <v>44092</v>
      </c>
      <c r="I2073" s="44">
        <v>44096</v>
      </c>
      <c r="J2073">
        <v>14.98</v>
      </c>
      <c r="K2073">
        <v>14.98</v>
      </c>
      <c r="L2073" t="s">
        <v>5102</v>
      </c>
      <c r="M2073" s="45" t="s">
        <v>98</v>
      </c>
      <c r="N2073" s="38" t="s">
        <v>230</v>
      </c>
      <c r="O2073" s="38" t="s">
        <v>303</v>
      </c>
      <c r="P2073" s="38" t="s">
        <v>60</v>
      </c>
      <c r="Q2073" s="38" t="s">
        <v>41</v>
      </c>
      <c r="R2073" s="38" t="s">
        <v>270</v>
      </c>
      <c r="S2073" s="38" t="s">
        <v>5103</v>
      </c>
      <c r="T2073" s="38" t="s">
        <v>5104</v>
      </c>
      <c r="U2073" s="38"/>
      <c r="V2073" s="38"/>
      <c r="W2073" s="38"/>
      <c r="X2073" s="14"/>
      <c r="AN2073" s="7" t="s">
        <v>4219</v>
      </c>
      <c r="AO2073" s="21">
        <f t="shared" si="105"/>
        <v>0</v>
      </c>
      <c r="AP2073" s="7">
        <f t="shared" si="104"/>
        <v>14.98</v>
      </c>
      <c r="AQ2073" s="31" t="str">
        <f t="shared" si="106"/>
        <v>Complete - No Adjustment</v>
      </c>
    </row>
    <row r="2074" spans="1:43" x14ac:dyDescent="0.2">
      <c r="A2074" s="46">
        <v>2064</v>
      </c>
      <c r="B2074" s="38" t="s">
        <v>266</v>
      </c>
      <c r="C2074" s="38" t="s">
        <v>462</v>
      </c>
      <c r="D2074" s="38" t="s">
        <v>461</v>
      </c>
      <c r="E2074" s="38" t="s">
        <v>5105</v>
      </c>
      <c r="F2074" s="38" t="s">
        <v>4462</v>
      </c>
      <c r="G2074" s="38" t="s">
        <v>111</v>
      </c>
      <c r="H2074" s="44">
        <v>44085</v>
      </c>
      <c r="I2074" s="44">
        <v>44089</v>
      </c>
      <c r="J2074">
        <v>8.1</v>
      </c>
      <c r="K2074">
        <v>8.1</v>
      </c>
      <c r="L2074" t="s">
        <v>5106</v>
      </c>
      <c r="M2074" s="45" t="s">
        <v>98</v>
      </c>
      <c r="N2074" s="38" t="s">
        <v>230</v>
      </c>
      <c r="O2074" s="38" t="s">
        <v>288</v>
      </c>
      <c r="P2074" s="38" t="s">
        <v>60</v>
      </c>
      <c r="Q2074" s="38" t="s">
        <v>41</v>
      </c>
      <c r="R2074" s="38" t="s">
        <v>270</v>
      </c>
      <c r="S2074" s="38" t="s">
        <v>5107</v>
      </c>
      <c r="T2074" s="38" t="s">
        <v>5108</v>
      </c>
      <c r="U2074" s="38"/>
      <c r="V2074" s="38"/>
      <c r="W2074" s="38"/>
      <c r="X2074" s="14"/>
      <c r="AN2074" s="7" t="s">
        <v>155</v>
      </c>
      <c r="AO2074" s="21">
        <f t="shared" si="105"/>
        <v>0</v>
      </c>
      <c r="AP2074" s="7">
        <f t="shared" si="104"/>
        <v>8.1</v>
      </c>
      <c r="AQ2074" s="31" t="str">
        <f t="shared" si="106"/>
        <v>Complete - No Adjustment</v>
      </c>
    </row>
    <row r="2075" spans="1:43" x14ac:dyDescent="0.2">
      <c r="A2075" s="46">
        <v>2065</v>
      </c>
      <c r="B2075" s="38" t="s">
        <v>266</v>
      </c>
      <c r="C2075" s="38" t="s">
        <v>462</v>
      </c>
      <c r="D2075" s="38" t="s">
        <v>461</v>
      </c>
      <c r="E2075" s="38" t="s">
        <v>5109</v>
      </c>
      <c r="F2075" s="38" t="s">
        <v>4284</v>
      </c>
      <c r="G2075" s="38" t="s">
        <v>111</v>
      </c>
      <c r="H2075" s="44">
        <v>44074</v>
      </c>
      <c r="I2075" s="44">
        <v>44077</v>
      </c>
      <c r="J2075">
        <v>9.94</v>
      </c>
      <c r="K2075">
        <v>9.94</v>
      </c>
      <c r="L2075" t="s">
        <v>5110</v>
      </c>
      <c r="M2075" s="45" t="s">
        <v>98</v>
      </c>
      <c r="N2075" s="38" t="s">
        <v>230</v>
      </c>
      <c r="O2075" s="38" t="s">
        <v>288</v>
      </c>
      <c r="P2075" s="38" t="s">
        <v>60</v>
      </c>
      <c r="Q2075" s="38" t="s">
        <v>41</v>
      </c>
      <c r="R2075" s="38" t="s">
        <v>270</v>
      </c>
      <c r="S2075" s="38" t="s">
        <v>5111</v>
      </c>
      <c r="T2075" s="38" t="s">
        <v>5112</v>
      </c>
      <c r="U2075" s="38"/>
      <c r="V2075" s="38"/>
      <c r="W2075" s="38"/>
      <c r="X2075" s="14"/>
      <c r="AN2075" s="7" t="s">
        <v>155</v>
      </c>
      <c r="AO2075" s="21">
        <f t="shared" si="105"/>
        <v>0</v>
      </c>
      <c r="AP2075" s="7">
        <f t="shared" si="104"/>
        <v>9.94</v>
      </c>
      <c r="AQ2075" s="31" t="str">
        <f t="shared" si="106"/>
        <v>Complete - No Adjustment</v>
      </c>
    </row>
    <row r="2076" spans="1:43" x14ac:dyDescent="0.2">
      <c r="A2076" s="46">
        <v>2066</v>
      </c>
      <c r="B2076" s="38" t="s">
        <v>266</v>
      </c>
      <c r="C2076" s="38" t="s">
        <v>462</v>
      </c>
      <c r="D2076" s="38" t="s">
        <v>461</v>
      </c>
      <c r="E2076" s="38" t="s">
        <v>5113</v>
      </c>
      <c r="F2076" s="38" t="s">
        <v>4462</v>
      </c>
      <c r="G2076" s="38" t="s">
        <v>111</v>
      </c>
      <c r="H2076" s="44">
        <v>44085</v>
      </c>
      <c r="I2076" s="44">
        <v>44089</v>
      </c>
      <c r="J2076">
        <v>12.32</v>
      </c>
      <c r="K2076">
        <v>12.32</v>
      </c>
      <c r="L2076" t="s">
        <v>5114</v>
      </c>
      <c r="M2076" s="45" t="s">
        <v>98</v>
      </c>
      <c r="N2076" s="38" t="s">
        <v>230</v>
      </c>
      <c r="O2076" s="38" t="s">
        <v>288</v>
      </c>
      <c r="P2076" s="38" t="s">
        <v>60</v>
      </c>
      <c r="Q2076" s="38" t="s">
        <v>41</v>
      </c>
      <c r="R2076" s="38" t="s">
        <v>270</v>
      </c>
      <c r="S2076" s="38" t="s">
        <v>5107</v>
      </c>
      <c r="T2076" s="38" t="s">
        <v>5108</v>
      </c>
      <c r="U2076" s="38"/>
      <c r="V2076" s="38"/>
      <c r="W2076" s="38"/>
      <c r="X2076" s="14"/>
      <c r="AN2076" s="7" t="s">
        <v>155</v>
      </c>
      <c r="AO2076" s="21">
        <f t="shared" si="105"/>
        <v>0</v>
      </c>
      <c r="AP2076" s="7">
        <f t="shared" si="104"/>
        <v>12.32</v>
      </c>
      <c r="AQ2076" s="31" t="str">
        <f t="shared" si="106"/>
        <v>Complete - No Adjustment</v>
      </c>
    </row>
    <row r="2077" spans="1:43" x14ac:dyDescent="0.2">
      <c r="A2077" s="46">
        <v>2067</v>
      </c>
      <c r="B2077" s="38" t="s">
        <v>266</v>
      </c>
      <c r="C2077" s="38" t="s">
        <v>462</v>
      </c>
      <c r="D2077" s="38" t="s">
        <v>461</v>
      </c>
      <c r="E2077" s="38" t="s">
        <v>5115</v>
      </c>
      <c r="F2077" s="38" t="s">
        <v>4284</v>
      </c>
      <c r="G2077" s="38" t="s">
        <v>111</v>
      </c>
      <c r="H2077" s="44">
        <v>44074</v>
      </c>
      <c r="I2077" s="44">
        <v>44077</v>
      </c>
      <c r="J2077">
        <v>176.51</v>
      </c>
      <c r="K2077">
        <v>176.51</v>
      </c>
      <c r="L2077" t="s">
        <v>5116</v>
      </c>
      <c r="M2077" s="45" t="s">
        <v>98</v>
      </c>
      <c r="N2077" s="38" t="s">
        <v>230</v>
      </c>
      <c r="O2077" s="38" t="s">
        <v>288</v>
      </c>
      <c r="P2077" s="38" t="s">
        <v>60</v>
      </c>
      <c r="Q2077" s="38" t="s">
        <v>49</v>
      </c>
      <c r="R2077" s="38" t="s">
        <v>270</v>
      </c>
      <c r="S2077" s="38" t="s">
        <v>5117</v>
      </c>
      <c r="T2077" s="38" t="s">
        <v>5118</v>
      </c>
      <c r="U2077" s="38"/>
      <c r="V2077" s="38"/>
      <c r="W2077" s="38"/>
      <c r="X2077" s="14"/>
      <c r="AN2077" s="7" t="s">
        <v>70</v>
      </c>
      <c r="AO2077" s="21">
        <f t="shared" si="105"/>
        <v>0</v>
      </c>
      <c r="AP2077" s="7">
        <f t="shared" si="104"/>
        <v>176.51</v>
      </c>
      <c r="AQ2077" s="31" t="str">
        <f t="shared" si="106"/>
        <v>Complete - No Adjustment</v>
      </c>
    </row>
    <row r="2078" spans="1:43" x14ac:dyDescent="0.2">
      <c r="A2078" s="46">
        <v>2068</v>
      </c>
      <c r="B2078" s="38" t="s">
        <v>266</v>
      </c>
      <c r="C2078" s="38" t="s">
        <v>660</v>
      </c>
      <c r="D2078" s="38" t="s">
        <v>659</v>
      </c>
      <c r="E2078" s="38" t="s">
        <v>5119</v>
      </c>
      <c r="F2078" s="38" t="s">
        <v>4284</v>
      </c>
      <c r="G2078" s="38" t="s">
        <v>111</v>
      </c>
      <c r="H2078" s="44">
        <v>44074</v>
      </c>
      <c r="I2078" s="44">
        <v>44077</v>
      </c>
      <c r="J2078">
        <v>10.28</v>
      </c>
      <c r="K2078">
        <v>10.28</v>
      </c>
      <c r="L2078" t="s">
        <v>5120</v>
      </c>
      <c r="M2078" s="45" t="s">
        <v>98</v>
      </c>
      <c r="N2078" s="38" t="s">
        <v>230</v>
      </c>
      <c r="O2078" s="38" t="s">
        <v>320</v>
      </c>
      <c r="P2078" s="38" t="s">
        <v>60</v>
      </c>
      <c r="Q2078" s="38" t="s">
        <v>41</v>
      </c>
      <c r="R2078" s="38" t="s">
        <v>270</v>
      </c>
      <c r="S2078" s="38" t="s">
        <v>5121</v>
      </c>
      <c r="T2078" s="38" t="s">
        <v>5122</v>
      </c>
      <c r="U2078" s="38"/>
      <c r="V2078" s="38"/>
      <c r="W2078" s="38"/>
      <c r="X2078" s="14"/>
      <c r="AI2078" s="53">
        <f>10.28</f>
        <v>10.28</v>
      </c>
      <c r="AN2078" s="7" t="s">
        <v>145</v>
      </c>
      <c r="AO2078" s="21">
        <f t="shared" si="105"/>
        <v>10.28</v>
      </c>
      <c r="AP2078" s="7">
        <f t="shared" si="104"/>
        <v>0</v>
      </c>
      <c r="AQ2078" s="31" t="str">
        <f t="shared" si="106"/>
        <v>Complete - With Adjustment</v>
      </c>
    </row>
    <row r="2079" spans="1:43" x14ac:dyDescent="0.2">
      <c r="A2079" s="46">
        <v>2069</v>
      </c>
      <c r="B2079" s="38" t="s">
        <v>266</v>
      </c>
      <c r="C2079" s="38" t="s">
        <v>569</v>
      </c>
      <c r="D2079" s="38" t="s">
        <v>849</v>
      </c>
      <c r="E2079" s="38" t="s">
        <v>5123</v>
      </c>
      <c r="F2079" s="38" t="s">
        <v>4657</v>
      </c>
      <c r="G2079" s="38" t="s">
        <v>111</v>
      </c>
      <c r="H2079" s="44">
        <v>44077</v>
      </c>
      <c r="I2079" s="44">
        <v>44083</v>
      </c>
      <c r="J2079">
        <v>26.72</v>
      </c>
      <c r="K2079">
        <v>26.72</v>
      </c>
      <c r="L2079" t="s">
        <v>5124</v>
      </c>
      <c r="M2079" s="45" t="s">
        <v>98</v>
      </c>
      <c r="N2079" s="38" t="s">
        <v>230</v>
      </c>
      <c r="O2079" s="38" t="s">
        <v>298</v>
      </c>
      <c r="P2079" s="38" t="s">
        <v>60</v>
      </c>
      <c r="Q2079" s="38" t="s">
        <v>74</v>
      </c>
      <c r="R2079" s="38" t="s">
        <v>270</v>
      </c>
      <c r="S2079" s="38" t="s">
        <v>5125</v>
      </c>
      <c r="T2079" s="38" t="s">
        <v>5126</v>
      </c>
      <c r="U2079" s="38"/>
      <c r="V2079" s="38"/>
      <c r="W2079" s="38"/>
      <c r="X2079" s="14"/>
      <c r="AN2079" s="7" t="s">
        <v>70</v>
      </c>
      <c r="AO2079" s="21">
        <f t="shared" si="105"/>
        <v>0</v>
      </c>
      <c r="AP2079" s="7">
        <f t="shared" si="104"/>
        <v>26.72</v>
      </c>
      <c r="AQ2079" s="31" t="str">
        <f t="shared" si="106"/>
        <v>Complete - No Adjustment</v>
      </c>
    </row>
    <row r="2080" spans="1:43" x14ac:dyDescent="0.2">
      <c r="A2080" s="46">
        <v>2070</v>
      </c>
      <c r="B2080" s="38" t="s">
        <v>266</v>
      </c>
      <c r="C2080" s="38" t="s">
        <v>788</v>
      </c>
      <c r="D2080" s="38" t="s">
        <v>787</v>
      </c>
      <c r="E2080" s="38" t="s">
        <v>5127</v>
      </c>
      <c r="F2080" s="38" t="s">
        <v>4221</v>
      </c>
      <c r="G2080" s="38" t="s">
        <v>111</v>
      </c>
      <c r="H2080" s="44">
        <v>44095</v>
      </c>
      <c r="I2080" s="44">
        <v>44097</v>
      </c>
      <c r="J2080">
        <v>38.619999999999997</v>
      </c>
      <c r="K2080">
        <v>13.81</v>
      </c>
      <c r="L2080" t="s">
        <v>5128</v>
      </c>
      <c r="M2080" s="45" t="s">
        <v>98</v>
      </c>
      <c r="N2080" s="38" t="s">
        <v>230</v>
      </c>
      <c r="O2080" s="38" t="s">
        <v>444</v>
      </c>
      <c r="P2080" s="38" t="s">
        <v>60</v>
      </c>
      <c r="Q2080" s="38" t="s">
        <v>41</v>
      </c>
      <c r="R2080" s="38" t="s">
        <v>270</v>
      </c>
      <c r="S2080" s="38" t="s">
        <v>5129</v>
      </c>
      <c r="T2080" s="38" t="s">
        <v>5130</v>
      </c>
      <c r="U2080" s="38"/>
      <c r="V2080" s="38"/>
      <c r="W2080" s="38"/>
      <c r="X2080" s="14"/>
      <c r="AI2080" s="53">
        <f>13.81</f>
        <v>13.81</v>
      </c>
      <c r="AN2080" s="7" t="s">
        <v>145</v>
      </c>
      <c r="AO2080" s="21">
        <f t="shared" si="105"/>
        <v>13.81</v>
      </c>
      <c r="AP2080" s="7">
        <f t="shared" si="104"/>
        <v>0</v>
      </c>
      <c r="AQ2080" s="31" t="str">
        <f t="shared" si="106"/>
        <v>Complete - With Adjustment</v>
      </c>
    </row>
    <row r="2081" spans="1:43" x14ac:dyDescent="0.2">
      <c r="A2081" s="46">
        <v>2071</v>
      </c>
      <c r="B2081" s="38" t="s">
        <v>266</v>
      </c>
      <c r="C2081" s="38" t="s">
        <v>788</v>
      </c>
      <c r="D2081" s="38" t="s">
        <v>787</v>
      </c>
      <c r="E2081" s="38" t="s">
        <v>5127</v>
      </c>
      <c r="F2081" s="38" t="s">
        <v>4221</v>
      </c>
      <c r="G2081" s="38" t="s">
        <v>111</v>
      </c>
      <c r="H2081" s="44">
        <v>44095</v>
      </c>
      <c r="I2081" s="44">
        <v>44097</v>
      </c>
      <c r="J2081">
        <v>38.619999999999997</v>
      </c>
      <c r="K2081">
        <v>11</v>
      </c>
      <c r="L2081" t="s">
        <v>5128</v>
      </c>
      <c r="M2081" s="45" t="s">
        <v>98</v>
      </c>
      <c r="N2081" s="38" t="s">
        <v>230</v>
      </c>
      <c r="O2081" s="38" t="s">
        <v>444</v>
      </c>
      <c r="P2081" s="38" t="s">
        <v>60</v>
      </c>
      <c r="Q2081" s="38" t="s">
        <v>74</v>
      </c>
      <c r="R2081" s="38" t="s">
        <v>270</v>
      </c>
      <c r="S2081" s="38" t="s">
        <v>5129</v>
      </c>
      <c r="T2081" s="38" t="s">
        <v>5131</v>
      </c>
      <c r="U2081" s="38"/>
      <c r="V2081" s="38"/>
      <c r="W2081" s="38"/>
      <c r="X2081" s="14"/>
      <c r="AN2081" s="7" t="s">
        <v>70</v>
      </c>
      <c r="AO2081" s="21">
        <f t="shared" si="105"/>
        <v>0</v>
      </c>
      <c r="AP2081" s="7">
        <f t="shared" si="104"/>
        <v>11</v>
      </c>
      <c r="AQ2081" s="31" t="str">
        <f t="shared" si="106"/>
        <v>Complete - No Adjustment</v>
      </c>
    </row>
    <row r="2082" spans="1:43" x14ac:dyDescent="0.2">
      <c r="A2082" s="46">
        <v>2072</v>
      </c>
      <c r="B2082" s="38" t="s">
        <v>266</v>
      </c>
      <c r="C2082" s="38" t="s">
        <v>788</v>
      </c>
      <c r="D2082" s="38" t="s">
        <v>787</v>
      </c>
      <c r="E2082" s="38" t="s">
        <v>5127</v>
      </c>
      <c r="F2082" s="38" t="s">
        <v>4221</v>
      </c>
      <c r="G2082" s="38" t="s">
        <v>111</v>
      </c>
      <c r="H2082" s="44">
        <v>44095</v>
      </c>
      <c r="I2082" s="44">
        <v>44097</v>
      </c>
      <c r="J2082">
        <v>38.619999999999997</v>
      </c>
      <c r="K2082">
        <v>13.81</v>
      </c>
      <c r="L2082" t="s">
        <v>5128</v>
      </c>
      <c r="M2082" s="45" t="s">
        <v>98</v>
      </c>
      <c r="N2082" s="38" t="s">
        <v>230</v>
      </c>
      <c r="O2082" s="38" t="s">
        <v>444</v>
      </c>
      <c r="P2082" s="38" t="s">
        <v>60</v>
      </c>
      <c r="Q2082" s="38" t="s">
        <v>41</v>
      </c>
      <c r="R2082" s="38" t="s">
        <v>270</v>
      </c>
      <c r="S2082" s="38" t="s">
        <v>5129</v>
      </c>
      <c r="T2082" s="38" t="s">
        <v>5132</v>
      </c>
      <c r="U2082" s="38"/>
      <c r="V2082" s="38"/>
      <c r="W2082" s="38"/>
      <c r="X2082" s="14"/>
      <c r="AL2082" s="14">
        <f>13.81</f>
        <v>13.81</v>
      </c>
      <c r="AN2082" s="7" t="s">
        <v>146</v>
      </c>
      <c r="AO2082" s="21">
        <f t="shared" si="105"/>
        <v>13.81</v>
      </c>
      <c r="AP2082" s="7">
        <f t="shared" si="104"/>
        <v>0</v>
      </c>
      <c r="AQ2082" s="31" t="str">
        <f t="shared" si="106"/>
        <v>Complete - With Adjustment</v>
      </c>
    </row>
    <row r="2083" spans="1:43" x14ac:dyDescent="0.2">
      <c r="A2083" s="46">
        <v>2073</v>
      </c>
      <c r="B2083" s="38" t="s">
        <v>266</v>
      </c>
      <c r="C2083" s="38" t="s">
        <v>573</v>
      </c>
      <c r="D2083" s="38" t="s">
        <v>572</v>
      </c>
      <c r="E2083" s="38" t="s">
        <v>5133</v>
      </c>
      <c r="F2083" s="38" t="s">
        <v>4382</v>
      </c>
      <c r="G2083" s="38" t="s">
        <v>111</v>
      </c>
      <c r="H2083" s="44">
        <v>44098</v>
      </c>
      <c r="I2083" s="44">
        <v>44099</v>
      </c>
      <c r="J2083">
        <v>174</v>
      </c>
      <c r="K2083">
        <v>104.4</v>
      </c>
      <c r="L2083" t="s">
        <v>5134</v>
      </c>
      <c r="M2083" s="45" t="s">
        <v>98</v>
      </c>
      <c r="N2083" s="38" t="s">
        <v>230</v>
      </c>
      <c r="O2083" s="38" t="s">
        <v>356</v>
      </c>
      <c r="P2083" s="38" t="s">
        <v>60</v>
      </c>
      <c r="Q2083" s="38" t="s">
        <v>56</v>
      </c>
      <c r="R2083" s="38" t="s">
        <v>270</v>
      </c>
      <c r="S2083" s="38" t="s">
        <v>5135</v>
      </c>
      <c r="T2083" s="38" t="s">
        <v>5136</v>
      </c>
      <c r="U2083" s="38"/>
      <c r="V2083" s="38"/>
      <c r="W2083" s="38"/>
      <c r="X2083" s="14"/>
      <c r="AN2083" s="7" t="s">
        <v>70</v>
      </c>
      <c r="AO2083" s="21">
        <f t="shared" si="105"/>
        <v>0</v>
      </c>
      <c r="AP2083" s="7">
        <f t="shared" si="104"/>
        <v>104.4</v>
      </c>
      <c r="AQ2083" s="31" t="str">
        <f t="shared" si="106"/>
        <v>Complete - No Adjustment</v>
      </c>
    </row>
    <row r="2084" spans="1:43" x14ac:dyDescent="0.2">
      <c r="A2084" s="46">
        <v>2074</v>
      </c>
      <c r="B2084" s="38" t="s">
        <v>266</v>
      </c>
      <c r="C2084" s="38" t="s">
        <v>573</v>
      </c>
      <c r="D2084" s="38" t="s">
        <v>572</v>
      </c>
      <c r="E2084" s="38" t="s">
        <v>5133</v>
      </c>
      <c r="F2084" s="38" t="s">
        <v>4382</v>
      </c>
      <c r="G2084" s="38" t="s">
        <v>111</v>
      </c>
      <c r="H2084" s="44">
        <v>44098</v>
      </c>
      <c r="I2084" s="44">
        <v>44099</v>
      </c>
      <c r="J2084">
        <v>174</v>
      </c>
      <c r="K2084">
        <v>69.599999999999994</v>
      </c>
      <c r="L2084" t="s">
        <v>5134</v>
      </c>
      <c r="M2084" s="45" t="s">
        <v>97</v>
      </c>
      <c r="N2084" s="38" t="s">
        <v>230</v>
      </c>
      <c r="O2084" s="38" t="s">
        <v>50</v>
      </c>
      <c r="P2084" s="38" t="s">
        <v>72</v>
      </c>
      <c r="Q2084" s="38" t="s">
        <v>56</v>
      </c>
      <c r="R2084" s="38" t="s">
        <v>270</v>
      </c>
      <c r="S2084" s="38" t="s">
        <v>5135</v>
      </c>
      <c r="T2084" s="38" t="s">
        <v>5136</v>
      </c>
      <c r="U2084" s="38"/>
      <c r="V2084" s="38"/>
      <c r="W2084" s="38"/>
      <c r="X2084" s="14"/>
      <c r="AN2084" s="7" t="s">
        <v>70</v>
      </c>
      <c r="AO2084" s="21">
        <f t="shared" si="105"/>
        <v>0</v>
      </c>
      <c r="AP2084" s="7">
        <f t="shared" si="104"/>
        <v>69.599999999999994</v>
      </c>
      <c r="AQ2084" s="31" t="str">
        <f t="shared" si="106"/>
        <v>Complete - No Adjustment</v>
      </c>
    </row>
    <row r="2085" spans="1:43" x14ac:dyDescent="0.2">
      <c r="A2085" s="46">
        <v>2075</v>
      </c>
      <c r="B2085" s="38" t="s">
        <v>266</v>
      </c>
      <c r="C2085" s="38" t="s">
        <v>265</v>
      </c>
      <c r="D2085" s="38" t="s">
        <v>264</v>
      </c>
      <c r="E2085" s="38" t="s">
        <v>5137</v>
      </c>
      <c r="F2085" s="38" t="s">
        <v>4298</v>
      </c>
      <c r="G2085" s="38" t="s">
        <v>111</v>
      </c>
      <c r="H2085" s="44">
        <v>44096</v>
      </c>
      <c r="I2085" s="44">
        <v>44103</v>
      </c>
      <c r="J2085">
        <v>558.30999999999995</v>
      </c>
      <c r="K2085">
        <v>112.36</v>
      </c>
      <c r="L2085" t="s">
        <v>5138</v>
      </c>
      <c r="M2085" s="45" t="s">
        <v>98</v>
      </c>
      <c r="N2085" s="38" t="s">
        <v>230</v>
      </c>
      <c r="O2085" s="38" t="s">
        <v>342</v>
      </c>
      <c r="P2085" s="38" t="s">
        <v>60</v>
      </c>
      <c r="Q2085" s="38" t="s">
        <v>46</v>
      </c>
      <c r="R2085" s="38" t="s">
        <v>270</v>
      </c>
      <c r="S2085" s="38" t="s">
        <v>5139</v>
      </c>
      <c r="T2085" s="38" t="s">
        <v>5140</v>
      </c>
      <c r="U2085" s="38"/>
      <c r="V2085" s="38"/>
      <c r="W2085" s="38"/>
      <c r="X2085" s="14"/>
      <c r="AI2085" s="53">
        <f>112.36</f>
        <v>112.36</v>
      </c>
      <c r="AN2085" s="7" t="s">
        <v>145</v>
      </c>
      <c r="AO2085" s="21">
        <f t="shared" si="105"/>
        <v>112.36</v>
      </c>
      <c r="AP2085" s="7">
        <f t="shared" si="104"/>
        <v>0</v>
      </c>
      <c r="AQ2085" s="31" t="str">
        <f t="shared" si="106"/>
        <v>Complete - With Adjustment</v>
      </c>
    </row>
    <row r="2086" spans="1:43" x14ac:dyDescent="0.2">
      <c r="A2086" s="46">
        <v>2076</v>
      </c>
      <c r="B2086" s="38" t="s">
        <v>266</v>
      </c>
      <c r="C2086" s="38" t="s">
        <v>265</v>
      </c>
      <c r="D2086" s="38" t="s">
        <v>264</v>
      </c>
      <c r="E2086" s="38" t="s">
        <v>5137</v>
      </c>
      <c r="F2086" s="38" t="s">
        <v>4298</v>
      </c>
      <c r="G2086" s="38" t="s">
        <v>111</v>
      </c>
      <c r="H2086" s="44">
        <v>44096</v>
      </c>
      <c r="I2086" s="44">
        <v>44103</v>
      </c>
      <c r="J2086">
        <v>558.30999999999995</v>
      </c>
      <c r="K2086">
        <v>108.25</v>
      </c>
      <c r="L2086" t="s">
        <v>5138</v>
      </c>
      <c r="M2086" s="45" t="s">
        <v>98</v>
      </c>
      <c r="N2086" s="38" t="s">
        <v>230</v>
      </c>
      <c r="O2086" s="38" t="s">
        <v>342</v>
      </c>
      <c r="P2086" s="38" t="s">
        <v>60</v>
      </c>
      <c r="Q2086" s="38" t="s">
        <v>46</v>
      </c>
      <c r="R2086" s="38" t="s">
        <v>270</v>
      </c>
      <c r="S2086" s="38" t="s">
        <v>5139</v>
      </c>
      <c r="T2086" s="38" t="s">
        <v>5141</v>
      </c>
      <c r="U2086" s="38"/>
      <c r="V2086" s="38"/>
      <c r="W2086" s="38"/>
      <c r="X2086" s="14"/>
      <c r="AI2086" s="53">
        <f>108.25</f>
        <v>108.25</v>
      </c>
      <c r="AN2086" s="7" t="s">
        <v>145</v>
      </c>
      <c r="AO2086" s="21">
        <f t="shared" si="105"/>
        <v>108.25</v>
      </c>
      <c r="AP2086" s="7">
        <f t="shared" si="104"/>
        <v>0</v>
      </c>
      <c r="AQ2086" s="31" t="str">
        <f t="shared" si="106"/>
        <v>Complete - With Adjustment</v>
      </c>
    </row>
    <row r="2087" spans="1:43" x14ac:dyDescent="0.2">
      <c r="A2087" s="46">
        <v>2077</v>
      </c>
      <c r="B2087" s="38" t="s">
        <v>266</v>
      </c>
      <c r="C2087" s="38" t="s">
        <v>265</v>
      </c>
      <c r="D2087" s="38" t="s">
        <v>264</v>
      </c>
      <c r="E2087" s="38" t="s">
        <v>5137</v>
      </c>
      <c r="F2087" s="38" t="s">
        <v>4298</v>
      </c>
      <c r="G2087" s="38" t="s">
        <v>111</v>
      </c>
      <c r="H2087" s="44">
        <v>44096</v>
      </c>
      <c r="I2087" s="44">
        <v>44103</v>
      </c>
      <c r="J2087">
        <v>558.30999999999995</v>
      </c>
      <c r="K2087">
        <v>160</v>
      </c>
      <c r="L2087" t="s">
        <v>5138</v>
      </c>
      <c r="M2087" s="45" t="s">
        <v>98</v>
      </c>
      <c r="N2087" s="38" t="s">
        <v>230</v>
      </c>
      <c r="O2087" s="38" t="s">
        <v>342</v>
      </c>
      <c r="P2087" s="38" t="s">
        <v>60</v>
      </c>
      <c r="Q2087" s="38" t="s">
        <v>41</v>
      </c>
      <c r="R2087" s="38" t="s">
        <v>270</v>
      </c>
      <c r="S2087" s="38" t="s">
        <v>5139</v>
      </c>
      <c r="T2087" s="38" t="s">
        <v>5142</v>
      </c>
      <c r="U2087" s="38"/>
      <c r="V2087" s="38"/>
      <c r="W2087" s="38"/>
      <c r="X2087" s="14"/>
      <c r="AN2087" s="7" t="s">
        <v>70</v>
      </c>
      <c r="AO2087" s="21">
        <f t="shared" si="105"/>
        <v>0</v>
      </c>
      <c r="AP2087" s="7">
        <f t="shared" si="104"/>
        <v>160</v>
      </c>
      <c r="AQ2087" s="31" t="str">
        <f t="shared" si="106"/>
        <v>Complete - No Adjustment</v>
      </c>
    </row>
    <row r="2088" spans="1:43" x14ac:dyDescent="0.2">
      <c r="A2088" s="46">
        <v>2078</v>
      </c>
      <c r="B2088" s="38" t="s">
        <v>266</v>
      </c>
      <c r="C2088" s="38" t="s">
        <v>265</v>
      </c>
      <c r="D2088" s="38" t="s">
        <v>264</v>
      </c>
      <c r="E2088" s="38" t="s">
        <v>5137</v>
      </c>
      <c r="F2088" s="38" t="s">
        <v>4298</v>
      </c>
      <c r="G2088" s="38" t="s">
        <v>111</v>
      </c>
      <c r="H2088" s="44">
        <v>44096</v>
      </c>
      <c r="I2088" s="44">
        <v>44103</v>
      </c>
      <c r="J2088">
        <v>558.30999999999995</v>
      </c>
      <c r="K2088">
        <v>118.7</v>
      </c>
      <c r="L2088" t="s">
        <v>5138</v>
      </c>
      <c r="M2088" s="45" t="s">
        <v>98</v>
      </c>
      <c r="N2088" s="38" t="s">
        <v>230</v>
      </c>
      <c r="O2088" s="38" t="s">
        <v>342</v>
      </c>
      <c r="P2088" s="38" t="s">
        <v>60</v>
      </c>
      <c r="Q2088" s="38" t="s">
        <v>46</v>
      </c>
      <c r="R2088" s="38" t="s">
        <v>270</v>
      </c>
      <c r="S2088" s="38" t="s">
        <v>5139</v>
      </c>
      <c r="T2088" s="38" t="s">
        <v>5143</v>
      </c>
      <c r="U2088" s="38"/>
      <c r="V2088" s="38"/>
      <c r="W2088" s="38"/>
      <c r="X2088" s="14"/>
      <c r="AI2088" s="53">
        <f>118.7</f>
        <v>118.7</v>
      </c>
      <c r="AN2088" s="7" t="s">
        <v>145</v>
      </c>
      <c r="AO2088" s="21">
        <f t="shared" si="105"/>
        <v>118.7</v>
      </c>
      <c r="AP2088" s="7">
        <f t="shared" si="104"/>
        <v>0</v>
      </c>
      <c r="AQ2088" s="31" t="str">
        <f t="shared" si="106"/>
        <v>Complete - With Adjustment</v>
      </c>
    </row>
    <row r="2089" spans="1:43" x14ac:dyDescent="0.2">
      <c r="A2089" s="46">
        <v>2079</v>
      </c>
      <c r="B2089" s="38" t="s">
        <v>266</v>
      </c>
      <c r="C2089" s="38" t="s">
        <v>265</v>
      </c>
      <c r="D2089" s="38" t="s">
        <v>264</v>
      </c>
      <c r="E2089" s="38" t="s">
        <v>5137</v>
      </c>
      <c r="F2089" s="38" t="s">
        <v>4298</v>
      </c>
      <c r="G2089" s="38" t="s">
        <v>111</v>
      </c>
      <c r="H2089" s="44">
        <v>44096</v>
      </c>
      <c r="I2089" s="44">
        <v>44103</v>
      </c>
      <c r="J2089">
        <v>558.30999999999995</v>
      </c>
      <c r="K2089">
        <v>59</v>
      </c>
      <c r="L2089" t="s">
        <v>5138</v>
      </c>
      <c r="M2089" s="45" t="s">
        <v>98</v>
      </c>
      <c r="N2089" s="38" t="s">
        <v>230</v>
      </c>
      <c r="O2089" s="38" t="s">
        <v>342</v>
      </c>
      <c r="P2089" s="38" t="s">
        <v>60</v>
      </c>
      <c r="Q2089" s="38" t="s">
        <v>46</v>
      </c>
      <c r="R2089" s="38" t="s">
        <v>270</v>
      </c>
      <c r="S2089" s="38" t="s">
        <v>5139</v>
      </c>
      <c r="T2089" s="38" t="s">
        <v>5144</v>
      </c>
      <c r="U2089" s="38"/>
      <c r="V2089" s="38"/>
      <c r="W2089" s="38"/>
      <c r="X2089" s="14"/>
      <c r="AI2089" s="53">
        <f>59</f>
        <v>59</v>
      </c>
      <c r="AN2089" s="7" t="s">
        <v>145</v>
      </c>
      <c r="AO2089" s="21">
        <f t="shared" si="105"/>
        <v>59</v>
      </c>
      <c r="AP2089" s="7">
        <f t="shared" si="104"/>
        <v>0</v>
      </c>
      <c r="AQ2089" s="31" t="str">
        <f t="shared" si="106"/>
        <v>Complete - With Adjustment</v>
      </c>
    </row>
    <row r="2090" spans="1:43" x14ac:dyDescent="0.2">
      <c r="A2090" s="46">
        <v>2080</v>
      </c>
      <c r="B2090" s="38" t="s">
        <v>266</v>
      </c>
      <c r="C2090" s="38" t="s">
        <v>234</v>
      </c>
      <c r="D2090" s="38" t="s">
        <v>233</v>
      </c>
      <c r="E2090" s="38" t="s">
        <v>5145</v>
      </c>
      <c r="F2090" s="38" t="s">
        <v>4261</v>
      </c>
      <c r="G2090" s="38" t="s">
        <v>111</v>
      </c>
      <c r="H2090" s="44">
        <v>44099</v>
      </c>
      <c r="I2090" s="44">
        <v>44104</v>
      </c>
      <c r="J2090">
        <v>750</v>
      </c>
      <c r="K2090">
        <v>250</v>
      </c>
      <c r="L2090" t="s">
        <v>5146</v>
      </c>
      <c r="M2090" s="45" t="s">
        <v>98</v>
      </c>
      <c r="N2090" s="38" t="s">
        <v>230</v>
      </c>
      <c r="O2090" s="38" t="s">
        <v>386</v>
      </c>
      <c r="P2090" s="38" t="s">
        <v>105</v>
      </c>
      <c r="Q2090" s="38" t="s">
        <v>46</v>
      </c>
      <c r="R2090" s="38" t="s">
        <v>270</v>
      </c>
      <c r="S2090" s="38" t="s">
        <v>5147</v>
      </c>
      <c r="T2090" s="38" t="s">
        <v>5148</v>
      </c>
      <c r="U2090" s="38"/>
      <c r="V2090" s="38"/>
      <c r="W2090" s="38"/>
      <c r="X2090" s="14"/>
      <c r="AI2090" s="53">
        <f>250</f>
        <v>250</v>
      </c>
      <c r="AN2090" s="7" t="s">
        <v>145</v>
      </c>
      <c r="AO2090" s="21">
        <f t="shared" si="105"/>
        <v>250</v>
      </c>
      <c r="AP2090" s="7">
        <f t="shared" si="104"/>
        <v>0</v>
      </c>
      <c r="AQ2090" s="31" t="str">
        <f t="shared" si="106"/>
        <v>Complete - With Adjustment</v>
      </c>
    </row>
    <row r="2091" spans="1:43" x14ac:dyDescent="0.2">
      <c r="A2091" s="46">
        <v>2081</v>
      </c>
      <c r="B2091" s="38" t="s">
        <v>266</v>
      </c>
      <c r="C2091" s="38" t="s">
        <v>234</v>
      </c>
      <c r="D2091" s="38" t="s">
        <v>233</v>
      </c>
      <c r="E2091" s="38" t="s">
        <v>5145</v>
      </c>
      <c r="F2091" s="38" t="s">
        <v>4261</v>
      </c>
      <c r="G2091" s="38" t="s">
        <v>111</v>
      </c>
      <c r="H2091" s="44">
        <v>44099</v>
      </c>
      <c r="I2091" s="44">
        <v>44104</v>
      </c>
      <c r="J2091">
        <v>750</v>
      </c>
      <c r="K2091">
        <v>250</v>
      </c>
      <c r="L2091" t="s">
        <v>5146</v>
      </c>
      <c r="M2091" s="45" t="s">
        <v>98</v>
      </c>
      <c r="N2091" s="38" t="s">
        <v>230</v>
      </c>
      <c r="O2091" s="38" t="s">
        <v>386</v>
      </c>
      <c r="P2091" s="38" t="s">
        <v>105</v>
      </c>
      <c r="Q2091" s="38" t="s">
        <v>46</v>
      </c>
      <c r="R2091" s="38" t="s">
        <v>270</v>
      </c>
      <c r="S2091" s="38" t="s">
        <v>5147</v>
      </c>
      <c r="T2091" s="38" t="s">
        <v>5149</v>
      </c>
      <c r="U2091" s="38"/>
      <c r="V2091" s="38"/>
      <c r="W2091" s="38"/>
      <c r="X2091" s="14"/>
      <c r="AI2091" s="53">
        <f>250</f>
        <v>250</v>
      </c>
      <c r="AN2091" s="7" t="s">
        <v>145</v>
      </c>
      <c r="AO2091" s="21">
        <f t="shared" si="105"/>
        <v>250</v>
      </c>
      <c r="AP2091" s="7">
        <f t="shared" si="104"/>
        <v>0</v>
      </c>
      <c r="AQ2091" s="31" t="str">
        <f t="shared" si="106"/>
        <v>Complete - With Adjustment</v>
      </c>
    </row>
    <row r="2092" spans="1:43" x14ac:dyDescent="0.2">
      <c r="A2092" s="46">
        <v>2082</v>
      </c>
      <c r="B2092" s="38" t="s">
        <v>266</v>
      </c>
      <c r="C2092" s="38" t="s">
        <v>234</v>
      </c>
      <c r="D2092" s="38" t="s">
        <v>233</v>
      </c>
      <c r="E2092" s="38" t="s">
        <v>5145</v>
      </c>
      <c r="F2092" s="38" t="s">
        <v>4261</v>
      </c>
      <c r="G2092" s="38" t="s">
        <v>111</v>
      </c>
      <c r="H2092" s="44">
        <v>44099</v>
      </c>
      <c r="I2092" s="44">
        <v>44104</v>
      </c>
      <c r="J2092">
        <v>750</v>
      </c>
      <c r="K2092">
        <v>250</v>
      </c>
      <c r="L2092" t="s">
        <v>5146</v>
      </c>
      <c r="M2092" s="45" t="s">
        <v>98</v>
      </c>
      <c r="N2092" s="38" t="s">
        <v>230</v>
      </c>
      <c r="O2092" s="38" t="s">
        <v>386</v>
      </c>
      <c r="P2092" s="38" t="s">
        <v>105</v>
      </c>
      <c r="Q2092" s="38" t="s">
        <v>46</v>
      </c>
      <c r="R2092" s="38" t="s">
        <v>270</v>
      </c>
      <c r="S2092" s="38" t="s">
        <v>5147</v>
      </c>
      <c r="T2092" s="38" t="s">
        <v>5150</v>
      </c>
      <c r="U2092" s="38"/>
      <c r="V2092" s="38"/>
      <c r="W2092" s="38"/>
      <c r="X2092" s="14"/>
      <c r="AI2092" s="53">
        <f>250</f>
        <v>250</v>
      </c>
      <c r="AN2092" s="7" t="s">
        <v>145</v>
      </c>
      <c r="AO2092" s="21">
        <f t="shared" si="105"/>
        <v>250</v>
      </c>
      <c r="AP2092" s="7">
        <f t="shared" si="104"/>
        <v>0</v>
      </c>
      <c r="AQ2092" s="31" t="str">
        <f t="shared" si="106"/>
        <v>Complete - With Adjustment</v>
      </c>
    </row>
    <row r="2093" spans="1:43" x14ac:dyDescent="0.2">
      <c r="A2093" s="46">
        <v>2083</v>
      </c>
      <c r="B2093" s="38" t="s">
        <v>266</v>
      </c>
      <c r="C2093" s="38" t="s">
        <v>2740</v>
      </c>
      <c r="D2093" s="38" t="s">
        <v>2741</v>
      </c>
      <c r="E2093" s="38" t="s">
        <v>5151</v>
      </c>
      <c r="F2093" s="38" t="s">
        <v>4224</v>
      </c>
      <c r="G2093" s="38" t="s">
        <v>111</v>
      </c>
      <c r="H2093" s="44">
        <v>44090</v>
      </c>
      <c r="I2093" s="44">
        <v>44092</v>
      </c>
      <c r="J2093">
        <v>13.99</v>
      </c>
      <c r="K2093">
        <v>13.99</v>
      </c>
      <c r="L2093" t="s">
        <v>5152</v>
      </c>
      <c r="M2093" s="45" t="s">
        <v>98</v>
      </c>
      <c r="N2093" s="38" t="s">
        <v>230</v>
      </c>
      <c r="O2093" s="38" t="s">
        <v>280</v>
      </c>
      <c r="P2093" s="38" t="s">
        <v>60</v>
      </c>
      <c r="Q2093" s="38" t="s">
        <v>41</v>
      </c>
      <c r="R2093" s="38" t="s">
        <v>270</v>
      </c>
      <c r="S2093" s="38" t="s">
        <v>5153</v>
      </c>
      <c r="T2093" s="38" t="s">
        <v>5154</v>
      </c>
      <c r="U2093" s="38"/>
      <c r="V2093" s="38"/>
      <c r="W2093" s="38"/>
      <c r="X2093" s="14"/>
      <c r="AN2093" s="7" t="s">
        <v>4219</v>
      </c>
      <c r="AO2093" s="21">
        <f t="shared" si="105"/>
        <v>0</v>
      </c>
      <c r="AP2093" s="7">
        <f t="shared" si="104"/>
        <v>13.99</v>
      </c>
      <c r="AQ2093" s="31" t="str">
        <f t="shared" si="106"/>
        <v>Complete - No Adjustment</v>
      </c>
    </row>
    <row r="2094" spans="1:43" x14ac:dyDescent="0.2">
      <c r="A2094" s="46">
        <v>2084</v>
      </c>
      <c r="B2094" s="38" t="s">
        <v>266</v>
      </c>
      <c r="C2094" s="38" t="s">
        <v>622</v>
      </c>
      <c r="D2094" s="38" t="s">
        <v>621</v>
      </c>
      <c r="E2094" s="38" t="s">
        <v>5155</v>
      </c>
      <c r="F2094" s="38" t="s">
        <v>4233</v>
      </c>
      <c r="G2094" s="38" t="s">
        <v>111</v>
      </c>
      <c r="H2094" s="44">
        <v>44090</v>
      </c>
      <c r="I2094" s="44">
        <v>44095</v>
      </c>
      <c r="J2094">
        <v>15</v>
      </c>
      <c r="K2094">
        <v>15</v>
      </c>
      <c r="L2094" t="s">
        <v>5156</v>
      </c>
      <c r="M2094" s="45" t="s">
        <v>98</v>
      </c>
      <c r="N2094" s="38" t="s">
        <v>230</v>
      </c>
      <c r="O2094" s="38" t="s">
        <v>404</v>
      </c>
      <c r="P2094" s="38" t="s">
        <v>60</v>
      </c>
      <c r="Q2094" s="38" t="s">
        <v>41</v>
      </c>
      <c r="R2094" s="38" t="s">
        <v>270</v>
      </c>
      <c r="S2094" s="38" t="s">
        <v>5157</v>
      </c>
      <c r="T2094" s="38" t="s">
        <v>5158</v>
      </c>
      <c r="U2094" s="38"/>
      <c r="V2094" s="38"/>
      <c r="W2094" s="38"/>
      <c r="X2094" s="14"/>
      <c r="AN2094" s="7" t="s">
        <v>155</v>
      </c>
      <c r="AO2094" s="21">
        <f t="shared" si="105"/>
        <v>0</v>
      </c>
      <c r="AP2094" s="7">
        <f t="shared" si="104"/>
        <v>15</v>
      </c>
      <c r="AQ2094" s="31" t="str">
        <f t="shared" si="106"/>
        <v>Complete - No Adjustment</v>
      </c>
    </row>
    <row r="2095" spans="1:43" x14ac:dyDescent="0.2">
      <c r="A2095" s="46">
        <v>2085</v>
      </c>
      <c r="B2095" s="38" t="s">
        <v>266</v>
      </c>
      <c r="C2095" s="38" t="s">
        <v>5159</v>
      </c>
      <c r="D2095" s="38" t="s">
        <v>5160</v>
      </c>
      <c r="E2095" s="38" t="s">
        <v>5161</v>
      </c>
      <c r="F2095" s="38" t="s">
        <v>4358</v>
      </c>
      <c r="G2095" s="38" t="s">
        <v>111</v>
      </c>
      <c r="H2095" s="44">
        <v>44091</v>
      </c>
      <c r="I2095" s="44">
        <v>44098</v>
      </c>
      <c r="J2095">
        <v>34.119999999999997</v>
      </c>
      <c r="K2095">
        <v>34.119999999999997</v>
      </c>
      <c r="L2095" t="s">
        <v>5162</v>
      </c>
      <c r="M2095" s="45" t="s">
        <v>98</v>
      </c>
      <c r="N2095" s="38" t="s">
        <v>230</v>
      </c>
      <c r="O2095" s="38" t="s">
        <v>386</v>
      </c>
      <c r="P2095" s="38" t="s">
        <v>61</v>
      </c>
      <c r="Q2095" s="38" t="s">
        <v>46</v>
      </c>
      <c r="R2095" s="38" t="s">
        <v>270</v>
      </c>
      <c r="S2095" s="38" t="s">
        <v>5163</v>
      </c>
      <c r="T2095" s="38" t="s">
        <v>5164</v>
      </c>
      <c r="U2095" s="38"/>
      <c r="V2095" s="38"/>
      <c r="W2095" s="38"/>
      <c r="X2095" s="14"/>
      <c r="AI2095" s="53">
        <f>34.12</f>
        <v>34.119999999999997</v>
      </c>
      <c r="AN2095" s="7" t="s">
        <v>145</v>
      </c>
      <c r="AO2095" s="21">
        <f t="shared" si="105"/>
        <v>34.119999999999997</v>
      </c>
      <c r="AP2095" s="7">
        <f t="shared" si="104"/>
        <v>0</v>
      </c>
      <c r="AQ2095" s="31" t="str">
        <f t="shared" si="106"/>
        <v>Complete - With Adjustment</v>
      </c>
    </row>
    <row r="2096" spans="1:43" x14ac:dyDescent="0.2">
      <c r="A2096" s="46">
        <v>2086</v>
      </c>
      <c r="B2096" s="38" t="s">
        <v>266</v>
      </c>
      <c r="C2096" s="38" t="s">
        <v>126</v>
      </c>
      <c r="D2096" s="38" t="s">
        <v>125</v>
      </c>
      <c r="E2096" s="38" t="s">
        <v>5165</v>
      </c>
      <c r="F2096" s="38" t="s">
        <v>4382</v>
      </c>
      <c r="G2096" s="38" t="s">
        <v>111</v>
      </c>
      <c r="H2096" s="44">
        <v>44097</v>
      </c>
      <c r="I2096" s="44">
        <v>44099</v>
      </c>
      <c r="J2096">
        <v>14.99</v>
      </c>
      <c r="K2096">
        <v>14.99</v>
      </c>
      <c r="L2096" t="s">
        <v>5166</v>
      </c>
      <c r="M2096" s="45" t="s">
        <v>98</v>
      </c>
      <c r="N2096" s="38" t="s">
        <v>230</v>
      </c>
      <c r="O2096" s="38" t="s">
        <v>383</v>
      </c>
      <c r="P2096" s="38" t="s">
        <v>60</v>
      </c>
      <c r="Q2096" s="38" t="s">
        <v>41</v>
      </c>
      <c r="R2096" s="38" t="s">
        <v>270</v>
      </c>
      <c r="S2096" s="38" t="s">
        <v>5167</v>
      </c>
      <c r="T2096" s="38" t="s">
        <v>5168</v>
      </c>
      <c r="U2096" s="38"/>
      <c r="V2096" s="38"/>
      <c r="W2096" s="38"/>
      <c r="X2096" s="14"/>
      <c r="AN2096" s="7" t="s">
        <v>155</v>
      </c>
      <c r="AO2096" s="21">
        <f t="shared" si="105"/>
        <v>0</v>
      </c>
      <c r="AP2096" s="7">
        <f t="shared" si="104"/>
        <v>14.99</v>
      </c>
      <c r="AQ2096" s="31" t="str">
        <f t="shared" si="106"/>
        <v>Complete - No Adjustment</v>
      </c>
    </row>
    <row r="2097" spans="1:43" x14ac:dyDescent="0.2">
      <c r="A2097" s="46">
        <v>2087</v>
      </c>
      <c r="B2097" s="38" t="s">
        <v>266</v>
      </c>
      <c r="C2097" s="38" t="s">
        <v>476</v>
      </c>
      <c r="D2097" s="38" t="s">
        <v>475</v>
      </c>
      <c r="E2097" s="38" t="s">
        <v>5169</v>
      </c>
      <c r="F2097" s="38" t="s">
        <v>4284</v>
      </c>
      <c r="G2097" s="38" t="s">
        <v>111</v>
      </c>
      <c r="H2097" s="44">
        <v>44074</v>
      </c>
      <c r="I2097" s="44">
        <v>44077</v>
      </c>
      <c r="J2097">
        <v>11.14</v>
      </c>
      <c r="K2097">
        <v>11.14</v>
      </c>
      <c r="L2097" t="s">
        <v>5170</v>
      </c>
      <c r="M2097" s="45" t="s">
        <v>98</v>
      </c>
      <c r="N2097" s="38" t="s">
        <v>230</v>
      </c>
      <c r="O2097" s="38" t="s">
        <v>320</v>
      </c>
      <c r="P2097" s="38" t="s">
        <v>60</v>
      </c>
      <c r="Q2097" s="38" t="s">
        <v>41</v>
      </c>
      <c r="R2097" s="38" t="s">
        <v>270</v>
      </c>
      <c r="S2097" s="38" t="s">
        <v>5171</v>
      </c>
      <c r="T2097" s="38" t="s">
        <v>5172</v>
      </c>
      <c r="U2097" s="38"/>
      <c r="V2097" s="38"/>
      <c r="W2097" s="38"/>
      <c r="X2097" s="14"/>
      <c r="AI2097" s="53">
        <f>11.14</f>
        <v>11.14</v>
      </c>
      <c r="AN2097" s="7" t="s">
        <v>145</v>
      </c>
      <c r="AO2097" s="21">
        <f t="shared" si="105"/>
        <v>11.14</v>
      </c>
      <c r="AP2097" s="7">
        <f t="shared" si="104"/>
        <v>0</v>
      </c>
      <c r="AQ2097" s="31" t="str">
        <f t="shared" si="106"/>
        <v>Complete - With Adjustment</v>
      </c>
    </row>
    <row r="2098" spans="1:43" x14ac:dyDescent="0.2">
      <c r="A2098" s="46">
        <v>2088</v>
      </c>
      <c r="B2098" s="38" t="s">
        <v>266</v>
      </c>
      <c r="C2098" s="38" t="s">
        <v>476</v>
      </c>
      <c r="D2098" s="38" t="s">
        <v>475</v>
      </c>
      <c r="E2098" s="38" t="s">
        <v>5173</v>
      </c>
      <c r="F2098" s="38" t="s">
        <v>4462</v>
      </c>
      <c r="G2098" s="38" t="s">
        <v>111</v>
      </c>
      <c r="H2098" s="44">
        <v>44085</v>
      </c>
      <c r="I2098" s="44">
        <v>44089</v>
      </c>
      <c r="J2098">
        <v>14.75</v>
      </c>
      <c r="K2098">
        <v>14.75</v>
      </c>
      <c r="L2098" t="s">
        <v>5174</v>
      </c>
      <c r="M2098" s="45" t="s">
        <v>98</v>
      </c>
      <c r="N2098" s="38" t="s">
        <v>230</v>
      </c>
      <c r="O2098" s="38" t="s">
        <v>320</v>
      </c>
      <c r="P2098" s="38" t="s">
        <v>60</v>
      </c>
      <c r="Q2098" s="38" t="s">
        <v>41</v>
      </c>
      <c r="R2098" s="38" t="s">
        <v>270</v>
      </c>
      <c r="S2098" s="38" t="s">
        <v>5175</v>
      </c>
      <c r="T2098" s="38" t="s">
        <v>5176</v>
      </c>
      <c r="U2098" s="38"/>
      <c r="V2098" s="38"/>
      <c r="W2098" s="38"/>
      <c r="X2098" s="14"/>
      <c r="AN2098" s="7" t="s">
        <v>70</v>
      </c>
      <c r="AO2098" s="21">
        <f t="shared" si="105"/>
        <v>0</v>
      </c>
      <c r="AP2098" s="7">
        <f t="shared" si="104"/>
        <v>14.75</v>
      </c>
      <c r="AQ2098" s="31" t="str">
        <f t="shared" si="106"/>
        <v>Complete - No Adjustment</v>
      </c>
    </row>
    <row r="2099" spans="1:43" x14ac:dyDescent="0.2">
      <c r="A2099" s="46">
        <v>2089</v>
      </c>
      <c r="B2099" s="38" t="s">
        <v>266</v>
      </c>
      <c r="C2099" s="38" t="s">
        <v>476</v>
      </c>
      <c r="D2099" s="38" t="s">
        <v>475</v>
      </c>
      <c r="E2099" s="38" t="s">
        <v>5177</v>
      </c>
      <c r="F2099" s="38" t="s">
        <v>4224</v>
      </c>
      <c r="G2099" s="38" t="s">
        <v>111</v>
      </c>
      <c r="H2099" s="44">
        <v>44090</v>
      </c>
      <c r="I2099" s="44">
        <v>44092</v>
      </c>
      <c r="J2099">
        <v>15</v>
      </c>
      <c r="K2099">
        <v>15</v>
      </c>
      <c r="L2099" t="s">
        <v>5178</v>
      </c>
      <c r="M2099" s="45" t="s">
        <v>98</v>
      </c>
      <c r="N2099" s="38" t="s">
        <v>230</v>
      </c>
      <c r="O2099" s="38" t="s">
        <v>320</v>
      </c>
      <c r="P2099" s="38" t="s">
        <v>60</v>
      </c>
      <c r="Q2099" s="38" t="s">
        <v>46</v>
      </c>
      <c r="R2099" s="38" t="s">
        <v>270</v>
      </c>
      <c r="S2099" s="38" t="s">
        <v>5179</v>
      </c>
      <c r="T2099" s="38" t="s">
        <v>5180</v>
      </c>
      <c r="U2099" s="38"/>
      <c r="V2099" s="38"/>
      <c r="W2099" s="38"/>
      <c r="X2099" s="14"/>
      <c r="AN2099" s="7" t="s">
        <v>155</v>
      </c>
      <c r="AO2099" s="21">
        <f t="shared" si="105"/>
        <v>0</v>
      </c>
      <c r="AP2099" s="7">
        <f t="shared" si="104"/>
        <v>15</v>
      </c>
      <c r="AQ2099" s="31" t="str">
        <f t="shared" si="106"/>
        <v>Complete - No Adjustment</v>
      </c>
    </row>
    <row r="2100" spans="1:43" x14ac:dyDescent="0.2">
      <c r="A2100" s="46">
        <v>2090</v>
      </c>
      <c r="B2100" s="38" t="s">
        <v>266</v>
      </c>
      <c r="C2100" s="38" t="s">
        <v>624</v>
      </c>
      <c r="D2100" s="38" t="s">
        <v>623</v>
      </c>
      <c r="E2100" s="38" t="s">
        <v>5181</v>
      </c>
      <c r="F2100" s="38" t="s">
        <v>4349</v>
      </c>
      <c r="G2100" s="38" t="s">
        <v>111</v>
      </c>
      <c r="H2100" s="44">
        <v>44078</v>
      </c>
      <c r="I2100" s="44">
        <v>44084</v>
      </c>
      <c r="J2100">
        <v>52.9</v>
      </c>
      <c r="K2100">
        <v>52.9</v>
      </c>
      <c r="L2100" t="s">
        <v>5182</v>
      </c>
      <c r="M2100" s="45" t="s">
        <v>98</v>
      </c>
      <c r="N2100" s="38" t="s">
        <v>230</v>
      </c>
      <c r="O2100" s="38" t="s">
        <v>559</v>
      </c>
      <c r="P2100" s="38" t="s">
        <v>60</v>
      </c>
      <c r="Q2100" s="38" t="s">
        <v>44</v>
      </c>
      <c r="R2100" s="38" t="s">
        <v>270</v>
      </c>
      <c r="S2100" s="38" t="s">
        <v>5183</v>
      </c>
      <c r="T2100" s="38" t="s">
        <v>5184</v>
      </c>
      <c r="U2100" s="38"/>
      <c r="V2100" s="38"/>
      <c r="W2100" s="38"/>
      <c r="X2100" s="14"/>
      <c r="AK2100" s="53">
        <f>52.9</f>
        <v>52.9</v>
      </c>
      <c r="AN2100" s="7" t="s">
        <v>148</v>
      </c>
      <c r="AO2100" s="21">
        <f t="shared" si="105"/>
        <v>52.9</v>
      </c>
      <c r="AP2100" s="7">
        <f t="shared" si="104"/>
        <v>0</v>
      </c>
      <c r="AQ2100" s="31" t="str">
        <f t="shared" si="106"/>
        <v>Complete - With Adjustment</v>
      </c>
    </row>
    <row r="2101" spans="1:43" x14ac:dyDescent="0.2">
      <c r="A2101" s="46">
        <v>2091</v>
      </c>
      <c r="B2101" s="38" t="s">
        <v>266</v>
      </c>
      <c r="C2101" s="38" t="s">
        <v>478</v>
      </c>
      <c r="D2101" s="38" t="s">
        <v>477</v>
      </c>
      <c r="E2101" s="38" t="s">
        <v>5185</v>
      </c>
      <c r="F2101" s="38" t="s">
        <v>4657</v>
      </c>
      <c r="G2101" s="38" t="s">
        <v>111</v>
      </c>
      <c r="H2101" s="44">
        <v>44033</v>
      </c>
      <c r="I2101" s="44">
        <v>44083</v>
      </c>
      <c r="J2101">
        <v>24.88</v>
      </c>
      <c r="K2101">
        <v>24.88</v>
      </c>
      <c r="L2101" t="s">
        <v>5186</v>
      </c>
      <c r="M2101" s="45" t="s">
        <v>98</v>
      </c>
      <c r="N2101" s="38" t="s">
        <v>230</v>
      </c>
      <c r="O2101" s="38" t="s">
        <v>289</v>
      </c>
      <c r="P2101" s="38" t="s">
        <v>60</v>
      </c>
      <c r="Q2101" s="38" t="s">
        <v>46</v>
      </c>
      <c r="R2101" s="38" t="s">
        <v>270</v>
      </c>
      <c r="S2101" s="38" t="s">
        <v>5187</v>
      </c>
      <c r="T2101" s="38" t="s">
        <v>5188</v>
      </c>
      <c r="U2101" s="38"/>
      <c r="V2101" s="38"/>
      <c r="W2101" s="38"/>
      <c r="X2101" s="14"/>
      <c r="AN2101" s="7" t="s">
        <v>155</v>
      </c>
      <c r="AO2101" s="21">
        <f t="shared" si="105"/>
        <v>0</v>
      </c>
      <c r="AP2101" s="7">
        <f t="shared" si="104"/>
        <v>24.88</v>
      </c>
      <c r="AQ2101" s="31" t="str">
        <f t="shared" si="106"/>
        <v>Complete - No Adjustment</v>
      </c>
    </row>
    <row r="2102" spans="1:43" x14ac:dyDescent="0.2">
      <c r="A2102" s="46">
        <v>2092</v>
      </c>
      <c r="B2102" s="38" t="s">
        <v>266</v>
      </c>
      <c r="C2102" s="38" t="s">
        <v>2017</v>
      </c>
      <c r="D2102" s="38" t="s">
        <v>2018</v>
      </c>
      <c r="E2102" s="38" t="s">
        <v>5189</v>
      </c>
      <c r="F2102" s="38" t="s">
        <v>4238</v>
      </c>
      <c r="G2102" s="38" t="s">
        <v>111</v>
      </c>
      <c r="H2102" s="44">
        <v>44098</v>
      </c>
      <c r="I2102" s="44">
        <v>44102</v>
      </c>
      <c r="J2102">
        <v>11.69</v>
      </c>
      <c r="K2102">
        <v>11.69</v>
      </c>
      <c r="L2102" t="s">
        <v>5190</v>
      </c>
      <c r="M2102" s="45" t="s">
        <v>98</v>
      </c>
      <c r="N2102" s="38" t="s">
        <v>230</v>
      </c>
      <c r="O2102" s="38" t="s">
        <v>429</v>
      </c>
      <c r="P2102" s="38" t="s">
        <v>60</v>
      </c>
      <c r="Q2102" s="38" t="s">
        <v>46</v>
      </c>
      <c r="R2102" s="38" t="s">
        <v>270</v>
      </c>
      <c r="S2102" s="38" t="s">
        <v>5191</v>
      </c>
      <c r="T2102" s="38" t="s">
        <v>5192</v>
      </c>
      <c r="U2102" s="38"/>
      <c r="V2102" s="38"/>
      <c r="W2102" s="38"/>
      <c r="X2102" s="14"/>
      <c r="AL2102" s="14">
        <f>11.69</f>
        <v>11.69</v>
      </c>
      <c r="AN2102" s="7" t="s">
        <v>146</v>
      </c>
      <c r="AO2102" s="21">
        <f t="shared" si="105"/>
        <v>11.69</v>
      </c>
      <c r="AP2102" s="7">
        <f t="shared" si="104"/>
        <v>0</v>
      </c>
      <c r="AQ2102" s="31" t="str">
        <f t="shared" si="106"/>
        <v>Complete - With Adjustment</v>
      </c>
    </row>
    <row r="2103" spans="1:43" x14ac:dyDescent="0.2">
      <c r="A2103" s="46">
        <v>2093</v>
      </c>
      <c r="B2103" s="38" t="s">
        <v>266</v>
      </c>
      <c r="C2103" s="38" t="s">
        <v>575</v>
      </c>
      <c r="D2103" s="38" t="s">
        <v>574</v>
      </c>
      <c r="E2103" s="38" t="s">
        <v>5193</v>
      </c>
      <c r="F2103" s="38" t="s">
        <v>4233</v>
      </c>
      <c r="G2103" s="38" t="s">
        <v>111</v>
      </c>
      <c r="H2103" s="44">
        <v>44091</v>
      </c>
      <c r="I2103" s="44">
        <v>44095</v>
      </c>
      <c r="J2103">
        <v>711.68</v>
      </c>
      <c r="K2103">
        <v>573.71</v>
      </c>
      <c r="L2103" t="s">
        <v>5194</v>
      </c>
      <c r="M2103" s="45" t="s">
        <v>98</v>
      </c>
      <c r="N2103" s="38" t="s">
        <v>230</v>
      </c>
      <c r="O2103" s="38" t="s">
        <v>78</v>
      </c>
      <c r="P2103" s="38" t="s">
        <v>60</v>
      </c>
      <c r="Q2103" s="38" t="s">
        <v>62</v>
      </c>
      <c r="R2103" s="38" t="s">
        <v>270</v>
      </c>
      <c r="S2103" s="38" t="s">
        <v>5195</v>
      </c>
      <c r="T2103" s="38" t="s">
        <v>5196</v>
      </c>
      <c r="U2103" s="38"/>
      <c r="V2103" s="38"/>
      <c r="W2103" s="38"/>
      <c r="X2103" s="14"/>
      <c r="AN2103" s="7" t="s">
        <v>155</v>
      </c>
      <c r="AO2103" s="21">
        <f t="shared" si="105"/>
        <v>0</v>
      </c>
      <c r="AP2103" s="7">
        <f t="shared" si="104"/>
        <v>573.71</v>
      </c>
      <c r="AQ2103" s="31" t="str">
        <f t="shared" si="106"/>
        <v>Complete - No Adjustment</v>
      </c>
    </row>
    <row r="2104" spans="1:43" x14ac:dyDescent="0.2">
      <c r="A2104" s="46">
        <v>2094</v>
      </c>
      <c r="B2104" s="38" t="s">
        <v>266</v>
      </c>
      <c r="C2104" s="38" t="s">
        <v>575</v>
      </c>
      <c r="D2104" s="38" t="s">
        <v>574</v>
      </c>
      <c r="E2104" s="38" t="s">
        <v>5193</v>
      </c>
      <c r="F2104" s="38" t="s">
        <v>4233</v>
      </c>
      <c r="G2104" s="38" t="s">
        <v>111</v>
      </c>
      <c r="H2104" s="44">
        <v>44091</v>
      </c>
      <c r="I2104" s="44">
        <v>44095</v>
      </c>
      <c r="J2104">
        <v>711.68</v>
      </c>
      <c r="K2104">
        <v>30.8</v>
      </c>
      <c r="L2104" t="s">
        <v>5194</v>
      </c>
      <c r="M2104" s="45" t="s">
        <v>98</v>
      </c>
      <c r="N2104" s="38" t="s">
        <v>230</v>
      </c>
      <c r="O2104" s="38" t="s">
        <v>78</v>
      </c>
      <c r="P2104" s="38" t="s">
        <v>60</v>
      </c>
      <c r="Q2104" s="38" t="s">
        <v>41</v>
      </c>
      <c r="R2104" s="38" t="s">
        <v>270</v>
      </c>
      <c r="S2104" s="38" t="s">
        <v>5195</v>
      </c>
      <c r="T2104" s="38" t="s">
        <v>5197</v>
      </c>
      <c r="U2104" s="38"/>
      <c r="V2104" s="38"/>
      <c r="W2104" s="38"/>
      <c r="X2104" s="14"/>
      <c r="AB2104" s="14">
        <f>30.8-15</f>
        <v>15.8</v>
      </c>
      <c r="AN2104" s="7" t="s">
        <v>4257</v>
      </c>
      <c r="AO2104" s="21">
        <f t="shared" si="105"/>
        <v>15.8</v>
      </c>
      <c r="AP2104" s="7">
        <f t="shared" si="104"/>
        <v>15</v>
      </c>
      <c r="AQ2104" s="31" t="str">
        <f t="shared" si="106"/>
        <v>Complete - With Adjustment</v>
      </c>
    </row>
    <row r="2105" spans="1:43" x14ac:dyDescent="0.2">
      <c r="A2105" s="46">
        <v>2095</v>
      </c>
      <c r="B2105" s="38" t="s">
        <v>266</v>
      </c>
      <c r="C2105" s="38" t="s">
        <v>575</v>
      </c>
      <c r="D2105" s="38" t="s">
        <v>574</v>
      </c>
      <c r="E2105" s="38" t="s">
        <v>5193</v>
      </c>
      <c r="F2105" s="38" t="s">
        <v>4233</v>
      </c>
      <c r="G2105" s="38" t="s">
        <v>111</v>
      </c>
      <c r="H2105" s="44">
        <v>44091</v>
      </c>
      <c r="I2105" s="44">
        <v>44095</v>
      </c>
      <c r="J2105">
        <v>711.68</v>
      </c>
      <c r="K2105">
        <v>107.17</v>
      </c>
      <c r="L2105" t="s">
        <v>5194</v>
      </c>
      <c r="M2105" s="45" t="s">
        <v>98</v>
      </c>
      <c r="N2105" s="38" t="s">
        <v>230</v>
      </c>
      <c r="O2105" s="38" t="s">
        <v>78</v>
      </c>
      <c r="P2105" s="38" t="s">
        <v>60</v>
      </c>
      <c r="Q2105" s="38" t="s">
        <v>62</v>
      </c>
      <c r="R2105" s="38" t="s">
        <v>270</v>
      </c>
      <c r="S2105" s="38" t="s">
        <v>5195</v>
      </c>
      <c r="T2105" s="38" t="s">
        <v>5198</v>
      </c>
      <c r="U2105" s="38"/>
      <c r="V2105" s="38"/>
      <c r="W2105" s="38"/>
      <c r="X2105" s="14"/>
      <c r="AN2105" s="7" t="s">
        <v>155</v>
      </c>
      <c r="AO2105" s="21">
        <f t="shared" si="105"/>
        <v>0</v>
      </c>
      <c r="AP2105" s="7">
        <f t="shared" si="104"/>
        <v>107.17</v>
      </c>
      <c r="AQ2105" s="31" t="str">
        <f t="shared" si="106"/>
        <v>Complete - No Adjustment</v>
      </c>
    </row>
    <row r="2106" spans="1:43" x14ac:dyDescent="0.2">
      <c r="A2106" s="46">
        <v>2096</v>
      </c>
      <c r="B2106" s="38" t="s">
        <v>266</v>
      </c>
      <c r="C2106" s="38" t="s">
        <v>662</v>
      </c>
      <c r="D2106" s="38" t="s">
        <v>661</v>
      </c>
      <c r="E2106" s="38" t="s">
        <v>5199</v>
      </c>
      <c r="F2106" s="38" t="s">
        <v>4261</v>
      </c>
      <c r="G2106" s="38" t="s">
        <v>111</v>
      </c>
      <c r="H2106" s="44">
        <v>44095</v>
      </c>
      <c r="I2106" s="44">
        <v>44104</v>
      </c>
      <c r="J2106">
        <v>84.38</v>
      </c>
      <c r="K2106">
        <v>12.18</v>
      </c>
      <c r="L2106" t="s">
        <v>5200</v>
      </c>
      <c r="M2106" s="45" t="s">
        <v>98</v>
      </c>
      <c r="N2106" s="38" t="s">
        <v>230</v>
      </c>
      <c r="O2106" s="38" t="s">
        <v>323</v>
      </c>
      <c r="P2106" s="38" t="s">
        <v>60</v>
      </c>
      <c r="Q2106" s="38" t="s">
        <v>41</v>
      </c>
      <c r="R2106" s="38" t="s">
        <v>270</v>
      </c>
      <c r="S2106" s="38" t="s">
        <v>5201</v>
      </c>
      <c r="T2106" s="38" t="s">
        <v>5202</v>
      </c>
      <c r="U2106" s="38"/>
      <c r="V2106" s="38"/>
      <c r="W2106" s="38"/>
      <c r="X2106" s="14"/>
      <c r="AN2106" s="7" t="s">
        <v>70</v>
      </c>
      <c r="AO2106" s="21">
        <f t="shared" si="105"/>
        <v>0</v>
      </c>
      <c r="AP2106" s="7">
        <f t="shared" si="104"/>
        <v>12.18</v>
      </c>
      <c r="AQ2106" s="31" t="str">
        <f t="shared" si="106"/>
        <v>Complete - No Adjustment</v>
      </c>
    </row>
    <row r="2107" spans="1:43" x14ac:dyDescent="0.2">
      <c r="A2107" s="46">
        <v>2097</v>
      </c>
      <c r="B2107" s="38" t="s">
        <v>266</v>
      </c>
      <c r="C2107" s="38" t="s">
        <v>662</v>
      </c>
      <c r="D2107" s="38" t="s">
        <v>661</v>
      </c>
      <c r="E2107" s="38" t="s">
        <v>5199</v>
      </c>
      <c r="F2107" s="38" t="s">
        <v>4261</v>
      </c>
      <c r="G2107" s="38" t="s">
        <v>111</v>
      </c>
      <c r="H2107" s="44">
        <v>44095</v>
      </c>
      <c r="I2107" s="44">
        <v>44104</v>
      </c>
      <c r="J2107">
        <v>84.38</v>
      </c>
      <c r="K2107">
        <v>15.14</v>
      </c>
      <c r="L2107" t="s">
        <v>5200</v>
      </c>
      <c r="M2107" s="45" t="s">
        <v>98</v>
      </c>
      <c r="N2107" s="38" t="s">
        <v>230</v>
      </c>
      <c r="O2107" s="38" t="s">
        <v>323</v>
      </c>
      <c r="P2107" s="38" t="s">
        <v>60</v>
      </c>
      <c r="Q2107" s="38" t="s">
        <v>41</v>
      </c>
      <c r="R2107" s="38" t="s">
        <v>270</v>
      </c>
      <c r="S2107" s="38" t="s">
        <v>5201</v>
      </c>
      <c r="T2107" s="38" t="s">
        <v>5203</v>
      </c>
      <c r="U2107" s="38"/>
      <c r="V2107" s="38"/>
      <c r="W2107" s="38"/>
      <c r="X2107" s="14"/>
      <c r="AL2107" s="14">
        <f>15.14</f>
        <v>15.14</v>
      </c>
      <c r="AN2107" s="7" t="s">
        <v>146</v>
      </c>
      <c r="AO2107" s="21">
        <f t="shared" si="105"/>
        <v>15.14</v>
      </c>
      <c r="AP2107" s="7">
        <f t="shared" si="104"/>
        <v>0</v>
      </c>
      <c r="AQ2107" s="31" t="str">
        <f t="shared" si="106"/>
        <v>Complete - With Adjustment</v>
      </c>
    </row>
    <row r="2108" spans="1:43" x14ac:dyDescent="0.2">
      <c r="A2108" s="46">
        <v>2098</v>
      </c>
      <c r="B2108" s="38" t="s">
        <v>266</v>
      </c>
      <c r="C2108" s="38" t="s">
        <v>662</v>
      </c>
      <c r="D2108" s="38" t="s">
        <v>661</v>
      </c>
      <c r="E2108" s="38" t="s">
        <v>5199</v>
      </c>
      <c r="F2108" s="38" t="s">
        <v>4261</v>
      </c>
      <c r="G2108" s="38" t="s">
        <v>111</v>
      </c>
      <c r="H2108" s="44">
        <v>44095</v>
      </c>
      <c r="I2108" s="44">
        <v>44104</v>
      </c>
      <c r="J2108">
        <v>84.38</v>
      </c>
      <c r="K2108">
        <v>16.78</v>
      </c>
      <c r="L2108" t="s">
        <v>5200</v>
      </c>
      <c r="M2108" s="45" t="s">
        <v>98</v>
      </c>
      <c r="N2108" s="38" t="s">
        <v>230</v>
      </c>
      <c r="O2108" s="38" t="s">
        <v>323</v>
      </c>
      <c r="P2108" s="38" t="s">
        <v>60</v>
      </c>
      <c r="Q2108" s="38" t="s">
        <v>41</v>
      </c>
      <c r="R2108" s="38" t="s">
        <v>270</v>
      </c>
      <c r="S2108" s="38" t="s">
        <v>5201</v>
      </c>
      <c r="T2108" s="38" t="s">
        <v>5204</v>
      </c>
      <c r="U2108" s="38"/>
      <c r="V2108" s="38"/>
      <c r="W2108" s="38"/>
      <c r="X2108" s="14"/>
      <c r="AN2108" s="7" t="s">
        <v>70</v>
      </c>
      <c r="AO2108" s="21">
        <f t="shared" si="105"/>
        <v>0</v>
      </c>
      <c r="AP2108" s="7">
        <f t="shared" si="104"/>
        <v>16.78</v>
      </c>
      <c r="AQ2108" s="31" t="str">
        <f t="shared" si="106"/>
        <v>Complete - No Adjustment</v>
      </c>
    </row>
    <row r="2109" spans="1:43" x14ac:dyDescent="0.2">
      <c r="A2109" s="46">
        <v>2099</v>
      </c>
      <c r="B2109" s="38" t="s">
        <v>266</v>
      </c>
      <c r="C2109" s="38" t="s">
        <v>662</v>
      </c>
      <c r="D2109" s="38" t="s">
        <v>661</v>
      </c>
      <c r="E2109" s="38" t="s">
        <v>5199</v>
      </c>
      <c r="F2109" s="38" t="s">
        <v>4261</v>
      </c>
      <c r="G2109" s="38" t="s">
        <v>111</v>
      </c>
      <c r="H2109" s="44">
        <v>44095</v>
      </c>
      <c r="I2109" s="44">
        <v>44104</v>
      </c>
      <c r="J2109">
        <v>84.38</v>
      </c>
      <c r="K2109">
        <v>9.4600000000000009</v>
      </c>
      <c r="L2109" t="s">
        <v>5200</v>
      </c>
      <c r="M2109" s="45" t="s">
        <v>98</v>
      </c>
      <c r="N2109" s="38" t="s">
        <v>230</v>
      </c>
      <c r="O2109" s="38" t="s">
        <v>323</v>
      </c>
      <c r="P2109" s="38" t="s">
        <v>60</v>
      </c>
      <c r="Q2109" s="38" t="s">
        <v>41</v>
      </c>
      <c r="R2109" s="38" t="s">
        <v>270</v>
      </c>
      <c r="S2109" s="38" t="s">
        <v>5201</v>
      </c>
      <c r="T2109" s="38" t="s">
        <v>5202</v>
      </c>
      <c r="U2109" s="38"/>
      <c r="V2109" s="38"/>
      <c r="W2109" s="38"/>
      <c r="X2109" s="14"/>
      <c r="AN2109" s="7" t="s">
        <v>70</v>
      </c>
      <c r="AO2109" s="21">
        <f t="shared" si="105"/>
        <v>0</v>
      </c>
      <c r="AP2109" s="7">
        <f t="shared" si="104"/>
        <v>9.4600000000000009</v>
      </c>
      <c r="AQ2109" s="31" t="str">
        <f t="shared" si="106"/>
        <v>Complete - No Adjustment</v>
      </c>
    </row>
    <row r="2110" spans="1:43" x14ac:dyDescent="0.2">
      <c r="A2110" s="46">
        <v>2100</v>
      </c>
      <c r="B2110" s="38" t="s">
        <v>266</v>
      </c>
      <c r="C2110" s="38" t="s">
        <v>662</v>
      </c>
      <c r="D2110" s="38" t="s">
        <v>661</v>
      </c>
      <c r="E2110" s="38" t="s">
        <v>5199</v>
      </c>
      <c r="F2110" s="38" t="s">
        <v>4261</v>
      </c>
      <c r="G2110" s="38" t="s">
        <v>111</v>
      </c>
      <c r="H2110" s="44">
        <v>44095</v>
      </c>
      <c r="I2110" s="44">
        <v>44104</v>
      </c>
      <c r="J2110">
        <v>84.38</v>
      </c>
      <c r="K2110">
        <v>11.9</v>
      </c>
      <c r="L2110" t="s">
        <v>5200</v>
      </c>
      <c r="M2110" s="45" t="s">
        <v>98</v>
      </c>
      <c r="N2110" s="38" t="s">
        <v>230</v>
      </c>
      <c r="O2110" s="38" t="s">
        <v>323</v>
      </c>
      <c r="P2110" s="38" t="s">
        <v>60</v>
      </c>
      <c r="Q2110" s="38" t="s">
        <v>41</v>
      </c>
      <c r="R2110" s="38" t="s">
        <v>270</v>
      </c>
      <c r="S2110" s="38" t="s">
        <v>5201</v>
      </c>
      <c r="T2110" s="38" t="s">
        <v>5205</v>
      </c>
      <c r="U2110" s="38"/>
      <c r="V2110" s="38"/>
      <c r="W2110" s="38"/>
      <c r="X2110" s="14"/>
      <c r="AN2110" s="7" t="s">
        <v>155</v>
      </c>
      <c r="AO2110" s="21">
        <f t="shared" si="105"/>
        <v>0</v>
      </c>
      <c r="AP2110" s="7">
        <f t="shared" si="104"/>
        <v>11.9</v>
      </c>
      <c r="AQ2110" s="31" t="str">
        <f t="shared" si="106"/>
        <v>Complete - No Adjustment</v>
      </c>
    </row>
    <row r="2111" spans="1:43" x14ac:dyDescent="0.2">
      <c r="A2111" s="46">
        <v>2101</v>
      </c>
      <c r="B2111" s="38" t="s">
        <v>266</v>
      </c>
      <c r="C2111" s="38" t="s">
        <v>662</v>
      </c>
      <c r="D2111" s="38" t="s">
        <v>661</v>
      </c>
      <c r="E2111" s="38" t="s">
        <v>5199</v>
      </c>
      <c r="F2111" s="38" t="s">
        <v>4261</v>
      </c>
      <c r="G2111" s="38" t="s">
        <v>111</v>
      </c>
      <c r="H2111" s="44">
        <v>44095</v>
      </c>
      <c r="I2111" s="44">
        <v>44104</v>
      </c>
      <c r="J2111">
        <v>84.38</v>
      </c>
      <c r="K2111">
        <v>9.4600000000000009</v>
      </c>
      <c r="L2111" t="s">
        <v>5200</v>
      </c>
      <c r="M2111" s="45" t="s">
        <v>98</v>
      </c>
      <c r="N2111" s="38" t="s">
        <v>230</v>
      </c>
      <c r="O2111" s="38" t="s">
        <v>323</v>
      </c>
      <c r="P2111" s="38" t="s">
        <v>60</v>
      </c>
      <c r="Q2111" s="38" t="s">
        <v>41</v>
      </c>
      <c r="R2111" s="38" t="s">
        <v>270</v>
      </c>
      <c r="S2111" s="38" t="s">
        <v>5201</v>
      </c>
      <c r="T2111" s="38" t="s">
        <v>5204</v>
      </c>
      <c r="U2111" s="38"/>
      <c r="V2111" s="38"/>
      <c r="W2111" s="38"/>
      <c r="X2111" s="14"/>
      <c r="AN2111" s="7" t="s">
        <v>70</v>
      </c>
      <c r="AO2111" s="21">
        <f t="shared" si="105"/>
        <v>0</v>
      </c>
      <c r="AP2111" s="7">
        <f t="shared" si="104"/>
        <v>9.4600000000000009</v>
      </c>
      <c r="AQ2111" s="31" t="str">
        <f t="shared" si="106"/>
        <v>Complete - No Adjustment</v>
      </c>
    </row>
    <row r="2112" spans="1:43" x14ac:dyDescent="0.2">
      <c r="A2112" s="46">
        <v>2102</v>
      </c>
      <c r="B2112" s="38" t="s">
        <v>266</v>
      </c>
      <c r="C2112" s="38" t="s">
        <v>662</v>
      </c>
      <c r="D2112" s="38" t="s">
        <v>661</v>
      </c>
      <c r="E2112" s="38" t="s">
        <v>5199</v>
      </c>
      <c r="F2112" s="38" t="s">
        <v>4261</v>
      </c>
      <c r="G2112" s="38" t="s">
        <v>111</v>
      </c>
      <c r="H2112" s="44">
        <v>44095</v>
      </c>
      <c r="I2112" s="44">
        <v>44104</v>
      </c>
      <c r="J2112">
        <v>84.38</v>
      </c>
      <c r="K2112">
        <v>9.4600000000000009</v>
      </c>
      <c r="L2112" t="s">
        <v>5200</v>
      </c>
      <c r="M2112" s="45" t="s">
        <v>98</v>
      </c>
      <c r="N2112" s="38" t="s">
        <v>230</v>
      </c>
      <c r="O2112" s="38" t="s">
        <v>323</v>
      </c>
      <c r="P2112" s="38" t="s">
        <v>60</v>
      </c>
      <c r="Q2112" s="38" t="s">
        <v>41</v>
      </c>
      <c r="R2112" s="38" t="s">
        <v>270</v>
      </c>
      <c r="S2112" s="38" t="s">
        <v>5201</v>
      </c>
      <c r="T2112" s="38" t="s">
        <v>5204</v>
      </c>
      <c r="U2112" s="38"/>
      <c r="V2112" s="38"/>
      <c r="W2112" s="38"/>
      <c r="X2112" s="14"/>
      <c r="AN2112" s="7" t="s">
        <v>70</v>
      </c>
      <c r="AO2112" s="21">
        <f t="shared" si="105"/>
        <v>0</v>
      </c>
      <c r="AP2112" s="7">
        <f t="shared" si="104"/>
        <v>9.4600000000000009</v>
      </c>
      <c r="AQ2112" s="31" t="str">
        <f t="shared" si="106"/>
        <v>Complete - No Adjustment</v>
      </c>
    </row>
    <row r="2113" spans="1:43" x14ac:dyDescent="0.2">
      <c r="A2113" s="46">
        <v>2103</v>
      </c>
      <c r="B2113" s="38" t="s">
        <v>266</v>
      </c>
      <c r="C2113" s="38" t="s">
        <v>625</v>
      </c>
      <c r="D2113" s="38" t="s">
        <v>850</v>
      </c>
      <c r="E2113" s="38" t="s">
        <v>5206</v>
      </c>
      <c r="F2113" s="38" t="s">
        <v>4418</v>
      </c>
      <c r="G2113" s="38" t="s">
        <v>111</v>
      </c>
      <c r="H2113" s="44">
        <v>44068</v>
      </c>
      <c r="I2113" s="44">
        <v>44082</v>
      </c>
      <c r="J2113">
        <v>2738.37</v>
      </c>
      <c r="K2113">
        <v>13.37</v>
      </c>
      <c r="L2113" t="s">
        <v>5207</v>
      </c>
      <c r="M2113" s="45" t="s">
        <v>98</v>
      </c>
      <c r="N2113" s="38" t="s">
        <v>230</v>
      </c>
      <c r="O2113" s="38" t="s">
        <v>387</v>
      </c>
      <c r="P2113" s="38" t="s">
        <v>60</v>
      </c>
      <c r="Q2113" s="38" t="s">
        <v>41</v>
      </c>
      <c r="R2113" s="38" t="s">
        <v>270</v>
      </c>
      <c r="S2113" s="38" t="s">
        <v>5208</v>
      </c>
      <c r="T2113" s="38" t="s">
        <v>5209</v>
      </c>
      <c r="U2113" s="38"/>
      <c r="V2113" s="38"/>
      <c r="W2113" s="38"/>
      <c r="X2113" s="14"/>
      <c r="AN2113" s="7" t="s">
        <v>155</v>
      </c>
      <c r="AO2113" s="21">
        <f t="shared" si="105"/>
        <v>0</v>
      </c>
      <c r="AP2113" s="7">
        <f t="shared" si="104"/>
        <v>13.37</v>
      </c>
      <c r="AQ2113" s="31" t="str">
        <f t="shared" si="106"/>
        <v>Complete - No Adjustment</v>
      </c>
    </row>
    <row r="2114" spans="1:43" x14ac:dyDescent="0.2">
      <c r="A2114" s="46">
        <v>2104</v>
      </c>
      <c r="B2114" s="38" t="s">
        <v>266</v>
      </c>
      <c r="C2114" s="38" t="s">
        <v>625</v>
      </c>
      <c r="D2114" s="38" t="s">
        <v>850</v>
      </c>
      <c r="E2114" s="38" t="s">
        <v>5206</v>
      </c>
      <c r="F2114" s="38" t="s">
        <v>4418</v>
      </c>
      <c r="G2114" s="38" t="s">
        <v>111</v>
      </c>
      <c r="H2114" s="44">
        <v>44068</v>
      </c>
      <c r="I2114" s="44">
        <v>44082</v>
      </c>
      <c r="J2114">
        <v>2738.37</v>
      </c>
      <c r="K2114">
        <v>2725</v>
      </c>
      <c r="L2114" t="s">
        <v>5207</v>
      </c>
      <c r="M2114" s="45" t="s">
        <v>98</v>
      </c>
      <c r="N2114" s="38" t="s">
        <v>230</v>
      </c>
      <c r="O2114" s="38" t="s">
        <v>387</v>
      </c>
      <c r="P2114" s="38" t="s">
        <v>60</v>
      </c>
      <c r="Q2114" s="38" t="s">
        <v>749</v>
      </c>
      <c r="R2114" s="38" t="s">
        <v>270</v>
      </c>
      <c r="S2114" s="38" t="s">
        <v>5208</v>
      </c>
      <c r="T2114" s="38" t="s">
        <v>5210</v>
      </c>
      <c r="U2114" s="38"/>
      <c r="V2114" s="38"/>
      <c r="W2114" s="38"/>
      <c r="X2114" s="14"/>
      <c r="AN2114" s="7" t="s">
        <v>70</v>
      </c>
      <c r="AO2114" s="21">
        <f t="shared" si="105"/>
        <v>0</v>
      </c>
      <c r="AP2114" s="7">
        <f t="shared" si="104"/>
        <v>2725</v>
      </c>
      <c r="AQ2114" s="31" t="str">
        <f t="shared" si="106"/>
        <v>Complete - No Adjustment</v>
      </c>
    </row>
    <row r="2115" spans="1:43" x14ac:dyDescent="0.2">
      <c r="A2115" s="46">
        <v>2105</v>
      </c>
      <c r="B2115" s="38" t="s">
        <v>266</v>
      </c>
      <c r="C2115" s="38" t="s">
        <v>236</v>
      </c>
      <c r="D2115" s="38" t="s">
        <v>235</v>
      </c>
      <c r="E2115" s="38" t="s">
        <v>5211</v>
      </c>
      <c r="F2115" s="38" t="s">
        <v>4304</v>
      </c>
      <c r="G2115" s="38" t="s">
        <v>111</v>
      </c>
      <c r="H2115" s="44">
        <v>44084</v>
      </c>
      <c r="I2115" s="44">
        <v>44088</v>
      </c>
      <c r="J2115">
        <v>12.24</v>
      </c>
      <c r="K2115">
        <v>3.06</v>
      </c>
      <c r="L2115" t="s">
        <v>5212</v>
      </c>
      <c r="M2115" s="45" t="s">
        <v>98</v>
      </c>
      <c r="N2115" s="38" t="s">
        <v>230</v>
      </c>
      <c r="O2115" s="38" t="s">
        <v>326</v>
      </c>
      <c r="P2115" s="38" t="s">
        <v>60</v>
      </c>
      <c r="Q2115" s="38" t="s">
        <v>41</v>
      </c>
      <c r="R2115" s="38" t="s">
        <v>270</v>
      </c>
      <c r="S2115" s="38" t="s">
        <v>5213</v>
      </c>
      <c r="T2115" s="38" t="s">
        <v>5214</v>
      </c>
      <c r="U2115" s="38"/>
      <c r="V2115" s="38"/>
      <c r="W2115" s="38"/>
      <c r="X2115" s="14"/>
      <c r="AI2115" s="53">
        <f>3.06</f>
        <v>3.06</v>
      </c>
      <c r="AN2115" s="7" t="s">
        <v>145</v>
      </c>
      <c r="AO2115" s="21">
        <f t="shared" si="105"/>
        <v>3.06</v>
      </c>
      <c r="AP2115" s="7">
        <f t="shared" si="104"/>
        <v>0</v>
      </c>
      <c r="AQ2115" s="31" t="str">
        <f t="shared" si="106"/>
        <v>Complete - With Adjustment</v>
      </c>
    </row>
    <row r="2116" spans="1:43" x14ac:dyDescent="0.2">
      <c r="A2116" s="46">
        <v>2106</v>
      </c>
      <c r="B2116" s="38" t="s">
        <v>266</v>
      </c>
      <c r="C2116" s="38" t="s">
        <v>737</v>
      </c>
      <c r="D2116" s="38" t="s">
        <v>736</v>
      </c>
      <c r="E2116" s="38" t="s">
        <v>5215</v>
      </c>
      <c r="F2116" s="38" t="s">
        <v>4358</v>
      </c>
      <c r="G2116" s="38" t="s">
        <v>111</v>
      </c>
      <c r="H2116" s="44">
        <v>44092</v>
      </c>
      <c r="I2116" s="44">
        <v>44098</v>
      </c>
      <c r="J2116">
        <v>15</v>
      </c>
      <c r="K2116">
        <v>15</v>
      </c>
      <c r="L2116" t="s">
        <v>5216</v>
      </c>
      <c r="M2116" s="45" t="s">
        <v>98</v>
      </c>
      <c r="N2116" s="38" t="s">
        <v>230</v>
      </c>
      <c r="O2116" s="38" t="s">
        <v>397</v>
      </c>
      <c r="P2116" s="38" t="s">
        <v>60</v>
      </c>
      <c r="Q2116" s="38" t="s">
        <v>41</v>
      </c>
      <c r="R2116" s="38" t="s">
        <v>270</v>
      </c>
      <c r="S2116" s="38" t="s">
        <v>3600</v>
      </c>
      <c r="T2116" s="38" t="s">
        <v>3601</v>
      </c>
      <c r="U2116" s="38"/>
      <c r="V2116" s="38"/>
      <c r="W2116" s="38"/>
      <c r="X2116" s="14"/>
      <c r="AN2116" s="7" t="s">
        <v>155</v>
      </c>
      <c r="AO2116" s="21">
        <f t="shared" si="105"/>
        <v>0</v>
      </c>
      <c r="AP2116" s="7">
        <f t="shared" si="104"/>
        <v>15</v>
      </c>
      <c r="AQ2116" s="31" t="str">
        <f t="shared" si="106"/>
        <v>Complete - No Adjustment</v>
      </c>
    </row>
    <row r="2117" spans="1:43" x14ac:dyDescent="0.2">
      <c r="A2117" s="46">
        <v>2107</v>
      </c>
      <c r="B2117" s="38" t="s">
        <v>266</v>
      </c>
      <c r="C2117" s="38" t="s">
        <v>627</v>
      </c>
      <c r="D2117" s="38" t="s">
        <v>879</v>
      </c>
      <c r="E2117" s="38" t="s">
        <v>5332</v>
      </c>
      <c r="F2117" s="38" t="s">
        <v>4261</v>
      </c>
      <c r="G2117" s="38" t="s">
        <v>111</v>
      </c>
      <c r="H2117" s="44">
        <v>44102</v>
      </c>
      <c r="I2117" s="44">
        <v>44104</v>
      </c>
      <c r="J2117">
        <v>9.73</v>
      </c>
      <c r="K2117">
        <v>9.73</v>
      </c>
      <c r="L2117"/>
      <c r="M2117" s="45" t="s">
        <v>98</v>
      </c>
      <c r="N2117" s="38" t="s">
        <v>230</v>
      </c>
      <c r="O2117" s="38" t="s">
        <v>277</v>
      </c>
      <c r="P2117" s="38" t="s">
        <v>60</v>
      </c>
      <c r="Q2117" s="38" t="s">
        <v>104</v>
      </c>
      <c r="R2117" s="38" t="s">
        <v>270</v>
      </c>
      <c r="S2117" s="38" t="s">
        <v>5333</v>
      </c>
      <c r="T2117" s="38" t="s">
        <v>5334</v>
      </c>
      <c r="U2117" s="38"/>
      <c r="V2117" s="38"/>
      <c r="W2117" s="38"/>
      <c r="X2117" s="14"/>
      <c r="AL2117" s="14">
        <v>9.73</v>
      </c>
      <c r="AN2117" s="7" t="s">
        <v>155</v>
      </c>
      <c r="AO2117" s="21">
        <f t="shared" si="105"/>
        <v>9.73</v>
      </c>
      <c r="AP2117" s="7">
        <f t="shared" si="104"/>
        <v>0</v>
      </c>
      <c r="AQ2117" s="31" t="str">
        <f t="shared" si="106"/>
        <v>Complete - With Adjustment</v>
      </c>
    </row>
    <row r="2118" spans="1:43" x14ac:dyDescent="0.2">
      <c r="A2118" s="46">
        <v>2108</v>
      </c>
      <c r="B2118" s="38" t="s">
        <v>266</v>
      </c>
      <c r="C2118" s="38" t="s">
        <v>629</v>
      </c>
      <c r="D2118" s="38" t="s">
        <v>628</v>
      </c>
      <c r="E2118" s="38" t="s">
        <v>5217</v>
      </c>
      <c r="F2118" s="38" t="s">
        <v>4215</v>
      </c>
      <c r="G2118" s="38" t="s">
        <v>111</v>
      </c>
      <c r="H2118" s="44">
        <v>44092</v>
      </c>
      <c r="I2118" s="44">
        <v>44096</v>
      </c>
      <c r="J2118">
        <v>285</v>
      </c>
      <c r="K2118">
        <v>285</v>
      </c>
      <c r="L2118" t="s">
        <v>5218</v>
      </c>
      <c r="M2118" s="45" t="s">
        <v>98</v>
      </c>
      <c r="N2118" s="38" t="s">
        <v>230</v>
      </c>
      <c r="O2118" s="38" t="s">
        <v>506</v>
      </c>
      <c r="P2118" s="38" t="s">
        <v>60</v>
      </c>
      <c r="Q2118" s="38" t="s">
        <v>119</v>
      </c>
      <c r="R2118" s="38" t="s">
        <v>270</v>
      </c>
      <c r="S2118" s="38" t="s">
        <v>5219</v>
      </c>
      <c r="T2118" s="38" t="s">
        <v>5220</v>
      </c>
      <c r="U2118" s="38"/>
      <c r="V2118" s="38"/>
      <c r="W2118" s="38"/>
      <c r="X2118" s="14"/>
      <c r="AN2118" s="7" t="s">
        <v>70</v>
      </c>
      <c r="AO2118" s="21">
        <f t="shared" si="105"/>
        <v>0</v>
      </c>
      <c r="AP2118" s="7">
        <f t="shared" si="104"/>
        <v>285</v>
      </c>
      <c r="AQ2118" s="31" t="str">
        <f t="shared" si="106"/>
        <v>Complete - No Adjustment</v>
      </c>
    </row>
    <row r="2119" spans="1:43" x14ac:dyDescent="0.2">
      <c r="A2119" s="46">
        <v>2109</v>
      </c>
      <c r="B2119" s="38" t="s">
        <v>266</v>
      </c>
      <c r="C2119" s="38" t="s">
        <v>480</v>
      </c>
      <c r="D2119" s="38" t="s">
        <v>479</v>
      </c>
      <c r="E2119" s="38" t="s">
        <v>5221</v>
      </c>
      <c r="F2119" s="38" t="s">
        <v>4238</v>
      </c>
      <c r="G2119" s="38" t="s">
        <v>111</v>
      </c>
      <c r="H2119" s="44">
        <v>44097</v>
      </c>
      <c r="I2119" s="44">
        <v>44102</v>
      </c>
      <c r="J2119">
        <v>42.98</v>
      </c>
      <c r="K2119">
        <v>15</v>
      </c>
      <c r="L2119" t="s">
        <v>5222</v>
      </c>
      <c r="M2119" s="45" t="s">
        <v>98</v>
      </c>
      <c r="N2119" s="38" t="s">
        <v>230</v>
      </c>
      <c r="O2119" s="38" t="s">
        <v>481</v>
      </c>
      <c r="P2119" s="38" t="s">
        <v>60</v>
      </c>
      <c r="Q2119" s="38" t="s">
        <v>41</v>
      </c>
      <c r="R2119" s="38" t="s">
        <v>270</v>
      </c>
      <c r="S2119" s="38" t="s">
        <v>5223</v>
      </c>
      <c r="T2119" s="38" t="s">
        <v>5224</v>
      </c>
      <c r="U2119" s="38"/>
      <c r="V2119" s="38"/>
      <c r="W2119" s="38"/>
      <c r="X2119" s="14"/>
      <c r="AL2119" s="14">
        <f>15</f>
        <v>15</v>
      </c>
      <c r="AN2119" s="7" t="s">
        <v>146</v>
      </c>
      <c r="AO2119" s="21">
        <f t="shared" si="105"/>
        <v>15</v>
      </c>
      <c r="AP2119" s="7">
        <f t="shared" si="104"/>
        <v>0</v>
      </c>
      <c r="AQ2119" s="31" t="str">
        <f t="shared" si="106"/>
        <v>Complete - With Adjustment</v>
      </c>
    </row>
    <row r="2120" spans="1:43" x14ac:dyDescent="0.2">
      <c r="A2120" s="46">
        <v>2110</v>
      </c>
      <c r="B2120" s="38" t="s">
        <v>266</v>
      </c>
      <c r="C2120" s="38" t="s">
        <v>480</v>
      </c>
      <c r="D2120" s="38" t="s">
        <v>479</v>
      </c>
      <c r="E2120" s="38" t="s">
        <v>5225</v>
      </c>
      <c r="F2120" s="38" t="s">
        <v>4382</v>
      </c>
      <c r="G2120" s="38" t="s">
        <v>111</v>
      </c>
      <c r="H2120" s="44">
        <v>44097</v>
      </c>
      <c r="I2120" s="44">
        <v>44099</v>
      </c>
      <c r="J2120">
        <v>51.33</v>
      </c>
      <c r="K2120">
        <v>13.99</v>
      </c>
      <c r="L2120" t="s">
        <v>5226</v>
      </c>
      <c r="M2120" s="45" t="s">
        <v>98</v>
      </c>
      <c r="N2120" s="38" t="s">
        <v>230</v>
      </c>
      <c r="O2120" s="38" t="s">
        <v>481</v>
      </c>
      <c r="P2120" s="38" t="s">
        <v>60</v>
      </c>
      <c r="Q2120" s="38" t="s">
        <v>104</v>
      </c>
      <c r="R2120" s="38" t="s">
        <v>270</v>
      </c>
      <c r="S2120" s="38" t="s">
        <v>5227</v>
      </c>
      <c r="T2120" s="38" t="s">
        <v>5228</v>
      </c>
      <c r="U2120" s="38"/>
      <c r="V2120" s="38"/>
      <c r="W2120" s="38"/>
      <c r="X2120" s="14"/>
      <c r="AN2120" s="7" t="s">
        <v>70</v>
      </c>
      <c r="AO2120" s="21">
        <f t="shared" si="105"/>
        <v>0</v>
      </c>
      <c r="AP2120" s="7">
        <f t="shared" si="104"/>
        <v>13.99</v>
      </c>
      <c r="AQ2120" s="31" t="str">
        <f t="shared" si="106"/>
        <v>Complete - No Adjustment</v>
      </c>
    </row>
    <row r="2121" spans="1:43" x14ac:dyDescent="0.2">
      <c r="A2121" s="46">
        <v>2111</v>
      </c>
      <c r="B2121" s="38" t="s">
        <v>266</v>
      </c>
      <c r="C2121" s="38" t="s">
        <v>480</v>
      </c>
      <c r="D2121" s="38" t="s">
        <v>479</v>
      </c>
      <c r="E2121" s="38" t="s">
        <v>5225</v>
      </c>
      <c r="F2121" s="38" t="s">
        <v>4382</v>
      </c>
      <c r="G2121" s="38" t="s">
        <v>111</v>
      </c>
      <c r="H2121" s="44">
        <v>44097</v>
      </c>
      <c r="I2121" s="44">
        <v>44099</v>
      </c>
      <c r="J2121">
        <v>51.33</v>
      </c>
      <c r="K2121">
        <v>11.53</v>
      </c>
      <c r="L2121" t="s">
        <v>5226</v>
      </c>
      <c r="M2121" s="45" t="s">
        <v>98</v>
      </c>
      <c r="N2121" s="38" t="s">
        <v>230</v>
      </c>
      <c r="O2121" s="38" t="s">
        <v>481</v>
      </c>
      <c r="P2121" s="38" t="s">
        <v>60</v>
      </c>
      <c r="Q2121" s="38" t="s">
        <v>104</v>
      </c>
      <c r="R2121" s="38" t="s">
        <v>270</v>
      </c>
      <c r="S2121" s="38" t="s">
        <v>5227</v>
      </c>
      <c r="T2121" s="38" t="s">
        <v>5229</v>
      </c>
      <c r="U2121" s="38"/>
      <c r="V2121" s="38"/>
      <c r="W2121" s="38"/>
      <c r="X2121" s="14"/>
      <c r="AN2121" s="7" t="s">
        <v>70</v>
      </c>
      <c r="AO2121" s="21">
        <f t="shared" si="105"/>
        <v>0</v>
      </c>
      <c r="AP2121" s="7">
        <f t="shared" si="104"/>
        <v>11.53</v>
      </c>
      <c r="AQ2121" s="31" t="str">
        <f t="shared" si="106"/>
        <v>Complete - No Adjustment</v>
      </c>
    </row>
    <row r="2122" spans="1:43" x14ac:dyDescent="0.2">
      <c r="A2122" s="46">
        <v>2112</v>
      </c>
      <c r="B2122" s="38" t="s">
        <v>266</v>
      </c>
      <c r="C2122" s="38" t="s">
        <v>480</v>
      </c>
      <c r="D2122" s="38" t="s">
        <v>479</v>
      </c>
      <c r="E2122" s="38" t="s">
        <v>5225</v>
      </c>
      <c r="F2122" s="38" t="s">
        <v>4382</v>
      </c>
      <c r="G2122" s="38" t="s">
        <v>111</v>
      </c>
      <c r="H2122" s="44">
        <v>44097</v>
      </c>
      <c r="I2122" s="44">
        <v>44099</v>
      </c>
      <c r="J2122">
        <v>51.33</v>
      </c>
      <c r="K2122">
        <v>10.81</v>
      </c>
      <c r="L2122" t="s">
        <v>5226</v>
      </c>
      <c r="M2122" s="45" t="s">
        <v>98</v>
      </c>
      <c r="N2122" s="38" t="s">
        <v>230</v>
      </c>
      <c r="O2122" s="38" t="s">
        <v>481</v>
      </c>
      <c r="P2122" s="38" t="s">
        <v>60</v>
      </c>
      <c r="Q2122" s="38" t="s">
        <v>104</v>
      </c>
      <c r="R2122" s="38" t="s">
        <v>270</v>
      </c>
      <c r="S2122" s="38" t="s">
        <v>5227</v>
      </c>
      <c r="T2122" s="38" t="s">
        <v>5230</v>
      </c>
      <c r="U2122" s="38"/>
      <c r="V2122" s="38"/>
      <c r="W2122" s="38"/>
      <c r="X2122" s="14"/>
      <c r="AN2122" s="7" t="s">
        <v>70</v>
      </c>
      <c r="AO2122" s="21">
        <f t="shared" si="105"/>
        <v>0</v>
      </c>
      <c r="AP2122" s="7">
        <f t="shared" ref="AP2122:AP2181" si="107">K2122-AO2122</f>
        <v>10.81</v>
      </c>
      <c r="AQ2122" s="31" t="str">
        <f t="shared" si="106"/>
        <v>Complete - No Adjustment</v>
      </c>
    </row>
    <row r="2123" spans="1:43" x14ac:dyDescent="0.2">
      <c r="A2123" s="46">
        <v>2113</v>
      </c>
      <c r="B2123" s="38" t="s">
        <v>266</v>
      </c>
      <c r="C2123" s="38" t="s">
        <v>480</v>
      </c>
      <c r="D2123" s="38" t="s">
        <v>479</v>
      </c>
      <c r="E2123" s="38" t="s">
        <v>5225</v>
      </c>
      <c r="F2123" s="38" t="s">
        <v>4382</v>
      </c>
      <c r="G2123" s="38" t="s">
        <v>111</v>
      </c>
      <c r="H2123" s="44">
        <v>44097</v>
      </c>
      <c r="I2123" s="44">
        <v>44099</v>
      </c>
      <c r="J2123">
        <v>51.33</v>
      </c>
      <c r="K2123">
        <v>15</v>
      </c>
      <c r="L2123" t="s">
        <v>5226</v>
      </c>
      <c r="M2123" s="45" t="s">
        <v>98</v>
      </c>
      <c r="N2123" s="38" t="s">
        <v>230</v>
      </c>
      <c r="O2123" s="38" t="s">
        <v>481</v>
      </c>
      <c r="P2123" s="38" t="s">
        <v>60</v>
      </c>
      <c r="Q2123" s="38" t="s">
        <v>41</v>
      </c>
      <c r="R2123" s="38" t="s">
        <v>270</v>
      </c>
      <c r="S2123" s="38" t="s">
        <v>5227</v>
      </c>
      <c r="T2123" s="38" t="s">
        <v>5231</v>
      </c>
      <c r="U2123" s="38"/>
      <c r="V2123" s="38"/>
      <c r="W2123" s="38"/>
      <c r="X2123" s="14"/>
      <c r="AL2123" s="14">
        <f>15</f>
        <v>15</v>
      </c>
      <c r="AN2123" s="7" t="s">
        <v>5232</v>
      </c>
      <c r="AO2123" s="21">
        <f t="shared" si="105"/>
        <v>15</v>
      </c>
      <c r="AP2123" s="7">
        <f t="shared" si="107"/>
        <v>0</v>
      </c>
      <c r="AQ2123" s="31" t="str">
        <f t="shared" si="106"/>
        <v>Complete - With Adjustment</v>
      </c>
    </row>
    <row r="2124" spans="1:43" x14ac:dyDescent="0.2">
      <c r="A2124" s="46">
        <v>2114</v>
      </c>
      <c r="B2124" s="38" t="s">
        <v>266</v>
      </c>
      <c r="C2124" s="38" t="s">
        <v>480</v>
      </c>
      <c r="D2124" s="38" t="s">
        <v>479</v>
      </c>
      <c r="E2124" s="38" t="s">
        <v>5233</v>
      </c>
      <c r="F2124" s="38" t="s">
        <v>4238</v>
      </c>
      <c r="G2124" s="38" t="s">
        <v>111</v>
      </c>
      <c r="H2124" s="44">
        <v>44097</v>
      </c>
      <c r="I2124" s="44">
        <v>44102</v>
      </c>
      <c r="J2124">
        <v>100.94</v>
      </c>
      <c r="K2124">
        <v>100.94</v>
      </c>
      <c r="L2124" t="s">
        <v>5234</v>
      </c>
      <c r="M2124" s="45" t="s">
        <v>98</v>
      </c>
      <c r="N2124" s="38" t="s">
        <v>230</v>
      </c>
      <c r="O2124" s="38" t="s">
        <v>481</v>
      </c>
      <c r="P2124" s="38" t="s">
        <v>60</v>
      </c>
      <c r="Q2124" s="38" t="s">
        <v>104</v>
      </c>
      <c r="R2124" s="38" t="s">
        <v>270</v>
      </c>
      <c r="S2124" s="38" t="s">
        <v>5235</v>
      </c>
      <c r="T2124" s="38" t="s">
        <v>5236</v>
      </c>
      <c r="U2124" s="38"/>
      <c r="V2124" s="38"/>
      <c r="W2124" s="38"/>
      <c r="X2124" s="14"/>
      <c r="AL2124" s="14">
        <f>100.94</f>
        <v>100.94</v>
      </c>
      <c r="AN2124" s="7" t="s">
        <v>146</v>
      </c>
      <c r="AO2124" s="21">
        <f t="shared" ref="AO2124:AO2181" si="108">SUM(Y2124:AL2124)</f>
        <v>100.94</v>
      </c>
      <c r="AP2124" s="7">
        <f t="shared" si="107"/>
        <v>0</v>
      </c>
      <c r="AQ2124" s="31" t="str">
        <f t="shared" si="106"/>
        <v>Complete - With Adjustment</v>
      </c>
    </row>
    <row r="2125" spans="1:43" x14ac:dyDescent="0.2">
      <c r="A2125" s="46">
        <v>2115</v>
      </c>
      <c r="B2125" s="38" t="s">
        <v>266</v>
      </c>
      <c r="C2125" s="38" t="s">
        <v>779</v>
      </c>
      <c r="D2125" s="38" t="s">
        <v>802</v>
      </c>
      <c r="E2125" s="38" t="s">
        <v>5237</v>
      </c>
      <c r="F2125" s="38" t="s">
        <v>4233</v>
      </c>
      <c r="G2125" s="38" t="s">
        <v>111</v>
      </c>
      <c r="H2125" s="44">
        <v>44091</v>
      </c>
      <c r="I2125" s="44">
        <v>44095</v>
      </c>
      <c r="J2125">
        <v>8.23</v>
      </c>
      <c r="K2125">
        <v>8.23</v>
      </c>
      <c r="L2125" t="s">
        <v>5238</v>
      </c>
      <c r="M2125" s="45" t="s">
        <v>98</v>
      </c>
      <c r="N2125" s="38" t="s">
        <v>230</v>
      </c>
      <c r="O2125" s="38" t="s">
        <v>404</v>
      </c>
      <c r="P2125" s="38" t="s">
        <v>60</v>
      </c>
      <c r="Q2125" s="38" t="s">
        <v>46</v>
      </c>
      <c r="R2125" s="38" t="s">
        <v>270</v>
      </c>
      <c r="S2125" s="38" t="s">
        <v>5239</v>
      </c>
      <c r="T2125" s="38" t="s">
        <v>5240</v>
      </c>
      <c r="U2125" s="38"/>
      <c r="V2125" s="38"/>
      <c r="W2125" s="38"/>
      <c r="X2125" s="14"/>
      <c r="AL2125" s="14">
        <f>8.23</f>
        <v>8.23</v>
      </c>
      <c r="AN2125" s="7" t="s">
        <v>146</v>
      </c>
      <c r="AO2125" s="21">
        <f t="shared" si="108"/>
        <v>8.23</v>
      </c>
      <c r="AP2125" s="7">
        <f t="shared" si="107"/>
        <v>0</v>
      </c>
      <c r="AQ2125" s="31" t="str">
        <f t="shared" si="106"/>
        <v>Complete - With Adjustment</v>
      </c>
    </row>
    <row r="2126" spans="1:43" x14ac:dyDescent="0.2">
      <c r="A2126" s="46">
        <v>2116</v>
      </c>
      <c r="B2126" s="38" t="s">
        <v>266</v>
      </c>
      <c r="C2126" s="38" t="s">
        <v>483</v>
      </c>
      <c r="D2126" s="38" t="s">
        <v>482</v>
      </c>
      <c r="E2126" s="38" t="s">
        <v>5241</v>
      </c>
      <c r="F2126" s="38" t="s">
        <v>4291</v>
      </c>
      <c r="G2126" s="38" t="s">
        <v>111</v>
      </c>
      <c r="H2126" s="44">
        <v>44077</v>
      </c>
      <c r="I2126" s="44">
        <v>44078</v>
      </c>
      <c r="J2126">
        <v>16.23</v>
      </c>
      <c r="K2126">
        <v>16.23</v>
      </c>
      <c r="L2126" t="s">
        <v>5242</v>
      </c>
      <c r="M2126" s="45" t="s">
        <v>98</v>
      </c>
      <c r="N2126" s="38" t="s">
        <v>230</v>
      </c>
      <c r="O2126" s="38" t="s">
        <v>378</v>
      </c>
      <c r="P2126" s="38" t="s">
        <v>60</v>
      </c>
      <c r="Q2126" s="38" t="s">
        <v>65</v>
      </c>
      <c r="R2126" s="38" t="s">
        <v>270</v>
      </c>
      <c r="S2126" s="38" t="s">
        <v>5243</v>
      </c>
      <c r="T2126" s="38" t="s">
        <v>5244</v>
      </c>
      <c r="U2126" s="38"/>
      <c r="V2126" s="38"/>
      <c r="W2126" s="38"/>
      <c r="X2126" s="14"/>
      <c r="AN2126" s="7" t="s">
        <v>70</v>
      </c>
      <c r="AO2126" s="21">
        <f t="shared" si="108"/>
        <v>0</v>
      </c>
      <c r="AP2126" s="7">
        <f t="shared" si="107"/>
        <v>16.23</v>
      </c>
      <c r="AQ2126" s="31" t="str">
        <f t="shared" si="106"/>
        <v>Complete - No Adjustment</v>
      </c>
    </row>
    <row r="2127" spans="1:43" x14ac:dyDescent="0.2">
      <c r="A2127" s="46">
        <v>2117</v>
      </c>
      <c r="B2127" s="38" t="s">
        <v>266</v>
      </c>
      <c r="C2127" s="38" t="s">
        <v>483</v>
      </c>
      <c r="D2127" s="38" t="s">
        <v>482</v>
      </c>
      <c r="E2127" s="38" t="s">
        <v>5245</v>
      </c>
      <c r="F2127" s="38" t="s">
        <v>4349</v>
      </c>
      <c r="G2127" s="38" t="s">
        <v>111</v>
      </c>
      <c r="H2127" s="44">
        <v>44082</v>
      </c>
      <c r="I2127" s="44">
        <v>44084</v>
      </c>
      <c r="J2127">
        <v>295</v>
      </c>
      <c r="K2127">
        <v>295</v>
      </c>
      <c r="L2127" t="s">
        <v>5246</v>
      </c>
      <c r="M2127" s="45" t="s">
        <v>98</v>
      </c>
      <c r="N2127" s="38" t="s">
        <v>230</v>
      </c>
      <c r="O2127" s="38" t="s">
        <v>378</v>
      </c>
      <c r="P2127" s="38" t="s">
        <v>60</v>
      </c>
      <c r="Q2127" s="38" t="s">
        <v>56</v>
      </c>
      <c r="R2127" s="38" t="s">
        <v>270</v>
      </c>
      <c r="S2127" s="38" t="s">
        <v>5247</v>
      </c>
      <c r="T2127" s="38" t="s">
        <v>5248</v>
      </c>
      <c r="U2127" s="38"/>
      <c r="V2127" s="38"/>
      <c r="W2127" s="38"/>
      <c r="X2127" s="14"/>
      <c r="AN2127" s="7" t="s">
        <v>70</v>
      </c>
      <c r="AO2127" s="21">
        <f t="shared" si="108"/>
        <v>0</v>
      </c>
      <c r="AP2127" s="7">
        <f t="shared" si="107"/>
        <v>295</v>
      </c>
      <c r="AQ2127" s="31" t="str">
        <f t="shared" si="106"/>
        <v>Complete - No Adjustment</v>
      </c>
    </row>
    <row r="2128" spans="1:43" x14ac:dyDescent="0.2">
      <c r="A2128" s="46">
        <v>2118</v>
      </c>
      <c r="B2128" s="38" t="s">
        <v>266</v>
      </c>
      <c r="C2128" s="38" t="s">
        <v>790</v>
      </c>
      <c r="D2128" s="38" t="s">
        <v>789</v>
      </c>
      <c r="E2128" s="38" t="s">
        <v>5249</v>
      </c>
      <c r="F2128" s="38" t="s">
        <v>4233</v>
      </c>
      <c r="G2128" s="38" t="s">
        <v>111</v>
      </c>
      <c r="H2128" s="44">
        <v>44090</v>
      </c>
      <c r="I2128" s="44">
        <v>44095</v>
      </c>
      <c r="J2128">
        <v>15</v>
      </c>
      <c r="K2128">
        <v>15</v>
      </c>
      <c r="L2128" t="s">
        <v>5250</v>
      </c>
      <c r="M2128" s="45" t="s">
        <v>98</v>
      </c>
      <c r="N2128" s="38" t="s">
        <v>230</v>
      </c>
      <c r="O2128" s="38" t="s">
        <v>303</v>
      </c>
      <c r="P2128" s="38" t="s">
        <v>60</v>
      </c>
      <c r="Q2128" s="38" t="s">
        <v>41</v>
      </c>
      <c r="R2128" s="38" t="s">
        <v>270</v>
      </c>
      <c r="S2128" s="38" t="s">
        <v>5251</v>
      </c>
      <c r="T2128" s="38" t="s">
        <v>5252</v>
      </c>
      <c r="U2128" s="38"/>
      <c r="V2128" s="38"/>
      <c r="W2128" s="38"/>
      <c r="X2128" s="14"/>
      <c r="AN2128" s="7" t="s">
        <v>155</v>
      </c>
      <c r="AO2128" s="21">
        <f t="shared" si="108"/>
        <v>0</v>
      </c>
      <c r="AP2128" s="7">
        <f t="shared" si="107"/>
        <v>15</v>
      </c>
      <c r="AQ2128" s="31" t="str">
        <f t="shared" si="106"/>
        <v>Complete - No Adjustment</v>
      </c>
    </row>
    <row r="2129" spans="1:43" x14ac:dyDescent="0.2">
      <c r="A2129" s="46">
        <v>2119</v>
      </c>
      <c r="B2129" s="38" t="s">
        <v>266</v>
      </c>
      <c r="C2129" s="38" t="s">
        <v>790</v>
      </c>
      <c r="D2129" s="38" t="s">
        <v>789</v>
      </c>
      <c r="E2129" s="38" t="s">
        <v>5253</v>
      </c>
      <c r="F2129" s="38" t="s">
        <v>4462</v>
      </c>
      <c r="G2129" s="38" t="s">
        <v>111</v>
      </c>
      <c r="H2129" s="44">
        <v>44084</v>
      </c>
      <c r="I2129" s="44">
        <v>44089</v>
      </c>
      <c r="J2129">
        <v>113.65</v>
      </c>
      <c r="K2129">
        <v>113.65</v>
      </c>
      <c r="L2129" t="s">
        <v>5254</v>
      </c>
      <c r="M2129" s="45" t="s">
        <v>98</v>
      </c>
      <c r="N2129" s="38" t="s">
        <v>230</v>
      </c>
      <c r="O2129" s="38" t="s">
        <v>303</v>
      </c>
      <c r="P2129" s="38" t="s">
        <v>60</v>
      </c>
      <c r="Q2129" s="38" t="s">
        <v>104</v>
      </c>
      <c r="R2129" s="38" t="s">
        <v>270</v>
      </c>
      <c r="S2129" s="38" t="s">
        <v>5255</v>
      </c>
      <c r="T2129" s="38" t="s">
        <v>5256</v>
      </c>
      <c r="U2129" s="38"/>
      <c r="V2129" s="38"/>
      <c r="W2129" s="38"/>
      <c r="X2129" s="14"/>
      <c r="AN2129" s="7" t="s">
        <v>155</v>
      </c>
      <c r="AO2129" s="21">
        <f t="shared" si="108"/>
        <v>0</v>
      </c>
      <c r="AP2129" s="7">
        <f t="shared" si="107"/>
        <v>113.65</v>
      </c>
      <c r="AQ2129" s="31" t="str">
        <f t="shared" si="106"/>
        <v>Complete - No Adjustment</v>
      </c>
    </row>
    <row r="2130" spans="1:43" x14ac:dyDescent="0.2">
      <c r="A2130" s="46">
        <v>2120</v>
      </c>
      <c r="B2130" s="38" t="s">
        <v>266</v>
      </c>
      <c r="C2130" s="38" t="s">
        <v>3614</v>
      </c>
      <c r="D2130" s="38" t="s">
        <v>3615</v>
      </c>
      <c r="E2130" s="38" t="s">
        <v>5257</v>
      </c>
      <c r="F2130" s="38" t="s">
        <v>4657</v>
      </c>
      <c r="G2130" s="38" t="s">
        <v>111</v>
      </c>
      <c r="H2130" s="44">
        <v>44078</v>
      </c>
      <c r="I2130" s="44">
        <v>44083</v>
      </c>
      <c r="J2130">
        <v>15</v>
      </c>
      <c r="K2130">
        <v>15</v>
      </c>
      <c r="L2130" t="s">
        <v>5258</v>
      </c>
      <c r="M2130" s="45" t="s">
        <v>98</v>
      </c>
      <c r="N2130" s="38" t="s">
        <v>230</v>
      </c>
      <c r="O2130" s="38" t="s">
        <v>280</v>
      </c>
      <c r="P2130" s="38" t="s">
        <v>60</v>
      </c>
      <c r="Q2130" s="38" t="s">
        <v>41</v>
      </c>
      <c r="R2130" s="38" t="s">
        <v>270</v>
      </c>
      <c r="S2130" s="38" t="s">
        <v>5259</v>
      </c>
      <c r="T2130" s="38" t="s">
        <v>5260</v>
      </c>
      <c r="U2130" s="38"/>
      <c r="V2130" s="38"/>
      <c r="W2130" s="38"/>
      <c r="X2130" s="14"/>
      <c r="AN2130" s="7" t="s">
        <v>155</v>
      </c>
      <c r="AO2130" s="21">
        <f t="shared" si="108"/>
        <v>0</v>
      </c>
      <c r="AP2130" s="7">
        <f t="shared" si="107"/>
        <v>15</v>
      </c>
      <c r="AQ2130" s="31" t="str">
        <f t="shared" si="106"/>
        <v>Complete - No Adjustment</v>
      </c>
    </row>
    <row r="2131" spans="1:43" x14ac:dyDescent="0.2">
      <c r="A2131" s="46">
        <v>2121</v>
      </c>
      <c r="B2131" s="38" t="s">
        <v>266</v>
      </c>
      <c r="C2131" s="38" t="s">
        <v>2844</v>
      </c>
      <c r="D2131" s="38" t="s">
        <v>2845</v>
      </c>
      <c r="E2131" s="38" t="s">
        <v>5261</v>
      </c>
      <c r="F2131" s="38" t="s">
        <v>4224</v>
      </c>
      <c r="G2131" s="38" t="s">
        <v>111</v>
      </c>
      <c r="H2131" s="44">
        <v>44090</v>
      </c>
      <c r="I2131" s="44">
        <v>44092</v>
      </c>
      <c r="J2131">
        <v>15</v>
      </c>
      <c r="K2131">
        <v>15</v>
      </c>
      <c r="L2131" t="s">
        <v>5262</v>
      </c>
      <c r="M2131" s="45" t="s">
        <v>98</v>
      </c>
      <c r="N2131" s="38" t="s">
        <v>230</v>
      </c>
      <c r="O2131" s="38" t="s">
        <v>514</v>
      </c>
      <c r="P2131" s="38" t="s">
        <v>60</v>
      </c>
      <c r="Q2131" s="38" t="s">
        <v>46</v>
      </c>
      <c r="R2131" s="38" t="s">
        <v>270</v>
      </c>
      <c r="S2131" s="38" t="s">
        <v>5263</v>
      </c>
      <c r="T2131" s="38" t="s">
        <v>5264</v>
      </c>
      <c r="U2131" s="38"/>
      <c r="V2131" s="38"/>
      <c r="W2131" s="38"/>
      <c r="X2131" s="14"/>
      <c r="AN2131" s="7" t="s">
        <v>4219</v>
      </c>
      <c r="AO2131" s="21">
        <f t="shared" si="108"/>
        <v>0</v>
      </c>
      <c r="AP2131" s="7">
        <f t="shared" si="107"/>
        <v>15</v>
      </c>
      <c r="AQ2131" s="31" t="str">
        <f t="shared" ref="AQ2131:AQ2181" si="109">IF(AO2131&lt;&gt;0,"Complete - With Adjustment","Complete - No Adjustment")</f>
        <v>Complete - No Adjustment</v>
      </c>
    </row>
    <row r="2132" spans="1:43" x14ac:dyDescent="0.2">
      <c r="A2132" s="46">
        <v>2122</v>
      </c>
      <c r="B2132" s="38" t="s">
        <v>266</v>
      </c>
      <c r="C2132" s="38" t="s">
        <v>738</v>
      </c>
      <c r="D2132" s="38" t="s">
        <v>830</v>
      </c>
      <c r="E2132" s="38" t="s">
        <v>5265</v>
      </c>
      <c r="F2132" s="38" t="s">
        <v>4224</v>
      </c>
      <c r="G2132" s="38" t="s">
        <v>111</v>
      </c>
      <c r="H2132" s="44">
        <v>44090</v>
      </c>
      <c r="I2132" s="44">
        <v>44092</v>
      </c>
      <c r="J2132">
        <v>14.06</v>
      </c>
      <c r="K2132">
        <v>14.06</v>
      </c>
      <c r="L2132" t="s">
        <v>5266</v>
      </c>
      <c r="M2132" s="45" t="s">
        <v>98</v>
      </c>
      <c r="N2132" s="38" t="s">
        <v>230</v>
      </c>
      <c r="O2132" s="38" t="s">
        <v>292</v>
      </c>
      <c r="P2132" s="38" t="s">
        <v>60</v>
      </c>
      <c r="Q2132" s="38" t="s">
        <v>41</v>
      </c>
      <c r="R2132" s="38" t="s">
        <v>270</v>
      </c>
      <c r="S2132" s="38" t="s">
        <v>5267</v>
      </c>
      <c r="T2132" s="38" t="s">
        <v>5268</v>
      </c>
      <c r="U2132" s="38"/>
      <c r="V2132" s="38"/>
      <c r="W2132" s="38"/>
      <c r="X2132" s="14"/>
      <c r="AN2132" s="7" t="s">
        <v>4219</v>
      </c>
      <c r="AO2132" s="21">
        <f t="shared" si="108"/>
        <v>0</v>
      </c>
      <c r="AP2132" s="7">
        <f t="shared" si="107"/>
        <v>14.06</v>
      </c>
      <c r="AQ2132" s="31" t="str">
        <f t="shared" si="109"/>
        <v>Complete - No Adjustment</v>
      </c>
    </row>
    <row r="2133" spans="1:43" x14ac:dyDescent="0.2">
      <c r="A2133" s="46">
        <v>2123</v>
      </c>
      <c r="B2133" s="38" t="s">
        <v>266</v>
      </c>
      <c r="C2133" s="38" t="s">
        <v>663</v>
      </c>
      <c r="D2133" s="38" t="s">
        <v>831</v>
      </c>
      <c r="E2133" s="38" t="s">
        <v>5269</v>
      </c>
      <c r="F2133" s="38" t="s">
        <v>4261</v>
      </c>
      <c r="G2133" s="38" t="s">
        <v>111</v>
      </c>
      <c r="H2133" s="44">
        <v>44101</v>
      </c>
      <c r="I2133" s="44">
        <v>44104</v>
      </c>
      <c r="J2133">
        <v>720</v>
      </c>
      <c r="K2133">
        <v>285</v>
      </c>
      <c r="L2133" t="s">
        <v>5270</v>
      </c>
      <c r="M2133" s="45" t="s">
        <v>98</v>
      </c>
      <c r="N2133" s="38" t="s">
        <v>230</v>
      </c>
      <c r="O2133" s="38" t="s">
        <v>642</v>
      </c>
      <c r="P2133" s="38" t="s">
        <v>60</v>
      </c>
      <c r="Q2133" s="38" t="s">
        <v>59</v>
      </c>
      <c r="R2133" s="38" t="s">
        <v>270</v>
      </c>
      <c r="S2133" s="38" t="s">
        <v>5271</v>
      </c>
      <c r="T2133" s="38" t="s">
        <v>5272</v>
      </c>
      <c r="U2133" s="38"/>
      <c r="V2133" s="38"/>
      <c r="W2133" s="38"/>
      <c r="X2133" s="14"/>
      <c r="AN2133" s="7" t="s">
        <v>70</v>
      </c>
      <c r="AO2133" s="21">
        <f t="shared" si="108"/>
        <v>0</v>
      </c>
      <c r="AP2133" s="7">
        <f t="shared" si="107"/>
        <v>285</v>
      </c>
      <c r="AQ2133" s="31" t="str">
        <f t="shared" si="109"/>
        <v>Complete - No Adjustment</v>
      </c>
    </row>
    <row r="2134" spans="1:43" x14ac:dyDescent="0.2">
      <c r="A2134" s="46">
        <v>2124</v>
      </c>
      <c r="B2134" s="38" t="s">
        <v>266</v>
      </c>
      <c r="C2134" s="38" t="s">
        <v>663</v>
      </c>
      <c r="D2134" s="38" t="s">
        <v>831</v>
      </c>
      <c r="E2134" s="38" t="s">
        <v>5269</v>
      </c>
      <c r="F2134" s="38" t="s">
        <v>4261</v>
      </c>
      <c r="G2134" s="38" t="s">
        <v>111</v>
      </c>
      <c r="H2134" s="44">
        <v>44101</v>
      </c>
      <c r="I2134" s="44">
        <v>44104</v>
      </c>
      <c r="J2134">
        <v>720</v>
      </c>
      <c r="K2134">
        <v>160</v>
      </c>
      <c r="L2134" t="s">
        <v>5270</v>
      </c>
      <c r="M2134" s="45" t="s">
        <v>98</v>
      </c>
      <c r="N2134" s="38" t="s">
        <v>230</v>
      </c>
      <c r="O2134" s="38" t="s">
        <v>642</v>
      </c>
      <c r="P2134" s="38" t="s">
        <v>60</v>
      </c>
      <c r="Q2134" s="38" t="s">
        <v>59</v>
      </c>
      <c r="R2134" s="38" t="s">
        <v>270</v>
      </c>
      <c r="S2134" s="38" t="s">
        <v>5271</v>
      </c>
      <c r="T2134" s="38" t="s">
        <v>5273</v>
      </c>
      <c r="U2134" s="38"/>
      <c r="V2134" s="38"/>
      <c r="W2134" s="38"/>
      <c r="X2134" s="14"/>
      <c r="AN2134" s="7" t="s">
        <v>70</v>
      </c>
      <c r="AO2134" s="21">
        <f t="shared" si="108"/>
        <v>0</v>
      </c>
      <c r="AP2134" s="7">
        <f t="shared" si="107"/>
        <v>160</v>
      </c>
      <c r="AQ2134" s="31" t="str">
        <f t="shared" si="109"/>
        <v>Complete - No Adjustment</v>
      </c>
    </row>
    <row r="2135" spans="1:43" x14ac:dyDescent="0.2">
      <c r="A2135" s="46">
        <v>2125</v>
      </c>
      <c r="B2135" s="38" t="s">
        <v>266</v>
      </c>
      <c r="C2135" s="38" t="s">
        <v>663</v>
      </c>
      <c r="D2135" s="38" t="s">
        <v>831</v>
      </c>
      <c r="E2135" s="38" t="s">
        <v>5269</v>
      </c>
      <c r="F2135" s="38" t="s">
        <v>4261</v>
      </c>
      <c r="G2135" s="38" t="s">
        <v>111</v>
      </c>
      <c r="H2135" s="44">
        <v>44101</v>
      </c>
      <c r="I2135" s="44">
        <v>44104</v>
      </c>
      <c r="J2135">
        <v>720</v>
      </c>
      <c r="K2135">
        <v>275</v>
      </c>
      <c r="L2135" t="s">
        <v>5270</v>
      </c>
      <c r="M2135" s="45" t="s">
        <v>98</v>
      </c>
      <c r="N2135" s="38" t="s">
        <v>230</v>
      </c>
      <c r="O2135" s="38" t="s">
        <v>642</v>
      </c>
      <c r="P2135" s="38" t="s">
        <v>60</v>
      </c>
      <c r="Q2135" s="38" t="s">
        <v>59</v>
      </c>
      <c r="R2135" s="38" t="s">
        <v>270</v>
      </c>
      <c r="S2135" s="38" t="s">
        <v>5271</v>
      </c>
      <c r="T2135" s="38" t="s">
        <v>5274</v>
      </c>
      <c r="U2135" s="38"/>
      <c r="V2135" s="38"/>
      <c r="W2135" s="38"/>
      <c r="X2135" s="14"/>
      <c r="AN2135" s="7" t="s">
        <v>70</v>
      </c>
      <c r="AO2135" s="21">
        <f t="shared" si="108"/>
        <v>0</v>
      </c>
      <c r="AP2135" s="7">
        <f t="shared" si="107"/>
        <v>275</v>
      </c>
      <c r="AQ2135" s="31" t="str">
        <f t="shared" si="109"/>
        <v>Complete - No Adjustment</v>
      </c>
    </row>
    <row r="2136" spans="1:43" x14ac:dyDescent="0.2">
      <c r="A2136" s="46">
        <v>2126</v>
      </c>
      <c r="B2136" s="38" t="s">
        <v>266</v>
      </c>
      <c r="C2136" s="38" t="s">
        <v>496</v>
      </c>
      <c r="D2136" s="38" t="s">
        <v>495</v>
      </c>
      <c r="E2136" s="38" t="s">
        <v>5275</v>
      </c>
      <c r="F2136" s="38" t="s">
        <v>4261</v>
      </c>
      <c r="G2136" s="38" t="s">
        <v>111</v>
      </c>
      <c r="H2136" s="44">
        <v>44101</v>
      </c>
      <c r="I2136" s="44">
        <v>44104</v>
      </c>
      <c r="J2136">
        <v>239.76</v>
      </c>
      <c r="K2136">
        <v>6.68</v>
      </c>
      <c r="L2136" t="s">
        <v>5276</v>
      </c>
      <c r="M2136" s="45" t="s">
        <v>98</v>
      </c>
      <c r="N2136" s="38" t="s">
        <v>230</v>
      </c>
      <c r="O2136" s="38" t="s">
        <v>320</v>
      </c>
      <c r="P2136" s="38" t="s">
        <v>60</v>
      </c>
      <c r="Q2136" s="38" t="s">
        <v>73</v>
      </c>
      <c r="R2136" s="38" t="s">
        <v>270</v>
      </c>
      <c r="S2136" s="38" t="s">
        <v>5277</v>
      </c>
      <c r="T2136" s="38" t="s">
        <v>5278</v>
      </c>
      <c r="U2136" s="38"/>
      <c r="V2136" s="38"/>
      <c r="W2136" s="38"/>
      <c r="X2136" s="14"/>
      <c r="AN2136" s="7" t="s">
        <v>70</v>
      </c>
      <c r="AO2136" s="21">
        <f t="shared" si="108"/>
        <v>0</v>
      </c>
      <c r="AP2136" s="7">
        <f t="shared" si="107"/>
        <v>6.68</v>
      </c>
      <c r="AQ2136" s="31" t="str">
        <f t="shared" si="109"/>
        <v>Complete - No Adjustment</v>
      </c>
    </row>
    <row r="2137" spans="1:43" x14ac:dyDescent="0.2">
      <c r="A2137" s="46">
        <v>2127</v>
      </c>
      <c r="B2137" s="38" t="s">
        <v>266</v>
      </c>
      <c r="C2137" s="38" t="s">
        <v>496</v>
      </c>
      <c r="D2137" s="38" t="s">
        <v>495</v>
      </c>
      <c r="E2137" s="38" t="s">
        <v>5275</v>
      </c>
      <c r="F2137" s="38" t="s">
        <v>4261</v>
      </c>
      <c r="G2137" s="38" t="s">
        <v>111</v>
      </c>
      <c r="H2137" s="44">
        <v>44101</v>
      </c>
      <c r="I2137" s="44">
        <v>44104</v>
      </c>
      <c r="J2137">
        <v>239.76</v>
      </c>
      <c r="K2137">
        <v>6.66</v>
      </c>
      <c r="L2137" t="s">
        <v>5276</v>
      </c>
      <c r="M2137" s="45" t="s">
        <v>98</v>
      </c>
      <c r="N2137" s="38" t="s">
        <v>230</v>
      </c>
      <c r="O2137" s="38" t="s">
        <v>383</v>
      </c>
      <c r="P2137" s="38" t="s">
        <v>60</v>
      </c>
      <c r="Q2137" s="38" t="s">
        <v>73</v>
      </c>
      <c r="R2137" s="38" t="s">
        <v>270</v>
      </c>
      <c r="S2137" s="38" t="s">
        <v>5277</v>
      </c>
      <c r="T2137" s="38" t="s">
        <v>5278</v>
      </c>
      <c r="U2137" s="38"/>
      <c r="V2137" s="38"/>
      <c r="W2137" s="38"/>
      <c r="X2137" s="14"/>
      <c r="AN2137" s="7" t="s">
        <v>70</v>
      </c>
      <c r="AO2137" s="21">
        <f t="shared" si="108"/>
        <v>0</v>
      </c>
      <c r="AP2137" s="7">
        <f t="shared" si="107"/>
        <v>6.66</v>
      </c>
      <c r="AQ2137" s="31" t="str">
        <f t="shared" si="109"/>
        <v>Complete - No Adjustment</v>
      </c>
    </row>
    <row r="2138" spans="1:43" x14ac:dyDescent="0.2">
      <c r="A2138" s="46">
        <v>2128</v>
      </c>
      <c r="B2138" s="38" t="s">
        <v>266</v>
      </c>
      <c r="C2138" s="38" t="s">
        <v>496</v>
      </c>
      <c r="D2138" s="38" t="s">
        <v>495</v>
      </c>
      <c r="E2138" s="38" t="s">
        <v>5275</v>
      </c>
      <c r="F2138" s="38" t="s">
        <v>4261</v>
      </c>
      <c r="G2138" s="38" t="s">
        <v>111</v>
      </c>
      <c r="H2138" s="44">
        <v>44101</v>
      </c>
      <c r="I2138" s="44">
        <v>44104</v>
      </c>
      <c r="J2138">
        <v>239.76</v>
      </c>
      <c r="K2138">
        <v>5.57</v>
      </c>
      <c r="L2138" t="s">
        <v>5276</v>
      </c>
      <c r="M2138" s="45" t="s">
        <v>98</v>
      </c>
      <c r="N2138" s="38" t="s">
        <v>230</v>
      </c>
      <c r="O2138" s="38" t="s">
        <v>355</v>
      </c>
      <c r="P2138" s="38" t="s">
        <v>60</v>
      </c>
      <c r="Q2138" s="38" t="s">
        <v>74</v>
      </c>
      <c r="R2138" s="38" t="s">
        <v>270</v>
      </c>
      <c r="S2138" s="38" t="s">
        <v>5277</v>
      </c>
      <c r="T2138" s="38" t="s">
        <v>5279</v>
      </c>
      <c r="U2138" s="38"/>
      <c r="V2138" s="38"/>
      <c r="W2138" s="38"/>
      <c r="X2138" s="14"/>
      <c r="AN2138" s="7" t="s">
        <v>70</v>
      </c>
      <c r="AO2138" s="21">
        <f t="shared" si="108"/>
        <v>0</v>
      </c>
      <c r="AP2138" s="7">
        <f t="shared" si="107"/>
        <v>5.57</v>
      </c>
      <c r="AQ2138" s="31" t="str">
        <f t="shared" si="109"/>
        <v>Complete - No Adjustment</v>
      </c>
    </row>
    <row r="2139" spans="1:43" x14ac:dyDescent="0.2">
      <c r="A2139" s="46">
        <v>2129</v>
      </c>
      <c r="B2139" s="38" t="s">
        <v>266</v>
      </c>
      <c r="C2139" s="38" t="s">
        <v>496</v>
      </c>
      <c r="D2139" s="38" t="s">
        <v>495</v>
      </c>
      <c r="E2139" s="38" t="s">
        <v>5275</v>
      </c>
      <c r="F2139" s="38" t="s">
        <v>4261</v>
      </c>
      <c r="G2139" s="38" t="s">
        <v>111</v>
      </c>
      <c r="H2139" s="44">
        <v>44101</v>
      </c>
      <c r="I2139" s="44">
        <v>44104</v>
      </c>
      <c r="J2139">
        <v>239.76</v>
      </c>
      <c r="K2139">
        <v>6.66</v>
      </c>
      <c r="L2139" t="s">
        <v>5276</v>
      </c>
      <c r="M2139" s="45" t="s">
        <v>98</v>
      </c>
      <c r="N2139" s="38" t="s">
        <v>230</v>
      </c>
      <c r="O2139" s="38" t="s">
        <v>444</v>
      </c>
      <c r="P2139" s="38" t="s">
        <v>60</v>
      </c>
      <c r="Q2139" s="38" t="s">
        <v>73</v>
      </c>
      <c r="R2139" s="38" t="s">
        <v>270</v>
      </c>
      <c r="S2139" s="38" t="s">
        <v>5277</v>
      </c>
      <c r="T2139" s="38" t="s">
        <v>5278</v>
      </c>
      <c r="U2139" s="38"/>
      <c r="V2139" s="38"/>
      <c r="W2139" s="38"/>
      <c r="X2139" s="14"/>
      <c r="AN2139" s="7" t="s">
        <v>70</v>
      </c>
      <c r="AO2139" s="21">
        <f t="shared" si="108"/>
        <v>0</v>
      </c>
      <c r="AP2139" s="7">
        <f t="shared" si="107"/>
        <v>6.66</v>
      </c>
      <c r="AQ2139" s="31" t="str">
        <f t="shared" si="109"/>
        <v>Complete - No Adjustment</v>
      </c>
    </row>
    <row r="2140" spans="1:43" x14ac:dyDescent="0.2">
      <c r="A2140" s="46">
        <v>2130</v>
      </c>
      <c r="B2140" s="38" t="s">
        <v>266</v>
      </c>
      <c r="C2140" s="38" t="s">
        <v>496</v>
      </c>
      <c r="D2140" s="38" t="s">
        <v>495</v>
      </c>
      <c r="E2140" s="38" t="s">
        <v>5275</v>
      </c>
      <c r="F2140" s="38" t="s">
        <v>4261</v>
      </c>
      <c r="G2140" s="38" t="s">
        <v>111</v>
      </c>
      <c r="H2140" s="44">
        <v>44101</v>
      </c>
      <c r="I2140" s="44">
        <v>44104</v>
      </c>
      <c r="J2140">
        <v>239.76</v>
      </c>
      <c r="K2140">
        <v>142.96</v>
      </c>
      <c r="L2140" t="s">
        <v>5276</v>
      </c>
      <c r="M2140" s="45" t="s">
        <v>97</v>
      </c>
      <c r="N2140" s="38" t="s">
        <v>230</v>
      </c>
      <c r="O2140" s="38" t="s">
        <v>355</v>
      </c>
      <c r="P2140" s="38" t="s">
        <v>42</v>
      </c>
      <c r="Q2140" s="38" t="s">
        <v>55</v>
      </c>
      <c r="R2140" s="38" t="s">
        <v>270</v>
      </c>
      <c r="S2140" s="38" t="s">
        <v>5277</v>
      </c>
      <c r="T2140" s="38" t="s">
        <v>5280</v>
      </c>
      <c r="U2140" s="38"/>
      <c r="V2140" s="38"/>
      <c r="W2140" s="38"/>
      <c r="X2140" s="14"/>
      <c r="AI2140" s="53">
        <f>142.96</f>
        <v>142.96</v>
      </c>
      <c r="AN2140" s="7" t="s">
        <v>145</v>
      </c>
      <c r="AO2140" s="21">
        <f t="shared" si="108"/>
        <v>142.96</v>
      </c>
      <c r="AP2140" s="7">
        <f t="shared" si="107"/>
        <v>0</v>
      </c>
      <c r="AQ2140" s="31" t="str">
        <f t="shared" si="109"/>
        <v>Complete - With Adjustment</v>
      </c>
    </row>
    <row r="2141" spans="1:43" x14ac:dyDescent="0.2">
      <c r="A2141" s="46">
        <v>2131</v>
      </c>
      <c r="B2141" s="38" t="s">
        <v>266</v>
      </c>
      <c r="C2141" s="38" t="s">
        <v>496</v>
      </c>
      <c r="D2141" s="38" t="s">
        <v>495</v>
      </c>
      <c r="E2141" s="38" t="s">
        <v>5275</v>
      </c>
      <c r="F2141" s="38" t="s">
        <v>4261</v>
      </c>
      <c r="G2141" s="38" t="s">
        <v>111</v>
      </c>
      <c r="H2141" s="44">
        <v>44101</v>
      </c>
      <c r="I2141" s="44">
        <v>44104</v>
      </c>
      <c r="J2141">
        <v>239.76</v>
      </c>
      <c r="K2141">
        <v>20</v>
      </c>
      <c r="L2141" t="s">
        <v>5276</v>
      </c>
      <c r="M2141" s="45" t="s">
        <v>98</v>
      </c>
      <c r="N2141" s="38" t="s">
        <v>230</v>
      </c>
      <c r="O2141" s="38" t="s">
        <v>326</v>
      </c>
      <c r="P2141" s="38" t="s">
        <v>60</v>
      </c>
      <c r="Q2141" s="38" t="s">
        <v>73</v>
      </c>
      <c r="R2141" s="38" t="s">
        <v>270</v>
      </c>
      <c r="S2141" s="38" t="s">
        <v>5277</v>
      </c>
      <c r="T2141" s="38" t="s">
        <v>5281</v>
      </c>
      <c r="U2141" s="38"/>
      <c r="V2141" s="38"/>
      <c r="W2141" s="38"/>
      <c r="X2141" s="14"/>
      <c r="AN2141" s="7" t="s">
        <v>70</v>
      </c>
      <c r="AO2141" s="21">
        <f t="shared" si="108"/>
        <v>0</v>
      </c>
      <c r="AP2141" s="7">
        <f t="shared" si="107"/>
        <v>20</v>
      </c>
      <c r="AQ2141" s="31" t="str">
        <f t="shared" si="109"/>
        <v>Complete - No Adjustment</v>
      </c>
    </row>
    <row r="2142" spans="1:43" x14ac:dyDescent="0.2">
      <c r="A2142" s="46">
        <v>2132</v>
      </c>
      <c r="B2142" s="38" t="s">
        <v>266</v>
      </c>
      <c r="C2142" s="38" t="s">
        <v>496</v>
      </c>
      <c r="D2142" s="38" t="s">
        <v>495</v>
      </c>
      <c r="E2142" s="38" t="s">
        <v>5275</v>
      </c>
      <c r="F2142" s="38" t="s">
        <v>4261</v>
      </c>
      <c r="G2142" s="38" t="s">
        <v>111</v>
      </c>
      <c r="H2142" s="44">
        <v>44101</v>
      </c>
      <c r="I2142" s="44">
        <v>44104</v>
      </c>
      <c r="J2142">
        <v>239.76</v>
      </c>
      <c r="K2142">
        <v>51.23</v>
      </c>
      <c r="L2142" t="s">
        <v>5276</v>
      </c>
      <c r="M2142" s="45" t="s">
        <v>97</v>
      </c>
      <c r="N2142" s="38" t="s">
        <v>230</v>
      </c>
      <c r="O2142" s="38" t="s">
        <v>355</v>
      </c>
      <c r="P2142" s="38" t="s">
        <v>42</v>
      </c>
      <c r="Q2142" s="38" t="s">
        <v>56</v>
      </c>
      <c r="R2142" s="38" t="s">
        <v>270</v>
      </c>
      <c r="S2142" s="38" t="s">
        <v>5277</v>
      </c>
      <c r="T2142" s="38" t="s">
        <v>5282</v>
      </c>
      <c r="U2142" s="38"/>
      <c r="V2142" s="38"/>
      <c r="W2142" s="38"/>
      <c r="X2142" s="14"/>
      <c r="AL2142" s="14">
        <f>51.23</f>
        <v>51.23</v>
      </c>
      <c r="AN2142" s="7" t="s">
        <v>146</v>
      </c>
      <c r="AO2142" s="21">
        <f t="shared" si="108"/>
        <v>51.23</v>
      </c>
      <c r="AP2142" s="7">
        <f t="shared" si="107"/>
        <v>0</v>
      </c>
      <c r="AQ2142" s="31" t="str">
        <f t="shared" si="109"/>
        <v>Complete - With Adjustment</v>
      </c>
    </row>
    <row r="2143" spans="1:43" x14ac:dyDescent="0.2">
      <c r="A2143" s="46">
        <v>2133</v>
      </c>
      <c r="B2143" s="38" t="s">
        <v>266</v>
      </c>
      <c r="C2143" s="38" t="s">
        <v>577</v>
      </c>
      <c r="D2143" s="38" t="s">
        <v>576</v>
      </c>
      <c r="E2143" s="38" t="s">
        <v>5283</v>
      </c>
      <c r="F2143" s="38" t="s">
        <v>4238</v>
      </c>
      <c r="G2143" s="38" t="s">
        <v>111</v>
      </c>
      <c r="H2143" s="44">
        <v>44098</v>
      </c>
      <c r="I2143" s="44">
        <v>44102</v>
      </c>
      <c r="J2143">
        <v>130.33000000000001</v>
      </c>
      <c r="K2143">
        <v>94.47</v>
      </c>
      <c r="L2143" t="s">
        <v>5284</v>
      </c>
      <c r="M2143" s="45" t="s">
        <v>98</v>
      </c>
      <c r="N2143" s="38" t="s">
        <v>230</v>
      </c>
      <c r="O2143" s="38" t="s">
        <v>78</v>
      </c>
      <c r="P2143" s="38" t="s">
        <v>60</v>
      </c>
      <c r="Q2143" s="38" t="s">
        <v>62</v>
      </c>
      <c r="R2143" s="38" t="s">
        <v>270</v>
      </c>
      <c r="S2143" s="38" t="s">
        <v>5285</v>
      </c>
      <c r="T2143" s="38" t="s">
        <v>5286</v>
      </c>
      <c r="U2143" s="38"/>
      <c r="V2143" s="38"/>
      <c r="W2143" s="38"/>
      <c r="X2143" s="14"/>
      <c r="AN2143" s="7" t="s">
        <v>70</v>
      </c>
      <c r="AO2143" s="21">
        <f t="shared" si="108"/>
        <v>0</v>
      </c>
      <c r="AP2143" s="7">
        <f t="shared" si="107"/>
        <v>94.47</v>
      </c>
      <c r="AQ2143" s="31" t="str">
        <f t="shared" si="109"/>
        <v>Complete - No Adjustment</v>
      </c>
    </row>
    <row r="2144" spans="1:43" x14ac:dyDescent="0.2">
      <c r="A2144" s="46">
        <v>2134</v>
      </c>
      <c r="B2144" s="38" t="s">
        <v>266</v>
      </c>
      <c r="C2144" s="38" t="s">
        <v>577</v>
      </c>
      <c r="D2144" s="38" t="s">
        <v>576</v>
      </c>
      <c r="E2144" s="38" t="s">
        <v>5283</v>
      </c>
      <c r="F2144" s="38" t="s">
        <v>4238</v>
      </c>
      <c r="G2144" s="38" t="s">
        <v>111</v>
      </c>
      <c r="H2144" s="44">
        <v>44098</v>
      </c>
      <c r="I2144" s="44">
        <v>44102</v>
      </c>
      <c r="J2144">
        <v>130.33000000000001</v>
      </c>
      <c r="K2144">
        <v>15</v>
      </c>
      <c r="L2144" t="s">
        <v>5284</v>
      </c>
      <c r="M2144" s="45" t="s">
        <v>98</v>
      </c>
      <c r="N2144" s="38" t="s">
        <v>230</v>
      </c>
      <c r="O2144" s="38" t="s">
        <v>78</v>
      </c>
      <c r="P2144" s="38" t="s">
        <v>60</v>
      </c>
      <c r="Q2144" s="38" t="s">
        <v>41</v>
      </c>
      <c r="R2144" s="38" t="s">
        <v>270</v>
      </c>
      <c r="S2144" s="38" t="s">
        <v>5285</v>
      </c>
      <c r="T2144" s="38" t="s">
        <v>5287</v>
      </c>
      <c r="U2144" s="38"/>
      <c r="V2144" s="38"/>
      <c r="W2144" s="38"/>
      <c r="X2144" s="14"/>
      <c r="AN2144" s="7" t="s">
        <v>155</v>
      </c>
      <c r="AO2144" s="21">
        <f t="shared" si="108"/>
        <v>0</v>
      </c>
      <c r="AP2144" s="7">
        <f t="shared" si="107"/>
        <v>15</v>
      </c>
      <c r="AQ2144" s="31" t="str">
        <f t="shared" si="109"/>
        <v>Complete - No Adjustment</v>
      </c>
    </row>
    <row r="2145" spans="1:43" x14ac:dyDescent="0.2">
      <c r="A2145" s="46">
        <v>2135</v>
      </c>
      <c r="B2145" s="38" t="s">
        <v>266</v>
      </c>
      <c r="C2145" s="38" t="s">
        <v>577</v>
      </c>
      <c r="D2145" s="38" t="s">
        <v>576</v>
      </c>
      <c r="E2145" s="38" t="s">
        <v>5283</v>
      </c>
      <c r="F2145" s="38" t="s">
        <v>4238</v>
      </c>
      <c r="G2145" s="38" t="s">
        <v>111</v>
      </c>
      <c r="H2145" s="44">
        <v>44098</v>
      </c>
      <c r="I2145" s="44">
        <v>44102</v>
      </c>
      <c r="J2145">
        <v>130.33000000000001</v>
      </c>
      <c r="K2145">
        <v>5.86</v>
      </c>
      <c r="L2145" t="s">
        <v>5284</v>
      </c>
      <c r="M2145" s="45" t="s">
        <v>98</v>
      </c>
      <c r="N2145" s="38" t="s">
        <v>230</v>
      </c>
      <c r="O2145" s="38" t="s">
        <v>78</v>
      </c>
      <c r="P2145" s="38" t="s">
        <v>60</v>
      </c>
      <c r="Q2145" s="38" t="s">
        <v>74</v>
      </c>
      <c r="R2145" s="38" t="s">
        <v>270</v>
      </c>
      <c r="S2145" s="38" t="s">
        <v>5285</v>
      </c>
      <c r="T2145" s="38" t="s">
        <v>5288</v>
      </c>
      <c r="U2145" s="38"/>
      <c r="V2145" s="38"/>
      <c r="W2145" s="38"/>
      <c r="X2145" s="14"/>
      <c r="AN2145" s="7" t="s">
        <v>70</v>
      </c>
      <c r="AO2145" s="21">
        <f t="shared" si="108"/>
        <v>0</v>
      </c>
      <c r="AP2145" s="7">
        <f t="shared" si="107"/>
        <v>5.86</v>
      </c>
      <c r="AQ2145" s="31" t="str">
        <f t="shared" si="109"/>
        <v>Complete - No Adjustment</v>
      </c>
    </row>
    <row r="2146" spans="1:43" x14ac:dyDescent="0.2">
      <c r="A2146" s="46">
        <v>2136</v>
      </c>
      <c r="B2146" s="38" t="s">
        <v>266</v>
      </c>
      <c r="C2146" s="38" t="s">
        <v>577</v>
      </c>
      <c r="D2146" s="38" t="s">
        <v>576</v>
      </c>
      <c r="E2146" s="38" t="s">
        <v>5283</v>
      </c>
      <c r="F2146" s="38" t="s">
        <v>4238</v>
      </c>
      <c r="G2146" s="38" t="s">
        <v>111</v>
      </c>
      <c r="H2146" s="44">
        <v>44098</v>
      </c>
      <c r="I2146" s="44">
        <v>44102</v>
      </c>
      <c r="J2146">
        <v>130.33000000000001</v>
      </c>
      <c r="K2146">
        <v>15</v>
      </c>
      <c r="L2146" t="s">
        <v>5284</v>
      </c>
      <c r="M2146" s="45" t="s">
        <v>98</v>
      </c>
      <c r="N2146" s="38" t="s">
        <v>230</v>
      </c>
      <c r="O2146" s="38" t="s">
        <v>78</v>
      </c>
      <c r="P2146" s="38" t="s">
        <v>60</v>
      </c>
      <c r="Q2146" s="38" t="s">
        <v>41</v>
      </c>
      <c r="R2146" s="38" t="s">
        <v>270</v>
      </c>
      <c r="S2146" s="38" t="s">
        <v>5285</v>
      </c>
      <c r="T2146" s="38" t="s">
        <v>5289</v>
      </c>
      <c r="U2146" s="38"/>
      <c r="V2146" s="38"/>
      <c r="W2146" s="38"/>
      <c r="X2146" s="14"/>
      <c r="AN2146" s="7" t="s">
        <v>4219</v>
      </c>
      <c r="AO2146" s="21">
        <f t="shared" si="108"/>
        <v>0</v>
      </c>
      <c r="AP2146" s="7">
        <f t="shared" si="107"/>
        <v>15</v>
      </c>
      <c r="AQ2146" s="31" t="str">
        <f t="shared" si="109"/>
        <v>Complete - No Adjustment</v>
      </c>
    </row>
    <row r="2147" spans="1:43" x14ac:dyDescent="0.2">
      <c r="A2147" s="46">
        <v>2137</v>
      </c>
      <c r="B2147" s="38" t="s">
        <v>266</v>
      </c>
      <c r="C2147" s="38" t="s">
        <v>501</v>
      </c>
      <c r="D2147" s="38" t="s">
        <v>500</v>
      </c>
      <c r="E2147" s="38" t="s">
        <v>5290</v>
      </c>
      <c r="F2147" s="38" t="s">
        <v>4349</v>
      </c>
      <c r="G2147" s="38" t="s">
        <v>111</v>
      </c>
      <c r="H2147" s="44">
        <v>44083</v>
      </c>
      <c r="I2147" s="44">
        <v>44084</v>
      </c>
      <c r="J2147">
        <v>174.25</v>
      </c>
      <c r="K2147">
        <v>174.25</v>
      </c>
      <c r="L2147" t="s">
        <v>5291</v>
      </c>
      <c r="M2147" s="45" t="s">
        <v>98</v>
      </c>
      <c r="N2147" s="38" t="s">
        <v>230</v>
      </c>
      <c r="O2147" s="38" t="s">
        <v>288</v>
      </c>
      <c r="P2147" s="38" t="s">
        <v>60</v>
      </c>
      <c r="Q2147" s="38" t="s">
        <v>46</v>
      </c>
      <c r="R2147" s="38" t="s">
        <v>270</v>
      </c>
      <c r="S2147" s="38" t="s">
        <v>5292</v>
      </c>
      <c r="T2147" s="38" t="s">
        <v>5293</v>
      </c>
      <c r="U2147" s="38"/>
      <c r="V2147" s="38"/>
      <c r="W2147" s="38"/>
      <c r="X2147" s="14"/>
      <c r="AN2147" s="7" t="s">
        <v>70</v>
      </c>
      <c r="AO2147" s="21">
        <f t="shared" si="108"/>
        <v>0</v>
      </c>
      <c r="AP2147" s="7">
        <f t="shared" si="107"/>
        <v>174.25</v>
      </c>
      <c r="AQ2147" s="31" t="str">
        <f t="shared" si="109"/>
        <v>Complete - No Adjustment</v>
      </c>
    </row>
    <row r="2148" spans="1:43" x14ac:dyDescent="0.2">
      <c r="A2148" s="46">
        <v>2138</v>
      </c>
      <c r="B2148" s="38" t="s">
        <v>266</v>
      </c>
      <c r="C2148" s="38" t="s">
        <v>503</v>
      </c>
      <c r="D2148" s="38" t="s">
        <v>502</v>
      </c>
      <c r="E2148" s="38" t="s">
        <v>5294</v>
      </c>
      <c r="F2148" s="38" t="s">
        <v>4284</v>
      </c>
      <c r="G2148" s="38" t="s">
        <v>111</v>
      </c>
      <c r="H2148" s="44">
        <v>44074</v>
      </c>
      <c r="I2148" s="44">
        <v>44077</v>
      </c>
      <c r="J2148">
        <v>305</v>
      </c>
      <c r="K2148">
        <v>305</v>
      </c>
      <c r="L2148" t="s">
        <v>5295</v>
      </c>
      <c r="M2148" s="45" t="s">
        <v>98</v>
      </c>
      <c r="N2148" s="38" t="s">
        <v>230</v>
      </c>
      <c r="O2148" s="38" t="s">
        <v>277</v>
      </c>
      <c r="P2148" s="38" t="s">
        <v>60</v>
      </c>
      <c r="Q2148" s="38" t="s">
        <v>59</v>
      </c>
      <c r="R2148" s="38" t="s">
        <v>270</v>
      </c>
      <c r="S2148" s="38" t="s">
        <v>5296</v>
      </c>
      <c r="T2148" s="38" t="s">
        <v>5297</v>
      </c>
      <c r="U2148" s="38"/>
      <c r="V2148" s="38"/>
      <c r="W2148" s="38"/>
      <c r="X2148" s="14"/>
      <c r="AN2148" s="7" t="s">
        <v>70</v>
      </c>
      <c r="AO2148" s="21">
        <f t="shared" si="108"/>
        <v>0</v>
      </c>
      <c r="AP2148" s="7">
        <f t="shared" si="107"/>
        <v>305</v>
      </c>
      <c r="AQ2148" s="31" t="str">
        <f t="shared" si="109"/>
        <v>Complete - No Adjustment</v>
      </c>
    </row>
    <row r="2149" spans="1:43" x14ac:dyDescent="0.2">
      <c r="A2149" s="46">
        <v>2139</v>
      </c>
      <c r="B2149" s="38" t="s">
        <v>266</v>
      </c>
      <c r="C2149" s="38" t="s">
        <v>504</v>
      </c>
      <c r="D2149" s="38" t="s">
        <v>805</v>
      </c>
      <c r="E2149" s="38" t="s">
        <v>5298</v>
      </c>
      <c r="F2149" s="38" t="s">
        <v>4291</v>
      </c>
      <c r="G2149" s="38" t="s">
        <v>111</v>
      </c>
      <c r="H2149" s="44">
        <v>44063</v>
      </c>
      <c r="I2149" s="44">
        <v>44078</v>
      </c>
      <c r="J2149">
        <v>217.32</v>
      </c>
      <c r="K2149">
        <v>17.739999999999998</v>
      </c>
      <c r="L2149" t="s">
        <v>5299</v>
      </c>
      <c r="M2149" s="45" t="s">
        <v>98</v>
      </c>
      <c r="N2149" s="38" t="s">
        <v>230</v>
      </c>
      <c r="O2149" s="38" t="s">
        <v>484</v>
      </c>
      <c r="P2149" s="38" t="s">
        <v>60</v>
      </c>
      <c r="Q2149" s="38" t="s">
        <v>41</v>
      </c>
      <c r="R2149" s="38" t="s">
        <v>270</v>
      </c>
      <c r="S2149" s="38" t="s">
        <v>5300</v>
      </c>
      <c r="T2149" s="38" t="s">
        <v>5301</v>
      </c>
      <c r="U2149" s="38"/>
      <c r="V2149" s="38"/>
      <c r="W2149" s="38"/>
      <c r="X2149" s="14"/>
      <c r="AN2149" s="7" t="s">
        <v>70</v>
      </c>
      <c r="AO2149" s="21">
        <f t="shared" si="108"/>
        <v>0</v>
      </c>
      <c r="AP2149" s="7">
        <f t="shared" si="107"/>
        <v>17.739999999999998</v>
      </c>
      <c r="AQ2149" s="31" t="str">
        <f t="shared" si="109"/>
        <v>Complete - No Adjustment</v>
      </c>
    </row>
    <row r="2150" spans="1:43" x14ac:dyDescent="0.2">
      <c r="A2150" s="46">
        <v>2140</v>
      </c>
      <c r="B2150" s="38" t="s">
        <v>266</v>
      </c>
      <c r="C2150" s="38" t="s">
        <v>504</v>
      </c>
      <c r="D2150" s="38" t="s">
        <v>805</v>
      </c>
      <c r="E2150" s="38" t="s">
        <v>5298</v>
      </c>
      <c r="F2150" s="38" t="s">
        <v>4291</v>
      </c>
      <c r="G2150" s="38" t="s">
        <v>111</v>
      </c>
      <c r="H2150" s="44">
        <v>44063</v>
      </c>
      <c r="I2150" s="44">
        <v>44078</v>
      </c>
      <c r="J2150">
        <v>217.32</v>
      </c>
      <c r="K2150">
        <v>23.17</v>
      </c>
      <c r="L2150" t="s">
        <v>5299</v>
      </c>
      <c r="M2150" s="45" t="s">
        <v>98</v>
      </c>
      <c r="N2150" s="38" t="s">
        <v>230</v>
      </c>
      <c r="O2150" s="38" t="s">
        <v>484</v>
      </c>
      <c r="P2150" s="38" t="s">
        <v>60</v>
      </c>
      <c r="Q2150" s="38" t="s">
        <v>41</v>
      </c>
      <c r="R2150" s="38" t="s">
        <v>270</v>
      </c>
      <c r="S2150" s="38" t="s">
        <v>5300</v>
      </c>
      <c r="T2150" s="38" t="s">
        <v>5301</v>
      </c>
      <c r="U2150" s="38"/>
      <c r="V2150" s="38"/>
      <c r="W2150" s="38"/>
      <c r="X2150" s="14"/>
      <c r="AN2150" s="7" t="s">
        <v>70</v>
      </c>
      <c r="AO2150" s="21">
        <f t="shared" si="108"/>
        <v>0</v>
      </c>
      <c r="AP2150" s="7">
        <f t="shared" si="107"/>
        <v>23.17</v>
      </c>
      <c r="AQ2150" s="31" t="str">
        <f t="shared" si="109"/>
        <v>Complete - No Adjustment</v>
      </c>
    </row>
    <row r="2151" spans="1:43" x14ac:dyDescent="0.2">
      <c r="A2151" s="46">
        <v>2141</v>
      </c>
      <c r="B2151" s="38" t="s">
        <v>266</v>
      </c>
      <c r="C2151" s="38" t="s">
        <v>504</v>
      </c>
      <c r="D2151" s="38" t="s">
        <v>805</v>
      </c>
      <c r="E2151" s="38" t="s">
        <v>5298</v>
      </c>
      <c r="F2151" s="38" t="s">
        <v>4291</v>
      </c>
      <c r="G2151" s="38" t="s">
        <v>111</v>
      </c>
      <c r="H2151" s="44">
        <v>44063</v>
      </c>
      <c r="I2151" s="44">
        <v>44078</v>
      </c>
      <c r="J2151">
        <v>217.32</v>
      </c>
      <c r="K2151">
        <v>17.09</v>
      </c>
      <c r="L2151" t="s">
        <v>5299</v>
      </c>
      <c r="M2151" s="45" t="s">
        <v>98</v>
      </c>
      <c r="N2151" s="38" t="s">
        <v>230</v>
      </c>
      <c r="O2151" s="38" t="s">
        <v>484</v>
      </c>
      <c r="P2151" s="38" t="s">
        <v>60</v>
      </c>
      <c r="Q2151" s="38" t="s">
        <v>41</v>
      </c>
      <c r="R2151" s="38" t="s">
        <v>270</v>
      </c>
      <c r="S2151" s="38" t="s">
        <v>5300</v>
      </c>
      <c r="T2151" s="38" t="s">
        <v>5301</v>
      </c>
      <c r="U2151" s="38"/>
      <c r="V2151" s="38"/>
      <c r="W2151" s="38"/>
      <c r="X2151" s="14"/>
      <c r="AN2151" s="7" t="s">
        <v>70</v>
      </c>
      <c r="AO2151" s="21">
        <f t="shared" si="108"/>
        <v>0</v>
      </c>
      <c r="AP2151" s="7">
        <f t="shared" si="107"/>
        <v>17.09</v>
      </c>
      <c r="AQ2151" s="31" t="str">
        <f t="shared" si="109"/>
        <v>Complete - No Adjustment</v>
      </c>
    </row>
    <row r="2152" spans="1:43" x14ac:dyDescent="0.2">
      <c r="A2152" s="46">
        <v>2142</v>
      </c>
      <c r="B2152" s="38" t="s">
        <v>266</v>
      </c>
      <c r="C2152" s="38" t="s">
        <v>504</v>
      </c>
      <c r="D2152" s="38" t="s">
        <v>805</v>
      </c>
      <c r="E2152" s="38" t="s">
        <v>5298</v>
      </c>
      <c r="F2152" s="38" t="s">
        <v>4291</v>
      </c>
      <c r="G2152" s="38" t="s">
        <v>111</v>
      </c>
      <c r="H2152" s="44">
        <v>44063</v>
      </c>
      <c r="I2152" s="44">
        <v>44078</v>
      </c>
      <c r="J2152">
        <v>217.32</v>
      </c>
      <c r="K2152">
        <v>19.149999999999999</v>
      </c>
      <c r="L2152" t="s">
        <v>5299</v>
      </c>
      <c r="M2152" s="45" t="s">
        <v>98</v>
      </c>
      <c r="N2152" s="38" t="s">
        <v>230</v>
      </c>
      <c r="O2152" s="38" t="s">
        <v>484</v>
      </c>
      <c r="P2152" s="38" t="s">
        <v>60</v>
      </c>
      <c r="Q2152" s="38" t="s">
        <v>41</v>
      </c>
      <c r="R2152" s="38" t="s">
        <v>270</v>
      </c>
      <c r="S2152" s="38" t="s">
        <v>5300</v>
      </c>
      <c r="T2152" s="38" t="s">
        <v>5301</v>
      </c>
      <c r="U2152" s="38"/>
      <c r="V2152" s="38"/>
      <c r="W2152" s="38"/>
      <c r="X2152" s="14"/>
      <c r="AN2152" s="7" t="s">
        <v>70</v>
      </c>
      <c r="AO2152" s="21">
        <f t="shared" si="108"/>
        <v>0</v>
      </c>
      <c r="AP2152" s="7">
        <f t="shared" si="107"/>
        <v>19.149999999999999</v>
      </c>
      <c r="AQ2152" s="31" t="str">
        <f t="shared" si="109"/>
        <v>Complete - No Adjustment</v>
      </c>
    </row>
    <row r="2153" spans="1:43" x14ac:dyDescent="0.2">
      <c r="A2153" s="46">
        <v>2143</v>
      </c>
      <c r="B2153" s="38" t="s">
        <v>266</v>
      </c>
      <c r="C2153" s="38" t="s">
        <v>504</v>
      </c>
      <c r="D2153" s="38" t="s">
        <v>805</v>
      </c>
      <c r="E2153" s="38" t="s">
        <v>5298</v>
      </c>
      <c r="F2153" s="38" t="s">
        <v>4291</v>
      </c>
      <c r="G2153" s="38" t="s">
        <v>111</v>
      </c>
      <c r="H2153" s="44">
        <v>44063</v>
      </c>
      <c r="I2153" s="44">
        <v>44078</v>
      </c>
      <c r="J2153">
        <v>217.32</v>
      </c>
      <c r="K2153">
        <v>17.2</v>
      </c>
      <c r="L2153" t="s">
        <v>5299</v>
      </c>
      <c r="M2153" s="45" t="s">
        <v>98</v>
      </c>
      <c r="N2153" s="38" t="s">
        <v>230</v>
      </c>
      <c r="O2153" s="38" t="s">
        <v>484</v>
      </c>
      <c r="P2153" s="38" t="s">
        <v>60</v>
      </c>
      <c r="Q2153" s="38" t="s">
        <v>41</v>
      </c>
      <c r="R2153" s="38" t="s">
        <v>270</v>
      </c>
      <c r="S2153" s="38" t="s">
        <v>5300</v>
      </c>
      <c r="T2153" s="38" t="s">
        <v>5301</v>
      </c>
      <c r="U2153" s="38"/>
      <c r="V2153" s="38"/>
      <c r="W2153" s="38"/>
      <c r="X2153" s="14"/>
      <c r="AN2153" s="7" t="s">
        <v>70</v>
      </c>
      <c r="AO2153" s="21">
        <f t="shared" si="108"/>
        <v>0</v>
      </c>
      <c r="AP2153" s="7">
        <f t="shared" si="107"/>
        <v>17.2</v>
      </c>
      <c r="AQ2153" s="31" t="str">
        <f t="shared" si="109"/>
        <v>Complete - No Adjustment</v>
      </c>
    </row>
    <row r="2154" spans="1:43" x14ac:dyDescent="0.2">
      <c r="A2154" s="46">
        <v>2144</v>
      </c>
      <c r="B2154" s="38" t="s">
        <v>266</v>
      </c>
      <c r="C2154" s="38" t="s">
        <v>504</v>
      </c>
      <c r="D2154" s="38" t="s">
        <v>805</v>
      </c>
      <c r="E2154" s="38" t="s">
        <v>5298</v>
      </c>
      <c r="F2154" s="38" t="s">
        <v>4291</v>
      </c>
      <c r="G2154" s="38" t="s">
        <v>111</v>
      </c>
      <c r="H2154" s="44">
        <v>44063</v>
      </c>
      <c r="I2154" s="44">
        <v>44078</v>
      </c>
      <c r="J2154">
        <v>217.32</v>
      </c>
      <c r="K2154">
        <v>11.85</v>
      </c>
      <c r="L2154" t="s">
        <v>5299</v>
      </c>
      <c r="M2154" s="45" t="s">
        <v>98</v>
      </c>
      <c r="N2154" s="38" t="s">
        <v>230</v>
      </c>
      <c r="O2154" s="38" t="s">
        <v>658</v>
      </c>
      <c r="P2154" s="38" t="s">
        <v>60</v>
      </c>
      <c r="Q2154" s="38" t="s">
        <v>62</v>
      </c>
      <c r="R2154" s="38" t="s">
        <v>270</v>
      </c>
      <c r="S2154" s="38" t="s">
        <v>5300</v>
      </c>
      <c r="T2154" s="38" t="s">
        <v>5302</v>
      </c>
      <c r="U2154" s="38"/>
      <c r="V2154" s="38"/>
      <c r="W2154" s="38"/>
      <c r="X2154" s="14"/>
      <c r="AN2154" s="7" t="s">
        <v>155</v>
      </c>
      <c r="AO2154" s="21">
        <f t="shared" si="108"/>
        <v>0</v>
      </c>
      <c r="AP2154" s="7">
        <f t="shared" si="107"/>
        <v>11.85</v>
      </c>
      <c r="AQ2154" s="31" t="str">
        <f t="shared" si="109"/>
        <v>Complete - No Adjustment</v>
      </c>
    </row>
    <row r="2155" spans="1:43" x14ac:dyDescent="0.2">
      <c r="A2155" s="46">
        <v>2145</v>
      </c>
      <c r="B2155" s="38" t="s">
        <v>266</v>
      </c>
      <c r="C2155" s="38" t="s">
        <v>504</v>
      </c>
      <c r="D2155" s="38" t="s">
        <v>805</v>
      </c>
      <c r="E2155" s="38" t="s">
        <v>5298</v>
      </c>
      <c r="F2155" s="38" t="s">
        <v>4291</v>
      </c>
      <c r="G2155" s="38" t="s">
        <v>111</v>
      </c>
      <c r="H2155" s="44">
        <v>44063</v>
      </c>
      <c r="I2155" s="44">
        <v>44078</v>
      </c>
      <c r="J2155">
        <v>217.32</v>
      </c>
      <c r="K2155">
        <v>28.37</v>
      </c>
      <c r="L2155" t="s">
        <v>5299</v>
      </c>
      <c r="M2155" s="45" t="s">
        <v>98</v>
      </c>
      <c r="N2155" s="38" t="s">
        <v>230</v>
      </c>
      <c r="O2155" s="38" t="s">
        <v>484</v>
      </c>
      <c r="P2155" s="38" t="s">
        <v>60</v>
      </c>
      <c r="Q2155" s="38" t="s">
        <v>41</v>
      </c>
      <c r="R2155" s="38" t="s">
        <v>270</v>
      </c>
      <c r="S2155" s="38" t="s">
        <v>5300</v>
      </c>
      <c r="T2155" s="38" t="s">
        <v>5301</v>
      </c>
      <c r="U2155" s="38"/>
      <c r="V2155" s="38"/>
      <c r="W2155" s="38"/>
      <c r="X2155" s="14"/>
      <c r="AN2155" s="7" t="s">
        <v>70</v>
      </c>
      <c r="AO2155" s="21">
        <f t="shared" si="108"/>
        <v>0</v>
      </c>
      <c r="AP2155" s="7">
        <f t="shared" si="107"/>
        <v>28.37</v>
      </c>
      <c r="AQ2155" s="31" t="str">
        <f t="shared" si="109"/>
        <v>Complete - No Adjustment</v>
      </c>
    </row>
    <row r="2156" spans="1:43" x14ac:dyDescent="0.2">
      <c r="A2156" s="46">
        <v>2146</v>
      </c>
      <c r="B2156" s="38" t="s">
        <v>266</v>
      </c>
      <c r="C2156" s="38" t="s">
        <v>504</v>
      </c>
      <c r="D2156" s="38" t="s">
        <v>805</v>
      </c>
      <c r="E2156" s="38" t="s">
        <v>5298</v>
      </c>
      <c r="F2156" s="38" t="s">
        <v>4291</v>
      </c>
      <c r="G2156" s="38" t="s">
        <v>111</v>
      </c>
      <c r="H2156" s="44">
        <v>44063</v>
      </c>
      <c r="I2156" s="44">
        <v>44078</v>
      </c>
      <c r="J2156">
        <v>217.32</v>
      </c>
      <c r="K2156">
        <v>27.07</v>
      </c>
      <c r="L2156" t="s">
        <v>5299</v>
      </c>
      <c r="M2156" s="45" t="s">
        <v>98</v>
      </c>
      <c r="N2156" s="38" t="s">
        <v>230</v>
      </c>
      <c r="O2156" s="38" t="s">
        <v>484</v>
      </c>
      <c r="P2156" s="38" t="s">
        <v>60</v>
      </c>
      <c r="Q2156" s="38" t="s">
        <v>41</v>
      </c>
      <c r="R2156" s="38" t="s">
        <v>270</v>
      </c>
      <c r="S2156" s="38" t="s">
        <v>5300</v>
      </c>
      <c r="T2156" s="38" t="s">
        <v>5301</v>
      </c>
      <c r="U2156" s="38"/>
      <c r="V2156" s="38"/>
      <c r="W2156" s="38"/>
      <c r="X2156" s="14"/>
      <c r="AN2156" s="7" t="s">
        <v>70</v>
      </c>
      <c r="AO2156" s="21">
        <f t="shared" si="108"/>
        <v>0</v>
      </c>
      <c r="AP2156" s="7">
        <f t="shared" si="107"/>
        <v>27.07</v>
      </c>
      <c r="AQ2156" s="31" t="str">
        <f t="shared" si="109"/>
        <v>Complete - No Adjustment</v>
      </c>
    </row>
    <row r="2157" spans="1:43" x14ac:dyDescent="0.2">
      <c r="A2157" s="46">
        <v>2147</v>
      </c>
      <c r="B2157" s="38" t="s">
        <v>266</v>
      </c>
      <c r="C2157" s="38" t="s">
        <v>504</v>
      </c>
      <c r="D2157" s="38" t="s">
        <v>805</v>
      </c>
      <c r="E2157" s="38" t="s">
        <v>5298</v>
      </c>
      <c r="F2157" s="38" t="s">
        <v>4291</v>
      </c>
      <c r="G2157" s="38" t="s">
        <v>111</v>
      </c>
      <c r="H2157" s="44">
        <v>44063</v>
      </c>
      <c r="I2157" s="44">
        <v>44078</v>
      </c>
      <c r="J2157">
        <v>217.32</v>
      </c>
      <c r="K2157">
        <v>20.09</v>
      </c>
      <c r="L2157" t="s">
        <v>5299</v>
      </c>
      <c r="M2157" s="45" t="s">
        <v>98</v>
      </c>
      <c r="N2157" s="38" t="s">
        <v>230</v>
      </c>
      <c r="O2157" s="38" t="s">
        <v>484</v>
      </c>
      <c r="P2157" s="38" t="s">
        <v>60</v>
      </c>
      <c r="Q2157" s="38" t="s">
        <v>41</v>
      </c>
      <c r="R2157" s="38" t="s">
        <v>270</v>
      </c>
      <c r="S2157" s="38" t="s">
        <v>5300</v>
      </c>
      <c r="T2157" s="38" t="s">
        <v>5301</v>
      </c>
      <c r="U2157" s="38"/>
      <c r="V2157" s="38"/>
      <c r="W2157" s="38"/>
      <c r="X2157" s="14"/>
      <c r="AN2157" s="7" t="s">
        <v>70</v>
      </c>
      <c r="AO2157" s="21">
        <f t="shared" si="108"/>
        <v>0</v>
      </c>
      <c r="AP2157" s="7">
        <f t="shared" si="107"/>
        <v>20.09</v>
      </c>
      <c r="AQ2157" s="31" t="str">
        <f t="shared" si="109"/>
        <v>Complete - No Adjustment</v>
      </c>
    </row>
    <row r="2158" spans="1:43" x14ac:dyDescent="0.2">
      <c r="A2158" s="46">
        <v>2148</v>
      </c>
      <c r="B2158" s="38" t="s">
        <v>266</v>
      </c>
      <c r="C2158" s="38" t="s">
        <v>504</v>
      </c>
      <c r="D2158" s="38" t="s">
        <v>805</v>
      </c>
      <c r="E2158" s="38" t="s">
        <v>5298</v>
      </c>
      <c r="F2158" s="38" t="s">
        <v>4291</v>
      </c>
      <c r="G2158" s="38" t="s">
        <v>111</v>
      </c>
      <c r="H2158" s="44">
        <v>44063</v>
      </c>
      <c r="I2158" s="44">
        <v>44078</v>
      </c>
      <c r="J2158">
        <v>217.32</v>
      </c>
      <c r="K2158">
        <v>17.809999999999999</v>
      </c>
      <c r="L2158" t="s">
        <v>5299</v>
      </c>
      <c r="M2158" s="45" t="s">
        <v>98</v>
      </c>
      <c r="N2158" s="38" t="s">
        <v>230</v>
      </c>
      <c r="O2158" s="38" t="s">
        <v>484</v>
      </c>
      <c r="P2158" s="38" t="s">
        <v>60</v>
      </c>
      <c r="Q2158" s="38" t="s">
        <v>41</v>
      </c>
      <c r="R2158" s="38" t="s">
        <v>270</v>
      </c>
      <c r="S2158" s="38" t="s">
        <v>5300</v>
      </c>
      <c r="T2158" s="38" t="s">
        <v>5301</v>
      </c>
      <c r="U2158" s="38"/>
      <c r="V2158" s="38"/>
      <c r="W2158" s="38"/>
      <c r="X2158" s="14"/>
      <c r="AN2158" s="7" t="s">
        <v>70</v>
      </c>
      <c r="AO2158" s="21">
        <f t="shared" si="108"/>
        <v>0</v>
      </c>
      <c r="AP2158" s="7">
        <f t="shared" si="107"/>
        <v>17.809999999999999</v>
      </c>
      <c r="AQ2158" s="31" t="str">
        <f t="shared" si="109"/>
        <v>Complete - No Adjustment</v>
      </c>
    </row>
    <row r="2159" spans="1:43" x14ac:dyDescent="0.2">
      <c r="A2159" s="46">
        <v>2149</v>
      </c>
      <c r="B2159" s="38" t="s">
        <v>266</v>
      </c>
      <c r="C2159" s="38" t="s">
        <v>504</v>
      </c>
      <c r="D2159" s="38" t="s">
        <v>805</v>
      </c>
      <c r="E2159" s="38" t="s">
        <v>5298</v>
      </c>
      <c r="F2159" s="38" t="s">
        <v>4291</v>
      </c>
      <c r="G2159" s="38" t="s">
        <v>111</v>
      </c>
      <c r="H2159" s="44">
        <v>44063</v>
      </c>
      <c r="I2159" s="44">
        <v>44078</v>
      </c>
      <c r="J2159">
        <v>217.32</v>
      </c>
      <c r="K2159">
        <v>17.78</v>
      </c>
      <c r="L2159" t="s">
        <v>5299</v>
      </c>
      <c r="M2159" s="45" t="s">
        <v>98</v>
      </c>
      <c r="N2159" s="38" t="s">
        <v>230</v>
      </c>
      <c r="O2159" s="38" t="s">
        <v>484</v>
      </c>
      <c r="P2159" s="38" t="s">
        <v>60</v>
      </c>
      <c r="Q2159" s="38" t="s">
        <v>41</v>
      </c>
      <c r="R2159" s="38" t="s">
        <v>270</v>
      </c>
      <c r="S2159" s="38" t="s">
        <v>5300</v>
      </c>
      <c r="T2159" s="38" t="s">
        <v>5301</v>
      </c>
      <c r="U2159" s="38"/>
      <c r="V2159" s="38"/>
      <c r="W2159" s="38"/>
      <c r="X2159" s="14"/>
      <c r="AN2159" s="7" t="s">
        <v>70</v>
      </c>
      <c r="AO2159" s="21">
        <f t="shared" si="108"/>
        <v>0</v>
      </c>
      <c r="AP2159" s="7">
        <f t="shared" si="107"/>
        <v>17.78</v>
      </c>
      <c r="AQ2159" s="31" t="str">
        <f t="shared" si="109"/>
        <v>Complete - No Adjustment</v>
      </c>
    </row>
    <row r="2160" spans="1:43" x14ac:dyDescent="0.2">
      <c r="A2160" s="46">
        <v>2150</v>
      </c>
      <c r="B2160" s="38" t="s">
        <v>266</v>
      </c>
      <c r="C2160" s="38" t="s">
        <v>504</v>
      </c>
      <c r="D2160" s="38" t="s">
        <v>805</v>
      </c>
      <c r="E2160" s="38" t="s">
        <v>5303</v>
      </c>
      <c r="F2160" s="38" t="s">
        <v>4224</v>
      </c>
      <c r="G2160" s="38" t="s">
        <v>111</v>
      </c>
      <c r="H2160" s="44">
        <v>44090</v>
      </c>
      <c r="I2160" s="44">
        <v>44092</v>
      </c>
      <c r="J2160">
        <v>379.24</v>
      </c>
      <c r="K2160">
        <v>21.76</v>
      </c>
      <c r="L2160" t="s">
        <v>5304</v>
      </c>
      <c r="M2160" s="45" t="s">
        <v>98</v>
      </c>
      <c r="N2160" s="38" t="s">
        <v>230</v>
      </c>
      <c r="O2160" s="38" t="s">
        <v>507</v>
      </c>
      <c r="P2160" s="38" t="s">
        <v>60</v>
      </c>
      <c r="Q2160" s="38" t="s">
        <v>46</v>
      </c>
      <c r="R2160" s="38" t="s">
        <v>270</v>
      </c>
      <c r="S2160" s="38" t="s">
        <v>5305</v>
      </c>
      <c r="T2160" s="38" t="s">
        <v>5306</v>
      </c>
      <c r="U2160" s="38"/>
      <c r="V2160" s="38"/>
      <c r="W2160" s="38"/>
      <c r="X2160" s="14"/>
      <c r="AI2160" s="53">
        <f>21.76</f>
        <v>21.76</v>
      </c>
      <c r="AN2160" s="7" t="s">
        <v>145</v>
      </c>
      <c r="AO2160" s="21">
        <f t="shared" si="108"/>
        <v>21.76</v>
      </c>
      <c r="AP2160" s="7">
        <f t="shared" si="107"/>
        <v>0</v>
      </c>
      <c r="AQ2160" s="31" t="str">
        <f t="shared" si="109"/>
        <v>Complete - With Adjustment</v>
      </c>
    </row>
    <row r="2161" spans="1:43" x14ac:dyDescent="0.2">
      <c r="A2161" s="46">
        <v>2151</v>
      </c>
      <c r="B2161" s="38" t="s">
        <v>266</v>
      </c>
      <c r="C2161" s="38" t="s">
        <v>504</v>
      </c>
      <c r="D2161" s="38" t="s">
        <v>805</v>
      </c>
      <c r="E2161" s="38" t="s">
        <v>5303</v>
      </c>
      <c r="F2161" s="38" t="s">
        <v>4224</v>
      </c>
      <c r="G2161" s="38" t="s">
        <v>111</v>
      </c>
      <c r="H2161" s="44">
        <v>44090</v>
      </c>
      <c r="I2161" s="44">
        <v>44092</v>
      </c>
      <c r="J2161">
        <v>379.24</v>
      </c>
      <c r="K2161">
        <v>20.65</v>
      </c>
      <c r="L2161" t="s">
        <v>5304</v>
      </c>
      <c r="M2161" s="45" t="s">
        <v>98</v>
      </c>
      <c r="N2161" s="38" t="s">
        <v>230</v>
      </c>
      <c r="O2161" s="38" t="s">
        <v>507</v>
      </c>
      <c r="P2161" s="38" t="s">
        <v>60</v>
      </c>
      <c r="Q2161" s="38" t="s">
        <v>46</v>
      </c>
      <c r="R2161" s="38" t="s">
        <v>270</v>
      </c>
      <c r="S2161" s="38" t="s">
        <v>5305</v>
      </c>
      <c r="T2161" s="38" t="s">
        <v>5306</v>
      </c>
      <c r="U2161" s="38"/>
      <c r="V2161" s="38"/>
      <c r="W2161" s="38"/>
      <c r="X2161" s="14"/>
      <c r="AI2161" s="53">
        <f>20.65</f>
        <v>20.65</v>
      </c>
      <c r="AN2161" s="7" t="s">
        <v>145</v>
      </c>
      <c r="AO2161" s="21">
        <f t="shared" si="108"/>
        <v>20.65</v>
      </c>
      <c r="AP2161" s="7">
        <f t="shared" si="107"/>
        <v>0</v>
      </c>
      <c r="AQ2161" s="31" t="str">
        <f t="shared" si="109"/>
        <v>Complete - With Adjustment</v>
      </c>
    </row>
    <row r="2162" spans="1:43" x14ac:dyDescent="0.2">
      <c r="A2162" s="46">
        <v>2152</v>
      </c>
      <c r="B2162" s="38" t="s">
        <v>266</v>
      </c>
      <c r="C2162" s="38" t="s">
        <v>504</v>
      </c>
      <c r="D2162" s="38" t="s">
        <v>805</v>
      </c>
      <c r="E2162" s="38" t="s">
        <v>5303</v>
      </c>
      <c r="F2162" s="38" t="s">
        <v>4224</v>
      </c>
      <c r="G2162" s="38" t="s">
        <v>111</v>
      </c>
      <c r="H2162" s="44">
        <v>44090</v>
      </c>
      <c r="I2162" s="44">
        <v>44092</v>
      </c>
      <c r="J2162">
        <v>379.24</v>
      </c>
      <c r="K2162">
        <v>28.7</v>
      </c>
      <c r="L2162" t="s">
        <v>5304</v>
      </c>
      <c r="M2162" s="45" t="s">
        <v>98</v>
      </c>
      <c r="N2162" s="38" t="s">
        <v>230</v>
      </c>
      <c r="O2162" s="38" t="s">
        <v>507</v>
      </c>
      <c r="P2162" s="38" t="s">
        <v>60</v>
      </c>
      <c r="Q2162" s="38" t="s">
        <v>46</v>
      </c>
      <c r="R2162" s="38" t="s">
        <v>270</v>
      </c>
      <c r="S2162" s="38" t="s">
        <v>5305</v>
      </c>
      <c r="T2162" s="38" t="s">
        <v>5306</v>
      </c>
      <c r="U2162" s="38"/>
      <c r="V2162" s="38"/>
      <c r="W2162" s="38"/>
      <c r="X2162" s="14"/>
      <c r="AI2162" s="53">
        <f>28.7</f>
        <v>28.7</v>
      </c>
      <c r="AN2162" s="7" t="s">
        <v>145</v>
      </c>
      <c r="AO2162" s="21">
        <f t="shared" si="108"/>
        <v>28.7</v>
      </c>
      <c r="AP2162" s="7">
        <f t="shared" si="107"/>
        <v>0</v>
      </c>
      <c r="AQ2162" s="31" t="str">
        <f t="shared" si="109"/>
        <v>Complete - With Adjustment</v>
      </c>
    </row>
    <row r="2163" spans="1:43" x14ac:dyDescent="0.2">
      <c r="A2163" s="46">
        <v>2153</v>
      </c>
      <c r="B2163" s="38" t="s">
        <v>266</v>
      </c>
      <c r="C2163" s="38" t="s">
        <v>504</v>
      </c>
      <c r="D2163" s="38" t="s">
        <v>805</v>
      </c>
      <c r="E2163" s="38" t="s">
        <v>5303</v>
      </c>
      <c r="F2163" s="38" t="s">
        <v>4224</v>
      </c>
      <c r="G2163" s="38" t="s">
        <v>111</v>
      </c>
      <c r="H2163" s="44">
        <v>44090</v>
      </c>
      <c r="I2163" s="44">
        <v>44092</v>
      </c>
      <c r="J2163">
        <v>379.24</v>
      </c>
      <c r="K2163">
        <v>17.809999999999999</v>
      </c>
      <c r="L2163" t="s">
        <v>5304</v>
      </c>
      <c r="M2163" s="45" t="s">
        <v>98</v>
      </c>
      <c r="N2163" s="38" t="s">
        <v>230</v>
      </c>
      <c r="O2163" s="38" t="s">
        <v>484</v>
      </c>
      <c r="P2163" s="38" t="s">
        <v>60</v>
      </c>
      <c r="Q2163" s="38" t="s">
        <v>41</v>
      </c>
      <c r="R2163" s="38" t="s">
        <v>270</v>
      </c>
      <c r="S2163" s="38" t="s">
        <v>5305</v>
      </c>
      <c r="T2163" s="38" t="s">
        <v>5307</v>
      </c>
      <c r="U2163" s="38"/>
      <c r="V2163" s="38"/>
      <c r="W2163" s="38"/>
      <c r="X2163" s="14"/>
      <c r="AN2163" s="7" t="s">
        <v>70</v>
      </c>
      <c r="AO2163" s="21">
        <f t="shared" si="108"/>
        <v>0</v>
      </c>
      <c r="AP2163" s="7">
        <f t="shared" si="107"/>
        <v>17.809999999999999</v>
      </c>
      <c r="AQ2163" s="31" t="str">
        <f t="shared" si="109"/>
        <v>Complete - No Adjustment</v>
      </c>
    </row>
    <row r="2164" spans="1:43" x14ac:dyDescent="0.2">
      <c r="A2164" s="46">
        <v>2154</v>
      </c>
      <c r="B2164" s="38" t="s">
        <v>266</v>
      </c>
      <c r="C2164" s="38" t="s">
        <v>504</v>
      </c>
      <c r="D2164" s="38" t="s">
        <v>805</v>
      </c>
      <c r="E2164" s="38" t="s">
        <v>5303</v>
      </c>
      <c r="F2164" s="38" t="s">
        <v>4224</v>
      </c>
      <c r="G2164" s="38" t="s">
        <v>111</v>
      </c>
      <c r="H2164" s="44">
        <v>44090</v>
      </c>
      <c r="I2164" s="44">
        <v>44092</v>
      </c>
      <c r="J2164">
        <v>379.24</v>
      </c>
      <c r="K2164">
        <v>21.66</v>
      </c>
      <c r="L2164" t="s">
        <v>5304</v>
      </c>
      <c r="M2164" s="45" t="s">
        <v>98</v>
      </c>
      <c r="N2164" s="38" t="s">
        <v>230</v>
      </c>
      <c r="O2164" s="38" t="s">
        <v>507</v>
      </c>
      <c r="P2164" s="38" t="s">
        <v>60</v>
      </c>
      <c r="Q2164" s="38" t="s">
        <v>46</v>
      </c>
      <c r="R2164" s="38" t="s">
        <v>270</v>
      </c>
      <c r="S2164" s="38" t="s">
        <v>5305</v>
      </c>
      <c r="T2164" s="38" t="s">
        <v>5306</v>
      </c>
      <c r="U2164" s="38"/>
      <c r="V2164" s="38"/>
      <c r="W2164" s="38"/>
      <c r="X2164" s="14"/>
      <c r="AI2164" s="53">
        <f>21.66</f>
        <v>21.66</v>
      </c>
      <c r="AN2164" s="7" t="s">
        <v>145</v>
      </c>
      <c r="AO2164" s="21">
        <f t="shared" si="108"/>
        <v>21.66</v>
      </c>
      <c r="AP2164" s="7">
        <f t="shared" si="107"/>
        <v>0</v>
      </c>
      <c r="AQ2164" s="31" t="str">
        <f t="shared" si="109"/>
        <v>Complete - With Adjustment</v>
      </c>
    </row>
    <row r="2165" spans="1:43" x14ac:dyDescent="0.2">
      <c r="A2165" s="46">
        <v>2155</v>
      </c>
      <c r="B2165" s="38" t="s">
        <v>266</v>
      </c>
      <c r="C2165" s="38" t="s">
        <v>504</v>
      </c>
      <c r="D2165" s="38" t="s">
        <v>805</v>
      </c>
      <c r="E2165" s="38" t="s">
        <v>5303</v>
      </c>
      <c r="F2165" s="38" t="s">
        <v>4224</v>
      </c>
      <c r="G2165" s="38" t="s">
        <v>111</v>
      </c>
      <c r="H2165" s="44">
        <v>44090</v>
      </c>
      <c r="I2165" s="44">
        <v>44092</v>
      </c>
      <c r="J2165">
        <v>379.24</v>
      </c>
      <c r="K2165">
        <v>29.06</v>
      </c>
      <c r="L2165" t="s">
        <v>5304</v>
      </c>
      <c r="M2165" s="45" t="s">
        <v>98</v>
      </c>
      <c r="N2165" s="38" t="s">
        <v>230</v>
      </c>
      <c r="O2165" s="38" t="s">
        <v>507</v>
      </c>
      <c r="P2165" s="38" t="s">
        <v>60</v>
      </c>
      <c r="Q2165" s="38" t="s">
        <v>46</v>
      </c>
      <c r="R2165" s="38" t="s">
        <v>270</v>
      </c>
      <c r="S2165" s="38" t="s">
        <v>5305</v>
      </c>
      <c r="T2165" s="38" t="s">
        <v>5306</v>
      </c>
      <c r="U2165" s="38"/>
      <c r="V2165" s="38"/>
      <c r="W2165" s="38"/>
      <c r="X2165" s="14"/>
      <c r="AI2165" s="53">
        <f>29.06</f>
        <v>29.06</v>
      </c>
      <c r="AN2165" s="7" t="s">
        <v>145</v>
      </c>
      <c r="AO2165" s="21">
        <f t="shared" si="108"/>
        <v>29.06</v>
      </c>
      <c r="AP2165" s="7">
        <f t="shared" si="107"/>
        <v>0</v>
      </c>
      <c r="AQ2165" s="31" t="str">
        <f t="shared" si="109"/>
        <v>Complete - With Adjustment</v>
      </c>
    </row>
    <row r="2166" spans="1:43" x14ac:dyDescent="0.2">
      <c r="A2166" s="46">
        <v>2156</v>
      </c>
      <c r="B2166" s="38" t="s">
        <v>266</v>
      </c>
      <c r="C2166" s="38" t="s">
        <v>504</v>
      </c>
      <c r="D2166" s="38" t="s">
        <v>805</v>
      </c>
      <c r="E2166" s="38" t="s">
        <v>5303</v>
      </c>
      <c r="F2166" s="38" t="s">
        <v>4224</v>
      </c>
      <c r="G2166" s="38" t="s">
        <v>111</v>
      </c>
      <c r="H2166" s="44">
        <v>44090</v>
      </c>
      <c r="I2166" s="44">
        <v>44092</v>
      </c>
      <c r="J2166">
        <v>379.24</v>
      </c>
      <c r="K2166">
        <v>20.45</v>
      </c>
      <c r="L2166" t="s">
        <v>5304</v>
      </c>
      <c r="M2166" s="45" t="s">
        <v>98</v>
      </c>
      <c r="N2166" s="38" t="s">
        <v>230</v>
      </c>
      <c r="O2166" s="38" t="s">
        <v>507</v>
      </c>
      <c r="P2166" s="38" t="s">
        <v>60</v>
      </c>
      <c r="Q2166" s="38" t="s">
        <v>46</v>
      </c>
      <c r="R2166" s="38" t="s">
        <v>270</v>
      </c>
      <c r="S2166" s="38" t="s">
        <v>5305</v>
      </c>
      <c r="T2166" s="38" t="s">
        <v>5306</v>
      </c>
      <c r="U2166" s="38"/>
      <c r="V2166" s="38"/>
      <c r="W2166" s="38"/>
      <c r="X2166" s="14"/>
      <c r="AI2166" s="53">
        <f>20.45</f>
        <v>20.45</v>
      </c>
      <c r="AN2166" s="7" t="s">
        <v>145</v>
      </c>
      <c r="AO2166" s="21">
        <f t="shared" si="108"/>
        <v>20.45</v>
      </c>
      <c r="AP2166" s="7">
        <f t="shared" si="107"/>
        <v>0</v>
      </c>
      <c r="AQ2166" s="31" t="str">
        <f t="shared" si="109"/>
        <v>Complete - With Adjustment</v>
      </c>
    </row>
    <row r="2167" spans="1:43" x14ac:dyDescent="0.2">
      <c r="A2167" s="46">
        <v>2157</v>
      </c>
      <c r="B2167" s="38" t="s">
        <v>266</v>
      </c>
      <c r="C2167" s="38" t="s">
        <v>504</v>
      </c>
      <c r="D2167" s="38" t="s">
        <v>805</v>
      </c>
      <c r="E2167" s="38" t="s">
        <v>5303</v>
      </c>
      <c r="F2167" s="38" t="s">
        <v>4224</v>
      </c>
      <c r="G2167" s="38" t="s">
        <v>111</v>
      </c>
      <c r="H2167" s="44">
        <v>44090</v>
      </c>
      <c r="I2167" s="44">
        <v>44092</v>
      </c>
      <c r="J2167">
        <v>379.24</v>
      </c>
      <c r="K2167">
        <v>30.53</v>
      </c>
      <c r="L2167" t="s">
        <v>5304</v>
      </c>
      <c r="M2167" s="45" t="s">
        <v>98</v>
      </c>
      <c r="N2167" s="38" t="s">
        <v>230</v>
      </c>
      <c r="O2167" s="38" t="s">
        <v>507</v>
      </c>
      <c r="P2167" s="38" t="s">
        <v>60</v>
      </c>
      <c r="Q2167" s="38" t="s">
        <v>46</v>
      </c>
      <c r="R2167" s="38" t="s">
        <v>270</v>
      </c>
      <c r="S2167" s="38" t="s">
        <v>5305</v>
      </c>
      <c r="T2167" s="38" t="s">
        <v>5306</v>
      </c>
      <c r="U2167" s="38"/>
      <c r="V2167" s="38"/>
      <c r="W2167" s="38"/>
      <c r="X2167" s="14"/>
      <c r="AI2167" s="53">
        <f>30.53</f>
        <v>30.53</v>
      </c>
      <c r="AN2167" s="7" t="s">
        <v>145</v>
      </c>
      <c r="AO2167" s="21">
        <f t="shared" si="108"/>
        <v>30.53</v>
      </c>
      <c r="AP2167" s="7">
        <f t="shared" si="107"/>
        <v>0</v>
      </c>
      <c r="AQ2167" s="31" t="str">
        <f t="shared" si="109"/>
        <v>Complete - With Adjustment</v>
      </c>
    </row>
    <row r="2168" spans="1:43" x14ac:dyDescent="0.2">
      <c r="A2168" s="46">
        <v>2158</v>
      </c>
      <c r="B2168" s="38" t="s">
        <v>266</v>
      </c>
      <c r="C2168" s="38" t="s">
        <v>504</v>
      </c>
      <c r="D2168" s="38" t="s">
        <v>805</v>
      </c>
      <c r="E2168" s="38" t="s">
        <v>5303</v>
      </c>
      <c r="F2168" s="38" t="s">
        <v>4224</v>
      </c>
      <c r="G2168" s="38" t="s">
        <v>111</v>
      </c>
      <c r="H2168" s="44">
        <v>44090</v>
      </c>
      <c r="I2168" s="44">
        <v>44092</v>
      </c>
      <c r="J2168">
        <v>379.24</v>
      </c>
      <c r="K2168">
        <v>42.16</v>
      </c>
      <c r="L2168" t="s">
        <v>5304</v>
      </c>
      <c r="M2168" s="45" t="s">
        <v>98</v>
      </c>
      <c r="N2168" s="38" t="s">
        <v>230</v>
      </c>
      <c r="O2168" s="38" t="s">
        <v>484</v>
      </c>
      <c r="P2168" s="38" t="s">
        <v>60</v>
      </c>
      <c r="Q2168" s="38" t="s">
        <v>46</v>
      </c>
      <c r="R2168" s="38" t="s">
        <v>270</v>
      </c>
      <c r="S2168" s="38" t="s">
        <v>5305</v>
      </c>
      <c r="T2168" s="38" t="s">
        <v>5308</v>
      </c>
      <c r="U2168" s="38"/>
      <c r="V2168" s="38"/>
      <c r="W2168" s="38"/>
      <c r="X2168" s="14"/>
      <c r="AI2168" s="53">
        <f>42.16</f>
        <v>42.16</v>
      </c>
      <c r="AN2168" s="7" t="s">
        <v>145</v>
      </c>
      <c r="AO2168" s="21">
        <f t="shared" si="108"/>
        <v>42.16</v>
      </c>
      <c r="AP2168" s="7">
        <f t="shared" si="107"/>
        <v>0</v>
      </c>
      <c r="AQ2168" s="31" t="str">
        <f t="shared" si="109"/>
        <v>Complete - With Adjustment</v>
      </c>
    </row>
    <row r="2169" spans="1:43" x14ac:dyDescent="0.2">
      <c r="A2169" s="46">
        <v>2159</v>
      </c>
      <c r="B2169" s="38" t="s">
        <v>266</v>
      </c>
      <c r="C2169" s="38" t="s">
        <v>504</v>
      </c>
      <c r="D2169" s="38" t="s">
        <v>805</v>
      </c>
      <c r="E2169" s="38" t="s">
        <v>5303</v>
      </c>
      <c r="F2169" s="38" t="s">
        <v>4224</v>
      </c>
      <c r="G2169" s="38" t="s">
        <v>111</v>
      </c>
      <c r="H2169" s="44">
        <v>44090</v>
      </c>
      <c r="I2169" s="44">
        <v>44092</v>
      </c>
      <c r="J2169">
        <v>379.24</v>
      </c>
      <c r="K2169">
        <v>19.100000000000001</v>
      </c>
      <c r="L2169" t="s">
        <v>5304</v>
      </c>
      <c r="M2169" s="45" t="s">
        <v>98</v>
      </c>
      <c r="N2169" s="38" t="s">
        <v>230</v>
      </c>
      <c r="O2169" s="38" t="s">
        <v>507</v>
      </c>
      <c r="P2169" s="38" t="s">
        <v>60</v>
      </c>
      <c r="Q2169" s="38" t="s">
        <v>46</v>
      </c>
      <c r="R2169" s="38" t="s">
        <v>270</v>
      </c>
      <c r="S2169" s="38" t="s">
        <v>5305</v>
      </c>
      <c r="T2169" s="38" t="s">
        <v>5306</v>
      </c>
      <c r="U2169" s="38"/>
      <c r="V2169" s="38"/>
      <c r="W2169" s="38"/>
      <c r="X2169" s="14"/>
      <c r="AI2169" s="53">
        <f>19.1</f>
        <v>19.100000000000001</v>
      </c>
      <c r="AN2169" s="7" t="s">
        <v>145</v>
      </c>
      <c r="AO2169" s="21">
        <f t="shared" si="108"/>
        <v>19.100000000000001</v>
      </c>
      <c r="AP2169" s="7">
        <f t="shared" si="107"/>
        <v>0</v>
      </c>
      <c r="AQ2169" s="31" t="str">
        <f t="shared" si="109"/>
        <v>Complete - With Adjustment</v>
      </c>
    </row>
    <row r="2170" spans="1:43" x14ac:dyDescent="0.2">
      <c r="A2170" s="46">
        <v>2160</v>
      </c>
      <c r="B2170" s="38" t="s">
        <v>266</v>
      </c>
      <c r="C2170" s="38" t="s">
        <v>504</v>
      </c>
      <c r="D2170" s="38" t="s">
        <v>805</v>
      </c>
      <c r="E2170" s="38" t="s">
        <v>5303</v>
      </c>
      <c r="F2170" s="38" t="s">
        <v>4224</v>
      </c>
      <c r="G2170" s="38" t="s">
        <v>111</v>
      </c>
      <c r="H2170" s="44">
        <v>44090</v>
      </c>
      <c r="I2170" s="44">
        <v>44092</v>
      </c>
      <c r="J2170">
        <v>379.24</v>
      </c>
      <c r="K2170">
        <v>18.3</v>
      </c>
      <c r="L2170" t="s">
        <v>5304</v>
      </c>
      <c r="M2170" s="45" t="s">
        <v>98</v>
      </c>
      <c r="N2170" s="38" t="s">
        <v>230</v>
      </c>
      <c r="O2170" s="38" t="s">
        <v>484</v>
      </c>
      <c r="P2170" s="38" t="s">
        <v>60</v>
      </c>
      <c r="Q2170" s="38" t="s">
        <v>41</v>
      </c>
      <c r="R2170" s="38" t="s">
        <v>270</v>
      </c>
      <c r="S2170" s="38" t="s">
        <v>5305</v>
      </c>
      <c r="T2170" s="38" t="s">
        <v>5307</v>
      </c>
      <c r="U2170" s="38"/>
      <c r="V2170" s="38"/>
      <c r="W2170" s="38"/>
      <c r="X2170" s="14"/>
      <c r="AN2170" s="7" t="s">
        <v>70</v>
      </c>
      <c r="AO2170" s="21">
        <f t="shared" si="108"/>
        <v>0</v>
      </c>
      <c r="AP2170" s="7">
        <f t="shared" si="107"/>
        <v>18.3</v>
      </c>
      <c r="AQ2170" s="31" t="str">
        <f t="shared" si="109"/>
        <v>Complete - No Adjustment</v>
      </c>
    </row>
    <row r="2171" spans="1:43" x14ac:dyDescent="0.2">
      <c r="A2171" s="46">
        <v>2161</v>
      </c>
      <c r="B2171" s="38" t="s">
        <v>266</v>
      </c>
      <c r="C2171" s="38" t="s">
        <v>504</v>
      </c>
      <c r="D2171" s="38" t="s">
        <v>805</v>
      </c>
      <c r="E2171" s="38" t="s">
        <v>5303</v>
      </c>
      <c r="F2171" s="38" t="s">
        <v>4224</v>
      </c>
      <c r="G2171" s="38" t="s">
        <v>111</v>
      </c>
      <c r="H2171" s="44">
        <v>44090</v>
      </c>
      <c r="I2171" s="44">
        <v>44092</v>
      </c>
      <c r="J2171">
        <v>379.24</v>
      </c>
      <c r="K2171">
        <v>18.38</v>
      </c>
      <c r="L2171" t="s">
        <v>5304</v>
      </c>
      <c r="M2171" s="45" t="s">
        <v>98</v>
      </c>
      <c r="N2171" s="38" t="s">
        <v>230</v>
      </c>
      <c r="O2171" s="38" t="s">
        <v>484</v>
      </c>
      <c r="P2171" s="38" t="s">
        <v>60</v>
      </c>
      <c r="Q2171" s="38" t="s">
        <v>41</v>
      </c>
      <c r="R2171" s="38" t="s">
        <v>270</v>
      </c>
      <c r="S2171" s="38" t="s">
        <v>5305</v>
      </c>
      <c r="T2171" s="38" t="s">
        <v>5307</v>
      </c>
      <c r="U2171" s="38"/>
      <c r="V2171" s="38"/>
      <c r="W2171" s="38"/>
      <c r="X2171" s="14"/>
      <c r="AN2171" s="7" t="s">
        <v>70</v>
      </c>
      <c r="AO2171" s="21">
        <f t="shared" si="108"/>
        <v>0</v>
      </c>
      <c r="AP2171" s="7">
        <f t="shared" si="107"/>
        <v>18.38</v>
      </c>
      <c r="AQ2171" s="31" t="str">
        <f t="shared" si="109"/>
        <v>Complete - No Adjustment</v>
      </c>
    </row>
    <row r="2172" spans="1:43" x14ac:dyDescent="0.2">
      <c r="A2172" s="46">
        <v>2162</v>
      </c>
      <c r="B2172" s="38" t="s">
        <v>266</v>
      </c>
      <c r="C2172" s="38" t="s">
        <v>504</v>
      </c>
      <c r="D2172" s="38" t="s">
        <v>805</v>
      </c>
      <c r="E2172" s="38" t="s">
        <v>5303</v>
      </c>
      <c r="F2172" s="38" t="s">
        <v>4224</v>
      </c>
      <c r="G2172" s="38" t="s">
        <v>111</v>
      </c>
      <c r="H2172" s="44">
        <v>44090</v>
      </c>
      <c r="I2172" s="44">
        <v>44092</v>
      </c>
      <c r="J2172">
        <v>379.24</v>
      </c>
      <c r="K2172">
        <v>12.27</v>
      </c>
      <c r="L2172" t="s">
        <v>5304</v>
      </c>
      <c r="M2172" s="45" t="s">
        <v>98</v>
      </c>
      <c r="N2172" s="38" t="s">
        <v>230</v>
      </c>
      <c r="O2172" s="38" t="s">
        <v>465</v>
      </c>
      <c r="P2172" s="38" t="s">
        <v>60</v>
      </c>
      <c r="Q2172" s="38" t="s">
        <v>46</v>
      </c>
      <c r="R2172" s="38" t="s">
        <v>270</v>
      </c>
      <c r="S2172" s="38" t="s">
        <v>5305</v>
      </c>
      <c r="T2172" s="38" t="s">
        <v>5309</v>
      </c>
      <c r="U2172" s="38"/>
      <c r="V2172" s="38"/>
      <c r="W2172" s="38"/>
      <c r="X2172" s="14"/>
      <c r="AI2172" s="53">
        <f>12.27</f>
        <v>12.27</v>
      </c>
      <c r="AN2172" s="7" t="s">
        <v>145</v>
      </c>
      <c r="AO2172" s="21">
        <f t="shared" si="108"/>
        <v>12.27</v>
      </c>
      <c r="AP2172" s="7">
        <f t="shared" si="107"/>
        <v>0</v>
      </c>
      <c r="AQ2172" s="31" t="str">
        <f t="shared" si="109"/>
        <v>Complete - With Adjustment</v>
      </c>
    </row>
    <row r="2173" spans="1:43" x14ac:dyDescent="0.2">
      <c r="A2173" s="46">
        <v>2163</v>
      </c>
      <c r="B2173" s="38" t="s">
        <v>266</v>
      </c>
      <c r="C2173" s="38" t="s">
        <v>504</v>
      </c>
      <c r="D2173" s="38" t="s">
        <v>805</v>
      </c>
      <c r="E2173" s="38" t="s">
        <v>5303</v>
      </c>
      <c r="F2173" s="38" t="s">
        <v>4224</v>
      </c>
      <c r="G2173" s="38" t="s">
        <v>111</v>
      </c>
      <c r="H2173" s="44">
        <v>44090</v>
      </c>
      <c r="I2173" s="44">
        <v>44092</v>
      </c>
      <c r="J2173">
        <v>379.24</v>
      </c>
      <c r="K2173">
        <v>40.53</v>
      </c>
      <c r="L2173" t="s">
        <v>5304</v>
      </c>
      <c r="M2173" s="45" t="s">
        <v>98</v>
      </c>
      <c r="N2173" s="38" t="s">
        <v>230</v>
      </c>
      <c r="O2173" s="38" t="s">
        <v>465</v>
      </c>
      <c r="P2173" s="38" t="s">
        <v>60</v>
      </c>
      <c r="Q2173" s="38" t="s">
        <v>46</v>
      </c>
      <c r="R2173" s="38" t="s">
        <v>270</v>
      </c>
      <c r="S2173" s="38" t="s">
        <v>5305</v>
      </c>
      <c r="T2173" s="38" t="s">
        <v>5309</v>
      </c>
      <c r="U2173" s="38"/>
      <c r="V2173" s="38"/>
      <c r="W2173" s="38"/>
      <c r="X2173" s="14"/>
      <c r="AI2173" s="53">
        <f>40.53</f>
        <v>40.53</v>
      </c>
      <c r="AN2173" s="7" t="s">
        <v>145</v>
      </c>
      <c r="AO2173" s="21">
        <f t="shared" si="108"/>
        <v>40.53</v>
      </c>
      <c r="AP2173" s="7">
        <f t="shared" si="107"/>
        <v>0</v>
      </c>
      <c r="AQ2173" s="31" t="str">
        <f t="shared" si="109"/>
        <v>Complete - With Adjustment</v>
      </c>
    </row>
    <row r="2174" spans="1:43" x14ac:dyDescent="0.2">
      <c r="A2174" s="46">
        <v>2164</v>
      </c>
      <c r="B2174" s="38" t="s">
        <v>266</v>
      </c>
      <c r="C2174" s="38" t="s">
        <v>504</v>
      </c>
      <c r="D2174" s="38" t="s">
        <v>805</v>
      </c>
      <c r="E2174" s="38" t="s">
        <v>5303</v>
      </c>
      <c r="F2174" s="38" t="s">
        <v>4224</v>
      </c>
      <c r="G2174" s="38" t="s">
        <v>111</v>
      </c>
      <c r="H2174" s="44">
        <v>44090</v>
      </c>
      <c r="I2174" s="44">
        <v>44092</v>
      </c>
      <c r="J2174">
        <v>379.24</v>
      </c>
      <c r="K2174">
        <v>18.02</v>
      </c>
      <c r="L2174" t="s">
        <v>5304</v>
      </c>
      <c r="M2174" s="45" t="s">
        <v>98</v>
      </c>
      <c r="N2174" s="38" t="s">
        <v>230</v>
      </c>
      <c r="O2174" s="38" t="s">
        <v>465</v>
      </c>
      <c r="P2174" s="38" t="s">
        <v>60</v>
      </c>
      <c r="Q2174" s="38" t="s">
        <v>46</v>
      </c>
      <c r="R2174" s="38" t="s">
        <v>270</v>
      </c>
      <c r="S2174" s="38" t="s">
        <v>5305</v>
      </c>
      <c r="T2174" s="38" t="s">
        <v>5309</v>
      </c>
      <c r="U2174" s="38"/>
      <c r="V2174" s="38"/>
      <c r="W2174" s="38"/>
      <c r="X2174" s="14"/>
      <c r="AI2174" s="53">
        <f>18.02</f>
        <v>18.02</v>
      </c>
      <c r="AN2174" s="7" t="s">
        <v>145</v>
      </c>
      <c r="AO2174" s="21">
        <f t="shared" si="108"/>
        <v>18.02</v>
      </c>
      <c r="AP2174" s="7">
        <f t="shared" si="107"/>
        <v>0</v>
      </c>
      <c r="AQ2174" s="31" t="str">
        <f t="shared" si="109"/>
        <v>Complete - With Adjustment</v>
      </c>
    </row>
    <row r="2175" spans="1:43" x14ac:dyDescent="0.2">
      <c r="A2175" s="46">
        <v>2165</v>
      </c>
      <c r="B2175" s="38" t="s">
        <v>266</v>
      </c>
      <c r="C2175" s="38" t="s">
        <v>504</v>
      </c>
      <c r="D2175" s="38" t="s">
        <v>805</v>
      </c>
      <c r="E2175" s="38" t="s">
        <v>5303</v>
      </c>
      <c r="F2175" s="38" t="s">
        <v>4224</v>
      </c>
      <c r="G2175" s="38" t="s">
        <v>111</v>
      </c>
      <c r="H2175" s="44">
        <v>44090</v>
      </c>
      <c r="I2175" s="44">
        <v>44092</v>
      </c>
      <c r="J2175">
        <v>379.24</v>
      </c>
      <c r="K2175">
        <v>19.86</v>
      </c>
      <c r="L2175" t="s">
        <v>5304</v>
      </c>
      <c r="M2175" s="45" t="s">
        <v>98</v>
      </c>
      <c r="N2175" s="38" t="s">
        <v>230</v>
      </c>
      <c r="O2175" s="38" t="s">
        <v>507</v>
      </c>
      <c r="P2175" s="38" t="s">
        <v>60</v>
      </c>
      <c r="Q2175" s="38" t="s">
        <v>46</v>
      </c>
      <c r="R2175" s="38" t="s">
        <v>270</v>
      </c>
      <c r="S2175" s="38" t="s">
        <v>5305</v>
      </c>
      <c r="T2175" s="38" t="s">
        <v>5310</v>
      </c>
      <c r="U2175" s="38"/>
      <c r="V2175" s="38"/>
      <c r="W2175" s="38"/>
      <c r="X2175" s="14"/>
      <c r="AB2175" s="14">
        <f>19.86-15</f>
        <v>4.8599999999999994</v>
      </c>
      <c r="AN2175" s="7" t="s">
        <v>2958</v>
      </c>
      <c r="AO2175" s="21">
        <f t="shared" si="108"/>
        <v>4.8599999999999994</v>
      </c>
      <c r="AP2175" s="7">
        <f t="shared" si="107"/>
        <v>15</v>
      </c>
      <c r="AQ2175" s="31" t="str">
        <f t="shared" si="109"/>
        <v>Complete - With Adjustment</v>
      </c>
    </row>
    <row r="2176" spans="1:43" x14ac:dyDescent="0.2">
      <c r="A2176" s="46">
        <v>2166</v>
      </c>
      <c r="B2176" s="38" t="s">
        <v>266</v>
      </c>
      <c r="C2176" s="38" t="s">
        <v>509</v>
      </c>
      <c r="D2176" s="38" t="s">
        <v>508</v>
      </c>
      <c r="E2176" s="38" t="s">
        <v>5311</v>
      </c>
      <c r="F2176" s="38" t="s">
        <v>4358</v>
      </c>
      <c r="G2176" s="38" t="s">
        <v>111</v>
      </c>
      <c r="H2176" s="44">
        <v>44090</v>
      </c>
      <c r="I2176" s="44">
        <v>44098</v>
      </c>
      <c r="J2176">
        <v>15</v>
      </c>
      <c r="K2176">
        <v>15</v>
      </c>
      <c r="L2176" t="s">
        <v>5312</v>
      </c>
      <c r="M2176" s="45" t="s">
        <v>98</v>
      </c>
      <c r="N2176" s="38" t="s">
        <v>230</v>
      </c>
      <c r="O2176" s="38" t="s">
        <v>472</v>
      </c>
      <c r="P2176" s="38" t="s">
        <v>60</v>
      </c>
      <c r="Q2176" s="38" t="s">
        <v>41</v>
      </c>
      <c r="R2176" s="38" t="s">
        <v>270</v>
      </c>
      <c r="S2176" s="38" t="s">
        <v>5313</v>
      </c>
      <c r="T2176" s="38" t="s">
        <v>5314</v>
      </c>
      <c r="U2176" s="38"/>
      <c r="V2176" s="38"/>
      <c r="W2176" s="38"/>
      <c r="X2176" s="14"/>
      <c r="AN2176" s="7" t="s">
        <v>4219</v>
      </c>
      <c r="AO2176" s="21">
        <f t="shared" si="108"/>
        <v>0</v>
      </c>
      <c r="AP2176" s="7">
        <f t="shared" si="107"/>
        <v>15</v>
      </c>
      <c r="AQ2176" s="31" t="str">
        <f t="shared" si="109"/>
        <v>Complete - No Adjustment</v>
      </c>
    </row>
    <row r="2177" spans="1:43" x14ac:dyDescent="0.2">
      <c r="A2177" s="46">
        <v>2167</v>
      </c>
      <c r="B2177" s="38" t="s">
        <v>266</v>
      </c>
      <c r="C2177" s="38" t="s">
        <v>579</v>
      </c>
      <c r="D2177" s="38" t="s">
        <v>578</v>
      </c>
      <c r="E2177" s="38" t="s">
        <v>5315</v>
      </c>
      <c r="F2177" s="38" t="s">
        <v>4238</v>
      </c>
      <c r="G2177" s="38" t="s">
        <v>111</v>
      </c>
      <c r="H2177" s="44">
        <v>44090</v>
      </c>
      <c r="I2177" s="44">
        <v>44102</v>
      </c>
      <c r="J2177">
        <v>13.85</v>
      </c>
      <c r="K2177">
        <v>6.92</v>
      </c>
      <c r="L2177" t="s">
        <v>5316</v>
      </c>
      <c r="M2177" s="45" t="s">
        <v>98</v>
      </c>
      <c r="N2177" s="38" t="s">
        <v>230</v>
      </c>
      <c r="O2177" s="38" t="s">
        <v>294</v>
      </c>
      <c r="P2177" s="38" t="s">
        <v>60</v>
      </c>
      <c r="Q2177" s="38" t="s">
        <v>41</v>
      </c>
      <c r="R2177" s="38" t="s">
        <v>270</v>
      </c>
      <c r="S2177" s="38" t="s">
        <v>4316</v>
      </c>
      <c r="T2177" s="38" t="s">
        <v>4317</v>
      </c>
      <c r="U2177" s="38"/>
      <c r="V2177" s="38"/>
      <c r="W2177" s="38"/>
      <c r="X2177" s="14"/>
      <c r="AN2177" s="7" t="s">
        <v>4219</v>
      </c>
      <c r="AO2177" s="21">
        <f t="shared" si="108"/>
        <v>0</v>
      </c>
      <c r="AP2177" s="7">
        <f t="shared" si="107"/>
        <v>6.92</v>
      </c>
      <c r="AQ2177" s="31" t="str">
        <f t="shared" si="109"/>
        <v>Complete - No Adjustment</v>
      </c>
    </row>
    <row r="2178" spans="1:43" x14ac:dyDescent="0.2">
      <c r="A2178" s="46">
        <v>2168</v>
      </c>
      <c r="B2178" s="38" t="s">
        <v>266</v>
      </c>
      <c r="C2178" s="38" t="s">
        <v>579</v>
      </c>
      <c r="D2178" s="38" t="s">
        <v>578</v>
      </c>
      <c r="E2178" s="38" t="s">
        <v>5315</v>
      </c>
      <c r="F2178" s="38" t="s">
        <v>4238</v>
      </c>
      <c r="G2178" s="38" t="s">
        <v>111</v>
      </c>
      <c r="H2178" s="44">
        <v>44090</v>
      </c>
      <c r="I2178" s="44">
        <v>44102</v>
      </c>
      <c r="J2178">
        <v>13.85</v>
      </c>
      <c r="K2178">
        <v>6.93</v>
      </c>
      <c r="L2178" t="s">
        <v>5316</v>
      </c>
      <c r="M2178" s="45" t="s">
        <v>98</v>
      </c>
      <c r="N2178" s="38" t="s">
        <v>230</v>
      </c>
      <c r="O2178" s="38" t="s">
        <v>297</v>
      </c>
      <c r="P2178" s="38" t="s">
        <v>60</v>
      </c>
      <c r="Q2178" s="38" t="s">
        <v>41</v>
      </c>
      <c r="R2178" s="38" t="s">
        <v>270</v>
      </c>
      <c r="S2178" s="38" t="s">
        <v>4316</v>
      </c>
      <c r="T2178" s="38" t="s">
        <v>4317</v>
      </c>
      <c r="U2178" s="38"/>
      <c r="V2178" s="38"/>
      <c r="W2178" s="38"/>
      <c r="X2178" s="14"/>
      <c r="AN2178" s="7" t="s">
        <v>4219</v>
      </c>
      <c r="AO2178" s="21">
        <f t="shared" si="108"/>
        <v>0</v>
      </c>
      <c r="AP2178" s="7">
        <f t="shared" si="107"/>
        <v>6.93</v>
      </c>
      <c r="AQ2178" s="31" t="str">
        <f t="shared" si="109"/>
        <v>Complete - No Adjustment</v>
      </c>
    </row>
    <row r="2179" spans="1:43" x14ac:dyDescent="0.2">
      <c r="A2179" s="46">
        <v>2169</v>
      </c>
      <c r="B2179" s="38" t="s">
        <v>266</v>
      </c>
      <c r="C2179" s="38" t="s">
        <v>511</v>
      </c>
      <c r="D2179" s="38" t="s">
        <v>510</v>
      </c>
      <c r="E2179" s="38" t="s">
        <v>5317</v>
      </c>
      <c r="F2179" s="38" t="s">
        <v>4238</v>
      </c>
      <c r="G2179" s="38" t="s">
        <v>111</v>
      </c>
      <c r="H2179" s="44">
        <v>44074</v>
      </c>
      <c r="I2179" s="44">
        <v>44102</v>
      </c>
      <c r="J2179">
        <v>15</v>
      </c>
      <c r="K2179">
        <v>15</v>
      </c>
      <c r="L2179" t="s">
        <v>5318</v>
      </c>
      <c r="M2179" s="45" t="s">
        <v>98</v>
      </c>
      <c r="N2179" s="38" t="s">
        <v>230</v>
      </c>
      <c r="O2179" s="38" t="s">
        <v>320</v>
      </c>
      <c r="P2179" s="38" t="s">
        <v>60</v>
      </c>
      <c r="Q2179" s="38" t="s">
        <v>41</v>
      </c>
      <c r="R2179" s="38" t="s">
        <v>270</v>
      </c>
      <c r="S2179" s="38" t="s">
        <v>5319</v>
      </c>
      <c r="T2179" s="38" t="s">
        <v>5320</v>
      </c>
      <c r="U2179" s="38"/>
      <c r="V2179" s="38"/>
      <c r="W2179" s="38"/>
      <c r="X2179" s="14"/>
      <c r="AI2179" s="53">
        <f>15</f>
        <v>15</v>
      </c>
      <c r="AN2179" s="7" t="s">
        <v>145</v>
      </c>
      <c r="AO2179" s="21">
        <f t="shared" si="108"/>
        <v>15</v>
      </c>
      <c r="AP2179" s="7">
        <f t="shared" si="107"/>
        <v>0</v>
      </c>
      <c r="AQ2179" s="31" t="str">
        <f t="shared" si="109"/>
        <v>Complete - With Adjustment</v>
      </c>
    </row>
    <row r="2180" spans="1:43" x14ac:dyDescent="0.2">
      <c r="A2180" s="46">
        <v>2170</v>
      </c>
      <c r="B2180" s="38" t="s">
        <v>266</v>
      </c>
      <c r="C2180" s="38" t="s">
        <v>511</v>
      </c>
      <c r="D2180" s="38" t="s">
        <v>510</v>
      </c>
      <c r="E2180" s="38" t="s">
        <v>5321</v>
      </c>
      <c r="F2180" s="38" t="s">
        <v>4238</v>
      </c>
      <c r="G2180" s="38" t="s">
        <v>111</v>
      </c>
      <c r="H2180" s="44">
        <v>44096</v>
      </c>
      <c r="I2180" s="44">
        <v>44102</v>
      </c>
      <c r="J2180">
        <v>15</v>
      </c>
      <c r="K2180">
        <v>15</v>
      </c>
      <c r="L2180" t="s">
        <v>5322</v>
      </c>
      <c r="M2180" s="45" t="s">
        <v>98</v>
      </c>
      <c r="N2180" s="38" t="s">
        <v>230</v>
      </c>
      <c r="O2180" s="38" t="s">
        <v>320</v>
      </c>
      <c r="P2180" s="38" t="s">
        <v>60</v>
      </c>
      <c r="Q2180" s="38" t="s">
        <v>46</v>
      </c>
      <c r="R2180" s="38" t="s">
        <v>270</v>
      </c>
      <c r="S2180" s="38" t="s">
        <v>5323</v>
      </c>
      <c r="T2180" s="38" t="s">
        <v>5324</v>
      </c>
      <c r="U2180" s="38"/>
      <c r="V2180" s="38"/>
      <c r="W2180" s="38"/>
      <c r="X2180" s="14"/>
      <c r="AI2180" s="53">
        <f>15</f>
        <v>15</v>
      </c>
      <c r="AN2180" s="7" t="s">
        <v>145</v>
      </c>
      <c r="AO2180" s="21">
        <f t="shared" si="108"/>
        <v>15</v>
      </c>
      <c r="AP2180" s="7">
        <f t="shared" si="107"/>
        <v>0</v>
      </c>
      <c r="AQ2180" s="31" t="str">
        <f t="shared" si="109"/>
        <v>Complete - With Adjustment</v>
      </c>
    </row>
    <row r="2181" spans="1:43" x14ac:dyDescent="0.2">
      <c r="A2181" s="46">
        <v>2171</v>
      </c>
      <c r="B2181" s="38" t="s">
        <v>266</v>
      </c>
      <c r="C2181" s="38" t="s">
        <v>665</v>
      </c>
      <c r="D2181" s="38" t="s">
        <v>664</v>
      </c>
      <c r="E2181" s="38" t="s">
        <v>5325</v>
      </c>
      <c r="F2181" s="38" t="s">
        <v>4215</v>
      </c>
      <c r="G2181" s="38" t="s">
        <v>111</v>
      </c>
      <c r="H2181" s="44">
        <v>44091</v>
      </c>
      <c r="I2181" s="44">
        <v>44096</v>
      </c>
      <c r="J2181">
        <v>16.78</v>
      </c>
      <c r="K2181">
        <v>16.78</v>
      </c>
      <c r="L2181" t="s">
        <v>5326</v>
      </c>
      <c r="M2181" s="45" t="s">
        <v>98</v>
      </c>
      <c r="N2181" s="38" t="s">
        <v>230</v>
      </c>
      <c r="O2181" s="38" t="s">
        <v>78</v>
      </c>
      <c r="P2181" s="38" t="s">
        <v>60</v>
      </c>
      <c r="Q2181" s="38" t="s">
        <v>41</v>
      </c>
      <c r="R2181" s="38" t="s">
        <v>270</v>
      </c>
      <c r="S2181" s="38" t="s">
        <v>5327</v>
      </c>
      <c r="T2181" s="38" t="s">
        <v>5328</v>
      </c>
      <c r="U2181" s="38"/>
      <c r="V2181" s="38"/>
      <c r="W2181" s="38"/>
      <c r="X2181" s="14"/>
      <c r="AN2181" s="7" t="s">
        <v>4219</v>
      </c>
      <c r="AO2181" s="21">
        <f t="shared" si="108"/>
        <v>0</v>
      </c>
      <c r="AP2181" s="7">
        <f t="shared" si="107"/>
        <v>16.78</v>
      </c>
      <c r="AQ2181" s="31" t="str">
        <f t="shared" si="109"/>
        <v>Complete - No Adjustment</v>
      </c>
    </row>
    <row r="2182" spans="1:43" x14ac:dyDescent="0.2">
      <c r="A2182" s="46">
        <v>2172</v>
      </c>
      <c r="B2182" s="38" t="s">
        <v>266</v>
      </c>
      <c r="C2182" s="38" t="s">
        <v>833</v>
      </c>
      <c r="D2182" s="38" t="s">
        <v>834</v>
      </c>
      <c r="E2182" s="38" t="s">
        <v>5358</v>
      </c>
      <c r="F2182" s="38" t="s">
        <v>5352</v>
      </c>
      <c r="G2182" s="38" t="s">
        <v>111</v>
      </c>
      <c r="H2182" s="44">
        <v>44109</v>
      </c>
      <c r="I2182" s="44">
        <v>44119</v>
      </c>
      <c r="J2182">
        <v>10.8</v>
      </c>
      <c r="K2182">
        <v>10.8</v>
      </c>
      <c r="L2182" t="s">
        <v>5359</v>
      </c>
      <c r="M2182" s="45" t="s">
        <v>98</v>
      </c>
      <c r="N2182" s="38" t="s">
        <v>230</v>
      </c>
      <c r="O2182" s="38" t="s">
        <v>323</v>
      </c>
      <c r="P2182" s="38" t="s">
        <v>60</v>
      </c>
      <c r="Q2182" s="38" t="s">
        <v>41</v>
      </c>
      <c r="R2182" s="38" t="s">
        <v>270</v>
      </c>
      <c r="S2182" s="38" t="s">
        <v>5360</v>
      </c>
      <c r="T2182" s="38" t="s">
        <v>5361</v>
      </c>
      <c r="U2182" s="38"/>
      <c r="V2182" s="38"/>
      <c r="W2182" s="38"/>
      <c r="X2182" s="14"/>
      <c r="AN2182" s="7" t="s">
        <v>70</v>
      </c>
      <c r="AO2182" s="21">
        <f t="shared" ref="AO2182:AO2245" si="110">SUM(Y2182:AL2182)</f>
        <v>0</v>
      </c>
      <c r="AP2182" s="7">
        <f t="shared" ref="AP2182:AP2245" si="111">K2182-AO2182</f>
        <v>10.8</v>
      </c>
      <c r="AQ2182" s="31" t="str">
        <f t="shared" ref="AQ2182:AQ2245" si="112">IF(AO2182&lt;&gt;0,"Complete - With Adjustment","Complete - No Adjustment")</f>
        <v>Complete - No Adjustment</v>
      </c>
    </row>
    <row r="2183" spans="1:43" x14ac:dyDescent="0.2">
      <c r="A2183" s="46">
        <v>2173</v>
      </c>
      <c r="B2183" s="38" t="s">
        <v>266</v>
      </c>
      <c r="C2183" s="38" t="s">
        <v>833</v>
      </c>
      <c r="D2183" s="38" t="s">
        <v>834</v>
      </c>
      <c r="E2183" s="38" t="s">
        <v>5362</v>
      </c>
      <c r="F2183" s="38" t="s">
        <v>5352</v>
      </c>
      <c r="G2183" s="38" t="s">
        <v>111</v>
      </c>
      <c r="H2183" s="44">
        <v>44117</v>
      </c>
      <c r="I2183" s="44">
        <v>44119</v>
      </c>
      <c r="J2183">
        <v>12.32</v>
      </c>
      <c r="K2183">
        <v>12.32</v>
      </c>
      <c r="L2183" t="s">
        <v>5363</v>
      </c>
      <c r="M2183" s="45" t="s">
        <v>98</v>
      </c>
      <c r="N2183" s="38" t="s">
        <v>230</v>
      </c>
      <c r="O2183" s="38" t="s">
        <v>323</v>
      </c>
      <c r="P2183" s="38" t="s">
        <v>60</v>
      </c>
      <c r="Q2183" s="38" t="s">
        <v>41</v>
      </c>
      <c r="R2183" s="38" t="s">
        <v>270</v>
      </c>
      <c r="S2183" s="38" t="s">
        <v>5364</v>
      </c>
      <c r="T2183" s="38" t="s">
        <v>5365</v>
      </c>
      <c r="U2183" s="38"/>
      <c r="V2183" s="38"/>
      <c r="W2183" s="38"/>
      <c r="X2183" s="14"/>
      <c r="AN2183" s="7" t="s">
        <v>70</v>
      </c>
      <c r="AO2183" s="21">
        <f t="shared" si="110"/>
        <v>0</v>
      </c>
      <c r="AP2183" s="7">
        <f t="shared" si="111"/>
        <v>12.32</v>
      </c>
      <c r="AQ2183" s="31" t="str">
        <f t="shared" si="112"/>
        <v>Complete - No Adjustment</v>
      </c>
    </row>
    <row r="2184" spans="1:43" x14ac:dyDescent="0.2">
      <c r="A2184" s="46">
        <v>2174</v>
      </c>
      <c r="B2184" s="38" t="s">
        <v>266</v>
      </c>
      <c r="C2184" s="38" t="s">
        <v>5366</v>
      </c>
      <c r="D2184" s="38" t="s">
        <v>5367</v>
      </c>
      <c r="E2184" s="38" t="s">
        <v>5368</v>
      </c>
      <c r="F2184" s="38" t="s">
        <v>5369</v>
      </c>
      <c r="G2184" s="38" t="s">
        <v>111</v>
      </c>
      <c r="H2184" s="44">
        <v>44103</v>
      </c>
      <c r="I2184" s="44">
        <v>44109</v>
      </c>
      <c r="J2184">
        <v>52</v>
      </c>
      <c r="K2184">
        <v>52</v>
      </c>
      <c r="L2184" t="s">
        <v>5370</v>
      </c>
      <c r="M2184" s="45" t="s">
        <v>98</v>
      </c>
      <c r="N2184" s="38" t="s">
        <v>230</v>
      </c>
      <c r="O2184" s="38" t="s">
        <v>404</v>
      </c>
      <c r="P2184" s="38" t="s">
        <v>60</v>
      </c>
      <c r="Q2184" s="38" t="s">
        <v>48</v>
      </c>
      <c r="R2184" s="38" t="s">
        <v>270</v>
      </c>
      <c r="S2184" s="38" t="s">
        <v>5371</v>
      </c>
      <c r="T2184" s="38" t="s">
        <v>5372</v>
      </c>
      <c r="U2184" s="38"/>
      <c r="V2184" s="38"/>
      <c r="W2184" s="38"/>
      <c r="X2184" s="14"/>
      <c r="AN2184" s="7" t="s">
        <v>70</v>
      </c>
      <c r="AO2184" s="21">
        <f t="shared" si="110"/>
        <v>0</v>
      </c>
      <c r="AP2184" s="7">
        <f t="shared" si="111"/>
        <v>52</v>
      </c>
      <c r="AQ2184" s="31" t="str">
        <f t="shared" si="112"/>
        <v>Complete - No Adjustment</v>
      </c>
    </row>
    <row r="2185" spans="1:43" x14ac:dyDescent="0.2">
      <c r="A2185" s="46">
        <v>2175</v>
      </c>
      <c r="B2185" s="38" t="s">
        <v>266</v>
      </c>
      <c r="C2185" s="38" t="s">
        <v>276</v>
      </c>
      <c r="D2185" s="38" t="s">
        <v>275</v>
      </c>
      <c r="E2185" s="38" t="s">
        <v>5373</v>
      </c>
      <c r="F2185" s="38" t="s">
        <v>5374</v>
      </c>
      <c r="G2185" s="38" t="s">
        <v>111</v>
      </c>
      <c r="H2185" s="44">
        <v>43847</v>
      </c>
      <c r="I2185" s="44">
        <v>44118</v>
      </c>
      <c r="J2185">
        <v>871.47</v>
      </c>
      <c r="K2185">
        <v>13.53</v>
      </c>
      <c r="L2185" t="s">
        <v>5375</v>
      </c>
      <c r="M2185" s="45" t="s">
        <v>98</v>
      </c>
      <c r="N2185" s="38" t="s">
        <v>230</v>
      </c>
      <c r="O2185" s="38" t="s">
        <v>277</v>
      </c>
      <c r="P2185" s="38" t="s">
        <v>60</v>
      </c>
      <c r="Q2185" s="38" t="s">
        <v>41</v>
      </c>
      <c r="R2185" s="38" t="s">
        <v>270</v>
      </c>
      <c r="S2185" s="38" t="s">
        <v>5376</v>
      </c>
      <c r="T2185" s="38" t="s">
        <v>5377</v>
      </c>
      <c r="U2185" s="38"/>
      <c r="V2185" s="38"/>
      <c r="W2185" s="38"/>
      <c r="X2185" s="14"/>
      <c r="AN2185" s="7" t="s">
        <v>70</v>
      </c>
      <c r="AO2185" s="21">
        <f t="shared" si="110"/>
        <v>0</v>
      </c>
      <c r="AP2185" s="7">
        <f t="shared" si="111"/>
        <v>13.53</v>
      </c>
      <c r="AQ2185" s="31" t="str">
        <f t="shared" si="112"/>
        <v>Complete - No Adjustment</v>
      </c>
    </row>
    <row r="2186" spans="1:43" x14ac:dyDescent="0.2">
      <c r="A2186" s="46">
        <v>2176</v>
      </c>
      <c r="B2186" s="38" t="s">
        <v>266</v>
      </c>
      <c r="C2186" s="38" t="s">
        <v>276</v>
      </c>
      <c r="D2186" s="38" t="s">
        <v>275</v>
      </c>
      <c r="E2186" s="38" t="s">
        <v>5373</v>
      </c>
      <c r="F2186" s="38" t="s">
        <v>5374</v>
      </c>
      <c r="G2186" s="38" t="s">
        <v>111</v>
      </c>
      <c r="H2186" s="44">
        <v>43847</v>
      </c>
      <c r="I2186" s="44">
        <v>44118</v>
      </c>
      <c r="J2186">
        <v>871.47</v>
      </c>
      <c r="K2186">
        <v>612.77</v>
      </c>
      <c r="L2186" t="s">
        <v>5375</v>
      </c>
      <c r="M2186" s="45" t="s">
        <v>98</v>
      </c>
      <c r="N2186" s="38" t="s">
        <v>230</v>
      </c>
      <c r="O2186" s="38" t="s">
        <v>277</v>
      </c>
      <c r="P2186" s="38" t="s">
        <v>60</v>
      </c>
      <c r="Q2186" s="38" t="s">
        <v>44</v>
      </c>
      <c r="R2186" s="38" t="s">
        <v>270</v>
      </c>
      <c r="S2186" s="38" t="s">
        <v>5376</v>
      </c>
      <c r="T2186" s="38" t="s">
        <v>5378</v>
      </c>
      <c r="U2186" s="38"/>
      <c r="V2186" s="38"/>
      <c r="W2186" s="38"/>
      <c r="X2186" s="14"/>
      <c r="AN2186" s="7" t="s">
        <v>70</v>
      </c>
      <c r="AO2186" s="21">
        <f t="shared" si="110"/>
        <v>0</v>
      </c>
      <c r="AP2186" s="7">
        <f t="shared" si="111"/>
        <v>612.77</v>
      </c>
      <c r="AQ2186" s="31" t="str">
        <f t="shared" si="112"/>
        <v>Complete - No Adjustment</v>
      </c>
    </row>
    <row r="2187" spans="1:43" x14ac:dyDescent="0.2">
      <c r="A2187" s="46">
        <v>2177</v>
      </c>
      <c r="B2187" s="38" t="s">
        <v>266</v>
      </c>
      <c r="C2187" s="38" t="s">
        <v>276</v>
      </c>
      <c r="D2187" s="38" t="s">
        <v>275</v>
      </c>
      <c r="E2187" s="38" t="s">
        <v>5373</v>
      </c>
      <c r="F2187" s="38" t="s">
        <v>5374</v>
      </c>
      <c r="G2187" s="38" t="s">
        <v>111</v>
      </c>
      <c r="H2187" s="44">
        <v>43847</v>
      </c>
      <c r="I2187" s="44">
        <v>44118</v>
      </c>
      <c r="J2187">
        <v>871.47</v>
      </c>
      <c r="K2187">
        <v>20.7</v>
      </c>
      <c r="L2187" t="s">
        <v>5375</v>
      </c>
      <c r="M2187" s="45" t="s">
        <v>98</v>
      </c>
      <c r="N2187" s="38" t="s">
        <v>230</v>
      </c>
      <c r="O2187" s="38" t="s">
        <v>277</v>
      </c>
      <c r="P2187" s="38" t="s">
        <v>60</v>
      </c>
      <c r="Q2187" s="38" t="s">
        <v>44</v>
      </c>
      <c r="R2187" s="38" t="s">
        <v>270</v>
      </c>
      <c r="S2187" s="38" t="s">
        <v>5376</v>
      </c>
      <c r="T2187" s="38" t="s">
        <v>5379</v>
      </c>
      <c r="U2187" s="38"/>
      <c r="V2187" s="38"/>
      <c r="W2187" s="38"/>
      <c r="X2187" s="14"/>
      <c r="AN2187" s="7" t="s">
        <v>70</v>
      </c>
      <c r="AO2187" s="21">
        <f t="shared" si="110"/>
        <v>0</v>
      </c>
      <c r="AP2187" s="7">
        <f t="shared" si="111"/>
        <v>20.7</v>
      </c>
      <c r="AQ2187" s="31" t="str">
        <f t="shared" si="112"/>
        <v>Complete - No Adjustment</v>
      </c>
    </row>
    <row r="2188" spans="1:43" x14ac:dyDescent="0.2">
      <c r="A2188" s="46">
        <v>2178</v>
      </c>
      <c r="B2188" s="38" t="s">
        <v>266</v>
      </c>
      <c r="C2188" s="38" t="s">
        <v>276</v>
      </c>
      <c r="D2188" s="38" t="s">
        <v>275</v>
      </c>
      <c r="E2188" s="38" t="s">
        <v>5373</v>
      </c>
      <c r="F2188" s="38" t="s">
        <v>5374</v>
      </c>
      <c r="G2188" s="38" t="s">
        <v>111</v>
      </c>
      <c r="H2188" s="44">
        <v>43847</v>
      </c>
      <c r="I2188" s="44">
        <v>44118</v>
      </c>
      <c r="J2188">
        <v>871.47</v>
      </c>
      <c r="K2188">
        <v>157.35</v>
      </c>
      <c r="L2188" t="s">
        <v>5375</v>
      </c>
      <c r="M2188" s="45" t="s">
        <v>98</v>
      </c>
      <c r="N2188" s="38" t="s">
        <v>230</v>
      </c>
      <c r="O2188" s="38" t="s">
        <v>277</v>
      </c>
      <c r="P2188" s="38" t="s">
        <v>60</v>
      </c>
      <c r="Q2188" s="38" t="s">
        <v>45</v>
      </c>
      <c r="R2188" s="38" t="s">
        <v>270</v>
      </c>
      <c r="S2188" s="38" t="s">
        <v>5376</v>
      </c>
      <c r="T2188" s="38" t="s">
        <v>5380</v>
      </c>
      <c r="U2188" s="38"/>
      <c r="V2188" s="38"/>
      <c r="W2188" s="38"/>
      <c r="X2188" s="14"/>
      <c r="AN2188" s="7" t="s">
        <v>70</v>
      </c>
      <c r="AO2188" s="21">
        <f t="shared" si="110"/>
        <v>0</v>
      </c>
      <c r="AP2188" s="7">
        <f t="shared" si="111"/>
        <v>157.35</v>
      </c>
      <c r="AQ2188" s="31" t="str">
        <f t="shared" si="112"/>
        <v>Complete - No Adjustment</v>
      </c>
    </row>
    <row r="2189" spans="1:43" x14ac:dyDescent="0.2">
      <c r="A2189" s="46">
        <v>2179</v>
      </c>
      <c r="B2189" s="38" t="s">
        <v>266</v>
      </c>
      <c r="C2189" s="38" t="s">
        <v>276</v>
      </c>
      <c r="D2189" s="38" t="s">
        <v>275</v>
      </c>
      <c r="E2189" s="38" t="s">
        <v>5373</v>
      </c>
      <c r="F2189" s="38" t="s">
        <v>5374</v>
      </c>
      <c r="G2189" s="38" t="s">
        <v>111</v>
      </c>
      <c r="H2189" s="44">
        <v>43847</v>
      </c>
      <c r="I2189" s="44">
        <v>44118</v>
      </c>
      <c r="J2189">
        <v>871.47</v>
      </c>
      <c r="K2189">
        <v>67.12</v>
      </c>
      <c r="L2189" t="s">
        <v>5375</v>
      </c>
      <c r="M2189" s="45" t="s">
        <v>98</v>
      </c>
      <c r="N2189" s="38" t="s">
        <v>230</v>
      </c>
      <c r="O2189" s="38" t="s">
        <v>277</v>
      </c>
      <c r="P2189" s="38" t="s">
        <v>60</v>
      </c>
      <c r="Q2189" s="38" t="s">
        <v>44</v>
      </c>
      <c r="R2189" s="38" t="s">
        <v>270</v>
      </c>
      <c r="S2189" s="38" t="s">
        <v>5376</v>
      </c>
      <c r="T2189" s="38" t="s">
        <v>5381</v>
      </c>
      <c r="U2189" s="38"/>
      <c r="V2189" s="38"/>
      <c r="W2189" s="38"/>
      <c r="X2189" s="14"/>
      <c r="AN2189" s="7" t="s">
        <v>70</v>
      </c>
      <c r="AO2189" s="21">
        <f t="shared" si="110"/>
        <v>0</v>
      </c>
      <c r="AP2189" s="7">
        <f t="shared" si="111"/>
        <v>67.12</v>
      </c>
      <c r="AQ2189" s="31" t="str">
        <f t="shared" si="112"/>
        <v>Complete - No Adjustment</v>
      </c>
    </row>
    <row r="2190" spans="1:43" x14ac:dyDescent="0.2">
      <c r="A2190" s="46">
        <v>2180</v>
      </c>
      <c r="B2190" s="38" t="s">
        <v>266</v>
      </c>
      <c r="C2190" s="38" t="s">
        <v>279</v>
      </c>
      <c r="D2190" s="38" t="s">
        <v>278</v>
      </c>
      <c r="E2190" s="38" t="s">
        <v>5382</v>
      </c>
      <c r="F2190" s="38" t="s">
        <v>5383</v>
      </c>
      <c r="G2190" s="38" t="s">
        <v>111</v>
      </c>
      <c r="H2190" s="44">
        <v>44113</v>
      </c>
      <c r="I2190" s="44">
        <v>44126</v>
      </c>
      <c r="J2190">
        <v>162.51</v>
      </c>
      <c r="K2190">
        <v>162.51</v>
      </c>
      <c r="L2190" t="s">
        <v>5384</v>
      </c>
      <c r="M2190" s="45" t="s">
        <v>98</v>
      </c>
      <c r="N2190" s="38" t="s">
        <v>230</v>
      </c>
      <c r="O2190" s="38" t="s">
        <v>280</v>
      </c>
      <c r="P2190" s="38" t="s">
        <v>60</v>
      </c>
      <c r="Q2190" s="38" t="s">
        <v>59</v>
      </c>
      <c r="R2190" s="38" t="s">
        <v>270</v>
      </c>
      <c r="S2190" s="38" t="s">
        <v>5385</v>
      </c>
      <c r="T2190" s="38" t="s">
        <v>5386</v>
      </c>
      <c r="U2190" s="38"/>
      <c r="V2190" s="38"/>
      <c r="W2190" s="38"/>
      <c r="X2190" s="14"/>
      <c r="AN2190" s="7" t="s">
        <v>70</v>
      </c>
      <c r="AO2190" s="21">
        <f t="shared" si="110"/>
        <v>0</v>
      </c>
      <c r="AP2190" s="7">
        <f t="shared" si="111"/>
        <v>162.51</v>
      </c>
      <c r="AQ2190" s="31" t="str">
        <f t="shared" si="112"/>
        <v>Complete - No Adjustment</v>
      </c>
    </row>
    <row r="2191" spans="1:43" x14ac:dyDescent="0.2">
      <c r="A2191" s="46">
        <v>2181</v>
      </c>
      <c r="B2191" s="38" t="s">
        <v>266</v>
      </c>
      <c r="C2191" s="38" t="s">
        <v>283</v>
      </c>
      <c r="D2191" s="38" t="s">
        <v>282</v>
      </c>
      <c r="E2191" s="38" t="s">
        <v>5387</v>
      </c>
      <c r="F2191" s="38" t="s">
        <v>5388</v>
      </c>
      <c r="G2191" s="38" t="s">
        <v>111</v>
      </c>
      <c r="H2191" s="44">
        <v>44103</v>
      </c>
      <c r="I2191" s="44">
        <v>44105</v>
      </c>
      <c r="J2191">
        <v>12288.79</v>
      </c>
      <c r="K2191">
        <v>1.31</v>
      </c>
      <c r="L2191" t="s">
        <v>5389</v>
      </c>
      <c r="M2191" s="45" t="s">
        <v>97</v>
      </c>
      <c r="N2191" s="38" t="s">
        <v>230</v>
      </c>
      <c r="O2191" s="38" t="s">
        <v>284</v>
      </c>
      <c r="P2191" s="38" t="s">
        <v>64</v>
      </c>
      <c r="Q2191" s="38" t="s">
        <v>41</v>
      </c>
      <c r="R2191" s="38" t="s">
        <v>270</v>
      </c>
      <c r="S2191" s="38" t="s">
        <v>5390</v>
      </c>
      <c r="T2191" s="38" t="s">
        <v>5391</v>
      </c>
      <c r="U2191" s="38"/>
      <c r="V2191" s="38"/>
      <c r="W2191" s="38"/>
      <c r="X2191" s="14"/>
      <c r="AG2191" s="53">
        <f>1.31</f>
        <v>1.31</v>
      </c>
      <c r="AN2191" s="7" t="s">
        <v>69</v>
      </c>
      <c r="AO2191" s="21">
        <f t="shared" si="110"/>
        <v>1.31</v>
      </c>
      <c r="AP2191" s="7">
        <f t="shared" si="111"/>
        <v>0</v>
      </c>
      <c r="AQ2191" s="31" t="str">
        <f t="shared" si="112"/>
        <v>Complete - With Adjustment</v>
      </c>
    </row>
    <row r="2192" spans="1:43" x14ac:dyDescent="0.2">
      <c r="A2192" s="46">
        <v>2182</v>
      </c>
      <c r="B2192" s="38" t="s">
        <v>266</v>
      </c>
      <c r="C2192" s="38" t="s">
        <v>283</v>
      </c>
      <c r="D2192" s="38" t="s">
        <v>282</v>
      </c>
      <c r="E2192" s="38" t="s">
        <v>5387</v>
      </c>
      <c r="F2192" s="38" t="s">
        <v>5388</v>
      </c>
      <c r="G2192" s="38" t="s">
        <v>111</v>
      </c>
      <c r="H2192" s="44">
        <v>44103</v>
      </c>
      <c r="I2192" s="44">
        <v>44105</v>
      </c>
      <c r="J2192">
        <v>12288.79</v>
      </c>
      <c r="K2192">
        <v>27.28</v>
      </c>
      <c r="L2192" t="s">
        <v>5389</v>
      </c>
      <c r="M2192" s="45" t="s">
        <v>98</v>
      </c>
      <c r="N2192" s="38" t="s">
        <v>230</v>
      </c>
      <c r="O2192" s="38" t="s">
        <v>284</v>
      </c>
      <c r="P2192" s="38" t="s">
        <v>60</v>
      </c>
      <c r="Q2192" s="38" t="s">
        <v>41</v>
      </c>
      <c r="R2192" s="38" t="s">
        <v>270</v>
      </c>
      <c r="S2192" s="38" t="s">
        <v>5390</v>
      </c>
      <c r="T2192" s="38" t="s">
        <v>5392</v>
      </c>
      <c r="U2192" s="38"/>
      <c r="V2192" s="38"/>
      <c r="W2192" s="38"/>
      <c r="X2192" s="14"/>
      <c r="AB2192" s="14">
        <f>19.9-15</f>
        <v>4.8999999999999986</v>
      </c>
      <c r="AN2192" s="7" t="s">
        <v>4257</v>
      </c>
      <c r="AO2192" s="21">
        <f t="shared" si="110"/>
        <v>4.8999999999999986</v>
      </c>
      <c r="AP2192" s="7">
        <f t="shared" si="111"/>
        <v>22.380000000000003</v>
      </c>
      <c r="AQ2192" s="31" t="str">
        <f t="shared" si="112"/>
        <v>Complete - With Adjustment</v>
      </c>
    </row>
    <row r="2193" spans="1:43" x14ac:dyDescent="0.2">
      <c r="A2193" s="46">
        <v>2183</v>
      </c>
      <c r="B2193" s="38" t="s">
        <v>266</v>
      </c>
      <c r="C2193" s="38" t="s">
        <v>283</v>
      </c>
      <c r="D2193" s="38" t="s">
        <v>282</v>
      </c>
      <c r="E2193" s="38" t="s">
        <v>5387</v>
      </c>
      <c r="F2193" s="38" t="s">
        <v>5388</v>
      </c>
      <c r="G2193" s="38" t="s">
        <v>111</v>
      </c>
      <c r="H2193" s="44">
        <v>44103</v>
      </c>
      <c r="I2193" s="44">
        <v>44105</v>
      </c>
      <c r="J2193">
        <v>12288.79</v>
      </c>
      <c r="K2193">
        <v>1.44</v>
      </c>
      <c r="L2193" t="s">
        <v>5389</v>
      </c>
      <c r="M2193" s="45" t="s">
        <v>97</v>
      </c>
      <c r="N2193" s="38" t="s">
        <v>230</v>
      </c>
      <c r="O2193" s="38" t="s">
        <v>284</v>
      </c>
      <c r="P2193" s="38" t="s">
        <v>64</v>
      </c>
      <c r="Q2193" s="38" t="s">
        <v>41</v>
      </c>
      <c r="R2193" s="38" t="s">
        <v>270</v>
      </c>
      <c r="S2193" s="38" t="s">
        <v>5390</v>
      </c>
      <c r="T2193" s="38" t="s">
        <v>5392</v>
      </c>
      <c r="U2193" s="38"/>
      <c r="V2193" s="38"/>
      <c r="W2193" s="38"/>
      <c r="X2193" s="14"/>
      <c r="AG2193" s="53">
        <f>1.44</f>
        <v>1.44</v>
      </c>
      <c r="AN2193" s="7" t="s">
        <v>69</v>
      </c>
      <c r="AO2193" s="21">
        <f t="shared" si="110"/>
        <v>1.44</v>
      </c>
      <c r="AP2193" s="7">
        <f t="shared" si="111"/>
        <v>0</v>
      </c>
      <c r="AQ2193" s="31" t="str">
        <f t="shared" si="112"/>
        <v>Complete - With Adjustment</v>
      </c>
    </row>
    <row r="2194" spans="1:43" x14ac:dyDescent="0.2">
      <c r="A2194" s="46">
        <v>2184</v>
      </c>
      <c r="B2194" s="38" t="s">
        <v>266</v>
      </c>
      <c r="C2194" s="38" t="s">
        <v>283</v>
      </c>
      <c r="D2194" s="38" t="s">
        <v>282</v>
      </c>
      <c r="E2194" s="38" t="s">
        <v>5387</v>
      </c>
      <c r="F2194" s="38" t="s">
        <v>5388</v>
      </c>
      <c r="G2194" s="38" t="s">
        <v>111</v>
      </c>
      <c r="H2194" s="44">
        <v>44103</v>
      </c>
      <c r="I2194" s="44">
        <v>44105</v>
      </c>
      <c r="J2194">
        <v>12288.79</v>
      </c>
      <c r="K2194">
        <v>21.51</v>
      </c>
      <c r="L2194" t="s">
        <v>5389</v>
      </c>
      <c r="M2194" s="45" t="s">
        <v>98</v>
      </c>
      <c r="N2194" s="38" t="s">
        <v>230</v>
      </c>
      <c r="O2194" s="38" t="s">
        <v>284</v>
      </c>
      <c r="P2194" s="38" t="s">
        <v>60</v>
      </c>
      <c r="Q2194" s="38" t="s">
        <v>41</v>
      </c>
      <c r="R2194" s="38" t="s">
        <v>270</v>
      </c>
      <c r="S2194" s="38" t="s">
        <v>5390</v>
      </c>
      <c r="T2194" s="38" t="s">
        <v>5392</v>
      </c>
      <c r="U2194" s="38"/>
      <c r="V2194" s="38"/>
      <c r="W2194" s="38"/>
      <c r="X2194" s="14"/>
      <c r="AN2194" s="7" t="s">
        <v>4219</v>
      </c>
      <c r="AO2194" s="21">
        <f t="shared" si="110"/>
        <v>0</v>
      </c>
      <c r="AP2194" s="7">
        <f t="shared" si="111"/>
        <v>21.51</v>
      </c>
      <c r="AQ2194" s="31" t="str">
        <f t="shared" si="112"/>
        <v>Complete - No Adjustment</v>
      </c>
    </row>
    <row r="2195" spans="1:43" x14ac:dyDescent="0.2">
      <c r="A2195" s="46">
        <v>2185</v>
      </c>
      <c r="B2195" s="38" t="s">
        <v>266</v>
      </c>
      <c r="C2195" s="38" t="s">
        <v>283</v>
      </c>
      <c r="D2195" s="38" t="s">
        <v>282</v>
      </c>
      <c r="E2195" s="38" t="s">
        <v>5387</v>
      </c>
      <c r="F2195" s="38" t="s">
        <v>5388</v>
      </c>
      <c r="G2195" s="38" t="s">
        <v>111</v>
      </c>
      <c r="H2195" s="44">
        <v>44103</v>
      </c>
      <c r="I2195" s="44">
        <v>44105</v>
      </c>
      <c r="J2195">
        <v>12288.79</v>
      </c>
      <c r="K2195">
        <v>1.1299999999999999</v>
      </c>
      <c r="L2195" t="s">
        <v>5389</v>
      </c>
      <c r="M2195" s="45" t="s">
        <v>97</v>
      </c>
      <c r="N2195" s="38" t="s">
        <v>230</v>
      </c>
      <c r="O2195" s="38" t="s">
        <v>284</v>
      </c>
      <c r="P2195" s="38" t="s">
        <v>64</v>
      </c>
      <c r="Q2195" s="38" t="s">
        <v>41</v>
      </c>
      <c r="R2195" s="38" t="s">
        <v>270</v>
      </c>
      <c r="S2195" s="38" t="s">
        <v>5390</v>
      </c>
      <c r="T2195" s="38" t="s">
        <v>5392</v>
      </c>
      <c r="U2195" s="38"/>
      <c r="V2195" s="38"/>
      <c r="W2195" s="38"/>
      <c r="X2195" s="14"/>
      <c r="AG2195" s="53">
        <f>1.13</f>
        <v>1.1299999999999999</v>
      </c>
      <c r="AN2195" s="7" t="s">
        <v>69</v>
      </c>
      <c r="AO2195" s="21">
        <f t="shared" si="110"/>
        <v>1.1299999999999999</v>
      </c>
      <c r="AP2195" s="7">
        <f t="shared" si="111"/>
        <v>0</v>
      </c>
      <c r="AQ2195" s="31" t="str">
        <f t="shared" si="112"/>
        <v>Complete - With Adjustment</v>
      </c>
    </row>
    <row r="2196" spans="1:43" x14ac:dyDescent="0.2">
      <c r="A2196" s="46">
        <v>2186</v>
      </c>
      <c r="B2196" s="38" t="s">
        <v>266</v>
      </c>
      <c r="C2196" s="38" t="s">
        <v>283</v>
      </c>
      <c r="D2196" s="38" t="s">
        <v>282</v>
      </c>
      <c r="E2196" s="38" t="s">
        <v>5387</v>
      </c>
      <c r="F2196" s="38" t="s">
        <v>5388</v>
      </c>
      <c r="G2196" s="38" t="s">
        <v>111</v>
      </c>
      <c r="H2196" s="44">
        <v>44103</v>
      </c>
      <c r="I2196" s="44">
        <v>44105</v>
      </c>
      <c r="J2196">
        <v>12288.79</v>
      </c>
      <c r="K2196">
        <v>37.5</v>
      </c>
      <c r="L2196" t="s">
        <v>5389</v>
      </c>
      <c r="M2196" s="45" t="s">
        <v>97</v>
      </c>
      <c r="N2196" s="38" t="s">
        <v>230</v>
      </c>
      <c r="O2196" s="38" t="s">
        <v>284</v>
      </c>
      <c r="P2196" s="38" t="s">
        <v>64</v>
      </c>
      <c r="Q2196" s="38" t="s">
        <v>46</v>
      </c>
      <c r="R2196" s="38" t="s">
        <v>270</v>
      </c>
      <c r="S2196" s="38" t="s">
        <v>5390</v>
      </c>
      <c r="T2196" s="38" t="s">
        <v>5393</v>
      </c>
      <c r="U2196" s="38"/>
      <c r="V2196" s="38"/>
      <c r="W2196" s="38"/>
      <c r="X2196" s="14"/>
      <c r="AG2196" s="53">
        <f>37.5</f>
        <v>37.5</v>
      </c>
      <c r="AN2196" s="7" t="s">
        <v>69</v>
      </c>
      <c r="AO2196" s="21">
        <f t="shared" si="110"/>
        <v>37.5</v>
      </c>
      <c r="AP2196" s="7">
        <f t="shared" si="111"/>
        <v>0</v>
      </c>
      <c r="AQ2196" s="31" t="str">
        <f t="shared" si="112"/>
        <v>Complete - With Adjustment</v>
      </c>
    </row>
    <row r="2197" spans="1:43" x14ac:dyDescent="0.2">
      <c r="A2197" s="46">
        <v>2187</v>
      </c>
      <c r="B2197" s="38" t="s">
        <v>266</v>
      </c>
      <c r="C2197" s="38" t="s">
        <v>283</v>
      </c>
      <c r="D2197" s="38" t="s">
        <v>282</v>
      </c>
      <c r="E2197" s="38" t="s">
        <v>5387</v>
      </c>
      <c r="F2197" s="38" t="s">
        <v>5388</v>
      </c>
      <c r="G2197" s="38" t="s">
        <v>111</v>
      </c>
      <c r="H2197" s="44">
        <v>44103</v>
      </c>
      <c r="I2197" s="44">
        <v>44105</v>
      </c>
      <c r="J2197">
        <v>12288.79</v>
      </c>
      <c r="K2197">
        <v>712.5</v>
      </c>
      <c r="L2197" t="s">
        <v>5389</v>
      </c>
      <c r="M2197" s="45" t="s">
        <v>98</v>
      </c>
      <c r="N2197" s="38" t="s">
        <v>230</v>
      </c>
      <c r="O2197" s="38" t="s">
        <v>284</v>
      </c>
      <c r="P2197" s="38" t="s">
        <v>60</v>
      </c>
      <c r="Q2197" s="38" t="s">
        <v>46</v>
      </c>
      <c r="R2197" s="38" t="s">
        <v>270</v>
      </c>
      <c r="S2197" s="38" t="s">
        <v>5390</v>
      </c>
      <c r="T2197" s="38" t="s">
        <v>5393</v>
      </c>
      <c r="U2197" s="38"/>
      <c r="V2197" s="38"/>
      <c r="W2197" s="38"/>
      <c r="X2197" s="14"/>
      <c r="AN2197" s="7" t="s">
        <v>4219</v>
      </c>
      <c r="AO2197" s="21">
        <f t="shared" si="110"/>
        <v>0</v>
      </c>
      <c r="AP2197" s="7">
        <f t="shared" si="111"/>
        <v>712.5</v>
      </c>
      <c r="AQ2197" s="31" t="str">
        <f t="shared" si="112"/>
        <v>Complete - No Adjustment</v>
      </c>
    </row>
    <row r="2198" spans="1:43" x14ac:dyDescent="0.2">
      <c r="A2198" s="46">
        <v>2188</v>
      </c>
      <c r="B2198" s="38" t="s">
        <v>266</v>
      </c>
      <c r="C2198" s="38" t="s">
        <v>283</v>
      </c>
      <c r="D2198" s="38" t="s">
        <v>282</v>
      </c>
      <c r="E2198" s="38" t="s">
        <v>5387</v>
      </c>
      <c r="F2198" s="38" t="s">
        <v>5388</v>
      </c>
      <c r="G2198" s="38" t="s">
        <v>111</v>
      </c>
      <c r="H2198" s="44">
        <v>44103</v>
      </c>
      <c r="I2198" s="44">
        <v>44105</v>
      </c>
      <c r="J2198">
        <v>12288.79</v>
      </c>
      <c r="K2198">
        <v>4.0599999999999996</v>
      </c>
      <c r="L2198" t="s">
        <v>5389</v>
      </c>
      <c r="M2198" s="45" t="s">
        <v>97</v>
      </c>
      <c r="N2198" s="38" t="s">
        <v>230</v>
      </c>
      <c r="O2198" s="38" t="s">
        <v>284</v>
      </c>
      <c r="P2198" s="38" t="s">
        <v>64</v>
      </c>
      <c r="Q2198" s="38" t="s">
        <v>46</v>
      </c>
      <c r="R2198" s="38" t="s">
        <v>270</v>
      </c>
      <c r="S2198" s="38" t="s">
        <v>5390</v>
      </c>
      <c r="T2198" s="38" t="s">
        <v>5394</v>
      </c>
      <c r="U2198" s="38"/>
      <c r="V2198" s="38"/>
      <c r="W2198" s="38"/>
      <c r="X2198" s="14"/>
      <c r="AG2198" s="53">
        <f>4.06</f>
        <v>4.0599999999999996</v>
      </c>
      <c r="AN2198" s="7" t="s">
        <v>69</v>
      </c>
      <c r="AO2198" s="21">
        <f t="shared" si="110"/>
        <v>4.0599999999999996</v>
      </c>
      <c r="AP2198" s="7">
        <f t="shared" si="111"/>
        <v>0</v>
      </c>
      <c r="AQ2198" s="31" t="str">
        <f t="shared" si="112"/>
        <v>Complete - With Adjustment</v>
      </c>
    </row>
    <row r="2199" spans="1:43" x14ac:dyDescent="0.2">
      <c r="A2199" s="46">
        <v>2189</v>
      </c>
      <c r="B2199" s="38" t="s">
        <v>266</v>
      </c>
      <c r="C2199" s="38" t="s">
        <v>283</v>
      </c>
      <c r="D2199" s="38" t="s">
        <v>282</v>
      </c>
      <c r="E2199" s="38" t="s">
        <v>5387</v>
      </c>
      <c r="F2199" s="38" t="s">
        <v>5388</v>
      </c>
      <c r="G2199" s="38" t="s">
        <v>111</v>
      </c>
      <c r="H2199" s="44">
        <v>44103</v>
      </c>
      <c r="I2199" s="44">
        <v>44105</v>
      </c>
      <c r="J2199">
        <v>12288.79</v>
      </c>
      <c r="K2199">
        <v>77.13</v>
      </c>
      <c r="L2199" t="s">
        <v>5389</v>
      </c>
      <c r="M2199" s="45" t="s">
        <v>98</v>
      </c>
      <c r="N2199" s="38" t="s">
        <v>230</v>
      </c>
      <c r="O2199" s="38" t="s">
        <v>284</v>
      </c>
      <c r="P2199" s="38" t="s">
        <v>60</v>
      </c>
      <c r="Q2199" s="38" t="s">
        <v>46</v>
      </c>
      <c r="R2199" s="38" t="s">
        <v>270</v>
      </c>
      <c r="S2199" s="38" t="s">
        <v>5390</v>
      </c>
      <c r="T2199" s="38" t="s">
        <v>5394</v>
      </c>
      <c r="U2199" s="38"/>
      <c r="V2199" s="38"/>
      <c r="W2199" s="38"/>
      <c r="X2199" s="14"/>
      <c r="AI2199" s="53">
        <f>77.13</f>
        <v>77.13</v>
      </c>
      <c r="AN2199" s="7" t="s">
        <v>145</v>
      </c>
      <c r="AO2199" s="21">
        <f t="shared" si="110"/>
        <v>77.13</v>
      </c>
      <c r="AP2199" s="7">
        <f t="shared" si="111"/>
        <v>0</v>
      </c>
      <c r="AQ2199" s="31" t="str">
        <f t="shared" si="112"/>
        <v>Complete - With Adjustment</v>
      </c>
    </row>
    <row r="2200" spans="1:43" x14ac:dyDescent="0.2">
      <c r="A2200" s="46">
        <v>2190</v>
      </c>
      <c r="B2200" s="38" t="s">
        <v>266</v>
      </c>
      <c r="C2200" s="38" t="s">
        <v>283</v>
      </c>
      <c r="D2200" s="38" t="s">
        <v>282</v>
      </c>
      <c r="E2200" s="38" t="s">
        <v>5387</v>
      </c>
      <c r="F2200" s="38" t="s">
        <v>5388</v>
      </c>
      <c r="G2200" s="38" t="s">
        <v>111</v>
      </c>
      <c r="H2200" s="44">
        <v>44103</v>
      </c>
      <c r="I2200" s="44">
        <v>44105</v>
      </c>
      <c r="J2200">
        <v>12288.79</v>
      </c>
      <c r="K2200">
        <v>1.49</v>
      </c>
      <c r="L2200" t="s">
        <v>5389</v>
      </c>
      <c r="M2200" s="45" t="s">
        <v>97</v>
      </c>
      <c r="N2200" s="38" t="s">
        <v>230</v>
      </c>
      <c r="O2200" s="38" t="s">
        <v>284</v>
      </c>
      <c r="P2200" s="38" t="s">
        <v>64</v>
      </c>
      <c r="Q2200" s="38" t="s">
        <v>62</v>
      </c>
      <c r="R2200" s="38" t="s">
        <v>270</v>
      </c>
      <c r="S2200" s="38" t="s">
        <v>5390</v>
      </c>
      <c r="T2200" s="38" t="s">
        <v>5395</v>
      </c>
      <c r="U2200" s="38"/>
      <c r="V2200" s="38"/>
      <c r="W2200" s="38"/>
      <c r="X2200" s="14"/>
      <c r="AG2200" s="53">
        <f>1.49</f>
        <v>1.49</v>
      </c>
      <c r="AN2200" s="7" t="s">
        <v>69</v>
      </c>
      <c r="AO2200" s="21">
        <f t="shared" si="110"/>
        <v>1.49</v>
      </c>
      <c r="AP2200" s="7">
        <f t="shared" si="111"/>
        <v>0</v>
      </c>
      <c r="AQ2200" s="31" t="str">
        <f t="shared" si="112"/>
        <v>Complete - With Adjustment</v>
      </c>
    </row>
    <row r="2201" spans="1:43" x14ac:dyDescent="0.2">
      <c r="A2201" s="46">
        <v>2191</v>
      </c>
      <c r="B2201" s="38" t="s">
        <v>266</v>
      </c>
      <c r="C2201" s="38" t="s">
        <v>283</v>
      </c>
      <c r="D2201" s="38" t="s">
        <v>282</v>
      </c>
      <c r="E2201" s="38" t="s">
        <v>5387</v>
      </c>
      <c r="F2201" s="38" t="s">
        <v>5388</v>
      </c>
      <c r="G2201" s="38" t="s">
        <v>111</v>
      </c>
      <c r="H2201" s="44">
        <v>44103</v>
      </c>
      <c r="I2201" s="44">
        <v>44105</v>
      </c>
      <c r="J2201">
        <v>12288.79</v>
      </c>
      <c r="K2201">
        <v>950</v>
      </c>
      <c r="L2201" t="s">
        <v>5389</v>
      </c>
      <c r="M2201" s="45" t="s">
        <v>98</v>
      </c>
      <c r="N2201" s="38" t="s">
        <v>230</v>
      </c>
      <c r="O2201" s="38" t="s">
        <v>405</v>
      </c>
      <c r="P2201" s="38" t="s">
        <v>60</v>
      </c>
      <c r="Q2201" s="38" t="s">
        <v>82</v>
      </c>
      <c r="R2201" s="38" t="s">
        <v>270</v>
      </c>
      <c r="S2201" s="38" t="s">
        <v>5390</v>
      </c>
      <c r="T2201" s="38" t="s">
        <v>5396</v>
      </c>
      <c r="U2201" s="38"/>
      <c r="V2201" s="38"/>
      <c r="W2201" s="38"/>
      <c r="X2201" s="14"/>
      <c r="AL2201" s="14">
        <f>950</f>
        <v>950</v>
      </c>
      <c r="AN2201" s="7" t="s">
        <v>146</v>
      </c>
      <c r="AO2201" s="21">
        <f t="shared" si="110"/>
        <v>950</v>
      </c>
      <c r="AP2201" s="7">
        <f t="shared" si="111"/>
        <v>0</v>
      </c>
      <c r="AQ2201" s="31" t="str">
        <f t="shared" si="112"/>
        <v>Complete - With Adjustment</v>
      </c>
    </row>
    <row r="2202" spans="1:43" x14ac:dyDescent="0.2">
      <c r="A2202" s="46">
        <v>2192</v>
      </c>
      <c r="B2202" s="38" t="s">
        <v>266</v>
      </c>
      <c r="C2202" s="38" t="s">
        <v>283</v>
      </c>
      <c r="D2202" s="38" t="s">
        <v>282</v>
      </c>
      <c r="E2202" s="38" t="s">
        <v>5387</v>
      </c>
      <c r="F2202" s="38" t="s">
        <v>5388</v>
      </c>
      <c r="G2202" s="38" t="s">
        <v>111</v>
      </c>
      <c r="H2202" s="44">
        <v>44103</v>
      </c>
      <c r="I2202" s="44">
        <v>44105</v>
      </c>
      <c r="J2202">
        <v>12288.79</v>
      </c>
      <c r="K2202">
        <v>50</v>
      </c>
      <c r="L2202" t="s">
        <v>5389</v>
      </c>
      <c r="M2202" s="45" t="s">
        <v>97</v>
      </c>
      <c r="N2202" s="38" t="s">
        <v>230</v>
      </c>
      <c r="O2202" s="38" t="s">
        <v>405</v>
      </c>
      <c r="P2202" s="38" t="s">
        <v>64</v>
      </c>
      <c r="Q2202" s="38" t="s">
        <v>82</v>
      </c>
      <c r="R2202" s="38" t="s">
        <v>270</v>
      </c>
      <c r="S2202" s="38" t="s">
        <v>5390</v>
      </c>
      <c r="T2202" s="38" t="s">
        <v>5396</v>
      </c>
      <c r="U2202" s="38"/>
      <c r="V2202" s="38"/>
      <c r="W2202" s="38"/>
      <c r="X2202" s="14"/>
      <c r="AG2202" s="53">
        <f>50</f>
        <v>50</v>
      </c>
      <c r="AN2202" s="7" t="s">
        <v>69</v>
      </c>
      <c r="AO2202" s="21">
        <f t="shared" si="110"/>
        <v>50</v>
      </c>
      <c r="AP2202" s="7">
        <f t="shared" si="111"/>
        <v>0</v>
      </c>
      <c r="AQ2202" s="31" t="str">
        <f t="shared" si="112"/>
        <v>Complete - With Adjustment</v>
      </c>
    </row>
    <row r="2203" spans="1:43" x14ac:dyDescent="0.2">
      <c r="A2203" s="46">
        <v>2193</v>
      </c>
      <c r="B2203" s="38" t="s">
        <v>266</v>
      </c>
      <c r="C2203" s="38" t="s">
        <v>283</v>
      </c>
      <c r="D2203" s="38" t="s">
        <v>282</v>
      </c>
      <c r="E2203" s="38" t="s">
        <v>5387</v>
      </c>
      <c r="F2203" s="38" t="s">
        <v>5388</v>
      </c>
      <c r="G2203" s="38" t="s">
        <v>111</v>
      </c>
      <c r="H2203" s="44">
        <v>44103</v>
      </c>
      <c r="I2203" s="44">
        <v>44105</v>
      </c>
      <c r="J2203">
        <v>12288.79</v>
      </c>
      <c r="K2203">
        <v>28.33</v>
      </c>
      <c r="L2203" t="s">
        <v>5389</v>
      </c>
      <c r="M2203" s="45" t="s">
        <v>98</v>
      </c>
      <c r="N2203" s="38" t="s">
        <v>230</v>
      </c>
      <c r="O2203" s="38" t="s">
        <v>284</v>
      </c>
      <c r="P2203" s="38" t="s">
        <v>60</v>
      </c>
      <c r="Q2203" s="38" t="s">
        <v>62</v>
      </c>
      <c r="R2203" s="38" t="s">
        <v>270</v>
      </c>
      <c r="S2203" s="38" t="s">
        <v>5390</v>
      </c>
      <c r="T2203" s="38" t="s">
        <v>5395</v>
      </c>
      <c r="U2203" s="38"/>
      <c r="V2203" s="38"/>
      <c r="W2203" s="38"/>
      <c r="X2203" s="14"/>
      <c r="AN2203" s="7" t="s">
        <v>70</v>
      </c>
      <c r="AO2203" s="21">
        <f t="shared" si="110"/>
        <v>0</v>
      </c>
      <c r="AP2203" s="7">
        <f t="shared" si="111"/>
        <v>28.33</v>
      </c>
      <c r="AQ2203" s="31" t="str">
        <f t="shared" si="112"/>
        <v>Complete - No Adjustment</v>
      </c>
    </row>
    <row r="2204" spans="1:43" x14ac:dyDescent="0.2">
      <c r="A2204" s="46">
        <v>2194</v>
      </c>
      <c r="B2204" s="38" t="s">
        <v>266</v>
      </c>
      <c r="C2204" s="38" t="s">
        <v>283</v>
      </c>
      <c r="D2204" s="38" t="s">
        <v>282</v>
      </c>
      <c r="E2204" s="38" t="s">
        <v>5387</v>
      </c>
      <c r="F2204" s="38" t="s">
        <v>5388</v>
      </c>
      <c r="G2204" s="38" t="s">
        <v>111</v>
      </c>
      <c r="H2204" s="44">
        <v>44103</v>
      </c>
      <c r="I2204" s="44">
        <v>44105</v>
      </c>
      <c r="J2204">
        <v>12288.79</v>
      </c>
      <c r="K2204">
        <v>23.12</v>
      </c>
      <c r="L2204" t="s">
        <v>5389</v>
      </c>
      <c r="M2204" s="45" t="s">
        <v>98</v>
      </c>
      <c r="N2204" s="38" t="s">
        <v>230</v>
      </c>
      <c r="O2204" s="38" t="s">
        <v>284</v>
      </c>
      <c r="P2204" s="38" t="s">
        <v>60</v>
      </c>
      <c r="Q2204" s="38" t="s">
        <v>41</v>
      </c>
      <c r="R2204" s="38" t="s">
        <v>270</v>
      </c>
      <c r="S2204" s="38" t="s">
        <v>5390</v>
      </c>
      <c r="T2204" s="38" t="s">
        <v>5392</v>
      </c>
      <c r="U2204" s="38"/>
      <c r="V2204" s="38"/>
      <c r="W2204" s="38"/>
      <c r="X2204" s="14"/>
      <c r="AB2204" s="14">
        <f>15.25-15</f>
        <v>0.25</v>
      </c>
      <c r="AC2204" s="53">
        <f>(6.34-18*20%)</f>
        <v>2.7399999999999998</v>
      </c>
      <c r="AN2204" s="7" t="s">
        <v>5397</v>
      </c>
      <c r="AO2204" s="21">
        <f t="shared" si="110"/>
        <v>2.9899999999999998</v>
      </c>
      <c r="AP2204" s="7">
        <f t="shared" si="111"/>
        <v>20.130000000000003</v>
      </c>
      <c r="AQ2204" s="31" t="str">
        <f t="shared" si="112"/>
        <v>Complete - With Adjustment</v>
      </c>
    </row>
    <row r="2205" spans="1:43" x14ac:dyDescent="0.2">
      <c r="A2205" s="46">
        <v>2195</v>
      </c>
      <c r="B2205" s="38" t="s">
        <v>266</v>
      </c>
      <c r="C2205" s="38" t="s">
        <v>283</v>
      </c>
      <c r="D2205" s="38" t="s">
        <v>282</v>
      </c>
      <c r="E2205" s="38" t="s">
        <v>5387</v>
      </c>
      <c r="F2205" s="38" t="s">
        <v>5388</v>
      </c>
      <c r="G2205" s="38" t="s">
        <v>111</v>
      </c>
      <c r="H2205" s="44">
        <v>44103</v>
      </c>
      <c r="I2205" s="44">
        <v>44105</v>
      </c>
      <c r="J2205">
        <v>12288.79</v>
      </c>
      <c r="K2205">
        <v>1.22</v>
      </c>
      <c r="L2205" t="s">
        <v>5389</v>
      </c>
      <c r="M2205" s="45" t="s">
        <v>97</v>
      </c>
      <c r="N2205" s="38" t="s">
        <v>230</v>
      </c>
      <c r="O2205" s="38" t="s">
        <v>284</v>
      </c>
      <c r="P2205" s="38" t="s">
        <v>64</v>
      </c>
      <c r="Q2205" s="38" t="s">
        <v>41</v>
      </c>
      <c r="R2205" s="38" t="s">
        <v>270</v>
      </c>
      <c r="S2205" s="38" t="s">
        <v>5390</v>
      </c>
      <c r="T2205" s="38" t="s">
        <v>5392</v>
      </c>
      <c r="U2205" s="38"/>
      <c r="V2205" s="38"/>
      <c r="W2205" s="38"/>
      <c r="X2205" s="14"/>
      <c r="AG2205" s="53">
        <f>1.22</f>
        <v>1.22</v>
      </c>
      <c r="AN2205" s="7" t="s">
        <v>69</v>
      </c>
      <c r="AO2205" s="21">
        <f t="shared" si="110"/>
        <v>1.22</v>
      </c>
      <c r="AP2205" s="7">
        <f t="shared" si="111"/>
        <v>0</v>
      </c>
      <c r="AQ2205" s="31" t="str">
        <f t="shared" si="112"/>
        <v>Complete - With Adjustment</v>
      </c>
    </row>
    <row r="2206" spans="1:43" x14ac:dyDescent="0.2">
      <c r="A2206" s="46">
        <v>2196</v>
      </c>
      <c r="B2206" s="38" t="s">
        <v>266</v>
      </c>
      <c r="C2206" s="38" t="s">
        <v>283</v>
      </c>
      <c r="D2206" s="38" t="s">
        <v>282</v>
      </c>
      <c r="E2206" s="38" t="s">
        <v>5387</v>
      </c>
      <c r="F2206" s="38" t="s">
        <v>5388</v>
      </c>
      <c r="G2206" s="38" t="s">
        <v>111</v>
      </c>
      <c r="H2206" s="44">
        <v>44103</v>
      </c>
      <c r="I2206" s="44">
        <v>44105</v>
      </c>
      <c r="J2206">
        <v>12288.79</v>
      </c>
      <c r="K2206">
        <v>20.2</v>
      </c>
      <c r="L2206" t="s">
        <v>5389</v>
      </c>
      <c r="M2206" s="45" t="s">
        <v>98</v>
      </c>
      <c r="N2206" s="38" t="s">
        <v>230</v>
      </c>
      <c r="O2206" s="38" t="s">
        <v>284</v>
      </c>
      <c r="P2206" s="38" t="s">
        <v>60</v>
      </c>
      <c r="Q2206" s="38" t="s">
        <v>41</v>
      </c>
      <c r="R2206" s="38" t="s">
        <v>270</v>
      </c>
      <c r="S2206" s="38" t="s">
        <v>5390</v>
      </c>
      <c r="T2206" s="38" t="s">
        <v>5392</v>
      </c>
      <c r="U2206" s="38"/>
      <c r="V2206" s="38"/>
      <c r="W2206" s="38"/>
      <c r="X2206" s="14"/>
      <c r="AC2206" s="53">
        <f>(5.64-15.62*20%)</f>
        <v>2.5159999999999996</v>
      </c>
      <c r="AN2206" s="7" t="s">
        <v>5398</v>
      </c>
      <c r="AO2206" s="21">
        <f t="shared" si="110"/>
        <v>2.5159999999999996</v>
      </c>
      <c r="AP2206" s="7">
        <f t="shared" si="111"/>
        <v>17.684000000000001</v>
      </c>
      <c r="AQ2206" s="31" t="str">
        <f t="shared" si="112"/>
        <v>Complete - With Adjustment</v>
      </c>
    </row>
    <row r="2207" spans="1:43" x14ac:dyDescent="0.2">
      <c r="A2207" s="46">
        <v>2197</v>
      </c>
      <c r="B2207" s="38" t="s">
        <v>266</v>
      </c>
      <c r="C2207" s="38" t="s">
        <v>283</v>
      </c>
      <c r="D2207" s="38" t="s">
        <v>282</v>
      </c>
      <c r="E2207" s="38" t="s">
        <v>5387</v>
      </c>
      <c r="F2207" s="38" t="s">
        <v>5388</v>
      </c>
      <c r="G2207" s="38" t="s">
        <v>111</v>
      </c>
      <c r="H2207" s="44">
        <v>44103</v>
      </c>
      <c r="I2207" s="44">
        <v>44105</v>
      </c>
      <c r="J2207">
        <v>12288.79</v>
      </c>
      <c r="K2207">
        <v>1.06</v>
      </c>
      <c r="L2207" t="s">
        <v>5389</v>
      </c>
      <c r="M2207" s="45" t="s">
        <v>97</v>
      </c>
      <c r="N2207" s="38" t="s">
        <v>230</v>
      </c>
      <c r="O2207" s="38" t="s">
        <v>284</v>
      </c>
      <c r="P2207" s="38" t="s">
        <v>64</v>
      </c>
      <c r="Q2207" s="38" t="s">
        <v>41</v>
      </c>
      <c r="R2207" s="38" t="s">
        <v>270</v>
      </c>
      <c r="S2207" s="38" t="s">
        <v>5390</v>
      </c>
      <c r="T2207" s="38" t="s">
        <v>5392</v>
      </c>
      <c r="U2207" s="38"/>
      <c r="V2207" s="38"/>
      <c r="W2207" s="38"/>
      <c r="X2207" s="14"/>
      <c r="AG2207" s="53">
        <f>1.06</f>
        <v>1.06</v>
      </c>
      <c r="AN2207" s="7" t="s">
        <v>69</v>
      </c>
      <c r="AO2207" s="21">
        <f t="shared" si="110"/>
        <v>1.06</v>
      </c>
      <c r="AP2207" s="7">
        <f t="shared" si="111"/>
        <v>0</v>
      </c>
      <c r="AQ2207" s="31" t="str">
        <f t="shared" si="112"/>
        <v>Complete - With Adjustment</v>
      </c>
    </row>
    <row r="2208" spans="1:43" x14ac:dyDescent="0.2">
      <c r="A2208" s="46">
        <v>2198</v>
      </c>
      <c r="B2208" s="38" t="s">
        <v>266</v>
      </c>
      <c r="C2208" s="38" t="s">
        <v>283</v>
      </c>
      <c r="D2208" s="38" t="s">
        <v>282</v>
      </c>
      <c r="E2208" s="38" t="s">
        <v>5387</v>
      </c>
      <c r="F2208" s="38" t="s">
        <v>5388</v>
      </c>
      <c r="G2208" s="38" t="s">
        <v>111</v>
      </c>
      <c r="H2208" s="44">
        <v>44103</v>
      </c>
      <c r="I2208" s="44">
        <v>44105</v>
      </c>
      <c r="J2208">
        <v>12288.79</v>
      </c>
      <c r="K2208">
        <v>15.64</v>
      </c>
      <c r="L2208" t="s">
        <v>5389</v>
      </c>
      <c r="M2208" s="45" t="s">
        <v>98</v>
      </c>
      <c r="N2208" s="38" t="s">
        <v>230</v>
      </c>
      <c r="O2208" s="38" t="s">
        <v>284</v>
      </c>
      <c r="P2208" s="38" t="s">
        <v>60</v>
      </c>
      <c r="Q2208" s="38" t="s">
        <v>41</v>
      </c>
      <c r="R2208" s="38" t="s">
        <v>270</v>
      </c>
      <c r="S2208" s="38" t="s">
        <v>5390</v>
      </c>
      <c r="T2208" s="38" t="s">
        <v>5392</v>
      </c>
      <c r="U2208" s="38"/>
      <c r="V2208" s="38"/>
      <c r="W2208" s="38"/>
      <c r="X2208" s="14"/>
      <c r="AN2208" s="7" t="s">
        <v>4219</v>
      </c>
      <c r="AO2208" s="21">
        <f t="shared" si="110"/>
        <v>0</v>
      </c>
      <c r="AP2208" s="7">
        <f t="shared" si="111"/>
        <v>15.64</v>
      </c>
      <c r="AQ2208" s="31" t="str">
        <f t="shared" si="112"/>
        <v>Complete - No Adjustment</v>
      </c>
    </row>
    <row r="2209" spans="1:43" x14ac:dyDescent="0.2">
      <c r="A2209" s="46">
        <v>2199</v>
      </c>
      <c r="B2209" s="38" t="s">
        <v>266</v>
      </c>
      <c r="C2209" s="38" t="s">
        <v>283</v>
      </c>
      <c r="D2209" s="38" t="s">
        <v>282</v>
      </c>
      <c r="E2209" s="38" t="s">
        <v>5387</v>
      </c>
      <c r="F2209" s="38" t="s">
        <v>5388</v>
      </c>
      <c r="G2209" s="38" t="s">
        <v>111</v>
      </c>
      <c r="H2209" s="44">
        <v>44103</v>
      </c>
      <c r="I2209" s="44">
        <v>44105</v>
      </c>
      <c r="J2209">
        <v>12288.79</v>
      </c>
      <c r="K2209">
        <v>24.98</v>
      </c>
      <c r="L2209" t="s">
        <v>5389</v>
      </c>
      <c r="M2209" s="45" t="s">
        <v>98</v>
      </c>
      <c r="N2209" s="38" t="s">
        <v>230</v>
      </c>
      <c r="O2209" s="38" t="s">
        <v>284</v>
      </c>
      <c r="P2209" s="38" t="s">
        <v>60</v>
      </c>
      <c r="Q2209" s="38" t="s">
        <v>41</v>
      </c>
      <c r="R2209" s="38" t="s">
        <v>270</v>
      </c>
      <c r="S2209" s="38" t="s">
        <v>5390</v>
      </c>
      <c r="T2209" s="38" t="s">
        <v>5391</v>
      </c>
      <c r="U2209" s="38"/>
      <c r="V2209" s="38"/>
      <c r="W2209" s="38"/>
      <c r="X2209" s="14"/>
      <c r="AC2209" s="53">
        <f>(6.17-20.13*20%)</f>
        <v>2.1440000000000001</v>
      </c>
      <c r="AN2209" s="7" t="s">
        <v>5398</v>
      </c>
      <c r="AO2209" s="21">
        <f t="shared" si="110"/>
        <v>2.1440000000000001</v>
      </c>
      <c r="AP2209" s="7">
        <f t="shared" si="111"/>
        <v>22.835999999999999</v>
      </c>
      <c r="AQ2209" s="31" t="str">
        <f t="shared" si="112"/>
        <v>Complete - With Adjustment</v>
      </c>
    </row>
    <row r="2210" spans="1:43" x14ac:dyDescent="0.2">
      <c r="A2210" s="46">
        <v>2200</v>
      </c>
      <c r="B2210" s="38" t="s">
        <v>266</v>
      </c>
      <c r="C2210" s="38" t="s">
        <v>283</v>
      </c>
      <c r="D2210" s="38" t="s">
        <v>282</v>
      </c>
      <c r="E2210" s="38" t="s">
        <v>5387</v>
      </c>
      <c r="F2210" s="38" t="s">
        <v>5388</v>
      </c>
      <c r="G2210" s="38" t="s">
        <v>111</v>
      </c>
      <c r="H2210" s="44">
        <v>44103</v>
      </c>
      <c r="I2210" s="44">
        <v>44105</v>
      </c>
      <c r="J2210">
        <v>12288.79</v>
      </c>
      <c r="K2210">
        <v>0.82</v>
      </c>
      <c r="L2210" t="s">
        <v>5389</v>
      </c>
      <c r="M2210" s="45" t="s">
        <v>97</v>
      </c>
      <c r="N2210" s="38" t="s">
        <v>230</v>
      </c>
      <c r="O2210" s="38" t="s">
        <v>284</v>
      </c>
      <c r="P2210" s="38" t="s">
        <v>64</v>
      </c>
      <c r="Q2210" s="38" t="s">
        <v>41</v>
      </c>
      <c r="R2210" s="38" t="s">
        <v>270</v>
      </c>
      <c r="S2210" s="38" t="s">
        <v>5390</v>
      </c>
      <c r="T2210" s="38" t="s">
        <v>5392</v>
      </c>
      <c r="U2210" s="38"/>
      <c r="V2210" s="38"/>
      <c r="W2210" s="38"/>
      <c r="X2210" s="14"/>
      <c r="AG2210" s="53">
        <f>0.82</f>
        <v>0.82</v>
      </c>
      <c r="AN2210" s="7" t="s">
        <v>69</v>
      </c>
      <c r="AO2210" s="21">
        <f t="shared" si="110"/>
        <v>0.82</v>
      </c>
      <c r="AP2210" s="7">
        <f t="shared" si="111"/>
        <v>0</v>
      </c>
      <c r="AQ2210" s="31" t="str">
        <f t="shared" si="112"/>
        <v>Complete - With Adjustment</v>
      </c>
    </row>
    <row r="2211" spans="1:43" x14ac:dyDescent="0.2">
      <c r="A2211" s="46">
        <v>2201</v>
      </c>
      <c r="B2211" s="38" t="s">
        <v>266</v>
      </c>
      <c r="C2211" s="38" t="s">
        <v>283</v>
      </c>
      <c r="D2211" s="38" t="s">
        <v>282</v>
      </c>
      <c r="E2211" s="38" t="s">
        <v>5387</v>
      </c>
      <c r="F2211" s="38" t="s">
        <v>5388</v>
      </c>
      <c r="G2211" s="38" t="s">
        <v>111</v>
      </c>
      <c r="H2211" s="44">
        <v>44103</v>
      </c>
      <c r="I2211" s="44">
        <v>44105</v>
      </c>
      <c r="J2211">
        <v>12288.79</v>
      </c>
      <c r="K2211">
        <v>236.55</v>
      </c>
      <c r="L2211" t="s">
        <v>5389</v>
      </c>
      <c r="M2211" s="45" t="s">
        <v>98</v>
      </c>
      <c r="N2211" s="38" t="s">
        <v>230</v>
      </c>
      <c r="O2211" s="38" t="s">
        <v>284</v>
      </c>
      <c r="P2211" s="38" t="s">
        <v>60</v>
      </c>
      <c r="Q2211" s="38" t="s">
        <v>174</v>
      </c>
      <c r="R2211" s="38" t="s">
        <v>270</v>
      </c>
      <c r="S2211" s="38" t="s">
        <v>5390</v>
      </c>
      <c r="T2211" s="38" t="s">
        <v>5399</v>
      </c>
      <c r="U2211" s="38"/>
      <c r="V2211" s="38"/>
      <c r="W2211" s="38"/>
      <c r="X2211" s="14"/>
      <c r="AN2211" s="7" t="s">
        <v>70</v>
      </c>
      <c r="AO2211" s="21">
        <f t="shared" si="110"/>
        <v>0</v>
      </c>
      <c r="AP2211" s="7">
        <f t="shared" si="111"/>
        <v>236.55</v>
      </c>
      <c r="AQ2211" s="31" t="str">
        <f t="shared" si="112"/>
        <v>Complete - No Adjustment</v>
      </c>
    </row>
    <row r="2212" spans="1:43" x14ac:dyDescent="0.2">
      <c r="A2212" s="46">
        <v>2202</v>
      </c>
      <c r="B2212" s="38" t="s">
        <v>266</v>
      </c>
      <c r="C2212" s="38" t="s">
        <v>283</v>
      </c>
      <c r="D2212" s="38" t="s">
        <v>282</v>
      </c>
      <c r="E2212" s="38" t="s">
        <v>5387</v>
      </c>
      <c r="F2212" s="38" t="s">
        <v>5388</v>
      </c>
      <c r="G2212" s="38" t="s">
        <v>111</v>
      </c>
      <c r="H2212" s="44">
        <v>44103</v>
      </c>
      <c r="I2212" s="44">
        <v>44105</v>
      </c>
      <c r="J2212">
        <v>12288.79</v>
      </c>
      <c r="K2212">
        <v>12.45</v>
      </c>
      <c r="L2212" t="s">
        <v>5389</v>
      </c>
      <c r="M2212" s="45" t="s">
        <v>97</v>
      </c>
      <c r="N2212" s="38" t="s">
        <v>230</v>
      </c>
      <c r="O2212" s="38" t="s">
        <v>284</v>
      </c>
      <c r="P2212" s="38" t="s">
        <v>64</v>
      </c>
      <c r="Q2212" s="38" t="s">
        <v>174</v>
      </c>
      <c r="R2212" s="38" t="s">
        <v>270</v>
      </c>
      <c r="S2212" s="38" t="s">
        <v>5390</v>
      </c>
      <c r="T2212" s="38" t="s">
        <v>5399</v>
      </c>
      <c r="U2212" s="38"/>
      <c r="V2212" s="38"/>
      <c r="W2212" s="38"/>
      <c r="X2212" s="14"/>
      <c r="AG2212" s="53">
        <f>12.45</f>
        <v>12.45</v>
      </c>
      <c r="AN2212" s="7" t="s">
        <v>69</v>
      </c>
      <c r="AO2212" s="21">
        <f t="shared" si="110"/>
        <v>12.45</v>
      </c>
      <c r="AP2212" s="7">
        <f t="shared" si="111"/>
        <v>0</v>
      </c>
      <c r="AQ2212" s="31" t="str">
        <f t="shared" si="112"/>
        <v>Complete - With Adjustment</v>
      </c>
    </row>
    <row r="2213" spans="1:43" x14ac:dyDescent="0.2">
      <c r="A2213" s="46">
        <v>2203</v>
      </c>
      <c r="B2213" s="38" t="s">
        <v>266</v>
      </c>
      <c r="C2213" s="38" t="s">
        <v>283</v>
      </c>
      <c r="D2213" s="38" t="s">
        <v>282</v>
      </c>
      <c r="E2213" s="38" t="s">
        <v>5387</v>
      </c>
      <c r="F2213" s="38" t="s">
        <v>5388</v>
      </c>
      <c r="G2213" s="38" t="s">
        <v>111</v>
      </c>
      <c r="H2213" s="44">
        <v>44103</v>
      </c>
      <c r="I2213" s="44">
        <v>44105</v>
      </c>
      <c r="J2213">
        <v>12288.79</v>
      </c>
      <c r="K2213">
        <v>0.65</v>
      </c>
      <c r="L2213" t="s">
        <v>5389</v>
      </c>
      <c r="M2213" s="45" t="s">
        <v>97</v>
      </c>
      <c r="N2213" s="38" t="s">
        <v>230</v>
      </c>
      <c r="O2213" s="38" t="s">
        <v>284</v>
      </c>
      <c r="P2213" s="38" t="s">
        <v>64</v>
      </c>
      <c r="Q2213" s="38" t="s">
        <v>41</v>
      </c>
      <c r="R2213" s="38" t="s">
        <v>270</v>
      </c>
      <c r="S2213" s="38" t="s">
        <v>5390</v>
      </c>
      <c r="T2213" s="38" t="s">
        <v>5392</v>
      </c>
      <c r="U2213" s="38"/>
      <c r="V2213" s="38"/>
      <c r="W2213" s="38"/>
      <c r="X2213" s="14"/>
      <c r="AG2213" s="53">
        <f>0.65</f>
        <v>0.65</v>
      </c>
      <c r="AN2213" s="7" t="s">
        <v>69</v>
      </c>
      <c r="AO2213" s="21">
        <f t="shared" si="110"/>
        <v>0.65</v>
      </c>
      <c r="AP2213" s="7">
        <f t="shared" si="111"/>
        <v>0</v>
      </c>
      <c r="AQ2213" s="31" t="str">
        <f t="shared" si="112"/>
        <v>Complete - With Adjustment</v>
      </c>
    </row>
    <row r="2214" spans="1:43" x14ac:dyDescent="0.2">
      <c r="A2214" s="46">
        <v>2204</v>
      </c>
      <c r="B2214" s="38" t="s">
        <v>266</v>
      </c>
      <c r="C2214" s="38" t="s">
        <v>283</v>
      </c>
      <c r="D2214" s="38" t="s">
        <v>282</v>
      </c>
      <c r="E2214" s="38" t="s">
        <v>5387</v>
      </c>
      <c r="F2214" s="38" t="s">
        <v>5388</v>
      </c>
      <c r="G2214" s="38" t="s">
        <v>111</v>
      </c>
      <c r="H2214" s="44">
        <v>44103</v>
      </c>
      <c r="I2214" s="44">
        <v>44105</v>
      </c>
      <c r="J2214">
        <v>12288.79</v>
      </c>
      <c r="K2214">
        <v>12.29</v>
      </c>
      <c r="L2214" t="s">
        <v>5389</v>
      </c>
      <c r="M2214" s="45" t="s">
        <v>98</v>
      </c>
      <c r="N2214" s="38" t="s">
        <v>230</v>
      </c>
      <c r="O2214" s="38" t="s">
        <v>284</v>
      </c>
      <c r="P2214" s="38" t="s">
        <v>60</v>
      </c>
      <c r="Q2214" s="38" t="s">
        <v>41</v>
      </c>
      <c r="R2214" s="38" t="s">
        <v>270</v>
      </c>
      <c r="S2214" s="38" t="s">
        <v>5390</v>
      </c>
      <c r="T2214" s="38" t="s">
        <v>5392</v>
      </c>
      <c r="U2214" s="38"/>
      <c r="V2214" s="38"/>
      <c r="W2214" s="38"/>
      <c r="X2214" s="14"/>
      <c r="AN2214" s="7" t="s">
        <v>4219</v>
      </c>
      <c r="AO2214" s="21">
        <f t="shared" si="110"/>
        <v>0</v>
      </c>
      <c r="AP2214" s="7">
        <f t="shared" si="111"/>
        <v>12.29</v>
      </c>
      <c r="AQ2214" s="31" t="str">
        <f t="shared" si="112"/>
        <v>Complete - No Adjustment</v>
      </c>
    </row>
    <row r="2215" spans="1:43" x14ac:dyDescent="0.2">
      <c r="A2215" s="46">
        <v>2205</v>
      </c>
      <c r="B2215" s="38" t="s">
        <v>266</v>
      </c>
      <c r="C2215" s="38" t="s">
        <v>283</v>
      </c>
      <c r="D2215" s="38" t="s">
        <v>282</v>
      </c>
      <c r="E2215" s="38" t="s">
        <v>5387</v>
      </c>
      <c r="F2215" s="38" t="s">
        <v>5388</v>
      </c>
      <c r="G2215" s="38" t="s">
        <v>111</v>
      </c>
      <c r="H2215" s="44">
        <v>44103</v>
      </c>
      <c r="I2215" s="44">
        <v>44105</v>
      </c>
      <c r="J2215">
        <v>12288.79</v>
      </c>
      <c r="K2215">
        <v>0.71</v>
      </c>
      <c r="L2215" t="s">
        <v>5389</v>
      </c>
      <c r="M2215" s="45" t="s">
        <v>97</v>
      </c>
      <c r="N2215" s="38" t="s">
        <v>230</v>
      </c>
      <c r="O2215" s="38" t="s">
        <v>284</v>
      </c>
      <c r="P2215" s="38" t="s">
        <v>64</v>
      </c>
      <c r="Q2215" s="38" t="s">
        <v>41</v>
      </c>
      <c r="R2215" s="38" t="s">
        <v>270</v>
      </c>
      <c r="S2215" s="38" t="s">
        <v>5390</v>
      </c>
      <c r="T2215" s="38" t="s">
        <v>5392</v>
      </c>
      <c r="U2215" s="38"/>
      <c r="V2215" s="38"/>
      <c r="W2215" s="38"/>
      <c r="X2215" s="14"/>
      <c r="AG2215" s="53">
        <f>0.71</f>
        <v>0.71</v>
      </c>
      <c r="AN2215" s="7" t="s">
        <v>69</v>
      </c>
      <c r="AO2215" s="21">
        <f t="shared" si="110"/>
        <v>0.71</v>
      </c>
      <c r="AP2215" s="7">
        <f t="shared" si="111"/>
        <v>0</v>
      </c>
      <c r="AQ2215" s="31" t="str">
        <f t="shared" si="112"/>
        <v>Complete - With Adjustment</v>
      </c>
    </row>
    <row r="2216" spans="1:43" x14ac:dyDescent="0.2">
      <c r="A2216" s="46">
        <v>2206</v>
      </c>
      <c r="B2216" s="38" t="s">
        <v>266</v>
      </c>
      <c r="C2216" s="38" t="s">
        <v>283</v>
      </c>
      <c r="D2216" s="38" t="s">
        <v>282</v>
      </c>
      <c r="E2216" s="38" t="s">
        <v>5387</v>
      </c>
      <c r="F2216" s="38" t="s">
        <v>5388</v>
      </c>
      <c r="G2216" s="38" t="s">
        <v>111</v>
      </c>
      <c r="H2216" s="44">
        <v>44103</v>
      </c>
      <c r="I2216" s="44">
        <v>44105</v>
      </c>
      <c r="J2216">
        <v>12288.79</v>
      </c>
      <c r="K2216">
        <v>13.51</v>
      </c>
      <c r="L2216" t="s">
        <v>5389</v>
      </c>
      <c r="M2216" s="45" t="s">
        <v>98</v>
      </c>
      <c r="N2216" s="38" t="s">
        <v>230</v>
      </c>
      <c r="O2216" s="38" t="s">
        <v>284</v>
      </c>
      <c r="P2216" s="38" t="s">
        <v>60</v>
      </c>
      <c r="Q2216" s="38" t="s">
        <v>41</v>
      </c>
      <c r="R2216" s="38" t="s">
        <v>270</v>
      </c>
      <c r="S2216" s="38" t="s">
        <v>5390</v>
      </c>
      <c r="T2216" s="38" t="s">
        <v>5392</v>
      </c>
      <c r="U2216" s="38"/>
      <c r="V2216" s="38"/>
      <c r="W2216" s="38"/>
      <c r="X2216" s="14"/>
      <c r="AN2216" s="7" t="s">
        <v>4219</v>
      </c>
      <c r="AO2216" s="21">
        <f t="shared" si="110"/>
        <v>0</v>
      </c>
      <c r="AP2216" s="7">
        <f t="shared" si="111"/>
        <v>13.51</v>
      </c>
      <c r="AQ2216" s="31" t="str">
        <f t="shared" si="112"/>
        <v>Complete - No Adjustment</v>
      </c>
    </row>
    <row r="2217" spans="1:43" x14ac:dyDescent="0.2">
      <c r="A2217" s="46">
        <v>2207</v>
      </c>
      <c r="B2217" s="38" t="s">
        <v>266</v>
      </c>
      <c r="C2217" s="38" t="s">
        <v>283</v>
      </c>
      <c r="D2217" s="38" t="s">
        <v>282</v>
      </c>
      <c r="E2217" s="38" t="s">
        <v>5387</v>
      </c>
      <c r="F2217" s="38" t="s">
        <v>5388</v>
      </c>
      <c r="G2217" s="38" t="s">
        <v>111</v>
      </c>
      <c r="H2217" s="44">
        <v>44103</v>
      </c>
      <c r="I2217" s="44">
        <v>44105</v>
      </c>
      <c r="J2217">
        <v>12288.79</v>
      </c>
      <c r="K2217">
        <v>0.6</v>
      </c>
      <c r="L2217" t="s">
        <v>5389</v>
      </c>
      <c r="M2217" s="45" t="s">
        <v>97</v>
      </c>
      <c r="N2217" s="38" t="s">
        <v>230</v>
      </c>
      <c r="O2217" s="38" t="s">
        <v>284</v>
      </c>
      <c r="P2217" s="38" t="s">
        <v>64</v>
      </c>
      <c r="Q2217" s="38" t="s">
        <v>41</v>
      </c>
      <c r="R2217" s="38" t="s">
        <v>270</v>
      </c>
      <c r="S2217" s="38" t="s">
        <v>5390</v>
      </c>
      <c r="T2217" s="38" t="s">
        <v>5392</v>
      </c>
      <c r="U2217" s="38"/>
      <c r="V2217" s="38"/>
      <c r="W2217" s="38"/>
      <c r="X2217" s="14"/>
      <c r="AG2217" s="53">
        <f>0.6</f>
        <v>0.6</v>
      </c>
      <c r="AN2217" s="7" t="s">
        <v>69</v>
      </c>
      <c r="AO2217" s="21">
        <f t="shared" si="110"/>
        <v>0.6</v>
      </c>
      <c r="AP2217" s="7">
        <f t="shared" si="111"/>
        <v>0</v>
      </c>
      <c r="AQ2217" s="31" t="str">
        <f t="shared" si="112"/>
        <v>Complete - With Adjustment</v>
      </c>
    </row>
    <row r="2218" spans="1:43" x14ac:dyDescent="0.2">
      <c r="A2218" s="46">
        <v>2208</v>
      </c>
      <c r="B2218" s="38" t="s">
        <v>266</v>
      </c>
      <c r="C2218" s="38" t="s">
        <v>283</v>
      </c>
      <c r="D2218" s="38" t="s">
        <v>282</v>
      </c>
      <c r="E2218" s="38" t="s">
        <v>5387</v>
      </c>
      <c r="F2218" s="38" t="s">
        <v>5388</v>
      </c>
      <c r="G2218" s="38" t="s">
        <v>111</v>
      </c>
      <c r="H2218" s="44">
        <v>44103</v>
      </c>
      <c r="I2218" s="44">
        <v>44105</v>
      </c>
      <c r="J2218">
        <v>12288.79</v>
      </c>
      <c r="K2218">
        <v>11.31</v>
      </c>
      <c r="L2218" t="s">
        <v>5389</v>
      </c>
      <c r="M2218" s="45" t="s">
        <v>98</v>
      </c>
      <c r="N2218" s="38" t="s">
        <v>230</v>
      </c>
      <c r="O2218" s="38" t="s">
        <v>284</v>
      </c>
      <c r="P2218" s="38" t="s">
        <v>60</v>
      </c>
      <c r="Q2218" s="38" t="s">
        <v>41</v>
      </c>
      <c r="R2218" s="38" t="s">
        <v>270</v>
      </c>
      <c r="S2218" s="38" t="s">
        <v>5390</v>
      </c>
      <c r="T2218" s="38" t="s">
        <v>5392</v>
      </c>
      <c r="U2218" s="38"/>
      <c r="V2218" s="38"/>
      <c r="W2218" s="38"/>
      <c r="X2218" s="14"/>
      <c r="AN2218" s="7" t="s">
        <v>4219</v>
      </c>
      <c r="AO2218" s="21">
        <f t="shared" si="110"/>
        <v>0</v>
      </c>
      <c r="AP2218" s="7">
        <f t="shared" si="111"/>
        <v>11.31</v>
      </c>
      <c r="AQ2218" s="31" t="str">
        <f t="shared" si="112"/>
        <v>Complete - No Adjustment</v>
      </c>
    </row>
    <row r="2219" spans="1:43" x14ac:dyDescent="0.2">
      <c r="A2219" s="46">
        <v>2209</v>
      </c>
      <c r="B2219" s="38" t="s">
        <v>266</v>
      </c>
      <c r="C2219" s="38" t="s">
        <v>516</v>
      </c>
      <c r="D2219" s="38" t="s">
        <v>515</v>
      </c>
      <c r="E2219" s="38" t="s">
        <v>5400</v>
      </c>
      <c r="F2219" s="38" t="s">
        <v>5388</v>
      </c>
      <c r="G2219" s="38" t="s">
        <v>111</v>
      </c>
      <c r="H2219" s="44">
        <v>44102</v>
      </c>
      <c r="I2219" s="44">
        <v>44105</v>
      </c>
      <c r="J2219">
        <v>428.44</v>
      </c>
      <c r="K2219">
        <v>113.26</v>
      </c>
      <c r="L2219" t="s">
        <v>5401</v>
      </c>
      <c r="M2219" s="45" t="s">
        <v>98</v>
      </c>
      <c r="N2219" s="38" t="s">
        <v>230</v>
      </c>
      <c r="O2219" s="38" t="s">
        <v>444</v>
      </c>
      <c r="P2219" s="38" t="s">
        <v>60</v>
      </c>
      <c r="Q2219" s="38" t="s">
        <v>41</v>
      </c>
      <c r="R2219" s="38" t="s">
        <v>270</v>
      </c>
      <c r="S2219" s="38" t="s">
        <v>5402</v>
      </c>
      <c r="T2219" s="38" t="s">
        <v>5403</v>
      </c>
      <c r="U2219" s="38"/>
      <c r="V2219" s="38"/>
      <c r="W2219" s="38"/>
      <c r="X2219" s="14"/>
      <c r="AB2219" s="14">
        <f>88-(25*3)</f>
        <v>13</v>
      </c>
      <c r="AN2219" s="7" t="s">
        <v>66</v>
      </c>
      <c r="AO2219" s="21">
        <f t="shared" si="110"/>
        <v>13</v>
      </c>
      <c r="AP2219" s="7">
        <f t="shared" si="111"/>
        <v>100.26</v>
      </c>
      <c r="AQ2219" s="31" t="str">
        <f t="shared" si="112"/>
        <v>Complete - With Adjustment</v>
      </c>
    </row>
    <row r="2220" spans="1:43" x14ac:dyDescent="0.2">
      <c r="A2220" s="46">
        <v>2210</v>
      </c>
      <c r="B2220" s="38" t="s">
        <v>266</v>
      </c>
      <c r="C2220" s="38" t="s">
        <v>516</v>
      </c>
      <c r="D2220" s="38" t="s">
        <v>515</v>
      </c>
      <c r="E2220" s="38" t="s">
        <v>5400</v>
      </c>
      <c r="F2220" s="38" t="s">
        <v>5388</v>
      </c>
      <c r="G2220" s="38" t="s">
        <v>111</v>
      </c>
      <c r="H2220" s="44">
        <v>44102</v>
      </c>
      <c r="I2220" s="44">
        <v>44105</v>
      </c>
      <c r="J2220">
        <v>428.44</v>
      </c>
      <c r="K2220">
        <v>14.81</v>
      </c>
      <c r="L2220" t="s">
        <v>5401</v>
      </c>
      <c r="M2220" s="45" t="s">
        <v>98</v>
      </c>
      <c r="N2220" s="38" t="s">
        <v>230</v>
      </c>
      <c r="O2220" s="38" t="s">
        <v>444</v>
      </c>
      <c r="P2220" s="38" t="s">
        <v>60</v>
      </c>
      <c r="Q2220" s="38" t="s">
        <v>41</v>
      </c>
      <c r="R2220" s="38" t="s">
        <v>270</v>
      </c>
      <c r="S2220" s="38" t="s">
        <v>5402</v>
      </c>
      <c r="T2220" s="38" t="s">
        <v>5404</v>
      </c>
      <c r="U2220" s="38"/>
      <c r="V2220" s="38"/>
      <c r="W2220" s="38"/>
      <c r="X2220" s="14"/>
      <c r="AN2220" s="7" t="s">
        <v>155</v>
      </c>
      <c r="AO2220" s="21">
        <f t="shared" si="110"/>
        <v>0</v>
      </c>
      <c r="AP2220" s="7">
        <f t="shared" si="111"/>
        <v>14.81</v>
      </c>
      <c r="AQ2220" s="31" t="str">
        <f t="shared" si="112"/>
        <v>Complete - No Adjustment</v>
      </c>
    </row>
    <row r="2221" spans="1:43" x14ac:dyDescent="0.2">
      <c r="A2221" s="46">
        <v>2211</v>
      </c>
      <c r="B2221" s="38" t="s">
        <v>266</v>
      </c>
      <c r="C2221" s="38" t="s">
        <v>516</v>
      </c>
      <c r="D2221" s="38" t="s">
        <v>515</v>
      </c>
      <c r="E2221" s="38" t="s">
        <v>5400</v>
      </c>
      <c r="F2221" s="38" t="s">
        <v>5388</v>
      </c>
      <c r="G2221" s="38" t="s">
        <v>111</v>
      </c>
      <c r="H2221" s="44">
        <v>44102</v>
      </c>
      <c r="I2221" s="44">
        <v>44105</v>
      </c>
      <c r="J2221">
        <v>428.44</v>
      </c>
      <c r="K2221">
        <v>84.29</v>
      </c>
      <c r="L2221" t="s">
        <v>5401</v>
      </c>
      <c r="M2221" s="45" t="s">
        <v>98</v>
      </c>
      <c r="N2221" s="38" t="s">
        <v>230</v>
      </c>
      <c r="O2221" s="38" t="s">
        <v>444</v>
      </c>
      <c r="P2221" s="38" t="s">
        <v>60</v>
      </c>
      <c r="Q2221" s="38" t="s">
        <v>62</v>
      </c>
      <c r="R2221" s="38" t="s">
        <v>270</v>
      </c>
      <c r="S2221" s="38" t="s">
        <v>5402</v>
      </c>
      <c r="T2221" s="38" t="s">
        <v>5405</v>
      </c>
      <c r="U2221" s="38"/>
      <c r="V2221" s="38"/>
      <c r="W2221" s="38"/>
      <c r="X2221" s="14"/>
      <c r="AN2221" s="7" t="s">
        <v>155</v>
      </c>
      <c r="AO2221" s="21">
        <f t="shared" si="110"/>
        <v>0</v>
      </c>
      <c r="AP2221" s="7">
        <f t="shared" si="111"/>
        <v>84.29</v>
      </c>
      <c r="AQ2221" s="31" t="str">
        <f t="shared" si="112"/>
        <v>Complete - No Adjustment</v>
      </c>
    </row>
    <row r="2222" spans="1:43" x14ac:dyDescent="0.2">
      <c r="A2222" s="46">
        <v>2212</v>
      </c>
      <c r="B2222" s="38" t="s">
        <v>266</v>
      </c>
      <c r="C2222" s="38" t="s">
        <v>516</v>
      </c>
      <c r="D2222" s="38" t="s">
        <v>515</v>
      </c>
      <c r="E2222" s="38" t="s">
        <v>5400</v>
      </c>
      <c r="F2222" s="38" t="s">
        <v>5388</v>
      </c>
      <c r="G2222" s="38" t="s">
        <v>111</v>
      </c>
      <c r="H2222" s="44">
        <v>44102</v>
      </c>
      <c r="I2222" s="44">
        <v>44105</v>
      </c>
      <c r="J2222">
        <v>428.44</v>
      </c>
      <c r="K2222">
        <v>15</v>
      </c>
      <c r="L2222" t="s">
        <v>5401</v>
      </c>
      <c r="M2222" s="45" t="s">
        <v>98</v>
      </c>
      <c r="N2222" s="38" t="s">
        <v>230</v>
      </c>
      <c r="O2222" s="38" t="s">
        <v>444</v>
      </c>
      <c r="P2222" s="38" t="s">
        <v>60</v>
      </c>
      <c r="Q2222" s="38" t="s">
        <v>41</v>
      </c>
      <c r="R2222" s="38" t="s">
        <v>270</v>
      </c>
      <c r="S2222" s="38" t="s">
        <v>5402</v>
      </c>
      <c r="T2222" s="38" t="s">
        <v>5406</v>
      </c>
      <c r="U2222" s="38"/>
      <c r="V2222" s="38"/>
      <c r="W2222" s="38"/>
      <c r="X2222" s="14"/>
      <c r="AL2222" s="14">
        <f>15</f>
        <v>15</v>
      </c>
      <c r="AN2222" s="7" t="s">
        <v>146</v>
      </c>
      <c r="AO2222" s="21">
        <f t="shared" si="110"/>
        <v>15</v>
      </c>
      <c r="AP2222" s="7">
        <f t="shared" si="111"/>
        <v>0</v>
      </c>
      <c r="AQ2222" s="31" t="str">
        <f t="shared" si="112"/>
        <v>Complete - With Adjustment</v>
      </c>
    </row>
    <row r="2223" spans="1:43" x14ac:dyDescent="0.2">
      <c r="A2223" s="46">
        <v>2213</v>
      </c>
      <c r="B2223" s="38" t="s">
        <v>266</v>
      </c>
      <c r="C2223" s="38" t="s">
        <v>516</v>
      </c>
      <c r="D2223" s="38" t="s">
        <v>515</v>
      </c>
      <c r="E2223" s="38" t="s">
        <v>5400</v>
      </c>
      <c r="F2223" s="38" t="s">
        <v>5388</v>
      </c>
      <c r="G2223" s="38" t="s">
        <v>111</v>
      </c>
      <c r="H2223" s="44">
        <v>44102</v>
      </c>
      <c r="I2223" s="44">
        <v>44105</v>
      </c>
      <c r="J2223">
        <v>428.44</v>
      </c>
      <c r="K2223">
        <v>51.02</v>
      </c>
      <c r="L2223" t="s">
        <v>5401</v>
      </c>
      <c r="M2223" s="45" t="s">
        <v>98</v>
      </c>
      <c r="N2223" s="38" t="s">
        <v>230</v>
      </c>
      <c r="O2223" s="38" t="s">
        <v>444</v>
      </c>
      <c r="P2223" s="38" t="s">
        <v>60</v>
      </c>
      <c r="Q2223" s="38" t="s">
        <v>41</v>
      </c>
      <c r="R2223" s="38" t="s">
        <v>270</v>
      </c>
      <c r="S2223" s="38" t="s">
        <v>5402</v>
      </c>
      <c r="T2223" s="38" t="s">
        <v>5407</v>
      </c>
      <c r="U2223" s="38"/>
      <c r="V2223" s="38"/>
      <c r="W2223" s="38"/>
      <c r="X2223" s="14"/>
      <c r="AL2223" s="14">
        <f>51.02</f>
        <v>51.02</v>
      </c>
      <c r="AN2223" s="7" t="s">
        <v>146</v>
      </c>
      <c r="AO2223" s="21">
        <f t="shared" si="110"/>
        <v>51.02</v>
      </c>
      <c r="AP2223" s="7">
        <f t="shared" si="111"/>
        <v>0</v>
      </c>
      <c r="AQ2223" s="31" t="str">
        <f t="shared" si="112"/>
        <v>Complete - With Adjustment</v>
      </c>
    </row>
    <row r="2224" spans="1:43" x14ac:dyDescent="0.2">
      <c r="A2224" s="46">
        <v>2214</v>
      </c>
      <c r="B2224" s="38" t="s">
        <v>266</v>
      </c>
      <c r="C2224" s="38" t="s">
        <v>516</v>
      </c>
      <c r="D2224" s="38" t="s">
        <v>515</v>
      </c>
      <c r="E2224" s="38" t="s">
        <v>5400</v>
      </c>
      <c r="F2224" s="38" t="s">
        <v>5388</v>
      </c>
      <c r="G2224" s="38" t="s">
        <v>111</v>
      </c>
      <c r="H2224" s="44">
        <v>44102</v>
      </c>
      <c r="I2224" s="44">
        <v>44105</v>
      </c>
      <c r="J2224">
        <v>428.44</v>
      </c>
      <c r="K2224">
        <v>35.53</v>
      </c>
      <c r="L2224" t="s">
        <v>5401</v>
      </c>
      <c r="M2224" s="45" t="s">
        <v>98</v>
      </c>
      <c r="N2224" s="38" t="s">
        <v>230</v>
      </c>
      <c r="O2224" s="38" t="s">
        <v>444</v>
      </c>
      <c r="P2224" s="38" t="s">
        <v>60</v>
      </c>
      <c r="Q2224" s="38" t="s">
        <v>41</v>
      </c>
      <c r="R2224" s="38" t="s">
        <v>270</v>
      </c>
      <c r="S2224" s="38" t="s">
        <v>5402</v>
      </c>
      <c r="T2224" s="38" t="s">
        <v>5407</v>
      </c>
      <c r="U2224" s="38"/>
      <c r="V2224" s="38"/>
      <c r="W2224" s="38"/>
      <c r="X2224" s="14"/>
      <c r="AN2224" s="7" t="s">
        <v>70</v>
      </c>
      <c r="AO2224" s="21">
        <f t="shared" si="110"/>
        <v>0</v>
      </c>
      <c r="AP2224" s="7">
        <f t="shared" si="111"/>
        <v>35.53</v>
      </c>
      <c r="AQ2224" s="31" t="str">
        <f t="shared" si="112"/>
        <v>Complete - No Adjustment</v>
      </c>
    </row>
    <row r="2225" spans="1:43" x14ac:dyDescent="0.2">
      <c r="A2225" s="46">
        <v>2215</v>
      </c>
      <c r="B2225" s="38" t="s">
        <v>266</v>
      </c>
      <c r="C2225" s="38" t="s">
        <v>516</v>
      </c>
      <c r="D2225" s="38" t="s">
        <v>515</v>
      </c>
      <c r="E2225" s="38" t="s">
        <v>5400</v>
      </c>
      <c r="F2225" s="38" t="s">
        <v>5388</v>
      </c>
      <c r="G2225" s="38" t="s">
        <v>111</v>
      </c>
      <c r="H2225" s="44">
        <v>44102</v>
      </c>
      <c r="I2225" s="44">
        <v>44105</v>
      </c>
      <c r="J2225">
        <v>428.44</v>
      </c>
      <c r="K2225">
        <v>71.56</v>
      </c>
      <c r="L2225" t="s">
        <v>5401</v>
      </c>
      <c r="M2225" s="45" t="s">
        <v>98</v>
      </c>
      <c r="N2225" s="38" t="s">
        <v>230</v>
      </c>
      <c r="O2225" s="38" t="s">
        <v>444</v>
      </c>
      <c r="P2225" s="38" t="s">
        <v>60</v>
      </c>
      <c r="Q2225" s="38" t="s">
        <v>41</v>
      </c>
      <c r="R2225" s="38" t="s">
        <v>270</v>
      </c>
      <c r="S2225" s="38" t="s">
        <v>5402</v>
      </c>
      <c r="T2225" s="38" t="s">
        <v>5408</v>
      </c>
      <c r="U2225" s="38"/>
      <c r="V2225" s="38"/>
      <c r="W2225" s="38"/>
      <c r="X2225" s="14"/>
      <c r="AN2225" s="7" t="s">
        <v>70</v>
      </c>
      <c r="AO2225" s="21">
        <f t="shared" si="110"/>
        <v>0</v>
      </c>
      <c r="AP2225" s="7">
        <f t="shared" si="111"/>
        <v>71.56</v>
      </c>
      <c r="AQ2225" s="31" t="str">
        <f t="shared" si="112"/>
        <v>Complete - No Adjustment</v>
      </c>
    </row>
    <row r="2226" spans="1:43" x14ac:dyDescent="0.2">
      <c r="A2226" s="46">
        <v>2216</v>
      </c>
      <c r="B2226" s="38" t="s">
        <v>266</v>
      </c>
      <c r="C2226" s="38" t="s">
        <v>516</v>
      </c>
      <c r="D2226" s="38" t="s">
        <v>515</v>
      </c>
      <c r="E2226" s="38" t="s">
        <v>5400</v>
      </c>
      <c r="F2226" s="38" t="s">
        <v>5388</v>
      </c>
      <c r="G2226" s="38" t="s">
        <v>111</v>
      </c>
      <c r="H2226" s="44">
        <v>44102</v>
      </c>
      <c r="I2226" s="44">
        <v>44105</v>
      </c>
      <c r="J2226">
        <v>428.44</v>
      </c>
      <c r="K2226">
        <v>15</v>
      </c>
      <c r="L2226" t="s">
        <v>5401</v>
      </c>
      <c r="M2226" s="45" t="s">
        <v>98</v>
      </c>
      <c r="N2226" s="38" t="s">
        <v>230</v>
      </c>
      <c r="O2226" s="38" t="s">
        <v>444</v>
      </c>
      <c r="P2226" s="38" t="s">
        <v>60</v>
      </c>
      <c r="Q2226" s="38" t="s">
        <v>41</v>
      </c>
      <c r="R2226" s="38" t="s">
        <v>270</v>
      </c>
      <c r="S2226" s="38" t="s">
        <v>5402</v>
      </c>
      <c r="T2226" s="38" t="s">
        <v>5409</v>
      </c>
      <c r="U2226" s="38"/>
      <c r="V2226" s="38"/>
      <c r="W2226" s="38"/>
      <c r="X2226" s="14"/>
      <c r="AN2226" s="7" t="s">
        <v>155</v>
      </c>
      <c r="AO2226" s="21">
        <f t="shared" si="110"/>
        <v>0</v>
      </c>
      <c r="AP2226" s="7">
        <f t="shared" si="111"/>
        <v>15</v>
      </c>
      <c r="AQ2226" s="31" t="str">
        <f t="shared" si="112"/>
        <v>Complete - No Adjustment</v>
      </c>
    </row>
    <row r="2227" spans="1:43" x14ac:dyDescent="0.2">
      <c r="A2227" s="46">
        <v>2217</v>
      </c>
      <c r="B2227" s="38" t="s">
        <v>266</v>
      </c>
      <c r="C2227" s="38" t="s">
        <v>516</v>
      </c>
      <c r="D2227" s="38" t="s">
        <v>515</v>
      </c>
      <c r="E2227" s="38" t="s">
        <v>5400</v>
      </c>
      <c r="F2227" s="38" t="s">
        <v>5388</v>
      </c>
      <c r="G2227" s="38" t="s">
        <v>111</v>
      </c>
      <c r="H2227" s="44">
        <v>44102</v>
      </c>
      <c r="I2227" s="44">
        <v>44105</v>
      </c>
      <c r="J2227">
        <v>428.44</v>
      </c>
      <c r="K2227">
        <v>27.97</v>
      </c>
      <c r="L2227" t="s">
        <v>5401</v>
      </c>
      <c r="M2227" s="45" t="s">
        <v>98</v>
      </c>
      <c r="N2227" s="38" t="s">
        <v>230</v>
      </c>
      <c r="O2227" s="38" t="s">
        <v>444</v>
      </c>
      <c r="P2227" s="38" t="s">
        <v>60</v>
      </c>
      <c r="Q2227" s="38" t="s">
        <v>41</v>
      </c>
      <c r="R2227" s="38" t="s">
        <v>270</v>
      </c>
      <c r="S2227" s="38" t="s">
        <v>5402</v>
      </c>
      <c r="T2227" s="38" t="s">
        <v>5410</v>
      </c>
      <c r="U2227" s="38"/>
      <c r="V2227" s="38"/>
      <c r="W2227" s="38"/>
      <c r="X2227" s="14"/>
      <c r="AN2227" s="7" t="s">
        <v>70</v>
      </c>
      <c r="AO2227" s="21">
        <f t="shared" si="110"/>
        <v>0</v>
      </c>
      <c r="AP2227" s="7">
        <f t="shared" si="111"/>
        <v>27.97</v>
      </c>
      <c r="AQ2227" s="31" t="str">
        <f t="shared" si="112"/>
        <v>Complete - No Adjustment</v>
      </c>
    </row>
    <row r="2228" spans="1:43" x14ac:dyDescent="0.2">
      <c r="A2228" s="46">
        <v>2218</v>
      </c>
      <c r="B2228" s="38" t="s">
        <v>266</v>
      </c>
      <c r="C2228" s="38" t="s">
        <v>83</v>
      </c>
      <c r="D2228" s="38" t="s">
        <v>102</v>
      </c>
      <c r="E2228" s="38" t="s">
        <v>5411</v>
      </c>
      <c r="F2228" s="38" t="s">
        <v>5412</v>
      </c>
      <c r="G2228" s="38" t="s">
        <v>111</v>
      </c>
      <c r="H2228" s="44">
        <v>44085</v>
      </c>
      <c r="I2228" s="44">
        <v>44117</v>
      </c>
      <c r="J2228">
        <v>37.450000000000003</v>
      </c>
      <c r="K2228">
        <v>37.450000000000003</v>
      </c>
      <c r="L2228" t="s">
        <v>5413</v>
      </c>
      <c r="M2228" s="45" t="s">
        <v>98</v>
      </c>
      <c r="N2228" s="38" t="s">
        <v>230</v>
      </c>
      <c r="O2228" s="38" t="s">
        <v>103</v>
      </c>
      <c r="P2228" s="38" t="s">
        <v>60</v>
      </c>
      <c r="Q2228" s="38" t="s">
        <v>74</v>
      </c>
      <c r="R2228" s="38" t="s">
        <v>270</v>
      </c>
      <c r="S2228" s="38" t="s">
        <v>5414</v>
      </c>
      <c r="T2228" s="38" t="s">
        <v>5415</v>
      </c>
      <c r="U2228" s="38"/>
      <c r="V2228" s="38"/>
      <c r="W2228" s="38"/>
      <c r="X2228" s="14"/>
      <c r="AN2228" s="7" t="s">
        <v>70</v>
      </c>
      <c r="AO2228" s="21">
        <f t="shared" si="110"/>
        <v>0</v>
      </c>
      <c r="AP2228" s="7">
        <f t="shared" si="111"/>
        <v>37.450000000000003</v>
      </c>
      <c r="AQ2228" s="31" t="str">
        <f t="shared" si="112"/>
        <v>Complete - No Adjustment</v>
      </c>
    </row>
    <row r="2229" spans="1:43" x14ac:dyDescent="0.2">
      <c r="A2229" s="46">
        <v>2219</v>
      </c>
      <c r="B2229" s="38" t="s">
        <v>266</v>
      </c>
      <c r="C2229" s="38" t="s">
        <v>5416</v>
      </c>
      <c r="D2229" s="38" t="s">
        <v>5417</v>
      </c>
      <c r="E2229" s="38" t="s">
        <v>5418</v>
      </c>
      <c r="F2229" s="38" t="s">
        <v>5388</v>
      </c>
      <c r="G2229" s="38" t="s">
        <v>111</v>
      </c>
      <c r="H2229" s="44">
        <v>44103</v>
      </c>
      <c r="I2229" s="44">
        <v>44105</v>
      </c>
      <c r="J2229">
        <v>416.53</v>
      </c>
      <c r="K2229">
        <v>15</v>
      </c>
      <c r="L2229" t="s">
        <v>5419</v>
      </c>
      <c r="M2229" s="45" t="s">
        <v>98</v>
      </c>
      <c r="N2229" s="38" t="s">
        <v>230</v>
      </c>
      <c r="O2229" s="38" t="s">
        <v>294</v>
      </c>
      <c r="P2229" s="38" t="s">
        <v>60</v>
      </c>
      <c r="Q2229" s="38" t="s">
        <v>41</v>
      </c>
      <c r="R2229" s="38" t="s">
        <v>270</v>
      </c>
      <c r="S2229" s="38" t="s">
        <v>5420</v>
      </c>
      <c r="T2229" s="38" t="s">
        <v>5421</v>
      </c>
      <c r="U2229" s="38"/>
      <c r="V2229" s="38"/>
      <c r="W2229" s="38"/>
      <c r="X2229" s="14"/>
      <c r="AL2229" s="14">
        <f>15</f>
        <v>15</v>
      </c>
      <c r="AN2229" s="7" t="s">
        <v>2957</v>
      </c>
      <c r="AO2229" s="21">
        <f t="shared" si="110"/>
        <v>15</v>
      </c>
      <c r="AP2229" s="7">
        <f t="shared" si="111"/>
        <v>0</v>
      </c>
      <c r="AQ2229" s="31" t="str">
        <f t="shared" si="112"/>
        <v>Complete - With Adjustment</v>
      </c>
    </row>
    <row r="2230" spans="1:43" x14ac:dyDescent="0.2">
      <c r="A2230" s="46">
        <v>2220</v>
      </c>
      <c r="B2230" s="38" t="s">
        <v>266</v>
      </c>
      <c r="C2230" s="38" t="s">
        <v>5416</v>
      </c>
      <c r="D2230" s="38" t="s">
        <v>5417</v>
      </c>
      <c r="E2230" s="38" t="s">
        <v>5418</v>
      </c>
      <c r="F2230" s="38" t="s">
        <v>5388</v>
      </c>
      <c r="G2230" s="38" t="s">
        <v>111</v>
      </c>
      <c r="H2230" s="44">
        <v>44103</v>
      </c>
      <c r="I2230" s="44">
        <v>44105</v>
      </c>
      <c r="J2230">
        <v>416.53</v>
      </c>
      <c r="K2230">
        <v>15</v>
      </c>
      <c r="L2230" t="s">
        <v>5419</v>
      </c>
      <c r="M2230" s="45" t="s">
        <v>98</v>
      </c>
      <c r="N2230" s="38" t="s">
        <v>230</v>
      </c>
      <c r="O2230" s="38" t="s">
        <v>294</v>
      </c>
      <c r="P2230" s="38" t="s">
        <v>60</v>
      </c>
      <c r="Q2230" s="38" t="s">
        <v>41</v>
      </c>
      <c r="R2230" s="38" t="s">
        <v>270</v>
      </c>
      <c r="S2230" s="38" t="s">
        <v>5420</v>
      </c>
      <c r="T2230" s="38" t="s">
        <v>5422</v>
      </c>
      <c r="U2230" s="38"/>
      <c r="V2230" s="38"/>
      <c r="W2230" s="38"/>
      <c r="X2230" s="14"/>
      <c r="AL2230" s="14">
        <f>15</f>
        <v>15</v>
      </c>
      <c r="AN2230" s="7" t="s">
        <v>2957</v>
      </c>
      <c r="AO2230" s="21">
        <f t="shared" si="110"/>
        <v>15</v>
      </c>
      <c r="AP2230" s="7">
        <f t="shared" si="111"/>
        <v>0</v>
      </c>
      <c r="AQ2230" s="31" t="str">
        <f t="shared" si="112"/>
        <v>Complete - With Adjustment</v>
      </c>
    </row>
    <row r="2231" spans="1:43" x14ac:dyDescent="0.2">
      <c r="A2231" s="46">
        <v>2221</v>
      </c>
      <c r="B2231" s="38" t="s">
        <v>266</v>
      </c>
      <c r="C2231" s="38" t="s">
        <v>5416</v>
      </c>
      <c r="D2231" s="38" t="s">
        <v>5417</v>
      </c>
      <c r="E2231" s="38" t="s">
        <v>5418</v>
      </c>
      <c r="F2231" s="38" t="s">
        <v>5388</v>
      </c>
      <c r="G2231" s="38" t="s">
        <v>111</v>
      </c>
      <c r="H2231" s="44">
        <v>44103</v>
      </c>
      <c r="I2231" s="44">
        <v>44105</v>
      </c>
      <c r="J2231">
        <v>416.53</v>
      </c>
      <c r="K2231">
        <v>15</v>
      </c>
      <c r="L2231" t="s">
        <v>5419</v>
      </c>
      <c r="M2231" s="45" t="s">
        <v>98</v>
      </c>
      <c r="N2231" s="38" t="s">
        <v>230</v>
      </c>
      <c r="O2231" s="38" t="s">
        <v>294</v>
      </c>
      <c r="P2231" s="38" t="s">
        <v>60</v>
      </c>
      <c r="Q2231" s="38" t="s">
        <v>41</v>
      </c>
      <c r="R2231" s="38" t="s">
        <v>270</v>
      </c>
      <c r="S2231" s="38" t="s">
        <v>5420</v>
      </c>
      <c r="T2231" s="38" t="s">
        <v>5421</v>
      </c>
      <c r="U2231" s="38"/>
      <c r="V2231" s="38"/>
      <c r="W2231" s="38"/>
      <c r="X2231" s="14"/>
      <c r="AL2231" s="14">
        <f>15</f>
        <v>15</v>
      </c>
      <c r="AN2231" s="7" t="s">
        <v>2957</v>
      </c>
      <c r="AO2231" s="21">
        <f t="shared" si="110"/>
        <v>15</v>
      </c>
      <c r="AP2231" s="7">
        <f t="shared" si="111"/>
        <v>0</v>
      </c>
      <c r="AQ2231" s="31" t="str">
        <f t="shared" si="112"/>
        <v>Complete - With Adjustment</v>
      </c>
    </row>
    <row r="2232" spans="1:43" x14ac:dyDescent="0.2">
      <c r="A2232" s="46">
        <v>2222</v>
      </c>
      <c r="B2232" s="38" t="s">
        <v>266</v>
      </c>
      <c r="C2232" s="38" t="s">
        <v>5416</v>
      </c>
      <c r="D2232" s="38" t="s">
        <v>5417</v>
      </c>
      <c r="E2232" s="38" t="s">
        <v>5418</v>
      </c>
      <c r="F2232" s="38" t="s">
        <v>5388</v>
      </c>
      <c r="G2232" s="38" t="s">
        <v>111</v>
      </c>
      <c r="H2232" s="44">
        <v>44103</v>
      </c>
      <c r="I2232" s="44">
        <v>44105</v>
      </c>
      <c r="J2232">
        <v>416.53</v>
      </c>
      <c r="K2232">
        <v>95.02</v>
      </c>
      <c r="L2232" t="s">
        <v>5419</v>
      </c>
      <c r="M2232" s="45" t="s">
        <v>98</v>
      </c>
      <c r="N2232" s="38" t="s">
        <v>230</v>
      </c>
      <c r="O2232" s="38" t="s">
        <v>294</v>
      </c>
      <c r="P2232" s="38" t="s">
        <v>60</v>
      </c>
      <c r="Q2232" s="38" t="s">
        <v>62</v>
      </c>
      <c r="R2232" s="38" t="s">
        <v>270</v>
      </c>
      <c r="S2232" s="38" t="s">
        <v>5420</v>
      </c>
      <c r="T2232" s="38" t="s">
        <v>5423</v>
      </c>
      <c r="U2232" s="38"/>
      <c r="V2232" s="38"/>
      <c r="W2232" s="38"/>
      <c r="X2232" s="14"/>
      <c r="AN2232" s="7" t="s">
        <v>155</v>
      </c>
      <c r="AO2232" s="21">
        <f t="shared" si="110"/>
        <v>0</v>
      </c>
      <c r="AP2232" s="7">
        <f t="shared" si="111"/>
        <v>95.02</v>
      </c>
      <c r="AQ2232" s="31" t="str">
        <f t="shared" si="112"/>
        <v>Complete - No Adjustment</v>
      </c>
    </row>
    <row r="2233" spans="1:43" x14ac:dyDescent="0.2">
      <c r="A2233" s="46">
        <v>2223</v>
      </c>
      <c r="B2233" s="38" t="s">
        <v>266</v>
      </c>
      <c r="C2233" s="38" t="s">
        <v>5416</v>
      </c>
      <c r="D2233" s="38" t="s">
        <v>5417</v>
      </c>
      <c r="E2233" s="38" t="s">
        <v>5418</v>
      </c>
      <c r="F2233" s="38" t="s">
        <v>5388</v>
      </c>
      <c r="G2233" s="38" t="s">
        <v>111</v>
      </c>
      <c r="H2233" s="44">
        <v>44103</v>
      </c>
      <c r="I2233" s="44">
        <v>44105</v>
      </c>
      <c r="J2233">
        <v>416.53</v>
      </c>
      <c r="K2233">
        <v>190.04</v>
      </c>
      <c r="L2233" t="s">
        <v>5419</v>
      </c>
      <c r="M2233" s="45" t="s">
        <v>98</v>
      </c>
      <c r="N2233" s="38" t="s">
        <v>230</v>
      </c>
      <c r="O2233" s="38" t="s">
        <v>294</v>
      </c>
      <c r="P2233" s="38" t="s">
        <v>60</v>
      </c>
      <c r="Q2233" s="38" t="s">
        <v>62</v>
      </c>
      <c r="R2233" s="38" t="s">
        <v>270</v>
      </c>
      <c r="S2233" s="38" t="s">
        <v>5420</v>
      </c>
      <c r="T2233" s="38" t="s">
        <v>5424</v>
      </c>
      <c r="U2233" s="38"/>
      <c r="V2233" s="38"/>
      <c r="W2233" s="38"/>
      <c r="X2233" s="14"/>
      <c r="AN2233" s="7" t="s">
        <v>155</v>
      </c>
      <c r="AO2233" s="21">
        <f t="shared" si="110"/>
        <v>0</v>
      </c>
      <c r="AP2233" s="7">
        <f t="shared" si="111"/>
        <v>190.04</v>
      </c>
      <c r="AQ2233" s="31" t="str">
        <f t="shared" si="112"/>
        <v>Complete - No Adjustment</v>
      </c>
    </row>
    <row r="2234" spans="1:43" x14ac:dyDescent="0.2">
      <c r="A2234" s="46">
        <v>2224</v>
      </c>
      <c r="B2234" s="38" t="s">
        <v>266</v>
      </c>
      <c r="C2234" s="38" t="s">
        <v>5416</v>
      </c>
      <c r="D2234" s="38" t="s">
        <v>5417</v>
      </c>
      <c r="E2234" s="38" t="s">
        <v>5418</v>
      </c>
      <c r="F2234" s="38" t="s">
        <v>5388</v>
      </c>
      <c r="G2234" s="38" t="s">
        <v>111</v>
      </c>
      <c r="H2234" s="44">
        <v>44103</v>
      </c>
      <c r="I2234" s="44">
        <v>44105</v>
      </c>
      <c r="J2234">
        <v>416.53</v>
      </c>
      <c r="K2234">
        <v>86.47</v>
      </c>
      <c r="L2234" t="s">
        <v>5419</v>
      </c>
      <c r="M2234" s="45" t="s">
        <v>98</v>
      </c>
      <c r="N2234" s="38" t="s">
        <v>230</v>
      </c>
      <c r="O2234" s="38" t="s">
        <v>294</v>
      </c>
      <c r="P2234" s="38" t="s">
        <v>60</v>
      </c>
      <c r="Q2234" s="38" t="s">
        <v>62</v>
      </c>
      <c r="R2234" s="38" t="s">
        <v>270</v>
      </c>
      <c r="S2234" s="38" t="s">
        <v>5420</v>
      </c>
      <c r="T2234" s="38" t="s">
        <v>5425</v>
      </c>
      <c r="U2234" s="38"/>
      <c r="V2234" s="38"/>
      <c r="W2234" s="38"/>
      <c r="X2234" s="14"/>
      <c r="AN2234" s="7" t="s">
        <v>155</v>
      </c>
      <c r="AO2234" s="21">
        <f t="shared" si="110"/>
        <v>0</v>
      </c>
      <c r="AP2234" s="7">
        <f t="shared" si="111"/>
        <v>86.47</v>
      </c>
      <c r="AQ2234" s="31" t="str">
        <f t="shared" si="112"/>
        <v>Complete - No Adjustment</v>
      </c>
    </row>
    <row r="2235" spans="1:43" x14ac:dyDescent="0.2">
      <c r="A2235" s="46">
        <v>2225</v>
      </c>
      <c r="B2235" s="38" t="s">
        <v>266</v>
      </c>
      <c r="C2235" s="38" t="s">
        <v>681</v>
      </c>
      <c r="D2235" s="38" t="s">
        <v>3014</v>
      </c>
      <c r="E2235" s="38" t="s">
        <v>5426</v>
      </c>
      <c r="F2235" s="38" t="s">
        <v>5388</v>
      </c>
      <c r="G2235" s="38" t="s">
        <v>111</v>
      </c>
      <c r="H2235" s="44">
        <v>44090</v>
      </c>
      <c r="I2235" s="44">
        <v>44105</v>
      </c>
      <c r="J2235">
        <v>15</v>
      </c>
      <c r="K2235">
        <v>15</v>
      </c>
      <c r="L2235" t="s">
        <v>5427</v>
      </c>
      <c r="M2235" s="45" t="s">
        <v>98</v>
      </c>
      <c r="N2235" s="38" t="s">
        <v>230</v>
      </c>
      <c r="O2235" s="38" t="s">
        <v>78</v>
      </c>
      <c r="P2235" s="38" t="s">
        <v>60</v>
      </c>
      <c r="Q2235" s="38" t="s">
        <v>41</v>
      </c>
      <c r="R2235" s="38" t="s">
        <v>270</v>
      </c>
      <c r="S2235" s="38" t="s">
        <v>5428</v>
      </c>
      <c r="T2235" s="38" t="s">
        <v>5429</v>
      </c>
      <c r="U2235" s="38"/>
      <c r="V2235" s="38"/>
      <c r="W2235" s="38"/>
      <c r="X2235" s="14"/>
      <c r="AN2235" s="7" t="s">
        <v>4219</v>
      </c>
      <c r="AO2235" s="21">
        <f t="shared" si="110"/>
        <v>0</v>
      </c>
      <c r="AP2235" s="7">
        <f t="shared" si="111"/>
        <v>15</v>
      </c>
      <c r="AQ2235" s="31" t="str">
        <f t="shared" si="112"/>
        <v>Complete - No Adjustment</v>
      </c>
    </row>
    <row r="2236" spans="1:43" x14ac:dyDescent="0.2">
      <c r="A2236" s="46">
        <v>2226</v>
      </c>
      <c r="B2236" s="38" t="s">
        <v>266</v>
      </c>
      <c r="C2236" s="38" t="s">
        <v>307</v>
      </c>
      <c r="D2236" s="38" t="s">
        <v>306</v>
      </c>
      <c r="E2236" s="38" t="s">
        <v>5430</v>
      </c>
      <c r="F2236" s="38" t="s">
        <v>5431</v>
      </c>
      <c r="G2236" s="38" t="s">
        <v>111</v>
      </c>
      <c r="H2236" s="44">
        <v>44106</v>
      </c>
      <c r="I2236" s="44">
        <v>44110</v>
      </c>
      <c r="J2236">
        <v>705</v>
      </c>
      <c r="K2236">
        <v>705</v>
      </c>
      <c r="L2236" t="s">
        <v>5432</v>
      </c>
      <c r="M2236" s="45" t="s">
        <v>98</v>
      </c>
      <c r="N2236" s="38" t="s">
        <v>230</v>
      </c>
      <c r="O2236" s="38" t="s">
        <v>277</v>
      </c>
      <c r="P2236" s="38" t="s">
        <v>60</v>
      </c>
      <c r="Q2236" s="38" t="s">
        <v>119</v>
      </c>
      <c r="R2236" s="38" t="s">
        <v>270</v>
      </c>
      <c r="S2236" s="38" t="s">
        <v>5433</v>
      </c>
      <c r="T2236" s="38" t="s">
        <v>5434</v>
      </c>
      <c r="U2236" s="38"/>
      <c r="V2236" s="38"/>
      <c r="W2236" s="38"/>
      <c r="X2236" s="14"/>
      <c r="AN2236" s="7" t="s">
        <v>70</v>
      </c>
      <c r="AO2236" s="21">
        <f t="shared" si="110"/>
        <v>0</v>
      </c>
      <c r="AP2236" s="7">
        <f t="shared" si="111"/>
        <v>705</v>
      </c>
      <c r="AQ2236" s="31" t="str">
        <f t="shared" si="112"/>
        <v>Complete - No Adjustment</v>
      </c>
    </row>
    <row r="2237" spans="1:43" x14ac:dyDescent="0.2">
      <c r="A2237" s="46">
        <v>2227</v>
      </c>
      <c r="B2237" s="38" t="s">
        <v>266</v>
      </c>
      <c r="C2237" s="38" t="s">
        <v>309</v>
      </c>
      <c r="D2237" s="38" t="s">
        <v>308</v>
      </c>
      <c r="E2237" s="38" t="s">
        <v>5435</v>
      </c>
      <c r="F2237" s="38" t="s">
        <v>5348</v>
      </c>
      <c r="G2237" s="38" t="s">
        <v>111</v>
      </c>
      <c r="H2237" s="44">
        <v>44104</v>
      </c>
      <c r="I2237" s="44">
        <v>44106</v>
      </c>
      <c r="J2237">
        <v>2623.48</v>
      </c>
      <c r="K2237">
        <v>554.23</v>
      </c>
      <c r="L2237" t="s">
        <v>5436</v>
      </c>
      <c r="M2237" s="45" t="s">
        <v>98</v>
      </c>
      <c r="N2237" s="38" t="s">
        <v>230</v>
      </c>
      <c r="O2237" s="38" t="s">
        <v>310</v>
      </c>
      <c r="P2237" s="38" t="s">
        <v>60</v>
      </c>
      <c r="Q2237" s="38" t="s">
        <v>62</v>
      </c>
      <c r="R2237" s="38" t="s">
        <v>270</v>
      </c>
      <c r="S2237" s="38" t="s">
        <v>5437</v>
      </c>
      <c r="T2237" s="38" t="s">
        <v>5438</v>
      </c>
      <c r="U2237" s="38"/>
      <c r="V2237" s="38"/>
      <c r="W2237" s="38"/>
      <c r="X2237" s="14"/>
      <c r="AN2237" s="7" t="s">
        <v>70</v>
      </c>
      <c r="AO2237" s="21">
        <f t="shared" si="110"/>
        <v>0</v>
      </c>
      <c r="AP2237" s="7">
        <f t="shared" si="111"/>
        <v>554.23</v>
      </c>
      <c r="AQ2237" s="31" t="str">
        <f t="shared" si="112"/>
        <v>Complete - No Adjustment</v>
      </c>
    </row>
    <row r="2238" spans="1:43" x14ac:dyDescent="0.2">
      <c r="A2238" s="46">
        <v>2228</v>
      </c>
      <c r="B2238" s="38" t="s">
        <v>266</v>
      </c>
      <c r="C2238" s="38" t="s">
        <v>309</v>
      </c>
      <c r="D2238" s="38" t="s">
        <v>308</v>
      </c>
      <c r="E2238" s="38" t="s">
        <v>5435</v>
      </c>
      <c r="F2238" s="38" t="s">
        <v>5348</v>
      </c>
      <c r="G2238" s="38" t="s">
        <v>111</v>
      </c>
      <c r="H2238" s="44">
        <v>44104</v>
      </c>
      <c r="I2238" s="44">
        <v>44106</v>
      </c>
      <c r="J2238">
        <v>2623.48</v>
      </c>
      <c r="K2238">
        <v>179</v>
      </c>
      <c r="L2238" t="s">
        <v>5436</v>
      </c>
      <c r="M2238" s="45" t="s">
        <v>98</v>
      </c>
      <c r="N2238" s="38" t="s">
        <v>230</v>
      </c>
      <c r="O2238" s="38" t="s">
        <v>310</v>
      </c>
      <c r="P2238" s="38" t="s">
        <v>60</v>
      </c>
      <c r="Q2238" s="38" t="s">
        <v>62</v>
      </c>
      <c r="R2238" s="38" t="s">
        <v>270</v>
      </c>
      <c r="S2238" s="38" t="s">
        <v>5437</v>
      </c>
      <c r="T2238" s="38" t="s">
        <v>5439</v>
      </c>
      <c r="U2238" s="38"/>
      <c r="V2238" s="38"/>
      <c r="W2238" s="38"/>
      <c r="X2238" s="14"/>
      <c r="AN2238" s="7" t="s">
        <v>70</v>
      </c>
      <c r="AO2238" s="21">
        <f t="shared" si="110"/>
        <v>0</v>
      </c>
      <c r="AP2238" s="7">
        <f t="shared" si="111"/>
        <v>179</v>
      </c>
      <c r="AQ2238" s="31" t="str">
        <f t="shared" si="112"/>
        <v>Complete - No Adjustment</v>
      </c>
    </row>
    <row r="2239" spans="1:43" x14ac:dyDescent="0.2">
      <c r="A2239" s="46">
        <v>2229</v>
      </c>
      <c r="B2239" s="38" t="s">
        <v>266</v>
      </c>
      <c r="C2239" s="38" t="s">
        <v>309</v>
      </c>
      <c r="D2239" s="38" t="s">
        <v>308</v>
      </c>
      <c r="E2239" s="38" t="s">
        <v>5435</v>
      </c>
      <c r="F2239" s="38" t="s">
        <v>5348</v>
      </c>
      <c r="G2239" s="38" t="s">
        <v>111</v>
      </c>
      <c r="H2239" s="44">
        <v>44104</v>
      </c>
      <c r="I2239" s="44">
        <v>44106</v>
      </c>
      <c r="J2239">
        <v>2623.48</v>
      </c>
      <c r="K2239">
        <v>642</v>
      </c>
      <c r="L2239" t="s">
        <v>5436</v>
      </c>
      <c r="M2239" s="45" t="s">
        <v>98</v>
      </c>
      <c r="N2239" s="38" t="s">
        <v>230</v>
      </c>
      <c r="O2239" s="38" t="s">
        <v>310</v>
      </c>
      <c r="P2239" s="38" t="s">
        <v>60</v>
      </c>
      <c r="Q2239" s="38" t="s">
        <v>41</v>
      </c>
      <c r="R2239" s="38" t="s">
        <v>270</v>
      </c>
      <c r="S2239" s="38" t="s">
        <v>5437</v>
      </c>
      <c r="T2239" s="38" t="s">
        <v>5440</v>
      </c>
      <c r="U2239" s="38"/>
      <c r="V2239" s="38"/>
      <c r="W2239" s="38"/>
      <c r="X2239" s="14"/>
      <c r="AL2239" s="14">
        <f>642</f>
        <v>642</v>
      </c>
      <c r="AN2239" s="7" t="s">
        <v>146</v>
      </c>
      <c r="AO2239" s="21">
        <f t="shared" si="110"/>
        <v>642</v>
      </c>
      <c r="AP2239" s="7">
        <f t="shared" si="111"/>
        <v>0</v>
      </c>
      <c r="AQ2239" s="31" t="str">
        <f t="shared" si="112"/>
        <v>Complete - With Adjustment</v>
      </c>
    </row>
    <row r="2240" spans="1:43" x14ac:dyDescent="0.2">
      <c r="A2240" s="46">
        <v>2230</v>
      </c>
      <c r="B2240" s="38" t="s">
        <v>266</v>
      </c>
      <c r="C2240" s="38" t="s">
        <v>309</v>
      </c>
      <c r="D2240" s="38" t="s">
        <v>308</v>
      </c>
      <c r="E2240" s="38" t="s">
        <v>5435</v>
      </c>
      <c r="F2240" s="38" t="s">
        <v>5348</v>
      </c>
      <c r="G2240" s="38" t="s">
        <v>111</v>
      </c>
      <c r="H2240" s="44">
        <v>44104</v>
      </c>
      <c r="I2240" s="44">
        <v>44106</v>
      </c>
      <c r="J2240">
        <v>2623.48</v>
      </c>
      <c r="K2240">
        <v>31.53</v>
      </c>
      <c r="L2240" t="s">
        <v>5436</v>
      </c>
      <c r="M2240" s="45" t="s">
        <v>98</v>
      </c>
      <c r="N2240" s="38" t="s">
        <v>230</v>
      </c>
      <c r="O2240" s="38" t="s">
        <v>310</v>
      </c>
      <c r="P2240" s="38" t="s">
        <v>60</v>
      </c>
      <c r="Q2240" s="38" t="s">
        <v>41</v>
      </c>
      <c r="R2240" s="38" t="s">
        <v>270</v>
      </c>
      <c r="S2240" s="38" t="s">
        <v>5437</v>
      </c>
      <c r="T2240" s="38" t="s">
        <v>5441</v>
      </c>
      <c r="U2240" s="38"/>
      <c r="V2240" s="38"/>
      <c r="W2240" s="38"/>
      <c r="X2240" s="14"/>
      <c r="AL2240" s="14">
        <f>31.53</f>
        <v>31.53</v>
      </c>
      <c r="AN2240" s="7" t="s">
        <v>146</v>
      </c>
      <c r="AO2240" s="21">
        <f t="shared" si="110"/>
        <v>31.53</v>
      </c>
      <c r="AP2240" s="7">
        <f t="shared" si="111"/>
        <v>0</v>
      </c>
      <c r="AQ2240" s="31" t="str">
        <f t="shared" si="112"/>
        <v>Complete - With Adjustment</v>
      </c>
    </row>
    <row r="2241" spans="1:43" x14ac:dyDescent="0.2">
      <c r="A2241" s="46">
        <v>2231</v>
      </c>
      <c r="B2241" s="38" t="s">
        <v>266</v>
      </c>
      <c r="C2241" s="38" t="s">
        <v>309</v>
      </c>
      <c r="D2241" s="38" t="s">
        <v>308</v>
      </c>
      <c r="E2241" s="38" t="s">
        <v>5435</v>
      </c>
      <c r="F2241" s="38" t="s">
        <v>5348</v>
      </c>
      <c r="G2241" s="38" t="s">
        <v>111</v>
      </c>
      <c r="H2241" s="44">
        <v>44104</v>
      </c>
      <c r="I2241" s="44">
        <v>44106</v>
      </c>
      <c r="J2241">
        <v>2623.48</v>
      </c>
      <c r="K2241">
        <v>39.1</v>
      </c>
      <c r="L2241" t="s">
        <v>5436</v>
      </c>
      <c r="M2241" s="45" t="s">
        <v>98</v>
      </c>
      <c r="N2241" s="38" t="s">
        <v>230</v>
      </c>
      <c r="O2241" s="38" t="s">
        <v>310</v>
      </c>
      <c r="P2241" s="38" t="s">
        <v>60</v>
      </c>
      <c r="Q2241" s="38" t="s">
        <v>44</v>
      </c>
      <c r="R2241" s="38" t="s">
        <v>270</v>
      </c>
      <c r="S2241" s="38" t="s">
        <v>5437</v>
      </c>
      <c r="T2241" s="38" t="s">
        <v>5442</v>
      </c>
      <c r="U2241" s="38"/>
      <c r="V2241" s="38"/>
      <c r="W2241" s="38"/>
      <c r="X2241" s="14"/>
      <c r="AK2241" s="53">
        <f>39.1</f>
        <v>39.1</v>
      </c>
      <c r="AN2241" s="7" t="s">
        <v>148</v>
      </c>
      <c r="AO2241" s="21">
        <f t="shared" si="110"/>
        <v>39.1</v>
      </c>
      <c r="AP2241" s="7">
        <f t="shared" si="111"/>
        <v>0</v>
      </c>
      <c r="AQ2241" s="31" t="str">
        <f t="shared" si="112"/>
        <v>Complete - With Adjustment</v>
      </c>
    </row>
    <row r="2242" spans="1:43" x14ac:dyDescent="0.2">
      <c r="A2242" s="46">
        <v>2232</v>
      </c>
      <c r="B2242" s="38" t="s">
        <v>266</v>
      </c>
      <c r="C2242" s="38" t="s">
        <v>309</v>
      </c>
      <c r="D2242" s="38" t="s">
        <v>308</v>
      </c>
      <c r="E2242" s="38" t="s">
        <v>5435</v>
      </c>
      <c r="F2242" s="38" t="s">
        <v>5348</v>
      </c>
      <c r="G2242" s="38" t="s">
        <v>111</v>
      </c>
      <c r="H2242" s="44">
        <v>44104</v>
      </c>
      <c r="I2242" s="44">
        <v>44106</v>
      </c>
      <c r="J2242">
        <v>2623.48</v>
      </c>
      <c r="K2242">
        <v>1177.6199999999999</v>
      </c>
      <c r="L2242" t="s">
        <v>5436</v>
      </c>
      <c r="M2242" s="45" t="s">
        <v>96</v>
      </c>
      <c r="N2242" s="38" t="s">
        <v>230</v>
      </c>
      <c r="O2242" s="38" t="s">
        <v>50</v>
      </c>
      <c r="P2242" s="38" t="s">
        <v>51</v>
      </c>
      <c r="Q2242" s="38" t="s">
        <v>57</v>
      </c>
      <c r="R2242" s="38" t="s">
        <v>270</v>
      </c>
      <c r="S2242" s="38" t="s">
        <v>5437</v>
      </c>
      <c r="T2242" s="38" t="s">
        <v>5443</v>
      </c>
      <c r="U2242" s="38" t="s">
        <v>5444</v>
      </c>
      <c r="V2242" s="38" t="s">
        <v>112</v>
      </c>
      <c r="W2242" s="38" t="s">
        <v>58</v>
      </c>
      <c r="X2242" s="14"/>
      <c r="AJ2242" s="14">
        <f>1177.62</f>
        <v>1177.6199999999999</v>
      </c>
      <c r="AN2242" s="7" t="s">
        <v>832</v>
      </c>
      <c r="AO2242" s="21">
        <f t="shared" si="110"/>
        <v>1177.6199999999999</v>
      </c>
      <c r="AP2242" s="7">
        <f t="shared" si="111"/>
        <v>0</v>
      </c>
      <c r="AQ2242" s="31" t="str">
        <f t="shared" si="112"/>
        <v>Complete - With Adjustment</v>
      </c>
    </row>
    <row r="2243" spans="1:43" x14ac:dyDescent="0.2">
      <c r="A2243" s="46">
        <v>2233</v>
      </c>
      <c r="B2243" s="38" t="s">
        <v>266</v>
      </c>
      <c r="C2243" s="38" t="s">
        <v>583</v>
      </c>
      <c r="D2243" s="38" t="s">
        <v>582</v>
      </c>
      <c r="E2243" s="38" t="s">
        <v>5445</v>
      </c>
      <c r="F2243" s="38" t="s">
        <v>5340</v>
      </c>
      <c r="G2243" s="38" t="s">
        <v>111</v>
      </c>
      <c r="H2243" s="44">
        <v>44120</v>
      </c>
      <c r="I2243" s="44">
        <v>44124</v>
      </c>
      <c r="J2243">
        <v>52</v>
      </c>
      <c r="K2243">
        <v>52</v>
      </c>
      <c r="L2243" t="s">
        <v>5446</v>
      </c>
      <c r="M2243" s="45" t="s">
        <v>98</v>
      </c>
      <c r="N2243" s="38" t="s">
        <v>230</v>
      </c>
      <c r="O2243" s="38" t="s">
        <v>292</v>
      </c>
      <c r="P2243" s="38" t="s">
        <v>60</v>
      </c>
      <c r="Q2243" s="38" t="s">
        <v>56</v>
      </c>
      <c r="R2243" s="38" t="s">
        <v>270</v>
      </c>
      <c r="S2243" s="38" t="s">
        <v>5447</v>
      </c>
      <c r="T2243" s="38" t="s">
        <v>5448</v>
      </c>
      <c r="U2243" s="38"/>
      <c r="V2243" s="38"/>
      <c r="W2243" s="38"/>
      <c r="X2243" s="14"/>
      <c r="AN2243" s="7" t="s">
        <v>70</v>
      </c>
      <c r="AO2243" s="21">
        <f t="shared" si="110"/>
        <v>0</v>
      </c>
      <c r="AP2243" s="7">
        <f t="shared" si="111"/>
        <v>52</v>
      </c>
      <c r="AQ2243" s="31" t="str">
        <f t="shared" si="112"/>
        <v>Complete - No Adjustment</v>
      </c>
    </row>
    <row r="2244" spans="1:43" x14ac:dyDescent="0.2">
      <c r="A2244" s="46">
        <v>2234</v>
      </c>
      <c r="B2244" s="38" t="s">
        <v>266</v>
      </c>
      <c r="C2244" s="38" t="s">
        <v>585</v>
      </c>
      <c r="D2244" s="38" t="s">
        <v>584</v>
      </c>
      <c r="E2244" s="38" t="s">
        <v>5449</v>
      </c>
      <c r="F2244" s="38" t="s">
        <v>5340</v>
      </c>
      <c r="G2244" s="38" t="s">
        <v>111</v>
      </c>
      <c r="H2244" s="44">
        <v>44104</v>
      </c>
      <c r="I2244" s="44">
        <v>44124</v>
      </c>
      <c r="J2244">
        <v>23.7</v>
      </c>
      <c r="K2244">
        <v>10.81</v>
      </c>
      <c r="L2244" t="s">
        <v>5450</v>
      </c>
      <c r="M2244" s="45" t="s">
        <v>98</v>
      </c>
      <c r="N2244" s="38" t="s">
        <v>230</v>
      </c>
      <c r="O2244" s="38" t="s">
        <v>472</v>
      </c>
      <c r="P2244" s="38" t="s">
        <v>60</v>
      </c>
      <c r="Q2244" s="38" t="s">
        <v>41</v>
      </c>
      <c r="R2244" s="38" t="s">
        <v>270</v>
      </c>
      <c r="S2244" s="38" t="s">
        <v>5451</v>
      </c>
      <c r="T2244" s="38" t="s">
        <v>5452</v>
      </c>
      <c r="U2244" s="38"/>
      <c r="V2244" s="38"/>
      <c r="W2244" s="38"/>
      <c r="X2244" s="14"/>
      <c r="AL2244" s="14">
        <f>10.81</f>
        <v>10.81</v>
      </c>
      <c r="AN2244" s="7" t="s">
        <v>146</v>
      </c>
      <c r="AO2244" s="21">
        <f t="shared" si="110"/>
        <v>10.81</v>
      </c>
      <c r="AP2244" s="7">
        <f t="shared" si="111"/>
        <v>0</v>
      </c>
      <c r="AQ2244" s="31" t="str">
        <f t="shared" si="112"/>
        <v>Complete - With Adjustment</v>
      </c>
    </row>
    <row r="2245" spans="1:43" x14ac:dyDescent="0.2">
      <c r="A2245" s="46">
        <v>2235</v>
      </c>
      <c r="B2245" s="38" t="s">
        <v>266</v>
      </c>
      <c r="C2245" s="38" t="s">
        <v>585</v>
      </c>
      <c r="D2245" s="38" t="s">
        <v>584</v>
      </c>
      <c r="E2245" s="38" t="s">
        <v>5449</v>
      </c>
      <c r="F2245" s="38" t="s">
        <v>5340</v>
      </c>
      <c r="G2245" s="38" t="s">
        <v>111</v>
      </c>
      <c r="H2245" s="44">
        <v>44104</v>
      </c>
      <c r="I2245" s="44">
        <v>44124</v>
      </c>
      <c r="J2245">
        <v>23.7</v>
      </c>
      <c r="K2245">
        <v>12.89</v>
      </c>
      <c r="L2245" t="s">
        <v>5450</v>
      </c>
      <c r="M2245" s="45" t="s">
        <v>98</v>
      </c>
      <c r="N2245" s="38" t="s">
        <v>230</v>
      </c>
      <c r="O2245" s="38" t="s">
        <v>472</v>
      </c>
      <c r="P2245" s="38" t="s">
        <v>60</v>
      </c>
      <c r="Q2245" s="38" t="s">
        <v>41</v>
      </c>
      <c r="R2245" s="38" t="s">
        <v>270</v>
      </c>
      <c r="S2245" s="38" t="s">
        <v>5451</v>
      </c>
      <c r="T2245" s="38" t="s">
        <v>5453</v>
      </c>
      <c r="U2245" s="38"/>
      <c r="V2245" s="38"/>
      <c r="W2245" s="38"/>
      <c r="X2245" s="14"/>
      <c r="AN2245" s="7" t="s">
        <v>70</v>
      </c>
      <c r="AO2245" s="21">
        <f t="shared" si="110"/>
        <v>0</v>
      </c>
      <c r="AP2245" s="7">
        <f t="shared" si="111"/>
        <v>12.89</v>
      </c>
      <c r="AQ2245" s="31" t="str">
        <f t="shared" si="112"/>
        <v>Complete - No Adjustment</v>
      </c>
    </row>
    <row r="2246" spans="1:43" x14ac:dyDescent="0.2">
      <c r="A2246" s="46">
        <v>2236</v>
      </c>
      <c r="B2246" s="38" t="s">
        <v>266</v>
      </c>
      <c r="C2246" s="38" t="s">
        <v>313</v>
      </c>
      <c r="D2246" s="38" t="s">
        <v>312</v>
      </c>
      <c r="E2246" s="38" t="s">
        <v>5454</v>
      </c>
      <c r="F2246" s="38" t="s">
        <v>5383</v>
      </c>
      <c r="G2246" s="38" t="s">
        <v>111</v>
      </c>
      <c r="H2246" s="44">
        <v>44124</v>
      </c>
      <c r="I2246" s="44">
        <v>44126</v>
      </c>
      <c r="J2246">
        <v>992.21</v>
      </c>
      <c r="K2246">
        <v>476.07</v>
      </c>
      <c r="L2246" t="s">
        <v>5455</v>
      </c>
      <c r="M2246" s="45" t="s">
        <v>98</v>
      </c>
      <c r="N2246" s="38" t="s">
        <v>230</v>
      </c>
      <c r="O2246" s="38" t="s">
        <v>314</v>
      </c>
      <c r="P2246" s="38" t="s">
        <v>60</v>
      </c>
      <c r="Q2246" s="38" t="s">
        <v>104</v>
      </c>
      <c r="R2246" s="38" t="s">
        <v>270</v>
      </c>
      <c r="S2246" s="38" t="s">
        <v>5456</v>
      </c>
      <c r="T2246" s="38" t="s">
        <v>5457</v>
      </c>
      <c r="U2246" s="38"/>
      <c r="V2246" s="38"/>
      <c r="W2246" s="38"/>
      <c r="X2246" s="14"/>
      <c r="AN2246" s="7" t="s">
        <v>70</v>
      </c>
      <c r="AO2246" s="21">
        <f t="shared" ref="AO2246:AO2309" si="113">SUM(Y2246:AL2246)</f>
        <v>0</v>
      </c>
      <c r="AP2246" s="7">
        <f t="shared" ref="AP2246:AP2309" si="114">K2246-AO2246</f>
        <v>476.07</v>
      </c>
      <c r="AQ2246" s="31" t="str">
        <f t="shared" ref="AQ2246:AQ2309" si="115">IF(AO2246&lt;&gt;0,"Complete - With Adjustment","Complete - No Adjustment")</f>
        <v>Complete - No Adjustment</v>
      </c>
    </row>
    <row r="2247" spans="1:43" x14ac:dyDescent="0.2">
      <c r="A2247" s="46">
        <v>2237</v>
      </c>
      <c r="B2247" s="38" t="s">
        <v>266</v>
      </c>
      <c r="C2247" s="38" t="s">
        <v>313</v>
      </c>
      <c r="D2247" s="38" t="s">
        <v>312</v>
      </c>
      <c r="E2247" s="38" t="s">
        <v>5454</v>
      </c>
      <c r="F2247" s="38" t="s">
        <v>5383</v>
      </c>
      <c r="G2247" s="38" t="s">
        <v>111</v>
      </c>
      <c r="H2247" s="44">
        <v>44124</v>
      </c>
      <c r="I2247" s="44">
        <v>44126</v>
      </c>
      <c r="J2247">
        <v>992.21</v>
      </c>
      <c r="K2247">
        <v>287</v>
      </c>
      <c r="L2247" t="s">
        <v>5455</v>
      </c>
      <c r="M2247" s="45" t="s">
        <v>98</v>
      </c>
      <c r="N2247" s="38" t="s">
        <v>230</v>
      </c>
      <c r="O2247" s="38" t="s">
        <v>314</v>
      </c>
      <c r="P2247" s="38" t="s">
        <v>60</v>
      </c>
      <c r="Q2247" s="38" t="s">
        <v>41</v>
      </c>
      <c r="R2247" s="38" t="s">
        <v>270</v>
      </c>
      <c r="S2247" s="38" t="s">
        <v>5456</v>
      </c>
      <c r="T2247" s="38" t="s">
        <v>5458</v>
      </c>
      <c r="U2247" s="38"/>
      <c r="V2247" s="38"/>
      <c r="W2247" s="38"/>
      <c r="X2247" s="14"/>
      <c r="AB2247" s="14">
        <f>265.86-(25*9)</f>
        <v>40.860000000000014</v>
      </c>
      <c r="AN2247" s="7" t="s">
        <v>66</v>
      </c>
      <c r="AO2247" s="21">
        <f t="shared" si="113"/>
        <v>40.860000000000014</v>
      </c>
      <c r="AP2247" s="7">
        <f t="shared" si="114"/>
        <v>246.14</v>
      </c>
      <c r="AQ2247" s="31" t="str">
        <f t="shared" si="115"/>
        <v>Complete - With Adjustment</v>
      </c>
    </row>
    <row r="2248" spans="1:43" x14ac:dyDescent="0.2">
      <c r="A2248" s="46">
        <v>2238</v>
      </c>
      <c r="B2248" s="38" t="s">
        <v>266</v>
      </c>
      <c r="C2248" s="38" t="s">
        <v>313</v>
      </c>
      <c r="D2248" s="38" t="s">
        <v>312</v>
      </c>
      <c r="E2248" s="38" t="s">
        <v>5454</v>
      </c>
      <c r="F2248" s="38" t="s">
        <v>5383</v>
      </c>
      <c r="G2248" s="38" t="s">
        <v>111</v>
      </c>
      <c r="H2248" s="44">
        <v>44124</v>
      </c>
      <c r="I2248" s="44">
        <v>44126</v>
      </c>
      <c r="J2248">
        <v>992.21</v>
      </c>
      <c r="K2248">
        <v>229.14</v>
      </c>
      <c r="L2248" t="s">
        <v>5455</v>
      </c>
      <c r="M2248" s="45" t="s">
        <v>98</v>
      </c>
      <c r="N2248" s="38" t="s">
        <v>230</v>
      </c>
      <c r="O2248" s="38" t="s">
        <v>314</v>
      </c>
      <c r="P2248" s="38" t="s">
        <v>60</v>
      </c>
      <c r="Q2248" s="38" t="s">
        <v>41</v>
      </c>
      <c r="R2248" s="38" t="s">
        <v>270</v>
      </c>
      <c r="S2248" s="38" t="s">
        <v>5456</v>
      </c>
      <c r="T2248" s="38" t="s">
        <v>5459</v>
      </c>
      <c r="U2248" s="38"/>
      <c r="V2248" s="38"/>
      <c r="W2248" s="38"/>
      <c r="X2248" s="14"/>
      <c r="AN2248" s="7" t="s">
        <v>70</v>
      </c>
      <c r="AO2248" s="21">
        <f t="shared" si="113"/>
        <v>0</v>
      </c>
      <c r="AP2248" s="7">
        <f t="shared" si="114"/>
        <v>229.14</v>
      </c>
      <c r="AQ2248" s="31" t="str">
        <f t="shared" si="115"/>
        <v>Complete - No Adjustment</v>
      </c>
    </row>
    <row r="2249" spans="1:43" x14ac:dyDescent="0.2">
      <c r="A2249" s="46">
        <v>2239</v>
      </c>
      <c r="B2249" s="38" t="s">
        <v>266</v>
      </c>
      <c r="C2249" s="38" t="s">
        <v>742</v>
      </c>
      <c r="D2249" s="38" t="s">
        <v>741</v>
      </c>
      <c r="E2249" s="38" t="s">
        <v>5460</v>
      </c>
      <c r="F2249" s="38" t="s">
        <v>5431</v>
      </c>
      <c r="G2249" s="38" t="s">
        <v>111</v>
      </c>
      <c r="H2249" s="44">
        <v>44105</v>
      </c>
      <c r="I2249" s="44">
        <v>44110</v>
      </c>
      <c r="J2249">
        <v>12.39</v>
      </c>
      <c r="K2249">
        <v>12.39</v>
      </c>
      <c r="L2249" t="s">
        <v>5461</v>
      </c>
      <c r="M2249" s="45" t="s">
        <v>98</v>
      </c>
      <c r="N2249" s="38" t="s">
        <v>230</v>
      </c>
      <c r="O2249" s="38" t="s">
        <v>288</v>
      </c>
      <c r="P2249" s="38" t="s">
        <v>60</v>
      </c>
      <c r="Q2249" s="38" t="s">
        <v>41</v>
      </c>
      <c r="R2249" s="38" t="s">
        <v>270</v>
      </c>
      <c r="S2249" s="38" t="s">
        <v>5462</v>
      </c>
      <c r="T2249" s="38" t="s">
        <v>5463</v>
      </c>
      <c r="U2249" s="38"/>
      <c r="V2249" s="38"/>
      <c r="W2249" s="38"/>
      <c r="X2249" s="14"/>
      <c r="AL2249" s="14">
        <f>12.39</f>
        <v>12.39</v>
      </c>
      <c r="AN2249" s="7" t="s">
        <v>146</v>
      </c>
      <c r="AO2249" s="21">
        <f t="shared" si="113"/>
        <v>12.39</v>
      </c>
      <c r="AP2249" s="7">
        <f t="shared" si="114"/>
        <v>0</v>
      </c>
      <c r="AQ2249" s="31" t="str">
        <f t="shared" si="115"/>
        <v>Complete - With Adjustment</v>
      </c>
    </row>
    <row r="2250" spans="1:43" x14ac:dyDescent="0.2">
      <c r="A2250" s="46">
        <v>2240</v>
      </c>
      <c r="B2250" s="38" t="s">
        <v>266</v>
      </c>
      <c r="C2250" s="38" t="s">
        <v>742</v>
      </c>
      <c r="D2250" s="38" t="s">
        <v>741</v>
      </c>
      <c r="E2250" s="38" t="s">
        <v>5464</v>
      </c>
      <c r="F2250" s="38" t="s">
        <v>5374</v>
      </c>
      <c r="G2250" s="38" t="s">
        <v>111</v>
      </c>
      <c r="H2250" s="44">
        <v>44116</v>
      </c>
      <c r="I2250" s="44">
        <v>44118</v>
      </c>
      <c r="J2250">
        <v>14.07</v>
      </c>
      <c r="K2250">
        <v>14.07</v>
      </c>
      <c r="L2250" t="s">
        <v>5465</v>
      </c>
      <c r="M2250" s="45" t="s">
        <v>98</v>
      </c>
      <c r="N2250" s="38" t="s">
        <v>230</v>
      </c>
      <c r="O2250" s="38" t="s">
        <v>288</v>
      </c>
      <c r="P2250" s="38" t="s">
        <v>60</v>
      </c>
      <c r="Q2250" s="38" t="s">
        <v>41</v>
      </c>
      <c r="R2250" s="38" t="s">
        <v>270</v>
      </c>
      <c r="S2250" s="38" t="s">
        <v>3063</v>
      </c>
      <c r="T2250" s="38" t="s">
        <v>3064</v>
      </c>
      <c r="U2250" s="38"/>
      <c r="V2250" s="38"/>
      <c r="W2250" s="38"/>
      <c r="X2250" s="14"/>
      <c r="AL2250" s="14">
        <f>14.07</f>
        <v>14.07</v>
      </c>
      <c r="AN2250" s="7" t="s">
        <v>146</v>
      </c>
      <c r="AO2250" s="21">
        <f t="shared" si="113"/>
        <v>14.07</v>
      </c>
      <c r="AP2250" s="7">
        <f t="shared" si="114"/>
        <v>0</v>
      </c>
      <c r="AQ2250" s="31" t="str">
        <f t="shared" si="115"/>
        <v>Complete - With Adjustment</v>
      </c>
    </row>
    <row r="2251" spans="1:43" x14ac:dyDescent="0.2">
      <c r="A2251" s="46">
        <v>2241</v>
      </c>
      <c r="B2251" s="38" t="s">
        <v>266</v>
      </c>
      <c r="C2251" s="38" t="s">
        <v>742</v>
      </c>
      <c r="D2251" s="38" t="s">
        <v>741</v>
      </c>
      <c r="E2251" s="38" t="s">
        <v>5466</v>
      </c>
      <c r="F2251" s="38" t="s">
        <v>5412</v>
      </c>
      <c r="G2251" s="38" t="s">
        <v>111</v>
      </c>
      <c r="H2251" s="44">
        <v>44112</v>
      </c>
      <c r="I2251" s="44">
        <v>44117</v>
      </c>
      <c r="J2251">
        <v>35.96</v>
      </c>
      <c r="K2251">
        <v>14.61</v>
      </c>
      <c r="L2251" t="s">
        <v>5467</v>
      </c>
      <c r="M2251" s="45" t="s">
        <v>98</v>
      </c>
      <c r="N2251" s="38" t="s">
        <v>230</v>
      </c>
      <c r="O2251" s="38" t="s">
        <v>288</v>
      </c>
      <c r="P2251" s="38" t="s">
        <v>60</v>
      </c>
      <c r="Q2251" s="38" t="s">
        <v>41</v>
      </c>
      <c r="R2251" s="38" t="s">
        <v>270</v>
      </c>
      <c r="S2251" s="38" t="s">
        <v>3063</v>
      </c>
      <c r="T2251" s="38" t="s">
        <v>3064</v>
      </c>
      <c r="U2251" s="38"/>
      <c r="V2251" s="38"/>
      <c r="W2251" s="38"/>
      <c r="X2251" s="14"/>
      <c r="AL2251" s="14">
        <f>14.61</f>
        <v>14.61</v>
      </c>
      <c r="AN2251" s="7" t="s">
        <v>146</v>
      </c>
      <c r="AO2251" s="21">
        <f t="shared" si="113"/>
        <v>14.61</v>
      </c>
      <c r="AP2251" s="7">
        <f t="shared" si="114"/>
        <v>0</v>
      </c>
      <c r="AQ2251" s="31" t="str">
        <f t="shared" si="115"/>
        <v>Complete - With Adjustment</v>
      </c>
    </row>
    <row r="2252" spans="1:43" x14ac:dyDescent="0.2">
      <c r="A2252" s="46">
        <v>2242</v>
      </c>
      <c r="B2252" s="38" t="s">
        <v>266</v>
      </c>
      <c r="C2252" s="38" t="s">
        <v>742</v>
      </c>
      <c r="D2252" s="38" t="s">
        <v>741</v>
      </c>
      <c r="E2252" s="38" t="s">
        <v>5468</v>
      </c>
      <c r="F2252" s="38" t="s">
        <v>5344</v>
      </c>
      <c r="G2252" s="38" t="s">
        <v>111</v>
      </c>
      <c r="H2252" s="44">
        <v>44126</v>
      </c>
      <c r="I2252" s="44">
        <v>44132</v>
      </c>
      <c r="J2252">
        <v>14.61</v>
      </c>
      <c r="K2252">
        <v>14.61</v>
      </c>
      <c r="L2252" t="s">
        <v>5469</v>
      </c>
      <c r="M2252" s="45" t="s">
        <v>98</v>
      </c>
      <c r="N2252" s="38" t="s">
        <v>230</v>
      </c>
      <c r="O2252" s="38" t="s">
        <v>288</v>
      </c>
      <c r="P2252" s="38" t="s">
        <v>60</v>
      </c>
      <c r="Q2252" s="38" t="s">
        <v>41</v>
      </c>
      <c r="R2252" s="38" t="s">
        <v>270</v>
      </c>
      <c r="S2252" s="38" t="s">
        <v>3063</v>
      </c>
      <c r="T2252" s="38" t="s">
        <v>3064</v>
      </c>
      <c r="U2252" s="38"/>
      <c r="V2252" s="38"/>
      <c r="W2252" s="38"/>
      <c r="X2252" s="14"/>
      <c r="AL2252" s="14">
        <f>14.61</f>
        <v>14.61</v>
      </c>
      <c r="AN2252" s="7" t="s">
        <v>146</v>
      </c>
      <c r="AO2252" s="21">
        <f t="shared" si="113"/>
        <v>14.61</v>
      </c>
      <c r="AP2252" s="7">
        <f t="shared" si="114"/>
        <v>0</v>
      </c>
      <c r="AQ2252" s="31" t="str">
        <f t="shared" si="115"/>
        <v>Complete - With Adjustment</v>
      </c>
    </row>
    <row r="2253" spans="1:43" x14ac:dyDescent="0.2">
      <c r="A2253" s="46">
        <v>2243</v>
      </c>
      <c r="B2253" s="38" t="s">
        <v>266</v>
      </c>
      <c r="C2253" s="38" t="s">
        <v>316</v>
      </c>
      <c r="D2253" s="38" t="s">
        <v>315</v>
      </c>
      <c r="E2253" s="38" t="s">
        <v>5470</v>
      </c>
      <c r="F2253" s="38" t="s">
        <v>5348</v>
      </c>
      <c r="G2253" s="38" t="s">
        <v>111</v>
      </c>
      <c r="H2253" s="44">
        <v>44097</v>
      </c>
      <c r="I2253" s="44">
        <v>44106</v>
      </c>
      <c r="J2253">
        <v>15</v>
      </c>
      <c r="K2253">
        <v>15</v>
      </c>
      <c r="L2253" t="s">
        <v>5471</v>
      </c>
      <c r="M2253" s="45" t="s">
        <v>98</v>
      </c>
      <c r="N2253" s="38" t="s">
        <v>230</v>
      </c>
      <c r="O2253" s="38" t="s">
        <v>317</v>
      </c>
      <c r="P2253" s="38" t="s">
        <v>60</v>
      </c>
      <c r="Q2253" s="38" t="s">
        <v>41</v>
      </c>
      <c r="R2253" s="38" t="s">
        <v>270</v>
      </c>
      <c r="S2253" s="38" t="s">
        <v>5472</v>
      </c>
      <c r="T2253" s="38" t="s">
        <v>5473</v>
      </c>
      <c r="U2253" s="38"/>
      <c r="V2253" s="38"/>
      <c r="W2253" s="38"/>
      <c r="X2253" s="14"/>
      <c r="AN2253" s="7" t="s">
        <v>4219</v>
      </c>
      <c r="AO2253" s="21">
        <f t="shared" si="113"/>
        <v>0</v>
      </c>
      <c r="AP2253" s="7">
        <f t="shared" si="114"/>
        <v>15</v>
      </c>
      <c r="AQ2253" s="31" t="str">
        <f t="shared" si="115"/>
        <v>Complete - No Adjustment</v>
      </c>
    </row>
    <row r="2254" spans="1:43" x14ac:dyDescent="0.2">
      <c r="A2254" s="46">
        <v>2244</v>
      </c>
      <c r="B2254" s="38" t="s">
        <v>266</v>
      </c>
      <c r="C2254" s="38" t="s">
        <v>316</v>
      </c>
      <c r="D2254" s="38" t="s">
        <v>315</v>
      </c>
      <c r="E2254" s="38" t="s">
        <v>5474</v>
      </c>
      <c r="F2254" s="38" t="s">
        <v>5475</v>
      </c>
      <c r="G2254" s="38" t="s">
        <v>111</v>
      </c>
      <c r="H2254" s="44">
        <v>44130</v>
      </c>
      <c r="I2254" s="44">
        <v>44133</v>
      </c>
      <c r="J2254">
        <v>833.47</v>
      </c>
      <c r="K2254">
        <v>17.86</v>
      </c>
      <c r="L2254" t="s">
        <v>5476</v>
      </c>
      <c r="M2254" s="45" t="s">
        <v>98</v>
      </c>
      <c r="N2254" s="38" t="s">
        <v>230</v>
      </c>
      <c r="O2254" s="38" t="s">
        <v>317</v>
      </c>
      <c r="P2254" s="38" t="s">
        <v>60</v>
      </c>
      <c r="Q2254" s="38" t="s">
        <v>41</v>
      </c>
      <c r="R2254" s="38" t="s">
        <v>270</v>
      </c>
      <c r="S2254" s="38" t="s">
        <v>5477</v>
      </c>
      <c r="T2254" s="38" t="s">
        <v>4437</v>
      </c>
      <c r="U2254" s="38"/>
      <c r="V2254" s="38"/>
      <c r="W2254" s="38"/>
      <c r="X2254" s="14"/>
      <c r="AN2254" s="7" t="s">
        <v>70</v>
      </c>
      <c r="AO2254" s="21">
        <f t="shared" si="113"/>
        <v>0</v>
      </c>
      <c r="AP2254" s="7">
        <f t="shared" si="114"/>
        <v>17.86</v>
      </c>
      <c r="AQ2254" s="31" t="str">
        <f t="shared" si="115"/>
        <v>Complete - No Adjustment</v>
      </c>
    </row>
    <row r="2255" spans="1:43" x14ac:dyDescent="0.2">
      <c r="A2255" s="46">
        <v>2245</v>
      </c>
      <c r="B2255" s="38" t="s">
        <v>266</v>
      </c>
      <c r="C2255" s="38" t="s">
        <v>316</v>
      </c>
      <c r="D2255" s="38" t="s">
        <v>315</v>
      </c>
      <c r="E2255" s="38" t="s">
        <v>5474</v>
      </c>
      <c r="F2255" s="38" t="s">
        <v>5475</v>
      </c>
      <c r="G2255" s="38" t="s">
        <v>111</v>
      </c>
      <c r="H2255" s="44">
        <v>44130</v>
      </c>
      <c r="I2255" s="44">
        <v>44133</v>
      </c>
      <c r="J2255">
        <v>833.47</v>
      </c>
      <c r="K2255">
        <v>18.399999999999999</v>
      </c>
      <c r="L2255" t="s">
        <v>5476</v>
      </c>
      <c r="M2255" s="45" t="s">
        <v>98</v>
      </c>
      <c r="N2255" s="38" t="s">
        <v>230</v>
      </c>
      <c r="O2255" s="38" t="s">
        <v>317</v>
      </c>
      <c r="P2255" s="38" t="s">
        <v>60</v>
      </c>
      <c r="Q2255" s="38" t="s">
        <v>41</v>
      </c>
      <c r="R2255" s="38" t="s">
        <v>270</v>
      </c>
      <c r="S2255" s="38" t="s">
        <v>5477</v>
      </c>
      <c r="T2255" s="38" t="s">
        <v>4437</v>
      </c>
      <c r="U2255" s="38"/>
      <c r="V2255" s="38"/>
      <c r="W2255" s="38"/>
      <c r="X2255" s="14"/>
      <c r="AN2255" s="7" t="s">
        <v>70</v>
      </c>
      <c r="AO2255" s="21">
        <f t="shared" si="113"/>
        <v>0</v>
      </c>
      <c r="AP2255" s="7">
        <f t="shared" si="114"/>
        <v>18.399999999999999</v>
      </c>
      <c r="AQ2255" s="31" t="str">
        <f t="shared" si="115"/>
        <v>Complete - No Adjustment</v>
      </c>
    </row>
    <row r="2256" spans="1:43" x14ac:dyDescent="0.2">
      <c r="A2256" s="46">
        <v>2246</v>
      </c>
      <c r="B2256" s="38" t="s">
        <v>266</v>
      </c>
      <c r="C2256" s="38" t="s">
        <v>316</v>
      </c>
      <c r="D2256" s="38" t="s">
        <v>315</v>
      </c>
      <c r="E2256" s="38" t="s">
        <v>5474</v>
      </c>
      <c r="F2256" s="38" t="s">
        <v>5475</v>
      </c>
      <c r="G2256" s="38" t="s">
        <v>111</v>
      </c>
      <c r="H2256" s="44">
        <v>44130</v>
      </c>
      <c r="I2256" s="44">
        <v>44133</v>
      </c>
      <c r="J2256">
        <v>833.47</v>
      </c>
      <c r="K2256">
        <v>780</v>
      </c>
      <c r="L2256" t="s">
        <v>5476</v>
      </c>
      <c r="M2256" s="45" t="s">
        <v>98</v>
      </c>
      <c r="N2256" s="38" t="s">
        <v>230</v>
      </c>
      <c r="O2256" s="38" t="s">
        <v>317</v>
      </c>
      <c r="P2256" s="38" t="s">
        <v>60</v>
      </c>
      <c r="Q2256" s="38" t="s">
        <v>48</v>
      </c>
      <c r="R2256" s="38" t="s">
        <v>270</v>
      </c>
      <c r="S2256" s="38" t="s">
        <v>5477</v>
      </c>
      <c r="T2256" s="38" t="s">
        <v>5478</v>
      </c>
      <c r="U2256" s="38"/>
      <c r="V2256" s="38"/>
      <c r="W2256" s="38"/>
      <c r="X2256" s="14"/>
      <c r="AN2256" s="7" t="s">
        <v>70</v>
      </c>
      <c r="AO2256" s="21">
        <f t="shared" si="113"/>
        <v>0</v>
      </c>
      <c r="AP2256" s="7">
        <f t="shared" si="114"/>
        <v>780</v>
      </c>
      <c r="AQ2256" s="31" t="str">
        <f t="shared" si="115"/>
        <v>Complete - No Adjustment</v>
      </c>
    </row>
    <row r="2257" spans="1:43" x14ac:dyDescent="0.2">
      <c r="A2257" s="46">
        <v>2247</v>
      </c>
      <c r="B2257" s="38" t="s">
        <v>266</v>
      </c>
      <c r="C2257" s="38" t="s">
        <v>316</v>
      </c>
      <c r="D2257" s="38" t="s">
        <v>315</v>
      </c>
      <c r="E2257" s="38" t="s">
        <v>5474</v>
      </c>
      <c r="F2257" s="38" t="s">
        <v>5475</v>
      </c>
      <c r="G2257" s="38" t="s">
        <v>111</v>
      </c>
      <c r="H2257" s="44">
        <v>44130</v>
      </c>
      <c r="I2257" s="44">
        <v>44133</v>
      </c>
      <c r="J2257">
        <v>833.47</v>
      </c>
      <c r="K2257">
        <v>17.21</v>
      </c>
      <c r="L2257" t="s">
        <v>5476</v>
      </c>
      <c r="M2257" s="45" t="s">
        <v>98</v>
      </c>
      <c r="N2257" s="38" t="s">
        <v>230</v>
      </c>
      <c r="O2257" s="38" t="s">
        <v>317</v>
      </c>
      <c r="P2257" s="38" t="s">
        <v>60</v>
      </c>
      <c r="Q2257" s="38" t="s">
        <v>41</v>
      </c>
      <c r="R2257" s="38" t="s">
        <v>270</v>
      </c>
      <c r="S2257" s="38" t="s">
        <v>5477</v>
      </c>
      <c r="T2257" s="38" t="s">
        <v>4437</v>
      </c>
      <c r="U2257" s="38"/>
      <c r="V2257" s="38"/>
      <c r="W2257" s="38"/>
      <c r="X2257" s="14"/>
      <c r="AN2257" s="7" t="s">
        <v>70</v>
      </c>
      <c r="AO2257" s="21">
        <f t="shared" si="113"/>
        <v>0</v>
      </c>
      <c r="AP2257" s="7">
        <f t="shared" si="114"/>
        <v>17.21</v>
      </c>
      <c r="AQ2257" s="31" t="str">
        <f t="shared" si="115"/>
        <v>Complete - No Adjustment</v>
      </c>
    </row>
    <row r="2258" spans="1:43" x14ac:dyDescent="0.2">
      <c r="A2258" s="46">
        <v>2248</v>
      </c>
      <c r="B2258" s="38" t="s">
        <v>266</v>
      </c>
      <c r="C2258" s="38" t="s">
        <v>322</v>
      </c>
      <c r="D2258" s="38" t="s">
        <v>321</v>
      </c>
      <c r="E2258" s="38" t="s">
        <v>5479</v>
      </c>
      <c r="F2258" s="38" t="s">
        <v>5480</v>
      </c>
      <c r="G2258" s="38" t="s">
        <v>111</v>
      </c>
      <c r="H2258" s="44">
        <v>44109</v>
      </c>
      <c r="I2258" s="44">
        <v>44111</v>
      </c>
      <c r="J2258">
        <v>24.55</v>
      </c>
      <c r="K2258">
        <v>24.55</v>
      </c>
      <c r="L2258" t="s">
        <v>5481</v>
      </c>
      <c r="M2258" s="45" t="s">
        <v>98</v>
      </c>
      <c r="N2258" s="38" t="s">
        <v>230</v>
      </c>
      <c r="O2258" s="38" t="s">
        <v>323</v>
      </c>
      <c r="P2258" s="38" t="s">
        <v>60</v>
      </c>
      <c r="Q2258" s="38" t="s">
        <v>41</v>
      </c>
      <c r="R2258" s="38" t="s">
        <v>270</v>
      </c>
      <c r="S2258" s="38" t="s">
        <v>5482</v>
      </c>
      <c r="T2258" s="38" t="s">
        <v>5483</v>
      </c>
      <c r="U2258" s="38"/>
      <c r="V2258" s="38"/>
      <c r="W2258" s="38"/>
      <c r="X2258" s="14"/>
      <c r="AN2258" s="7" t="s">
        <v>70</v>
      </c>
      <c r="AO2258" s="21">
        <f t="shared" si="113"/>
        <v>0</v>
      </c>
      <c r="AP2258" s="7">
        <f t="shared" si="114"/>
        <v>24.55</v>
      </c>
      <c r="AQ2258" s="31" t="str">
        <f t="shared" si="115"/>
        <v>Complete - No Adjustment</v>
      </c>
    </row>
    <row r="2259" spans="1:43" x14ac:dyDescent="0.2">
      <c r="A2259" s="46">
        <v>2249</v>
      </c>
      <c r="B2259" s="38" t="s">
        <v>266</v>
      </c>
      <c r="C2259" s="38" t="s">
        <v>325</v>
      </c>
      <c r="D2259" s="38" t="s">
        <v>324</v>
      </c>
      <c r="E2259" s="38" t="s">
        <v>5484</v>
      </c>
      <c r="F2259" s="38" t="s">
        <v>5412</v>
      </c>
      <c r="G2259" s="38" t="s">
        <v>111</v>
      </c>
      <c r="H2259" s="44">
        <v>44112</v>
      </c>
      <c r="I2259" s="44">
        <v>44117</v>
      </c>
      <c r="J2259">
        <v>29.09</v>
      </c>
      <c r="K2259">
        <v>19.03</v>
      </c>
      <c r="L2259" t="s">
        <v>5485</v>
      </c>
      <c r="M2259" s="45" t="s">
        <v>98</v>
      </c>
      <c r="N2259" s="38" t="s">
        <v>230</v>
      </c>
      <c r="O2259" s="38" t="s">
        <v>288</v>
      </c>
      <c r="P2259" s="38" t="s">
        <v>60</v>
      </c>
      <c r="Q2259" s="38" t="s">
        <v>41</v>
      </c>
      <c r="R2259" s="38" t="s">
        <v>270</v>
      </c>
      <c r="S2259" s="38" t="s">
        <v>5486</v>
      </c>
      <c r="T2259" s="38" t="s">
        <v>5487</v>
      </c>
      <c r="U2259" s="38"/>
      <c r="V2259" s="38"/>
      <c r="W2259" s="38"/>
      <c r="X2259" s="14"/>
      <c r="AN2259" s="7" t="s">
        <v>70</v>
      </c>
      <c r="AO2259" s="21">
        <f t="shared" si="113"/>
        <v>0</v>
      </c>
      <c r="AP2259" s="7">
        <f t="shared" si="114"/>
        <v>19.03</v>
      </c>
      <c r="AQ2259" s="31" t="str">
        <f t="shared" si="115"/>
        <v>Complete - No Adjustment</v>
      </c>
    </row>
    <row r="2260" spans="1:43" x14ac:dyDescent="0.2">
      <c r="A2260" s="46">
        <v>2250</v>
      </c>
      <c r="B2260" s="38" t="s">
        <v>266</v>
      </c>
      <c r="C2260" s="38" t="s">
        <v>325</v>
      </c>
      <c r="D2260" s="38" t="s">
        <v>324</v>
      </c>
      <c r="E2260" s="38" t="s">
        <v>5484</v>
      </c>
      <c r="F2260" s="38" t="s">
        <v>5412</v>
      </c>
      <c r="G2260" s="38" t="s">
        <v>111</v>
      </c>
      <c r="H2260" s="44">
        <v>44112</v>
      </c>
      <c r="I2260" s="44">
        <v>44117</v>
      </c>
      <c r="J2260">
        <v>29.09</v>
      </c>
      <c r="K2260">
        <v>10.06</v>
      </c>
      <c r="L2260" t="s">
        <v>5485</v>
      </c>
      <c r="M2260" s="45" t="s">
        <v>98</v>
      </c>
      <c r="N2260" s="38" t="s">
        <v>230</v>
      </c>
      <c r="O2260" s="38" t="s">
        <v>288</v>
      </c>
      <c r="P2260" s="38" t="s">
        <v>60</v>
      </c>
      <c r="Q2260" s="38" t="s">
        <v>41</v>
      </c>
      <c r="R2260" s="38" t="s">
        <v>270</v>
      </c>
      <c r="S2260" s="38" t="s">
        <v>5486</v>
      </c>
      <c r="T2260" s="38" t="s">
        <v>5488</v>
      </c>
      <c r="U2260" s="38"/>
      <c r="V2260" s="38"/>
      <c r="W2260" s="38"/>
      <c r="X2260" s="14"/>
      <c r="AN2260" s="7" t="s">
        <v>70</v>
      </c>
      <c r="AO2260" s="21">
        <f t="shared" si="113"/>
        <v>0</v>
      </c>
      <c r="AP2260" s="7">
        <f t="shared" si="114"/>
        <v>10.06</v>
      </c>
      <c r="AQ2260" s="31" t="str">
        <f t="shared" si="115"/>
        <v>Complete - No Adjustment</v>
      </c>
    </row>
    <row r="2261" spans="1:43" x14ac:dyDescent="0.2">
      <c r="A2261" s="46">
        <v>2251</v>
      </c>
      <c r="B2261" s="38" t="s">
        <v>266</v>
      </c>
      <c r="C2261" s="38" t="s">
        <v>325</v>
      </c>
      <c r="D2261" s="38" t="s">
        <v>324</v>
      </c>
      <c r="E2261" s="38" t="s">
        <v>5489</v>
      </c>
      <c r="F2261" s="38" t="s">
        <v>5490</v>
      </c>
      <c r="G2261" s="38" t="s">
        <v>111</v>
      </c>
      <c r="H2261" s="44">
        <v>44127</v>
      </c>
      <c r="I2261" s="44">
        <v>44131</v>
      </c>
      <c r="J2261">
        <v>36.380000000000003</v>
      </c>
      <c r="K2261">
        <v>17.07</v>
      </c>
      <c r="L2261" t="s">
        <v>5491</v>
      </c>
      <c r="M2261" s="45" t="s">
        <v>98</v>
      </c>
      <c r="N2261" s="38" t="s">
        <v>230</v>
      </c>
      <c r="O2261" s="38" t="s">
        <v>288</v>
      </c>
      <c r="P2261" s="38" t="s">
        <v>60</v>
      </c>
      <c r="Q2261" s="38" t="s">
        <v>41</v>
      </c>
      <c r="R2261" s="38" t="s">
        <v>270</v>
      </c>
      <c r="S2261" s="38" t="s">
        <v>5492</v>
      </c>
      <c r="T2261" s="38" t="s">
        <v>5493</v>
      </c>
      <c r="U2261" s="38"/>
      <c r="V2261" s="38"/>
      <c r="W2261" s="38"/>
      <c r="X2261" s="14"/>
      <c r="AN2261" s="7" t="s">
        <v>155</v>
      </c>
      <c r="AO2261" s="21">
        <f t="shared" si="113"/>
        <v>0</v>
      </c>
      <c r="AP2261" s="7">
        <f t="shared" si="114"/>
        <v>17.07</v>
      </c>
      <c r="AQ2261" s="31" t="str">
        <f t="shared" si="115"/>
        <v>Complete - No Adjustment</v>
      </c>
    </row>
    <row r="2262" spans="1:43" x14ac:dyDescent="0.2">
      <c r="A2262" s="46">
        <v>2252</v>
      </c>
      <c r="B2262" s="38" t="s">
        <v>266</v>
      </c>
      <c r="C2262" s="38" t="s">
        <v>325</v>
      </c>
      <c r="D2262" s="38" t="s">
        <v>324</v>
      </c>
      <c r="E2262" s="38" t="s">
        <v>5489</v>
      </c>
      <c r="F2262" s="38" t="s">
        <v>5490</v>
      </c>
      <c r="G2262" s="38" t="s">
        <v>111</v>
      </c>
      <c r="H2262" s="44">
        <v>44127</v>
      </c>
      <c r="I2262" s="44">
        <v>44131</v>
      </c>
      <c r="J2262">
        <v>36.380000000000003</v>
      </c>
      <c r="K2262">
        <v>19.309999999999999</v>
      </c>
      <c r="L2262" t="s">
        <v>5491</v>
      </c>
      <c r="M2262" s="45" t="s">
        <v>98</v>
      </c>
      <c r="N2262" s="38" t="s">
        <v>230</v>
      </c>
      <c r="O2262" s="38" t="s">
        <v>288</v>
      </c>
      <c r="P2262" s="38" t="s">
        <v>60</v>
      </c>
      <c r="Q2262" s="38" t="s">
        <v>41</v>
      </c>
      <c r="R2262" s="38" t="s">
        <v>270</v>
      </c>
      <c r="S2262" s="38" t="s">
        <v>5492</v>
      </c>
      <c r="T2262" s="38" t="s">
        <v>5494</v>
      </c>
      <c r="U2262" s="38"/>
      <c r="V2262" s="38"/>
      <c r="W2262" s="38"/>
      <c r="X2262" s="14"/>
      <c r="AL2262" s="14">
        <f>19.31</f>
        <v>19.309999999999999</v>
      </c>
      <c r="AN2262" s="7" t="s">
        <v>2957</v>
      </c>
      <c r="AO2262" s="21">
        <f t="shared" si="113"/>
        <v>19.309999999999999</v>
      </c>
      <c r="AP2262" s="7">
        <f t="shared" si="114"/>
        <v>0</v>
      </c>
      <c r="AQ2262" s="31" t="str">
        <f t="shared" si="115"/>
        <v>Complete - With Adjustment</v>
      </c>
    </row>
    <row r="2263" spans="1:43" x14ac:dyDescent="0.2">
      <c r="A2263" s="46">
        <v>2253</v>
      </c>
      <c r="B2263" s="38" t="s">
        <v>266</v>
      </c>
      <c r="C2263" s="38" t="s">
        <v>257</v>
      </c>
      <c r="D2263" s="38" t="s">
        <v>256</v>
      </c>
      <c r="E2263" s="38" t="s">
        <v>5495</v>
      </c>
      <c r="F2263" s="38" t="s">
        <v>5480</v>
      </c>
      <c r="G2263" s="38" t="s">
        <v>111</v>
      </c>
      <c r="H2263" s="44">
        <v>44110</v>
      </c>
      <c r="I2263" s="44">
        <v>44111</v>
      </c>
      <c r="J2263">
        <v>38.369999999999997</v>
      </c>
      <c r="K2263">
        <v>9.59</v>
      </c>
      <c r="L2263" t="s">
        <v>5496</v>
      </c>
      <c r="M2263" s="45" t="s">
        <v>97</v>
      </c>
      <c r="N2263" s="38" t="s">
        <v>230</v>
      </c>
      <c r="O2263" s="38" t="s">
        <v>326</v>
      </c>
      <c r="P2263" s="38" t="s">
        <v>42</v>
      </c>
      <c r="Q2263" s="38" t="s">
        <v>55</v>
      </c>
      <c r="R2263" s="38" t="s">
        <v>270</v>
      </c>
      <c r="S2263" s="38" t="s">
        <v>5497</v>
      </c>
      <c r="T2263" s="38" t="s">
        <v>5498</v>
      </c>
      <c r="U2263" s="38"/>
      <c r="V2263" s="38"/>
      <c r="W2263" s="38"/>
      <c r="X2263" s="14"/>
      <c r="AI2263" s="53">
        <f>9.59</f>
        <v>9.59</v>
      </c>
      <c r="AN2263" s="7" t="s">
        <v>145</v>
      </c>
      <c r="AO2263" s="21">
        <f t="shared" si="113"/>
        <v>9.59</v>
      </c>
      <c r="AP2263" s="7">
        <f t="shared" si="114"/>
        <v>0</v>
      </c>
      <c r="AQ2263" s="31" t="str">
        <f t="shared" si="115"/>
        <v>Complete - With Adjustment</v>
      </c>
    </row>
    <row r="2264" spans="1:43" x14ac:dyDescent="0.2">
      <c r="A2264" s="46">
        <v>2254</v>
      </c>
      <c r="B2264" s="38" t="s">
        <v>266</v>
      </c>
      <c r="C2264" s="38" t="s">
        <v>257</v>
      </c>
      <c r="D2264" s="38" t="s">
        <v>256</v>
      </c>
      <c r="E2264" s="38" t="s">
        <v>5499</v>
      </c>
      <c r="F2264" s="38" t="s">
        <v>5369</v>
      </c>
      <c r="G2264" s="38" t="s">
        <v>111</v>
      </c>
      <c r="H2264" s="44">
        <v>44055</v>
      </c>
      <c r="I2264" s="44">
        <v>44109</v>
      </c>
      <c r="J2264">
        <v>79.23</v>
      </c>
      <c r="K2264">
        <v>19.809999999999999</v>
      </c>
      <c r="L2264" t="s">
        <v>5500</v>
      </c>
      <c r="M2264" s="45" t="s">
        <v>98</v>
      </c>
      <c r="N2264" s="38" t="s">
        <v>230</v>
      </c>
      <c r="O2264" s="38" t="s">
        <v>326</v>
      </c>
      <c r="P2264" s="38" t="s">
        <v>60</v>
      </c>
      <c r="Q2264" s="38" t="s">
        <v>62</v>
      </c>
      <c r="R2264" s="38" t="s">
        <v>270</v>
      </c>
      <c r="S2264" s="38" t="s">
        <v>5501</v>
      </c>
      <c r="T2264" s="38" t="s">
        <v>5502</v>
      </c>
      <c r="U2264" s="38"/>
      <c r="V2264" s="38"/>
      <c r="W2264" s="38"/>
      <c r="X2264" s="14"/>
      <c r="AL2264" s="14">
        <f>19.81</f>
        <v>19.809999999999999</v>
      </c>
      <c r="AN2264" s="7" t="s">
        <v>146</v>
      </c>
      <c r="AO2264" s="21">
        <f t="shared" si="113"/>
        <v>19.809999999999999</v>
      </c>
      <c r="AP2264" s="7">
        <f t="shared" si="114"/>
        <v>0</v>
      </c>
      <c r="AQ2264" s="31" t="str">
        <f t="shared" si="115"/>
        <v>Complete - With Adjustment</v>
      </c>
    </row>
    <row r="2265" spans="1:43" x14ac:dyDescent="0.2">
      <c r="A2265" s="46">
        <v>2255</v>
      </c>
      <c r="B2265" s="38" t="s">
        <v>266</v>
      </c>
      <c r="C2265" s="38" t="s">
        <v>242</v>
      </c>
      <c r="D2265" s="38" t="s">
        <v>241</v>
      </c>
      <c r="E2265" s="38" t="s">
        <v>5503</v>
      </c>
      <c r="F2265" s="38" t="s">
        <v>5374</v>
      </c>
      <c r="G2265" s="38" t="s">
        <v>111</v>
      </c>
      <c r="H2265" s="44">
        <v>44116</v>
      </c>
      <c r="I2265" s="44">
        <v>44118</v>
      </c>
      <c r="J2265">
        <v>240</v>
      </c>
      <c r="K2265">
        <v>240</v>
      </c>
      <c r="L2265" t="s">
        <v>5504</v>
      </c>
      <c r="M2265" s="45" t="s">
        <v>98</v>
      </c>
      <c r="N2265" s="38" t="s">
        <v>230</v>
      </c>
      <c r="O2265" s="38" t="s">
        <v>287</v>
      </c>
      <c r="P2265" s="38" t="s">
        <v>60</v>
      </c>
      <c r="Q2265" s="38" t="s">
        <v>59</v>
      </c>
      <c r="R2265" s="38" t="s">
        <v>270</v>
      </c>
      <c r="S2265" s="38" t="s">
        <v>5505</v>
      </c>
      <c r="T2265" s="38" t="s">
        <v>5506</v>
      </c>
      <c r="U2265" s="38"/>
      <c r="V2265" s="38"/>
      <c r="W2265" s="38"/>
      <c r="X2265" s="14"/>
      <c r="AN2265" s="7" t="s">
        <v>70</v>
      </c>
      <c r="AO2265" s="21">
        <f t="shared" si="113"/>
        <v>0</v>
      </c>
      <c r="AP2265" s="7">
        <f t="shared" si="114"/>
        <v>240</v>
      </c>
      <c r="AQ2265" s="31" t="str">
        <f t="shared" si="115"/>
        <v>Complete - No Adjustment</v>
      </c>
    </row>
    <row r="2266" spans="1:43" x14ac:dyDescent="0.2">
      <c r="A2266" s="46">
        <v>2256</v>
      </c>
      <c r="B2266" s="38" t="s">
        <v>266</v>
      </c>
      <c r="C2266" s="38" t="s">
        <v>242</v>
      </c>
      <c r="D2266" s="38" t="s">
        <v>241</v>
      </c>
      <c r="E2266" s="38" t="s">
        <v>5507</v>
      </c>
      <c r="F2266" s="38" t="s">
        <v>5388</v>
      </c>
      <c r="G2266" s="38" t="s">
        <v>111</v>
      </c>
      <c r="H2266" s="44">
        <v>44103</v>
      </c>
      <c r="I2266" s="44">
        <v>44105</v>
      </c>
      <c r="J2266">
        <v>794.09</v>
      </c>
      <c r="K2266">
        <v>208.1</v>
      </c>
      <c r="L2266" t="s">
        <v>5508</v>
      </c>
      <c r="M2266" s="45" t="s">
        <v>98</v>
      </c>
      <c r="N2266" s="38" t="s">
        <v>230</v>
      </c>
      <c r="O2266" s="38" t="s">
        <v>287</v>
      </c>
      <c r="P2266" s="38" t="s">
        <v>60</v>
      </c>
      <c r="Q2266" s="38" t="s">
        <v>46</v>
      </c>
      <c r="R2266" s="38" t="s">
        <v>270</v>
      </c>
      <c r="S2266" s="38" t="s">
        <v>5509</v>
      </c>
      <c r="T2266" s="38" t="s">
        <v>5510</v>
      </c>
      <c r="U2266" s="38"/>
      <c r="V2266" s="38"/>
      <c r="W2266" s="38"/>
      <c r="X2266" s="14"/>
      <c r="AI2266" s="53">
        <f>208.1</f>
        <v>208.1</v>
      </c>
      <c r="AN2266" s="7" t="s">
        <v>145</v>
      </c>
      <c r="AO2266" s="21">
        <f t="shared" si="113"/>
        <v>208.1</v>
      </c>
      <c r="AP2266" s="7">
        <f t="shared" si="114"/>
        <v>0</v>
      </c>
      <c r="AQ2266" s="31" t="str">
        <f t="shared" si="115"/>
        <v>Complete - With Adjustment</v>
      </c>
    </row>
    <row r="2267" spans="1:43" x14ac:dyDescent="0.2">
      <c r="A2267" s="46">
        <v>2257</v>
      </c>
      <c r="B2267" s="38" t="s">
        <v>266</v>
      </c>
      <c r="C2267" s="38" t="s">
        <v>242</v>
      </c>
      <c r="D2267" s="38" t="s">
        <v>241</v>
      </c>
      <c r="E2267" s="38" t="s">
        <v>5507</v>
      </c>
      <c r="F2267" s="38" t="s">
        <v>5388</v>
      </c>
      <c r="G2267" s="38" t="s">
        <v>111</v>
      </c>
      <c r="H2267" s="44">
        <v>44103</v>
      </c>
      <c r="I2267" s="44">
        <v>44105</v>
      </c>
      <c r="J2267">
        <v>794.09</v>
      </c>
      <c r="K2267">
        <v>248.92</v>
      </c>
      <c r="L2267" t="s">
        <v>5508</v>
      </c>
      <c r="M2267" s="45" t="s">
        <v>98</v>
      </c>
      <c r="N2267" s="38" t="s">
        <v>230</v>
      </c>
      <c r="O2267" s="38" t="s">
        <v>287</v>
      </c>
      <c r="P2267" s="38" t="s">
        <v>60</v>
      </c>
      <c r="Q2267" s="38" t="s">
        <v>46</v>
      </c>
      <c r="R2267" s="38" t="s">
        <v>270</v>
      </c>
      <c r="S2267" s="38" t="s">
        <v>5509</v>
      </c>
      <c r="T2267" s="38" t="s">
        <v>5510</v>
      </c>
      <c r="U2267" s="38"/>
      <c r="V2267" s="38"/>
      <c r="W2267" s="38"/>
      <c r="X2267" s="14"/>
      <c r="AI2267" s="53">
        <f>248.92</f>
        <v>248.92</v>
      </c>
      <c r="AN2267" s="7" t="s">
        <v>145</v>
      </c>
      <c r="AO2267" s="21">
        <f t="shared" si="113"/>
        <v>248.92</v>
      </c>
      <c r="AP2267" s="7">
        <f t="shared" si="114"/>
        <v>0</v>
      </c>
      <c r="AQ2267" s="31" t="str">
        <f t="shared" si="115"/>
        <v>Complete - With Adjustment</v>
      </c>
    </row>
    <row r="2268" spans="1:43" x14ac:dyDescent="0.2">
      <c r="A2268" s="46">
        <v>2258</v>
      </c>
      <c r="B2268" s="38" t="s">
        <v>266</v>
      </c>
      <c r="C2268" s="38" t="s">
        <v>242</v>
      </c>
      <c r="D2268" s="38" t="s">
        <v>241</v>
      </c>
      <c r="E2268" s="38" t="s">
        <v>5507</v>
      </c>
      <c r="F2268" s="38" t="s">
        <v>5388</v>
      </c>
      <c r="G2268" s="38" t="s">
        <v>111</v>
      </c>
      <c r="H2268" s="44">
        <v>44103</v>
      </c>
      <c r="I2268" s="44">
        <v>44105</v>
      </c>
      <c r="J2268">
        <v>794.09</v>
      </c>
      <c r="K2268">
        <v>237.07</v>
      </c>
      <c r="L2268" t="s">
        <v>5508</v>
      </c>
      <c r="M2268" s="45" t="s">
        <v>98</v>
      </c>
      <c r="N2268" s="38" t="s">
        <v>230</v>
      </c>
      <c r="O2268" s="38" t="s">
        <v>287</v>
      </c>
      <c r="P2268" s="38" t="s">
        <v>60</v>
      </c>
      <c r="Q2268" s="38" t="s">
        <v>46</v>
      </c>
      <c r="R2268" s="38" t="s">
        <v>270</v>
      </c>
      <c r="S2268" s="38" t="s">
        <v>5509</v>
      </c>
      <c r="T2268" s="38" t="s">
        <v>5510</v>
      </c>
      <c r="U2268" s="38"/>
      <c r="V2268" s="38"/>
      <c r="W2268" s="38"/>
      <c r="X2268" s="14"/>
      <c r="AI2268" s="53">
        <f>237.07</f>
        <v>237.07</v>
      </c>
      <c r="AN2268" s="7" t="s">
        <v>145</v>
      </c>
      <c r="AO2268" s="21">
        <f t="shared" si="113"/>
        <v>237.07</v>
      </c>
      <c r="AP2268" s="7">
        <f t="shared" si="114"/>
        <v>0</v>
      </c>
      <c r="AQ2268" s="31" t="str">
        <f t="shared" si="115"/>
        <v>Complete - With Adjustment</v>
      </c>
    </row>
    <row r="2269" spans="1:43" x14ac:dyDescent="0.2">
      <c r="A2269" s="46">
        <v>2259</v>
      </c>
      <c r="B2269" s="38" t="s">
        <v>266</v>
      </c>
      <c r="C2269" s="38" t="s">
        <v>242</v>
      </c>
      <c r="D2269" s="38" t="s">
        <v>241</v>
      </c>
      <c r="E2269" s="38" t="s">
        <v>5507</v>
      </c>
      <c r="F2269" s="38" t="s">
        <v>5388</v>
      </c>
      <c r="G2269" s="38" t="s">
        <v>111</v>
      </c>
      <c r="H2269" s="44">
        <v>44103</v>
      </c>
      <c r="I2269" s="44">
        <v>44105</v>
      </c>
      <c r="J2269">
        <v>794.09</v>
      </c>
      <c r="K2269">
        <v>50</v>
      </c>
      <c r="L2269" t="s">
        <v>5508</v>
      </c>
      <c r="M2269" s="45" t="s">
        <v>98</v>
      </c>
      <c r="N2269" s="38" t="s">
        <v>230</v>
      </c>
      <c r="O2269" s="38" t="s">
        <v>287</v>
      </c>
      <c r="P2269" s="38" t="s">
        <v>60</v>
      </c>
      <c r="Q2269" s="38" t="s">
        <v>46</v>
      </c>
      <c r="R2269" s="38" t="s">
        <v>270</v>
      </c>
      <c r="S2269" s="38" t="s">
        <v>5509</v>
      </c>
      <c r="T2269" s="38" t="s">
        <v>5511</v>
      </c>
      <c r="U2269" s="38"/>
      <c r="V2269" s="38"/>
      <c r="W2269" s="38"/>
      <c r="X2269" s="14"/>
      <c r="AI2269" s="53">
        <f>50</f>
        <v>50</v>
      </c>
      <c r="AN2269" s="7" t="s">
        <v>145</v>
      </c>
      <c r="AO2269" s="21">
        <f t="shared" si="113"/>
        <v>50</v>
      </c>
      <c r="AP2269" s="7">
        <f t="shared" si="114"/>
        <v>0</v>
      </c>
      <c r="AQ2269" s="31" t="str">
        <f t="shared" si="115"/>
        <v>Complete - With Adjustment</v>
      </c>
    </row>
    <row r="2270" spans="1:43" x14ac:dyDescent="0.2">
      <c r="A2270" s="46">
        <v>2260</v>
      </c>
      <c r="B2270" s="38" t="s">
        <v>266</v>
      </c>
      <c r="C2270" s="38" t="s">
        <v>242</v>
      </c>
      <c r="D2270" s="38" t="s">
        <v>241</v>
      </c>
      <c r="E2270" s="38" t="s">
        <v>5507</v>
      </c>
      <c r="F2270" s="38" t="s">
        <v>5388</v>
      </c>
      <c r="G2270" s="38" t="s">
        <v>111</v>
      </c>
      <c r="H2270" s="44">
        <v>44103</v>
      </c>
      <c r="I2270" s="44">
        <v>44105</v>
      </c>
      <c r="J2270">
        <v>794.09</v>
      </c>
      <c r="K2270">
        <v>50</v>
      </c>
      <c r="L2270" t="s">
        <v>5508</v>
      </c>
      <c r="M2270" s="45" t="s">
        <v>98</v>
      </c>
      <c r="N2270" s="38" t="s">
        <v>230</v>
      </c>
      <c r="O2270" s="38" t="s">
        <v>287</v>
      </c>
      <c r="P2270" s="38" t="s">
        <v>60</v>
      </c>
      <c r="Q2270" s="38" t="s">
        <v>46</v>
      </c>
      <c r="R2270" s="38" t="s">
        <v>270</v>
      </c>
      <c r="S2270" s="38" t="s">
        <v>5509</v>
      </c>
      <c r="T2270" s="38" t="s">
        <v>5511</v>
      </c>
      <c r="U2270" s="38"/>
      <c r="V2270" s="38"/>
      <c r="W2270" s="38"/>
      <c r="X2270" s="14"/>
      <c r="AI2270" s="53">
        <f>50</f>
        <v>50</v>
      </c>
      <c r="AN2270" s="7" t="s">
        <v>145</v>
      </c>
      <c r="AO2270" s="21">
        <f t="shared" si="113"/>
        <v>50</v>
      </c>
      <c r="AP2270" s="7">
        <f t="shared" si="114"/>
        <v>0</v>
      </c>
      <c r="AQ2270" s="31" t="str">
        <f t="shared" si="115"/>
        <v>Complete - With Adjustment</v>
      </c>
    </row>
    <row r="2271" spans="1:43" x14ac:dyDescent="0.2">
      <c r="A2271" s="46">
        <v>2261</v>
      </c>
      <c r="B2271" s="38" t="s">
        <v>266</v>
      </c>
      <c r="C2271" s="38" t="s">
        <v>639</v>
      </c>
      <c r="D2271" s="38" t="s">
        <v>638</v>
      </c>
      <c r="E2271" s="38" t="s">
        <v>5512</v>
      </c>
      <c r="F2271" s="38" t="s">
        <v>5348</v>
      </c>
      <c r="G2271" s="38" t="s">
        <v>111</v>
      </c>
      <c r="H2271" s="44">
        <v>44095</v>
      </c>
      <c r="I2271" s="44">
        <v>44106</v>
      </c>
      <c r="J2271">
        <v>310</v>
      </c>
      <c r="K2271">
        <v>10</v>
      </c>
      <c r="L2271" t="s">
        <v>5513</v>
      </c>
      <c r="M2271" s="45" t="s">
        <v>97</v>
      </c>
      <c r="N2271" s="38" t="s">
        <v>230</v>
      </c>
      <c r="O2271" s="38" t="s">
        <v>592</v>
      </c>
      <c r="P2271" s="38" t="s">
        <v>42</v>
      </c>
      <c r="Q2271" s="38" t="s">
        <v>55</v>
      </c>
      <c r="R2271" s="38" t="s">
        <v>270</v>
      </c>
      <c r="S2271" s="38" t="s">
        <v>5514</v>
      </c>
      <c r="T2271" s="38" t="s">
        <v>5515</v>
      </c>
      <c r="U2271" s="38"/>
      <c r="V2271" s="38"/>
      <c r="W2271" s="38"/>
      <c r="X2271" s="14"/>
      <c r="AI2271" s="53">
        <f>10</f>
        <v>10</v>
      </c>
      <c r="AN2271" s="7" t="s">
        <v>145</v>
      </c>
      <c r="AO2271" s="21">
        <f t="shared" si="113"/>
        <v>10</v>
      </c>
      <c r="AP2271" s="7">
        <f t="shared" si="114"/>
        <v>0</v>
      </c>
      <c r="AQ2271" s="31" t="str">
        <f t="shared" si="115"/>
        <v>Complete - With Adjustment</v>
      </c>
    </row>
    <row r="2272" spans="1:43" x14ac:dyDescent="0.2">
      <c r="A2272" s="46">
        <v>2262</v>
      </c>
      <c r="B2272" s="38" t="s">
        <v>266</v>
      </c>
      <c r="C2272" s="38" t="s">
        <v>639</v>
      </c>
      <c r="D2272" s="38" t="s">
        <v>638</v>
      </c>
      <c r="E2272" s="38" t="s">
        <v>5512</v>
      </c>
      <c r="F2272" s="38" t="s">
        <v>5348</v>
      </c>
      <c r="G2272" s="38" t="s">
        <v>111</v>
      </c>
      <c r="H2272" s="44">
        <v>44095</v>
      </c>
      <c r="I2272" s="44">
        <v>44106</v>
      </c>
      <c r="J2272">
        <v>310</v>
      </c>
      <c r="K2272">
        <v>30</v>
      </c>
      <c r="L2272" t="s">
        <v>5513</v>
      </c>
      <c r="M2272" s="45" t="s">
        <v>97</v>
      </c>
      <c r="N2272" s="38" t="s">
        <v>230</v>
      </c>
      <c r="O2272" s="38" t="s">
        <v>592</v>
      </c>
      <c r="P2272" s="38" t="s">
        <v>42</v>
      </c>
      <c r="Q2272" s="38" t="s">
        <v>55</v>
      </c>
      <c r="R2272" s="38" t="s">
        <v>270</v>
      </c>
      <c r="S2272" s="38" t="s">
        <v>5514</v>
      </c>
      <c r="T2272" s="38" t="s">
        <v>5516</v>
      </c>
      <c r="U2272" s="38"/>
      <c r="V2272" s="38"/>
      <c r="W2272" s="38"/>
      <c r="X2272" s="14"/>
      <c r="AI2272" s="53">
        <f>30</f>
        <v>30</v>
      </c>
      <c r="AN2272" s="7" t="s">
        <v>145</v>
      </c>
      <c r="AO2272" s="21">
        <f t="shared" si="113"/>
        <v>30</v>
      </c>
      <c r="AP2272" s="7">
        <f t="shared" si="114"/>
        <v>0</v>
      </c>
      <c r="AQ2272" s="31" t="str">
        <f t="shared" si="115"/>
        <v>Complete - With Adjustment</v>
      </c>
    </row>
    <row r="2273" spans="1:43" x14ac:dyDescent="0.2">
      <c r="A2273" s="46">
        <v>2263</v>
      </c>
      <c r="B2273" s="38" t="s">
        <v>266</v>
      </c>
      <c r="C2273" s="38" t="s">
        <v>639</v>
      </c>
      <c r="D2273" s="38" t="s">
        <v>638</v>
      </c>
      <c r="E2273" s="38" t="s">
        <v>5512</v>
      </c>
      <c r="F2273" s="38" t="s">
        <v>5348</v>
      </c>
      <c r="G2273" s="38" t="s">
        <v>111</v>
      </c>
      <c r="H2273" s="44">
        <v>44095</v>
      </c>
      <c r="I2273" s="44">
        <v>44106</v>
      </c>
      <c r="J2273">
        <v>310</v>
      </c>
      <c r="K2273">
        <v>20</v>
      </c>
      <c r="L2273" t="s">
        <v>5513</v>
      </c>
      <c r="M2273" s="45" t="s">
        <v>97</v>
      </c>
      <c r="N2273" s="38" t="s">
        <v>230</v>
      </c>
      <c r="O2273" s="38" t="s">
        <v>592</v>
      </c>
      <c r="P2273" s="38" t="s">
        <v>42</v>
      </c>
      <c r="Q2273" s="38" t="s">
        <v>55</v>
      </c>
      <c r="R2273" s="38" t="s">
        <v>270</v>
      </c>
      <c r="S2273" s="38" t="s">
        <v>5514</v>
      </c>
      <c r="T2273" s="38" t="s">
        <v>5517</v>
      </c>
      <c r="U2273" s="38"/>
      <c r="V2273" s="38"/>
      <c r="W2273" s="38"/>
      <c r="X2273" s="14"/>
      <c r="AI2273" s="53">
        <f>20</f>
        <v>20</v>
      </c>
      <c r="AN2273" s="7" t="s">
        <v>145</v>
      </c>
      <c r="AO2273" s="21">
        <f t="shared" si="113"/>
        <v>20</v>
      </c>
      <c r="AP2273" s="7">
        <f t="shared" si="114"/>
        <v>0</v>
      </c>
      <c r="AQ2273" s="31" t="str">
        <f t="shared" si="115"/>
        <v>Complete - With Adjustment</v>
      </c>
    </row>
    <row r="2274" spans="1:43" x14ac:dyDescent="0.2">
      <c r="A2274" s="46">
        <v>2264</v>
      </c>
      <c r="B2274" s="38" t="s">
        <v>266</v>
      </c>
      <c r="C2274" s="38" t="s">
        <v>639</v>
      </c>
      <c r="D2274" s="38" t="s">
        <v>638</v>
      </c>
      <c r="E2274" s="38" t="s">
        <v>5512</v>
      </c>
      <c r="F2274" s="38" t="s">
        <v>5348</v>
      </c>
      <c r="G2274" s="38" t="s">
        <v>111</v>
      </c>
      <c r="H2274" s="44">
        <v>44095</v>
      </c>
      <c r="I2274" s="44">
        <v>44106</v>
      </c>
      <c r="J2274">
        <v>310</v>
      </c>
      <c r="K2274">
        <v>250</v>
      </c>
      <c r="L2274" t="s">
        <v>5513</v>
      </c>
      <c r="M2274" s="45" t="s">
        <v>97</v>
      </c>
      <c r="N2274" s="38" t="s">
        <v>230</v>
      </c>
      <c r="O2274" s="38" t="s">
        <v>592</v>
      </c>
      <c r="P2274" s="38" t="s">
        <v>42</v>
      </c>
      <c r="Q2274" s="38" t="s">
        <v>55</v>
      </c>
      <c r="R2274" s="38" t="s">
        <v>270</v>
      </c>
      <c r="S2274" s="38" t="s">
        <v>5514</v>
      </c>
      <c r="T2274" s="38" t="s">
        <v>5518</v>
      </c>
      <c r="U2274" s="38"/>
      <c r="V2274" s="38"/>
      <c r="W2274" s="38"/>
      <c r="X2274" s="14"/>
      <c r="AI2274" s="53">
        <f>250</f>
        <v>250</v>
      </c>
      <c r="AN2274" s="7" t="s">
        <v>145</v>
      </c>
      <c r="AO2274" s="21">
        <f t="shared" si="113"/>
        <v>250</v>
      </c>
      <c r="AP2274" s="7">
        <f t="shared" si="114"/>
        <v>0</v>
      </c>
      <c r="AQ2274" s="31" t="str">
        <f t="shared" si="115"/>
        <v>Complete - With Adjustment</v>
      </c>
    </row>
    <row r="2275" spans="1:43" x14ac:dyDescent="0.2">
      <c r="A2275" s="46">
        <v>2265</v>
      </c>
      <c r="B2275" s="38" t="s">
        <v>266</v>
      </c>
      <c r="C2275" s="38" t="s">
        <v>330</v>
      </c>
      <c r="D2275" s="38" t="s">
        <v>329</v>
      </c>
      <c r="E2275" s="38" t="s">
        <v>5519</v>
      </c>
      <c r="F2275" s="38" t="s">
        <v>5388</v>
      </c>
      <c r="G2275" s="38" t="s">
        <v>111</v>
      </c>
      <c r="H2275" s="44">
        <v>44104</v>
      </c>
      <c r="I2275" s="44">
        <v>44105</v>
      </c>
      <c r="J2275">
        <v>42.89</v>
      </c>
      <c r="K2275">
        <v>10.28</v>
      </c>
      <c r="L2275" t="s">
        <v>5520</v>
      </c>
      <c r="M2275" s="45" t="s">
        <v>98</v>
      </c>
      <c r="N2275" s="38" t="s">
        <v>230</v>
      </c>
      <c r="O2275" s="38" t="s">
        <v>269</v>
      </c>
      <c r="P2275" s="38" t="s">
        <v>60</v>
      </c>
      <c r="Q2275" s="38" t="s">
        <v>41</v>
      </c>
      <c r="R2275" s="38" t="s">
        <v>270</v>
      </c>
      <c r="S2275" s="38" t="s">
        <v>5521</v>
      </c>
      <c r="T2275" s="38" t="s">
        <v>5522</v>
      </c>
      <c r="U2275" s="38"/>
      <c r="V2275" s="38"/>
      <c r="W2275" s="38"/>
      <c r="X2275" s="14"/>
      <c r="AL2275" s="14">
        <f>10.28</f>
        <v>10.28</v>
      </c>
      <c r="AN2275" s="7" t="s">
        <v>146</v>
      </c>
      <c r="AO2275" s="21">
        <f t="shared" si="113"/>
        <v>10.28</v>
      </c>
      <c r="AP2275" s="7">
        <f t="shared" si="114"/>
        <v>0</v>
      </c>
      <c r="AQ2275" s="31" t="str">
        <f t="shared" si="115"/>
        <v>Complete - With Adjustment</v>
      </c>
    </row>
    <row r="2276" spans="1:43" x14ac:dyDescent="0.2">
      <c r="A2276" s="46">
        <v>2266</v>
      </c>
      <c r="B2276" s="38" t="s">
        <v>266</v>
      </c>
      <c r="C2276" s="38" t="s">
        <v>330</v>
      </c>
      <c r="D2276" s="38" t="s">
        <v>329</v>
      </c>
      <c r="E2276" s="38" t="s">
        <v>5519</v>
      </c>
      <c r="F2276" s="38" t="s">
        <v>5388</v>
      </c>
      <c r="G2276" s="38" t="s">
        <v>111</v>
      </c>
      <c r="H2276" s="44">
        <v>44104</v>
      </c>
      <c r="I2276" s="44">
        <v>44105</v>
      </c>
      <c r="J2276">
        <v>42.89</v>
      </c>
      <c r="K2276">
        <v>11.46</v>
      </c>
      <c r="L2276" t="s">
        <v>5520</v>
      </c>
      <c r="M2276" s="45" t="s">
        <v>98</v>
      </c>
      <c r="N2276" s="38" t="s">
        <v>230</v>
      </c>
      <c r="O2276" s="38" t="s">
        <v>269</v>
      </c>
      <c r="P2276" s="38" t="s">
        <v>60</v>
      </c>
      <c r="Q2276" s="38" t="s">
        <v>41</v>
      </c>
      <c r="R2276" s="38" t="s">
        <v>270</v>
      </c>
      <c r="S2276" s="38" t="s">
        <v>5521</v>
      </c>
      <c r="T2276" s="38" t="s">
        <v>5523</v>
      </c>
      <c r="U2276" s="38"/>
      <c r="V2276" s="38"/>
      <c r="W2276" s="38"/>
      <c r="X2276" s="14"/>
      <c r="AN2276" s="7" t="s">
        <v>4219</v>
      </c>
      <c r="AO2276" s="21">
        <f t="shared" si="113"/>
        <v>0</v>
      </c>
      <c r="AP2276" s="7">
        <f t="shared" si="114"/>
        <v>11.46</v>
      </c>
      <c r="AQ2276" s="31" t="str">
        <f t="shared" si="115"/>
        <v>Complete - No Adjustment</v>
      </c>
    </row>
    <row r="2277" spans="1:43" x14ac:dyDescent="0.2">
      <c r="A2277" s="46">
        <v>2267</v>
      </c>
      <c r="B2277" s="38" t="s">
        <v>266</v>
      </c>
      <c r="C2277" s="38" t="s">
        <v>330</v>
      </c>
      <c r="D2277" s="38" t="s">
        <v>329</v>
      </c>
      <c r="E2277" s="38" t="s">
        <v>5519</v>
      </c>
      <c r="F2277" s="38" t="s">
        <v>5388</v>
      </c>
      <c r="G2277" s="38" t="s">
        <v>111</v>
      </c>
      <c r="H2277" s="44">
        <v>44104</v>
      </c>
      <c r="I2277" s="44">
        <v>44105</v>
      </c>
      <c r="J2277">
        <v>42.89</v>
      </c>
      <c r="K2277">
        <v>9.4700000000000006</v>
      </c>
      <c r="L2277" t="s">
        <v>5520</v>
      </c>
      <c r="M2277" s="45" t="s">
        <v>98</v>
      </c>
      <c r="N2277" s="38" t="s">
        <v>230</v>
      </c>
      <c r="O2277" s="38" t="s">
        <v>269</v>
      </c>
      <c r="P2277" s="38" t="s">
        <v>60</v>
      </c>
      <c r="Q2277" s="38" t="s">
        <v>41</v>
      </c>
      <c r="R2277" s="38" t="s">
        <v>270</v>
      </c>
      <c r="S2277" s="38" t="s">
        <v>5521</v>
      </c>
      <c r="T2277" s="38" t="s">
        <v>5524</v>
      </c>
      <c r="U2277" s="38"/>
      <c r="V2277" s="38"/>
      <c r="W2277" s="38"/>
      <c r="X2277" s="14"/>
      <c r="AN2277" s="7" t="s">
        <v>155</v>
      </c>
      <c r="AO2277" s="21">
        <f t="shared" si="113"/>
        <v>0</v>
      </c>
      <c r="AP2277" s="7">
        <f t="shared" si="114"/>
        <v>9.4700000000000006</v>
      </c>
      <c r="AQ2277" s="31" t="str">
        <f t="shared" si="115"/>
        <v>Complete - No Adjustment</v>
      </c>
    </row>
    <row r="2278" spans="1:43" x14ac:dyDescent="0.2">
      <c r="A2278" s="46">
        <v>2268</v>
      </c>
      <c r="B2278" s="38" t="s">
        <v>266</v>
      </c>
      <c r="C2278" s="38" t="s">
        <v>330</v>
      </c>
      <c r="D2278" s="38" t="s">
        <v>329</v>
      </c>
      <c r="E2278" s="38" t="s">
        <v>5519</v>
      </c>
      <c r="F2278" s="38" t="s">
        <v>5388</v>
      </c>
      <c r="G2278" s="38" t="s">
        <v>111</v>
      </c>
      <c r="H2278" s="44">
        <v>44104</v>
      </c>
      <c r="I2278" s="44">
        <v>44105</v>
      </c>
      <c r="J2278">
        <v>42.89</v>
      </c>
      <c r="K2278">
        <v>11.68</v>
      </c>
      <c r="L2278" t="s">
        <v>5520</v>
      </c>
      <c r="M2278" s="45" t="s">
        <v>98</v>
      </c>
      <c r="N2278" s="38" t="s">
        <v>230</v>
      </c>
      <c r="O2278" s="38" t="s">
        <v>269</v>
      </c>
      <c r="P2278" s="38" t="s">
        <v>60</v>
      </c>
      <c r="Q2278" s="38" t="s">
        <v>41</v>
      </c>
      <c r="R2278" s="38" t="s">
        <v>270</v>
      </c>
      <c r="S2278" s="38" t="s">
        <v>5521</v>
      </c>
      <c r="T2278" s="38" t="s">
        <v>5522</v>
      </c>
      <c r="U2278" s="38"/>
      <c r="V2278" s="38"/>
      <c r="W2278" s="38"/>
      <c r="X2278" s="14"/>
      <c r="AL2278" s="14">
        <f>11.68</f>
        <v>11.68</v>
      </c>
      <c r="AN2278" s="7" t="s">
        <v>146</v>
      </c>
      <c r="AO2278" s="21">
        <f t="shared" si="113"/>
        <v>11.68</v>
      </c>
      <c r="AP2278" s="7">
        <f t="shared" si="114"/>
        <v>0</v>
      </c>
      <c r="AQ2278" s="31" t="str">
        <f t="shared" si="115"/>
        <v>Complete - With Adjustment</v>
      </c>
    </row>
    <row r="2279" spans="1:43" x14ac:dyDescent="0.2">
      <c r="A2279" s="46">
        <v>2269</v>
      </c>
      <c r="B2279" s="38" t="s">
        <v>266</v>
      </c>
      <c r="C2279" s="38" t="s">
        <v>744</v>
      </c>
      <c r="D2279" s="38" t="s">
        <v>743</v>
      </c>
      <c r="E2279" s="38" t="s">
        <v>5525</v>
      </c>
      <c r="F2279" s="38" t="s">
        <v>5526</v>
      </c>
      <c r="G2279" s="38" t="s">
        <v>111</v>
      </c>
      <c r="H2279" s="44">
        <v>44119</v>
      </c>
      <c r="I2279" s="44">
        <v>44123</v>
      </c>
      <c r="J2279">
        <v>114.05</v>
      </c>
      <c r="K2279">
        <v>39.049999999999997</v>
      </c>
      <c r="L2279" t="s">
        <v>5527</v>
      </c>
      <c r="M2279" s="45" t="s">
        <v>98</v>
      </c>
      <c r="N2279" s="38" t="s">
        <v>230</v>
      </c>
      <c r="O2279" s="38" t="s">
        <v>717</v>
      </c>
      <c r="P2279" s="38" t="s">
        <v>60</v>
      </c>
      <c r="Q2279" s="38" t="s">
        <v>59</v>
      </c>
      <c r="R2279" s="38" t="s">
        <v>270</v>
      </c>
      <c r="S2279" s="38" t="s">
        <v>5528</v>
      </c>
      <c r="T2279" s="38" t="s">
        <v>5529</v>
      </c>
      <c r="U2279" s="38"/>
      <c r="V2279" s="38"/>
      <c r="W2279" s="38"/>
      <c r="X2279" s="14"/>
      <c r="AN2279" s="7" t="s">
        <v>70</v>
      </c>
      <c r="AO2279" s="21">
        <f t="shared" si="113"/>
        <v>0</v>
      </c>
      <c r="AP2279" s="7">
        <f t="shared" si="114"/>
        <v>39.049999999999997</v>
      </c>
      <c r="AQ2279" s="31" t="str">
        <f t="shared" si="115"/>
        <v>Complete - No Adjustment</v>
      </c>
    </row>
    <row r="2280" spans="1:43" x14ac:dyDescent="0.2">
      <c r="A2280" s="46">
        <v>2270</v>
      </c>
      <c r="B2280" s="38" t="s">
        <v>266</v>
      </c>
      <c r="C2280" s="38" t="s">
        <v>744</v>
      </c>
      <c r="D2280" s="38" t="s">
        <v>743</v>
      </c>
      <c r="E2280" s="38" t="s">
        <v>5525</v>
      </c>
      <c r="F2280" s="38" t="s">
        <v>5526</v>
      </c>
      <c r="G2280" s="38" t="s">
        <v>111</v>
      </c>
      <c r="H2280" s="44">
        <v>44119</v>
      </c>
      <c r="I2280" s="44">
        <v>44123</v>
      </c>
      <c r="J2280">
        <v>114.05</v>
      </c>
      <c r="K2280">
        <v>75</v>
      </c>
      <c r="L2280" t="s">
        <v>5527</v>
      </c>
      <c r="M2280" s="45" t="s">
        <v>98</v>
      </c>
      <c r="N2280" s="38" t="s">
        <v>230</v>
      </c>
      <c r="O2280" s="38" t="s">
        <v>717</v>
      </c>
      <c r="P2280" s="38" t="s">
        <v>60</v>
      </c>
      <c r="Q2280" s="38" t="s">
        <v>59</v>
      </c>
      <c r="R2280" s="38" t="s">
        <v>270</v>
      </c>
      <c r="S2280" s="38" t="s">
        <v>5528</v>
      </c>
      <c r="T2280" s="38" t="s">
        <v>5530</v>
      </c>
      <c r="U2280" s="38"/>
      <c r="V2280" s="38"/>
      <c r="W2280" s="38"/>
      <c r="X2280" s="14"/>
      <c r="AN2280" s="7" t="s">
        <v>70</v>
      </c>
      <c r="AO2280" s="21">
        <f t="shared" si="113"/>
        <v>0</v>
      </c>
      <c r="AP2280" s="7">
        <f t="shared" si="114"/>
        <v>75</v>
      </c>
      <c r="AQ2280" s="31" t="str">
        <f t="shared" si="115"/>
        <v>Complete - No Adjustment</v>
      </c>
    </row>
    <row r="2281" spans="1:43" x14ac:dyDescent="0.2">
      <c r="A2281" s="46">
        <v>2271</v>
      </c>
      <c r="B2281" s="38" t="s">
        <v>266</v>
      </c>
      <c r="C2281" s="38" t="s">
        <v>338</v>
      </c>
      <c r="D2281" s="38" t="s">
        <v>337</v>
      </c>
      <c r="E2281" s="38" t="s">
        <v>5531</v>
      </c>
      <c r="F2281" s="38" t="s">
        <v>5348</v>
      </c>
      <c r="G2281" s="38" t="s">
        <v>111</v>
      </c>
      <c r="H2281" s="44">
        <v>44104</v>
      </c>
      <c r="I2281" s="44">
        <v>44106</v>
      </c>
      <c r="J2281">
        <v>527.5</v>
      </c>
      <c r="K2281">
        <v>500</v>
      </c>
      <c r="L2281" t="s">
        <v>5532</v>
      </c>
      <c r="M2281" s="45" t="s">
        <v>97</v>
      </c>
      <c r="N2281" s="38" t="s">
        <v>230</v>
      </c>
      <c r="O2281" s="38" t="s">
        <v>339</v>
      </c>
      <c r="P2281" s="38" t="s">
        <v>64</v>
      </c>
      <c r="Q2281" s="38" t="s">
        <v>41</v>
      </c>
      <c r="R2281" s="38" t="s">
        <v>270</v>
      </c>
      <c r="S2281" s="38" t="s">
        <v>5533</v>
      </c>
      <c r="T2281" s="38" t="s">
        <v>5534</v>
      </c>
      <c r="U2281" s="38"/>
      <c r="V2281" s="38"/>
      <c r="W2281" s="38"/>
      <c r="X2281" s="14"/>
      <c r="AL2281" s="14">
        <f>500</f>
        <v>500</v>
      </c>
      <c r="AN2281" s="7" t="s">
        <v>146</v>
      </c>
      <c r="AO2281" s="21">
        <f t="shared" si="113"/>
        <v>500</v>
      </c>
      <c r="AP2281" s="7">
        <f t="shared" si="114"/>
        <v>0</v>
      </c>
      <c r="AQ2281" s="31" t="str">
        <f t="shared" si="115"/>
        <v>Complete - With Adjustment</v>
      </c>
    </row>
    <row r="2282" spans="1:43" x14ac:dyDescent="0.2">
      <c r="A2282" s="46">
        <v>2272</v>
      </c>
      <c r="B2282" s="38" t="s">
        <v>266</v>
      </c>
      <c r="C2282" s="38" t="s">
        <v>338</v>
      </c>
      <c r="D2282" s="38" t="s">
        <v>337</v>
      </c>
      <c r="E2282" s="38" t="s">
        <v>5531</v>
      </c>
      <c r="F2282" s="38" t="s">
        <v>5348</v>
      </c>
      <c r="G2282" s="38" t="s">
        <v>111</v>
      </c>
      <c r="H2282" s="44">
        <v>44104</v>
      </c>
      <c r="I2282" s="44">
        <v>44106</v>
      </c>
      <c r="J2282">
        <v>527.5</v>
      </c>
      <c r="K2282">
        <v>27.5</v>
      </c>
      <c r="L2282" t="s">
        <v>5532</v>
      </c>
      <c r="M2282" s="45" t="s">
        <v>97</v>
      </c>
      <c r="N2282" s="38" t="s">
        <v>230</v>
      </c>
      <c r="O2282" s="38" t="s">
        <v>339</v>
      </c>
      <c r="P2282" s="38" t="s">
        <v>64</v>
      </c>
      <c r="Q2282" s="38" t="s">
        <v>74</v>
      </c>
      <c r="R2282" s="38" t="s">
        <v>270</v>
      </c>
      <c r="S2282" s="38" t="s">
        <v>5533</v>
      </c>
      <c r="T2282" s="38" t="s">
        <v>5535</v>
      </c>
      <c r="U2282" s="38"/>
      <c r="V2282" s="38"/>
      <c r="W2282" s="38"/>
      <c r="X2282" s="14"/>
      <c r="AG2282" s="53">
        <f>27.5</f>
        <v>27.5</v>
      </c>
      <c r="AN2282" s="7" t="s">
        <v>69</v>
      </c>
      <c r="AO2282" s="21">
        <f t="shared" si="113"/>
        <v>27.5</v>
      </c>
      <c r="AP2282" s="7">
        <f t="shared" si="114"/>
        <v>0</v>
      </c>
      <c r="AQ2282" s="31" t="str">
        <f t="shared" si="115"/>
        <v>Complete - With Adjustment</v>
      </c>
    </row>
    <row r="2283" spans="1:43" x14ac:dyDescent="0.2">
      <c r="A2283" s="46">
        <v>2273</v>
      </c>
      <c r="B2283" s="38" t="s">
        <v>266</v>
      </c>
      <c r="C2283" s="38" t="s">
        <v>344</v>
      </c>
      <c r="D2283" s="38" t="s">
        <v>343</v>
      </c>
      <c r="E2283" s="38" t="s">
        <v>5536</v>
      </c>
      <c r="F2283" s="38" t="s">
        <v>5388</v>
      </c>
      <c r="G2283" s="38" t="s">
        <v>111</v>
      </c>
      <c r="H2283" s="44">
        <v>44102</v>
      </c>
      <c r="I2283" s="44">
        <v>44105</v>
      </c>
      <c r="J2283">
        <v>111.34</v>
      </c>
      <c r="K2283">
        <v>111.34</v>
      </c>
      <c r="L2283" t="s">
        <v>5537</v>
      </c>
      <c r="M2283" s="45" t="s">
        <v>98</v>
      </c>
      <c r="N2283" s="38" t="s">
        <v>230</v>
      </c>
      <c r="O2283" s="38" t="s">
        <v>288</v>
      </c>
      <c r="P2283" s="38" t="s">
        <v>60</v>
      </c>
      <c r="Q2283" s="38" t="s">
        <v>62</v>
      </c>
      <c r="R2283" s="38" t="s">
        <v>270</v>
      </c>
      <c r="S2283" s="38" t="s">
        <v>5538</v>
      </c>
      <c r="T2283" s="38" t="s">
        <v>5539</v>
      </c>
      <c r="U2283" s="38"/>
      <c r="V2283" s="38"/>
      <c r="W2283" s="38"/>
      <c r="X2283" s="14"/>
      <c r="AN2283" s="7" t="s">
        <v>70</v>
      </c>
      <c r="AO2283" s="21">
        <f t="shared" si="113"/>
        <v>0</v>
      </c>
      <c r="AP2283" s="7">
        <f t="shared" si="114"/>
        <v>111.34</v>
      </c>
      <c r="AQ2283" s="31" t="str">
        <f t="shared" si="115"/>
        <v>Complete - No Adjustment</v>
      </c>
    </row>
    <row r="2284" spans="1:43" x14ac:dyDescent="0.2">
      <c r="A2284" s="46">
        <v>2274</v>
      </c>
      <c r="B2284" s="38" t="s">
        <v>266</v>
      </c>
      <c r="C2284" s="38" t="s">
        <v>5540</v>
      </c>
      <c r="D2284" s="38" t="s">
        <v>5541</v>
      </c>
      <c r="E2284" s="38" t="s">
        <v>5542</v>
      </c>
      <c r="F2284" s="38" t="s">
        <v>5369</v>
      </c>
      <c r="G2284" s="38" t="s">
        <v>111</v>
      </c>
      <c r="H2284" s="44">
        <v>44102</v>
      </c>
      <c r="I2284" s="44">
        <v>44109</v>
      </c>
      <c r="J2284">
        <v>1540.76</v>
      </c>
      <c r="K2284">
        <v>15</v>
      </c>
      <c r="L2284" t="s">
        <v>5543</v>
      </c>
      <c r="M2284" s="45" t="s">
        <v>98</v>
      </c>
      <c r="N2284" s="38" t="s">
        <v>230</v>
      </c>
      <c r="O2284" s="38" t="s">
        <v>311</v>
      </c>
      <c r="P2284" s="38" t="s">
        <v>43</v>
      </c>
      <c r="Q2284" s="38" t="s">
        <v>41</v>
      </c>
      <c r="R2284" s="38" t="s">
        <v>270</v>
      </c>
      <c r="S2284" s="38" t="s">
        <v>5544</v>
      </c>
      <c r="T2284" s="38" t="s">
        <v>5545</v>
      </c>
      <c r="U2284" s="38"/>
      <c r="V2284" s="38"/>
      <c r="W2284" s="38"/>
      <c r="X2284" s="14"/>
      <c r="AN2284" s="7" t="s">
        <v>155</v>
      </c>
      <c r="AO2284" s="21">
        <f t="shared" si="113"/>
        <v>0</v>
      </c>
      <c r="AP2284" s="7">
        <f t="shared" si="114"/>
        <v>15</v>
      </c>
      <c r="AQ2284" s="31" t="str">
        <f t="shared" si="115"/>
        <v>Complete - No Adjustment</v>
      </c>
    </row>
    <row r="2285" spans="1:43" x14ac:dyDescent="0.2">
      <c r="A2285" s="46">
        <v>2275</v>
      </c>
      <c r="B2285" s="38" t="s">
        <v>266</v>
      </c>
      <c r="C2285" s="38" t="s">
        <v>594</v>
      </c>
      <c r="D2285" s="38" t="s">
        <v>593</v>
      </c>
      <c r="E2285" s="38" t="s">
        <v>5546</v>
      </c>
      <c r="F2285" s="38" t="s">
        <v>5431</v>
      </c>
      <c r="G2285" s="38" t="s">
        <v>111</v>
      </c>
      <c r="H2285" s="44">
        <v>44109</v>
      </c>
      <c r="I2285" s="44">
        <v>44110</v>
      </c>
      <c r="J2285">
        <v>14.61</v>
      </c>
      <c r="K2285">
        <v>14.61</v>
      </c>
      <c r="L2285" t="s">
        <v>5547</v>
      </c>
      <c r="M2285" s="45" t="s">
        <v>98</v>
      </c>
      <c r="N2285" s="38" t="s">
        <v>230</v>
      </c>
      <c r="O2285" s="38" t="s">
        <v>472</v>
      </c>
      <c r="P2285" s="38" t="s">
        <v>60</v>
      </c>
      <c r="Q2285" s="38" t="s">
        <v>41</v>
      </c>
      <c r="R2285" s="38" t="s">
        <v>270</v>
      </c>
      <c r="S2285" s="38" t="s">
        <v>5548</v>
      </c>
      <c r="T2285" s="38" t="s">
        <v>5549</v>
      </c>
      <c r="U2285" s="38"/>
      <c r="V2285" s="38"/>
      <c r="W2285" s="38"/>
      <c r="X2285" s="14"/>
      <c r="AL2285" s="14">
        <f>14.61</f>
        <v>14.61</v>
      </c>
      <c r="AN2285" s="7" t="s">
        <v>146</v>
      </c>
      <c r="AO2285" s="21">
        <f t="shared" si="113"/>
        <v>14.61</v>
      </c>
      <c r="AP2285" s="7">
        <f t="shared" si="114"/>
        <v>0</v>
      </c>
      <c r="AQ2285" s="31" t="str">
        <f t="shared" si="115"/>
        <v>Complete - With Adjustment</v>
      </c>
    </row>
    <row r="2286" spans="1:43" x14ac:dyDescent="0.2">
      <c r="A2286" s="46">
        <v>2276</v>
      </c>
      <c r="B2286" s="38" t="s">
        <v>266</v>
      </c>
      <c r="C2286" s="38" t="s">
        <v>780</v>
      </c>
      <c r="D2286" s="38" t="s">
        <v>798</v>
      </c>
      <c r="E2286" s="38" t="s">
        <v>5550</v>
      </c>
      <c r="F2286" s="38" t="s">
        <v>5340</v>
      </c>
      <c r="G2286" s="38" t="s">
        <v>111</v>
      </c>
      <c r="H2286" s="44">
        <v>44120</v>
      </c>
      <c r="I2286" s="44">
        <v>44124</v>
      </c>
      <c r="J2286">
        <v>24.28</v>
      </c>
      <c r="K2286">
        <v>24.28</v>
      </c>
      <c r="L2286" t="s">
        <v>5551</v>
      </c>
      <c r="M2286" s="45" t="s">
        <v>98</v>
      </c>
      <c r="N2286" s="38" t="s">
        <v>230</v>
      </c>
      <c r="O2286" s="38" t="s">
        <v>288</v>
      </c>
      <c r="P2286" s="38" t="s">
        <v>60</v>
      </c>
      <c r="Q2286" s="38" t="s">
        <v>41</v>
      </c>
      <c r="R2286" s="38" t="s">
        <v>270</v>
      </c>
      <c r="S2286" s="38" t="s">
        <v>5552</v>
      </c>
      <c r="T2286" s="38" t="s">
        <v>5553</v>
      </c>
      <c r="U2286" s="38"/>
      <c r="V2286" s="38"/>
      <c r="W2286" s="38"/>
      <c r="X2286" s="14"/>
      <c r="AN2286" s="7" t="s">
        <v>70</v>
      </c>
      <c r="AO2286" s="21">
        <f t="shared" si="113"/>
        <v>0</v>
      </c>
      <c r="AP2286" s="7">
        <f t="shared" si="114"/>
        <v>24.28</v>
      </c>
      <c r="AQ2286" s="31" t="str">
        <f t="shared" si="115"/>
        <v>Complete - No Adjustment</v>
      </c>
    </row>
    <row r="2287" spans="1:43" x14ac:dyDescent="0.2">
      <c r="A2287" s="46">
        <v>2277</v>
      </c>
      <c r="B2287" s="38" t="s">
        <v>266</v>
      </c>
      <c r="C2287" s="38" t="s">
        <v>780</v>
      </c>
      <c r="D2287" s="38" t="s">
        <v>798</v>
      </c>
      <c r="E2287" s="38" t="s">
        <v>5554</v>
      </c>
      <c r="F2287" s="38" t="s">
        <v>5412</v>
      </c>
      <c r="G2287" s="38" t="s">
        <v>111</v>
      </c>
      <c r="H2287" s="44">
        <v>44113</v>
      </c>
      <c r="I2287" s="44">
        <v>44117</v>
      </c>
      <c r="J2287">
        <v>26.14</v>
      </c>
      <c r="K2287">
        <v>26.14</v>
      </c>
      <c r="L2287" t="s">
        <v>5555</v>
      </c>
      <c r="M2287" s="45" t="s">
        <v>98</v>
      </c>
      <c r="N2287" s="38" t="s">
        <v>230</v>
      </c>
      <c r="O2287" s="38" t="s">
        <v>288</v>
      </c>
      <c r="P2287" s="38" t="s">
        <v>60</v>
      </c>
      <c r="Q2287" s="38" t="s">
        <v>41</v>
      </c>
      <c r="R2287" s="38" t="s">
        <v>270</v>
      </c>
      <c r="S2287" s="38" t="s">
        <v>3835</v>
      </c>
      <c r="T2287" s="38" t="s">
        <v>3836</v>
      </c>
      <c r="U2287" s="38"/>
      <c r="V2287" s="38"/>
      <c r="W2287" s="38"/>
      <c r="X2287" s="14"/>
      <c r="AC2287" s="53">
        <f>(4.9-18.25*20%)</f>
        <v>1.25</v>
      </c>
      <c r="AN2287" s="7" t="s">
        <v>67</v>
      </c>
      <c r="AO2287" s="21">
        <f t="shared" si="113"/>
        <v>1.25</v>
      </c>
      <c r="AP2287" s="7">
        <f t="shared" si="114"/>
        <v>24.89</v>
      </c>
      <c r="AQ2287" s="31" t="str">
        <f t="shared" si="115"/>
        <v>Complete - With Adjustment</v>
      </c>
    </row>
    <row r="2288" spans="1:43" x14ac:dyDescent="0.2">
      <c r="A2288" s="46">
        <v>2278</v>
      </c>
      <c r="B2288" s="38" t="s">
        <v>266</v>
      </c>
      <c r="C2288" s="38" t="s">
        <v>780</v>
      </c>
      <c r="D2288" s="38" t="s">
        <v>798</v>
      </c>
      <c r="E2288" s="38" t="s">
        <v>5556</v>
      </c>
      <c r="F2288" s="38" t="s">
        <v>5344</v>
      </c>
      <c r="G2288" s="38" t="s">
        <v>111</v>
      </c>
      <c r="H2288" s="44">
        <v>44127</v>
      </c>
      <c r="I2288" s="44">
        <v>44132</v>
      </c>
      <c r="J2288">
        <v>26.14</v>
      </c>
      <c r="K2288">
        <v>26.14</v>
      </c>
      <c r="L2288" t="s">
        <v>5557</v>
      </c>
      <c r="M2288" s="45" t="s">
        <v>98</v>
      </c>
      <c r="N2288" s="38" t="s">
        <v>230</v>
      </c>
      <c r="O2288" s="38" t="s">
        <v>288</v>
      </c>
      <c r="P2288" s="38" t="s">
        <v>60</v>
      </c>
      <c r="Q2288" s="38" t="s">
        <v>41</v>
      </c>
      <c r="R2288" s="38" t="s">
        <v>270</v>
      </c>
      <c r="S2288" s="38" t="s">
        <v>5558</v>
      </c>
      <c r="T2288" s="38" t="s">
        <v>5559</v>
      </c>
      <c r="U2288" s="38"/>
      <c r="V2288" s="38"/>
      <c r="W2288" s="38"/>
      <c r="X2288" s="14"/>
      <c r="AC2288" s="53">
        <f>(4.9-18.25*20%)</f>
        <v>1.25</v>
      </c>
      <c r="AN2288" s="7" t="s">
        <v>5560</v>
      </c>
      <c r="AO2288" s="21">
        <f t="shared" si="113"/>
        <v>1.25</v>
      </c>
      <c r="AP2288" s="7">
        <f t="shared" si="114"/>
        <v>24.89</v>
      </c>
      <c r="AQ2288" s="31" t="str">
        <f t="shared" si="115"/>
        <v>Complete - With Adjustment</v>
      </c>
    </row>
    <row r="2289" spans="1:43" x14ac:dyDescent="0.2">
      <c r="A2289" s="46">
        <v>2279</v>
      </c>
      <c r="B2289" s="38" t="s">
        <v>266</v>
      </c>
      <c r="C2289" s="38" t="s">
        <v>780</v>
      </c>
      <c r="D2289" s="38" t="s">
        <v>798</v>
      </c>
      <c r="E2289" s="38" t="s">
        <v>5561</v>
      </c>
      <c r="F2289" s="38" t="s">
        <v>5431</v>
      </c>
      <c r="G2289" s="38" t="s">
        <v>111</v>
      </c>
      <c r="H2289" s="44">
        <v>44106</v>
      </c>
      <c r="I2289" s="44">
        <v>44110</v>
      </c>
      <c r="J2289">
        <v>27.18</v>
      </c>
      <c r="K2289">
        <v>27.18</v>
      </c>
      <c r="L2289" t="s">
        <v>5562</v>
      </c>
      <c r="M2289" s="45" t="s">
        <v>98</v>
      </c>
      <c r="N2289" s="38" t="s">
        <v>230</v>
      </c>
      <c r="O2289" s="38" t="s">
        <v>288</v>
      </c>
      <c r="P2289" s="38" t="s">
        <v>60</v>
      </c>
      <c r="Q2289" s="38" t="s">
        <v>41</v>
      </c>
      <c r="R2289" s="38" t="s">
        <v>270</v>
      </c>
      <c r="S2289" s="38" t="s">
        <v>4541</v>
      </c>
      <c r="T2289" s="38" t="s">
        <v>4542</v>
      </c>
      <c r="U2289" s="38"/>
      <c r="V2289" s="38"/>
      <c r="W2289" s="38"/>
      <c r="X2289" s="14"/>
      <c r="AN2289" s="7" t="s">
        <v>155</v>
      </c>
      <c r="AO2289" s="21">
        <f t="shared" si="113"/>
        <v>0</v>
      </c>
      <c r="AP2289" s="7">
        <f t="shared" si="114"/>
        <v>27.18</v>
      </c>
      <c r="AQ2289" s="31" t="str">
        <f t="shared" si="115"/>
        <v>Complete - No Adjustment</v>
      </c>
    </row>
    <row r="2290" spans="1:43" x14ac:dyDescent="0.2">
      <c r="A2290" s="46">
        <v>2280</v>
      </c>
      <c r="B2290" s="38" t="s">
        <v>266</v>
      </c>
      <c r="C2290" s="38" t="s">
        <v>349</v>
      </c>
      <c r="D2290" s="38" t="s">
        <v>348</v>
      </c>
      <c r="E2290" s="38" t="s">
        <v>5563</v>
      </c>
      <c r="F2290" s="38" t="s">
        <v>5369</v>
      </c>
      <c r="G2290" s="38" t="s">
        <v>111</v>
      </c>
      <c r="H2290" s="44">
        <v>44102</v>
      </c>
      <c r="I2290" s="44">
        <v>44109</v>
      </c>
      <c r="J2290">
        <v>139</v>
      </c>
      <c r="K2290">
        <v>139</v>
      </c>
      <c r="L2290" t="s">
        <v>5564</v>
      </c>
      <c r="M2290" s="45" t="s">
        <v>98</v>
      </c>
      <c r="N2290" s="38" t="s">
        <v>230</v>
      </c>
      <c r="O2290" s="38" t="s">
        <v>334</v>
      </c>
      <c r="P2290" s="38" t="s">
        <v>60</v>
      </c>
      <c r="Q2290" s="38" t="s">
        <v>59</v>
      </c>
      <c r="R2290" s="38" t="s">
        <v>270</v>
      </c>
      <c r="S2290" s="38" t="s">
        <v>5565</v>
      </c>
      <c r="T2290" s="38" t="s">
        <v>5566</v>
      </c>
      <c r="U2290" s="38"/>
      <c r="V2290" s="38"/>
      <c r="W2290" s="38"/>
      <c r="X2290" s="14"/>
      <c r="AN2290" s="7" t="s">
        <v>70</v>
      </c>
      <c r="AO2290" s="21">
        <f t="shared" si="113"/>
        <v>0</v>
      </c>
      <c r="AP2290" s="7">
        <f t="shared" si="114"/>
        <v>139</v>
      </c>
      <c r="AQ2290" s="31" t="str">
        <f t="shared" si="115"/>
        <v>Complete - No Adjustment</v>
      </c>
    </row>
    <row r="2291" spans="1:43" x14ac:dyDescent="0.2">
      <c r="A2291" s="46">
        <v>2281</v>
      </c>
      <c r="B2291" s="38" t="s">
        <v>266</v>
      </c>
      <c r="C2291" s="38" t="s">
        <v>352</v>
      </c>
      <c r="D2291" s="38" t="s">
        <v>351</v>
      </c>
      <c r="E2291" s="38" t="s">
        <v>5567</v>
      </c>
      <c r="F2291" s="38" t="s">
        <v>5383</v>
      </c>
      <c r="G2291" s="38" t="s">
        <v>111</v>
      </c>
      <c r="H2291" s="44">
        <v>44124</v>
      </c>
      <c r="I2291" s="44">
        <v>44126</v>
      </c>
      <c r="J2291">
        <v>35.49</v>
      </c>
      <c r="K2291">
        <v>35.49</v>
      </c>
      <c r="L2291" t="s">
        <v>5568</v>
      </c>
      <c r="M2291" s="45" t="s">
        <v>98</v>
      </c>
      <c r="N2291" s="38" t="s">
        <v>230</v>
      </c>
      <c r="O2291" s="38" t="s">
        <v>271</v>
      </c>
      <c r="P2291" s="38" t="s">
        <v>60</v>
      </c>
      <c r="Q2291" s="38" t="s">
        <v>46</v>
      </c>
      <c r="R2291" s="38" t="s">
        <v>270</v>
      </c>
      <c r="S2291" s="38" t="s">
        <v>5569</v>
      </c>
      <c r="T2291" s="38" t="s">
        <v>5570</v>
      </c>
      <c r="U2291" s="38"/>
      <c r="V2291" s="38"/>
      <c r="W2291" s="38"/>
      <c r="X2291" s="14"/>
      <c r="AI2291" s="53">
        <f>35.49</f>
        <v>35.49</v>
      </c>
      <c r="AN2291" s="7" t="s">
        <v>145</v>
      </c>
      <c r="AO2291" s="21">
        <f t="shared" si="113"/>
        <v>35.49</v>
      </c>
      <c r="AP2291" s="7">
        <f t="shared" si="114"/>
        <v>0</v>
      </c>
      <c r="AQ2291" s="31" t="str">
        <f t="shared" si="115"/>
        <v>Complete - With Adjustment</v>
      </c>
    </row>
    <row r="2292" spans="1:43" x14ac:dyDescent="0.2">
      <c r="A2292" s="46">
        <v>2282</v>
      </c>
      <c r="B2292" s="38" t="s">
        <v>266</v>
      </c>
      <c r="C2292" s="38" t="s">
        <v>598</v>
      </c>
      <c r="D2292" s="38" t="s">
        <v>597</v>
      </c>
      <c r="E2292" s="38" t="s">
        <v>5571</v>
      </c>
      <c r="F2292" s="38" t="s">
        <v>5348</v>
      </c>
      <c r="G2292" s="38" t="s">
        <v>111</v>
      </c>
      <c r="H2292" s="44">
        <v>44104</v>
      </c>
      <c r="I2292" s="44">
        <v>44106</v>
      </c>
      <c r="J2292">
        <v>1809.67</v>
      </c>
      <c r="K2292">
        <v>440</v>
      </c>
      <c r="L2292" t="s">
        <v>5572</v>
      </c>
      <c r="M2292" s="45" t="s">
        <v>98</v>
      </c>
      <c r="N2292" s="38" t="s">
        <v>230</v>
      </c>
      <c r="O2292" s="38" t="s">
        <v>505</v>
      </c>
      <c r="P2292" s="38" t="s">
        <v>60</v>
      </c>
      <c r="Q2292" s="38" t="s">
        <v>59</v>
      </c>
      <c r="R2292" s="38" t="s">
        <v>270</v>
      </c>
      <c r="S2292" s="38" t="s">
        <v>5573</v>
      </c>
      <c r="T2292" s="38" t="s">
        <v>5574</v>
      </c>
      <c r="U2292" s="38"/>
      <c r="V2292" s="38"/>
      <c r="W2292" s="38"/>
      <c r="X2292" s="14"/>
      <c r="AN2292" s="7" t="s">
        <v>70</v>
      </c>
      <c r="AO2292" s="21">
        <f t="shared" si="113"/>
        <v>0</v>
      </c>
      <c r="AP2292" s="7">
        <f t="shared" si="114"/>
        <v>440</v>
      </c>
      <c r="AQ2292" s="31" t="str">
        <f t="shared" si="115"/>
        <v>Complete - No Adjustment</v>
      </c>
    </row>
    <row r="2293" spans="1:43" x14ac:dyDescent="0.2">
      <c r="A2293" s="46">
        <v>2283</v>
      </c>
      <c r="B2293" s="38" t="s">
        <v>266</v>
      </c>
      <c r="C2293" s="38" t="s">
        <v>598</v>
      </c>
      <c r="D2293" s="38" t="s">
        <v>597</v>
      </c>
      <c r="E2293" s="38" t="s">
        <v>5571</v>
      </c>
      <c r="F2293" s="38" t="s">
        <v>5348</v>
      </c>
      <c r="G2293" s="38" t="s">
        <v>111</v>
      </c>
      <c r="H2293" s="44">
        <v>44104</v>
      </c>
      <c r="I2293" s="44">
        <v>44106</v>
      </c>
      <c r="J2293">
        <v>1809.67</v>
      </c>
      <c r="K2293">
        <v>80.08</v>
      </c>
      <c r="L2293" t="s">
        <v>5572</v>
      </c>
      <c r="M2293" s="45" t="s">
        <v>98</v>
      </c>
      <c r="N2293" s="38" t="s">
        <v>230</v>
      </c>
      <c r="O2293" s="38" t="s">
        <v>505</v>
      </c>
      <c r="P2293" s="38" t="s">
        <v>60</v>
      </c>
      <c r="Q2293" s="38" t="s">
        <v>48</v>
      </c>
      <c r="R2293" s="38" t="s">
        <v>270</v>
      </c>
      <c r="S2293" s="38" t="s">
        <v>5573</v>
      </c>
      <c r="T2293" s="38" t="s">
        <v>5575</v>
      </c>
      <c r="U2293" s="38"/>
      <c r="V2293" s="38"/>
      <c r="W2293" s="38"/>
      <c r="X2293" s="14"/>
      <c r="AN2293" s="7" t="s">
        <v>155</v>
      </c>
      <c r="AO2293" s="21">
        <f t="shared" si="113"/>
        <v>0</v>
      </c>
      <c r="AP2293" s="7">
        <f t="shared" si="114"/>
        <v>80.08</v>
      </c>
      <c r="AQ2293" s="31" t="str">
        <f t="shared" si="115"/>
        <v>Complete - No Adjustment</v>
      </c>
    </row>
    <row r="2294" spans="1:43" x14ac:dyDescent="0.2">
      <c r="A2294" s="46">
        <v>2284</v>
      </c>
      <c r="B2294" s="38" t="s">
        <v>266</v>
      </c>
      <c r="C2294" s="38" t="s">
        <v>598</v>
      </c>
      <c r="D2294" s="38" t="s">
        <v>597</v>
      </c>
      <c r="E2294" s="38" t="s">
        <v>5571</v>
      </c>
      <c r="F2294" s="38" t="s">
        <v>5348</v>
      </c>
      <c r="G2294" s="38" t="s">
        <v>111</v>
      </c>
      <c r="H2294" s="44">
        <v>44104</v>
      </c>
      <c r="I2294" s="44">
        <v>44106</v>
      </c>
      <c r="J2294">
        <v>1809.67</v>
      </c>
      <c r="K2294">
        <v>132.16</v>
      </c>
      <c r="L2294" t="s">
        <v>5572</v>
      </c>
      <c r="M2294" s="45" t="s">
        <v>98</v>
      </c>
      <c r="N2294" s="38" t="s">
        <v>230</v>
      </c>
      <c r="O2294" s="38" t="s">
        <v>505</v>
      </c>
      <c r="P2294" s="38" t="s">
        <v>60</v>
      </c>
      <c r="Q2294" s="38" t="s">
        <v>174</v>
      </c>
      <c r="R2294" s="38" t="s">
        <v>270</v>
      </c>
      <c r="S2294" s="38" t="s">
        <v>5573</v>
      </c>
      <c r="T2294" s="38" t="s">
        <v>5576</v>
      </c>
      <c r="U2294" s="38"/>
      <c r="V2294" s="38"/>
      <c r="W2294" s="38"/>
      <c r="X2294" s="14"/>
      <c r="AN2294" s="7" t="s">
        <v>70</v>
      </c>
      <c r="AO2294" s="21">
        <f t="shared" si="113"/>
        <v>0</v>
      </c>
      <c r="AP2294" s="7">
        <f t="shared" si="114"/>
        <v>132.16</v>
      </c>
      <c r="AQ2294" s="31" t="str">
        <f t="shared" si="115"/>
        <v>Complete - No Adjustment</v>
      </c>
    </row>
    <row r="2295" spans="1:43" x14ac:dyDescent="0.2">
      <c r="A2295" s="46">
        <v>2285</v>
      </c>
      <c r="B2295" s="38" t="s">
        <v>266</v>
      </c>
      <c r="C2295" s="38" t="s">
        <v>598</v>
      </c>
      <c r="D2295" s="38" t="s">
        <v>597</v>
      </c>
      <c r="E2295" s="38" t="s">
        <v>5571</v>
      </c>
      <c r="F2295" s="38" t="s">
        <v>5348</v>
      </c>
      <c r="G2295" s="38" t="s">
        <v>111</v>
      </c>
      <c r="H2295" s="44">
        <v>44104</v>
      </c>
      <c r="I2295" s="44">
        <v>44106</v>
      </c>
      <c r="J2295">
        <v>1809.67</v>
      </c>
      <c r="K2295">
        <v>52</v>
      </c>
      <c r="L2295" t="s">
        <v>5572</v>
      </c>
      <c r="M2295" s="45" t="s">
        <v>98</v>
      </c>
      <c r="N2295" s="38" t="s">
        <v>230</v>
      </c>
      <c r="O2295" s="38" t="s">
        <v>505</v>
      </c>
      <c r="P2295" s="38" t="s">
        <v>60</v>
      </c>
      <c r="Q2295" s="38" t="s">
        <v>48</v>
      </c>
      <c r="R2295" s="38" t="s">
        <v>270</v>
      </c>
      <c r="S2295" s="38" t="s">
        <v>5573</v>
      </c>
      <c r="T2295" s="38" t="s">
        <v>5577</v>
      </c>
      <c r="U2295" s="38"/>
      <c r="V2295" s="38"/>
      <c r="W2295" s="38"/>
      <c r="X2295" s="14"/>
      <c r="AN2295" s="7" t="s">
        <v>70</v>
      </c>
      <c r="AO2295" s="21">
        <f t="shared" si="113"/>
        <v>0</v>
      </c>
      <c r="AP2295" s="7">
        <f t="shared" si="114"/>
        <v>52</v>
      </c>
      <c r="AQ2295" s="31" t="str">
        <f t="shared" si="115"/>
        <v>Complete - No Adjustment</v>
      </c>
    </row>
    <row r="2296" spans="1:43" x14ac:dyDescent="0.2">
      <c r="A2296" s="46">
        <v>2286</v>
      </c>
      <c r="B2296" s="38" t="s">
        <v>266</v>
      </c>
      <c r="C2296" s="38" t="s">
        <v>598</v>
      </c>
      <c r="D2296" s="38" t="s">
        <v>597</v>
      </c>
      <c r="E2296" s="38" t="s">
        <v>5571</v>
      </c>
      <c r="F2296" s="38" t="s">
        <v>5348</v>
      </c>
      <c r="G2296" s="38" t="s">
        <v>111</v>
      </c>
      <c r="H2296" s="44">
        <v>44104</v>
      </c>
      <c r="I2296" s="44">
        <v>44106</v>
      </c>
      <c r="J2296">
        <v>1809.67</v>
      </c>
      <c r="K2296">
        <v>400</v>
      </c>
      <c r="L2296" t="s">
        <v>5572</v>
      </c>
      <c r="M2296" s="45" t="s">
        <v>98</v>
      </c>
      <c r="N2296" s="38" t="s">
        <v>230</v>
      </c>
      <c r="O2296" s="38" t="s">
        <v>505</v>
      </c>
      <c r="P2296" s="38" t="s">
        <v>60</v>
      </c>
      <c r="Q2296" s="38" t="s">
        <v>48</v>
      </c>
      <c r="R2296" s="38" t="s">
        <v>270</v>
      </c>
      <c r="S2296" s="38" t="s">
        <v>5573</v>
      </c>
      <c r="T2296" s="38" t="s">
        <v>5578</v>
      </c>
      <c r="U2296" s="38"/>
      <c r="V2296" s="38"/>
      <c r="W2296" s="38"/>
      <c r="X2296" s="14"/>
      <c r="AN2296" s="7" t="s">
        <v>70</v>
      </c>
      <c r="AO2296" s="21">
        <f t="shared" si="113"/>
        <v>0</v>
      </c>
      <c r="AP2296" s="7">
        <f t="shared" si="114"/>
        <v>400</v>
      </c>
      <c r="AQ2296" s="31" t="str">
        <f t="shared" si="115"/>
        <v>Complete - No Adjustment</v>
      </c>
    </row>
    <row r="2297" spans="1:43" x14ac:dyDescent="0.2">
      <c r="A2297" s="46">
        <v>2287</v>
      </c>
      <c r="B2297" s="38" t="s">
        <v>266</v>
      </c>
      <c r="C2297" s="38" t="s">
        <v>598</v>
      </c>
      <c r="D2297" s="38" t="s">
        <v>597</v>
      </c>
      <c r="E2297" s="38" t="s">
        <v>5571</v>
      </c>
      <c r="F2297" s="38" t="s">
        <v>5348</v>
      </c>
      <c r="G2297" s="38" t="s">
        <v>111</v>
      </c>
      <c r="H2297" s="44">
        <v>44104</v>
      </c>
      <c r="I2297" s="44">
        <v>44106</v>
      </c>
      <c r="J2297">
        <v>1809.67</v>
      </c>
      <c r="K2297">
        <v>132.16</v>
      </c>
      <c r="L2297" t="s">
        <v>5572</v>
      </c>
      <c r="M2297" s="45" t="s">
        <v>98</v>
      </c>
      <c r="N2297" s="38" t="s">
        <v>230</v>
      </c>
      <c r="O2297" s="38" t="s">
        <v>505</v>
      </c>
      <c r="P2297" s="38" t="s">
        <v>60</v>
      </c>
      <c r="Q2297" s="38" t="s">
        <v>174</v>
      </c>
      <c r="R2297" s="38" t="s">
        <v>270</v>
      </c>
      <c r="S2297" s="38" t="s">
        <v>5573</v>
      </c>
      <c r="T2297" s="38" t="s">
        <v>5576</v>
      </c>
      <c r="U2297" s="38"/>
      <c r="V2297" s="38"/>
      <c r="W2297" s="38"/>
      <c r="X2297" s="14"/>
      <c r="AN2297" s="7" t="s">
        <v>70</v>
      </c>
      <c r="AO2297" s="21">
        <f t="shared" si="113"/>
        <v>0</v>
      </c>
      <c r="AP2297" s="7">
        <f t="shared" si="114"/>
        <v>132.16</v>
      </c>
      <c r="AQ2297" s="31" t="str">
        <f t="shared" si="115"/>
        <v>Complete - No Adjustment</v>
      </c>
    </row>
    <row r="2298" spans="1:43" x14ac:dyDescent="0.2">
      <c r="A2298" s="46">
        <v>2288</v>
      </c>
      <c r="B2298" s="38" t="s">
        <v>266</v>
      </c>
      <c r="C2298" s="38" t="s">
        <v>598</v>
      </c>
      <c r="D2298" s="38" t="s">
        <v>597</v>
      </c>
      <c r="E2298" s="38" t="s">
        <v>5571</v>
      </c>
      <c r="F2298" s="38" t="s">
        <v>5348</v>
      </c>
      <c r="G2298" s="38" t="s">
        <v>111</v>
      </c>
      <c r="H2298" s="44">
        <v>44104</v>
      </c>
      <c r="I2298" s="44">
        <v>44106</v>
      </c>
      <c r="J2298">
        <v>1809.67</v>
      </c>
      <c r="K2298">
        <v>60</v>
      </c>
      <c r="L2298" t="s">
        <v>5572</v>
      </c>
      <c r="M2298" s="45" t="s">
        <v>98</v>
      </c>
      <c r="N2298" s="38" t="s">
        <v>230</v>
      </c>
      <c r="O2298" s="38" t="s">
        <v>505</v>
      </c>
      <c r="P2298" s="38" t="s">
        <v>60</v>
      </c>
      <c r="Q2298" s="38" t="s">
        <v>59</v>
      </c>
      <c r="R2298" s="38" t="s">
        <v>270</v>
      </c>
      <c r="S2298" s="38" t="s">
        <v>5573</v>
      </c>
      <c r="T2298" s="38" t="s">
        <v>5579</v>
      </c>
      <c r="U2298" s="38"/>
      <c r="V2298" s="38"/>
      <c r="W2298" s="38"/>
      <c r="X2298" s="14"/>
      <c r="AN2298" s="7" t="s">
        <v>70</v>
      </c>
      <c r="AO2298" s="21">
        <f t="shared" si="113"/>
        <v>0</v>
      </c>
      <c r="AP2298" s="7">
        <f t="shared" si="114"/>
        <v>60</v>
      </c>
      <c r="AQ2298" s="31" t="str">
        <f t="shared" si="115"/>
        <v>Complete - No Adjustment</v>
      </c>
    </row>
    <row r="2299" spans="1:43" x14ac:dyDescent="0.2">
      <c r="A2299" s="46">
        <v>2289</v>
      </c>
      <c r="B2299" s="38" t="s">
        <v>266</v>
      </c>
      <c r="C2299" s="38" t="s">
        <v>598</v>
      </c>
      <c r="D2299" s="38" t="s">
        <v>597</v>
      </c>
      <c r="E2299" s="38" t="s">
        <v>5571</v>
      </c>
      <c r="F2299" s="38" t="s">
        <v>5348</v>
      </c>
      <c r="G2299" s="38" t="s">
        <v>111</v>
      </c>
      <c r="H2299" s="44">
        <v>44104</v>
      </c>
      <c r="I2299" s="44">
        <v>44106</v>
      </c>
      <c r="J2299">
        <v>1809.67</v>
      </c>
      <c r="K2299">
        <v>96.11</v>
      </c>
      <c r="L2299" t="s">
        <v>5572</v>
      </c>
      <c r="M2299" s="45" t="s">
        <v>98</v>
      </c>
      <c r="N2299" s="38" t="s">
        <v>230</v>
      </c>
      <c r="O2299" s="38" t="s">
        <v>505</v>
      </c>
      <c r="P2299" s="38" t="s">
        <v>60</v>
      </c>
      <c r="Q2299" s="38" t="s">
        <v>41</v>
      </c>
      <c r="R2299" s="38" t="s">
        <v>270</v>
      </c>
      <c r="S2299" s="38" t="s">
        <v>5573</v>
      </c>
      <c r="T2299" s="38" t="s">
        <v>5580</v>
      </c>
      <c r="U2299" s="38"/>
      <c r="V2299" s="38"/>
      <c r="W2299" s="38"/>
      <c r="X2299" s="14"/>
      <c r="AB2299" s="14">
        <f>74-25</f>
        <v>49</v>
      </c>
      <c r="AN2299" s="7" t="s">
        <v>66</v>
      </c>
      <c r="AO2299" s="21">
        <f t="shared" si="113"/>
        <v>49</v>
      </c>
      <c r="AP2299" s="7">
        <f t="shared" si="114"/>
        <v>47.11</v>
      </c>
      <c r="AQ2299" s="31" t="str">
        <f t="shared" si="115"/>
        <v>Complete - With Adjustment</v>
      </c>
    </row>
    <row r="2300" spans="1:43" x14ac:dyDescent="0.2">
      <c r="A2300" s="46">
        <v>2290</v>
      </c>
      <c r="B2300" s="38" t="s">
        <v>266</v>
      </c>
      <c r="C2300" s="38" t="s">
        <v>598</v>
      </c>
      <c r="D2300" s="38" t="s">
        <v>597</v>
      </c>
      <c r="E2300" s="38" t="s">
        <v>5571</v>
      </c>
      <c r="F2300" s="38" t="s">
        <v>5348</v>
      </c>
      <c r="G2300" s="38" t="s">
        <v>111</v>
      </c>
      <c r="H2300" s="44">
        <v>44104</v>
      </c>
      <c r="I2300" s="44">
        <v>44106</v>
      </c>
      <c r="J2300">
        <v>1809.67</v>
      </c>
      <c r="K2300">
        <v>285</v>
      </c>
      <c r="L2300" t="s">
        <v>5572</v>
      </c>
      <c r="M2300" s="45" t="s">
        <v>98</v>
      </c>
      <c r="N2300" s="38" t="s">
        <v>230</v>
      </c>
      <c r="O2300" s="38" t="s">
        <v>505</v>
      </c>
      <c r="P2300" s="38" t="s">
        <v>60</v>
      </c>
      <c r="Q2300" s="38" t="s">
        <v>59</v>
      </c>
      <c r="R2300" s="38" t="s">
        <v>270</v>
      </c>
      <c r="S2300" s="38" t="s">
        <v>5573</v>
      </c>
      <c r="T2300" s="38" t="s">
        <v>5581</v>
      </c>
      <c r="U2300" s="38"/>
      <c r="V2300" s="38"/>
      <c r="W2300" s="38"/>
      <c r="X2300" s="14"/>
      <c r="AN2300" s="7" t="s">
        <v>70</v>
      </c>
      <c r="AO2300" s="21">
        <f t="shared" si="113"/>
        <v>0</v>
      </c>
      <c r="AP2300" s="7">
        <f t="shared" si="114"/>
        <v>285</v>
      </c>
      <c r="AQ2300" s="31" t="str">
        <f t="shared" si="115"/>
        <v>Complete - No Adjustment</v>
      </c>
    </row>
    <row r="2301" spans="1:43" x14ac:dyDescent="0.2">
      <c r="A2301" s="46">
        <v>2291</v>
      </c>
      <c r="B2301" s="38" t="s">
        <v>266</v>
      </c>
      <c r="C2301" s="38" t="s">
        <v>598</v>
      </c>
      <c r="D2301" s="38" t="s">
        <v>597</v>
      </c>
      <c r="E2301" s="38" t="s">
        <v>5571</v>
      </c>
      <c r="F2301" s="38" t="s">
        <v>5348</v>
      </c>
      <c r="G2301" s="38" t="s">
        <v>111</v>
      </c>
      <c r="H2301" s="44">
        <v>44104</v>
      </c>
      <c r="I2301" s="44">
        <v>44106</v>
      </c>
      <c r="J2301">
        <v>1809.67</v>
      </c>
      <c r="K2301">
        <v>132.16</v>
      </c>
      <c r="L2301" t="s">
        <v>5572</v>
      </c>
      <c r="M2301" s="45" t="s">
        <v>98</v>
      </c>
      <c r="N2301" s="38" t="s">
        <v>230</v>
      </c>
      <c r="O2301" s="38" t="s">
        <v>505</v>
      </c>
      <c r="P2301" s="38" t="s">
        <v>60</v>
      </c>
      <c r="Q2301" s="38" t="s">
        <v>174</v>
      </c>
      <c r="R2301" s="38" t="s">
        <v>270</v>
      </c>
      <c r="S2301" s="38" t="s">
        <v>5573</v>
      </c>
      <c r="T2301" s="38" t="s">
        <v>5576</v>
      </c>
      <c r="U2301" s="38"/>
      <c r="V2301" s="38"/>
      <c r="W2301" s="38"/>
      <c r="X2301" s="14"/>
      <c r="AN2301" s="7" t="s">
        <v>70</v>
      </c>
      <c r="AO2301" s="21">
        <f t="shared" si="113"/>
        <v>0</v>
      </c>
      <c r="AP2301" s="7">
        <f t="shared" si="114"/>
        <v>132.16</v>
      </c>
      <c r="AQ2301" s="31" t="str">
        <f t="shared" si="115"/>
        <v>Complete - No Adjustment</v>
      </c>
    </row>
    <row r="2302" spans="1:43" x14ac:dyDescent="0.2">
      <c r="A2302" s="46">
        <v>2292</v>
      </c>
      <c r="B2302" s="38" t="s">
        <v>266</v>
      </c>
      <c r="C2302" s="38" t="s">
        <v>2410</v>
      </c>
      <c r="D2302" s="38" t="s">
        <v>2411</v>
      </c>
      <c r="E2302" s="38" t="s">
        <v>5582</v>
      </c>
      <c r="F2302" s="38" t="s">
        <v>5369</v>
      </c>
      <c r="G2302" s="38" t="s">
        <v>111</v>
      </c>
      <c r="H2302" s="44">
        <v>44103</v>
      </c>
      <c r="I2302" s="44">
        <v>44109</v>
      </c>
      <c r="J2302">
        <v>2.54</v>
      </c>
      <c r="K2302">
        <v>2.54</v>
      </c>
      <c r="L2302" t="s">
        <v>5583</v>
      </c>
      <c r="M2302" s="45" t="s">
        <v>98</v>
      </c>
      <c r="N2302" s="38" t="s">
        <v>230</v>
      </c>
      <c r="O2302" s="38" t="s">
        <v>658</v>
      </c>
      <c r="P2302" s="38" t="s">
        <v>60</v>
      </c>
      <c r="Q2302" s="38" t="s">
        <v>601</v>
      </c>
      <c r="R2302" s="38" t="s">
        <v>270</v>
      </c>
      <c r="S2302" s="38" t="s">
        <v>5584</v>
      </c>
      <c r="T2302" s="38" t="s">
        <v>5585</v>
      </c>
      <c r="U2302" s="38"/>
      <c r="V2302" s="38"/>
      <c r="W2302" s="38"/>
      <c r="X2302" s="14"/>
      <c r="AN2302" s="7" t="s">
        <v>70</v>
      </c>
      <c r="AO2302" s="21">
        <f t="shared" si="113"/>
        <v>0</v>
      </c>
      <c r="AP2302" s="7">
        <f t="shared" si="114"/>
        <v>2.54</v>
      </c>
      <c r="AQ2302" s="31" t="str">
        <f t="shared" si="115"/>
        <v>Complete - No Adjustment</v>
      </c>
    </row>
    <row r="2303" spans="1:43" x14ac:dyDescent="0.2">
      <c r="A2303" s="46">
        <v>2293</v>
      </c>
      <c r="B2303" s="38" t="s">
        <v>266</v>
      </c>
      <c r="C2303" s="38" t="s">
        <v>2410</v>
      </c>
      <c r="D2303" s="38" t="s">
        <v>2411</v>
      </c>
      <c r="E2303" s="38" t="s">
        <v>5586</v>
      </c>
      <c r="F2303" s="38" t="s">
        <v>5369</v>
      </c>
      <c r="G2303" s="38" t="s">
        <v>111</v>
      </c>
      <c r="H2303" s="44">
        <v>44090</v>
      </c>
      <c r="I2303" s="44">
        <v>44109</v>
      </c>
      <c r="J2303">
        <v>14.06</v>
      </c>
      <c r="K2303">
        <v>14.06</v>
      </c>
      <c r="L2303" t="s">
        <v>5587</v>
      </c>
      <c r="M2303" s="45" t="s">
        <v>98</v>
      </c>
      <c r="N2303" s="38" t="s">
        <v>230</v>
      </c>
      <c r="O2303" s="38" t="s">
        <v>658</v>
      </c>
      <c r="P2303" s="38" t="s">
        <v>60</v>
      </c>
      <c r="Q2303" s="38" t="s">
        <v>41</v>
      </c>
      <c r="R2303" s="38" t="s">
        <v>270</v>
      </c>
      <c r="S2303" s="38" t="s">
        <v>5588</v>
      </c>
      <c r="T2303" s="38" t="s">
        <v>5589</v>
      </c>
      <c r="U2303" s="38"/>
      <c r="V2303" s="38"/>
      <c r="W2303" s="38"/>
      <c r="X2303" s="14"/>
      <c r="AN2303" s="7" t="s">
        <v>4219</v>
      </c>
      <c r="AO2303" s="21">
        <f t="shared" si="113"/>
        <v>0</v>
      </c>
      <c r="AP2303" s="7">
        <f t="shared" si="114"/>
        <v>14.06</v>
      </c>
      <c r="AQ2303" s="31" t="str">
        <f t="shared" si="115"/>
        <v>Complete - No Adjustment</v>
      </c>
    </row>
    <row r="2304" spans="1:43" x14ac:dyDescent="0.2">
      <c r="A2304" s="46">
        <v>2294</v>
      </c>
      <c r="B2304" s="38" t="s">
        <v>266</v>
      </c>
      <c r="C2304" s="38" t="s">
        <v>650</v>
      </c>
      <c r="D2304" s="38" t="s">
        <v>649</v>
      </c>
      <c r="E2304" s="38" t="s">
        <v>5590</v>
      </c>
      <c r="F2304" s="38" t="s">
        <v>5374</v>
      </c>
      <c r="G2304" s="38" t="s">
        <v>111</v>
      </c>
      <c r="H2304" s="44">
        <v>44113</v>
      </c>
      <c r="I2304" s="44">
        <v>44118</v>
      </c>
      <c r="J2304">
        <v>18.079999999999998</v>
      </c>
      <c r="K2304">
        <v>18.079999999999998</v>
      </c>
      <c r="L2304" t="s">
        <v>5591</v>
      </c>
      <c r="M2304" s="45" t="s">
        <v>98</v>
      </c>
      <c r="N2304" s="38" t="s">
        <v>230</v>
      </c>
      <c r="O2304" s="38" t="s">
        <v>317</v>
      </c>
      <c r="P2304" s="38" t="s">
        <v>60</v>
      </c>
      <c r="Q2304" s="38" t="s">
        <v>41</v>
      </c>
      <c r="R2304" s="38" t="s">
        <v>270</v>
      </c>
      <c r="S2304" s="38" t="s">
        <v>5592</v>
      </c>
      <c r="T2304" s="38" t="s">
        <v>5593</v>
      </c>
      <c r="U2304" s="38"/>
      <c r="V2304" s="38"/>
      <c r="W2304" s="38"/>
      <c r="X2304" s="14"/>
      <c r="AN2304" s="7" t="s">
        <v>70</v>
      </c>
      <c r="AO2304" s="21">
        <f t="shared" si="113"/>
        <v>0</v>
      </c>
      <c r="AP2304" s="7">
        <f t="shared" si="114"/>
        <v>18.079999999999998</v>
      </c>
      <c r="AQ2304" s="31" t="str">
        <f t="shared" si="115"/>
        <v>Complete - No Adjustment</v>
      </c>
    </row>
    <row r="2305" spans="1:43" x14ac:dyDescent="0.2">
      <c r="A2305" s="46">
        <v>2295</v>
      </c>
      <c r="B2305" s="38" t="s">
        <v>266</v>
      </c>
      <c r="C2305" s="38" t="s">
        <v>650</v>
      </c>
      <c r="D2305" s="38" t="s">
        <v>649</v>
      </c>
      <c r="E2305" s="38" t="s">
        <v>5594</v>
      </c>
      <c r="F2305" s="38" t="s">
        <v>5374</v>
      </c>
      <c r="G2305" s="38" t="s">
        <v>111</v>
      </c>
      <c r="H2305" s="44">
        <v>44110</v>
      </c>
      <c r="I2305" s="44">
        <v>44118</v>
      </c>
      <c r="J2305">
        <v>57.46</v>
      </c>
      <c r="K2305">
        <v>17.86</v>
      </c>
      <c r="L2305" t="s">
        <v>5595</v>
      </c>
      <c r="M2305" s="45" t="s">
        <v>98</v>
      </c>
      <c r="N2305" s="38" t="s">
        <v>230</v>
      </c>
      <c r="O2305" s="38" t="s">
        <v>317</v>
      </c>
      <c r="P2305" s="38" t="s">
        <v>60</v>
      </c>
      <c r="Q2305" s="38" t="s">
        <v>41</v>
      </c>
      <c r="R2305" s="38" t="s">
        <v>270</v>
      </c>
      <c r="S2305" s="38" t="s">
        <v>5596</v>
      </c>
      <c r="T2305" s="38" t="s">
        <v>5597</v>
      </c>
      <c r="U2305" s="38"/>
      <c r="V2305" s="38"/>
      <c r="W2305" s="38"/>
      <c r="X2305" s="14"/>
      <c r="AL2305" s="14">
        <f>17.86</f>
        <v>17.86</v>
      </c>
      <c r="AN2305" s="7" t="s">
        <v>146</v>
      </c>
      <c r="AO2305" s="21">
        <f t="shared" si="113"/>
        <v>17.86</v>
      </c>
      <c r="AP2305" s="7">
        <f t="shared" si="114"/>
        <v>0</v>
      </c>
      <c r="AQ2305" s="31" t="str">
        <f t="shared" si="115"/>
        <v>Complete - With Adjustment</v>
      </c>
    </row>
    <row r="2306" spans="1:43" x14ac:dyDescent="0.2">
      <c r="A2306" s="46">
        <v>2296</v>
      </c>
      <c r="B2306" s="38" t="s">
        <v>266</v>
      </c>
      <c r="C2306" s="38" t="s">
        <v>650</v>
      </c>
      <c r="D2306" s="38" t="s">
        <v>649</v>
      </c>
      <c r="E2306" s="38" t="s">
        <v>5594</v>
      </c>
      <c r="F2306" s="38" t="s">
        <v>5374</v>
      </c>
      <c r="G2306" s="38" t="s">
        <v>111</v>
      </c>
      <c r="H2306" s="44">
        <v>44110</v>
      </c>
      <c r="I2306" s="44">
        <v>44118</v>
      </c>
      <c r="J2306">
        <v>57.46</v>
      </c>
      <c r="K2306">
        <v>17.86</v>
      </c>
      <c r="L2306" t="s">
        <v>5595</v>
      </c>
      <c r="M2306" s="45" t="s">
        <v>98</v>
      </c>
      <c r="N2306" s="38" t="s">
        <v>230</v>
      </c>
      <c r="O2306" s="38" t="s">
        <v>317</v>
      </c>
      <c r="P2306" s="38" t="s">
        <v>60</v>
      </c>
      <c r="Q2306" s="38" t="s">
        <v>41</v>
      </c>
      <c r="R2306" s="38" t="s">
        <v>270</v>
      </c>
      <c r="S2306" s="38" t="s">
        <v>5596</v>
      </c>
      <c r="T2306" s="38" t="s">
        <v>5597</v>
      </c>
      <c r="U2306" s="38"/>
      <c r="V2306" s="38"/>
      <c r="W2306" s="38"/>
      <c r="X2306" s="14"/>
      <c r="AL2306" s="14">
        <f>17.86</f>
        <v>17.86</v>
      </c>
      <c r="AN2306" s="7" t="s">
        <v>146</v>
      </c>
      <c r="AO2306" s="21">
        <f t="shared" si="113"/>
        <v>17.86</v>
      </c>
      <c r="AP2306" s="7">
        <f t="shared" si="114"/>
        <v>0</v>
      </c>
      <c r="AQ2306" s="31" t="str">
        <f t="shared" si="115"/>
        <v>Complete - With Adjustment</v>
      </c>
    </row>
    <row r="2307" spans="1:43" x14ac:dyDescent="0.2">
      <c r="A2307" s="46">
        <v>2297</v>
      </c>
      <c r="B2307" s="38" t="s">
        <v>266</v>
      </c>
      <c r="C2307" s="38" t="s">
        <v>650</v>
      </c>
      <c r="D2307" s="38" t="s">
        <v>649</v>
      </c>
      <c r="E2307" s="38" t="s">
        <v>5594</v>
      </c>
      <c r="F2307" s="38" t="s">
        <v>5374</v>
      </c>
      <c r="G2307" s="38" t="s">
        <v>111</v>
      </c>
      <c r="H2307" s="44">
        <v>44110</v>
      </c>
      <c r="I2307" s="44">
        <v>44118</v>
      </c>
      <c r="J2307">
        <v>57.46</v>
      </c>
      <c r="K2307">
        <v>21.74</v>
      </c>
      <c r="L2307" t="s">
        <v>5595</v>
      </c>
      <c r="M2307" s="45" t="s">
        <v>98</v>
      </c>
      <c r="N2307" s="38" t="s">
        <v>230</v>
      </c>
      <c r="O2307" s="38" t="s">
        <v>317</v>
      </c>
      <c r="P2307" s="38" t="s">
        <v>60</v>
      </c>
      <c r="Q2307" s="38" t="s">
        <v>41</v>
      </c>
      <c r="R2307" s="38" t="s">
        <v>270</v>
      </c>
      <c r="S2307" s="38" t="s">
        <v>5596</v>
      </c>
      <c r="T2307" s="38" t="s">
        <v>5597</v>
      </c>
      <c r="U2307" s="38"/>
      <c r="V2307" s="38"/>
      <c r="W2307" s="38"/>
      <c r="X2307" s="14"/>
      <c r="AL2307" s="14">
        <f>21.74</f>
        <v>21.74</v>
      </c>
      <c r="AN2307" s="7" t="s">
        <v>146</v>
      </c>
      <c r="AO2307" s="21">
        <f t="shared" si="113"/>
        <v>21.74</v>
      </c>
      <c r="AP2307" s="7">
        <f t="shared" si="114"/>
        <v>0</v>
      </c>
      <c r="AQ2307" s="31" t="str">
        <f t="shared" si="115"/>
        <v>Complete - With Adjustment</v>
      </c>
    </row>
    <row r="2308" spans="1:43" x14ac:dyDescent="0.2">
      <c r="A2308" s="46">
        <v>2298</v>
      </c>
      <c r="B2308" s="38" t="s">
        <v>266</v>
      </c>
      <c r="C2308" s="38" t="s">
        <v>723</v>
      </c>
      <c r="D2308" s="38" t="s">
        <v>722</v>
      </c>
      <c r="E2308" s="38" t="s">
        <v>5598</v>
      </c>
      <c r="F2308" s="38" t="s">
        <v>5383</v>
      </c>
      <c r="G2308" s="38" t="s">
        <v>111</v>
      </c>
      <c r="H2308" s="44">
        <v>44124</v>
      </c>
      <c r="I2308" s="44">
        <v>44126</v>
      </c>
      <c r="J2308">
        <v>121.75</v>
      </c>
      <c r="K2308">
        <v>86.59</v>
      </c>
      <c r="L2308" t="s">
        <v>5599</v>
      </c>
      <c r="M2308" s="45" t="s">
        <v>98</v>
      </c>
      <c r="N2308" s="38" t="s">
        <v>230</v>
      </c>
      <c r="O2308" s="38" t="s">
        <v>281</v>
      </c>
      <c r="P2308" s="38" t="s">
        <v>60</v>
      </c>
      <c r="Q2308" s="38" t="s">
        <v>62</v>
      </c>
      <c r="R2308" s="38" t="s">
        <v>270</v>
      </c>
      <c r="S2308" s="38" t="s">
        <v>5600</v>
      </c>
      <c r="T2308" s="38" t="s">
        <v>5601</v>
      </c>
      <c r="U2308" s="38"/>
      <c r="V2308" s="38"/>
      <c r="W2308" s="38"/>
      <c r="X2308" s="14"/>
      <c r="AN2308" s="7" t="s">
        <v>70</v>
      </c>
      <c r="AO2308" s="21">
        <f t="shared" si="113"/>
        <v>0</v>
      </c>
      <c r="AP2308" s="7">
        <f t="shared" si="114"/>
        <v>86.59</v>
      </c>
      <c r="AQ2308" s="31" t="str">
        <f t="shared" si="115"/>
        <v>Complete - No Adjustment</v>
      </c>
    </row>
    <row r="2309" spans="1:43" x14ac:dyDescent="0.2">
      <c r="A2309" s="46">
        <v>2299</v>
      </c>
      <c r="B2309" s="38" t="s">
        <v>266</v>
      </c>
      <c r="C2309" s="38" t="s">
        <v>723</v>
      </c>
      <c r="D2309" s="38" t="s">
        <v>722</v>
      </c>
      <c r="E2309" s="38" t="s">
        <v>5598</v>
      </c>
      <c r="F2309" s="38" t="s">
        <v>5383</v>
      </c>
      <c r="G2309" s="38" t="s">
        <v>111</v>
      </c>
      <c r="H2309" s="44">
        <v>44124</v>
      </c>
      <c r="I2309" s="44">
        <v>44126</v>
      </c>
      <c r="J2309">
        <v>121.75</v>
      </c>
      <c r="K2309">
        <v>19.47</v>
      </c>
      <c r="L2309" t="s">
        <v>5599</v>
      </c>
      <c r="M2309" s="45" t="s">
        <v>98</v>
      </c>
      <c r="N2309" s="38" t="s">
        <v>230</v>
      </c>
      <c r="O2309" s="38" t="s">
        <v>281</v>
      </c>
      <c r="P2309" s="38" t="s">
        <v>60</v>
      </c>
      <c r="Q2309" s="38" t="s">
        <v>62</v>
      </c>
      <c r="R2309" s="38" t="s">
        <v>270</v>
      </c>
      <c r="S2309" s="38" t="s">
        <v>5600</v>
      </c>
      <c r="T2309" s="38" t="s">
        <v>5602</v>
      </c>
      <c r="U2309" s="38"/>
      <c r="V2309" s="38"/>
      <c r="W2309" s="38"/>
      <c r="X2309" s="14"/>
      <c r="AN2309" s="7" t="s">
        <v>155</v>
      </c>
      <c r="AO2309" s="21">
        <f t="shared" si="113"/>
        <v>0</v>
      </c>
      <c r="AP2309" s="7">
        <f t="shared" si="114"/>
        <v>19.47</v>
      </c>
      <c r="AQ2309" s="31" t="str">
        <f t="shared" si="115"/>
        <v>Complete - No Adjustment</v>
      </c>
    </row>
    <row r="2310" spans="1:43" x14ac:dyDescent="0.2">
      <c r="A2310" s="46">
        <v>2300</v>
      </c>
      <c r="B2310" s="38" t="s">
        <v>266</v>
      </c>
      <c r="C2310" s="38" t="s">
        <v>723</v>
      </c>
      <c r="D2310" s="38" t="s">
        <v>722</v>
      </c>
      <c r="E2310" s="38" t="s">
        <v>5598</v>
      </c>
      <c r="F2310" s="38" t="s">
        <v>5383</v>
      </c>
      <c r="G2310" s="38" t="s">
        <v>111</v>
      </c>
      <c r="H2310" s="44">
        <v>44124</v>
      </c>
      <c r="I2310" s="44">
        <v>44126</v>
      </c>
      <c r="J2310">
        <v>121.75</v>
      </c>
      <c r="K2310">
        <v>15.69</v>
      </c>
      <c r="L2310" t="s">
        <v>5599</v>
      </c>
      <c r="M2310" s="45" t="s">
        <v>98</v>
      </c>
      <c r="N2310" s="38" t="s">
        <v>230</v>
      </c>
      <c r="O2310" s="38" t="s">
        <v>281</v>
      </c>
      <c r="P2310" s="38" t="s">
        <v>60</v>
      </c>
      <c r="Q2310" s="38" t="s">
        <v>41</v>
      </c>
      <c r="R2310" s="38" t="s">
        <v>270</v>
      </c>
      <c r="S2310" s="38" t="s">
        <v>5600</v>
      </c>
      <c r="T2310" s="38" t="s">
        <v>5603</v>
      </c>
      <c r="U2310" s="38"/>
      <c r="V2310" s="38"/>
      <c r="W2310" s="38"/>
      <c r="X2310" s="14"/>
      <c r="AI2310" s="53">
        <f>15.69</f>
        <v>15.69</v>
      </c>
      <c r="AN2310" s="7" t="s">
        <v>145</v>
      </c>
      <c r="AO2310" s="21">
        <f t="shared" ref="AO2310:AO2373" si="116">SUM(Y2310:AL2310)</f>
        <v>15.69</v>
      </c>
      <c r="AP2310" s="7">
        <f t="shared" ref="AP2310:AP2373" si="117">K2310-AO2310</f>
        <v>0</v>
      </c>
      <c r="AQ2310" s="31" t="str">
        <f t="shared" ref="AQ2310:AQ2373" si="118">IF(AO2310&lt;&gt;0,"Complete - With Adjustment","Complete - No Adjustment")</f>
        <v>Complete - With Adjustment</v>
      </c>
    </row>
    <row r="2311" spans="1:43" x14ac:dyDescent="0.2">
      <c r="A2311" s="46">
        <v>2301</v>
      </c>
      <c r="B2311" s="38" t="s">
        <v>266</v>
      </c>
      <c r="C2311" s="38" t="s">
        <v>838</v>
      </c>
      <c r="D2311" s="38" t="s">
        <v>839</v>
      </c>
      <c r="E2311" s="38" t="s">
        <v>5604</v>
      </c>
      <c r="F2311" s="38" t="s">
        <v>5369</v>
      </c>
      <c r="G2311" s="38" t="s">
        <v>111</v>
      </c>
      <c r="H2311" s="44">
        <v>44104</v>
      </c>
      <c r="I2311" s="44">
        <v>44109</v>
      </c>
      <c r="J2311">
        <v>253.92</v>
      </c>
      <c r="K2311">
        <v>30.38</v>
      </c>
      <c r="L2311" t="s">
        <v>5605</v>
      </c>
      <c r="M2311" s="45" t="s">
        <v>97</v>
      </c>
      <c r="N2311" s="38" t="s">
        <v>230</v>
      </c>
      <c r="O2311" s="38" t="s">
        <v>386</v>
      </c>
      <c r="P2311" s="38" t="s">
        <v>42</v>
      </c>
      <c r="Q2311" s="38" t="s">
        <v>55</v>
      </c>
      <c r="R2311" s="38" t="s">
        <v>270</v>
      </c>
      <c r="S2311" s="38" t="s">
        <v>5606</v>
      </c>
      <c r="T2311" s="38" t="s">
        <v>5607</v>
      </c>
      <c r="U2311" s="38"/>
      <c r="V2311" s="38"/>
      <c r="W2311" s="38"/>
      <c r="X2311" s="14"/>
      <c r="AI2311" s="53">
        <f>30.38</f>
        <v>30.38</v>
      </c>
      <c r="AN2311" s="7" t="s">
        <v>145</v>
      </c>
      <c r="AO2311" s="21">
        <f t="shared" si="116"/>
        <v>30.38</v>
      </c>
      <c r="AP2311" s="7">
        <f t="shared" si="117"/>
        <v>0</v>
      </c>
      <c r="AQ2311" s="31" t="str">
        <f t="shared" si="118"/>
        <v>Complete - With Adjustment</v>
      </c>
    </row>
    <row r="2312" spans="1:43" x14ac:dyDescent="0.2">
      <c r="A2312" s="46">
        <v>2302</v>
      </c>
      <c r="B2312" s="38" t="s">
        <v>266</v>
      </c>
      <c r="C2312" s="38" t="s">
        <v>838</v>
      </c>
      <c r="D2312" s="38" t="s">
        <v>839</v>
      </c>
      <c r="E2312" s="38" t="s">
        <v>5604</v>
      </c>
      <c r="F2312" s="38" t="s">
        <v>5369</v>
      </c>
      <c r="G2312" s="38" t="s">
        <v>111</v>
      </c>
      <c r="H2312" s="44">
        <v>44104</v>
      </c>
      <c r="I2312" s="44">
        <v>44109</v>
      </c>
      <c r="J2312">
        <v>253.92</v>
      </c>
      <c r="K2312">
        <v>34.99</v>
      </c>
      <c r="L2312" t="s">
        <v>5605</v>
      </c>
      <c r="M2312" s="45" t="s">
        <v>97</v>
      </c>
      <c r="N2312" s="38" t="s">
        <v>230</v>
      </c>
      <c r="O2312" s="38" t="s">
        <v>386</v>
      </c>
      <c r="P2312" s="38" t="s">
        <v>42</v>
      </c>
      <c r="Q2312" s="38" t="s">
        <v>55</v>
      </c>
      <c r="R2312" s="38" t="s">
        <v>270</v>
      </c>
      <c r="S2312" s="38" t="s">
        <v>5606</v>
      </c>
      <c r="T2312" s="38" t="s">
        <v>5607</v>
      </c>
      <c r="U2312" s="38"/>
      <c r="V2312" s="38"/>
      <c r="W2312" s="38"/>
      <c r="X2312" s="14"/>
      <c r="AI2312" s="53">
        <f>34.99</f>
        <v>34.99</v>
      </c>
      <c r="AN2312" s="7" t="s">
        <v>145</v>
      </c>
      <c r="AO2312" s="21">
        <f t="shared" si="116"/>
        <v>34.99</v>
      </c>
      <c r="AP2312" s="7">
        <f t="shared" si="117"/>
        <v>0</v>
      </c>
      <c r="AQ2312" s="31" t="str">
        <f t="shared" si="118"/>
        <v>Complete - With Adjustment</v>
      </c>
    </row>
    <row r="2313" spans="1:43" x14ac:dyDescent="0.2">
      <c r="A2313" s="46">
        <v>2303</v>
      </c>
      <c r="B2313" s="38" t="s">
        <v>266</v>
      </c>
      <c r="C2313" s="38" t="s">
        <v>838</v>
      </c>
      <c r="D2313" s="38" t="s">
        <v>839</v>
      </c>
      <c r="E2313" s="38" t="s">
        <v>5604</v>
      </c>
      <c r="F2313" s="38" t="s">
        <v>5369</v>
      </c>
      <c r="G2313" s="38" t="s">
        <v>111</v>
      </c>
      <c r="H2313" s="44">
        <v>44104</v>
      </c>
      <c r="I2313" s="44">
        <v>44109</v>
      </c>
      <c r="J2313">
        <v>253.92</v>
      </c>
      <c r="K2313">
        <v>37.71</v>
      </c>
      <c r="L2313" t="s">
        <v>5605</v>
      </c>
      <c r="M2313" s="45" t="s">
        <v>97</v>
      </c>
      <c r="N2313" s="38" t="s">
        <v>230</v>
      </c>
      <c r="O2313" s="38" t="s">
        <v>386</v>
      </c>
      <c r="P2313" s="38" t="s">
        <v>42</v>
      </c>
      <c r="Q2313" s="38" t="s">
        <v>55</v>
      </c>
      <c r="R2313" s="38" t="s">
        <v>270</v>
      </c>
      <c r="S2313" s="38" t="s">
        <v>5606</v>
      </c>
      <c r="T2313" s="38" t="s">
        <v>5607</v>
      </c>
      <c r="U2313" s="38"/>
      <c r="V2313" s="38"/>
      <c r="W2313" s="38"/>
      <c r="X2313" s="14"/>
      <c r="AI2313" s="53">
        <f>37.71</f>
        <v>37.71</v>
      </c>
      <c r="AN2313" s="7" t="s">
        <v>145</v>
      </c>
      <c r="AO2313" s="21">
        <f t="shared" si="116"/>
        <v>37.71</v>
      </c>
      <c r="AP2313" s="7">
        <f t="shared" si="117"/>
        <v>0</v>
      </c>
      <c r="AQ2313" s="31" t="str">
        <f t="shared" si="118"/>
        <v>Complete - With Adjustment</v>
      </c>
    </row>
    <row r="2314" spans="1:43" x14ac:dyDescent="0.2">
      <c r="A2314" s="46">
        <v>2304</v>
      </c>
      <c r="B2314" s="38" t="s">
        <v>266</v>
      </c>
      <c r="C2314" s="38" t="s">
        <v>838</v>
      </c>
      <c r="D2314" s="38" t="s">
        <v>839</v>
      </c>
      <c r="E2314" s="38" t="s">
        <v>5604</v>
      </c>
      <c r="F2314" s="38" t="s">
        <v>5369</v>
      </c>
      <c r="G2314" s="38" t="s">
        <v>111</v>
      </c>
      <c r="H2314" s="44">
        <v>44104</v>
      </c>
      <c r="I2314" s="44">
        <v>44109</v>
      </c>
      <c r="J2314">
        <v>253.92</v>
      </c>
      <c r="K2314">
        <v>36.79</v>
      </c>
      <c r="L2314" t="s">
        <v>5605</v>
      </c>
      <c r="M2314" s="45" t="s">
        <v>97</v>
      </c>
      <c r="N2314" s="38" t="s">
        <v>230</v>
      </c>
      <c r="O2314" s="38" t="s">
        <v>386</v>
      </c>
      <c r="P2314" s="38" t="s">
        <v>42</v>
      </c>
      <c r="Q2314" s="38" t="s">
        <v>55</v>
      </c>
      <c r="R2314" s="38" t="s">
        <v>270</v>
      </c>
      <c r="S2314" s="38" t="s">
        <v>5606</v>
      </c>
      <c r="T2314" s="38" t="s">
        <v>5607</v>
      </c>
      <c r="U2314" s="38"/>
      <c r="V2314" s="38"/>
      <c r="W2314" s="38"/>
      <c r="X2314" s="14"/>
      <c r="AI2314" s="53">
        <f>36.79</f>
        <v>36.79</v>
      </c>
      <c r="AN2314" s="7" t="s">
        <v>145</v>
      </c>
      <c r="AO2314" s="21">
        <f t="shared" si="116"/>
        <v>36.79</v>
      </c>
      <c r="AP2314" s="7">
        <f t="shared" si="117"/>
        <v>0</v>
      </c>
      <c r="AQ2314" s="31" t="str">
        <f t="shared" si="118"/>
        <v>Complete - With Adjustment</v>
      </c>
    </row>
    <row r="2315" spans="1:43" x14ac:dyDescent="0.2">
      <c r="A2315" s="46">
        <v>2305</v>
      </c>
      <c r="B2315" s="38" t="s">
        <v>266</v>
      </c>
      <c r="C2315" s="38" t="s">
        <v>838</v>
      </c>
      <c r="D2315" s="38" t="s">
        <v>839</v>
      </c>
      <c r="E2315" s="38" t="s">
        <v>5604</v>
      </c>
      <c r="F2315" s="38" t="s">
        <v>5369</v>
      </c>
      <c r="G2315" s="38" t="s">
        <v>111</v>
      </c>
      <c r="H2315" s="44">
        <v>44104</v>
      </c>
      <c r="I2315" s="44">
        <v>44109</v>
      </c>
      <c r="J2315">
        <v>253.92</v>
      </c>
      <c r="K2315">
        <v>25.7</v>
      </c>
      <c r="L2315" t="s">
        <v>5605</v>
      </c>
      <c r="M2315" s="45" t="s">
        <v>97</v>
      </c>
      <c r="N2315" s="38" t="s">
        <v>230</v>
      </c>
      <c r="O2315" s="38" t="s">
        <v>386</v>
      </c>
      <c r="P2315" s="38" t="s">
        <v>42</v>
      </c>
      <c r="Q2315" s="38" t="s">
        <v>55</v>
      </c>
      <c r="R2315" s="38" t="s">
        <v>270</v>
      </c>
      <c r="S2315" s="38" t="s">
        <v>5606</v>
      </c>
      <c r="T2315" s="38" t="s">
        <v>5607</v>
      </c>
      <c r="U2315" s="38"/>
      <c r="V2315" s="38"/>
      <c r="W2315" s="38"/>
      <c r="X2315" s="14"/>
      <c r="AI2315" s="53">
        <f>25.7</f>
        <v>25.7</v>
      </c>
      <c r="AN2315" s="7" t="s">
        <v>145</v>
      </c>
      <c r="AO2315" s="21">
        <f t="shared" si="116"/>
        <v>25.7</v>
      </c>
      <c r="AP2315" s="7">
        <f t="shared" si="117"/>
        <v>0</v>
      </c>
      <c r="AQ2315" s="31" t="str">
        <f t="shared" si="118"/>
        <v>Complete - With Adjustment</v>
      </c>
    </row>
    <row r="2316" spans="1:43" x14ac:dyDescent="0.2">
      <c r="A2316" s="46">
        <v>2306</v>
      </c>
      <c r="B2316" s="38" t="s">
        <v>266</v>
      </c>
      <c r="C2316" s="38" t="s">
        <v>838</v>
      </c>
      <c r="D2316" s="38" t="s">
        <v>839</v>
      </c>
      <c r="E2316" s="38" t="s">
        <v>5604</v>
      </c>
      <c r="F2316" s="38" t="s">
        <v>5369</v>
      </c>
      <c r="G2316" s="38" t="s">
        <v>111</v>
      </c>
      <c r="H2316" s="44">
        <v>44104</v>
      </c>
      <c r="I2316" s="44">
        <v>44109</v>
      </c>
      <c r="J2316">
        <v>253.92</v>
      </c>
      <c r="K2316">
        <v>41.3</v>
      </c>
      <c r="L2316" t="s">
        <v>5605</v>
      </c>
      <c r="M2316" s="45" t="s">
        <v>97</v>
      </c>
      <c r="N2316" s="38" t="s">
        <v>230</v>
      </c>
      <c r="O2316" s="38" t="s">
        <v>386</v>
      </c>
      <c r="P2316" s="38" t="s">
        <v>42</v>
      </c>
      <c r="Q2316" s="38" t="s">
        <v>55</v>
      </c>
      <c r="R2316" s="38" t="s">
        <v>270</v>
      </c>
      <c r="S2316" s="38" t="s">
        <v>5606</v>
      </c>
      <c r="T2316" s="38" t="s">
        <v>5607</v>
      </c>
      <c r="U2316" s="38"/>
      <c r="V2316" s="38"/>
      <c r="W2316" s="38"/>
      <c r="X2316" s="14"/>
      <c r="AI2316" s="53">
        <f>41.3</f>
        <v>41.3</v>
      </c>
      <c r="AN2316" s="7" t="s">
        <v>145</v>
      </c>
      <c r="AO2316" s="21">
        <f t="shared" si="116"/>
        <v>41.3</v>
      </c>
      <c r="AP2316" s="7">
        <f t="shared" si="117"/>
        <v>0</v>
      </c>
      <c r="AQ2316" s="31" t="str">
        <f t="shared" si="118"/>
        <v>Complete - With Adjustment</v>
      </c>
    </row>
    <row r="2317" spans="1:43" x14ac:dyDescent="0.2">
      <c r="A2317" s="46">
        <v>2307</v>
      </c>
      <c r="B2317" s="38" t="s">
        <v>266</v>
      </c>
      <c r="C2317" s="38" t="s">
        <v>838</v>
      </c>
      <c r="D2317" s="38" t="s">
        <v>839</v>
      </c>
      <c r="E2317" s="38" t="s">
        <v>5604</v>
      </c>
      <c r="F2317" s="38" t="s">
        <v>5369</v>
      </c>
      <c r="G2317" s="38" t="s">
        <v>111</v>
      </c>
      <c r="H2317" s="44">
        <v>44104</v>
      </c>
      <c r="I2317" s="44">
        <v>44109</v>
      </c>
      <c r="J2317">
        <v>253.92</v>
      </c>
      <c r="K2317">
        <v>47.05</v>
      </c>
      <c r="L2317" t="s">
        <v>5605</v>
      </c>
      <c r="M2317" s="45" t="s">
        <v>97</v>
      </c>
      <c r="N2317" s="38" t="s">
        <v>230</v>
      </c>
      <c r="O2317" s="38" t="s">
        <v>386</v>
      </c>
      <c r="P2317" s="38" t="s">
        <v>42</v>
      </c>
      <c r="Q2317" s="38" t="s">
        <v>55</v>
      </c>
      <c r="R2317" s="38" t="s">
        <v>270</v>
      </c>
      <c r="S2317" s="38" t="s">
        <v>5606</v>
      </c>
      <c r="T2317" s="38" t="s">
        <v>5607</v>
      </c>
      <c r="U2317" s="38"/>
      <c r="V2317" s="38"/>
      <c r="W2317" s="38"/>
      <c r="X2317" s="14"/>
      <c r="AI2317" s="53">
        <f>47.05</f>
        <v>47.05</v>
      </c>
      <c r="AN2317" s="7" t="s">
        <v>145</v>
      </c>
      <c r="AO2317" s="21">
        <f t="shared" si="116"/>
        <v>47.05</v>
      </c>
      <c r="AP2317" s="7">
        <f t="shared" si="117"/>
        <v>0</v>
      </c>
      <c r="AQ2317" s="31" t="str">
        <f t="shared" si="118"/>
        <v>Complete - With Adjustment</v>
      </c>
    </row>
    <row r="2318" spans="1:43" x14ac:dyDescent="0.2">
      <c r="A2318" s="46">
        <v>2308</v>
      </c>
      <c r="B2318" s="38" t="s">
        <v>266</v>
      </c>
      <c r="C2318" s="38" t="s">
        <v>763</v>
      </c>
      <c r="D2318" s="38" t="s">
        <v>762</v>
      </c>
      <c r="E2318" s="38" t="s">
        <v>5608</v>
      </c>
      <c r="F2318" s="38" t="s">
        <v>5431</v>
      </c>
      <c r="G2318" s="38" t="s">
        <v>111</v>
      </c>
      <c r="H2318" s="44">
        <v>44109</v>
      </c>
      <c r="I2318" s="44">
        <v>44110</v>
      </c>
      <c r="J2318">
        <v>32.15</v>
      </c>
      <c r="K2318">
        <v>12.15</v>
      </c>
      <c r="L2318" t="s">
        <v>5609</v>
      </c>
      <c r="M2318" s="45" t="s">
        <v>98</v>
      </c>
      <c r="N2318" s="38" t="s">
        <v>230</v>
      </c>
      <c r="O2318" s="38" t="s">
        <v>472</v>
      </c>
      <c r="P2318" s="38" t="s">
        <v>60</v>
      </c>
      <c r="Q2318" s="38" t="s">
        <v>41</v>
      </c>
      <c r="R2318" s="38" t="s">
        <v>270</v>
      </c>
      <c r="S2318" s="38" t="s">
        <v>5610</v>
      </c>
      <c r="T2318" s="38" t="s">
        <v>5611</v>
      </c>
      <c r="U2318" s="38"/>
      <c r="V2318" s="38"/>
      <c r="W2318" s="38"/>
      <c r="X2318" s="14"/>
      <c r="AL2318" s="14">
        <f>12.15</f>
        <v>12.15</v>
      </c>
      <c r="AN2318" s="7" t="s">
        <v>146</v>
      </c>
      <c r="AO2318" s="21">
        <f t="shared" si="116"/>
        <v>12.15</v>
      </c>
      <c r="AP2318" s="7">
        <f t="shared" si="117"/>
        <v>0</v>
      </c>
      <c r="AQ2318" s="31" t="str">
        <f t="shared" si="118"/>
        <v>Complete - With Adjustment</v>
      </c>
    </row>
    <row r="2319" spans="1:43" x14ac:dyDescent="0.2">
      <c r="A2319" s="46">
        <v>2309</v>
      </c>
      <c r="B2319" s="38" t="s">
        <v>266</v>
      </c>
      <c r="C2319" s="38" t="s">
        <v>763</v>
      </c>
      <c r="D2319" s="38" t="s">
        <v>762</v>
      </c>
      <c r="E2319" s="38" t="s">
        <v>5608</v>
      </c>
      <c r="F2319" s="38" t="s">
        <v>5431</v>
      </c>
      <c r="G2319" s="38" t="s">
        <v>111</v>
      </c>
      <c r="H2319" s="44">
        <v>44109</v>
      </c>
      <c r="I2319" s="44">
        <v>44110</v>
      </c>
      <c r="J2319">
        <v>32.15</v>
      </c>
      <c r="K2319">
        <v>20</v>
      </c>
      <c r="L2319" t="s">
        <v>5609</v>
      </c>
      <c r="M2319" s="45" t="s">
        <v>98</v>
      </c>
      <c r="N2319" s="38" t="s">
        <v>230</v>
      </c>
      <c r="O2319" s="38" t="s">
        <v>472</v>
      </c>
      <c r="P2319" s="38" t="s">
        <v>60</v>
      </c>
      <c r="Q2319" s="38" t="s">
        <v>41</v>
      </c>
      <c r="R2319" s="38" t="s">
        <v>270</v>
      </c>
      <c r="S2319" s="38" t="s">
        <v>5610</v>
      </c>
      <c r="T2319" s="38" t="s">
        <v>5612</v>
      </c>
      <c r="U2319" s="38"/>
      <c r="V2319" s="38"/>
      <c r="W2319" s="38"/>
      <c r="X2319" s="14"/>
      <c r="AL2319" s="14">
        <f>20</f>
        <v>20</v>
      </c>
      <c r="AN2319" s="7" t="s">
        <v>146</v>
      </c>
      <c r="AO2319" s="21">
        <f t="shared" si="116"/>
        <v>20</v>
      </c>
      <c r="AP2319" s="7">
        <f t="shared" si="117"/>
        <v>0</v>
      </c>
      <c r="AQ2319" s="31" t="str">
        <f t="shared" si="118"/>
        <v>Complete - With Adjustment</v>
      </c>
    </row>
    <row r="2320" spans="1:43" x14ac:dyDescent="0.2">
      <c r="A2320" s="46">
        <v>2310</v>
      </c>
      <c r="B2320" s="38" t="s">
        <v>266</v>
      </c>
      <c r="C2320" s="38" t="s">
        <v>380</v>
      </c>
      <c r="D2320" s="38" t="s">
        <v>379</v>
      </c>
      <c r="E2320" s="38" t="s">
        <v>5335</v>
      </c>
      <c r="F2320" s="38" t="s">
        <v>5336</v>
      </c>
      <c r="G2320" s="38" t="s">
        <v>111</v>
      </c>
      <c r="H2320" s="44">
        <v>44124</v>
      </c>
      <c r="I2320" s="44">
        <v>44130</v>
      </c>
      <c r="J2320">
        <v>1500</v>
      </c>
      <c r="K2320">
        <v>1500</v>
      </c>
      <c r="L2320"/>
      <c r="M2320" s="45" t="s">
        <v>97</v>
      </c>
      <c r="N2320" s="38" t="s">
        <v>230</v>
      </c>
      <c r="O2320" s="38" t="s">
        <v>277</v>
      </c>
      <c r="P2320" s="38" t="s">
        <v>42</v>
      </c>
      <c r="Q2320" s="38" t="s">
        <v>59</v>
      </c>
      <c r="R2320" s="38" t="s">
        <v>270</v>
      </c>
      <c r="S2320" s="38" t="s">
        <v>5337</v>
      </c>
      <c r="T2320" s="38" t="s">
        <v>5338</v>
      </c>
      <c r="U2320" s="38"/>
      <c r="V2320" s="38"/>
      <c r="W2320" s="38"/>
      <c r="X2320" s="14"/>
      <c r="AL2320" s="14">
        <v>1500</v>
      </c>
      <c r="AO2320" s="21">
        <f t="shared" si="116"/>
        <v>1500</v>
      </c>
      <c r="AP2320" s="7">
        <f t="shared" si="117"/>
        <v>0</v>
      </c>
      <c r="AQ2320" s="31" t="str">
        <f t="shared" si="118"/>
        <v>Complete - With Adjustment</v>
      </c>
    </row>
    <row r="2321" spans="1:43" x14ac:dyDescent="0.2">
      <c r="A2321" s="46">
        <v>2311</v>
      </c>
      <c r="B2321" s="38" t="s">
        <v>266</v>
      </c>
      <c r="C2321" s="38" t="s">
        <v>380</v>
      </c>
      <c r="D2321" s="38" t="s">
        <v>379</v>
      </c>
      <c r="E2321" s="38" t="s">
        <v>5339</v>
      </c>
      <c r="F2321" s="38" t="s">
        <v>5340</v>
      </c>
      <c r="G2321" s="38" t="s">
        <v>111</v>
      </c>
      <c r="H2321" s="44">
        <v>44117</v>
      </c>
      <c r="I2321" s="44">
        <v>44124</v>
      </c>
      <c r="J2321">
        <v>3450</v>
      </c>
      <c r="K2321">
        <v>3450</v>
      </c>
      <c r="L2321"/>
      <c r="M2321" s="45" t="s">
        <v>97</v>
      </c>
      <c r="N2321" s="38" t="s">
        <v>230</v>
      </c>
      <c r="O2321" s="38" t="s">
        <v>277</v>
      </c>
      <c r="P2321" s="38" t="s">
        <v>42</v>
      </c>
      <c r="Q2321" s="38" t="s">
        <v>59</v>
      </c>
      <c r="R2321" s="38" t="s">
        <v>270</v>
      </c>
      <c r="S2321" s="38" t="s">
        <v>5341</v>
      </c>
      <c r="T2321" s="38" t="s">
        <v>5342</v>
      </c>
      <c r="U2321" s="38"/>
      <c r="V2321" s="38"/>
      <c r="W2321" s="38"/>
      <c r="X2321" s="14"/>
      <c r="AL2321" s="14">
        <v>3450</v>
      </c>
      <c r="AO2321" s="21">
        <f t="shared" si="116"/>
        <v>3450</v>
      </c>
      <c r="AP2321" s="7">
        <f t="shared" si="117"/>
        <v>0</v>
      </c>
      <c r="AQ2321" s="31" t="str">
        <f t="shared" si="118"/>
        <v>Complete - With Adjustment</v>
      </c>
    </row>
    <row r="2322" spans="1:43" x14ac:dyDescent="0.2">
      <c r="A2322" s="46">
        <v>2312</v>
      </c>
      <c r="B2322" s="38" t="s">
        <v>266</v>
      </c>
      <c r="C2322" s="38" t="s">
        <v>382</v>
      </c>
      <c r="D2322" s="38" t="s">
        <v>381</v>
      </c>
      <c r="E2322" s="38" t="s">
        <v>5613</v>
      </c>
      <c r="F2322" s="38" t="s">
        <v>5369</v>
      </c>
      <c r="G2322" s="38" t="s">
        <v>111</v>
      </c>
      <c r="H2322" s="44">
        <v>44074</v>
      </c>
      <c r="I2322" s="44">
        <v>44109</v>
      </c>
      <c r="J2322">
        <v>15</v>
      </c>
      <c r="K2322">
        <v>15</v>
      </c>
      <c r="L2322" t="s">
        <v>5614</v>
      </c>
      <c r="M2322" s="45" t="s">
        <v>98</v>
      </c>
      <c r="N2322" s="38" t="s">
        <v>230</v>
      </c>
      <c r="O2322" s="38" t="s">
        <v>383</v>
      </c>
      <c r="P2322" s="38" t="s">
        <v>60</v>
      </c>
      <c r="Q2322" s="38" t="s">
        <v>41</v>
      </c>
      <c r="R2322" s="38" t="s">
        <v>270</v>
      </c>
      <c r="S2322" s="38" t="s">
        <v>5615</v>
      </c>
      <c r="T2322" s="38" t="s">
        <v>5616</v>
      </c>
      <c r="U2322" s="38"/>
      <c r="V2322" s="38"/>
      <c r="W2322" s="38"/>
      <c r="X2322" s="14"/>
      <c r="AL2322" s="14">
        <f>15</f>
        <v>15</v>
      </c>
      <c r="AN2322" s="7" t="s">
        <v>146</v>
      </c>
      <c r="AO2322" s="21">
        <f t="shared" si="116"/>
        <v>15</v>
      </c>
      <c r="AP2322" s="7">
        <f t="shared" si="117"/>
        <v>0</v>
      </c>
      <c r="AQ2322" s="31" t="str">
        <f t="shared" si="118"/>
        <v>Complete - With Adjustment</v>
      </c>
    </row>
    <row r="2323" spans="1:43" x14ac:dyDescent="0.2">
      <c r="A2323" s="46">
        <v>2313</v>
      </c>
      <c r="B2323" s="38" t="s">
        <v>266</v>
      </c>
      <c r="C2323" s="38" t="s">
        <v>652</v>
      </c>
      <c r="D2323" s="38" t="s">
        <v>651</v>
      </c>
      <c r="E2323" s="38" t="s">
        <v>5617</v>
      </c>
      <c r="F2323" s="38" t="s">
        <v>5369</v>
      </c>
      <c r="G2323" s="38" t="s">
        <v>111</v>
      </c>
      <c r="H2323" s="44">
        <v>44105</v>
      </c>
      <c r="I2323" s="44">
        <v>44109</v>
      </c>
      <c r="J2323">
        <v>80</v>
      </c>
      <c r="K2323">
        <v>80</v>
      </c>
      <c r="L2323" t="s">
        <v>5618</v>
      </c>
      <c r="M2323" s="45" t="s">
        <v>98</v>
      </c>
      <c r="N2323" s="38" t="s">
        <v>230</v>
      </c>
      <c r="O2323" s="38" t="s">
        <v>277</v>
      </c>
      <c r="P2323" s="38" t="s">
        <v>60</v>
      </c>
      <c r="Q2323" s="38" t="s">
        <v>56</v>
      </c>
      <c r="R2323" s="38" t="s">
        <v>270</v>
      </c>
      <c r="S2323" s="38" t="s">
        <v>5619</v>
      </c>
      <c r="T2323" s="38" t="s">
        <v>5620</v>
      </c>
      <c r="U2323" s="38"/>
      <c r="V2323" s="38"/>
      <c r="W2323" s="38"/>
      <c r="X2323" s="14"/>
      <c r="AN2323" s="7" t="s">
        <v>70</v>
      </c>
      <c r="AO2323" s="21">
        <f t="shared" si="116"/>
        <v>0</v>
      </c>
      <c r="AP2323" s="7">
        <f t="shared" si="117"/>
        <v>80</v>
      </c>
      <c r="AQ2323" s="31" t="str">
        <f t="shared" si="118"/>
        <v>Complete - No Adjustment</v>
      </c>
    </row>
    <row r="2324" spans="1:43" x14ac:dyDescent="0.2">
      <c r="A2324" s="46">
        <v>2314</v>
      </c>
      <c r="B2324" s="38" t="s">
        <v>266</v>
      </c>
      <c r="C2324" s="38" t="s">
        <v>401</v>
      </c>
      <c r="D2324" s="38" t="s">
        <v>400</v>
      </c>
      <c r="E2324" s="38" t="s">
        <v>5343</v>
      </c>
      <c r="F2324" s="38" t="s">
        <v>5344</v>
      </c>
      <c r="G2324" s="38" t="s">
        <v>111</v>
      </c>
      <c r="H2324" s="44">
        <v>44130</v>
      </c>
      <c r="I2324" s="44">
        <v>44132</v>
      </c>
      <c r="J2324">
        <v>240</v>
      </c>
      <c r="K2324">
        <v>240</v>
      </c>
      <c r="L2324"/>
      <c r="M2324" s="45" t="s">
        <v>97</v>
      </c>
      <c r="N2324" s="38" t="s">
        <v>230</v>
      </c>
      <c r="O2324" s="38" t="s">
        <v>402</v>
      </c>
      <c r="P2324" s="38" t="s">
        <v>42</v>
      </c>
      <c r="Q2324" s="38" t="s">
        <v>403</v>
      </c>
      <c r="R2324" s="38" t="s">
        <v>270</v>
      </c>
      <c r="S2324" s="38" t="s">
        <v>5345</v>
      </c>
      <c r="T2324" s="38" t="s">
        <v>5346</v>
      </c>
      <c r="U2324" s="38"/>
      <c r="V2324" s="38"/>
      <c r="W2324" s="38"/>
      <c r="X2324" s="14"/>
      <c r="AL2324" s="14">
        <v>240</v>
      </c>
      <c r="AO2324" s="21">
        <f t="shared" si="116"/>
        <v>240</v>
      </c>
      <c r="AP2324" s="7">
        <f t="shared" si="117"/>
        <v>0</v>
      </c>
      <c r="AQ2324" s="31" t="str">
        <f t="shared" si="118"/>
        <v>Complete - With Adjustment</v>
      </c>
    </row>
    <row r="2325" spans="1:43" x14ac:dyDescent="0.2">
      <c r="A2325" s="46">
        <v>2315</v>
      </c>
      <c r="B2325" s="38" t="s">
        <v>266</v>
      </c>
      <c r="C2325" s="38" t="s">
        <v>401</v>
      </c>
      <c r="D2325" s="38" t="s">
        <v>400</v>
      </c>
      <c r="E2325" s="38" t="s">
        <v>5347</v>
      </c>
      <c r="F2325" s="38" t="s">
        <v>5348</v>
      </c>
      <c r="G2325" s="38" t="s">
        <v>111</v>
      </c>
      <c r="H2325" s="44">
        <v>44104</v>
      </c>
      <c r="I2325" s="44">
        <v>44106</v>
      </c>
      <c r="J2325">
        <v>457.54</v>
      </c>
      <c r="K2325">
        <v>457.54</v>
      </c>
      <c r="L2325"/>
      <c r="M2325" s="45" t="s">
        <v>98</v>
      </c>
      <c r="N2325" s="38" t="s">
        <v>230</v>
      </c>
      <c r="O2325" s="38" t="s">
        <v>277</v>
      </c>
      <c r="P2325" s="38" t="s">
        <v>60</v>
      </c>
      <c r="Q2325" s="38" t="s">
        <v>62</v>
      </c>
      <c r="R2325" s="38" t="s">
        <v>270</v>
      </c>
      <c r="S2325" s="38" t="s">
        <v>5349</v>
      </c>
      <c r="T2325" s="38" t="s">
        <v>5350</v>
      </c>
      <c r="U2325" s="38"/>
      <c r="V2325" s="38"/>
      <c r="W2325" s="38"/>
      <c r="X2325" s="14"/>
      <c r="AL2325" s="14">
        <v>457.54</v>
      </c>
      <c r="AN2325" s="7" t="s">
        <v>155</v>
      </c>
      <c r="AO2325" s="21">
        <f t="shared" si="116"/>
        <v>457.54</v>
      </c>
      <c r="AP2325" s="7">
        <f t="shared" si="117"/>
        <v>0</v>
      </c>
      <c r="AQ2325" s="31" t="str">
        <f t="shared" si="118"/>
        <v>Complete - With Adjustment</v>
      </c>
    </row>
    <row r="2326" spans="1:43" x14ac:dyDescent="0.2">
      <c r="A2326" s="46">
        <v>2316</v>
      </c>
      <c r="B2326" s="38" t="s">
        <v>266</v>
      </c>
      <c r="C2326" s="38" t="s">
        <v>401</v>
      </c>
      <c r="D2326" s="38" t="s">
        <v>400</v>
      </c>
      <c r="E2326" s="38" t="s">
        <v>5351</v>
      </c>
      <c r="F2326" s="38" t="s">
        <v>5352</v>
      </c>
      <c r="G2326" s="38" t="s">
        <v>111</v>
      </c>
      <c r="H2326" s="44">
        <v>44116</v>
      </c>
      <c r="I2326" s="44">
        <v>44119</v>
      </c>
      <c r="J2326">
        <v>3350</v>
      </c>
      <c r="K2326">
        <v>3350</v>
      </c>
      <c r="L2326"/>
      <c r="M2326" s="45" t="s">
        <v>97</v>
      </c>
      <c r="N2326" s="38" t="s">
        <v>230</v>
      </c>
      <c r="O2326" s="38" t="s">
        <v>402</v>
      </c>
      <c r="P2326" s="38" t="s">
        <v>42</v>
      </c>
      <c r="Q2326" s="38" t="s">
        <v>403</v>
      </c>
      <c r="R2326" s="38" t="s">
        <v>270</v>
      </c>
      <c r="S2326" s="38" t="s">
        <v>5353</v>
      </c>
      <c r="T2326" s="38" t="s">
        <v>5354</v>
      </c>
      <c r="U2326" s="38"/>
      <c r="V2326" s="38"/>
      <c r="W2326" s="38"/>
      <c r="X2326" s="14"/>
      <c r="AL2326" s="14">
        <v>3350</v>
      </c>
      <c r="AO2326" s="21">
        <f t="shared" si="116"/>
        <v>3350</v>
      </c>
      <c r="AP2326" s="7">
        <f t="shared" si="117"/>
        <v>0</v>
      </c>
      <c r="AQ2326" s="31" t="str">
        <f t="shared" si="118"/>
        <v>Complete - With Adjustment</v>
      </c>
    </row>
    <row r="2327" spans="1:43" x14ac:dyDescent="0.2">
      <c r="A2327" s="46">
        <v>2317</v>
      </c>
      <c r="B2327" s="38" t="s">
        <v>266</v>
      </c>
      <c r="C2327" s="38" t="s">
        <v>822</v>
      </c>
      <c r="D2327" s="38" t="s">
        <v>823</v>
      </c>
      <c r="E2327" s="38" t="s">
        <v>5621</v>
      </c>
      <c r="F2327" s="38" t="s">
        <v>5431</v>
      </c>
      <c r="G2327" s="38" t="s">
        <v>111</v>
      </c>
      <c r="H2327" s="44">
        <v>44104</v>
      </c>
      <c r="I2327" s="44">
        <v>44110</v>
      </c>
      <c r="J2327">
        <v>247.51</v>
      </c>
      <c r="K2327">
        <v>56.54</v>
      </c>
      <c r="L2327" t="s">
        <v>5622</v>
      </c>
      <c r="M2327" s="45" t="s">
        <v>97</v>
      </c>
      <c r="N2327" s="38" t="s">
        <v>230</v>
      </c>
      <c r="O2327" s="38" t="s">
        <v>386</v>
      </c>
      <c r="P2327" s="38" t="s">
        <v>42</v>
      </c>
      <c r="Q2327" s="38" t="s">
        <v>55</v>
      </c>
      <c r="R2327" s="38" t="s">
        <v>270</v>
      </c>
      <c r="S2327" s="38" t="s">
        <v>5623</v>
      </c>
      <c r="T2327" s="38" t="s">
        <v>5624</v>
      </c>
      <c r="U2327" s="38"/>
      <c r="V2327" s="38"/>
      <c r="W2327" s="38"/>
      <c r="X2327" s="14"/>
      <c r="AI2327" s="53">
        <f>56.54</f>
        <v>56.54</v>
      </c>
      <c r="AN2327" s="7" t="s">
        <v>145</v>
      </c>
      <c r="AO2327" s="21">
        <f t="shared" si="116"/>
        <v>56.54</v>
      </c>
      <c r="AP2327" s="7">
        <f t="shared" si="117"/>
        <v>0</v>
      </c>
      <c r="AQ2327" s="31" t="str">
        <f t="shared" si="118"/>
        <v>Complete - With Adjustment</v>
      </c>
    </row>
    <row r="2328" spans="1:43" x14ac:dyDescent="0.2">
      <c r="A2328" s="46">
        <v>2318</v>
      </c>
      <c r="B2328" s="38" t="s">
        <v>266</v>
      </c>
      <c r="C2328" s="38" t="s">
        <v>822</v>
      </c>
      <c r="D2328" s="38" t="s">
        <v>823</v>
      </c>
      <c r="E2328" s="38" t="s">
        <v>5621</v>
      </c>
      <c r="F2328" s="38" t="s">
        <v>5431</v>
      </c>
      <c r="G2328" s="38" t="s">
        <v>111</v>
      </c>
      <c r="H2328" s="44">
        <v>44104</v>
      </c>
      <c r="I2328" s="44">
        <v>44110</v>
      </c>
      <c r="J2328">
        <v>247.51</v>
      </c>
      <c r="K2328">
        <v>35.520000000000003</v>
      </c>
      <c r="L2328" t="s">
        <v>5622</v>
      </c>
      <c r="M2328" s="45" t="s">
        <v>97</v>
      </c>
      <c r="N2328" s="38" t="s">
        <v>230</v>
      </c>
      <c r="O2328" s="38" t="s">
        <v>386</v>
      </c>
      <c r="P2328" s="38" t="s">
        <v>42</v>
      </c>
      <c r="Q2328" s="38" t="s">
        <v>55</v>
      </c>
      <c r="R2328" s="38" t="s">
        <v>270</v>
      </c>
      <c r="S2328" s="38" t="s">
        <v>5623</v>
      </c>
      <c r="T2328" s="38" t="s">
        <v>5624</v>
      </c>
      <c r="U2328" s="38"/>
      <c r="V2328" s="38"/>
      <c r="W2328" s="38"/>
      <c r="X2328" s="14"/>
      <c r="AI2328" s="53">
        <f>35.52</f>
        <v>35.520000000000003</v>
      </c>
      <c r="AN2328" s="7" t="s">
        <v>145</v>
      </c>
      <c r="AO2328" s="21">
        <f t="shared" si="116"/>
        <v>35.520000000000003</v>
      </c>
      <c r="AP2328" s="7">
        <f t="shared" si="117"/>
        <v>0</v>
      </c>
      <c r="AQ2328" s="31" t="str">
        <f t="shared" si="118"/>
        <v>Complete - With Adjustment</v>
      </c>
    </row>
    <row r="2329" spans="1:43" x14ac:dyDescent="0.2">
      <c r="A2329" s="46">
        <v>2319</v>
      </c>
      <c r="B2329" s="38" t="s">
        <v>266</v>
      </c>
      <c r="C2329" s="38" t="s">
        <v>822</v>
      </c>
      <c r="D2329" s="38" t="s">
        <v>823</v>
      </c>
      <c r="E2329" s="38" t="s">
        <v>5621</v>
      </c>
      <c r="F2329" s="38" t="s">
        <v>5431</v>
      </c>
      <c r="G2329" s="38" t="s">
        <v>111</v>
      </c>
      <c r="H2329" s="44">
        <v>44104</v>
      </c>
      <c r="I2329" s="44">
        <v>44110</v>
      </c>
      <c r="J2329">
        <v>247.51</v>
      </c>
      <c r="K2329">
        <v>33.92</v>
      </c>
      <c r="L2329" t="s">
        <v>5622</v>
      </c>
      <c r="M2329" s="45" t="s">
        <v>97</v>
      </c>
      <c r="N2329" s="38" t="s">
        <v>230</v>
      </c>
      <c r="O2329" s="38" t="s">
        <v>386</v>
      </c>
      <c r="P2329" s="38" t="s">
        <v>42</v>
      </c>
      <c r="Q2329" s="38" t="s">
        <v>55</v>
      </c>
      <c r="R2329" s="38" t="s">
        <v>270</v>
      </c>
      <c r="S2329" s="38" t="s">
        <v>5623</v>
      </c>
      <c r="T2329" s="38" t="s">
        <v>5624</v>
      </c>
      <c r="U2329" s="38"/>
      <c r="V2329" s="38"/>
      <c r="W2329" s="38"/>
      <c r="X2329" s="14"/>
      <c r="AI2329" s="53">
        <f>33.92</f>
        <v>33.92</v>
      </c>
      <c r="AN2329" s="7" t="s">
        <v>145</v>
      </c>
      <c r="AO2329" s="21">
        <f t="shared" si="116"/>
        <v>33.92</v>
      </c>
      <c r="AP2329" s="7">
        <f t="shared" si="117"/>
        <v>0</v>
      </c>
      <c r="AQ2329" s="31" t="str">
        <f t="shared" si="118"/>
        <v>Complete - With Adjustment</v>
      </c>
    </row>
    <row r="2330" spans="1:43" x14ac:dyDescent="0.2">
      <c r="A2330" s="46">
        <v>2320</v>
      </c>
      <c r="B2330" s="38" t="s">
        <v>266</v>
      </c>
      <c r="C2330" s="38" t="s">
        <v>822</v>
      </c>
      <c r="D2330" s="38" t="s">
        <v>823</v>
      </c>
      <c r="E2330" s="38" t="s">
        <v>5621</v>
      </c>
      <c r="F2330" s="38" t="s">
        <v>5431</v>
      </c>
      <c r="G2330" s="38" t="s">
        <v>111</v>
      </c>
      <c r="H2330" s="44">
        <v>44104</v>
      </c>
      <c r="I2330" s="44">
        <v>44110</v>
      </c>
      <c r="J2330">
        <v>247.51</v>
      </c>
      <c r="K2330">
        <v>31</v>
      </c>
      <c r="L2330" t="s">
        <v>5622</v>
      </c>
      <c r="M2330" s="45" t="s">
        <v>97</v>
      </c>
      <c r="N2330" s="38" t="s">
        <v>230</v>
      </c>
      <c r="O2330" s="38" t="s">
        <v>386</v>
      </c>
      <c r="P2330" s="38" t="s">
        <v>42</v>
      </c>
      <c r="Q2330" s="38" t="s">
        <v>55</v>
      </c>
      <c r="R2330" s="38" t="s">
        <v>270</v>
      </c>
      <c r="S2330" s="38" t="s">
        <v>5623</v>
      </c>
      <c r="T2330" s="38" t="s">
        <v>5624</v>
      </c>
      <c r="U2330" s="38"/>
      <c r="V2330" s="38"/>
      <c r="W2330" s="38"/>
      <c r="X2330" s="14"/>
      <c r="AI2330" s="53">
        <f>31</f>
        <v>31</v>
      </c>
      <c r="AN2330" s="7" t="s">
        <v>145</v>
      </c>
      <c r="AO2330" s="21">
        <f t="shared" si="116"/>
        <v>31</v>
      </c>
      <c r="AP2330" s="7">
        <f t="shared" si="117"/>
        <v>0</v>
      </c>
      <c r="AQ2330" s="31" t="str">
        <f t="shared" si="118"/>
        <v>Complete - With Adjustment</v>
      </c>
    </row>
    <row r="2331" spans="1:43" x14ac:dyDescent="0.2">
      <c r="A2331" s="46">
        <v>2321</v>
      </c>
      <c r="B2331" s="38" t="s">
        <v>266</v>
      </c>
      <c r="C2331" s="38" t="s">
        <v>822</v>
      </c>
      <c r="D2331" s="38" t="s">
        <v>823</v>
      </c>
      <c r="E2331" s="38" t="s">
        <v>5621</v>
      </c>
      <c r="F2331" s="38" t="s">
        <v>5431</v>
      </c>
      <c r="G2331" s="38" t="s">
        <v>111</v>
      </c>
      <c r="H2331" s="44">
        <v>44104</v>
      </c>
      <c r="I2331" s="44">
        <v>44110</v>
      </c>
      <c r="J2331">
        <v>247.51</v>
      </c>
      <c r="K2331">
        <v>26.18</v>
      </c>
      <c r="L2331" t="s">
        <v>5622</v>
      </c>
      <c r="M2331" s="45" t="s">
        <v>97</v>
      </c>
      <c r="N2331" s="38" t="s">
        <v>230</v>
      </c>
      <c r="O2331" s="38" t="s">
        <v>386</v>
      </c>
      <c r="P2331" s="38" t="s">
        <v>42</v>
      </c>
      <c r="Q2331" s="38" t="s">
        <v>55</v>
      </c>
      <c r="R2331" s="38" t="s">
        <v>270</v>
      </c>
      <c r="S2331" s="38" t="s">
        <v>5623</v>
      </c>
      <c r="T2331" s="38" t="s">
        <v>5624</v>
      </c>
      <c r="U2331" s="38"/>
      <c r="V2331" s="38"/>
      <c r="W2331" s="38"/>
      <c r="X2331" s="14"/>
      <c r="AI2331" s="53">
        <f>26.18</f>
        <v>26.18</v>
      </c>
      <c r="AN2331" s="7" t="s">
        <v>145</v>
      </c>
      <c r="AO2331" s="21">
        <f t="shared" si="116"/>
        <v>26.18</v>
      </c>
      <c r="AP2331" s="7">
        <f t="shared" si="117"/>
        <v>0</v>
      </c>
      <c r="AQ2331" s="31" t="str">
        <f t="shared" si="118"/>
        <v>Complete - With Adjustment</v>
      </c>
    </row>
    <row r="2332" spans="1:43" x14ac:dyDescent="0.2">
      <c r="A2332" s="46">
        <v>2322</v>
      </c>
      <c r="B2332" s="38" t="s">
        <v>266</v>
      </c>
      <c r="C2332" s="38" t="s">
        <v>822</v>
      </c>
      <c r="D2332" s="38" t="s">
        <v>823</v>
      </c>
      <c r="E2332" s="38" t="s">
        <v>5621</v>
      </c>
      <c r="F2332" s="38" t="s">
        <v>5431</v>
      </c>
      <c r="G2332" s="38" t="s">
        <v>111</v>
      </c>
      <c r="H2332" s="44">
        <v>44104</v>
      </c>
      <c r="I2332" s="44">
        <v>44110</v>
      </c>
      <c r="J2332">
        <v>247.51</v>
      </c>
      <c r="K2332">
        <v>27.9</v>
      </c>
      <c r="L2332" t="s">
        <v>5622</v>
      </c>
      <c r="M2332" s="45" t="s">
        <v>97</v>
      </c>
      <c r="N2332" s="38" t="s">
        <v>230</v>
      </c>
      <c r="O2332" s="38" t="s">
        <v>386</v>
      </c>
      <c r="P2332" s="38" t="s">
        <v>42</v>
      </c>
      <c r="Q2332" s="38" t="s">
        <v>55</v>
      </c>
      <c r="R2332" s="38" t="s">
        <v>270</v>
      </c>
      <c r="S2332" s="38" t="s">
        <v>5623</v>
      </c>
      <c r="T2332" s="38" t="s">
        <v>5624</v>
      </c>
      <c r="U2332" s="38"/>
      <c r="V2332" s="38"/>
      <c r="W2332" s="38"/>
      <c r="X2332" s="14"/>
      <c r="AI2332" s="53">
        <f>27.9</f>
        <v>27.9</v>
      </c>
      <c r="AN2332" s="7" t="s">
        <v>145</v>
      </c>
      <c r="AO2332" s="21">
        <f t="shared" si="116"/>
        <v>27.9</v>
      </c>
      <c r="AP2332" s="7">
        <f t="shared" si="117"/>
        <v>0</v>
      </c>
      <c r="AQ2332" s="31" t="str">
        <f t="shared" si="118"/>
        <v>Complete - With Adjustment</v>
      </c>
    </row>
    <row r="2333" spans="1:43" x14ac:dyDescent="0.2">
      <c r="A2333" s="46">
        <v>2323</v>
      </c>
      <c r="B2333" s="38" t="s">
        <v>266</v>
      </c>
      <c r="C2333" s="38" t="s">
        <v>822</v>
      </c>
      <c r="D2333" s="38" t="s">
        <v>823</v>
      </c>
      <c r="E2333" s="38" t="s">
        <v>5621</v>
      </c>
      <c r="F2333" s="38" t="s">
        <v>5431</v>
      </c>
      <c r="G2333" s="38" t="s">
        <v>111</v>
      </c>
      <c r="H2333" s="44">
        <v>44104</v>
      </c>
      <c r="I2333" s="44">
        <v>44110</v>
      </c>
      <c r="J2333">
        <v>247.51</v>
      </c>
      <c r="K2333">
        <v>36.450000000000003</v>
      </c>
      <c r="L2333" t="s">
        <v>5622</v>
      </c>
      <c r="M2333" s="45" t="s">
        <v>97</v>
      </c>
      <c r="N2333" s="38" t="s">
        <v>230</v>
      </c>
      <c r="O2333" s="38" t="s">
        <v>386</v>
      </c>
      <c r="P2333" s="38" t="s">
        <v>42</v>
      </c>
      <c r="Q2333" s="38" t="s">
        <v>55</v>
      </c>
      <c r="R2333" s="38" t="s">
        <v>270</v>
      </c>
      <c r="S2333" s="38" t="s">
        <v>5623</v>
      </c>
      <c r="T2333" s="38" t="s">
        <v>5624</v>
      </c>
      <c r="U2333" s="38"/>
      <c r="V2333" s="38"/>
      <c r="W2333" s="38"/>
      <c r="X2333" s="14"/>
      <c r="AI2333" s="53">
        <f>36.45</f>
        <v>36.450000000000003</v>
      </c>
      <c r="AN2333" s="7" t="s">
        <v>145</v>
      </c>
      <c r="AO2333" s="21">
        <f t="shared" si="116"/>
        <v>36.450000000000003</v>
      </c>
      <c r="AP2333" s="7">
        <f t="shared" si="117"/>
        <v>0</v>
      </c>
      <c r="AQ2333" s="31" t="str">
        <f t="shared" si="118"/>
        <v>Complete - With Adjustment</v>
      </c>
    </row>
    <row r="2334" spans="1:43" x14ac:dyDescent="0.2">
      <c r="A2334" s="46">
        <v>2324</v>
      </c>
      <c r="B2334" s="38" t="s">
        <v>266</v>
      </c>
      <c r="C2334" s="38" t="s">
        <v>701</v>
      </c>
      <c r="D2334" s="38" t="s">
        <v>840</v>
      </c>
      <c r="E2334" s="38" t="s">
        <v>5625</v>
      </c>
      <c r="F2334" s="38" t="s">
        <v>5374</v>
      </c>
      <c r="G2334" s="38" t="s">
        <v>111</v>
      </c>
      <c r="H2334" s="44">
        <v>44106</v>
      </c>
      <c r="I2334" s="44">
        <v>44118</v>
      </c>
      <c r="J2334">
        <v>46.67</v>
      </c>
      <c r="K2334">
        <v>5.39</v>
      </c>
      <c r="L2334" t="s">
        <v>5626</v>
      </c>
      <c r="M2334" s="45" t="s">
        <v>98</v>
      </c>
      <c r="N2334" s="38" t="s">
        <v>230</v>
      </c>
      <c r="O2334" s="38" t="s">
        <v>289</v>
      </c>
      <c r="P2334" s="38" t="s">
        <v>60</v>
      </c>
      <c r="Q2334" s="38" t="s">
        <v>74</v>
      </c>
      <c r="R2334" s="38" t="s">
        <v>270</v>
      </c>
      <c r="S2334" s="38" t="s">
        <v>5627</v>
      </c>
      <c r="T2334" s="38" t="s">
        <v>5628</v>
      </c>
      <c r="U2334" s="38"/>
      <c r="V2334" s="38"/>
      <c r="W2334" s="38"/>
      <c r="X2334" s="14"/>
      <c r="AN2334" s="7" t="s">
        <v>70</v>
      </c>
      <c r="AO2334" s="21">
        <f t="shared" si="116"/>
        <v>0</v>
      </c>
      <c r="AP2334" s="7">
        <f t="shared" si="117"/>
        <v>5.39</v>
      </c>
      <c r="AQ2334" s="31" t="str">
        <f t="shared" si="118"/>
        <v>Complete - No Adjustment</v>
      </c>
    </row>
    <row r="2335" spans="1:43" x14ac:dyDescent="0.2">
      <c r="A2335" s="46">
        <v>2325</v>
      </c>
      <c r="B2335" s="38" t="s">
        <v>266</v>
      </c>
      <c r="C2335" s="38" t="s">
        <v>701</v>
      </c>
      <c r="D2335" s="38" t="s">
        <v>840</v>
      </c>
      <c r="E2335" s="38" t="s">
        <v>5625</v>
      </c>
      <c r="F2335" s="38" t="s">
        <v>5374</v>
      </c>
      <c r="G2335" s="38" t="s">
        <v>111</v>
      </c>
      <c r="H2335" s="44">
        <v>44106</v>
      </c>
      <c r="I2335" s="44">
        <v>44118</v>
      </c>
      <c r="J2335">
        <v>46.67</v>
      </c>
      <c r="K2335">
        <v>5.59</v>
      </c>
      <c r="L2335" t="s">
        <v>5626</v>
      </c>
      <c r="M2335" s="45" t="s">
        <v>98</v>
      </c>
      <c r="N2335" s="38" t="s">
        <v>230</v>
      </c>
      <c r="O2335" s="38" t="s">
        <v>289</v>
      </c>
      <c r="P2335" s="38" t="s">
        <v>60</v>
      </c>
      <c r="Q2335" s="38" t="s">
        <v>74</v>
      </c>
      <c r="R2335" s="38" t="s">
        <v>270</v>
      </c>
      <c r="S2335" s="38" t="s">
        <v>5627</v>
      </c>
      <c r="T2335" s="38" t="s">
        <v>5629</v>
      </c>
      <c r="U2335" s="38"/>
      <c r="V2335" s="38"/>
      <c r="W2335" s="38"/>
      <c r="X2335" s="14"/>
      <c r="AN2335" s="7" t="s">
        <v>70</v>
      </c>
      <c r="AO2335" s="21">
        <f t="shared" si="116"/>
        <v>0</v>
      </c>
      <c r="AP2335" s="7">
        <f t="shared" si="117"/>
        <v>5.59</v>
      </c>
      <c r="AQ2335" s="31" t="str">
        <f t="shared" si="118"/>
        <v>Complete - No Adjustment</v>
      </c>
    </row>
    <row r="2336" spans="1:43" x14ac:dyDescent="0.2">
      <c r="A2336" s="46">
        <v>2326</v>
      </c>
      <c r="B2336" s="38" t="s">
        <v>266</v>
      </c>
      <c r="C2336" s="38" t="s">
        <v>701</v>
      </c>
      <c r="D2336" s="38" t="s">
        <v>840</v>
      </c>
      <c r="E2336" s="38" t="s">
        <v>5625</v>
      </c>
      <c r="F2336" s="38" t="s">
        <v>5374</v>
      </c>
      <c r="G2336" s="38" t="s">
        <v>111</v>
      </c>
      <c r="H2336" s="44">
        <v>44106</v>
      </c>
      <c r="I2336" s="44">
        <v>44118</v>
      </c>
      <c r="J2336">
        <v>46.67</v>
      </c>
      <c r="K2336">
        <v>5.79</v>
      </c>
      <c r="L2336" t="s">
        <v>5626</v>
      </c>
      <c r="M2336" s="45" t="s">
        <v>98</v>
      </c>
      <c r="N2336" s="38" t="s">
        <v>230</v>
      </c>
      <c r="O2336" s="38" t="s">
        <v>289</v>
      </c>
      <c r="P2336" s="38" t="s">
        <v>60</v>
      </c>
      <c r="Q2336" s="38" t="s">
        <v>74</v>
      </c>
      <c r="R2336" s="38" t="s">
        <v>270</v>
      </c>
      <c r="S2336" s="38" t="s">
        <v>5627</v>
      </c>
      <c r="T2336" s="38" t="s">
        <v>5630</v>
      </c>
      <c r="U2336" s="38"/>
      <c r="V2336" s="38"/>
      <c r="W2336" s="38"/>
      <c r="X2336" s="14"/>
      <c r="AN2336" s="7" t="s">
        <v>70</v>
      </c>
      <c r="AO2336" s="21">
        <f t="shared" si="116"/>
        <v>0</v>
      </c>
      <c r="AP2336" s="7">
        <f t="shared" si="117"/>
        <v>5.79</v>
      </c>
      <c r="AQ2336" s="31" t="str">
        <f t="shared" si="118"/>
        <v>Complete - No Adjustment</v>
      </c>
    </row>
    <row r="2337" spans="1:43" x14ac:dyDescent="0.2">
      <c r="A2337" s="46">
        <v>2327</v>
      </c>
      <c r="B2337" s="38" t="s">
        <v>266</v>
      </c>
      <c r="C2337" s="38" t="s">
        <v>701</v>
      </c>
      <c r="D2337" s="38" t="s">
        <v>840</v>
      </c>
      <c r="E2337" s="38" t="s">
        <v>5625</v>
      </c>
      <c r="F2337" s="38" t="s">
        <v>5374</v>
      </c>
      <c r="G2337" s="38" t="s">
        <v>111</v>
      </c>
      <c r="H2337" s="44">
        <v>44106</v>
      </c>
      <c r="I2337" s="44">
        <v>44118</v>
      </c>
      <c r="J2337">
        <v>46.67</v>
      </c>
      <c r="K2337">
        <v>7.75</v>
      </c>
      <c r="L2337" t="s">
        <v>5626</v>
      </c>
      <c r="M2337" s="45" t="s">
        <v>98</v>
      </c>
      <c r="N2337" s="38" t="s">
        <v>230</v>
      </c>
      <c r="O2337" s="38" t="s">
        <v>289</v>
      </c>
      <c r="P2337" s="38" t="s">
        <v>60</v>
      </c>
      <c r="Q2337" s="38" t="s">
        <v>74</v>
      </c>
      <c r="R2337" s="38" t="s">
        <v>270</v>
      </c>
      <c r="S2337" s="38" t="s">
        <v>5627</v>
      </c>
      <c r="T2337" s="38" t="s">
        <v>5631</v>
      </c>
      <c r="U2337" s="38"/>
      <c r="V2337" s="38"/>
      <c r="W2337" s="38"/>
      <c r="X2337" s="14"/>
      <c r="AN2337" s="7" t="s">
        <v>70</v>
      </c>
      <c r="AO2337" s="21">
        <f t="shared" si="116"/>
        <v>0</v>
      </c>
      <c r="AP2337" s="7">
        <f t="shared" si="117"/>
        <v>7.75</v>
      </c>
      <c r="AQ2337" s="31" t="str">
        <f t="shared" si="118"/>
        <v>Complete - No Adjustment</v>
      </c>
    </row>
    <row r="2338" spans="1:43" x14ac:dyDescent="0.2">
      <c r="A2338" s="46">
        <v>2328</v>
      </c>
      <c r="B2338" s="38" t="s">
        <v>266</v>
      </c>
      <c r="C2338" s="38" t="s">
        <v>701</v>
      </c>
      <c r="D2338" s="38" t="s">
        <v>840</v>
      </c>
      <c r="E2338" s="38" t="s">
        <v>5625</v>
      </c>
      <c r="F2338" s="38" t="s">
        <v>5374</v>
      </c>
      <c r="G2338" s="38" t="s">
        <v>111</v>
      </c>
      <c r="H2338" s="44">
        <v>44106</v>
      </c>
      <c r="I2338" s="44">
        <v>44118</v>
      </c>
      <c r="J2338">
        <v>46.67</v>
      </c>
      <c r="K2338">
        <v>22.15</v>
      </c>
      <c r="L2338" t="s">
        <v>5626</v>
      </c>
      <c r="M2338" s="45" t="s">
        <v>98</v>
      </c>
      <c r="N2338" s="38" t="s">
        <v>230</v>
      </c>
      <c r="O2338" s="38" t="s">
        <v>289</v>
      </c>
      <c r="P2338" s="38" t="s">
        <v>60</v>
      </c>
      <c r="Q2338" s="38" t="s">
        <v>74</v>
      </c>
      <c r="R2338" s="38" t="s">
        <v>270</v>
      </c>
      <c r="S2338" s="38" t="s">
        <v>5627</v>
      </c>
      <c r="T2338" s="38" t="s">
        <v>5632</v>
      </c>
      <c r="U2338" s="38"/>
      <c r="V2338" s="38"/>
      <c r="W2338" s="38"/>
      <c r="X2338" s="14"/>
      <c r="AN2338" s="7" t="s">
        <v>70</v>
      </c>
      <c r="AO2338" s="21">
        <f t="shared" si="116"/>
        <v>0</v>
      </c>
      <c r="AP2338" s="7">
        <f t="shared" si="117"/>
        <v>22.15</v>
      </c>
      <c r="AQ2338" s="31" t="str">
        <f t="shared" si="118"/>
        <v>Complete - No Adjustment</v>
      </c>
    </row>
    <row r="2339" spans="1:43" x14ac:dyDescent="0.2">
      <c r="A2339" s="46">
        <v>2329</v>
      </c>
      <c r="B2339" s="38" t="s">
        <v>266</v>
      </c>
      <c r="C2339" s="38" t="s">
        <v>410</v>
      </c>
      <c r="D2339" s="38" t="s">
        <v>409</v>
      </c>
      <c r="E2339" s="38" t="s">
        <v>5633</v>
      </c>
      <c r="F2339" s="38" t="s">
        <v>5431</v>
      </c>
      <c r="G2339" s="38" t="s">
        <v>111</v>
      </c>
      <c r="H2339" s="44">
        <v>44105</v>
      </c>
      <c r="I2339" s="44">
        <v>44110</v>
      </c>
      <c r="J2339">
        <v>159.72</v>
      </c>
      <c r="K2339">
        <v>33.01</v>
      </c>
      <c r="L2339" t="s">
        <v>5634</v>
      </c>
      <c r="M2339" s="45" t="s">
        <v>98</v>
      </c>
      <c r="N2339" s="38" t="s">
        <v>230</v>
      </c>
      <c r="O2339" s="38" t="s">
        <v>292</v>
      </c>
      <c r="P2339" s="38" t="s">
        <v>60</v>
      </c>
      <c r="Q2339" s="38" t="s">
        <v>46</v>
      </c>
      <c r="R2339" s="38" t="s">
        <v>270</v>
      </c>
      <c r="S2339" s="38" t="s">
        <v>5635</v>
      </c>
      <c r="T2339" s="38" t="s">
        <v>5636</v>
      </c>
      <c r="U2339" s="38"/>
      <c r="V2339" s="38"/>
      <c r="W2339" s="38"/>
      <c r="X2339" s="14"/>
      <c r="AI2339" s="53">
        <f>33.01</f>
        <v>33.01</v>
      </c>
      <c r="AN2339" s="7" t="s">
        <v>145</v>
      </c>
      <c r="AO2339" s="21">
        <f t="shared" si="116"/>
        <v>33.01</v>
      </c>
      <c r="AP2339" s="7">
        <f t="shared" si="117"/>
        <v>0</v>
      </c>
      <c r="AQ2339" s="31" t="str">
        <f t="shared" si="118"/>
        <v>Complete - With Adjustment</v>
      </c>
    </row>
    <row r="2340" spans="1:43" x14ac:dyDescent="0.2">
      <c r="A2340" s="46">
        <v>2330</v>
      </c>
      <c r="B2340" s="38" t="s">
        <v>266</v>
      </c>
      <c r="C2340" s="38" t="s">
        <v>410</v>
      </c>
      <c r="D2340" s="38" t="s">
        <v>409</v>
      </c>
      <c r="E2340" s="38" t="s">
        <v>5633</v>
      </c>
      <c r="F2340" s="38" t="s">
        <v>5431</v>
      </c>
      <c r="G2340" s="38" t="s">
        <v>111</v>
      </c>
      <c r="H2340" s="44">
        <v>44105</v>
      </c>
      <c r="I2340" s="44">
        <v>44110</v>
      </c>
      <c r="J2340">
        <v>159.72</v>
      </c>
      <c r="K2340">
        <v>27.71</v>
      </c>
      <c r="L2340" t="s">
        <v>5634</v>
      </c>
      <c r="M2340" s="45" t="s">
        <v>98</v>
      </c>
      <c r="N2340" s="38" t="s">
        <v>230</v>
      </c>
      <c r="O2340" s="38" t="s">
        <v>292</v>
      </c>
      <c r="P2340" s="38" t="s">
        <v>60</v>
      </c>
      <c r="Q2340" s="38" t="s">
        <v>46</v>
      </c>
      <c r="R2340" s="38" t="s">
        <v>270</v>
      </c>
      <c r="S2340" s="38" t="s">
        <v>5635</v>
      </c>
      <c r="T2340" s="38" t="s">
        <v>5637</v>
      </c>
      <c r="U2340" s="38"/>
      <c r="V2340" s="38"/>
      <c r="W2340" s="38"/>
      <c r="X2340" s="14"/>
      <c r="AI2340" s="53">
        <f>27.71</f>
        <v>27.71</v>
      </c>
      <c r="AN2340" s="7" t="s">
        <v>145</v>
      </c>
      <c r="AO2340" s="21">
        <f t="shared" si="116"/>
        <v>27.71</v>
      </c>
      <c r="AP2340" s="7">
        <f t="shared" si="117"/>
        <v>0</v>
      </c>
      <c r="AQ2340" s="31" t="str">
        <f t="shared" si="118"/>
        <v>Complete - With Adjustment</v>
      </c>
    </row>
    <row r="2341" spans="1:43" x14ac:dyDescent="0.2">
      <c r="A2341" s="46">
        <v>2331</v>
      </c>
      <c r="B2341" s="38" t="s">
        <v>266</v>
      </c>
      <c r="C2341" s="38" t="s">
        <v>410</v>
      </c>
      <c r="D2341" s="38" t="s">
        <v>409</v>
      </c>
      <c r="E2341" s="38" t="s">
        <v>5633</v>
      </c>
      <c r="F2341" s="38" t="s">
        <v>5431</v>
      </c>
      <c r="G2341" s="38" t="s">
        <v>111</v>
      </c>
      <c r="H2341" s="44">
        <v>44105</v>
      </c>
      <c r="I2341" s="44">
        <v>44110</v>
      </c>
      <c r="J2341">
        <v>159.72</v>
      </c>
      <c r="K2341">
        <v>99</v>
      </c>
      <c r="L2341" t="s">
        <v>5634</v>
      </c>
      <c r="M2341" s="45" t="s">
        <v>98</v>
      </c>
      <c r="N2341" s="38" t="s">
        <v>230</v>
      </c>
      <c r="O2341" s="38" t="s">
        <v>292</v>
      </c>
      <c r="P2341" s="38" t="s">
        <v>60</v>
      </c>
      <c r="Q2341" s="38" t="s">
        <v>56</v>
      </c>
      <c r="R2341" s="38" t="s">
        <v>270</v>
      </c>
      <c r="S2341" s="38" t="s">
        <v>5635</v>
      </c>
      <c r="T2341" s="38" t="s">
        <v>5638</v>
      </c>
      <c r="U2341" s="38"/>
      <c r="V2341" s="38"/>
      <c r="W2341" s="38"/>
      <c r="X2341" s="14"/>
      <c r="AL2341" s="14">
        <f>99</f>
        <v>99</v>
      </c>
      <c r="AN2341" s="7" t="s">
        <v>146</v>
      </c>
      <c r="AO2341" s="21">
        <f t="shared" si="116"/>
        <v>99</v>
      </c>
      <c r="AP2341" s="7">
        <f t="shared" si="117"/>
        <v>0</v>
      </c>
      <c r="AQ2341" s="31" t="str">
        <f t="shared" si="118"/>
        <v>Complete - With Adjustment</v>
      </c>
    </row>
    <row r="2342" spans="1:43" x14ac:dyDescent="0.2">
      <c r="A2342" s="46">
        <v>2332</v>
      </c>
      <c r="B2342" s="38" t="s">
        <v>266</v>
      </c>
      <c r="C2342" s="38" t="s">
        <v>414</v>
      </c>
      <c r="D2342" s="38" t="s">
        <v>413</v>
      </c>
      <c r="E2342" s="38" t="s">
        <v>5639</v>
      </c>
      <c r="F2342" s="38" t="s">
        <v>5348</v>
      </c>
      <c r="G2342" s="38" t="s">
        <v>111</v>
      </c>
      <c r="H2342" s="44">
        <v>44089</v>
      </c>
      <c r="I2342" s="44">
        <v>44106</v>
      </c>
      <c r="J2342">
        <v>48.14</v>
      </c>
      <c r="K2342">
        <v>12.26</v>
      </c>
      <c r="L2342" t="s">
        <v>5640</v>
      </c>
      <c r="M2342" s="45" t="s">
        <v>98</v>
      </c>
      <c r="N2342" s="38" t="s">
        <v>230</v>
      </c>
      <c r="O2342" s="38" t="s">
        <v>317</v>
      </c>
      <c r="P2342" s="38" t="s">
        <v>60</v>
      </c>
      <c r="Q2342" s="38" t="s">
        <v>41</v>
      </c>
      <c r="R2342" s="38" t="s">
        <v>270</v>
      </c>
      <c r="S2342" s="38" t="s">
        <v>5641</v>
      </c>
      <c r="T2342" s="38" t="s">
        <v>5642</v>
      </c>
      <c r="U2342" s="38"/>
      <c r="V2342" s="38"/>
      <c r="W2342" s="38"/>
      <c r="X2342" s="14"/>
      <c r="AN2342" s="7" t="s">
        <v>155</v>
      </c>
      <c r="AO2342" s="21">
        <f t="shared" si="116"/>
        <v>0</v>
      </c>
      <c r="AP2342" s="7">
        <f t="shared" si="117"/>
        <v>12.26</v>
      </c>
      <c r="AQ2342" s="31" t="str">
        <f t="shared" si="118"/>
        <v>Complete - No Adjustment</v>
      </c>
    </row>
    <row r="2343" spans="1:43" x14ac:dyDescent="0.2">
      <c r="A2343" s="46">
        <v>2333</v>
      </c>
      <c r="B2343" s="38" t="s">
        <v>266</v>
      </c>
      <c r="C2343" s="38" t="s">
        <v>414</v>
      </c>
      <c r="D2343" s="38" t="s">
        <v>413</v>
      </c>
      <c r="E2343" s="38" t="s">
        <v>5639</v>
      </c>
      <c r="F2343" s="38" t="s">
        <v>5348</v>
      </c>
      <c r="G2343" s="38" t="s">
        <v>111</v>
      </c>
      <c r="H2343" s="44">
        <v>44089</v>
      </c>
      <c r="I2343" s="44">
        <v>44106</v>
      </c>
      <c r="J2343">
        <v>48.14</v>
      </c>
      <c r="K2343">
        <v>23.62</v>
      </c>
      <c r="L2343" t="s">
        <v>5640</v>
      </c>
      <c r="M2343" s="45" t="s">
        <v>98</v>
      </c>
      <c r="N2343" s="38" t="s">
        <v>230</v>
      </c>
      <c r="O2343" s="38" t="s">
        <v>317</v>
      </c>
      <c r="P2343" s="38" t="s">
        <v>60</v>
      </c>
      <c r="Q2343" s="38" t="s">
        <v>41</v>
      </c>
      <c r="R2343" s="38" t="s">
        <v>270</v>
      </c>
      <c r="S2343" s="38" t="s">
        <v>5641</v>
      </c>
      <c r="T2343" s="38" t="s">
        <v>5643</v>
      </c>
      <c r="U2343" s="38"/>
      <c r="V2343" s="38"/>
      <c r="W2343" s="38"/>
      <c r="X2343" s="14"/>
      <c r="AC2343" s="53">
        <f>(5.53-18.09*20%)</f>
        <v>1.9119999999999999</v>
      </c>
      <c r="AN2343" s="7" t="s">
        <v>5398</v>
      </c>
      <c r="AO2343" s="21">
        <f t="shared" si="116"/>
        <v>1.9119999999999999</v>
      </c>
      <c r="AP2343" s="7">
        <f t="shared" si="117"/>
        <v>21.708000000000002</v>
      </c>
      <c r="AQ2343" s="31" t="str">
        <f t="shared" si="118"/>
        <v>Complete - With Adjustment</v>
      </c>
    </row>
    <row r="2344" spans="1:43" x14ac:dyDescent="0.2">
      <c r="A2344" s="46">
        <v>2334</v>
      </c>
      <c r="B2344" s="38" t="s">
        <v>266</v>
      </c>
      <c r="C2344" s="38" t="s">
        <v>414</v>
      </c>
      <c r="D2344" s="38" t="s">
        <v>413</v>
      </c>
      <c r="E2344" s="38" t="s">
        <v>5639</v>
      </c>
      <c r="F2344" s="38" t="s">
        <v>5348</v>
      </c>
      <c r="G2344" s="38" t="s">
        <v>111</v>
      </c>
      <c r="H2344" s="44">
        <v>44089</v>
      </c>
      <c r="I2344" s="44">
        <v>44106</v>
      </c>
      <c r="J2344">
        <v>48.14</v>
      </c>
      <c r="K2344">
        <v>12.26</v>
      </c>
      <c r="L2344" t="s">
        <v>5640</v>
      </c>
      <c r="M2344" s="45" t="s">
        <v>98</v>
      </c>
      <c r="N2344" s="38" t="s">
        <v>230</v>
      </c>
      <c r="O2344" s="38" t="s">
        <v>317</v>
      </c>
      <c r="P2344" s="38" t="s">
        <v>60</v>
      </c>
      <c r="Q2344" s="38" t="s">
        <v>41</v>
      </c>
      <c r="R2344" s="38" t="s">
        <v>270</v>
      </c>
      <c r="S2344" s="38" t="s">
        <v>5641</v>
      </c>
      <c r="T2344" s="38" t="s">
        <v>5642</v>
      </c>
      <c r="U2344" s="38"/>
      <c r="V2344" s="38"/>
      <c r="W2344" s="38"/>
      <c r="X2344" s="14"/>
      <c r="AN2344" s="7" t="s">
        <v>155</v>
      </c>
      <c r="AO2344" s="21">
        <f t="shared" si="116"/>
        <v>0</v>
      </c>
      <c r="AP2344" s="7">
        <f t="shared" si="117"/>
        <v>12.26</v>
      </c>
      <c r="AQ2344" s="31" t="str">
        <f t="shared" si="118"/>
        <v>Complete - No Adjustment</v>
      </c>
    </row>
    <row r="2345" spans="1:43" x14ac:dyDescent="0.2">
      <c r="A2345" s="46">
        <v>2335</v>
      </c>
      <c r="B2345" s="38" t="s">
        <v>266</v>
      </c>
      <c r="C2345" s="38" t="s">
        <v>544</v>
      </c>
      <c r="D2345" s="38" t="s">
        <v>543</v>
      </c>
      <c r="E2345" s="38" t="s">
        <v>5644</v>
      </c>
      <c r="F2345" s="38" t="s">
        <v>5348</v>
      </c>
      <c r="G2345" s="38" t="s">
        <v>111</v>
      </c>
      <c r="H2345" s="44">
        <v>44104</v>
      </c>
      <c r="I2345" s="44">
        <v>44106</v>
      </c>
      <c r="J2345">
        <v>206.98</v>
      </c>
      <c r="K2345">
        <v>124.37</v>
      </c>
      <c r="L2345" t="s">
        <v>5645</v>
      </c>
      <c r="M2345" s="45" t="s">
        <v>98</v>
      </c>
      <c r="N2345" s="38" t="s">
        <v>230</v>
      </c>
      <c r="O2345" s="38" t="s">
        <v>545</v>
      </c>
      <c r="P2345" s="38" t="s">
        <v>60</v>
      </c>
      <c r="Q2345" s="38" t="s">
        <v>41</v>
      </c>
      <c r="R2345" s="38" t="s">
        <v>270</v>
      </c>
      <c r="S2345" s="38" t="s">
        <v>5646</v>
      </c>
      <c r="T2345" s="38" t="s">
        <v>5647</v>
      </c>
      <c r="U2345" s="38"/>
      <c r="V2345" s="38"/>
      <c r="W2345" s="38"/>
      <c r="X2345" s="14"/>
      <c r="AN2345" s="7" t="s">
        <v>70</v>
      </c>
      <c r="AO2345" s="21">
        <f t="shared" si="116"/>
        <v>0</v>
      </c>
      <c r="AP2345" s="7">
        <f t="shared" si="117"/>
        <v>124.37</v>
      </c>
      <c r="AQ2345" s="31" t="str">
        <f t="shared" si="118"/>
        <v>Complete - No Adjustment</v>
      </c>
    </row>
    <row r="2346" spans="1:43" x14ac:dyDescent="0.2">
      <c r="A2346" s="46">
        <v>2336</v>
      </c>
      <c r="B2346" s="38" t="s">
        <v>266</v>
      </c>
      <c r="C2346" s="38" t="s">
        <v>544</v>
      </c>
      <c r="D2346" s="38" t="s">
        <v>543</v>
      </c>
      <c r="E2346" s="38" t="s">
        <v>5644</v>
      </c>
      <c r="F2346" s="38" t="s">
        <v>5348</v>
      </c>
      <c r="G2346" s="38" t="s">
        <v>111</v>
      </c>
      <c r="H2346" s="44">
        <v>44104</v>
      </c>
      <c r="I2346" s="44">
        <v>44106</v>
      </c>
      <c r="J2346">
        <v>206.98</v>
      </c>
      <c r="K2346">
        <v>2.5</v>
      </c>
      <c r="L2346" t="s">
        <v>5645</v>
      </c>
      <c r="M2346" s="45" t="s">
        <v>98</v>
      </c>
      <c r="N2346" s="38" t="s">
        <v>230</v>
      </c>
      <c r="O2346" s="38" t="s">
        <v>545</v>
      </c>
      <c r="P2346" s="38" t="s">
        <v>60</v>
      </c>
      <c r="Q2346" s="38" t="s">
        <v>41</v>
      </c>
      <c r="R2346" s="38" t="s">
        <v>270</v>
      </c>
      <c r="S2346" s="38" t="s">
        <v>5646</v>
      </c>
      <c r="T2346" s="38" t="s">
        <v>5648</v>
      </c>
      <c r="U2346" s="38"/>
      <c r="V2346" s="38"/>
      <c r="W2346" s="38"/>
      <c r="X2346" s="14"/>
      <c r="AN2346" s="7" t="s">
        <v>70</v>
      </c>
      <c r="AO2346" s="21">
        <f t="shared" si="116"/>
        <v>0</v>
      </c>
      <c r="AP2346" s="7">
        <f t="shared" si="117"/>
        <v>2.5</v>
      </c>
      <c r="AQ2346" s="31" t="str">
        <f t="shared" si="118"/>
        <v>Complete - No Adjustment</v>
      </c>
    </row>
    <row r="2347" spans="1:43" x14ac:dyDescent="0.2">
      <c r="A2347" s="46">
        <v>2337</v>
      </c>
      <c r="B2347" s="38" t="s">
        <v>266</v>
      </c>
      <c r="C2347" s="38" t="s">
        <v>544</v>
      </c>
      <c r="D2347" s="38" t="s">
        <v>543</v>
      </c>
      <c r="E2347" s="38" t="s">
        <v>5644</v>
      </c>
      <c r="F2347" s="38" t="s">
        <v>5348</v>
      </c>
      <c r="G2347" s="38" t="s">
        <v>111</v>
      </c>
      <c r="H2347" s="44">
        <v>44104</v>
      </c>
      <c r="I2347" s="44">
        <v>44106</v>
      </c>
      <c r="J2347">
        <v>206.98</v>
      </c>
      <c r="K2347">
        <v>59.4</v>
      </c>
      <c r="L2347" t="s">
        <v>5645</v>
      </c>
      <c r="M2347" s="45" t="s">
        <v>98</v>
      </c>
      <c r="N2347" s="38" t="s">
        <v>230</v>
      </c>
      <c r="O2347" s="38" t="s">
        <v>545</v>
      </c>
      <c r="P2347" s="38" t="s">
        <v>60</v>
      </c>
      <c r="Q2347" s="38" t="s">
        <v>44</v>
      </c>
      <c r="R2347" s="38" t="s">
        <v>270</v>
      </c>
      <c r="S2347" s="38" t="s">
        <v>5646</v>
      </c>
      <c r="T2347" s="38" t="s">
        <v>5649</v>
      </c>
      <c r="U2347" s="38"/>
      <c r="V2347" s="38"/>
      <c r="W2347" s="38"/>
      <c r="X2347" s="14"/>
      <c r="AN2347" s="7" t="s">
        <v>70</v>
      </c>
      <c r="AO2347" s="21">
        <f t="shared" si="116"/>
        <v>0</v>
      </c>
      <c r="AP2347" s="7">
        <f t="shared" si="117"/>
        <v>59.4</v>
      </c>
      <c r="AQ2347" s="31" t="str">
        <f t="shared" si="118"/>
        <v>Complete - No Adjustment</v>
      </c>
    </row>
    <row r="2348" spans="1:43" x14ac:dyDescent="0.2">
      <c r="A2348" s="46">
        <v>2338</v>
      </c>
      <c r="B2348" s="38" t="s">
        <v>266</v>
      </c>
      <c r="C2348" s="38" t="s">
        <v>416</v>
      </c>
      <c r="D2348" s="38" t="s">
        <v>415</v>
      </c>
      <c r="E2348" s="38" t="s">
        <v>5650</v>
      </c>
      <c r="F2348" s="38" t="s">
        <v>5412</v>
      </c>
      <c r="G2348" s="38" t="s">
        <v>111</v>
      </c>
      <c r="H2348" s="44">
        <v>44112</v>
      </c>
      <c r="I2348" s="44">
        <v>44117</v>
      </c>
      <c r="J2348">
        <v>72</v>
      </c>
      <c r="K2348">
        <v>72</v>
      </c>
      <c r="L2348" t="s">
        <v>5651</v>
      </c>
      <c r="M2348" s="45" t="s">
        <v>98</v>
      </c>
      <c r="N2348" s="38" t="s">
        <v>230</v>
      </c>
      <c r="O2348" s="38" t="s">
        <v>331</v>
      </c>
      <c r="P2348" s="38" t="s">
        <v>60</v>
      </c>
      <c r="Q2348" s="38" t="s">
        <v>56</v>
      </c>
      <c r="R2348" s="38" t="s">
        <v>270</v>
      </c>
      <c r="S2348" s="38" t="s">
        <v>5652</v>
      </c>
      <c r="T2348" s="38" t="s">
        <v>5653</v>
      </c>
      <c r="U2348" s="38"/>
      <c r="V2348" s="38"/>
      <c r="W2348" s="38"/>
      <c r="X2348" s="14"/>
      <c r="AN2348" s="7" t="s">
        <v>70</v>
      </c>
      <c r="AO2348" s="21">
        <f t="shared" si="116"/>
        <v>0</v>
      </c>
      <c r="AP2348" s="7">
        <f t="shared" si="117"/>
        <v>72</v>
      </c>
      <c r="AQ2348" s="31" t="str">
        <f t="shared" si="118"/>
        <v>Complete - No Adjustment</v>
      </c>
    </row>
    <row r="2349" spans="1:43" x14ac:dyDescent="0.2">
      <c r="A2349" s="46">
        <v>2339</v>
      </c>
      <c r="B2349" s="38" t="s">
        <v>266</v>
      </c>
      <c r="C2349" s="38" t="s">
        <v>607</v>
      </c>
      <c r="D2349" s="38" t="s">
        <v>606</v>
      </c>
      <c r="E2349" s="38" t="s">
        <v>5654</v>
      </c>
      <c r="F2349" s="38" t="s">
        <v>5348</v>
      </c>
      <c r="G2349" s="38" t="s">
        <v>111</v>
      </c>
      <c r="H2349" s="44">
        <v>44099</v>
      </c>
      <c r="I2349" s="44">
        <v>44106</v>
      </c>
      <c r="J2349">
        <v>119.19</v>
      </c>
      <c r="K2349">
        <v>7.74</v>
      </c>
      <c r="L2349" t="s">
        <v>5655</v>
      </c>
      <c r="M2349" s="45" t="s">
        <v>98</v>
      </c>
      <c r="N2349" s="38" t="s">
        <v>230</v>
      </c>
      <c r="O2349" s="38" t="s">
        <v>272</v>
      </c>
      <c r="P2349" s="38" t="s">
        <v>60</v>
      </c>
      <c r="Q2349" s="38" t="s">
        <v>41</v>
      </c>
      <c r="R2349" s="38" t="s">
        <v>270</v>
      </c>
      <c r="S2349" s="38" t="s">
        <v>5656</v>
      </c>
      <c r="T2349" s="38" t="s">
        <v>5657</v>
      </c>
      <c r="U2349" s="38"/>
      <c r="V2349" s="38"/>
      <c r="W2349" s="38"/>
      <c r="X2349" s="14"/>
      <c r="AN2349" s="7" t="s">
        <v>155</v>
      </c>
      <c r="AO2349" s="21">
        <f t="shared" si="116"/>
        <v>0</v>
      </c>
      <c r="AP2349" s="7">
        <f t="shared" si="117"/>
        <v>7.74</v>
      </c>
      <c r="AQ2349" s="31" t="str">
        <f t="shared" si="118"/>
        <v>Complete - No Adjustment</v>
      </c>
    </row>
    <row r="2350" spans="1:43" x14ac:dyDescent="0.2">
      <c r="A2350" s="46">
        <v>2340</v>
      </c>
      <c r="B2350" s="38" t="s">
        <v>266</v>
      </c>
      <c r="C2350" s="38" t="s">
        <v>607</v>
      </c>
      <c r="D2350" s="38" t="s">
        <v>606</v>
      </c>
      <c r="E2350" s="38" t="s">
        <v>5654</v>
      </c>
      <c r="F2350" s="38" t="s">
        <v>5348</v>
      </c>
      <c r="G2350" s="38" t="s">
        <v>111</v>
      </c>
      <c r="H2350" s="44">
        <v>44099</v>
      </c>
      <c r="I2350" s="44">
        <v>44106</v>
      </c>
      <c r="J2350">
        <v>119.19</v>
      </c>
      <c r="K2350">
        <v>5.95</v>
      </c>
      <c r="L2350" t="s">
        <v>5655</v>
      </c>
      <c r="M2350" s="45" t="s">
        <v>98</v>
      </c>
      <c r="N2350" s="38" t="s">
        <v>230</v>
      </c>
      <c r="O2350" s="38" t="s">
        <v>272</v>
      </c>
      <c r="P2350" s="38" t="s">
        <v>60</v>
      </c>
      <c r="Q2350" s="38" t="s">
        <v>41</v>
      </c>
      <c r="R2350" s="38" t="s">
        <v>270</v>
      </c>
      <c r="S2350" s="38" t="s">
        <v>5656</v>
      </c>
      <c r="T2350" s="38" t="s">
        <v>5657</v>
      </c>
      <c r="U2350" s="38"/>
      <c r="V2350" s="38"/>
      <c r="W2350" s="38"/>
      <c r="X2350" s="14"/>
      <c r="AN2350" s="7" t="s">
        <v>155</v>
      </c>
      <c r="AO2350" s="21">
        <f t="shared" si="116"/>
        <v>0</v>
      </c>
      <c r="AP2350" s="7">
        <f t="shared" si="117"/>
        <v>5.95</v>
      </c>
      <c r="AQ2350" s="31" t="str">
        <f t="shared" si="118"/>
        <v>Complete - No Adjustment</v>
      </c>
    </row>
    <row r="2351" spans="1:43" x14ac:dyDescent="0.2">
      <c r="A2351" s="46">
        <v>2341</v>
      </c>
      <c r="B2351" s="38" t="s">
        <v>266</v>
      </c>
      <c r="C2351" s="38" t="s">
        <v>607</v>
      </c>
      <c r="D2351" s="38" t="s">
        <v>606</v>
      </c>
      <c r="E2351" s="38" t="s">
        <v>5654</v>
      </c>
      <c r="F2351" s="38" t="s">
        <v>5348</v>
      </c>
      <c r="G2351" s="38" t="s">
        <v>111</v>
      </c>
      <c r="H2351" s="44">
        <v>44099</v>
      </c>
      <c r="I2351" s="44">
        <v>44106</v>
      </c>
      <c r="J2351">
        <v>119.19</v>
      </c>
      <c r="K2351">
        <v>7.58</v>
      </c>
      <c r="L2351" t="s">
        <v>5655</v>
      </c>
      <c r="M2351" s="45" t="s">
        <v>98</v>
      </c>
      <c r="N2351" s="38" t="s">
        <v>230</v>
      </c>
      <c r="O2351" s="38" t="s">
        <v>272</v>
      </c>
      <c r="P2351" s="38" t="s">
        <v>60</v>
      </c>
      <c r="Q2351" s="38" t="s">
        <v>41</v>
      </c>
      <c r="R2351" s="38" t="s">
        <v>270</v>
      </c>
      <c r="S2351" s="38" t="s">
        <v>5656</v>
      </c>
      <c r="T2351" s="38" t="s">
        <v>5658</v>
      </c>
      <c r="U2351" s="38"/>
      <c r="V2351" s="38"/>
      <c r="W2351" s="38"/>
      <c r="X2351" s="14"/>
      <c r="AN2351" s="7" t="s">
        <v>70</v>
      </c>
      <c r="AO2351" s="21">
        <f t="shared" si="116"/>
        <v>0</v>
      </c>
      <c r="AP2351" s="7">
        <f t="shared" si="117"/>
        <v>7.58</v>
      </c>
      <c r="AQ2351" s="31" t="str">
        <f t="shared" si="118"/>
        <v>Complete - No Adjustment</v>
      </c>
    </row>
    <row r="2352" spans="1:43" x14ac:dyDescent="0.2">
      <c r="A2352" s="46">
        <v>2342</v>
      </c>
      <c r="B2352" s="38" t="s">
        <v>266</v>
      </c>
      <c r="C2352" s="38" t="s">
        <v>607</v>
      </c>
      <c r="D2352" s="38" t="s">
        <v>606</v>
      </c>
      <c r="E2352" s="38" t="s">
        <v>5654</v>
      </c>
      <c r="F2352" s="38" t="s">
        <v>5348</v>
      </c>
      <c r="G2352" s="38" t="s">
        <v>111</v>
      </c>
      <c r="H2352" s="44">
        <v>44099</v>
      </c>
      <c r="I2352" s="44">
        <v>44106</v>
      </c>
      <c r="J2352">
        <v>119.19</v>
      </c>
      <c r="K2352">
        <v>34.67</v>
      </c>
      <c r="L2352" t="s">
        <v>5655</v>
      </c>
      <c r="M2352" s="45" t="s">
        <v>98</v>
      </c>
      <c r="N2352" s="38" t="s">
        <v>230</v>
      </c>
      <c r="O2352" s="38" t="s">
        <v>272</v>
      </c>
      <c r="P2352" s="38" t="s">
        <v>60</v>
      </c>
      <c r="Q2352" s="38" t="s">
        <v>44</v>
      </c>
      <c r="R2352" s="38" t="s">
        <v>270</v>
      </c>
      <c r="S2352" s="38" t="s">
        <v>5656</v>
      </c>
      <c r="T2352" s="38" t="s">
        <v>5659</v>
      </c>
      <c r="U2352" s="38"/>
      <c r="V2352" s="38"/>
      <c r="W2352" s="38"/>
      <c r="X2352" s="14"/>
      <c r="AK2352" s="53">
        <f>34.67</f>
        <v>34.67</v>
      </c>
      <c r="AN2352" s="7" t="s">
        <v>148</v>
      </c>
      <c r="AO2352" s="21">
        <f t="shared" si="116"/>
        <v>34.67</v>
      </c>
      <c r="AP2352" s="7">
        <f t="shared" si="117"/>
        <v>0</v>
      </c>
      <c r="AQ2352" s="31" t="str">
        <f t="shared" si="118"/>
        <v>Complete - With Adjustment</v>
      </c>
    </row>
    <row r="2353" spans="1:43" x14ac:dyDescent="0.2">
      <c r="A2353" s="46">
        <v>2343</v>
      </c>
      <c r="B2353" s="38" t="s">
        <v>266</v>
      </c>
      <c r="C2353" s="38" t="s">
        <v>607</v>
      </c>
      <c r="D2353" s="38" t="s">
        <v>606</v>
      </c>
      <c r="E2353" s="38" t="s">
        <v>5654</v>
      </c>
      <c r="F2353" s="38" t="s">
        <v>5348</v>
      </c>
      <c r="G2353" s="38" t="s">
        <v>111</v>
      </c>
      <c r="H2353" s="44">
        <v>44099</v>
      </c>
      <c r="I2353" s="44">
        <v>44106</v>
      </c>
      <c r="J2353">
        <v>119.19</v>
      </c>
      <c r="K2353">
        <v>12.77</v>
      </c>
      <c r="L2353" t="s">
        <v>5655</v>
      </c>
      <c r="M2353" s="45" t="s">
        <v>98</v>
      </c>
      <c r="N2353" s="38" t="s">
        <v>230</v>
      </c>
      <c r="O2353" s="38" t="s">
        <v>272</v>
      </c>
      <c r="P2353" s="38" t="s">
        <v>60</v>
      </c>
      <c r="Q2353" s="38" t="s">
        <v>41</v>
      </c>
      <c r="R2353" s="38" t="s">
        <v>270</v>
      </c>
      <c r="S2353" s="38" t="s">
        <v>5656</v>
      </c>
      <c r="T2353" s="38" t="s">
        <v>5660</v>
      </c>
      <c r="U2353" s="38"/>
      <c r="V2353" s="38"/>
      <c r="W2353" s="38"/>
      <c r="X2353" s="14"/>
      <c r="AN2353" s="7" t="s">
        <v>155</v>
      </c>
      <c r="AO2353" s="21">
        <f t="shared" si="116"/>
        <v>0</v>
      </c>
      <c r="AP2353" s="7">
        <f t="shared" si="117"/>
        <v>12.77</v>
      </c>
      <c r="AQ2353" s="31" t="str">
        <f t="shared" si="118"/>
        <v>Complete - No Adjustment</v>
      </c>
    </row>
    <row r="2354" spans="1:43" x14ac:dyDescent="0.2">
      <c r="A2354" s="46">
        <v>2344</v>
      </c>
      <c r="B2354" s="38" t="s">
        <v>266</v>
      </c>
      <c r="C2354" s="38" t="s">
        <v>607</v>
      </c>
      <c r="D2354" s="38" t="s">
        <v>606</v>
      </c>
      <c r="E2354" s="38" t="s">
        <v>5654</v>
      </c>
      <c r="F2354" s="38" t="s">
        <v>5348</v>
      </c>
      <c r="G2354" s="38" t="s">
        <v>111</v>
      </c>
      <c r="H2354" s="44">
        <v>44099</v>
      </c>
      <c r="I2354" s="44">
        <v>44106</v>
      </c>
      <c r="J2354">
        <v>119.19</v>
      </c>
      <c r="K2354">
        <v>13.48</v>
      </c>
      <c r="L2354" t="s">
        <v>5655</v>
      </c>
      <c r="M2354" s="45" t="s">
        <v>98</v>
      </c>
      <c r="N2354" s="38" t="s">
        <v>230</v>
      </c>
      <c r="O2354" s="38" t="s">
        <v>272</v>
      </c>
      <c r="P2354" s="38" t="s">
        <v>60</v>
      </c>
      <c r="Q2354" s="38" t="s">
        <v>41</v>
      </c>
      <c r="R2354" s="38" t="s">
        <v>270</v>
      </c>
      <c r="S2354" s="38" t="s">
        <v>5656</v>
      </c>
      <c r="T2354" s="38" t="s">
        <v>5657</v>
      </c>
      <c r="U2354" s="38"/>
      <c r="V2354" s="38"/>
      <c r="W2354" s="38"/>
      <c r="X2354" s="14"/>
      <c r="AL2354" s="14">
        <f>13.48</f>
        <v>13.48</v>
      </c>
      <c r="AN2354" s="7" t="s">
        <v>2957</v>
      </c>
      <c r="AO2354" s="21">
        <f t="shared" si="116"/>
        <v>13.48</v>
      </c>
      <c r="AP2354" s="7">
        <f t="shared" si="117"/>
        <v>0</v>
      </c>
      <c r="AQ2354" s="31" t="str">
        <f t="shared" si="118"/>
        <v>Complete - With Adjustment</v>
      </c>
    </row>
    <row r="2355" spans="1:43" x14ac:dyDescent="0.2">
      <c r="A2355" s="46">
        <v>2345</v>
      </c>
      <c r="B2355" s="38" t="s">
        <v>266</v>
      </c>
      <c r="C2355" s="38" t="s">
        <v>607</v>
      </c>
      <c r="D2355" s="38" t="s">
        <v>606</v>
      </c>
      <c r="E2355" s="38" t="s">
        <v>5654</v>
      </c>
      <c r="F2355" s="38" t="s">
        <v>5348</v>
      </c>
      <c r="G2355" s="38" t="s">
        <v>111</v>
      </c>
      <c r="H2355" s="44">
        <v>44099</v>
      </c>
      <c r="I2355" s="44">
        <v>44106</v>
      </c>
      <c r="J2355">
        <v>119.19</v>
      </c>
      <c r="K2355">
        <v>37</v>
      </c>
      <c r="L2355" t="s">
        <v>5655</v>
      </c>
      <c r="M2355" s="45" t="s">
        <v>98</v>
      </c>
      <c r="N2355" s="38" t="s">
        <v>230</v>
      </c>
      <c r="O2355" s="38" t="s">
        <v>272</v>
      </c>
      <c r="P2355" s="38" t="s">
        <v>60</v>
      </c>
      <c r="Q2355" s="38" t="s">
        <v>41</v>
      </c>
      <c r="R2355" s="38" t="s">
        <v>270</v>
      </c>
      <c r="S2355" s="38" t="s">
        <v>5656</v>
      </c>
      <c r="T2355" s="38" t="s">
        <v>5661</v>
      </c>
      <c r="U2355" s="38"/>
      <c r="V2355" s="38"/>
      <c r="W2355" s="38"/>
      <c r="X2355" s="14"/>
      <c r="AB2355" s="14">
        <f>37-15</f>
        <v>22</v>
      </c>
      <c r="AN2355" s="7" t="s">
        <v>2958</v>
      </c>
      <c r="AO2355" s="21">
        <f t="shared" si="116"/>
        <v>22</v>
      </c>
      <c r="AP2355" s="7">
        <f t="shared" si="117"/>
        <v>15</v>
      </c>
      <c r="AQ2355" s="31" t="str">
        <f t="shared" si="118"/>
        <v>Complete - With Adjustment</v>
      </c>
    </row>
    <row r="2356" spans="1:43" x14ac:dyDescent="0.2">
      <c r="A2356" s="46">
        <v>2346</v>
      </c>
      <c r="B2356" s="38" t="s">
        <v>266</v>
      </c>
      <c r="C2356" s="38" t="s">
        <v>422</v>
      </c>
      <c r="D2356" s="38" t="s">
        <v>421</v>
      </c>
      <c r="E2356" s="38" t="s">
        <v>5662</v>
      </c>
      <c r="F2356" s="38" t="s">
        <v>5388</v>
      </c>
      <c r="G2356" s="38" t="s">
        <v>111</v>
      </c>
      <c r="H2356" s="44">
        <v>44098</v>
      </c>
      <c r="I2356" s="44">
        <v>44105</v>
      </c>
      <c r="J2356">
        <v>400</v>
      </c>
      <c r="K2356">
        <v>400</v>
      </c>
      <c r="L2356" t="s">
        <v>5663</v>
      </c>
      <c r="M2356" s="45" t="s">
        <v>98</v>
      </c>
      <c r="N2356" s="38" t="s">
        <v>230</v>
      </c>
      <c r="O2356" s="38" t="s">
        <v>423</v>
      </c>
      <c r="P2356" s="38" t="s">
        <v>60</v>
      </c>
      <c r="Q2356" s="38" t="s">
        <v>48</v>
      </c>
      <c r="R2356" s="38" t="s">
        <v>270</v>
      </c>
      <c r="S2356" s="38" t="s">
        <v>5664</v>
      </c>
      <c r="T2356" s="38" t="s">
        <v>5665</v>
      </c>
      <c r="U2356" s="38"/>
      <c r="V2356" s="38"/>
      <c r="W2356" s="38"/>
      <c r="X2356" s="14"/>
      <c r="AN2356" s="7" t="s">
        <v>70</v>
      </c>
      <c r="AO2356" s="21">
        <f t="shared" si="116"/>
        <v>0</v>
      </c>
      <c r="AP2356" s="7">
        <f t="shared" si="117"/>
        <v>400</v>
      </c>
      <c r="AQ2356" s="31" t="str">
        <f t="shared" si="118"/>
        <v>Complete - No Adjustment</v>
      </c>
    </row>
    <row r="2357" spans="1:43" x14ac:dyDescent="0.2">
      <c r="A2357" s="46">
        <v>2347</v>
      </c>
      <c r="B2357" s="38" t="s">
        <v>266</v>
      </c>
      <c r="C2357" s="38" t="s">
        <v>2538</v>
      </c>
      <c r="D2357" s="38" t="s">
        <v>2539</v>
      </c>
      <c r="E2357" s="38" t="s">
        <v>5666</v>
      </c>
      <c r="F2357" s="38" t="s">
        <v>5369</v>
      </c>
      <c r="G2357" s="38" t="s">
        <v>111</v>
      </c>
      <c r="H2357" s="44">
        <v>44090</v>
      </c>
      <c r="I2357" s="44">
        <v>44109</v>
      </c>
      <c r="J2357">
        <v>10.5</v>
      </c>
      <c r="K2357">
        <v>10.5</v>
      </c>
      <c r="L2357" t="s">
        <v>5667</v>
      </c>
      <c r="M2357" s="45" t="s">
        <v>98</v>
      </c>
      <c r="N2357" s="38" t="s">
        <v>230</v>
      </c>
      <c r="O2357" s="38" t="s">
        <v>397</v>
      </c>
      <c r="P2357" s="38" t="s">
        <v>60</v>
      </c>
      <c r="Q2357" s="38" t="s">
        <v>41</v>
      </c>
      <c r="R2357" s="38" t="s">
        <v>270</v>
      </c>
      <c r="S2357" s="38" t="s">
        <v>5668</v>
      </c>
      <c r="T2357" s="38" t="s">
        <v>5669</v>
      </c>
      <c r="U2357" s="38"/>
      <c r="V2357" s="38"/>
      <c r="W2357" s="38"/>
      <c r="X2357" s="14"/>
      <c r="AN2357" s="7" t="s">
        <v>155</v>
      </c>
      <c r="AO2357" s="21">
        <f t="shared" si="116"/>
        <v>0</v>
      </c>
      <c r="AP2357" s="7">
        <f t="shared" si="117"/>
        <v>10.5</v>
      </c>
      <c r="AQ2357" s="31" t="str">
        <f t="shared" si="118"/>
        <v>Complete - No Adjustment</v>
      </c>
    </row>
    <row r="2358" spans="1:43" x14ac:dyDescent="0.2">
      <c r="A2358" s="46">
        <v>2348</v>
      </c>
      <c r="B2358" s="38" t="s">
        <v>266</v>
      </c>
      <c r="C2358" s="38" t="s">
        <v>2538</v>
      </c>
      <c r="D2358" s="38" t="s">
        <v>2539</v>
      </c>
      <c r="E2358" s="38" t="s">
        <v>5670</v>
      </c>
      <c r="F2358" s="38" t="s">
        <v>5412</v>
      </c>
      <c r="G2358" s="38" t="s">
        <v>111</v>
      </c>
      <c r="H2358" s="44">
        <v>44105</v>
      </c>
      <c r="I2358" s="44">
        <v>44117</v>
      </c>
      <c r="J2358">
        <v>248.87</v>
      </c>
      <c r="K2358">
        <v>168.87</v>
      </c>
      <c r="L2358" t="s">
        <v>5671</v>
      </c>
      <c r="M2358" s="45" t="s">
        <v>98</v>
      </c>
      <c r="N2358" s="38" t="s">
        <v>230</v>
      </c>
      <c r="O2358" s="38" t="s">
        <v>397</v>
      </c>
      <c r="P2358" s="38" t="s">
        <v>60</v>
      </c>
      <c r="Q2358" s="38" t="s">
        <v>46</v>
      </c>
      <c r="R2358" s="38" t="s">
        <v>270</v>
      </c>
      <c r="S2358" s="38" t="s">
        <v>5672</v>
      </c>
      <c r="T2358" s="38" t="s">
        <v>5673</v>
      </c>
      <c r="U2358" s="38"/>
      <c r="V2358" s="38"/>
      <c r="W2358" s="38"/>
      <c r="X2358" s="14"/>
      <c r="AI2358" s="53">
        <f>168.87</f>
        <v>168.87</v>
      </c>
      <c r="AN2358" s="7" t="s">
        <v>145</v>
      </c>
      <c r="AO2358" s="21">
        <f t="shared" si="116"/>
        <v>168.87</v>
      </c>
      <c r="AP2358" s="7">
        <f t="shared" si="117"/>
        <v>0</v>
      </c>
      <c r="AQ2358" s="31" t="str">
        <f t="shared" si="118"/>
        <v>Complete - With Adjustment</v>
      </c>
    </row>
    <row r="2359" spans="1:43" x14ac:dyDescent="0.2">
      <c r="A2359" s="46">
        <v>2349</v>
      </c>
      <c r="B2359" s="38" t="s">
        <v>266</v>
      </c>
      <c r="C2359" s="38" t="s">
        <v>2538</v>
      </c>
      <c r="D2359" s="38" t="s">
        <v>2539</v>
      </c>
      <c r="E2359" s="38" t="s">
        <v>5670</v>
      </c>
      <c r="F2359" s="38" t="s">
        <v>5412</v>
      </c>
      <c r="G2359" s="38" t="s">
        <v>111</v>
      </c>
      <c r="H2359" s="44">
        <v>44105</v>
      </c>
      <c r="I2359" s="44">
        <v>44117</v>
      </c>
      <c r="J2359">
        <v>248.87</v>
      </c>
      <c r="K2359">
        <v>80</v>
      </c>
      <c r="L2359" t="s">
        <v>5671</v>
      </c>
      <c r="M2359" s="45" t="s">
        <v>98</v>
      </c>
      <c r="N2359" s="38" t="s">
        <v>230</v>
      </c>
      <c r="O2359" s="38" t="s">
        <v>397</v>
      </c>
      <c r="P2359" s="38" t="s">
        <v>60</v>
      </c>
      <c r="Q2359" s="38" t="s">
        <v>46</v>
      </c>
      <c r="R2359" s="38" t="s">
        <v>270</v>
      </c>
      <c r="S2359" s="38" t="s">
        <v>5672</v>
      </c>
      <c r="T2359" s="38" t="s">
        <v>5674</v>
      </c>
      <c r="U2359" s="38"/>
      <c r="V2359" s="38"/>
      <c r="W2359" s="38"/>
      <c r="X2359" s="14"/>
      <c r="AL2359" s="14">
        <f>80</f>
        <v>80</v>
      </c>
      <c r="AN2359" s="7" t="s">
        <v>146</v>
      </c>
      <c r="AO2359" s="21">
        <f t="shared" si="116"/>
        <v>80</v>
      </c>
      <c r="AP2359" s="7">
        <f t="shared" si="117"/>
        <v>0</v>
      </c>
      <c r="AQ2359" s="31" t="str">
        <f t="shared" si="118"/>
        <v>Complete - With Adjustment</v>
      </c>
    </row>
    <row r="2360" spans="1:43" x14ac:dyDescent="0.2">
      <c r="A2360" s="46">
        <v>2350</v>
      </c>
      <c r="B2360" s="38" t="s">
        <v>266</v>
      </c>
      <c r="C2360" s="38" t="s">
        <v>5675</v>
      </c>
      <c r="D2360" s="38" t="s">
        <v>5676</v>
      </c>
      <c r="E2360" s="38" t="s">
        <v>5677</v>
      </c>
      <c r="F2360" s="38" t="s">
        <v>5369</v>
      </c>
      <c r="G2360" s="38" t="s">
        <v>111</v>
      </c>
      <c r="H2360" s="44">
        <v>44102</v>
      </c>
      <c r="I2360" s="44">
        <v>44109</v>
      </c>
      <c r="J2360">
        <v>4476.2</v>
      </c>
      <c r="K2360">
        <v>720</v>
      </c>
      <c r="L2360" t="s">
        <v>5678</v>
      </c>
      <c r="M2360" s="45" t="s">
        <v>98</v>
      </c>
      <c r="N2360" s="38" t="s">
        <v>230</v>
      </c>
      <c r="O2360" s="38" t="s">
        <v>386</v>
      </c>
      <c r="P2360" s="38" t="s">
        <v>40</v>
      </c>
      <c r="Q2360" s="38" t="s">
        <v>46</v>
      </c>
      <c r="R2360" s="38" t="s">
        <v>270</v>
      </c>
      <c r="S2360" s="38" t="s">
        <v>5679</v>
      </c>
      <c r="T2360" s="38" t="s">
        <v>5680</v>
      </c>
      <c r="U2360" s="38"/>
      <c r="V2360" s="38"/>
      <c r="W2360" s="38"/>
      <c r="X2360" s="14"/>
      <c r="AL2360" s="14">
        <f>720</f>
        <v>720</v>
      </c>
      <c r="AN2360" s="7" t="s">
        <v>146</v>
      </c>
      <c r="AO2360" s="21">
        <f t="shared" si="116"/>
        <v>720</v>
      </c>
      <c r="AP2360" s="7">
        <f t="shared" si="117"/>
        <v>0</v>
      </c>
      <c r="AQ2360" s="31" t="str">
        <f t="shared" si="118"/>
        <v>Complete - With Adjustment</v>
      </c>
    </row>
    <row r="2361" spans="1:43" x14ac:dyDescent="0.2">
      <c r="A2361" s="46">
        <v>2351</v>
      </c>
      <c r="B2361" s="38" t="s">
        <v>266</v>
      </c>
      <c r="C2361" s="38" t="s">
        <v>431</v>
      </c>
      <c r="D2361" s="38" t="s">
        <v>430</v>
      </c>
      <c r="E2361" s="38" t="s">
        <v>5681</v>
      </c>
      <c r="F2361" s="38" t="s">
        <v>5388</v>
      </c>
      <c r="G2361" s="38" t="s">
        <v>111</v>
      </c>
      <c r="H2361" s="44">
        <v>44103</v>
      </c>
      <c r="I2361" s="44">
        <v>44105</v>
      </c>
      <c r="J2361">
        <v>78.540000000000006</v>
      </c>
      <c r="K2361">
        <v>29.79</v>
      </c>
      <c r="L2361" t="s">
        <v>5682</v>
      </c>
      <c r="M2361" s="45" t="s">
        <v>98</v>
      </c>
      <c r="N2361" s="38" t="s">
        <v>230</v>
      </c>
      <c r="O2361" s="38" t="s">
        <v>78</v>
      </c>
      <c r="P2361" s="38" t="s">
        <v>60</v>
      </c>
      <c r="Q2361" s="38" t="s">
        <v>41</v>
      </c>
      <c r="R2361" s="38" t="s">
        <v>270</v>
      </c>
      <c r="S2361" s="38" t="s">
        <v>5683</v>
      </c>
      <c r="T2361" s="38" t="s">
        <v>5684</v>
      </c>
      <c r="U2361" s="38"/>
      <c r="V2361" s="38"/>
      <c r="W2361" s="38"/>
      <c r="X2361" s="14"/>
      <c r="AN2361" s="7" t="s">
        <v>70</v>
      </c>
      <c r="AO2361" s="21">
        <f t="shared" si="116"/>
        <v>0</v>
      </c>
      <c r="AP2361" s="7">
        <f t="shared" si="117"/>
        <v>29.79</v>
      </c>
      <c r="AQ2361" s="31" t="str">
        <f t="shared" si="118"/>
        <v>Complete - No Adjustment</v>
      </c>
    </row>
    <row r="2362" spans="1:43" x14ac:dyDescent="0.2">
      <c r="A2362" s="46">
        <v>2352</v>
      </c>
      <c r="B2362" s="38" t="s">
        <v>266</v>
      </c>
      <c r="C2362" s="38" t="s">
        <v>431</v>
      </c>
      <c r="D2362" s="38" t="s">
        <v>430</v>
      </c>
      <c r="E2362" s="38" t="s">
        <v>5681</v>
      </c>
      <c r="F2362" s="38" t="s">
        <v>5388</v>
      </c>
      <c r="G2362" s="38" t="s">
        <v>111</v>
      </c>
      <c r="H2362" s="44">
        <v>44103</v>
      </c>
      <c r="I2362" s="44">
        <v>44105</v>
      </c>
      <c r="J2362">
        <v>78.540000000000006</v>
      </c>
      <c r="K2362">
        <v>15</v>
      </c>
      <c r="L2362" t="s">
        <v>5682</v>
      </c>
      <c r="M2362" s="45" t="s">
        <v>98</v>
      </c>
      <c r="N2362" s="38" t="s">
        <v>230</v>
      </c>
      <c r="O2362" s="38" t="s">
        <v>78</v>
      </c>
      <c r="P2362" s="38" t="s">
        <v>60</v>
      </c>
      <c r="Q2362" s="38" t="s">
        <v>41</v>
      </c>
      <c r="R2362" s="38" t="s">
        <v>270</v>
      </c>
      <c r="S2362" s="38" t="s">
        <v>5683</v>
      </c>
      <c r="T2362" s="38" t="s">
        <v>5685</v>
      </c>
      <c r="U2362" s="38"/>
      <c r="V2362" s="38"/>
      <c r="W2362" s="38"/>
      <c r="X2362" s="14"/>
      <c r="AN2362" s="7" t="s">
        <v>4219</v>
      </c>
      <c r="AO2362" s="21">
        <f t="shared" si="116"/>
        <v>0</v>
      </c>
      <c r="AP2362" s="7">
        <f t="shared" si="117"/>
        <v>15</v>
      </c>
      <c r="AQ2362" s="31" t="str">
        <f t="shared" si="118"/>
        <v>Complete - No Adjustment</v>
      </c>
    </row>
    <row r="2363" spans="1:43" x14ac:dyDescent="0.2">
      <c r="A2363" s="46">
        <v>2353</v>
      </c>
      <c r="B2363" s="38" t="s">
        <v>266</v>
      </c>
      <c r="C2363" s="38" t="s">
        <v>431</v>
      </c>
      <c r="D2363" s="38" t="s">
        <v>430</v>
      </c>
      <c r="E2363" s="38" t="s">
        <v>5681</v>
      </c>
      <c r="F2363" s="38" t="s">
        <v>5388</v>
      </c>
      <c r="G2363" s="38" t="s">
        <v>111</v>
      </c>
      <c r="H2363" s="44">
        <v>44103</v>
      </c>
      <c r="I2363" s="44">
        <v>44105</v>
      </c>
      <c r="J2363">
        <v>78.540000000000006</v>
      </c>
      <c r="K2363">
        <v>33.75</v>
      </c>
      <c r="L2363" t="s">
        <v>5682</v>
      </c>
      <c r="M2363" s="45" t="s">
        <v>98</v>
      </c>
      <c r="N2363" s="38" t="s">
        <v>230</v>
      </c>
      <c r="O2363" s="38" t="s">
        <v>78</v>
      </c>
      <c r="P2363" s="38" t="s">
        <v>60</v>
      </c>
      <c r="Q2363" s="38" t="s">
        <v>41</v>
      </c>
      <c r="R2363" s="38" t="s">
        <v>270</v>
      </c>
      <c r="S2363" s="38" t="s">
        <v>5683</v>
      </c>
      <c r="T2363" s="38" t="s">
        <v>5684</v>
      </c>
      <c r="U2363" s="38"/>
      <c r="V2363" s="38"/>
      <c r="W2363" s="38"/>
      <c r="X2363" s="14"/>
      <c r="AN2363" s="7" t="s">
        <v>70</v>
      </c>
      <c r="AO2363" s="21">
        <f t="shared" si="116"/>
        <v>0</v>
      </c>
      <c r="AP2363" s="7">
        <f t="shared" si="117"/>
        <v>33.75</v>
      </c>
      <c r="AQ2363" s="31" t="str">
        <f t="shared" si="118"/>
        <v>Complete - No Adjustment</v>
      </c>
    </row>
    <row r="2364" spans="1:43" x14ac:dyDescent="0.2">
      <c r="A2364" s="46">
        <v>2354</v>
      </c>
      <c r="B2364" s="38" t="s">
        <v>266</v>
      </c>
      <c r="C2364" s="38" t="s">
        <v>4013</v>
      </c>
      <c r="D2364" s="38" t="s">
        <v>4014</v>
      </c>
      <c r="E2364" s="38" t="s">
        <v>5686</v>
      </c>
      <c r="F2364" s="38" t="s">
        <v>5388</v>
      </c>
      <c r="G2364" s="38" t="s">
        <v>111</v>
      </c>
      <c r="H2364" s="44">
        <v>44096</v>
      </c>
      <c r="I2364" s="44">
        <v>44105</v>
      </c>
      <c r="J2364">
        <v>66.099999999999994</v>
      </c>
      <c r="K2364">
        <v>9.75</v>
      </c>
      <c r="L2364" t="s">
        <v>5687</v>
      </c>
      <c r="M2364" s="45" t="s">
        <v>98</v>
      </c>
      <c r="N2364" s="38" t="s">
        <v>230</v>
      </c>
      <c r="O2364" s="38" t="s">
        <v>293</v>
      </c>
      <c r="P2364" s="38" t="s">
        <v>60</v>
      </c>
      <c r="Q2364" s="38" t="s">
        <v>41</v>
      </c>
      <c r="R2364" s="38" t="s">
        <v>270</v>
      </c>
      <c r="S2364" s="38" t="s">
        <v>5688</v>
      </c>
      <c r="T2364" s="38" t="s">
        <v>5689</v>
      </c>
      <c r="U2364" s="38"/>
      <c r="V2364" s="38"/>
      <c r="W2364" s="38"/>
      <c r="X2364" s="14"/>
      <c r="AN2364" s="7" t="s">
        <v>4219</v>
      </c>
      <c r="AO2364" s="21">
        <f t="shared" si="116"/>
        <v>0</v>
      </c>
      <c r="AP2364" s="7">
        <f t="shared" si="117"/>
        <v>9.75</v>
      </c>
      <c r="AQ2364" s="31" t="str">
        <f t="shared" si="118"/>
        <v>Complete - No Adjustment</v>
      </c>
    </row>
    <row r="2365" spans="1:43" x14ac:dyDescent="0.2">
      <c r="A2365" s="46">
        <v>2355</v>
      </c>
      <c r="B2365" s="38" t="s">
        <v>266</v>
      </c>
      <c r="C2365" s="38" t="s">
        <v>4013</v>
      </c>
      <c r="D2365" s="38" t="s">
        <v>4014</v>
      </c>
      <c r="E2365" s="38" t="s">
        <v>5686</v>
      </c>
      <c r="F2365" s="38" t="s">
        <v>5388</v>
      </c>
      <c r="G2365" s="38" t="s">
        <v>111</v>
      </c>
      <c r="H2365" s="44">
        <v>44096</v>
      </c>
      <c r="I2365" s="44">
        <v>44105</v>
      </c>
      <c r="J2365">
        <v>66.099999999999994</v>
      </c>
      <c r="K2365">
        <v>56.35</v>
      </c>
      <c r="L2365" t="s">
        <v>5687</v>
      </c>
      <c r="M2365" s="45" t="s">
        <v>98</v>
      </c>
      <c r="N2365" s="38" t="s">
        <v>230</v>
      </c>
      <c r="O2365" s="38" t="s">
        <v>293</v>
      </c>
      <c r="P2365" s="38" t="s">
        <v>60</v>
      </c>
      <c r="Q2365" s="38" t="s">
        <v>44</v>
      </c>
      <c r="R2365" s="38" t="s">
        <v>270</v>
      </c>
      <c r="S2365" s="38" t="s">
        <v>5688</v>
      </c>
      <c r="T2365" s="38" t="s">
        <v>5690</v>
      </c>
      <c r="U2365" s="38"/>
      <c r="V2365" s="38"/>
      <c r="W2365" s="38"/>
      <c r="X2365" s="14"/>
      <c r="AN2365" s="7" t="s">
        <v>70</v>
      </c>
      <c r="AO2365" s="21">
        <f t="shared" si="116"/>
        <v>0</v>
      </c>
      <c r="AP2365" s="7">
        <f t="shared" si="117"/>
        <v>56.35</v>
      </c>
      <c r="AQ2365" s="31" t="str">
        <f t="shared" si="118"/>
        <v>Complete - No Adjustment</v>
      </c>
    </row>
    <row r="2366" spans="1:43" x14ac:dyDescent="0.2">
      <c r="A2366" s="46">
        <v>2356</v>
      </c>
      <c r="B2366" s="38" t="s">
        <v>266</v>
      </c>
      <c r="C2366" s="38" t="s">
        <v>5691</v>
      </c>
      <c r="D2366" s="38" t="s">
        <v>5692</v>
      </c>
      <c r="E2366" s="38" t="s">
        <v>5693</v>
      </c>
      <c r="F2366" s="38" t="s">
        <v>5480</v>
      </c>
      <c r="G2366" s="38" t="s">
        <v>111</v>
      </c>
      <c r="H2366" s="44">
        <v>44110</v>
      </c>
      <c r="I2366" s="44">
        <v>44111</v>
      </c>
      <c r="J2366">
        <v>26.37</v>
      </c>
      <c r="K2366">
        <v>26.37</v>
      </c>
      <c r="L2366" t="s">
        <v>5694</v>
      </c>
      <c r="M2366" s="45" t="s">
        <v>98</v>
      </c>
      <c r="N2366" s="38" t="s">
        <v>230</v>
      </c>
      <c r="O2366" s="38" t="s">
        <v>472</v>
      </c>
      <c r="P2366" s="38" t="s">
        <v>60</v>
      </c>
      <c r="Q2366" s="38" t="s">
        <v>41</v>
      </c>
      <c r="R2366" s="38" t="s">
        <v>270</v>
      </c>
      <c r="S2366" s="38" t="s">
        <v>5695</v>
      </c>
      <c r="T2366" s="38" t="s">
        <v>5696</v>
      </c>
      <c r="U2366" s="38"/>
      <c r="V2366" s="38"/>
      <c r="W2366" s="38"/>
      <c r="X2366" s="14"/>
      <c r="AN2366" s="7" t="s">
        <v>70</v>
      </c>
      <c r="AO2366" s="21">
        <f t="shared" si="116"/>
        <v>0</v>
      </c>
      <c r="AP2366" s="7">
        <f t="shared" si="117"/>
        <v>26.37</v>
      </c>
      <c r="AQ2366" s="31" t="str">
        <f t="shared" si="118"/>
        <v>Complete - No Adjustment</v>
      </c>
    </row>
    <row r="2367" spans="1:43" x14ac:dyDescent="0.2">
      <c r="A2367" s="46">
        <v>2357</v>
      </c>
      <c r="B2367" s="38" t="s">
        <v>266</v>
      </c>
      <c r="C2367" s="38" t="s">
        <v>5691</v>
      </c>
      <c r="D2367" s="38" t="s">
        <v>5692</v>
      </c>
      <c r="E2367" s="38" t="s">
        <v>5697</v>
      </c>
      <c r="F2367" s="38" t="s">
        <v>5412</v>
      </c>
      <c r="G2367" s="38" t="s">
        <v>111</v>
      </c>
      <c r="H2367" s="44">
        <v>44112</v>
      </c>
      <c r="I2367" s="44">
        <v>44117</v>
      </c>
      <c r="J2367">
        <v>129.99</v>
      </c>
      <c r="K2367">
        <v>129.99</v>
      </c>
      <c r="L2367" t="s">
        <v>5698</v>
      </c>
      <c r="M2367" s="45" t="s">
        <v>98</v>
      </c>
      <c r="N2367" s="38" t="s">
        <v>230</v>
      </c>
      <c r="O2367" s="38" t="s">
        <v>472</v>
      </c>
      <c r="P2367" s="38" t="s">
        <v>60</v>
      </c>
      <c r="Q2367" s="38" t="s">
        <v>601</v>
      </c>
      <c r="R2367" s="38" t="s">
        <v>270</v>
      </c>
      <c r="S2367" s="38" t="s">
        <v>5699</v>
      </c>
      <c r="T2367" s="38" t="s">
        <v>5700</v>
      </c>
      <c r="U2367" s="38"/>
      <c r="V2367" s="38"/>
      <c r="W2367" s="38"/>
      <c r="X2367" s="14"/>
      <c r="AL2367" s="14">
        <f>129.99</f>
        <v>129.99</v>
      </c>
      <c r="AN2367" s="7" t="s">
        <v>146</v>
      </c>
      <c r="AO2367" s="21">
        <f t="shared" si="116"/>
        <v>129.99</v>
      </c>
      <c r="AP2367" s="7">
        <f t="shared" si="117"/>
        <v>0</v>
      </c>
      <c r="AQ2367" s="31" t="str">
        <f t="shared" si="118"/>
        <v>Complete - With Adjustment</v>
      </c>
    </row>
    <row r="2368" spans="1:43" x14ac:dyDescent="0.2">
      <c r="A2368" s="46">
        <v>2358</v>
      </c>
      <c r="B2368" s="38" t="s">
        <v>266</v>
      </c>
      <c r="C2368" s="38" t="s">
        <v>556</v>
      </c>
      <c r="D2368" s="38" t="s">
        <v>555</v>
      </c>
      <c r="E2368" s="38" t="s">
        <v>5701</v>
      </c>
      <c r="F2368" s="38" t="s">
        <v>5388</v>
      </c>
      <c r="G2368" s="38" t="s">
        <v>111</v>
      </c>
      <c r="H2368" s="44">
        <v>44099</v>
      </c>
      <c r="I2368" s="44">
        <v>44105</v>
      </c>
      <c r="J2368">
        <v>273.19</v>
      </c>
      <c r="K2368">
        <v>25.7</v>
      </c>
      <c r="L2368" t="s">
        <v>5702</v>
      </c>
      <c r="M2368" s="45" t="s">
        <v>97</v>
      </c>
      <c r="N2368" s="38" t="s">
        <v>230</v>
      </c>
      <c r="O2368" s="38" t="s">
        <v>386</v>
      </c>
      <c r="P2368" s="38" t="s">
        <v>42</v>
      </c>
      <c r="Q2368" s="38" t="s">
        <v>55</v>
      </c>
      <c r="R2368" s="38" t="s">
        <v>270</v>
      </c>
      <c r="S2368" s="38" t="s">
        <v>5703</v>
      </c>
      <c r="T2368" s="38" t="s">
        <v>5704</v>
      </c>
      <c r="U2368" s="38"/>
      <c r="V2368" s="38"/>
      <c r="W2368" s="38"/>
      <c r="X2368" s="14"/>
      <c r="AI2368" s="53">
        <f>25.7</f>
        <v>25.7</v>
      </c>
      <c r="AN2368" s="7" t="s">
        <v>145</v>
      </c>
      <c r="AO2368" s="21">
        <f t="shared" si="116"/>
        <v>25.7</v>
      </c>
      <c r="AP2368" s="7">
        <f t="shared" si="117"/>
        <v>0</v>
      </c>
      <c r="AQ2368" s="31" t="str">
        <f t="shared" si="118"/>
        <v>Complete - With Adjustment</v>
      </c>
    </row>
    <row r="2369" spans="1:43" x14ac:dyDescent="0.2">
      <c r="A2369" s="46">
        <v>2359</v>
      </c>
      <c r="B2369" s="38" t="s">
        <v>266</v>
      </c>
      <c r="C2369" s="38" t="s">
        <v>556</v>
      </c>
      <c r="D2369" s="38" t="s">
        <v>555</v>
      </c>
      <c r="E2369" s="38" t="s">
        <v>5701</v>
      </c>
      <c r="F2369" s="38" t="s">
        <v>5388</v>
      </c>
      <c r="G2369" s="38" t="s">
        <v>111</v>
      </c>
      <c r="H2369" s="44">
        <v>44099</v>
      </c>
      <c r="I2369" s="44">
        <v>44105</v>
      </c>
      <c r="J2369">
        <v>273.19</v>
      </c>
      <c r="K2369">
        <v>20</v>
      </c>
      <c r="L2369" t="s">
        <v>5702</v>
      </c>
      <c r="M2369" s="45" t="s">
        <v>98</v>
      </c>
      <c r="N2369" s="38" t="s">
        <v>230</v>
      </c>
      <c r="O2369" s="38" t="s">
        <v>386</v>
      </c>
      <c r="P2369" s="38" t="s">
        <v>60</v>
      </c>
      <c r="Q2369" s="38" t="s">
        <v>46</v>
      </c>
      <c r="R2369" s="38" t="s">
        <v>270</v>
      </c>
      <c r="S2369" s="38" t="s">
        <v>5703</v>
      </c>
      <c r="T2369" s="38" t="s">
        <v>5705</v>
      </c>
      <c r="U2369" s="38"/>
      <c r="V2369" s="38"/>
      <c r="W2369" s="38"/>
      <c r="X2369" s="14"/>
      <c r="AI2369" s="53">
        <f>20</f>
        <v>20</v>
      </c>
      <c r="AN2369" s="7" t="s">
        <v>145</v>
      </c>
      <c r="AO2369" s="21">
        <f t="shared" si="116"/>
        <v>20</v>
      </c>
      <c r="AP2369" s="7">
        <f t="shared" si="117"/>
        <v>0</v>
      </c>
      <c r="AQ2369" s="31" t="str">
        <f t="shared" si="118"/>
        <v>Complete - With Adjustment</v>
      </c>
    </row>
    <row r="2370" spans="1:43" x14ac:dyDescent="0.2">
      <c r="A2370" s="46">
        <v>2360</v>
      </c>
      <c r="B2370" s="38" t="s">
        <v>266</v>
      </c>
      <c r="C2370" s="38" t="s">
        <v>556</v>
      </c>
      <c r="D2370" s="38" t="s">
        <v>555</v>
      </c>
      <c r="E2370" s="38" t="s">
        <v>5701</v>
      </c>
      <c r="F2370" s="38" t="s">
        <v>5388</v>
      </c>
      <c r="G2370" s="38" t="s">
        <v>111</v>
      </c>
      <c r="H2370" s="44">
        <v>44099</v>
      </c>
      <c r="I2370" s="44">
        <v>44105</v>
      </c>
      <c r="J2370">
        <v>273.19</v>
      </c>
      <c r="K2370">
        <v>40.19</v>
      </c>
      <c r="L2370" t="s">
        <v>5702</v>
      </c>
      <c r="M2370" s="45" t="s">
        <v>97</v>
      </c>
      <c r="N2370" s="38" t="s">
        <v>230</v>
      </c>
      <c r="O2370" s="38" t="s">
        <v>386</v>
      </c>
      <c r="P2370" s="38" t="s">
        <v>42</v>
      </c>
      <c r="Q2370" s="38" t="s">
        <v>55</v>
      </c>
      <c r="R2370" s="38" t="s">
        <v>270</v>
      </c>
      <c r="S2370" s="38" t="s">
        <v>5703</v>
      </c>
      <c r="T2370" s="38" t="s">
        <v>5706</v>
      </c>
      <c r="U2370" s="38"/>
      <c r="V2370" s="38"/>
      <c r="W2370" s="38"/>
      <c r="X2370" s="14"/>
      <c r="AI2370" s="53">
        <f>40.19</f>
        <v>40.19</v>
      </c>
      <c r="AN2370" s="7" t="s">
        <v>145</v>
      </c>
      <c r="AO2370" s="21">
        <f t="shared" si="116"/>
        <v>40.19</v>
      </c>
      <c r="AP2370" s="7">
        <f t="shared" si="117"/>
        <v>0</v>
      </c>
      <c r="AQ2370" s="31" t="str">
        <f t="shared" si="118"/>
        <v>Complete - With Adjustment</v>
      </c>
    </row>
    <row r="2371" spans="1:43" x14ac:dyDescent="0.2">
      <c r="A2371" s="46">
        <v>2361</v>
      </c>
      <c r="B2371" s="38" t="s">
        <v>266</v>
      </c>
      <c r="C2371" s="38" t="s">
        <v>556</v>
      </c>
      <c r="D2371" s="38" t="s">
        <v>555</v>
      </c>
      <c r="E2371" s="38" t="s">
        <v>5701</v>
      </c>
      <c r="F2371" s="38" t="s">
        <v>5388</v>
      </c>
      <c r="G2371" s="38" t="s">
        <v>111</v>
      </c>
      <c r="H2371" s="44">
        <v>44099</v>
      </c>
      <c r="I2371" s="44">
        <v>44105</v>
      </c>
      <c r="J2371">
        <v>273.19</v>
      </c>
      <c r="K2371">
        <v>37.44</v>
      </c>
      <c r="L2371" t="s">
        <v>5702</v>
      </c>
      <c r="M2371" s="45" t="s">
        <v>97</v>
      </c>
      <c r="N2371" s="38" t="s">
        <v>230</v>
      </c>
      <c r="O2371" s="38" t="s">
        <v>386</v>
      </c>
      <c r="P2371" s="38" t="s">
        <v>42</v>
      </c>
      <c r="Q2371" s="38" t="s">
        <v>55</v>
      </c>
      <c r="R2371" s="38" t="s">
        <v>270</v>
      </c>
      <c r="S2371" s="38" t="s">
        <v>5703</v>
      </c>
      <c r="T2371" s="38" t="s">
        <v>5707</v>
      </c>
      <c r="U2371" s="38"/>
      <c r="V2371" s="38"/>
      <c r="W2371" s="38"/>
      <c r="X2371" s="14"/>
      <c r="AI2371" s="53">
        <f>37.44</f>
        <v>37.44</v>
      </c>
      <c r="AN2371" s="7" t="s">
        <v>145</v>
      </c>
      <c r="AO2371" s="21">
        <f t="shared" si="116"/>
        <v>37.44</v>
      </c>
      <c r="AP2371" s="7">
        <f t="shared" si="117"/>
        <v>0</v>
      </c>
      <c r="AQ2371" s="31" t="str">
        <f t="shared" si="118"/>
        <v>Complete - With Adjustment</v>
      </c>
    </row>
    <row r="2372" spans="1:43" x14ac:dyDescent="0.2">
      <c r="A2372" s="46">
        <v>2362</v>
      </c>
      <c r="B2372" s="38" t="s">
        <v>266</v>
      </c>
      <c r="C2372" s="38" t="s">
        <v>556</v>
      </c>
      <c r="D2372" s="38" t="s">
        <v>555</v>
      </c>
      <c r="E2372" s="38" t="s">
        <v>5701</v>
      </c>
      <c r="F2372" s="38" t="s">
        <v>5388</v>
      </c>
      <c r="G2372" s="38" t="s">
        <v>111</v>
      </c>
      <c r="H2372" s="44">
        <v>44099</v>
      </c>
      <c r="I2372" s="44">
        <v>44105</v>
      </c>
      <c r="J2372">
        <v>273.19</v>
      </c>
      <c r="K2372">
        <v>37.54</v>
      </c>
      <c r="L2372" t="s">
        <v>5702</v>
      </c>
      <c r="M2372" s="45" t="s">
        <v>97</v>
      </c>
      <c r="N2372" s="38" t="s">
        <v>230</v>
      </c>
      <c r="O2372" s="38" t="s">
        <v>386</v>
      </c>
      <c r="P2372" s="38" t="s">
        <v>42</v>
      </c>
      <c r="Q2372" s="38" t="s">
        <v>55</v>
      </c>
      <c r="R2372" s="38" t="s">
        <v>270</v>
      </c>
      <c r="S2372" s="38" t="s">
        <v>5703</v>
      </c>
      <c r="T2372" s="38" t="s">
        <v>5708</v>
      </c>
      <c r="U2372" s="38"/>
      <c r="V2372" s="38"/>
      <c r="W2372" s="38"/>
      <c r="X2372" s="14"/>
      <c r="AI2372" s="53">
        <f>37.54</f>
        <v>37.54</v>
      </c>
      <c r="AN2372" s="7" t="s">
        <v>145</v>
      </c>
      <c r="AO2372" s="21">
        <f t="shared" si="116"/>
        <v>37.54</v>
      </c>
      <c r="AP2372" s="7">
        <f t="shared" si="117"/>
        <v>0</v>
      </c>
      <c r="AQ2372" s="31" t="str">
        <f t="shared" si="118"/>
        <v>Complete - With Adjustment</v>
      </c>
    </row>
    <row r="2373" spans="1:43" x14ac:dyDescent="0.2">
      <c r="A2373" s="46">
        <v>2363</v>
      </c>
      <c r="B2373" s="38" t="s">
        <v>266</v>
      </c>
      <c r="C2373" s="38" t="s">
        <v>556</v>
      </c>
      <c r="D2373" s="38" t="s">
        <v>555</v>
      </c>
      <c r="E2373" s="38" t="s">
        <v>5701</v>
      </c>
      <c r="F2373" s="38" t="s">
        <v>5388</v>
      </c>
      <c r="G2373" s="38" t="s">
        <v>111</v>
      </c>
      <c r="H2373" s="44">
        <v>44099</v>
      </c>
      <c r="I2373" s="44">
        <v>44105</v>
      </c>
      <c r="J2373">
        <v>273.19</v>
      </c>
      <c r="K2373">
        <v>35.69</v>
      </c>
      <c r="L2373" t="s">
        <v>5702</v>
      </c>
      <c r="M2373" s="45" t="s">
        <v>97</v>
      </c>
      <c r="N2373" s="38" t="s">
        <v>230</v>
      </c>
      <c r="O2373" s="38" t="s">
        <v>386</v>
      </c>
      <c r="P2373" s="38" t="s">
        <v>42</v>
      </c>
      <c r="Q2373" s="38" t="s">
        <v>55</v>
      </c>
      <c r="R2373" s="38" t="s">
        <v>270</v>
      </c>
      <c r="S2373" s="38" t="s">
        <v>5703</v>
      </c>
      <c r="T2373" s="38" t="s">
        <v>5707</v>
      </c>
      <c r="U2373" s="38"/>
      <c r="V2373" s="38"/>
      <c r="W2373" s="38"/>
      <c r="X2373" s="14"/>
      <c r="AI2373" s="53">
        <f>35.69</f>
        <v>35.69</v>
      </c>
      <c r="AN2373" s="7" t="s">
        <v>145</v>
      </c>
      <c r="AO2373" s="21">
        <f t="shared" si="116"/>
        <v>35.69</v>
      </c>
      <c r="AP2373" s="7">
        <f t="shared" si="117"/>
        <v>0</v>
      </c>
      <c r="AQ2373" s="31" t="str">
        <f t="shared" si="118"/>
        <v>Complete - With Adjustment</v>
      </c>
    </row>
    <row r="2374" spans="1:43" x14ac:dyDescent="0.2">
      <c r="A2374" s="46">
        <v>2364</v>
      </c>
      <c r="B2374" s="38" t="s">
        <v>266</v>
      </c>
      <c r="C2374" s="38" t="s">
        <v>556</v>
      </c>
      <c r="D2374" s="38" t="s">
        <v>555</v>
      </c>
      <c r="E2374" s="38" t="s">
        <v>5701</v>
      </c>
      <c r="F2374" s="38" t="s">
        <v>5388</v>
      </c>
      <c r="G2374" s="38" t="s">
        <v>111</v>
      </c>
      <c r="H2374" s="44">
        <v>44099</v>
      </c>
      <c r="I2374" s="44">
        <v>44105</v>
      </c>
      <c r="J2374">
        <v>273.19</v>
      </c>
      <c r="K2374">
        <v>32.07</v>
      </c>
      <c r="L2374" t="s">
        <v>5702</v>
      </c>
      <c r="M2374" s="45" t="s">
        <v>97</v>
      </c>
      <c r="N2374" s="38" t="s">
        <v>230</v>
      </c>
      <c r="O2374" s="38" t="s">
        <v>386</v>
      </c>
      <c r="P2374" s="38" t="s">
        <v>42</v>
      </c>
      <c r="Q2374" s="38" t="s">
        <v>55</v>
      </c>
      <c r="R2374" s="38" t="s">
        <v>270</v>
      </c>
      <c r="S2374" s="38" t="s">
        <v>5703</v>
      </c>
      <c r="T2374" s="38" t="s">
        <v>5709</v>
      </c>
      <c r="U2374" s="38"/>
      <c r="V2374" s="38"/>
      <c r="W2374" s="38"/>
      <c r="X2374" s="14"/>
      <c r="AI2374" s="53">
        <f>32.07</f>
        <v>32.07</v>
      </c>
      <c r="AN2374" s="7" t="s">
        <v>145</v>
      </c>
      <c r="AO2374" s="21">
        <f t="shared" ref="AO2374:AO2437" si="119">SUM(Y2374:AL2374)</f>
        <v>32.07</v>
      </c>
      <c r="AP2374" s="7">
        <f t="shared" ref="AP2374:AP2437" si="120">K2374-AO2374</f>
        <v>0</v>
      </c>
      <c r="AQ2374" s="31" t="str">
        <f t="shared" ref="AQ2374:AQ2437" si="121">IF(AO2374&lt;&gt;0,"Complete - With Adjustment","Complete - No Adjustment")</f>
        <v>Complete - With Adjustment</v>
      </c>
    </row>
    <row r="2375" spans="1:43" x14ac:dyDescent="0.2">
      <c r="A2375" s="46">
        <v>2365</v>
      </c>
      <c r="B2375" s="38" t="s">
        <v>266</v>
      </c>
      <c r="C2375" s="38" t="s">
        <v>556</v>
      </c>
      <c r="D2375" s="38" t="s">
        <v>555</v>
      </c>
      <c r="E2375" s="38" t="s">
        <v>5701</v>
      </c>
      <c r="F2375" s="38" t="s">
        <v>5388</v>
      </c>
      <c r="G2375" s="38" t="s">
        <v>111</v>
      </c>
      <c r="H2375" s="44">
        <v>44099</v>
      </c>
      <c r="I2375" s="44">
        <v>44105</v>
      </c>
      <c r="J2375">
        <v>273.19</v>
      </c>
      <c r="K2375">
        <v>44.56</v>
      </c>
      <c r="L2375" t="s">
        <v>5702</v>
      </c>
      <c r="M2375" s="45" t="s">
        <v>97</v>
      </c>
      <c r="N2375" s="38" t="s">
        <v>230</v>
      </c>
      <c r="O2375" s="38" t="s">
        <v>386</v>
      </c>
      <c r="P2375" s="38" t="s">
        <v>42</v>
      </c>
      <c r="Q2375" s="38" t="s">
        <v>55</v>
      </c>
      <c r="R2375" s="38" t="s">
        <v>270</v>
      </c>
      <c r="S2375" s="38" t="s">
        <v>5703</v>
      </c>
      <c r="T2375" s="38" t="s">
        <v>5708</v>
      </c>
      <c r="U2375" s="38"/>
      <c r="V2375" s="38"/>
      <c r="W2375" s="38"/>
      <c r="X2375" s="14"/>
      <c r="AI2375" s="53">
        <f>44.56</f>
        <v>44.56</v>
      </c>
      <c r="AN2375" s="7" t="s">
        <v>145</v>
      </c>
      <c r="AO2375" s="21">
        <f t="shared" si="119"/>
        <v>44.56</v>
      </c>
      <c r="AP2375" s="7">
        <f t="shared" si="120"/>
        <v>0</v>
      </c>
      <c r="AQ2375" s="31" t="str">
        <f t="shared" si="121"/>
        <v>Complete - With Adjustment</v>
      </c>
    </row>
    <row r="2376" spans="1:43" x14ac:dyDescent="0.2">
      <c r="A2376" s="46">
        <v>2366</v>
      </c>
      <c r="B2376" s="38" t="s">
        <v>266</v>
      </c>
      <c r="C2376" s="38" t="s">
        <v>437</v>
      </c>
      <c r="D2376" s="38" t="s">
        <v>436</v>
      </c>
      <c r="E2376" s="38" t="s">
        <v>5710</v>
      </c>
      <c r="F2376" s="38" t="s">
        <v>5490</v>
      </c>
      <c r="G2376" s="38" t="s">
        <v>111</v>
      </c>
      <c r="H2376" s="44">
        <v>44127</v>
      </c>
      <c r="I2376" s="44">
        <v>44131</v>
      </c>
      <c r="J2376">
        <v>52.95</v>
      </c>
      <c r="K2376">
        <v>20.53</v>
      </c>
      <c r="L2376" t="s">
        <v>5711</v>
      </c>
      <c r="M2376" s="45" t="s">
        <v>98</v>
      </c>
      <c r="N2376" s="38" t="s">
        <v>230</v>
      </c>
      <c r="O2376" s="38" t="s">
        <v>288</v>
      </c>
      <c r="P2376" s="38" t="s">
        <v>60</v>
      </c>
      <c r="Q2376" s="38" t="s">
        <v>41</v>
      </c>
      <c r="R2376" s="38" t="s">
        <v>270</v>
      </c>
      <c r="S2376" s="38" t="s">
        <v>5712</v>
      </c>
      <c r="T2376" s="38" t="s">
        <v>5713</v>
      </c>
      <c r="U2376" s="38"/>
      <c r="V2376" s="38"/>
      <c r="W2376" s="38"/>
      <c r="X2376" s="14"/>
      <c r="AN2376" s="7" t="s">
        <v>155</v>
      </c>
      <c r="AO2376" s="21">
        <f t="shared" si="119"/>
        <v>0</v>
      </c>
      <c r="AP2376" s="7">
        <f t="shared" si="120"/>
        <v>20.53</v>
      </c>
      <c r="AQ2376" s="31" t="str">
        <f t="shared" si="121"/>
        <v>Complete - No Adjustment</v>
      </c>
    </row>
    <row r="2377" spans="1:43" x14ac:dyDescent="0.2">
      <c r="A2377" s="46">
        <v>2367</v>
      </c>
      <c r="B2377" s="38" t="s">
        <v>266</v>
      </c>
      <c r="C2377" s="38" t="s">
        <v>437</v>
      </c>
      <c r="D2377" s="38" t="s">
        <v>436</v>
      </c>
      <c r="E2377" s="38" t="s">
        <v>5710</v>
      </c>
      <c r="F2377" s="38" t="s">
        <v>5490</v>
      </c>
      <c r="G2377" s="38" t="s">
        <v>111</v>
      </c>
      <c r="H2377" s="44">
        <v>44127</v>
      </c>
      <c r="I2377" s="44">
        <v>44131</v>
      </c>
      <c r="J2377">
        <v>52.95</v>
      </c>
      <c r="K2377">
        <v>17.420000000000002</v>
      </c>
      <c r="L2377" t="s">
        <v>5711</v>
      </c>
      <c r="M2377" s="45" t="s">
        <v>98</v>
      </c>
      <c r="N2377" s="38" t="s">
        <v>230</v>
      </c>
      <c r="O2377" s="38" t="s">
        <v>288</v>
      </c>
      <c r="P2377" s="38" t="s">
        <v>60</v>
      </c>
      <c r="Q2377" s="38" t="s">
        <v>41</v>
      </c>
      <c r="R2377" s="38" t="s">
        <v>270</v>
      </c>
      <c r="S2377" s="38" t="s">
        <v>5712</v>
      </c>
      <c r="T2377" s="38" t="s">
        <v>5714</v>
      </c>
      <c r="U2377" s="38"/>
      <c r="V2377" s="38"/>
      <c r="W2377" s="38"/>
      <c r="X2377" s="14"/>
      <c r="AN2377" s="7" t="s">
        <v>155</v>
      </c>
      <c r="AO2377" s="21">
        <f t="shared" si="119"/>
        <v>0</v>
      </c>
      <c r="AP2377" s="7">
        <f t="shared" si="120"/>
        <v>17.420000000000002</v>
      </c>
      <c r="AQ2377" s="31" t="str">
        <f t="shared" si="121"/>
        <v>Complete - No Adjustment</v>
      </c>
    </row>
    <row r="2378" spans="1:43" x14ac:dyDescent="0.2">
      <c r="A2378" s="46">
        <v>2368</v>
      </c>
      <c r="B2378" s="38" t="s">
        <v>266</v>
      </c>
      <c r="C2378" s="38" t="s">
        <v>437</v>
      </c>
      <c r="D2378" s="38" t="s">
        <v>436</v>
      </c>
      <c r="E2378" s="38" t="s">
        <v>5710</v>
      </c>
      <c r="F2378" s="38" t="s">
        <v>5490</v>
      </c>
      <c r="G2378" s="38" t="s">
        <v>111</v>
      </c>
      <c r="H2378" s="44">
        <v>44127</v>
      </c>
      <c r="I2378" s="44">
        <v>44131</v>
      </c>
      <c r="J2378">
        <v>52.95</v>
      </c>
      <c r="K2378">
        <v>15</v>
      </c>
      <c r="L2378" t="s">
        <v>5711</v>
      </c>
      <c r="M2378" s="45" t="s">
        <v>98</v>
      </c>
      <c r="N2378" s="38" t="s">
        <v>230</v>
      </c>
      <c r="O2378" s="38" t="s">
        <v>288</v>
      </c>
      <c r="P2378" s="38" t="s">
        <v>60</v>
      </c>
      <c r="Q2378" s="38" t="s">
        <v>41</v>
      </c>
      <c r="R2378" s="38" t="s">
        <v>270</v>
      </c>
      <c r="S2378" s="38" t="s">
        <v>5712</v>
      </c>
      <c r="T2378" s="38" t="s">
        <v>5715</v>
      </c>
      <c r="U2378" s="38"/>
      <c r="V2378" s="38"/>
      <c r="W2378" s="38"/>
      <c r="X2378" s="14"/>
      <c r="AN2378" s="7" t="s">
        <v>155</v>
      </c>
      <c r="AO2378" s="21">
        <f t="shared" si="119"/>
        <v>0</v>
      </c>
      <c r="AP2378" s="7">
        <f t="shared" si="120"/>
        <v>15</v>
      </c>
      <c r="AQ2378" s="31" t="str">
        <f t="shared" si="121"/>
        <v>Complete - No Adjustment</v>
      </c>
    </row>
    <row r="2379" spans="1:43" x14ac:dyDescent="0.2">
      <c r="A2379" s="46">
        <v>2369</v>
      </c>
      <c r="B2379" s="38" t="s">
        <v>266</v>
      </c>
      <c r="C2379" s="38" t="s">
        <v>678</v>
      </c>
      <c r="D2379" s="38" t="s">
        <v>677</v>
      </c>
      <c r="E2379" s="38" t="s">
        <v>5716</v>
      </c>
      <c r="F2379" s="38" t="s">
        <v>5475</v>
      </c>
      <c r="G2379" s="38" t="s">
        <v>111</v>
      </c>
      <c r="H2379" s="44">
        <v>44119</v>
      </c>
      <c r="I2379" s="44">
        <v>44133</v>
      </c>
      <c r="J2379">
        <v>175</v>
      </c>
      <c r="K2379">
        <v>75</v>
      </c>
      <c r="L2379" t="s">
        <v>5717</v>
      </c>
      <c r="M2379" s="45" t="s">
        <v>98</v>
      </c>
      <c r="N2379" s="38" t="s">
        <v>230</v>
      </c>
      <c r="O2379" s="38" t="s">
        <v>78</v>
      </c>
      <c r="P2379" s="38" t="s">
        <v>60</v>
      </c>
      <c r="Q2379" s="38" t="s">
        <v>119</v>
      </c>
      <c r="R2379" s="38" t="s">
        <v>270</v>
      </c>
      <c r="S2379" s="38" t="s">
        <v>5718</v>
      </c>
      <c r="T2379" s="38" t="s">
        <v>5719</v>
      </c>
      <c r="U2379" s="38"/>
      <c r="V2379" s="38"/>
      <c r="W2379" s="38"/>
      <c r="X2379" s="14"/>
      <c r="AN2379" s="7" t="s">
        <v>70</v>
      </c>
      <c r="AO2379" s="21">
        <f t="shared" si="119"/>
        <v>0</v>
      </c>
      <c r="AP2379" s="7">
        <f t="shared" si="120"/>
        <v>75</v>
      </c>
      <c r="AQ2379" s="31" t="str">
        <f t="shared" si="121"/>
        <v>Complete - No Adjustment</v>
      </c>
    </row>
    <row r="2380" spans="1:43" x14ac:dyDescent="0.2">
      <c r="A2380" s="46">
        <v>2370</v>
      </c>
      <c r="B2380" s="38" t="s">
        <v>266</v>
      </c>
      <c r="C2380" s="38" t="s">
        <v>678</v>
      </c>
      <c r="D2380" s="38" t="s">
        <v>677</v>
      </c>
      <c r="E2380" s="38" t="s">
        <v>5716</v>
      </c>
      <c r="F2380" s="38" t="s">
        <v>5475</v>
      </c>
      <c r="G2380" s="38" t="s">
        <v>111</v>
      </c>
      <c r="H2380" s="44">
        <v>44119</v>
      </c>
      <c r="I2380" s="44">
        <v>44133</v>
      </c>
      <c r="J2380">
        <v>175</v>
      </c>
      <c r="K2380">
        <v>100</v>
      </c>
      <c r="L2380" t="s">
        <v>5717</v>
      </c>
      <c r="M2380" s="45" t="s">
        <v>98</v>
      </c>
      <c r="N2380" s="38" t="s">
        <v>230</v>
      </c>
      <c r="O2380" s="38" t="s">
        <v>78</v>
      </c>
      <c r="P2380" s="38" t="s">
        <v>60</v>
      </c>
      <c r="Q2380" s="38" t="s">
        <v>48</v>
      </c>
      <c r="R2380" s="38" t="s">
        <v>270</v>
      </c>
      <c r="S2380" s="38" t="s">
        <v>5718</v>
      </c>
      <c r="T2380" s="38" t="s">
        <v>5720</v>
      </c>
      <c r="U2380" s="38"/>
      <c r="V2380" s="38"/>
      <c r="W2380" s="38"/>
      <c r="X2380" s="14"/>
      <c r="AN2380" s="7" t="s">
        <v>70</v>
      </c>
      <c r="AO2380" s="21">
        <f t="shared" si="119"/>
        <v>0</v>
      </c>
      <c r="AP2380" s="7">
        <f t="shared" si="120"/>
        <v>100</v>
      </c>
      <c r="AQ2380" s="31" t="str">
        <f t="shared" si="121"/>
        <v>Complete - No Adjustment</v>
      </c>
    </row>
    <row r="2381" spans="1:43" x14ac:dyDescent="0.2">
      <c r="A2381" s="46">
        <v>2371</v>
      </c>
      <c r="B2381" s="38" t="s">
        <v>266</v>
      </c>
      <c r="C2381" s="38" t="s">
        <v>561</v>
      </c>
      <c r="D2381" s="38" t="s">
        <v>560</v>
      </c>
      <c r="E2381" s="38" t="s">
        <v>5721</v>
      </c>
      <c r="F2381" s="38" t="s">
        <v>5369</v>
      </c>
      <c r="G2381" s="38" t="s">
        <v>111</v>
      </c>
      <c r="H2381" s="44">
        <v>44103</v>
      </c>
      <c r="I2381" s="44">
        <v>44109</v>
      </c>
      <c r="J2381">
        <v>23.64</v>
      </c>
      <c r="K2381">
        <v>11.14</v>
      </c>
      <c r="L2381" t="s">
        <v>5722</v>
      </c>
      <c r="M2381" s="45" t="s">
        <v>98</v>
      </c>
      <c r="N2381" s="38" t="s">
        <v>230</v>
      </c>
      <c r="O2381" s="38" t="s">
        <v>281</v>
      </c>
      <c r="P2381" s="38" t="s">
        <v>60</v>
      </c>
      <c r="Q2381" s="38" t="s">
        <v>41</v>
      </c>
      <c r="R2381" s="38" t="s">
        <v>270</v>
      </c>
      <c r="S2381" s="38" t="s">
        <v>5019</v>
      </c>
      <c r="T2381" s="38" t="s">
        <v>5020</v>
      </c>
      <c r="U2381" s="38"/>
      <c r="V2381" s="38"/>
      <c r="W2381" s="38"/>
      <c r="X2381" s="14"/>
      <c r="AN2381" s="7" t="s">
        <v>155</v>
      </c>
      <c r="AO2381" s="21">
        <f t="shared" si="119"/>
        <v>0</v>
      </c>
      <c r="AP2381" s="7">
        <f t="shared" si="120"/>
        <v>11.14</v>
      </c>
      <c r="AQ2381" s="31" t="str">
        <f t="shared" si="121"/>
        <v>Complete - No Adjustment</v>
      </c>
    </row>
    <row r="2382" spans="1:43" x14ac:dyDescent="0.2">
      <c r="A2382" s="46">
        <v>2372</v>
      </c>
      <c r="B2382" s="38" t="s">
        <v>266</v>
      </c>
      <c r="C2382" s="38" t="s">
        <v>561</v>
      </c>
      <c r="D2382" s="38" t="s">
        <v>560</v>
      </c>
      <c r="E2382" s="38" t="s">
        <v>5721</v>
      </c>
      <c r="F2382" s="38" t="s">
        <v>5369</v>
      </c>
      <c r="G2382" s="38" t="s">
        <v>111</v>
      </c>
      <c r="H2382" s="44">
        <v>44103</v>
      </c>
      <c r="I2382" s="44">
        <v>44109</v>
      </c>
      <c r="J2382">
        <v>23.64</v>
      </c>
      <c r="K2382">
        <v>12.5</v>
      </c>
      <c r="L2382" t="s">
        <v>5722</v>
      </c>
      <c r="M2382" s="45" t="s">
        <v>98</v>
      </c>
      <c r="N2382" s="38" t="s">
        <v>230</v>
      </c>
      <c r="O2382" s="38" t="s">
        <v>281</v>
      </c>
      <c r="P2382" s="38" t="s">
        <v>60</v>
      </c>
      <c r="Q2382" s="38" t="s">
        <v>41</v>
      </c>
      <c r="R2382" s="38" t="s">
        <v>270</v>
      </c>
      <c r="S2382" s="38" t="s">
        <v>5019</v>
      </c>
      <c r="T2382" s="38" t="s">
        <v>1401</v>
      </c>
      <c r="U2382" s="38"/>
      <c r="V2382" s="38"/>
      <c r="W2382" s="38"/>
      <c r="X2382" s="14"/>
      <c r="AN2382" s="7" t="s">
        <v>155</v>
      </c>
      <c r="AO2382" s="21">
        <f t="shared" si="119"/>
        <v>0</v>
      </c>
      <c r="AP2382" s="7">
        <f t="shared" si="120"/>
        <v>12.5</v>
      </c>
      <c r="AQ2382" s="31" t="str">
        <f t="shared" si="121"/>
        <v>Complete - No Adjustment</v>
      </c>
    </row>
    <row r="2383" spans="1:43" x14ac:dyDescent="0.2">
      <c r="A2383" s="46">
        <v>2373</v>
      </c>
      <c r="B2383" s="38" t="s">
        <v>266</v>
      </c>
      <c r="C2383" s="38" t="s">
        <v>446</v>
      </c>
      <c r="D2383" s="38" t="s">
        <v>445</v>
      </c>
      <c r="E2383" s="38" t="s">
        <v>5723</v>
      </c>
      <c r="F2383" s="38" t="s">
        <v>5526</v>
      </c>
      <c r="G2383" s="38" t="s">
        <v>111</v>
      </c>
      <c r="H2383" s="44">
        <v>44119</v>
      </c>
      <c r="I2383" s="44">
        <v>44123</v>
      </c>
      <c r="J2383">
        <v>535.84</v>
      </c>
      <c r="K2383">
        <v>535.84</v>
      </c>
      <c r="L2383" t="s">
        <v>5724</v>
      </c>
      <c r="M2383" s="45" t="s">
        <v>98</v>
      </c>
      <c r="N2383" s="38" t="s">
        <v>230</v>
      </c>
      <c r="O2383" s="38" t="s">
        <v>293</v>
      </c>
      <c r="P2383" s="38" t="s">
        <v>60</v>
      </c>
      <c r="Q2383" s="38" t="s">
        <v>174</v>
      </c>
      <c r="R2383" s="38" t="s">
        <v>270</v>
      </c>
      <c r="S2383" s="38" t="s">
        <v>5725</v>
      </c>
      <c r="T2383" s="38" t="s">
        <v>5726</v>
      </c>
      <c r="U2383" s="38"/>
      <c r="V2383" s="38"/>
      <c r="W2383" s="38"/>
      <c r="X2383" s="14"/>
      <c r="AN2383" s="7" t="s">
        <v>70</v>
      </c>
      <c r="AO2383" s="21">
        <f t="shared" si="119"/>
        <v>0</v>
      </c>
      <c r="AP2383" s="7">
        <f t="shared" si="120"/>
        <v>535.84</v>
      </c>
      <c r="AQ2383" s="31" t="str">
        <f t="shared" si="121"/>
        <v>Complete - No Adjustment</v>
      </c>
    </row>
    <row r="2384" spans="1:43" x14ac:dyDescent="0.2">
      <c r="A2384" s="46">
        <v>2374</v>
      </c>
      <c r="B2384" s="38" t="s">
        <v>266</v>
      </c>
      <c r="C2384" s="38" t="s">
        <v>616</v>
      </c>
      <c r="D2384" s="38" t="s">
        <v>615</v>
      </c>
      <c r="E2384" s="38" t="s">
        <v>5727</v>
      </c>
      <c r="F2384" s="38" t="s">
        <v>5369</v>
      </c>
      <c r="G2384" s="38" t="s">
        <v>111</v>
      </c>
      <c r="H2384" s="44">
        <v>44102</v>
      </c>
      <c r="I2384" s="44">
        <v>44109</v>
      </c>
      <c r="J2384">
        <v>30</v>
      </c>
      <c r="K2384">
        <v>30</v>
      </c>
      <c r="L2384" t="s">
        <v>5728</v>
      </c>
      <c r="M2384" s="45" t="s">
        <v>98</v>
      </c>
      <c r="N2384" s="38" t="s">
        <v>230</v>
      </c>
      <c r="O2384" s="38" t="s">
        <v>386</v>
      </c>
      <c r="P2384" s="38" t="s">
        <v>60</v>
      </c>
      <c r="Q2384" s="38" t="s">
        <v>46</v>
      </c>
      <c r="R2384" s="38" t="s">
        <v>270</v>
      </c>
      <c r="S2384" s="38" t="s">
        <v>5729</v>
      </c>
      <c r="T2384" s="38" t="s">
        <v>5730</v>
      </c>
      <c r="U2384" s="38"/>
      <c r="V2384" s="38"/>
      <c r="W2384" s="38"/>
      <c r="X2384" s="14"/>
      <c r="AI2384" s="53">
        <f>30</f>
        <v>30</v>
      </c>
      <c r="AN2384" s="7" t="s">
        <v>145</v>
      </c>
      <c r="AO2384" s="21">
        <f t="shared" si="119"/>
        <v>30</v>
      </c>
      <c r="AP2384" s="7">
        <f t="shared" si="120"/>
        <v>0</v>
      </c>
      <c r="AQ2384" s="31" t="str">
        <f t="shared" si="121"/>
        <v>Complete - With Adjustment</v>
      </c>
    </row>
    <row r="2385" spans="1:43" x14ac:dyDescent="0.2">
      <c r="A2385" s="46">
        <v>2375</v>
      </c>
      <c r="B2385" s="38" t="s">
        <v>266</v>
      </c>
      <c r="C2385" s="38" t="s">
        <v>618</v>
      </c>
      <c r="D2385" s="38" t="s">
        <v>617</v>
      </c>
      <c r="E2385" s="38" t="s">
        <v>5731</v>
      </c>
      <c r="F2385" s="38" t="s">
        <v>5348</v>
      </c>
      <c r="G2385" s="38" t="s">
        <v>111</v>
      </c>
      <c r="H2385" s="44">
        <v>44103</v>
      </c>
      <c r="I2385" s="44">
        <v>44106</v>
      </c>
      <c r="J2385">
        <v>271.5</v>
      </c>
      <c r="K2385">
        <v>194.73</v>
      </c>
      <c r="L2385" t="s">
        <v>5732</v>
      </c>
      <c r="M2385" s="45" t="s">
        <v>98</v>
      </c>
      <c r="N2385" s="38" t="s">
        <v>230</v>
      </c>
      <c r="O2385" s="38" t="s">
        <v>444</v>
      </c>
      <c r="P2385" s="38" t="s">
        <v>60</v>
      </c>
      <c r="Q2385" s="38" t="s">
        <v>62</v>
      </c>
      <c r="R2385" s="38" t="s">
        <v>270</v>
      </c>
      <c r="S2385" s="38" t="s">
        <v>5733</v>
      </c>
      <c r="T2385" s="38" t="s">
        <v>5734</v>
      </c>
      <c r="U2385" s="38"/>
      <c r="V2385" s="38"/>
      <c r="W2385" s="38"/>
      <c r="X2385" s="14"/>
      <c r="AN2385" s="7" t="s">
        <v>155</v>
      </c>
      <c r="AO2385" s="21">
        <f t="shared" si="119"/>
        <v>0</v>
      </c>
      <c r="AP2385" s="7">
        <f t="shared" si="120"/>
        <v>194.73</v>
      </c>
      <c r="AQ2385" s="31" t="str">
        <f t="shared" si="121"/>
        <v>Complete - No Adjustment</v>
      </c>
    </row>
    <row r="2386" spans="1:43" x14ac:dyDescent="0.2">
      <c r="A2386" s="46">
        <v>2376</v>
      </c>
      <c r="B2386" s="38" t="s">
        <v>266</v>
      </c>
      <c r="C2386" s="38" t="s">
        <v>618</v>
      </c>
      <c r="D2386" s="38" t="s">
        <v>617</v>
      </c>
      <c r="E2386" s="38" t="s">
        <v>5731</v>
      </c>
      <c r="F2386" s="38" t="s">
        <v>5348</v>
      </c>
      <c r="G2386" s="38" t="s">
        <v>111</v>
      </c>
      <c r="H2386" s="44">
        <v>44103</v>
      </c>
      <c r="I2386" s="44">
        <v>44106</v>
      </c>
      <c r="J2386">
        <v>271.5</v>
      </c>
      <c r="K2386">
        <v>47.39</v>
      </c>
      <c r="L2386" t="s">
        <v>5732</v>
      </c>
      <c r="M2386" s="45" t="s">
        <v>98</v>
      </c>
      <c r="N2386" s="38" t="s">
        <v>230</v>
      </c>
      <c r="O2386" s="38" t="s">
        <v>444</v>
      </c>
      <c r="P2386" s="38" t="s">
        <v>60</v>
      </c>
      <c r="Q2386" s="38" t="s">
        <v>62</v>
      </c>
      <c r="R2386" s="38" t="s">
        <v>270</v>
      </c>
      <c r="S2386" s="38" t="s">
        <v>5733</v>
      </c>
      <c r="T2386" s="38" t="s">
        <v>5735</v>
      </c>
      <c r="U2386" s="38"/>
      <c r="V2386" s="38"/>
      <c r="W2386" s="38"/>
      <c r="X2386" s="14"/>
      <c r="AN2386" s="7" t="s">
        <v>155</v>
      </c>
      <c r="AO2386" s="21">
        <f t="shared" si="119"/>
        <v>0</v>
      </c>
      <c r="AP2386" s="7">
        <f t="shared" si="120"/>
        <v>47.39</v>
      </c>
      <c r="AQ2386" s="31" t="str">
        <f t="shared" si="121"/>
        <v>Complete - No Adjustment</v>
      </c>
    </row>
    <row r="2387" spans="1:43" x14ac:dyDescent="0.2">
      <c r="A2387" s="46">
        <v>2377</v>
      </c>
      <c r="B2387" s="38" t="s">
        <v>266</v>
      </c>
      <c r="C2387" s="38" t="s">
        <v>618</v>
      </c>
      <c r="D2387" s="38" t="s">
        <v>617</v>
      </c>
      <c r="E2387" s="38" t="s">
        <v>5731</v>
      </c>
      <c r="F2387" s="38" t="s">
        <v>5348</v>
      </c>
      <c r="G2387" s="38" t="s">
        <v>111</v>
      </c>
      <c r="H2387" s="44">
        <v>44103</v>
      </c>
      <c r="I2387" s="44">
        <v>44106</v>
      </c>
      <c r="J2387">
        <v>271.5</v>
      </c>
      <c r="K2387">
        <v>14.38</v>
      </c>
      <c r="L2387" t="s">
        <v>5732</v>
      </c>
      <c r="M2387" s="45" t="s">
        <v>98</v>
      </c>
      <c r="N2387" s="38" t="s">
        <v>230</v>
      </c>
      <c r="O2387" s="38" t="s">
        <v>444</v>
      </c>
      <c r="P2387" s="38" t="s">
        <v>60</v>
      </c>
      <c r="Q2387" s="38" t="s">
        <v>41</v>
      </c>
      <c r="R2387" s="38" t="s">
        <v>270</v>
      </c>
      <c r="S2387" s="38" t="s">
        <v>5733</v>
      </c>
      <c r="T2387" s="38" t="s">
        <v>5736</v>
      </c>
      <c r="U2387" s="38"/>
      <c r="V2387" s="38"/>
      <c r="W2387" s="38"/>
      <c r="X2387" s="14"/>
      <c r="AN2387" s="7" t="s">
        <v>155</v>
      </c>
      <c r="AO2387" s="21">
        <f t="shared" si="119"/>
        <v>0</v>
      </c>
      <c r="AP2387" s="7">
        <f t="shared" si="120"/>
        <v>14.38</v>
      </c>
      <c r="AQ2387" s="31" t="str">
        <f t="shared" si="121"/>
        <v>Complete - No Adjustment</v>
      </c>
    </row>
    <row r="2388" spans="1:43" x14ac:dyDescent="0.2">
      <c r="A2388" s="46">
        <v>2378</v>
      </c>
      <c r="B2388" s="38" t="s">
        <v>266</v>
      </c>
      <c r="C2388" s="38" t="s">
        <v>618</v>
      </c>
      <c r="D2388" s="38" t="s">
        <v>617</v>
      </c>
      <c r="E2388" s="38" t="s">
        <v>5731</v>
      </c>
      <c r="F2388" s="38" t="s">
        <v>5348</v>
      </c>
      <c r="G2388" s="38" t="s">
        <v>111</v>
      </c>
      <c r="H2388" s="44">
        <v>44103</v>
      </c>
      <c r="I2388" s="44">
        <v>44106</v>
      </c>
      <c r="J2388">
        <v>271.5</v>
      </c>
      <c r="K2388">
        <v>15</v>
      </c>
      <c r="L2388" t="s">
        <v>5732</v>
      </c>
      <c r="M2388" s="45" t="s">
        <v>98</v>
      </c>
      <c r="N2388" s="38" t="s">
        <v>230</v>
      </c>
      <c r="O2388" s="38" t="s">
        <v>444</v>
      </c>
      <c r="P2388" s="38" t="s">
        <v>60</v>
      </c>
      <c r="Q2388" s="38" t="s">
        <v>41</v>
      </c>
      <c r="R2388" s="38" t="s">
        <v>270</v>
      </c>
      <c r="S2388" s="38" t="s">
        <v>5733</v>
      </c>
      <c r="T2388" s="38" t="s">
        <v>5737</v>
      </c>
      <c r="U2388" s="38"/>
      <c r="V2388" s="38"/>
      <c r="W2388" s="38"/>
      <c r="X2388" s="14"/>
      <c r="AL2388" s="14">
        <f>15</f>
        <v>15</v>
      </c>
      <c r="AN2388" s="7" t="s">
        <v>146</v>
      </c>
      <c r="AO2388" s="21">
        <f t="shared" si="119"/>
        <v>15</v>
      </c>
      <c r="AP2388" s="7">
        <f t="shared" si="120"/>
        <v>0</v>
      </c>
      <c r="AQ2388" s="31" t="str">
        <f t="shared" si="121"/>
        <v>Complete - With Adjustment</v>
      </c>
    </row>
    <row r="2389" spans="1:43" x14ac:dyDescent="0.2">
      <c r="A2389" s="46">
        <v>2379</v>
      </c>
      <c r="B2389" s="38" t="s">
        <v>266</v>
      </c>
      <c r="C2389" s="38" t="s">
        <v>564</v>
      </c>
      <c r="D2389" s="38" t="s">
        <v>1429</v>
      </c>
      <c r="E2389" s="38" t="s">
        <v>5738</v>
      </c>
      <c r="F2389" s="38" t="s">
        <v>5348</v>
      </c>
      <c r="G2389" s="38" t="s">
        <v>111</v>
      </c>
      <c r="H2389" s="44">
        <v>44090</v>
      </c>
      <c r="I2389" s="44">
        <v>44106</v>
      </c>
      <c r="J2389">
        <v>9.24</v>
      </c>
      <c r="K2389">
        <v>9.24</v>
      </c>
      <c r="L2389" t="s">
        <v>5739</v>
      </c>
      <c r="M2389" s="45" t="s">
        <v>98</v>
      </c>
      <c r="N2389" s="38" t="s">
        <v>230</v>
      </c>
      <c r="O2389" s="38" t="s">
        <v>269</v>
      </c>
      <c r="P2389" s="38" t="s">
        <v>60</v>
      </c>
      <c r="Q2389" s="38" t="s">
        <v>41</v>
      </c>
      <c r="R2389" s="38" t="s">
        <v>270</v>
      </c>
      <c r="S2389" s="38" t="s">
        <v>5740</v>
      </c>
      <c r="T2389" s="38" t="s">
        <v>5741</v>
      </c>
      <c r="U2389" s="38"/>
      <c r="V2389" s="38"/>
      <c r="W2389" s="38"/>
      <c r="X2389" s="14"/>
      <c r="AN2389" s="7" t="s">
        <v>4219</v>
      </c>
      <c r="AO2389" s="21">
        <f t="shared" si="119"/>
        <v>0</v>
      </c>
      <c r="AP2389" s="7">
        <f t="shared" si="120"/>
        <v>9.24</v>
      </c>
      <c r="AQ2389" s="31" t="str">
        <f t="shared" si="121"/>
        <v>Complete - No Adjustment</v>
      </c>
    </row>
    <row r="2390" spans="1:43" x14ac:dyDescent="0.2">
      <c r="A2390" s="46">
        <v>2380</v>
      </c>
      <c r="B2390" s="38" t="s">
        <v>266</v>
      </c>
      <c r="C2390" s="38" t="s">
        <v>460</v>
      </c>
      <c r="D2390" s="38" t="s">
        <v>459</v>
      </c>
      <c r="E2390" s="38" t="s">
        <v>5355</v>
      </c>
      <c r="F2390" s="38" t="s">
        <v>5352</v>
      </c>
      <c r="G2390" s="38" t="s">
        <v>111</v>
      </c>
      <c r="H2390" s="44">
        <v>44116</v>
      </c>
      <c r="I2390" s="44">
        <v>44119</v>
      </c>
      <c r="J2390">
        <v>779.39</v>
      </c>
      <c r="K2390">
        <v>779.39</v>
      </c>
      <c r="L2390"/>
      <c r="M2390" s="45" t="s">
        <v>98</v>
      </c>
      <c r="N2390" s="38" t="s">
        <v>230</v>
      </c>
      <c r="O2390" s="38" t="s">
        <v>326</v>
      </c>
      <c r="P2390" s="38" t="s">
        <v>60</v>
      </c>
      <c r="Q2390" s="38" t="s">
        <v>104</v>
      </c>
      <c r="R2390" s="38" t="s">
        <v>270</v>
      </c>
      <c r="S2390" s="38" t="s">
        <v>5356</v>
      </c>
      <c r="T2390" s="38" t="s">
        <v>5357</v>
      </c>
      <c r="U2390" s="38"/>
      <c r="V2390" s="38"/>
      <c r="W2390" s="38"/>
      <c r="X2390" s="14"/>
      <c r="AL2390" s="14">
        <v>779.39</v>
      </c>
      <c r="AO2390" s="21">
        <f t="shared" si="119"/>
        <v>779.39</v>
      </c>
      <c r="AP2390" s="7">
        <f t="shared" si="120"/>
        <v>0</v>
      </c>
      <c r="AQ2390" s="31" t="str">
        <f t="shared" si="121"/>
        <v>Complete - With Adjustment</v>
      </c>
    </row>
    <row r="2391" spans="1:43" x14ac:dyDescent="0.2">
      <c r="A2391" s="46">
        <v>2381</v>
      </c>
      <c r="B2391" s="38" t="s">
        <v>266</v>
      </c>
      <c r="C2391" s="38" t="s">
        <v>462</v>
      </c>
      <c r="D2391" s="38" t="s">
        <v>461</v>
      </c>
      <c r="E2391" s="38" t="s">
        <v>5742</v>
      </c>
      <c r="F2391" s="38" t="s">
        <v>5412</v>
      </c>
      <c r="G2391" s="38" t="s">
        <v>111</v>
      </c>
      <c r="H2391" s="44">
        <v>44111</v>
      </c>
      <c r="I2391" s="44">
        <v>44117</v>
      </c>
      <c r="J2391">
        <v>12.88</v>
      </c>
      <c r="K2391">
        <v>12.88</v>
      </c>
      <c r="L2391" t="s">
        <v>5743</v>
      </c>
      <c r="M2391" s="45" t="s">
        <v>98</v>
      </c>
      <c r="N2391" s="38" t="s">
        <v>230</v>
      </c>
      <c r="O2391" s="38" t="s">
        <v>288</v>
      </c>
      <c r="P2391" s="38" t="s">
        <v>60</v>
      </c>
      <c r="Q2391" s="38" t="s">
        <v>41</v>
      </c>
      <c r="R2391" s="38" t="s">
        <v>270</v>
      </c>
      <c r="S2391" s="38" t="s">
        <v>5744</v>
      </c>
      <c r="T2391" s="38" t="s">
        <v>5745</v>
      </c>
      <c r="U2391" s="38"/>
      <c r="V2391" s="38"/>
      <c r="W2391" s="38"/>
      <c r="X2391" s="14"/>
      <c r="AN2391" s="7" t="s">
        <v>155</v>
      </c>
      <c r="AO2391" s="21">
        <f t="shared" si="119"/>
        <v>0</v>
      </c>
      <c r="AP2391" s="7">
        <f t="shared" si="120"/>
        <v>12.88</v>
      </c>
      <c r="AQ2391" s="31" t="str">
        <f t="shared" si="121"/>
        <v>Complete - No Adjustment</v>
      </c>
    </row>
    <row r="2392" spans="1:43" x14ac:dyDescent="0.2">
      <c r="A2392" s="46">
        <v>2382</v>
      </c>
      <c r="B2392" s="38" t="s">
        <v>266</v>
      </c>
      <c r="C2392" s="38" t="s">
        <v>462</v>
      </c>
      <c r="D2392" s="38" t="s">
        <v>461</v>
      </c>
      <c r="E2392" s="38" t="s">
        <v>5746</v>
      </c>
      <c r="F2392" s="38" t="s">
        <v>5526</v>
      </c>
      <c r="G2392" s="38" t="s">
        <v>111</v>
      </c>
      <c r="H2392" s="44">
        <v>44119</v>
      </c>
      <c r="I2392" s="44">
        <v>44123</v>
      </c>
      <c r="J2392">
        <v>12.89</v>
      </c>
      <c r="K2392">
        <v>12.89</v>
      </c>
      <c r="L2392" t="s">
        <v>5747</v>
      </c>
      <c r="M2392" s="45" t="s">
        <v>98</v>
      </c>
      <c r="N2392" s="38" t="s">
        <v>230</v>
      </c>
      <c r="O2392" s="38" t="s">
        <v>288</v>
      </c>
      <c r="P2392" s="38" t="s">
        <v>60</v>
      </c>
      <c r="Q2392" s="38" t="s">
        <v>41</v>
      </c>
      <c r="R2392" s="38" t="s">
        <v>270</v>
      </c>
      <c r="S2392" s="38" t="s">
        <v>5748</v>
      </c>
      <c r="T2392" s="38" t="s">
        <v>5749</v>
      </c>
      <c r="U2392" s="38"/>
      <c r="V2392" s="38"/>
      <c r="W2392" s="38"/>
      <c r="X2392" s="14"/>
      <c r="AN2392" s="7" t="s">
        <v>70</v>
      </c>
      <c r="AO2392" s="21">
        <f t="shared" si="119"/>
        <v>0</v>
      </c>
      <c r="AP2392" s="7">
        <f t="shared" si="120"/>
        <v>12.89</v>
      </c>
      <c r="AQ2392" s="31" t="str">
        <f t="shared" si="121"/>
        <v>Complete - No Adjustment</v>
      </c>
    </row>
    <row r="2393" spans="1:43" x14ac:dyDescent="0.2">
      <c r="A2393" s="46">
        <v>2383</v>
      </c>
      <c r="B2393" s="38" t="s">
        <v>266</v>
      </c>
      <c r="C2393" s="38" t="s">
        <v>462</v>
      </c>
      <c r="D2393" s="38" t="s">
        <v>461</v>
      </c>
      <c r="E2393" s="38" t="s">
        <v>5750</v>
      </c>
      <c r="F2393" s="38" t="s">
        <v>5344</v>
      </c>
      <c r="G2393" s="38" t="s">
        <v>111</v>
      </c>
      <c r="H2393" s="44">
        <v>44127</v>
      </c>
      <c r="I2393" s="44">
        <v>44132</v>
      </c>
      <c r="J2393">
        <v>12.89</v>
      </c>
      <c r="K2393">
        <v>12.89</v>
      </c>
      <c r="L2393" t="s">
        <v>5751</v>
      </c>
      <c r="M2393" s="45" t="s">
        <v>98</v>
      </c>
      <c r="N2393" s="38" t="s">
        <v>230</v>
      </c>
      <c r="O2393" s="38" t="s">
        <v>288</v>
      </c>
      <c r="P2393" s="38" t="s">
        <v>60</v>
      </c>
      <c r="Q2393" s="38" t="s">
        <v>41</v>
      </c>
      <c r="R2393" s="38" t="s">
        <v>270</v>
      </c>
      <c r="S2393" s="38" t="s">
        <v>5752</v>
      </c>
      <c r="T2393" s="38" t="s">
        <v>5753</v>
      </c>
      <c r="U2393" s="38"/>
      <c r="V2393" s="38"/>
      <c r="W2393" s="38"/>
      <c r="X2393" s="14"/>
      <c r="AN2393" s="7" t="s">
        <v>70</v>
      </c>
      <c r="AO2393" s="21">
        <f t="shared" si="119"/>
        <v>0</v>
      </c>
      <c r="AP2393" s="7">
        <f t="shared" si="120"/>
        <v>12.89</v>
      </c>
      <c r="AQ2393" s="31" t="str">
        <f t="shared" si="121"/>
        <v>Complete - No Adjustment</v>
      </c>
    </row>
    <row r="2394" spans="1:43" x14ac:dyDescent="0.2">
      <c r="A2394" s="46">
        <v>2384</v>
      </c>
      <c r="B2394" s="38" t="s">
        <v>266</v>
      </c>
      <c r="C2394" s="38" t="s">
        <v>462</v>
      </c>
      <c r="D2394" s="38" t="s">
        <v>461</v>
      </c>
      <c r="E2394" s="38" t="s">
        <v>5754</v>
      </c>
      <c r="F2394" s="38" t="s">
        <v>5755</v>
      </c>
      <c r="G2394" s="38" t="s">
        <v>111</v>
      </c>
      <c r="H2394" s="44">
        <v>44123</v>
      </c>
      <c r="I2394" s="44">
        <v>44125</v>
      </c>
      <c r="J2394">
        <v>15.14</v>
      </c>
      <c r="K2394">
        <v>15.14</v>
      </c>
      <c r="L2394" t="s">
        <v>5756</v>
      </c>
      <c r="M2394" s="45" t="s">
        <v>98</v>
      </c>
      <c r="N2394" s="38" t="s">
        <v>230</v>
      </c>
      <c r="O2394" s="38" t="s">
        <v>288</v>
      </c>
      <c r="P2394" s="38" t="s">
        <v>60</v>
      </c>
      <c r="Q2394" s="38" t="s">
        <v>41</v>
      </c>
      <c r="R2394" s="38" t="s">
        <v>270</v>
      </c>
      <c r="S2394" s="38" t="s">
        <v>5757</v>
      </c>
      <c r="T2394" s="38" t="s">
        <v>5758</v>
      </c>
      <c r="U2394" s="38"/>
      <c r="V2394" s="38"/>
      <c r="W2394" s="38"/>
      <c r="X2394" s="14"/>
      <c r="AN2394" s="7" t="s">
        <v>70</v>
      </c>
      <c r="AO2394" s="21">
        <f t="shared" si="119"/>
        <v>0</v>
      </c>
      <c r="AP2394" s="7">
        <f t="shared" si="120"/>
        <v>15.14</v>
      </c>
      <c r="AQ2394" s="31" t="str">
        <f t="shared" si="121"/>
        <v>Complete - No Adjustment</v>
      </c>
    </row>
    <row r="2395" spans="1:43" x14ac:dyDescent="0.2">
      <c r="A2395" s="46">
        <v>2385</v>
      </c>
      <c r="B2395" s="38" t="s">
        <v>266</v>
      </c>
      <c r="C2395" s="38" t="s">
        <v>462</v>
      </c>
      <c r="D2395" s="38" t="s">
        <v>461</v>
      </c>
      <c r="E2395" s="38" t="s">
        <v>5759</v>
      </c>
      <c r="F2395" s="38" t="s">
        <v>5490</v>
      </c>
      <c r="G2395" s="38" t="s">
        <v>111</v>
      </c>
      <c r="H2395" s="44">
        <v>44123</v>
      </c>
      <c r="I2395" s="44">
        <v>44131</v>
      </c>
      <c r="J2395">
        <v>121.75</v>
      </c>
      <c r="K2395">
        <v>40.85</v>
      </c>
      <c r="L2395" t="s">
        <v>5760</v>
      </c>
      <c r="M2395" s="45" t="s">
        <v>98</v>
      </c>
      <c r="N2395" s="38" t="s">
        <v>230</v>
      </c>
      <c r="O2395" s="38" t="s">
        <v>288</v>
      </c>
      <c r="P2395" s="38" t="s">
        <v>60</v>
      </c>
      <c r="Q2395" s="38" t="s">
        <v>73</v>
      </c>
      <c r="R2395" s="38" t="s">
        <v>270</v>
      </c>
      <c r="S2395" s="38" t="s">
        <v>5761</v>
      </c>
      <c r="T2395" s="38" t="s">
        <v>5762</v>
      </c>
      <c r="U2395" s="38"/>
      <c r="V2395" s="38"/>
      <c r="W2395" s="38"/>
      <c r="X2395" s="14"/>
      <c r="AN2395" s="7" t="s">
        <v>155</v>
      </c>
      <c r="AO2395" s="21">
        <f t="shared" si="119"/>
        <v>0</v>
      </c>
      <c r="AP2395" s="7">
        <f t="shared" si="120"/>
        <v>40.85</v>
      </c>
      <c r="AQ2395" s="31" t="str">
        <f t="shared" si="121"/>
        <v>Complete - No Adjustment</v>
      </c>
    </row>
    <row r="2396" spans="1:43" x14ac:dyDescent="0.2">
      <c r="A2396" s="46">
        <v>2386</v>
      </c>
      <c r="B2396" s="38" t="s">
        <v>266</v>
      </c>
      <c r="C2396" s="38" t="s">
        <v>462</v>
      </c>
      <c r="D2396" s="38" t="s">
        <v>461</v>
      </c>
      <c r="E2396" s="38" t="s">
        <v>5763</v>
      </c>
      <c r="F2396" s="38" t="s">
        <v>5383</v>
      </c>
      <c r="G2396" s="38" t="s">
        <v>111</v>
      </c>
      <c r="H2396" s="44">
        <v>44123</v>
      </c>
      <c r="I2396" s="44">
        <v>44126</v>
      </c>
      <c r="J2396">
        <v>109.15</v>
      </c>
      <c r="K2396">
        <v>109.15</v>
      </c>
      <c r="L2396" t="s">
        <v>5764</v>
      </c>
      <c r="M2396" s="45" t="s">
        <v>98</v>
      </c>
      <c r="N2396" s="38" t="s">
        <v>230</v>
      </c>
      <c r="O2396" s="38" t="s">
        <v>288</v>
      </c>
      <c r="P2396" s="38" t="s">
        <v>60</v>
      </c>
      <c r="Q2396" s="38" t="s">
        <v>73</v>
      </c>
      <c r="R2396" s="38" t="s">
        <v>270</v>
      </c>
      <c r="S2396" s="38" t="s">
        <v>5765</v>
      </c>
      <c r="T2396" s="38" t="s">
        <v>5766</v>
      </c>
      <c r="U2396" s="38"/>
      <c r="V2396" s="38"/>
      <c r="W2396" s="38"/>
      <c r="X2396" s="14"/>
      <c r="AN2396" s="7" t="s">
        <v>155</v>
      </c>
      <c r="AO2396" s="21">
        <f t="shared" si="119"/>
        <v>0</v>
      </c>
      <c r="AP2396" s="7">
        <f t="shared" si="120"/>
        <v>109.15</v>
      </c>
      <c r="AQ2396" s="31" t="str">
        <f t="shared" si="121"/>
        <v>Complete - No Adjustment</v>
      </c>
    </row>
    <row r="2397" spans="1:43" x14ac:dyDescent="0.2">
      <c r="A2397" s="46">
        <v>2387</v>
      </c>
      <c r="B2397" s="38" t="s">
        <v>266</v>
      </c>
      <c r="C2397" s="38" t="s">
        <v>462</v>
      </c>
      <c r="D2397" s="38" t="s">
        <v>461</v>
      </c>
      <c r="E2397" s="38" t="s">
        <v>5767</v>
      </c>
      <c r="F2397" s="38" t="s">
        <v>5383</v>
      </c>
      <c r="G2397" s="38" t="s">
        <v>111</v>
      </c>
      <c r="H2397" s="44">
        <v>44123</v>
      </c>
      <c r="I2397" s="44">
        <v>44126</v>
      </c>
      <c r="J2397">
        <v>778.2</v>
      </c>
      <c r="K2397">
        <v>778.2</v>
      </c>
      <c r="L2397" t="s">
        <v>5768</v>
      </c>
      <c r="M2397" s="45" t="s">
        <v>98</v>
      </c>
      <c r="N2397" s="38" t="s">
        <v>230</v>
      </c>
      <c r="O2397" s="38" t="s">
        <v>288</v>
      </c>
      <c r="P2397" s="38" t="s">
        <v>60</v>
      </c>
      <c r="Q2397" s="38" t="s">
        <v>73</v>
      </c>
      <c r="R2397" s="38" t="s">
        <v>270</v>
      </c>
      <c r="S2397" s="38" t="s">
        <v>5761</v>
      </c>
      <c r="T2397" s="38" t="s">
        <v>5762</v>
      </c>
      <c r="U2397" s="38"/>
      <c r="V2397" s="38"/>
      <c r="W2397" s="38"/>
      <c r="X2397" s="14"/>
      <c r="AN2397" s="7" t="s">
        <v>70</v>
      </c>
      <c r="AO2397" s="21">
        <f t="shared" si="119"/>
        <v>0</v>
      </c>
      <c r="AP2397" s="7">
        <f t="shared" si="120"/>
        <v>778.2</v>
      </c>
      <c r="AQ2397" s="31" t="str">
        <f t="shared" si="121"/>
        <v>Complete - No Adjustment</v>
      </c>
    </row>
    <row r="2398" spans="1:43" x14ac:dyDescent="0.2">
      <c r="A2398" s="46">
        <v>2388</v>
      </c>
      <c r="B2398" s="38" t="s">
        <v>266</v>
      </c>
      <c r="C2398" s="38" t="s">
        <v>683</v>
      </c>
      <c r="D2398" s="38" t="s">
        <v>682</v>
      </c>
      <c r="E2398" s="38" t="s">
        <v>5769</v>
      </c>
      <c r="F2398" s="38" t="s">
        <v>5369</v>
      </c>
      <c r="G2398" s="38" t="s">
        <v>111</v>
      </c>
      <c r="H2398" s="44">
        <v>44104</v>
      </c>
      <c r="I2398" s="44">
        <v>44109</v>
      </c>
      <c r="J2398">
        <v>3341.64</v>
      </c>
      <c r="K2398">
        <v>46.8</v>
      </c>
      <c r="L2398" t="s">
        <v>5770</v>
      </c>
      <c r="M2398" s="45" t="s">
        <v>98</v>
      </c>
      <c r="N2398" s="38" t="s">
        <v>230</v>
      </c>
      <c r="O2398" s="38" t="s">
        <v>642</v>
      </c>
      <c r="P2398" s="38" t="s">
        <v>60</v>
      </c>
      <c r="Q2398" s="38" t="s">
        <v>56</v>
      </c>
      <c r="R2398" s="38" t="s">
        <v>270</v>
      </c>
      <c r="S2398" s="38" t="s">
        <v>5771</v>
      </c>
      <c r="T2398" s="38" t="s">
        <v>5772</v>
      </c>
      <c r="U2398" s="38"/>
      <c r="V2398" s="38"/>
      <c r="W2398" s="38"/>
      <c r="X2398" s="14"/>
      <c r="AL2398" s="14">
        <f>46.8</f>
        <v>46.8</v>
      </c>
      <c r="AN2398" s="7" t="s">
        <v>146</v>
      </c>
      <c r="AO2398" s="21">
        <f t="shared" si="119"/>
        <v>46.8</v>
      </c>
      <c r="AP2398" s="7">
        <f t="shared" si="120"/>
        <v>0</v>
      </c>
      <c r="AQ2398" s="31" t="str">
        <f t="shared" si="121"/>
        <v>Complete - With Adjustment</v>
      </c>
    </row>
    <row r="2399" spans="1:43" x14ac:dyDescent="0.2">
      <c r="A2399" s="46">
        <v>2389</v>
      </c>
      <c r="B2399" s="38" t="s">
        <v>266</v>
      </c>
      <c r="C2399" s="38" t="s">
        <v>683</v>
      </c>
      <c r="D2399" s="38" t="s">
        <v>682</v>
      </c>
      <c r="E2399" s="38" t="s">
        <v>5769</v>
      </c>
      <c r="F2399" s="38" t="s">
        <v>5369</v>
      </c>
      <c r="G2399" s="38" t="s">
        <v>111</v>
      </c>
      <c r="H2399" s="44">
        <v>44104</v>
      </c>
      <c r="I2399" s="44">
        <v>44109</v>
      </c>
      <c r="J2399">
        <v>3341.64</v>
      </c>
      <c r="K2399">
        <v>304.04000000000002</v>
      </c>
      <c r="L2399" t="s">
        <v>5770</v>
      </c>
      <c r="M2399" s="45" t="s">
        <v>98</v>
      </c>
      <c r="N2399" s="38" t="s">
        <v>230</v>
      </c>
      <c r="O2399" s="38" t="s">
        <v>642</v>
      </c>
      <c r="P2399" s="38" t="s">
        <v>60</v>
      </c>
      <c r="Q2399" s="38" t="s">
        <v>45</v>
      </c>
      <c r="R2399" s="38" t="s">
        <v>270</v>
      </c>
      <c r="S2399" s="38" t="s">
        <v>5771</v>
      </c>
      <c r="T2399" s="38" t="s">
        <v>5773</v>
      </c>
      <c r="U2399" s="38"/>
      <c r="V2399" s="38"/>
      <c r="W2399" s="38"/>
      <c r="X2399" s="14"/>
      <c r="AI2399" s="53">
        <f>304.04</f>
        <v>304.04000000000002</v>
      </c>
      <c r="AN2399" s="7" t="s">
        <v>145</v>
      </c>
      <c r="AO2399" s="21">
        <f t="shared" si="119"/>
        <v>304.04000000000002</v>
      </c>
      <c r="AP2399" s="7">
        <f t="shared" si="120"/>
        <v>0</v>
      </c>
      <c r="AQ2399" s="31" t="str">
        <f t="shared" si="121"/>
        <v>Complete - With Adjustment</v>
      </c>
    </row>
    <row r="2400" spans="1:43" x14ac:dyDescent="0.2">
      <c r="A2400" s="46">
        <v>2390</v>
      </c>
      <c r="B2400" s="38" t="s">
        <v>266</v>
      </c>
      <c r="C2400" s="38" t="s">
        <v>683</v>
      </c>
      <c r="D2400" s="38" t="s">
        <v>682</v>
      </c>
      <c r="E2400" s="38" t="s">
        <v>5769</v>
      </c>
      <c r="F2400" s="38" t="s">
        <v>5369</v>
      </c>
      <c r="G2400" s="38" t="s">
        <v>111</v>
      </c>
      <c r="H2400" s="44">
        <v>44104</v>
      </c>
      <c r="I2400" s="44">
        <v>44109</v>
      </c>
      <c r="J2400">
        <v>3341.64</v>
      </c>
      <c r="K2400">
        <v>211.14</v>
      </c>
      <c r="L2400" t="s">
        <v>5770</v>
      </c>
      <c r="M2400" s="45" t="s">
        <v>98</v>
      </c>
      <c r="N2400" s="38" t="s">
        <v>230</v>
      </c>
      <c r="O2400" s="38" t="s">
        <v>642</v>
      </c>
      <c r="P2400" s="38" t="s">
        <v>60</v>
      </c>
      <c r="Q2400" s="38" t="s">
        <v>44</v>
      </c>
      <c r="R2400" s="38" t="s">
        <v>270</v>
      </c>
      <c r="S2400" s="38" t="s">
        <v>5771</v>
      </c>
      <c r="T2400" s="38" t="s">
        <v>5774</v>
      </c>
      <c r="U2400" s="38"/>
      <c r="V2400" s="38"/>
      <c r="W2400" s="38"/>
      <c r="X2400" s="14"/>
      <c r="AN2400" s="7" t="s">
        <v>70</v>
      </c>
      <c r="AO2400" s="21">
        <f t="shared" si="119"/>
        <v>0</v>
      </c>
      <c r="AP2400" s="7">
        <f t="shared" si="120"/>
        <v>211.14</v>
      </c>
      <c r="AQ2400" s="31" t="str">
        <f t="shared" si="121"/>
        <v>Complete - No Adjustment</v>
      </c>
    </row>
    <row r="2401" spans="1:43" x14ac:dyDescent="0.2">
      <c r="A2401" s="46">
        <v>2391</v>
      </c>
      <c r="B2401" s="38" t="s">
        <v>266</v>
      </c>
      <c r="C2401" s="38" t="s">
        <v>683</v>
      </c>
      <c r="D2401" s="38" t="s">
        <v>682</v>
      </c>
      <c r="E2401" s="38" t="s">
        <v>5769</v>
      </c>
      <c r="F2401" s="38" t="s">
        <v>5369</v>
      </c>
      <c r="G2401" s="38" t="s">
        <v>111</v>
      </c>
      <c r="H2401" s="44">
        <v>44104</v>
      </c>
      <c r="I2401" s="44">
        <v>44109</v>
      </c>
      <c r="J2401">
        <v>3341.64</v>
      </c>
      <c r="K2401">
        <v>839.53</v>
      </c>
      <c r="L2401" t="s">
        <v>5770</v>
      </c>
      <c r="M2401" s="45" t="s">
        <v>98</v>
      </c>
      <c r="N2401" s="38" t="s">
        <v>230</v>
      </c>
      <c r="O2401" s="38" t="s">
        <v>642</v>
      </c>
      <c r="P2401" s="38" t="s">
        <v>60</v>
      </c>
      <c r="Q2401" s="38" t="s">
        <v>44</v>
      </c>
      <c r="R2401" s="38" t="s">
        <v>270</v>
      </c>
      <c r="S2401" s="38" t="s">
        <v>5771</v>
      </c>
      <c r="T2401" s="38" t="s">
        <v>5775</v>
      </c>
      <c r="U2401" s="38"/>
      <c r="V2401" s="38"/>
      <c r="W2401" s="38"/>
      <c r="X2401" s="14"/>
      <c r="AN2401" s="7" t="s">
        <v>70</v>
      </c>
      <c r="AO2401" s="21">
        <f t="shared" si="119"/>
        <v>0</v>
      </c>
      <c r="AP2401" s="7">
        <f t="shared" si="120"/>
        <v>839.53</v>
      </c>
      <c r="AQ2401" s="31" t="str">
        <f t="shared" si="121"/>
        <v>Complete - No Adjustment</v>
      </c>
    </row>
    <row r="2402" spans="1:43" x14ac:dyDescent="0.2">
      <c r="A2402" s="46">
        <v>2392</v>
      </c>
      <c r="B2402" s="38" t="s">
        <v>266</v>
      </c>
      <c r="C2402" s="38" t="s">
        <v>683</v>
      </c>
      <c r="D2402" s="38" t="s">
        <v>682</v>
      </c>
      <c r="E2402" s="38" t="s">
        <v>5769</v>
      </c>
      <c r="F2402" s="38" t="s">
        <v>5369</v>
      </c>
      <c r="G2402" s="38" t="s">
        <v>111</v>
      </c>
      <c r="H2402" s="44">
        <v>44104</v>
      </c>
      <c r="I2402" s="44">
        <v>44109</v>
      </c>
      <c r="J2402">
        <v>3341.64</v>
      </c>
      <c r="K2402">
        <v>210.89</v>
      </c>
      <c r="L2402" t="s">
        <v>5770</v>
      </c>
      <c r="M2402" s="45" t="s">
        <v>98</v>
      </c>
      <c r="N2402" s="38" t="s">
        <v>230</v>
      </c>
      <c r="O2402" s="38" t="s">
        <v>642</v>
      </c>
      <c r="P2402" s="38" t="s">
        <v>60</v>
      </c>
      <c r="Q2402" s="38" t="s">
        <v>44</v>
      </c>
      <c r="R2402" s="38" t="s">
        <v>270</v>
      </c>
      <c r="S2402" s="38" t="s">
        <v>5771</v>
      </c>
      <c r="T2402" s="38" t="s">
        <v>5776</v>
      </c>
      <c r="U2402" s="38"/>
      <c r="V2402" s="38"/>
      <c r="W2402" s="38"/>
      <c r="X2402" s="14"/>
      <c r="AK2402" s="53">
        <f>210.89</f>
        <v>210.89</v>
      </c>
      <c r="AN2402" s="7" t="s">
        <v>148</v>
      </c>
      <c r="AO2402" s="21">
        <f t="shared" si="119"/>
        <v>210.89</v>
      </c>
      <c r="AP2402" s="7">
        <f t="shared" si="120"/>
        <v>0</v>
      </c>
      <c r="AQ2402" s="31" t="str">
        <f t="shared" si="121"/>
        <v>Complete - With Adjustment</v>
      </c>
    </row>
    <row r="2403" spans="1:43" x14ac:dyDescent="0.2">
      <c r="A2403" s="46">
        <v>2393</v>
      </c>
      <c r="B2403" s="38" t="s">
        <v>266</v>
      </c>
      <c r="C2403" s="38" t="s">
        <v>683</v>
      </c>
      <c r="D2403" s="38" t="s">
        <v>682</v>
      </c>
      <c r="E2403" s="38" t="s">
        <v>5769</v>
      </c>
      <c r="F2403" s="38" t="s">
        <v>5369</v>
      </c>
      <c r="G2403" s="38" t="s">
        <v>111</v>
      </c>
      <c r="H2403" s="44">
        <v>44104</v>
      </c>
      <c r="I2403" s="44">
        <v>44109</v>
      </c>
      <c r="J2403">
        <v>3341.64</v>
      </c>
      <c r="K2403">
        <v>212.98</v>
      </c>
      <c r="L2403" t="s">
        <v>5770</v>
      </c>
      <c r="M2403" s="45" t="s">
        <v>98</v>
      </c>
      <c r="N2403" s="38" t="s">
        <v>230</v>
      </c>
      <c r="O2403" s="38" t="s">
        <v>642</v>
      </c>
      <c r="P2403" s="38" t="s">
        <v>60</v>
      </c>
      <c r="Q2403" s="38" t="s">
        <v>44</v>
      </c>
      <c r="R2403" s="38" t="s">
        <v>270</v>
      </c>
      <c r="S2403" s="38" t="s">
        <v>5771</v>
      </c>
      <c r="T2403" s="38" t="s">
        <v>5777</v>
      </c>
      <c r="U2403" s="38"/>
      <c r="V2403" s="38"/>
      <c r="W2403" s="38"/>
      <c r="X2403" s="14"/>
      <c r="AN2403" s="7" t="s">
        <v>70</v>
      </c>
      <c r="AO2403" s="21">
        <f t="shared" si="119"/>
        <v>0</v>
      </c>
      <c r="AP2403" s="7">
        <f t="shared" si="120"/>
        <v>212.98</v>
      </c>
      <c r="AQ2403" s="31" t="str">
        <f t="shared" si="121"/>
        <v>Complete - No Adjustment</v>
      </c>
    </row>
    <row r="2404" spans="1:43" x14ac:dyDescent="0.2">
      <c r="A2404" s="46">
        <v>2394</v>
      </c>
      <c r="B2404" s="38" t="s">
        <v>266</v>
      </c>
      <c r="C2404" s="38" t="s">
        <v>683</v>
      </c>
      <c r="D2404" s="38" t="s">
        <v>682</v>
      </c>
      <c r="E2404" s="38" t="s">
        <v>5769</v>
      </c>
      <c r="F2404" s="38" t="s">
        <v>5369</v>
      </c>
      <c r="G2404" s="38" t="s">
        <v>111</v>
      </c>
      <c r="H2404" s="44">
        <v>44104</v>
      </c>
      <c r="I2404" s="44">
        <v>44109</v>
      </c>
      <c r="J2404">
        <v>3341.64</v>
      </c>
      <c r="K2404">
        <v>119.42</v>
      </c>
      <c r="L2404" t="s">
        <v>5770</v>
      </c>
      <c r="M2404" s="45" t="s">
        <v>98</v>
      </c>
      <c r="N2404" s="38" t="s">
        <v>230</v>
      </c>
      <c r="O2404" s="38" t="s">
        <v>642</v>
      </c>
      <c r="P2404" s="38" t="s">
        <v>60</v>
      </c>
      <c r="Q2404" s="38" t="s">
        <v>45</v>
      </c>
      <c r="R2404" s="38" t="s">
        <v>270</v>
      </c>
      <c r="S2404" s="38" t="s">
        <v>5771</v>
      </c>
      <c r="T2404" s="38" t="s">
        <v>5778</v>
      </c>
      <c r="U2404" s="38"/>
      <c r="V2404" s="38"/>
      <c r="W2404" s="38"/>
      <c r="X2404" s="14"/>
      <c r="AI2404" s="53">
        <f>119.42</f>
        <v>119.42</v>
      </c>
      <c r="AN2404" s="7" t="s">
        <v>145</v>
      </c>
      <c r="AO2404" s="21">
        <f t="shared" si="119"/>
        <v>119.42</v>
      </c>
      <c r="AP2404" s="7">
        <f t="shared" si="120"/>
        <v>0</v>
      </c>
      <c r="AQ2404" s="31" t="str">
        <f t="shared" si="121"/>
        <v>Complete - With Adjustment</v>
      </c>
    </row>
    <row r="2405" spans="1:43" x14ac:dyDescent="0.2">
      <c r="A2405" s="46">
        <v>2395</v>
      </c>
      <c r="B2405" s="38" t="s">
        <v>266</v>
      </c>
      <c r="C2405" s="38" t="s">
        <v>683</v>
      </c>
      <c r="D2405" s="38" t="s">
        <v>682</v>
      </c>
      <c r="E2405" s="38" t="s">
        <v>5769</v>
      </c>
      <c r="F2405" s="38" t="s">
        <v>5369</v>
      </c>
      <c r="G2405" s="38" t="s">
        <v>111</v>
      </c>
      <c r="H2405" s="44">
        <v>44104</v>
      </c>
      <c r="I2405" s="44">
        <v>44109</v>
      </c>
      <c r="J2405">
        <v>3341.64</v>
      </c>
      <c r="K2405">
        <v>38.549999999999997</v>
      </c>
      <c r="L2405" t="s">
        <v>5770</v>
      </c>
      <c r="M2405" s="45" t="s">
        <v>98</v>
      </c>
      <c r="N2405" s="38" t="s">
        <v>230</v>
      </c>
      <c r="O2405" s="38" t="s">
        <v>642</v>
      </c>
      <c r="P2405" s="38" t="s">
        <v>60</v>
      </c>
      <c r="Q2405" s="38" t="s">
        <v>44</v>
      </c>
      <c r="R2405" s="38" t="s">
        <v>270</v>
      </c>
      <c r="S2405" s="38" t="s">
        <v>5771</v>
      </c>
      <c r="T2405" s="38" t="s">
        <v>5779</v>
      </c>
      <c r="U2405" s="38"/>
      <c r="V2405" s="38"/>
      <c r="W2405" s="38"/>
      <c r="X2405" s="14"/>
      <c r="AI2405" s="53">
        <f>38.55</f>
        <v>38.549999999999997</v>
      </c>
      <c r="AN2405" s="7" t="s">
        <v>145</v>
      </c>
      <c r="AO2405" s="21">
        <f t="shared" si="119"/>
        <v>38.549999999999997</v>
      </c>
      <c r="AP2405" s="7">
        <f t="shared" si="120"/>
        <v>0</v>
      </c>
      <c r="AQ2405" s="31" t="str">
        <f t="shared" si="121"/>
        <v>Complete - With Adjustment</v>
      </c>
    </row>
    <row r="2406" spans="1:43" x14ac:dyDescent="0.2">
      <c r="A2406" s="46">
        <v>2396</v>
      </c>
      <c r="B2406" s="38" t="s">
        <v>266</v>
      </c>
      <c r="C2406" s="38" t="s">
        <v>683</v>
      </c>
      <c r="D2406" s="38" t="s">
        <v>682</v>
      </c>
      <c r="E2406" s="38" t="s">
        <v>5769</v>
      </c>
      <c r="F2406" s="38" t="s">
        <v>5369</v>
      </c>
      <c r="G2406" s="38" t="s">
        <v>111</v>
      </c>
      <c r="H2406" s="44">
        <v>44104</v>
      </c>
      <c r="I2406" s="44">
        <v>44109</v>
      </c>
      <c r="J2406">
        <v>3341.64</v>
      </c>
      <c r="K2406">
        <v>34.409999999999997</v>
      </c>
      <c r="L2406" t="s">
        <v>5770</v>
      </c>
      <c r="M2406" s="45" t="s">
        <v>98</v>
      </c>
      <c r="N2406" s="38" t="s">
        <v>230</v>
      </c>
      <c r="O2406" s="38" t="s">
        <v>642</v>
      </c>
      <c r="P2406" s="38" t="s">
        <v>60</v>
      </c>
      <c r="Q2406" s="38" t="s">
        <v>44</v>
      </c>
      <c r="R2406" s="38" t="s">
        <v>270</v>
      </c>
      <c r="S2406" s="38" t="s">
        <v>5771</v>
      </c>
      <c r="T2406" s="38" t="s">
        <v>5780</v>
      </c>
      <c r="U2406" s="38"/>
      <c r="V2406" s="38"/>
      <c r="W2406" s="38"/>
      <c r="X2406" s="14"/>
      <c r="AN2406" s="7" t="s">
        <v>70</v>
      </c>
      <c r="AO2406" s="21">
        <f t="shared" si="119"/>
        <v>0</v>
      </c>
      <c r="AP2406" s="7">
        <f t="shared" si="120"/>
        <v>34.409999999999997</v>
      </c>
      <c r="AQ2406" s="31" t="str">
        <f t="shared" si="121"/>
        <v>Complete - No Adjustment</v>
      </c>
    </row>
    <row r="2407" spans="1:43" x14ac:dyDescent="0.2">
      <c r="A2407" s="46">
        <v>2397</v>
      </c>
      <c r="B2407" s="38" t="s">
        <v>266</v>
      </c>
      <c r="C2407" s="38" t="s">
        <v>683</v>
      </c>
      <c r="D2407" s="38" t="s">
        <v>682</v>
      </c>
      <c r="E2407" s="38" t="s">
        <v>5769</v>
      </c>
      <c r="F2407" s="38" t="s">
        <v>5369</v>
      </c>
      <c r="G2407" s="38" t="s">
        <v>111</v>
      </c>
      <c r="H2407" s="44">
        <v>44104</v>
      </c>
      <c r="I2407" s="44">
        <v>44109</v>
      </c>
      <c r="J2407">
        <v>3341.64</v>
      </c>
      <c r="K2407">
        <v>142.08000000000001</v>
      </c>
      <c r="L2407" t="s">
        <v>5770</v>
      </c>
      <c r="M2407" s="45" t="s">
        <v>98</v>
      </c>
      <c r="N2407" s="38" t="s">
        <v>230</v>
      </c>
      <c r="O2407" s="38" t="s">
        <v>642</v>
      </c>
      <c r="P2407" s="38" t="s">
        <v>60</v>
      </c>
      <c r="Q2407" s="38" t="s">
        <v>45</v>
      </c>
      <c r="R2407" s="38" t="s">
        <v>270</v>
      </c>
      <c r="S2407" s="38" t="s">
        <v>5771</v>
      </c>
      <c r="T2407" s="38" t="s">
        <v>5781</v>
      </c>
      <c r="U2407" s="38"/>
      <c r="V2407" s="38"/>
      <c r="W2407" s="38"/>
      <c r="X2407" s="14"/>
      <c r="AN2407" s="7" t="s">
        <v>70</v>
      </c>
      <c r="AO2407" s="21">
        <f t="shared" si="119"/>
        <v>0</v>
      </c>
      <c r="AP2407" s="7">
        <f t="shared" si="120"/>
        <v>142.08000000000001</v>
      </c>
      <c r="AQ2407" s="31" t="str">
        <f t="shared" si="121"/>
        <v>Complete - No Adjustment</v>
      </c>
    </row>
    <row r="2408" spans="1:43" x14ac:dyDescent="0.2">
      <c r="A2408" s="46">
        <v>2398</v>
      </c>
      <c r="B2408" s="38" t="s">
        <v>266</v>
      </c>
      <c r="C2408" s="38" t="s">
        <v>683</v>
      </c>
      <c r="D2408" s="38" t="s">
        <v>682</v>
      </c>
      <c r="E2408" s="38" t="s">
        <v>5769</v>
      </c>
      <c r="F2408" s="38" t="s">
        <v>5369</v>
      </c>
      <c r="G2408" s="38" t="s">
        <v>111</v>
      </c>
      <c r="H2408" s="44">
        <v>44104</v>
      </c>
      <c r="I2408" s="44">
        <v>44109</v>
      </c>
      <c r="J2408">
        <v>3341.64</v>
      </c>
      <c r="K2408">
        <v>112.66</v>
      </c>
      <c r="L2408" t="s">
        <v>5770</v>
      </c>
      <c r="M2408" s="45" t="s">
        <v>98</v>
      </c>
      <c r="N2408" s="38" t="s">
        <v>230</v>
      </c>
      <c r="O2408" s="38" t="s">
        <v>642</v>
      </c>
      <c r="P2408" s="38" t="s">
        <v>60</v>
      </c>
      <c r="Q2408" s="38" t="s">
        <v>41</v>
      </c>
      <c r="R2408" s="38" t="s">
        <v>270</v>
      </c>
      <c r="S2408" s="38" t="s">
        <v>5771</v>
      </c>
      <c r="T2408" s="38" t="s">
        <v>5782</v>
      </c>
      <c r="U2408" s="38"/>
      <c r="V2408" s="38"/>
      <c r="W2408" s="38"/>
      <c r="X2408" s="14"/>
      <c r="AL2408" s="14">
        <f>112.66</f>
        <v>112.66</v>
      </c>
      <c r="AN2408" s="7" t="s">
        <v>146</v>
      </c>
      <c r="AO2408" s="21">
        <f t="shared" si="119"/>
        <v>112.66</v>
      </c>
      <c r="AP2408" s="7">
        <f t="shared" si="120"/>
        <v>0</v>
      </c>
      <c r="AQ2408" s="31" t="str">
        <f t="shared" si="121"/>
        <v>Complete - With Adjustment</v>
      </c>
    </row>
    <row r="2409" spans="1:43" x14ac:dyDescent="0.2">
      <c r="A2409" s="46">
        <v>2399</v>
      </c>
      <c r="B2409" s="38" t="s">
        <v>266</v>
      </c>
      <c r="C2409" s="38" t="s">
        <v>683</v>
      </c>
      <c r="D2409" s="38" t="s">
        <v>682</v>
      </c>
      <c r="E2409" s="38" t="s">
        <v>5769</v>
      </c>
      <c r="F2409" s="38" t="s">
        <v>5369</v>
      </c>
      <c r="G2409" s="38" t="s">
        <v>111</v>
      </c>
      <c r="H2409" s="44">
        <v>44104</v>
      </c>
      <c r="I2409" s="44">
        <v>44109</v>
      </c>
      <c r="J2409">
        <v>3341.64</v>
      </c>
      <c r="K2409">
        <v>514.44000000000005</v>
      </c>
      <c r="L2409" t="s">
        <v>5770</v>
      </c>
      <c r="M2409" s="45" t="s">
        <v>98</v>
      </c>
      <c r="N2409" s="38" t="s">
        <v>230</v>
      </c>
      <c r="O2409" s="38" t="s">
        <v>642</v>
      </c>
      <c r="P2409" s="38" t="s">
        <v>60</v>
      </c>
      <c r="Q2409" s="38" t="s">
        <v>44</v>
      </c>
      <c r="R2409" s="38" t="s">
        <v>270</v>
      </c>
      <c r="S2409" s="38" t="s">
        <v>5771</v>
      </c>
      <c r="T2409" s="38" t="s">
        <v>5783</v>
      </c>
      <c r="U2409" s="38"/>
      <c r="V2409" s="38"/>
      <c r="W2409" s="38"/>
      <c r="X2409" s="14"/>
      <c r="AI2409" s="53">
        <f>514.44</f>
        <v>514.44000000000005</v>
      </c>
      <c r="AN2409" s="7" t="s">
        <v>145</v>
      </c>
      <c r="AO2409" s="21">
        <f t="shared" si="119"/>
        <v>514.44000000000005</v>
      </c>
      <c r="AP2409" s="7">
        <f t="shared" si="120"/>
        <v>0</v>
      </c>
      <c r="AQ2409" s="31" t="str">
        <f t="shared" si="121"/>
        <v>Complete - With Adjustment</v>
      </c>
    </row>
    <row r="2410" spans="1:43" x14ac:dyDescent="0.2">
      <c r="A2410" s="46">
        <v>2400</v>
      </c>
      <c r="B2410" s="38" t="s">
        <v>266</v>
      </c>
      <c r="C2410" s="38" t="s">
        <v>683</v>
      </c>
      <c r="D2410" s="38" t="s">
        <v>682</v>
      </c>
      <c r="E2410" s="38" t="s">
        <v>5769</v>
      </c>
      <c r="F2410" s="38" t="s">
        <v>5369</v>
      </c>
      <c r="G2410" s="38" t="s">
        <v>111</v>
      </c>
      <c r="H2410" s="44">
        <v>44104</v>
      </c>
      <c r="I2410" s="44">
        <v>44109</v>
      </c>
      <c r="J2410">
        <v>3341.64</v>
      </c>
      <c r="K2410">
        <v>36</v>
      </c>
      <c r="L2410" t="s">
        <v>5770</v>
      </c>
      <c r="M2410" s="45" t="s">
        <v>97</v>
      </c>
      <c r="N2410" s="38" t="s">
        <v>230</v>
      </c>
      <c r="O2410" s="38" t="s">
        <v>642</v>
      </c>
      <c r="P2410" s="38" t="s">
        <v>42</v>
      </c>
      <c r="Q2410" s="38" t="s">
        <v>41</v>
      </c>
      <c r="R2410" s="38" t="s">
        <v>270</v>
      </c>
      <c r="S2410" s="38" t="s">
        <v>5771</v>
      </c>
      <c r="T2410" s="38" t="s">
        <v>5784</v>
      </c>
      <c r="U2410" s="38"/>
      <c r="V2410" s="38"/>
      <c r="W2410" s="38"/>
      <c r="X2410" s="14"/>
      <c r="Y2410" s="53">
        <f>36</f>
        <v>36</v>
      </c>
      <c r="AN2410" s="7" t="s">
        <v>8</v>
      </c>
      <c r="AO2410" s="21">
        <f t="shared" si="119"/>
        <v>36</v>
      </c>
      <c r="AP2410" s="7">
        <f t="shared" si="120"/>
        <v>0</v>
      </c>
      <c r="AQ2410" s="31" t="str">
        <f t="shared" si="121"/>
        <v>Complete - With Adjustment</v>
      </c>
    </row>
    <row r="2411" spans="1:43" x14ac:dyDescent="0.2">
      <c r="A2411" s="46">
        <v>2401</v>
      </c>
      <c r="B2411" s="38" t="s">
        <v>266</v>
      </c>
      <c r="C2411" s="38" t="s">
        <v>683</v>
      </c>
      <c r="D2411" s="38" t="s">
        <v>682</v>
      </c>
      <c r="E2411" s="38" t="s">
        <v>5769</v>
      </c>
      <c r="F2411" s="38" t="s">
        <v>5369</v>
      </c>
      <c r="G2411" s="38" t="s">
        <v>111</v>
      </c>
      <c r="H2411" s="44">
        <v>44104</v>
      </c>
      <c r="I2411" s="44">
        <v>44109</v>
      </c>
      <c r="J2411">
        <v>3341.64</v>
      </c>
      <c r="K2411">
        <v>12.13</v>
      </c>
      <c r="L2411" t="s">
        <v>5770</v>
      </c>
      <c r="M2411" s="45" t="s">
        <v>98</v>
      </c>
      <c r="N2411" s="38" t="s">
        <v>230</v>
      </c>
      <c r="O2411" s="38" t="s">
        <v>642</v>
      </c>
      <c r="P2411" s="38" t="s">
        <v>60</v>
      </c>
      <c r="Q2411" s="38" t="s">
        <v>41</v>
      </c>
      <c r="R2411" s="38" t="s">
        <v>270</v>
      </c>
      <c r="S2411" s="38" t="s">
        <v>5771</v>
      </c>
      <c r="T2411" s="38" t="s">
        <v>5785</v>
      </c>
      <c r="U2411" s="38"/>
      <c r="V2411" s="38"/>
      <c r="W2411" s="38"/>
      <c r="X2411" s="14"/>
      <c r="AL2411" s="14">
        <f>12.13</f>
        <v>12.13</v>
      </c>
      <c r="AN2411" s="7" t="s">
        <v>146</v>
      </c>
      <c r="AO2411" s="21">
        <f t="shared" si="119"/>
        <v>12.13</v>
      </c>
      <c r="AP2411" s="7">
        <f t="shared" si="120"/>
        <v>0</v>
      </c>
      <c r="AQ2411" s="31" t="str">
        <f t="shared" si="121"/>
        <v>Complete - With Adjustment</v>
      </c>
    </row>
    <row r="2412" spans="1:43" x14ac:dyDescent="0.2">
      <c r="A2412" s="46">
        <v>2402</v>
      </c>
      <c r="B2412" s="38" t="s">
        <v>266</v>
      </c>
      <c r="C2412" s="38" t="s">
        <v>683</v>
      </c>
      <c r="D2412" s="38" t="s">
        <v>682</v>
      </c>
      <c r="E2412" s="38" t="s">
        <v>5769</v>
      </c>
      <c r="F2412" s="38" t="s">
        <v>5369</v>
      </c>
      <c r="G2412" s="38" t="s">
        <v>111</v>
      </c>
      <c r="H2412" s="44">
        <v>44104</v>
      </c>
      <c r="I2412" s="44">
        <v>44109</v>
      </c>
      <c r="J2412">
        <v>3341.64</v>
      </c>
      <c r="K2412">
        <v>142.09</v>
      </c>
      <c r="L2412" t="s">
        <v>5770</v>
      </c>
      <c r="M2412" s="45" t="s">
        <v>98</v>
      </c>
      <c r="N2412" s="38" t="s">
        <v>230</v>
      </c>
      <c r="O2412" s="38" t="s">
        <v>642</v>
      </c>
      <c r="P2412" s="38" t="s">
        <v>60</v>
      </c>
      <c r="Q2412" s="38" t="s">
        <v>45</v>
      </c>
      <c r="R2412" s="38" t="s">
        <v>270</v>
      </c>
      <c r="S2412" s="38" t="s">
        <v>5771</v>
      </c>
      <c r="T2412" s="38" t="s">
        <v>5786</v>
      </c>
      <c r="U2412" s="38"/>
      <c r="V2412" s="38"/>
      <c r="W2412" s="38"/>
      <c r="X2412" s="14"/>
      <c r="AN2412" s="7" t="s">
        <v>70</v>
      </c>
      <c r="AO2412" s="21">
        <f t="shared" si="119"/>
        <v>0</v>
      </c>
      <c r="AP2412" s="7">
        <f t="shared" si="120"/>
        <v>142.09</v>
      </c>
      <c r="AQ2412" s="31" t="str">
        <f t="shared" si="121"/>
        <v>Complete - No Adjustment</v>
      </c>
    </row>
    <row r="2413" spans="1:43" x14ac:dyDescent="0.2">
      <c r="A2413" s="46">
        <v>2403</v>
      </c>
      <c r="B2413" s="38" t="s">
        <v>266</v>
      </c>
      <c r="C2413" s="38" t="s">
        <v>683</v>
      </c>
      <c r="D2413" s="38" t="s">
        <v>682</v>
      </c>
      <c r="E2413" s="38" t="s">
        <v>5769</v>
      </c>
      <c r="F2413" s="38" t="s">
        <v>5369</v>
      </c>
      <c r="G2413" s="38" t="s">
        <v>111</v>
      </c>
      <c r="H2413" s="44">
        <v>44104</v>
      </c>
      <c r="I2413" s="44">
        <v>44109</v>
      </c>
      <c r="J2413">
        <v>3341.64</v>
      </c>
      <c r="K2413">
        <v>30.32</v>
      </c>
      <c r="L2413" t="s">
        <v>5770</v>
      </c>
      <c r="M2413" s="45" t="s">
        <v>98</v>
      </c>
      <c r="N2413" s="38" t="s">
        <v>230</v>
      </c>
      <c r="O2413" s="38" t="s">
        <v>642</v>
      </c>
      <c r="P2413" s="38" t="s">
        <v>60</v>
      </c>
      <c r="Q2413" s="38" t="s">
        <v>41</v>
      </c>
      <c r="R2413" s="38" t="s">
        <v>270</v>
      </c>
      <c r="S2413" s="38" t="s">
        <v>5771</v>
      </c>
      <c r="T2413" s="38" t="s">
        <v>5787</v>
      </c>
      <c r="U2413" s="38"/>
      <c r="V2413" s="38"/>
      <c r="W2413" s="38"/>
      <c r="X2413" s="14"/>
      <c r="AI2413" s="53">
        <f>30.32</f>
        <v>30.32</v>
      </c>
      <c r="AN2413" s="7" t="s">
        <v>145</v>
      </c>
      <c r="AO2413" s="21">
        <f t="shared" si="119"/>
        <v>30.32</v>
      </c>
      <c r="AP2413" s="7">
        <f t="shared" si="120"/>
        <v>0</v>
      </c>
      <c r="AQ2413" s="31" t="str">
        <f t="shared" si="121"/>
        <v>Complete - With Adjustment</v>
      </c>
    </row>
    <row r="2414" spans="1:43" x14ac:dyDescent="0.2">
      <c r="A2414" s="46">
        <v>2404</v>
      </c>
      <c r="B2414" s="38" t="s">
        <v>266</v>
      </c>
      <c r="C2414" s="38" t="s">
        <v>5788</v>
      </c>
      <c r="D2414" s="38" t="s">
        <v>5789</v>
      </c>
      <c r="E2414" s="38" t="s">
        <v>5790</v>
      </c>
      <c r="F2414" s="38" t="s">
        <v>5388</v>
      </c>
      <c r="G2414" s="38" t="s">
        <v>111</v>
      </c>
      <c r="H2414" s="44">
        <v>44102</v>
      </c>
      <c r="I2414" s="44">
        <v>44105</v>
      </c>
      <c r="J2414">
        <v>3984.07</v>
      </c>
      <c r="K2414">
        <v>265.61</v>
      </c>
      <c r="L2414" t="s">
        <v>5791</v>
      </c>
      <c r="M2414" s="45" t="s">
        <v>97</v>
      </c>
      <c r="N2414" s="38" t="s">
        <v>230</v>
      </c>
      <c r="O2414" s="38" t="s">
        <v>386</v>
      </c>
      <c r="P2414" s="38" t="s">
        <v>42</v>
      </c>
      <c r="Q2414" s="38" t="s">
        <v>55</v>
      </c>
      <c r="R2414" s="38" t="s">
        <v>270</v>
      </c>
      <c r="S2414" s="38" t="s">
        <v>5792</v>
      </c>
      <c r="T2414" s="38" t="s">
        <v>5793</v>
      </c>
      <c r="U2414" s="38"/>
      <c r="V2414" s="38"/>
      <c r="W2414" s="38"/>
      <c r="X2414" s="14"/>
      <c r="AI2414" s="53">
        <f>265.51</f>
        <v>265.51</v>
      </c>
      <c r="AN2414" s="7" t="s">
        <v>145</v>
      </c>
      <c r="AO2414" s="21">
        <f t="shared" si="119"/>
        <v>265.51</v>
      </c>
      <c r="AP2414" s="7">
        <f t="shared" si="120"/>
        <v>0.10000000000002274</v>
      </c>
      <c r="AQ2414" s="31" t="str">
        <f t="shared" si="121"/>
        <v>Complete - With Adjustment</v>
      </c>
    </row>
    <row r="2415" spans="1:43" x14ac:dyDescent="0.2">
      <c r="A2415" s="46">
        <v>2405</v>
      </c>
      <c r="B2415" s="38" t="s">
        <v>266</v>
      </c>
      <c r="C2415" s="38" t="s">
        <v>5788</v>
      </c>
      <c r="D2415" s="38" t="s">
        <v>5789</v>
      </c>
      <c r="E2415" s="38" t="s">
        <v>5790</v>
      </c>
      <c r="F2415" s="38" t="s">
        <v>5388</v>
      </c>
      <c r="G2415" s="38" t="s">
        <v>111</v>
      </c>
      <c r="H2415" s="44">
        <v>44102</v>
      </c>
      <c r="I2415" s="44">
        <v>44105</v>
      </c>
      <c r="J2415">
        <v>3984.07</v>
      </c>
      <c r="K2415">
        <v>250</v>
      </c>
      <c r="L2415" t="s">
        <v>5791</v>
      </c>
      <c r="M2415" s="45" t="s">
        <v>97</v>
      </c>
      <c r="N2415" s="38" t="s">
        <v>230</v>
      </c>
      <c r="O2415" s="38" t="s">
        <v>386</v>
      </c>
      <c r="P2415" s="38" t="s">
        <v>42</v>
      </c>
      <c r="Q2415" s="38" t="s">
        <v>55</v>
      </c>
      <c r="R2415" s="38" t="s">
        <v>270</v>
      </c>
      <c r="S2415" s="38" t="s">
        <v>5792</v>
      </c>
      <c r="T2415" s="38" t="s">
        <v>5793</v>
      </c>
      <c r="U2415" s="38"/>
      <c r="V2415" s="38"/>
      <c r="W2415" s="38"/>
      <c r="X2415" s="14"/>
      <c r="AI2415" s="53">
        <f>250</f>
        <v>250</v>
      </c>
      <c r="AN2415" s="7" t="s">
        <v>145</v>
      </c>
      <c r="AO2415" s="21">
        <f t="shared" si="119"/>
        <v>250</v>
      </c>
      <c r="AP2415" s="7">
        <f t="shared" si="120"/>
        <v>0</v>
      </c>
      <c r="AQ2415" s="31" t="str">
        <f t="shared" si="121"/>
        <v>Complete - With Adjustment</v>
      </c>
    </row>
    <row r="2416" spans="1:43" x14ac:dyDescent="0.2">
      <c r="A2416" s="46">
        <v>2406</v>
      </c>
      <c r="B2416" s="38" t="s">
        <v>266</v>
      </c>
      <c r="C2416" s="38" t="s">
        <v>5788</v>
      </c>
      <c r="D2416" s="38" t="s">
        <v>5789</v>
      </c>
      <c r="E2416" s="38" t="s">
        <v>5790</v>
      </c>
      <c r="F2416" s="38" t="s">
        <v>5388</v>
      </c>
      <c r="G2416" s="38" t="s">
        <v>111</v>
      </c>
      <c r="H2416" s="44">
        <v>44102</v>
      </c>
      <c r="I2416" s="44">
        <v>44105</v>
      </c>
      <c r="J2416">
        <v>3984.07</v>
      </c>
      <c r="K2416">
        <v>244.46</v>
      </c>
      <c r="L2416" t="s">
        <v>5791</v>
      </c>
      <c r="M2416" s="45" t="s">
        <v>97</v>
      </c>
      <c r="N2416" s="38" t="s">
        <v>230</v>
      </c>
      <c r="O2416" s="38" t="s">
        <v>386</v>
      </c>
      <c r="P2416" s="38" t="s">
        <v>42</v>
      </c>
      <c r="Q2416" s="38" t="s">
        <v>55</v>
      </c>
      <c r="R2416" s="38" t="s">
        <v>270</v>
      </c>
      <c r="S2416" s="38" t="s">
        <v>5792</v>
      </c>
      <c r="T2416" s="38" t="s">
        <v>5793</v>
      </c>
      <c r="U2416" s="38"/>
      <c r="V2416" s="38"/>
      <c r="W2416" s="38"/>
      <c r="X2416" s="14"/>
      <c r="AI2416" s="53">
        <f>244.46</f>
        <v>244.46</v>
      </c>
      <c r="AN2416" s="7" t="s">
        <v>145</v>
      </c>
      <c r="AO2416" s="21">
        <f t="shared" si="119"/>
        <v>244.46</v>
      </c>
      <c r="AP2416" s="7">
        <f t="shared" si="120"/>
        <v>0</v>
      </c>
      <c r="AQ2416" s="31" t="str">
        <f t="shared" si="121"/>
        <v>Complete - With Adjustment</v>
      </c>
    </row>
    <row r="2417" spans="1:43" x14ac:dyDescent="0.2">
      <c r="A2417" s="46">
        <v>2407</v>
      </c>
      <c r="B2417" s="38" t="s">
        <v>266</v>
      </c>
      <c r="C2417" s="38" t="s">
        <v>5788</v>
      </c>
      <c r="D2417" s="38" t="s">
        <v>5789</v>
      </c>
      <c r="E2417" s="38" t="s">
        <v>5790</v>
      </c>
      <c r="F2417" s="38" t="s">
        <v>5388</v>
      </c>
      <c r="G2417" s="38" t="s">
        <v>111</v>
      </c>
      <c r="H2417" s="44">
        <v>44102</v>
      </c>
      <c r="I2417" s="44">
        <v>44105</v>
      </c>
      <c r="J2417">
        <v>3984.07</v>
      </c>
      <c r="K2417">
        <v>214.34</v>
      </c>
      <c r="L2417" t="s">
        <v>5791</v>
      </c>
      <c r="M2417" s="45" t="s">
        <v>97</v>
      </c>
      <c r="N2417" s="38" t="s">
        <v>230</v>
      </c>
      <c r="O2417" s="38" t="s">
        <v>386</v>
      </c>
      <c r="P2417" s="38" t="s">
        <v>42</v>
      </c>
      <c r="Q2417" s="38" t="s">
        <v>55</v>
      </c>
      <c r="R2417" s="38" t="s">
        <v>270</v>
      </c>
      <c r="S2417" s="38" t="s">
        <v>5792</v>
      </c>
      <c r="T2417" s="38" t="s">
        <v>5793</v>
      </c>
      <c r="U2417" s="38"/>
      <c r="V2417" s="38"/>
      <c r="W2417" s="38"/>
      <c r="X2417" s="14"/>
      <c r="AI2417" s="53">
        <f>214.34</f>
        <v>214.34</v>
      </c>
      <c r="AN2417" s="7" t="s">
        <v>145</v>
      </c>
      <c r="AO2417" s="21">
        <f t="shared" si="119"/>
        <v>214.34</v>
      </c>
      <c r="AP2417" s="7">
        <f t="shared" si="120"/>
        <v>0</v>
      </c>
      <c r="AQ2417" s="31" t="str">
        <f t="shared" si="121"/>
        <v>Complete - With Adjustment</v>
      </c>
    </row>
    <row r="2418" spans="1:43" x14ac:dyDescent="0.2">
      <c r="A2418" s="46">
        <v>2408</v>
      </c>
      <c r="B2418" s="38" t="s">
        <v>266</v>
      </c>
      <c r="C2418" s="38" t="s">
        <v>5788</v>
      </c>
      <c r="D2418" s="38" t="s">
        <v>5789</v>
      </c>
      <c r="E2418" s="38" t="s">
        <v>5790</v>
      </c>
      <c r="F2418" s="38" t="s">
        <v>5388</v>
      </c>
      <c r="G2418" s="38" t="s">
        <v>111</v>
      </c>
      <c r="H2418" s="44">
        <v>44102</v>
      </c>
      <c r="I2418" s="44">
        <v>44105</v>
      </c>
      <c r="J2418">
        <v>3984.07</v>
      </c>
      <c r="K2418">
        <v>372.56</v>
      </c>
      <c r="L2418" t="s">
        <v>5791</v>
      </c>
      <c r="M2418" s="45" t="s">
        <v>97</v>
      </c>
      <c r="N2418" s="38" t="s">
        <v>230</v>
      </c>
      <c r="O2418" s="38" t="s">
        <v>386</v>
      </c>
      <c r="P2418" s="38" t="s">
        <v>42</v>
      </c>
      <c r="Q2418" s="38" t="s">
        <v>55</v>
      </c>
      <c r="R2418" s="38" t="s">
        <v>270</v>
      </c>
      <c r="S2418" s="38" t="s">
        <v>5792</v>
      </c>
      <c r="T2418" s="38" t="s">
        <v>5793</v>
      </c>
      <c r="U2418" s="38"/>
      <c r="V2418" s="38"/>
      <c r="W2418" s="38"/>
      <c r="X2418" s="14"/>
      <c r="AI2418" s="53">
        <f>372.56</f>
        <v>372.56</v>
      </c>
      <c r="AN2418" s="7" t="s">
        <v>145</v>
      </c>
      <c r="AO2418" s="21">
        <f t="shared" si="119"/>
        <v>372.56</v>
      </c>
      <c r="AP2418" s="7">
        <f t="shared" si="120"/>
        <v>0</v>
      </c>
      <c r="AQ2418" s="31" t="str">
        <f t="shared" si="121"/>
        <v>Complete - With Adjustment</v>
      </c>
    </row>
    <row r="2419" spans="1:43" x14ac:dyDescent="0.2">
      <c r="A2419" s="46">
        <v>2409</v>
      </c>
      <c r="B2419" s="38" t="s">
        <v>266</v>
      </c>
      <c r="C2419" s="38" t="s">
        <v>5788</v>
      </c>
      <c r="D2419" s="38" t="s">
        <v>5789</v>
      </c>
      <c r="E2419" s="38" t="s">
        <v>5790</v>
      </c>
      <c r="F2419" s="38" t="s">
        <v>5388</v>
      </c>
      <c r="G2419" s="38" t="s">
        <v>111</v>
      </c>
      <c r="H2419" s="44">
        <v>44102</v>
      </c>
      <c r="I2419" s="44">
        <v>44105</v>
      </c>
      <c r="J2419">
        <v>3984.07</v>
      </c>
      <c r="K2419">
        <v>265.81</v>
      </c>
      <c r="L2419" t="s">
        <v>5791</v>
      </c>
      <c r="M2419" s="45" t="s">
        <v>97</v>
      </c>
      <c r="N2419" s="38" t="s">
        <v>230</v>
      </c>
      <c r="O2419" s="38" t="s">
        <v>386</v>
      </c>
      <c r="P2419" s="38" t="s">
        <v>42</v>
      </c>
      <c r="Q2419" s="38" t="s">
        <v>55</v>
      </c>
      <c r="R2419" s="38" t="s">
        <v>270</v>
      </c>
      <c r="S2419" s="38" t="s">
        <v>5792</v>
      </c>
      <c r="T2419" s="38" t="s">
        <v>5793</v>
      </c>
      <c r="U2419" s="38"/>
      <c r="V2419" s="38"/>
      <c r="W2419" s="38"/>
      <c r="X2419" s="14"/>
      <c r="AI2419" s="53">
        <f>265.81</f>
        <v>265.81</v>
      </c>
      <c r="AN2419" s="7" t="s">
        <v>145</v>
      </c>
      <c r="AO2419" s="21">
        <f t="shared" si="119"/>
        <v>265.81</v>
      </c>
      <c r="AP2419" s="7">
        <f t="shared" si="120"/>
        <v>0</v>
      </c>
      <c r="AQ2419" s="31" t="str">
        <f t="shared" si="121"/>
        <v>Complete - With Adjustment</v>
      </c>
    </row>
    <row r="2420" spans="1:43" x14ac:dyDescent="0.2">
      <c r="A2420" s="46">
        <v>2410</v>
      </c>
      <c r="B2420" s="38" t="s">
        <v>266</v>
      </c>
      <c r="C2420" s="38" t="s">
        <v>5788</v>
      </c>
      <c r="D2420" s="38" t="s">
        <v>5789</v>
      </c>
      <c r="E2420" s="38" t="s">
        <v>5790</v>
      </c>
      <c r="F2420" s="38" t="s">
        <v>5388</v>
      </c>
      <c r="G2420" s="38" t="s">
        <v>111</v>
      </c>
      <c r="H2420" s="44">
        <v>44102</v>
      </c>
      <c r="I2420" s="44">
        <v>44105</v>
      </c>
      <c r="J2420">
        <v>3984.07</v>
      </c>
      <c r="K2420">
        <v>317.69</v>
      </c>
      <c r="L2420" t="s">
        <v>5791</v>
      </c>
      <c r="M2420" s="45" t="s">
        <v>97</v>
      </c>
      <c r="N2420" s="38" t="s">
        <v>230</v>
      </c>
      <c r="O2420" s="38" t="s">
        <v>386</v>
      </c>
      <c r="P2420" s="38" t="s">
        <v>42</v>
      </c>
      <c r="Q2420" s="38" t="s">
        <v>55</v>
      </c>
      <c r="R2420" s="38" t="s">
        <v>270</v>
      </c>
      <c r="S2420" s="38" t="s">
        <v>5792</v>
      </c>
      <c r="T2420" s="38" t="s">
        <v>5793</v>
      </c>
      <c r="U2420" s="38"/>
      <c r="V2420" s="38"/>
      <c r="W2420" s="38"/>
      <c r="X2420" s="14"/>
      <c r="AI2420" s="53">
        <f>317.69</f>
        <v>317.69</v>
      </c>
      <c r="AN2420" s="7" t="s">
        <v>145</v>
      </c>
      <c r="AO2420" s="21">
        <f t="shared" si="119"/>
        <v>317.69</v>
      </c>
      <c r="AP2420" s="7">
        <f t="shared" si="120"/>
        <v>0</v>
      </c>
      <c r="AQ2420" s="31" t="str">
        <f t="shared" si="121"/>
        <v>Complete - With Adjustment</v>
      </c>
    </row>
    <row r="2421" spans="1:43" x14ac:dyDescent="0.2">
      <c r="A2421" s="46">
        <v>2411</v>
      </c>
      <c r="B2421" s="38" t="s">
        <v>266</v>
      </c>
      <c r="C2421" s="38" t="s">
        <v>5788</v>
      </c>
      <c r="D2421" s="38" t="s">
        <v>5789</v>
      </c>
      <c r="E2421" s="38" t="s">
        <v>5790</v>
      </c>
      <c r="F2421" s="38" t="s">
        <v>5388</v>
      </c>
      <c r="G2421" s="38" t="s">
        <v>111</v>
      </c>
      <c r="H2421" s="44">
        <v>44102</v>
      </c>
      <c r="I2421" s="44">
        <v>44105</v>
      </c>
      <c r="J2421">
        <v>3984.07</v>
      </c>
      <c r="K2421">
        <v>318.73</v>
      </c>
      <c r="L2421" t="s">
        <v>5791</v>
      </c>
      <c r="M2421" s="45" t="s">
        <v>97</v>
      </c>
      <c r="N2421" s="38" t="s">
        <v>230</v>
      </c>
      <c r="O2421" s="38" t="s">
        <v>386</v>
      </c>
      <c r="P2421" s="38" t="s">
        <v>42</v>
      </c>
      <c r="Q2421" s="38" t="s">
        <v>55</v>
      </c>
      <c r="R2421" s="38" t="s">
        <v>270</v>
      </c>
      <c r="S2421" s="38" t="s">
        <v>5792</v>
      </c>
      <c r="T2421" s="38" t="s">
        <v>5793</v>
      </c>
      <c r="U2421" s="38"/>
      <c r="V2421" s="38"/>
      <c r="W2421" s="38"/>
      <c r="X2421" s="14"/>
      <c r="AI2421" s="53">
        <f>318.73</f>
        <v>318.73</v>
      </c>
      <c r="AN2421" s="7" t="s">
        <v>145</v>
      </c>
      <c r="AO2421" s="21">
        <f t="shared" si="119"/>
        <v>318.73</v>
      </c>
      <c r="AP2421" s="7">
        <f t="shared" si="120"/>
        <v>0</v>
      </c>
      <c r="AQ2421" s="31" t="str">
        <f t="shared" si="121"/>
        <v>Complete - With Adjustment</v>
      </c>
    </row>
    <row r="2422" spans="1:43" x14ac:dyDescent="0.2">
      <c r="A2422" s="46">
        <v>2412</v>
      </c>
      <c r="B2422" s="38" t="s">
        <v>266</v>
      </c>
      <c r="C2422" s="38" t="s">
        <v>5788</v>
      </c>
      <c r="D2422" s="38" t="s">
        <v>5789</v>
      </c>
      <c r="E2422" s="38" t="s">
        <v>5790</v>
      </c>
      <c r="F2422" s="38" t="s">
        <v>5388</v>
      </c>
      <c r="G2422" s="38" t="s">
        <v>111</v>
      </c>
      <c r="H2422" s="44">
        <v>44102</v>
      </c>
      <c r="I2422" s="44">
        <v>44105</v>
      </c>
      <c r="J2422">
        <v>3984.07</v>
      </c>
      <c r="K2422">
        <v>324.74</v>
      </c>
      <c r="L2422" t="s">
        <v>5791</v>
      </c>
      <c r="M2422" s="45" t="s">
        <v>97</v>
      </c>
      <c r="N2422" s="38" t="s">
        <v>230</v>
      </c>
      <c r="O2422" s="38" t="s">
        <v>386</v>
      </c>
      <c r="P2422" s="38" t="s">
        <v>42</v>
      </c>
      <c r="Q2422" s="38" t="s">
        <v>55</v>
      </c>
      <c r="R2422" s="38" t="s">
        <v>270</v>
      </c>
      <c r="S2422" s="38" t="s">
        <v>5792</v>
      </c>
      <c r="T2422" s="38" t="s">
        <v>5793</v>
      </c>
      <c r="U2422" s="38"/>
      <c r="V2422" s="38"/>
      <c r="W2422" s="38"/>
      <c r="X2422" s="14"/>
      <c r="AI2422" s="53">
        <f>324.74</f>
        <v>324.74</v>
      </c>
      <c r="AN2422" s="7" t="s">
        <v>145</v>
      </c>
      <c r="AO2422" s="21">
        <f t="shared" si="119"/>
        <v>324.74</v>
      </c>
      <c r="AP2422" s="7">
        <f t="shared" si="120"/>
        <v>0</v>
      </c>
      <c r="AQ2422" s="31" t="str">
        <f t="shared" si="121"/>
        <v>Complete - With Adjustment</v>
      </c>
    </row>
    <row r="2423" spans="1:43" x14ac:dyDescent="0.2">
      <c r="A2423" s="46">
        <v>2413</v>
      </c>
      <c r="B2423" s="38" t="s">
        <v>266</v>
      </c>
      <c r="C2423" s="38" t="s">
        <v>5788</v>
      </c>
      <c r="D2423" s="38" t="s">
        <v>5789</v>
      </c>
      <c r="E2423" s="38" t="s">
        <v>5790</v>
      </c>
      <c r="F2423" s="38" t="s">
        <v>5388</v>
      </c>
      <c r="G2423" s="38" t="s">
        <v>111</v>
      </c>
      <c r="H2423" s="44">
        <v>44102</v>
      </c>
      <c r="I2423" s="44">
        <v>44105</v>
      </c>
      <c r="J2423">
        <v>3984.07</v>
      </c>
      <c r="K2423">
        <v>193.77</v>
      </c>
      <c r="L2423" t="s">
        <v>5791</v>
      </c>
      <c r="M2423" s="45" t="s">
        <v>97</v>
      </c>
      <c r="N2423" s="38" t="s">
        <v>230</v>
      </c>
      <c r="O2423" s="38" t="s">
        <v>386</v>
      </c>
      <c r="P2423" s="38" t="s">
        <v>42</v>
      </c>
      <c r="Q2423" s="38" t="s">
        <v>55</v>
      </c>
      <c r="R2423" s="38" t="s">
        <v>270</v>
      </c>
      <c r="S2423" s="38" t="s">
        <v>5792</v>
      </c>
      <c r="T2423" s="38" t="s">
        <v>5793</v>
      </c>
      <c r="U2423" s="38"/>
      <c r="V2423" s="38"/>
      <c r="W2423" s="38"/>
      <c r="X2423" s="14"/>
      <c r="AI2423" s="53">
        <f>193.77</f>
        <v>193.77</v>
      </c>
      <c r="AN2423" s="7" t="s">
        <v>145</v>
      </c>
      <c r="AO2423" s="21">
        <f t="shared" si="119"/>
        <v>193.77</v>
      </c>
      <c r="AP2423" s="7">
        <f t="shared" si="120"/>
        <v>0</v>
      </c>
      <c r="AQ2423" s="31" t="str">
        <f t="shared" si="121"/>
        <v>Complete - With Adjustment</v>
      </c>
    </row>
    <row r="2424" spans="1:43" x14ac:dyDescent="0.2">
      <c r="A2424" s="46">
        <v>2414</v>
      </c>
      <c r="B2424" s="38" t="s">
        <v>266</v>
      </c>
      <c r="C2424" s="38" t="s">
        <v>5788</v>
      </c>
      <c r="D2424" s="38" t="s">
        <v>5789</v>
      </c>
      <c r="E2424" s="38" t="s">
        <v>5790</v>
      </c>
      <c r="F2424" s="38" t="s">
        <v>5388</v>
      </c>
      <c r="G2424" s="38" t="s">
        <v>111</v>
      </c>
      <c r="H2424" s="44">
        <v>44102</v>
      </c>
      <c r="I2424" s="44">
        <v>44105</v>
      </c>
      <c r="J2424">
        <v>3984.07</v>
      </c>
      <c r="K2424">
        <v>250</v>
      </c>
      <c r="L2424" t="s">
        <v>5791</v>
      </c>
      <c r="M2424" s="45" t="s">
        <v>97</v>
      </c>
      <c r="N2424" s="38" t="s">
        <v>230</v>
      </c>
      <c r="O2424" s="38" t="s">
        <v>386</v>
      </c>
      <c r="P2424" s="38" t="s">
        <v>42</v>
      </c>
      <c r="Q2424" s="38" t="s">
        <v>55</v>
      </c>
      <c r="R2424" s="38" t="s">
        <v>270</v>
      </c>
      <c r="S2424" s="38" t="s">
        <v>5792</v>
      </c>
      <c r="T2424" s="38" t="s">
        <v>5793</v>
      </c>
      <c r="U2424" s="38"/>
      <c r="V2424" s="38"/>
      <c r="W2424" s="38"/>
      <c r="X2424" s="14"/>
      <c r="AI2424" s="53">
        <f>250</f>
        <v>250</v>
      </c>
      <c r="AN2424" s="7" t="s">
        <v>145</v>
      </c>
      <c r="AO2424" s="21">
        <f t="shared" si="119"/>
        <v>250</v>
      </c>
      <c r="AP2424" s="7">
        <f t="shared" si="120"/>
        <v>0</v>
      </c>
      <c r="AQ2424" s="31" t="str">
        <f t="shared" si="121"/>
        <v>Complete - With Adjustment</v>
      </c>
    </row>
    <row r="2425" spans="1:43" x14ac:dyDescent="0.2">
      <c r="A2425" s="46">
        <v>2415</v>
      </c>
      <c r="B2425" s="38" t="s">
        <v>266</v>
      </c>
      <c r="C2425" s="38" t="s">
        <v>5788</v>
      </c>
      <c r="D2425" s="38" t="s">
        <v>5789</v>
      </c>
      <c r="E2425" s="38" t="s">
        <v>5790</v>
      </c>
      <c r="F2425" s="38" t="s">
        <v>5388</v>
      </c>
      <c r="G2425" s="38" t="s">
        <v>111</v>
      </c>
      <c r="H2425" s="44">
        <v>44102</v>
      </c>
      <c r="I2425" s="44">
        <v>44105</v>
      </c>
      <c r="J2425">
        <v>3984.07</v>
      </c>
      <c r="K2425">
        <v>250</v>
      </c>
      <c r="L2425" t="s">
        <v>5791</v>
      </c>
      <c r="M2425" s="45" t="s">
        <v>97</v>
      </c>
      <c r="N2425" s="38" t="s">
        <v>230</v>
      </c>
      <c r="O2425" s="38" t="s">
        <v>386</v>
      </c>
      <c r="P2425" s="38" t="s">
        <v>42</v>
      </c>
      <c r="Q2425" s="38" t="s">
        <v>55</v>
      </c>
      <c r="R2425" s="38" t="s">
        <v>270</v>
      </c>
      <c r="S2425" s="38" t="s">
        <v>5792</v>
      </c>
      <c r="T2425" s="38" t="s">
        <v>5793</v>
      </c>
      <c r="U2425" s="38"/>
      <c r="V2425" s="38"/>
      <c r="W2425" s="38"/>
      <c r="X2425" s="14"/>
      <c r="AI2425" s="53">
        <f>250</f>
        <v>250</v>
      </c>
      <c r="AN2425" s="7" t="s">
        <v>145</v>
      </c>
      <c r="AO2425" s="21">
        <f t="shared" si="119"/>
        <v>250</v>
      </c>
      <c r="AP2425" s="7">
        <f t="shared" si="120"/>
        <v>0</v>
      </c>
      <c r="AQ2425" s="31" t="str">
        <f t="shared" si="121"/>
        <v>Complete - With Adjustment</v>
      </c>
    </row>
    <row r="2426" spans="1:43" x14ac:dyDescent="0.2">
      <c r="A2426" s="46">
        <v>2416</v>
      </c>
      <c r="B2426" s="38" t="s">
        <v>266</v>
      </c>
      <c r="C2426" s="38" t="s">
        <v>5788</v>
      </c>
      <c r="D2426" s="38" t="s">
        <v>5789</v>
      </c>
      <c r="E2426" s="38" t="s">
        <v>5790</v>
      </c>
      <c r="F2426" s="38" t="s">
        <v>5388</v>
      </c>
      <c r="G2426" s="38" t="s">
        <v>111</v>
      </c>
      <c r="H2426" s="44">
        <v>44102</v>
      </c>
      <c r="I2426" s="44">
        <v>44105</v>
      </c>
      <c r="J2426">
        <v>3984.07</v>
      </c>
      <c r="K2426">
        <v>237.07</v>
      </c>
      <c r="L2426" t="s">
        <v>5791</v>
      </c>
      <c r="M2426" s="45" t="s">
        <v>97</v>
      </c>
      <c r="N2426" s="38" t="s">
        <v>230</v>
      </c>
      <c r="O2426" s="38" t="s">
        <v>386</v>
      </c>
      <c r="P2426" s="38" t="s">
        <v>42</v>
      </c>
      <c r="Q2426" s="38" t="s">
        <v>55</v>
      </c>
      <c r="R2426" s="38" t="s">
        <v>270</v>
      </c>
      <c r="S2426" s="38" t="s">
        <v>5792</v>
      </c>
      <c r="T2426" s="38" t="s">
        <v>5793</v>
      </c>
      <c r="U2426" s="38"/>
      <c r="V2426" s="38"/>
      <c r="W2426" s="38"/>
      <c r="X2426" s="14"/>
      <c r="AI2426" s="53">
        <f>237.07</f>
        <v>237.07</v>
      </c>
      <c r="AN2426" s="7" t="s">
        <v>145</v>
      </c>
      <c r="AO2426" s="21">
        <f t="shared" si="119"/>
        <v>237.07</v>
      </c>
      <c r="AP2426" s="7">
        <f t="shared" si="120"/>
        <v>0</v>
      </c>
      <c r="AQ2426" s="31" t="str">
        <f t="shared" si="121"/>
        <v>Complete - With Adjustment</v>
      </c>
    </row>
    <row r="2427" spans="1:43" x14ac:dyDescent="0.2">
      <c r="A2427" s="46">
        <v>2417</v>
      </c>
      <c r="B2427" s="38" t="s">
        <v>266</v>
      </c>
      <c r="C2427" s="38" t="s">
        <v>5788</v>
      </c>
      <c r="D2427" s="38" t="s">
        <v>5789</v>
      </c>
      <c r="E2427" s="38" t="s">
        <v>5790</v>
      </c>
      <c r="F2427" s="38" t="s">
        <v>5388</v>
      </c>
      <c r="G2427" s="38" t="s">
        <v>111</v>
      </c>
      <c r="H2427" s="44">
        <v>44102</v>
      </c>
      <c r="I2427" s="44">
        <v>44105</v>
      </c>
      <c r="J2427">
        <v>3984.07</v>
      </c>
      <c r="K2427">
        <v>266.86</v>
      </c>
      <c r="L2427" t="s">
        <v>5791</v>
      </c>
      <c r="M2427" s="45" t="s">
        <v>97</v>
      </c>
      <c r="N2427" s="38" t="s">
        <v>230</v>
      </c>
      <c r="O2427" s="38" t="s">
        <v>386</v>
      </c>
      <c r="P2427" s="38" t="s">
        <v>42</v>
      </c>
      <c r="Q2427" s="38" t="s">
        <v>55</v>
      </c>
      <c r="R2427" s="38" t="s">
        <v>270</v>
      </c>
      <c r="S2427" s="38" t="s">
        <v>5792</v>
      </c>
      <c r="T2427" s="38" t="s">
        <v>5793</v>
      </c>
      <c r="U2427" s="38"/>
      <c r="V2427" s="38"/>
      <c r="W2427" s="38"/>
      <c r="X2427" s="14"/>
      <c r="AI2427" s="53">
        <f>266.86</f>
        <v>266.86</v>
      </c>
      <c r="AN2427" s="7" t="s">
        <v>145</v>
      </c>
      <c r="AO2427" s="21">
        <f t="shared" si="119"/>
        <v>266.86</v>
      </c>
      <c r="AP2427" s="7">
        <f t="shared" si="120"/>
        <v>0</v>
      </c>
      <c r="AQ2427" s="31" t="str">
        <f t="shared" si="121"/>
        <v>Complete - With Adjustment</v>
      </c>
    </row>
    <row r="2428" spans="1:43" x14ac:dyDescent="0.2">
      <c r="A2428" s="46">
        <v>2418</v>
      </c>
      <c r="B2428" s="38" t="s">
        <v>266</v>
      </c>
      <c r="C2428" s="38" t="s">
        <v>5788</v>
      </c>
      <c r="D2428" s="38" t="s">
        <v>5789</v>
      </c>
      <c r="E2428" s="38" t="s">
        <v>5790</v>
      </c>
      <c r="F2428" s="38" t="s">
        <v>5388</v>
      </c>
      <c r="G2428" s="38" t="s">
        <v>111</v>
      </c>
      <c r="H2428" s="44">
        <v>44102</v>
      </c>
      <c r="I2428" s="44">
        <v>44105</v>
      </c>
      <c r="J2428">
        <v>3984.07</v>
      </c>
      <c r="K2428">
        <v>212.43</v>
      </c>
      <c r="L2428" t="s">
        <v>5791</v>
      </c>
      <c r="M2428" s="45" t="s">
        <v>97</v>
      </c>
      <c r="N2428" s="38" t="s">
        <v>230</v>
      </c>
      <c r="O2428" s="38" t="s">
        <v>386</v>
      </c>
      <c r="P2428" s="38" t="s">
        <v>42</v>
      </c>
      <c r="Q2428" s="38" t="s">
        <v>55</v>
      </c>
      <c r="R2428" s="38" t="s">
        <v>270</v>
      </c>
      <c r="S2428" s="38" t="s">
        <v>5792</v>
      </c>
      <c r="T2428" s="38" t="s">
        <v>5793</v>
      </c>
      <c r="U2428" s="38"/>
      <c r="V2428" s="38"/>
      <c r="W2428" s="38"/>
      <c r="X2428" s="14"/>
      <c r="AI2428" s="53">
        <f>212.43</f>
        <v>212.43</v>
      </c>
      <c r="AN2428" s="7" t="s">
        <v>145</v>
      </c>
      <c r="AO2428" s="21">
        <f t="shared" si="119"/>
        <v>212.43</v>
      </c>
      <c r="AP2428" s="7">
        <f t="shared" si="120"/>
        <v>0</v>
      </c>
      <c r="AQ2428" s="31" t="str">
        <f t="shared" si="121"/>
        <v>Complete - With Adjustment</v>
      </c>
    </row>
    <row r="2429" spans="1:43" x14ac:dyDescent="0.2">
      <c r="A2429" s="46">
        <v>2419</v>
      </c>
      <c r="B2429" s="38" t="s">
        <v>266</v>
      </c>
      <c r="C2429" s="38" t="s">
        <v>157</v>
      </c>
      <c r="D2429" s="38" t="s">
        <v>158</v>
      </c>
      <c r="E2429" s="38" t="s">
        <v>5794</v>
      </c>
      <c r="F2429" s="38" t="s">
        <v>5388</v>
      </c>
      <c r="G2429" s="38" t="s">
        <v>111</v>
      </c>
      <c r="H2429" s="44">
        <v>44103</v>
      </c>
      <c r="I2429" s="44">
        <v>44105</v>
      </c>
      <c r="J2429">
        <v>26.89</v>
      </c>
      <c r="K2429">
        <v>11.89</v>
      </c>
      <c r="L2429" t="s">
        <v>5795</v>
      </c>
      <c r="M2429" s="45" t="s">
        <v>98</v>
      </c>
      <c r="N2429" s="38" t="s">
        <v>230</v>
      </c>
      <c r="O2429" s="38" t="s">
        <v>362</v>
      </c>
      <c r="P2429" s="38" t="s">
        <v>60</v>
      </c>
      <c r="Q2429" s="38" t="s">
        <v>41</v>
      </c>
      <c r="R2429" s="38" t="s">
        <v>270</v>
      </c>
      <c r="S2429" s="38" t="s">
        <v>5796</v>
      </c>
      <c r="T2429" s="38" t="s">
        <v>5797</v>
      </c>
      <c r="U2429" s="38"/>
      <c r="V2429" s="38"/>
      <c r="W2429" s="38"/>
      <c r="X2429" s="14"/>
      <c r="AN2429" s="7" t="s">
        <v>4219</v>
      </c>
      <c r="AO2429" s="21">
        <f t="shared" si="119"/>
        <v>0</v>
      </c>
      <c r="AP2429" s="7">
        <f t="shared" si="120"/>
        <v>11.89</v>
      </c>
      <c r="AQ2429" s="31" t="str">
        <f t="shared" si="121"/>
        <v>Complete - No Adjustment</v>
      </c>
    </row>
    <row r="2430" spans="1:43" x14ac:dyDescent="0.2">
      <c r="A2430" s="46">
        <v>2420</v>
      </c>
      <c r="B2430" s="38" t="s">
        <v>266</v>
      </c>
      <c r="C2430" s="38" t="s">
        <v>157</v>
      </c>
      <c r="D2430" s="38" t="s">
        <v>158</v>
      </c>
      <c r="E2430" s="38" t="s">
        <v>5794</v>
      </c>
      <c r="F2430" s="38" t="s">
        <v>5388</v>
      </c>
      <c r="G2430" s="38" t="s">
        <v>111</v>
      </c>
      <c r="H2430" s="44">
        <v>44103</v>
      </c>
      <c r="I2430" s="44">
        <v>44105</v>
      </c>
      <c r="J2430">
        <v>26.89</v>
      </c>
      <c r="K2430">
        <v>15</v>
      </c>
      <c r="L2430" t="s">
        <v>5795</v>
      </c>
      <c r="M2430" s="45" t="s">
        <v>98</v>
      </c>
      <c r="N2430" s="38" t="s">
        <v>230</v>
      </c>
      <c r="O2430" s="38" t="s">
        <v>362</v>
      </c>
      <c r="P2430" s="38" t="s">
        <v>60</v>
      </c>
      <c r="Q2430" s="38" t="s">
        <v>41</v>
      </c>
      <c r="R2430" s="38" t="s">
        <v>270</v>
      </c>
      <c r="S2430" s="38" t="s">
        <v>5796</v>
      </c>
      <c r="T2430" s="38" t="s">
        <v>5798</v>
      </c>
      <c r="U2430" s="38"/>
      <c r="V2430" s="38"/>
      <c r="W2430" s="38"/>
      <c r="X2430" s="14"/>
      <c r="AN2430" s="7" t="s">
        <v>155</v>
      </c>
      <c r="AO2430" s="21">
        <f t="shared" si="119"/>
        <v>0</v>
      </c>
      <c r="AP2430" s="7">
        <f t="shared" si="120"/>
        <v>15</v>
      </c>
      <c r="AQ2430" s="31" t="str">
        <f t="shared" si="121"/>
        <v>Complete - No Adjustment</v>
      </c>
    </row>
    <row r="2431" spans="1:43" x14ac:dyDescent="0.2">
      <c r="A2431" s="46">
        <v>2421</v>
      </c>
      <c r="B2431" s="38" t="s">
        <v>266</v>
      </c>
      <c r="C2431" s="38" t="s">
        <v>471</v>
      </c>
      <c r="D2431" s="38" t="s">
        <v>470</v>
      </c>
      <c r="E2431" s="38" t="s">
        <v>5799</v>
      </c>
      <c r="F2431" s="38" t="s">
        <v>5412</v>
      </c>
      <c r="G2431" s="38" t="s">
        <v>111</v>
      </c>
      <c r="H2431" s="44">
        <v>44109</v>
      </c>
      <c r="I2431" s="44">
        <v>44117</v>
      </c>
      <c r="J2431">
        <v>35.96</v>
      </c>
      <c r="K2431">
        <v>15</v>
      </c>
      <c r="L2431" t="s">
        <v>5800</v>
      </c>
      <c r="M2431" s="45" t="s">
        <v>98</v>
      </c>
      <c r="N2431" s="38" t="s">
        <v>230</v>
      </c>
      <c r="O2431" s="38" t="s">
        <v>472</v>
      </c>
      <c r="P2431" s="38" t="s">
        <v>60</v>
      </c>
      <c r="Q2431" s="38" t="s">
        <v>41</v>
      </c>
      <c r="R2431" s="38" t="s">
        <v>270</v>
      </c>
      <c r="S2431" s="38" t="s">
        <v>5801</v>
      </c>
      <c r="T2431" s="38" t="s">
        <v>5802</v>
      </c>
      <c r="U2431" s="38"/>
      <c r="V2431" s="38"/>
      <c r="W2431" s="38"/>
      <c r="X2431" s="14"/>
      <c r="AN2431" s="7" t="s">
        <v>70</v>
      </c>
      <c r="AO2431" s="21">
        <f t="shared" si="119"/>
        <v>0</v>
      </c>
      <c r="AP2431" s="7">
        <f t="shared" si="120"/>
        <v>15</v>
      </c>
      <c r="AQ2431" s="31" t="str">
        <f t="shared" si="121"/>
        <v>Complete - No Adjustment</v>
      </c>
    </row>
    <row r="2432" spans="1:43" x14ac:dyDescent="0.2">
      <c r="A2432" s="46">
        <v>2422</v>
      </c>
      <c r="B2432" s="38" t="s">
        <v>266</v>
      </c>
      <c r="C2432" s="38" t="s">
        <v>471</v>
      </c>
      <c r="D2432" s="38" t="s">
        <v>470</v>
      </c>
      <c r="E2432" s="38" t="s">
        <v>5799</v>
      </c>
      <c r="F2432" s="38" t="s">
        <v>5412</v>
      </c>
      <c r="G2432" s="38" t="s">
        <v>111</v>
      </c>
      <c r="H2432" s="44">
        <v>44109</v>
      </c>
      <c r="I2432" s="44">
        <v>44117</v>
      </c>
      <c r="J2432">
        <v>35.96</v>
      </c>
      <c r="K2432">
        <v>20.96</v>
      </c>
      <c r="L2432" t="s">
        <v>5800</v>
      </c>
      <c r="M2432" s="45" t="s">
        <v>98</v>
      </c>
      <c r="N2432" s="38" t="s">
        <v>230</v>
      </c>
      <c r="O2432" s="38" t="s">
        <v>472</v>
      </c>
      <c r="P2432" s="38" t="s">
        <v>60</v>
      </c>
      <c r="Q2432" s="38" t="s">
        <v>41</v>
      </c>
      <c r="R2432" s="38" t="s">
        <v>270</v>
      </c>
      <c r="S2432" s="38" t="s">
        <v>5801</v>
      </c>
      <c r="T2432" s="38" t="s">
        <v>5803</v>
      </c>
      <c r="U2432" s="38"/>
      <c r="V2432" s="38"/>
      <c r="W2432" s="38"/>
      <c r="X2432" s="14"/>
      <c r="AL2432" s="14">
        <f>20.96</f>
        <v>20.96</v>
      </c>
      <c r="AN2432" s="7" t="s">
        <v>146</v>
      </c>
      <c r="AO2432" s="21">
        <f t="shared" si="119"/>
        <v>20.96</v>
      </c>
      <c r="AP2432" s="7">
        <f t="shared" si="120"/>
        <v>0</v>
      </c>
      <c r="AQ2432" s="31" t="str">
        <f t="shared" si="121"/>
        <v>Complete - With Adjustment</v>
      </c>
    </row>
    <row r="2433" spans="1:43" x14ac:dyDescent="0.2">
      <c r="A2433" s="46">
        <v>2423</v>
      </c>
      <c r="B2433" s="38" t="s">
        <v>266</v>
      </c>
      <c r="C2433" s="38" t="s">
        <v>624</v>
      </c>
      <c r="D2433" s="38" t="s">
        <v>623</v>
      </c>
      <c r="E2433" s="38" t="s">
        <v>5804</v>
      </c>
      <c r="F2433" s="38" t="s">
        <v>5755</v>
      </c>
      <c r="G2433" s="38" t="s">
        <v>111</v>
      </c>
      <c r="H2433" s="44">
        <v>44123</v>
      </c>
      <c r="I2433" s="44">
        <v>44125</v>
      </c>
      <c r="J2433">
        <v>171.52</v>
      </c>
      <c r="K2433">
        <v>171.52</v>
      </c>
      <c r="L2433" t="s">
        <v>5805</v>
      </c>
      <c r="M2433" s="45" t="s">
        <v>98</v>
      </c>
      <c r="N2433" s="38" t="s">
        <v>230</v>
      </c>
      <c r="O2433" s="38" t="s">
        <v>559</v>
      </c>
      <c r="P2433" s="38" t="s">
        <v>60</v>
      </c>
      <c r="Q2433" s="38" t="s">
        <v>52</v>
      </c>
      <c r="R2433" s="38" t="s">
        <v>270</v>
      </c>
      <c r="S2433" s="38" t="s">
        <v>5806</v>
      </c>
      <c r="T2433" s="38" t="s">
        <v>5807</v>
      </c>
      <c r="U2433" s="38"/>
      <c r="V2433" s="38"/>
      <c r="W2433" s="38"/>
      <c r="X2433" s="14"/>
      <c r="AN2433" s="7" t="s">
        <v>70</v>
      </c>
      <c r="AO2433" s="21">
        <f t="shared" si="119"/>
        <v>0</v>
      </c>
      <c r="AP2433" s="7">
        <f t="shared" si="120"/>
        <v>171.52</v>
      </c>
      <c r="AQ2433" s="31" t="str">
        <f t="shared" si="121"/>
        <v>Complete - No Adjustment</v>
      </c>
    </row>
    <row r="2434" spans="1:43" x14ac:dyDescent="0.2">
      <c r="A2434" s="46">
        <v>2424</v>
      </c>
      <c r="B2434" s="38" t="s">
        <v>266</v>
      </c>
      <c r="C2434" s="38" t="s">
        <v>3572</v>
      </c>
      <c r="D2434" s="38" t="s">
        <v>3573</v>
      </c>
      <c r="E2434" s="38" t="s">
        <v>5808</v>
      </c>
      <c r="F2434" s="38" t="s">
        <v>5388</v>
      </c>
      <c r="G2434" s="38" t="s">
        <v>111</v>
      </c>
      <c r="H2434" s="44">
        <v>44090</v>
      </c>
      <c r="I2434" s="44">
        <v>44105</v>
      </c>
      <c r="J2434">
        <v>9.73</v>
      </c>
      <c r="K2434">
        <v>9.73</v>
      </c>
      <c r="L2434" t="s">
        <v>5809</v>
      </c>
      <c r="M2434" s="45" t="s">
        <v>98</v>
      </c>
      <c r="N2434" s="38" t="s">
        <v>230</v>
      </c>
      <c r="O2434" s="38" t="s">
        <v>559</v>
      </c>
      <c r="P2434" s="38" t="s">
        <v>60</v>
      </c>
      <c r="Q2434" s="38" t="s">
        <v>41</v>
      </c>
      <c r="R2434" s="38" t="s">
        <v>270</v>
      </c>
      <c r="S2434" s="38" t="s">
        <v>5810</v>
      </c>
      <c r="T2434" s="38" t="s">
        <v>5811</v>
      </c>
      <c r="U2434" s="38"/>
      <c r="V2434" s="38"/>
      <c r="W2434" s="38"/>
      <c r="X2434" s="14"/>
      <c r="AL2434" s="14">
        <f>9.73</f>
        <v>9.73</v>
      </c>
      <c r="AN2434" s="7" t="s">
        <v>146</v>
      </c>
      <c r="AO2434" s="21">
        <f t="shared" si="119"/>
        <v>9.73</v>
      </c>
      <c r="AP2434" s="7">
        <f t="shared" si="120"/>
        <v>0</v>
      </c>
      <c r="AQ2434" s="31" t="str">
        <f t="shared" si="121"/>
        <v>Complete - With Adjustment</v>
      </c>
    </row>
    <row r="2435" spans="1:43" x14ac:dyDescent="0.2">
      <c r="A2435" s="46">
        <v>2425</v>
      </c>
      <c r="B2435" s="38" t="s">
        <v>266</v>
      </c>
      <c r="C2435" s="38" t="s">
        <v>685</v>
      </c>
      <c r="D2435" s="38" t="s">
        <v>776</v>
      </c>
      <c r="E2435" s="38" t="s">
        <v>5812</v>
      </c>
      <c r="F2435" s="38" t="s">
        <v>5388</v>
      </c>
      <c r="G2435" s="38" t="s">
        <v>111</v>
      </c>
      <c r="H2435" s="44">
        <v>44103</v>
      </c>
      <c r="I2435" s="44">
        <v>44105</v>
      </c>
      <c r="J2435">
        <v>30</v>
      </c>
      <c r="K2435">
        <v>12</v>
      </c>
      <c r="L2435" t="s">
        <v>5813</v>
      </c>
      <c r="M2435" s="45" t="s">
        <v>98</v>
      </c>
      <c r="N2435" s="38" t="s">
        <v>230</v>
      </c>
      <c r="O2435" s="38" t="s">
        <v>706</v>
      </c>
      <c r="P2435" s="38" t="s">
        <v>60</v>
      </c>
      <c r="Q2435" s="38" t="s">
        <v>46</v>
      </c>
      <c r="R2435" s="38" t="s">
        <v>270</v>
      </c>
      <c r="S2435" s="38" t="s">
        <v>5814</v>
      </c>
      <c r="T2435" s="38" t="s">
        <v>2774</v>
      </c>
      <c r="U2435" s="38"/>
      <c r="V2435" s="38"/>
      <c r="W2435" s="38"/>
      <c r="X2435" s="14"/>
      <c r="AL2435" s="14">
        <f>12</f>
        <v>12</v>
      </c>
      <c r="AN2435" s="7" t="s">
        <v>146</v>
      </c>
      <c r="AO2435" s="21">
        <f t="shared" si="119"/>
        <v>12</v>
      </c>
      <c r="AP2435" s="7">
        <f t="shared" si="120"/>
        <v>0</v>
      </c>
      <c r="AQ2435" s="31" t="str">
        <f t="shared" si="121"/>
        <v>Complete - With Adjustment</v>
      </c>
    </row>
    <row r="2436" spans="1:43" x14ac:dyDescent="0.2">
      <c r="A2436" s="46">
        <v>2426</v>
      </c>
      <c r="B2436" s="38" t="s">
        <v>266</v>
      </c>
      <c r="C2436" s="38" t="s">
        <v>685</v>
      </c>
      <c r="D2436" s="38" t="s">
        <v>776</v>
      </c>
      <c r="E2436" s="38" t="s">
        <v>5812</v>
      </c>
      <c r="F2436" s="38" t="s">
        <v>5388</v>
      </c>
      <c r="G2436" s="38" t="s">
        <v>111</v>
      </c>
      <c r="H2436" s="44">
        <v>44103</v>
      </c>
      <c r="I2436" s="44">
        <v>44105</v>
      </c>
      <c r="J2436">
        <v>30</v>
      </c>
      <c r="K2436">
        <v>12</v>
      </c>
      <c r="L2436" t="s">
        <v>5813</v>
      </c>
      <c r="M2436" s="45" t="s">
        <v>98</v>
      </c>
      <c r="N2436" s="38" t="s">
        <v>230</v>
      </c>
      <c r="O2436" s="38" t="s">
        <v>706</v>
      </c>
      <c r="P2436" s="38" t="s">
        <v>60</v>
      </c>
      <c r="Q2436" s="38" t="s">
        <v>46</v>
      </c>
      <c r="R2436" s="38" t="s">
        <v>270</v>
      </c>
      <c r="S2436" s="38" t="s">
        <v>5814</v>
      </c>
      <c r="T2436" s="38" t="s">
        <v>5815</v>
      </c>
      <c r="U2436" s="38"/>
      <c r="V2436" s="38"/>
      <c r="W2436" s="38"/>
      <c r="X2436" s="14"/>
      <c r="AI2436" s="53">
        <f>12</f>
        <v>12</v>
      </c>
      <c r="AN2436" s="7" t="s">
        <v>145</v>
      </c>
      <c r="AO2436" s="21">
        <f t="shared" si="119"/>
        <v>12</v>
      </c>
      <c r="AP2436" s="7">
        <f t="shared" si="120"/>
        <v>0</v>
      </c>
      <c r="AQ2436" s="31" t="str">
        <f t="shared" si="121"/>
        <v>Complete - With Adjustment</v>
      </c>
    </row>
    <row r="2437" spans="1:43" x14ac:dyDescent="0.2">
      <c r="A2437" s="46">
        <v>2427</v>
      </c>
      <c r="B2437" s="38" t="s">
        <v>266</v>
      </c>
      <c r="C2437" s="38" t="s">
        <v>236</v>
      </c>
      <c r="D2437" s="38" t="s">
        <v>235</v>
      </c>
      <c r="E2437" s="38" t="s">
        <v>5816</v>
      </c>
      <c r="F2437" s="38" t="s">
        <v>5340</v>
      </c>
      <c r="G2437" s="38" t="s">
        <v>111</v>
      </c>
      <c r="H2437" s="44">
        <v>44117</v>
      </c>
      <c r="I2437" s="44">
        <v>44124</v>
      </c>
      <c r="J2437">
        <v>69.260000000000005</v>
      </c>
      <c r="K2437">
        <v>17.309999999999999</v>
      </c>
      <c r="L2437" t="s">
        <v>5817</v>
      </c>
      <c r="M2437" s="45" t="s">
        <v>98</v>
      </c>
      <c r="N2437" s="38" t="s">
        <v>230</v>
      </c>
      <c r="O2437" s="38" t="s">
        <v>326</v>
      </c>
      <c r="P2437" s="38" t="s">
        <v>60</v>
      </c>
      <c r="Q2437" s="38" t="s">
        <v>62</v>
      </c>
      <c r="R2437" s="38" t="s">
        <v>270</v>
      </c>
      <c r="S2437" s="38" t="s">
        <v>5818</v>
      </c>
      <c r="T2437" s="38" t="s">
        <v>5819</v>
      </c>
      <c r="U2437" s="38"/>
      <c r="V2437" s="38"/>
      <c r="W2437" s="38"/>
      <c r="X2437" s="14"/>
      <c r="AN2437" s="7" t="s">
        <v>155</v>
      </c>
      <c r="AO2437" s="21">
        <f t="shared" si="119"/>
        <v>0</v>
      </c>
      <c r="AP2437" s="7">
        <f t="shared" si="120"/>
        <v>17.309999999999999</v>
      </c>
      <c r="AQ2437" s="31" t="str">
        <f t="shared" si="121"/>
        <v>Complete - No Adjustment</v>
      </c>
    </row>
    <row r="2438" spans="1:43" x14ac:dyDescent="0.2">
      <c r="A2438" s="46">
        <v>2428</v>
      </c>
      <c r="B2438" s="38" t="s">
        <v>266</v>
      </c>
      <c r="C2438" s="38" t="s">
        <v>629</v>
      </c>
      <c r="D2438" s="38" t="s">
        <v>628</v>
      </c>
      <c r="E2438" s="38" t="s">
        <v>5820</v>
      </c>
      <c r="F2438" s="38" t="s">
        <v>5490</v>
      </c>
      <c r="G2438" s="38" t="s">
        <v>111</v>
      </c>
      <c r="H2438" s="44">
        <v>44129</v>
      </c>
      <c r="I2438" s="44">
        <v>44131</v>
      </c>
      <c r="J2438">
        <v>123.5</v>
      </c>
      <c r="K2438">
        <v>123.5</v>
      </c>
      <c r="L2438" t="s">
        <v>5821</v>
      </c>
      <c r="M2438" s="45" t="s">
        <v>98</v>
      </c>
      <c r="N2438" s="38" t="s">
        <v>230</v>
      </c>
      <c r="O2438" s="38" t="s">
        <v>506</v>
      </c>
      <c r="P2438" s="38" t="s">
        <v>60</v>
      </c>
      <c r="Q2438" s="38" t="s">
        <v>601</v>
      </c>
      <c r="R2438" s="38" t="s">
        <v>270</v>
      </c>
      <c r="S2438" s="38" t="s">
        <v>5822</v>
      </c>
      <c r="T2438" s="38" t="s">
        <v>5823</v>
      </c>
      <c r="U2438" s="38"/>
      <c r="V2438" s="38"/>
      <c r="W2438" s="38"/>
      <c r="X2438" s="14"/>
      <c r="AN2438" s="7" t="s">
        <v>155</v>
      </c>
      <c r="AO2438" s="21">
        <f t="shared" ref="AO2438:AO2501" si="122">SUM(Y2438:AL2438)</f>
        <v>0</v>
      </c>
      <c r="AP2438" s="7">
        <f t="shared" ref="AP2438:AP2501" si="123">K2438-AO2438</f>
        <v>123.5</v>
      </c>
      <c r="AQ2438" s="31" t="str">
        <f t="shared" ref="AQ2438:AQ2501" si="124">IF(AO2438&lt;&gt;0,"Complete - With Adjustment","Complete - No Adjustment")</f>
        <v>Complete - No Adjustment</v>
      </c>
    </row>
    <row r="2439" spans="1:43" x14ac:dyDescent="0.2">
      <c r="A2439" s="46">
        <v>2429</v>
      </c>
      <c r="B2439" s="38" t="s">
        <v>266</v>
      </c>
      <c r="C2439" s="38" t="s">
        <v>3614</v>
      </c>
      <c r="D2439" s="38" t="s">
        <v>3615</v>
      </c>
      <c r="E2439" s="38" t="s">
        <v>5824</v>
      </c>
      <c r="F2439" s="38" t="s">
        <v>5412</v>
      </c>
      <c r="G2439" s="38" t="s">
        <v>111</v>
      </c>
      <c r="H2439" s="44">
        <v>44109</v>
      </c>
      <c r="I2439" s="44">
        <v>44117</v>
      </c>
      <c r="J2439">
        <v>15</v>
      </c>
      <c r="K2439">
        <v>15</v>
      </c>
      <c r="L2439" t="s">
        <v>5825</v>
      </c>
      <c r="M2439" s="45" t="s">
        <v>98</v>
      </c>
      <c r="N2439" s="38" t="s">
        <v>230</v>
      </c>
      <c r="O2439" s="38" t="s">
        <v>280</v>
      </c>
      <c r="P2439" s="38" t="s">
        <v>60</v>
      </c>
      <c r="Q2439" s="38" t="s">
        <v>41</v>
      </c>
      <c r="R2439" s="38" t="s">
        <v>270</v>
      </c>
      <c r="S2439" s="38" t="s">
        <v>5826</v>
      </c>
      <c r="T2439" s="38" t="s">
        <v>5827</v>
      </c>
      <c r="U2439" s="38"/>
      <c r="V2439" s="38"/>
      <c r="W2439" s="38"/>
      <c r="X2439" s="14"/>
      <c r="AN2439" s="7" t="s">
        <v>4219</v>
      </c>
      <c r="AO2439" s="21">
        <f t="shared" si="122"/>
        <v>0</v>
      </c>
      <c r="AP2439" s="7">
        <f t="shared" si="123"/>
        <v>15</v>
      </c>
      <c r="AQ2439" s="31" t="str">
        <f t="shared" si="124"/>
        <v>Complete - No Adjustment</v>
      </c>
    </row>
    <row r="2440" spans="1:43" x14ac:dyDescent="0.2">
      <c r="A2440" s="46">
        <v>2430</v>
      </c>
      <c r="B2440" s="38" t="s">
        <v>266</v>
      </c>
      <c r="C2440" s="38" t="s">
        <v>631</v>
      </c>
      <c r="D2440" s="38" t="s">
        <v>630</v>
      </c>
      <c r="E2440" s="38" t="s">
        <v>5828</v>
      </c>
      <c r="F2440" s="38" t="s">
        <v>5388</v>
      </c>
      <c r="G2440" s="38" t="s">
        <v>111</v>
      </c>
      <c r="H2440" s="44">
        <v>44039</v>
      </c>
      <c r="I2440" s="44">
        <v>44105</v>
      </c>
      <c r="J2440">
        <v>2899.32</v>
      </c>
      <c r="K2440">
        <v>1300</v>
      </c>
      <c r="L2440" t="s">
        <v>5829</v>
      </c>
      <c r="M2440" s="45" t="s">
        <v>98</v>
      </c>
      <c r="N2440" s="38" t="s">
        <v>230</v>
      </c>
      <c r="O2440" s="38" t="s">
        <v>271</v>
      </c>
      <c r="P2440" s="38" t="s">
        <v>60</v>
      </c>
      <c r="Q2440" s="38" t="s">
        <v>75</v>
      </c>
      <c r="R2440" s="38" t="s">
        <v>270</v>
      </c>
      <c r="S2440" s="38" t="s">
        <v>5830</v>
      </c>
      <c r="T2440" s="38" t="s">
        <v>5831</v>
      </c>
      <c r="U2440" s="38"/>
      <c r="V2440" s="38"/>
      <c r="W2440" s="38"/>
      <c r="X2440" s="14"/>
      <c r="AN2440" s="7" t="s">
        <v>70</v>
      </c>
      <c r="AO2440" s="21">
        <f t="shared" si="122"/>
        <v>0</v>
      </c>
      <c r="AP2440" s="7">
        <f t="shared" si="123"/>
        <v>1300</v>
      </c>
      <c r="AQ2440" s="31" t="str">
        <f t="shared" si="124"/>
        <v>Complete - No Adjustment</v>
      </c>
    </row>
    <row r="2441" spans="1:43" x14ac:dyDescent="0.2">
      <c r="A2441" s="46">
        <v>2431</v>
      </c>
      <c r="B2441" s="38" t="s">
        <v>266</v>
      </c>
      <c r="C2441" s="38" t="s">
        <v>631</v>
      </c>
      <c r="D2441" s="38" t="s">
        <v>630</v>
      </c>
      <c r="E2441" s="38" t="s">
        <v>5828</v>
      </c>
      <c r="F2441" s="38" t="s">
        <v>5388</v>
      </c>
      <c r="G2441" s="38" t="s">
        <v>111</v>
      </c>
      <c r="H2441" s="44">
        <v>44039</v>
      </c>
      <c r="I2441" s="44">
        <v>44105</v>
      </c>
      <c r="J2441">
        <v>2899.32</v>
      </c>
      <c r="K2441">
        <v>35.72</v>
      </c>
      <c r="L2441" t="s">
        <v>5829</v>
      </c>
      <c r="M2441" s="45" t="s">
        <v>98</v>
      </c>
      <c r="N2441" s="38" t="s">
        <v>230</v>
      </c>
      <c r="O2441" s="38" t="s">
        <v>271</v>
      </c>
      <c r="P2441" s="38" t="s">
        <v>60</v>
      </c>
      <c r="Q2441" s="38" t="s">
        <v>47</v>
      </c>
      <c r="R2441" s="38" t="s">
        <v>270</v>
      </c>
      <c r="S2441" s="38" t="s">
        <v>5830</v>
      </c>
      <c r="T2441" s="38" t="s">
        <v>5832</v>
      </c>
      <c r="U2441" s="38"/>
      <c r="V2441" s="38"/>
      <c r="W2441" s="38"/>
      <c r="X2441" s="14"/>
      <c r="AN2441" s="7" t="s">
        <v>70</v>
      </c>
      <c r="AO2441" s="21">
        <f t="shared" si="122"/>
        <v>0</v>
      </c>
      <c r="AP2441" s="7">
        <f t="shared" si="123"/>
        <v>35.72</v>
      </c>
      <c r="AQ2441" s="31" t="str">
        <f t="shared" si="124"/>
        <v>Complete - No Adjustment</v>
      </c>
    </row>
    <row r="2442" spans="1:43" x14ac:dyDescent="0.2">
      <c r="A2442" s="46">
        <v>2432</v>
      </c>
      <c r="B2442" s="38" t="s">
        <v>266</v>
      </c>
      <c r="C2442" s="38" t="s">
        <v>631</v>
      </c>
      <c r="D2442" s="38" t="s">
        <v>630</v>
      </c>
      <c r="E2442" s="38" t="s">
        <v>5828</v>
      </c>
      <c r="F2442" s="38" t="s">
        <v>5388</v>
      </c>
      <c r="G2442" s="38" t="s">
        <v>111</v>
      </c>
      <c r="H2442" s="44">
        <v>44039</v>
      </c>
      <c r="I2442" s="44">
        <v>44105</v>
      </c>
      <c r="J2442">
        <v>2899.32</v>
      </c>
      <c r="K2442">
        <v>64.95</v>
      </c>
      <c r="L2442" t="s">
        <v>5829</v>
      </c>
      <c r="M2442" s="45" t="s">
        <v>98</v>
      </c>
      <c r="N2442" s="38" t="s">
        <v>230</v>
      </c>
      <c r="O2442" s="38" t="s">
        <v>271</v>
      </c>
      <c r="P2442" s="38" t="s">
        <v>60</v>
      </c>
      <c r="Q2442" s="38" t="s">
        <v>53</v>
      </c>
      <c r="R2442" s="38" t="s">
        <v>270</v>
      </c>
      <c r="S2442" s="38" t="s">
        <v>5830</v>
      </c>
      <c r="T2442" s="38" t="s">
        <v>5833</v>
      </c>
      <c r="U2442" s="38"/>
      <c r="V2442" s="38"/>
      <c r="W2442" s="38"/>
      <c r="X2442" s="14"/>
      <c r="AN2442" s="7" t="s">
        <v>70</v>
      </c>
      <c r="AO2442" s="21">
        <f t="shared" si="122"/>
        <v>0</v>
      </c>
      <c r="AP2442" s="7">
        <f t="shared" si="123"/>
        <v>64.95</v>
      </c>
      <c r="AQ2442" s="31" t="str">
        <f t="shared" si="124"/>
        <v>Complete - No Adjustment</v>
      </c>
    </row>
    <row r="2443" spans="1:43" x14ac:dyDescent="0.2">
      <c r="A2443" s="46">
        <v>2433</v>
      </c>
      <c r="B2443" s="38" t="s">
        <v>266</v>
      </c>
      <c r="C2443" s="38" t="s">
        <v>486</v>
      </c>
      <c r="D2443" s="38" t="s">
        <v>485</v>
      </c>
      <c r="E2443" s="38" t="s">
        <v>5834</v>
      </c>
      <c r="F2443" s="38" t="s">
        <v>5348</v>
      </c>
      <c r="G2443" s="38" t="s">
        <v>111</v>
      </c>
      <c r="H2443" s="44">
        <v>44103</v>
      </c>
      <c r="I2443" s="44">
        <v>44106</v>
      </c>
      <c r="J2443">
        <v>58.82</v>
      </c>
      <c r="K2443">
        <v>58.82</v>
      </c>
      <c r="L2443" t="s">
        <v>5835</v>
      </c>
      <c r="M2443" s="45" t="s">
        <v>98</v>
      </c>
      <c r="N2443" s="38" t="s">
        <v>230</v>
      </c>
      <c r="O2443" s="38" t="s">
        <v>317</v>
      </c>
      <c r="P2443" s="38" t="s">
        <v>60</v>
      </c>
      <c r="Q2443" s="38" t="s">
        <v>41</v>
      </c>
      <c r="R2443" s="38" t="s">
        <v>270</v>
      </c>
      <c r="S2443" s="38" t="s">
        <v>5836</v>
      </c>
      <c r="T2443" s="38" t="s">
        <v>5837</v>
      </c>
      <c r="U2443" s="38"/>
      <c r="V2443" s="38"/>
      <c r="W2443" s="38"/>
      <c r="X2443" s="14"/>
      <c r="AI2443" s="53">
        <f>58.82</f>
        <v>58.82</v>
      </c>
      <c r="AN2443" s="7" t="s">
        <v>145</v>
      </c>
      <c r="AO2443" s="21">
        <f t="shared" si="122"/>
        <v>58.82</v>
      </c>
      <c r="AP2443" s="7">
        <f t="shared" si="123"/>
        <v>0</v>
      </c>
      <c r="AQ2443" s="31" t="str">
        <f t="shared" si="124"/>
        <v>Complete - With Adjustment</v>
      </c>
    </row>
    <row r="2444" spans="1:43" x14ac:dyDescent="0.2">
      <c r="A2444" s="46">
        <v>2434</v>
      </c>
      <c r="B2444" s="38" t="s">
        <v>266</v>
      </c>
      <c r="C2444" s="38" t="s">
        <v>486</v>
      </c>
      <c r="D2444" s="38" t="s">
        <v>485</v>
      </c>
      <c r="E2444" s="38" t="s">
        <v>5838</v>
      </c>
      <c r="F2444" s="38" t="s">
        <v>5490</v>
      </c>
      <c r="G2444" s="38" t="s">
        <v>111</v>
      </c>
      <c r="H2444" s="44">
        <v>44127</v>
      </c>
      <c r="I2444" s="44">
        <v>44131</v>
      </c>
      <c r="J2444">
        <v>803.27</v>
      </c>
      <c r="K2444">
        <v>780</v>
      </c>
      <c r="L2444" t="s">
        <v>5839</v>
      </c>
      <c r="M2444" s="45" t="s">
        <v>98</v>
      </c>
      <c r="N2444" s="38" t="s">
        <v>230</v>
      </c>
      <c r="O2444" s="38" t="s">
        <v>317</v>
      </c>
      <c r="P2444" s="38" t="s">
        <v>60</v>
      </c>
      <c r="Q2444" s="38" t="s">
        <v>56</v>
      </c>
      <c r="R2444" s="38" t="s">
        <v>270</v>
      </c>
      <c r="S2444" s="38" t="s">
        <v>5840</v>
      </c>
      <c r="T2444" s="38" t="s">
        <v>5841</v>
      </c>
      <c r="U2444" s="38"/>
      <c r="V2444" s="38"/>
      <c r="W2444" s="38"/>
      <c r="X2444" s="14"/>
      <c r="AN2444" s="7" t="s">
        <v>70</v>
      </c>
      <c r="AO2444" s="21">
        <f t="shared" si="122"/>
        <v>0</v>
      </c>
      <c r="AP2444" s="7">
        <f t="shared" si="123"/>
        <v>780</v>
      </c>
      <c r="AQ2444" s="31" t="str">
        <f t="shared" si="124"/>
        <v>Complete - No Adjustment</v>
      </c>
    </row>
    <row r="2445" spans="1:43" x14ac:dyDescent="0.2">
      <c r="A2445" s="46">
        <v>2435</v>
      </c>
      <c r="B2445" s="38" t="s">
        <v>266</v>
      </c>
      <c r="C2445" s="38" t="s">
        <v>486</v>
      </c>
      <c r="D2445" s="38" t="s">
        <v>485</v>
      </c>
      <c r="E2445" s="38" t="s">
        <v>5838</v>
      </c>
      <c r="F2445" s="38" t="s">
        <v>5490</v>
      </c>
      <c r="G2445" s="38" t="s">
        <v>111</v>
      </c>
      <c r="H2445" s="44">
        <v>44127</v>
      </c>
      <c r="I2445" s="44">
        <v>44131</v>
      </c>
      <c r="J2445">
        <v>803.27</v>
      </c>
      <c r="K2445">
        <v>12.31</v>
      </c>
      <c r="L2445" t="s">
        <v>5839</v>
      </c>
      <c r="M2445" s="45" t="s">
        <v>98</v>
      </c>
      <c r="N2445" s="38" t="s">
        <v>230</v>
      </c>
      <c r="O2445" s="38" t="s">
        <v>317</v>
      </c>
      <c r="P2445" s="38" t="s">
        <v>60</v>
      </c>
      <c r="Q2445" s="38" t="s">
        <v>41</v>
      </c>
      <c r="R2445" s="38" t="s">
        <v>270</v>
      </c>
      <c r="S2445" s="38" t="s">
        <v>5840</v>
      </c>
      <c r="T2445" s="38" t="s">
        <v>5842</v>
      </c>
      <c r="U2445" s="38"/>
      <c r="V2445" s="38"/>
      <c r="W2445" s="38"/>
      <c r="X2445" s="14"/>
      <c r="AL2445" s="14">
        <f>12.31</f>
        <v>12.31</v>
      </c>
      <c r="AN2445" s="7" t="s">
        <v>146</v>
      </c>
      <c r="AO2445" s="21">
        <f t="shared" si="122"/>
        <v>12.31</v>
      </c>
      <c r="AP2445" s="7">
        <f t="shared" si="123"/>
        <v>0</v>
      </c>
      <c r="AQ2445" s="31" t="str">
        <f t="shared" si="124"/>
        <v>Complete - With Adjustment</v>
      </c>
    </row>
    <row r="2446" spans="1:43" x14ac:dyDescent="0.2">
      <c r="A2446" s="46">
        <v>2436</v>
      </c>
      <c r="B2446" s="38" t="s">
        <v>266</v>
      </c>
      <c r="C2446" s="38" t="s">
        <v>486</v>
      </c>
      <c r="D2446" s="38" t="s">
        <v>485</v>
      </c>
      <c r="E2446" s="38" t="s">
        <v>5838</v>
      </c>
      <c r="F2446" s="38" t="s">
        <v>5490</v>
      </c>
      <c r="G2446" s="38" t="s">
        <v>111</v>
      </c>
      <c r="H2446" s="44">
        <v>44127</v>
      </c>
      <c r="I2446" s="44">
        <v>44131</v>
      </c>
      <c r="J2446">
        <v>803.27</v>
      </c>
      <c r="K2446">
        <v>10.96</v>
      </c>
      <c r="L2446" t="s">
        <v>5839</v>
      </c>
      <c r="M2446" s="45" t="s">
        <v>98</v>
      </c>
      <c r="N2446" s="38" t="s">
        <v>230</v>
      </c>
      <c r="O2446" s="38" t="s">
        <v>317</v>
      </c>
      <c r="P2446" s="38" t="s">
        <v>60</v>
      </c>
      <c r="Q2446" s="38" t="s">
        <v>41</v>
      </c>
      <c r="R2446" s="38" t="s">
        <v>270</v>
      </c>
      <c r="S2446" s="38" t="s">
        <v>5840</v>
      </c>
      <c r="T2446" s="38" t="s">
        <v>5843</v>
      </c>
      <c r="U2446" s="38"/>
      <c r="V2446" s="38"/>
      <c r="W2446" s="38"/>
      <c r="X2446" s="14"/>
      <c r="AN2446" s="7" t="s">
        <v>70</v>
      </c>
      <c r="AO2446" s="21">
        <f t="shared" si="122"/>
        <v>0</v>
      </c>
      <c r="AP2446" s="7">
        <f t="shared" si="123"/>
        <v>10.96</v>
      </c>
      <c r="AQ2446" s="31" t="str">
        <f t="shared" si="124"/>
        <v>Complete - No Adjustment</v>
      </c>
    </row>
    <row r="2447" spans="1:43" x14ac:dyDescent="0.2">
      <c r="A2447" s="46">
        <v>2437</v>
      </c>
      <c r="B2447" s="38" t="s">
        <v>266</v>
      </c>
      <c r="C2447" s="38" t="s">
        <v>490</v>
      </c>
      <c r="D2447" s="38" t="s">
        <v>489</v>
      </c>
      <c r="E2447" s="38" t="s">
        <v>5844</v>
      </c>
      <c r="F2447" s="38" t="s">
        <v>5388</v>
      </c>
      <c r="G2447" s="38" t="s">
        <v>111</v>
      </c>
      <c r="H2447" s="44">
        <v>44102</v>
      </c>
      <c r="I2447" s="44">
        <v>44105</v>
      </c>
      <c r="J2447">
        <v>17.29</v>
      </c>
      <c r="K2447">
        <v>17.29</v>
      </c>
      <c r="L2447" t="s">
        <v>5845</v>
      </c>
      <c r="M2447" s="45" t="s">
        <v>98</v>
      </c>
      <c r="N2447" s="38" t="s">
        <v>230</v>
      </c>
      <c r="O2447" s="38" t="s">
        <v>289</v>
      </c>
      <c r="P2447" s="38" t="s">
        <v>60</v>
      </c>
      <c r="Q2447" s="38" t="s">
        <v>41</v>
      </c>
      <c r="R2447" s="38" t="s">
        <v>270</v>
      </c>
      <c r="S2447" s="38" t="s">
        <v>5846</v>
      </c>
      <c r="T2447" s="38" t="s">
        <v>5847</v>
      </c>
      <c r="U2447" s="38"/>
      <c r="V2447" s="38"/>
      <c r="W2447" s="38"/>
      <c r="X2447" s="14"/>
      <c r="AL2447" s="14">
        <f>17.29</f>
        <v>17.29</v>
      </c>
      <c r="AN2447" s="7" t="s">
        <v>146</v>
      </c>
      <c r="AO2447" s="21">
        <f t="shared" si="122"/>
        <v>17.29</v>
      </c>
      <c r="AP2447" s="7">
        <f t="shared" si="123"/>
        <v>0</v>
      </c>
      <c r="AQ2447" s="31" t="str">
        <f t="shared" si="124"/>
        <v>Complete - With Adjustment</v>
      </c>
    </row>
    <row r="2448" spans="1:43" x14ac:dyDescent="0.2">
      <c r="A2448" s="46">
        <v>2438</v>
      </c>
      <c r="B2448" s="38" t="s">
        <v>266</v>
      </c>
      <c r="C2448" s="38" t="s">
        <v>490</v>
      </c>
      <c r="D2448" s="38" t="s">
        <v>489</v>
      </c>
      <c r="E2448" s="38" t="s">
        <v>5848</v>
      </c>
      <c r="F2448" s="38" t="s">
        <v>5388</v>
      </c>
      <c r="G2448" s="38" t="s">
        <v>111</v>
      </c>
      <c r="H2448" s="44">
        <v>44102</v>
      </c>
      <c r="I2448" s="44">
        <v>44105</v>
      </c>
      <c r="J2448">
        <v>47.15</v>
      </c>
      <c r="K2448">
        <v>47.15</v>
      </c>
      <c r="L2448" t="s">
        <v>5849</v>
      </c>
      <c r="M2448" s="45" t="s">
        <v>98</v>
      </c>
      <c r="N2448" s="38" t="s">
        <v>230</v>
      </c>
      <c r="O2448" s="38" t="s">
        <v>289</v>
      </c>
      <c r="P2448" s="38" t="s">
        <v>60</v>
      </c>
      <c r="Q2448" s="38" t="s">
        <v>44</v>
      </c>
      <c r="R2448" s="38" t="s">
        <v>270</v>
      </c>
      <c r="S2448" s="38" t="s">
        <v>5850</v>
      </c>
      <c r="T2448" s="38" t="s">
        <v>5851</v>
      </c>
      <c r="U2448" s="38"/>
      <c r="V2448" s="38"/>
      <c r="W2448" s="38"/>
      <c r="X2448" s="14"/>
      <c r="AN2448" s="7" t="s">
        <v>70</v>
      </c>
      <c r="AO2448" s="21">
        <f t="shared" si="122"/>
        <v>0</v>
      </c>
      <c r="AP2448" s="7">
        <f t="shared" si="123"/>
        <v>47.15</v>
      </c>
      <c r="AQ2448" s="31" t="str">
        <f t="shared" si="124"/>
        <v>Complete - No Adjustment</v>
      </c>
    </row>
    <row r="2449" spans="1:43" x14ac:dyDescent="0.2">
      <c r="A2449" s="46">
        <v>2439</v>
      </c>
      <c r="B2449" s="38" t="s">
        <v>266</v>
      </c>
      <c r="C2449" s="38" t="s">
        <v>504</v>
      </c>
      <c r="D2449" s="38" t="s">
        <v>805</v>
      </c>
      <c r="E2449" s="38" t="s">
        <v>5852</v>
      </c>
      <c r="F2449" s="38" t="s">
        <v>5412</v>
      </c>
      <c r="G2449" s="38" t="s">
        <v>111</v>
      </c>
      <c r="H2449" s="44">
        <v>44108</v>
      </c>
      <c r="I2449" s="44">
        <v>44117</v>
      </c>
      <c r="J2449">
        <v>35.96</v>
      </c>
      <c r="K2449">
        <v>58.99</v>
      </c>
      <c r="L2449" t="s">
        <v>5853</v>
      </c>
      <c r="M2449" s="45" t="s">
        <v>98</v>
      </c>
      <c r="N2449" s="38" t="s">
        <v>230</v>
      </c>
      <c r="O2449" s="38" t="s">
        <v>365</v>
      </c>
      <c r="P2449" s="38" t="s">
        <v>60</v>
      </c>
      <c r="Q2449" s="38" t="s">
        <v>46</v>
      </c>
      <c r="R2449" s="38" t="s">
        <v>270</v>
      </c>
      <c r="S2449" s="38" t="s">
        <v>5854</v>
      </c>
      <c r="T2449" s="38" t="s">
        <v>5855</v>
      </c>
      <c r="U2449" s="38"/>
      <c r="V2449" s="38"/>
      <c r="W2449" s="38"/>
      <c r="X2449" s="14"/>
      <c r="AI2449" s="53">
        <f>58.99</f>
        <v>58.99</v>
      </c>
      <c r="AN2449" s="7" t="s">
        <v>145</v>
      </c>
      <c r="AO2449" s="21">
        <f t="shared" si="122"/>
        <v>58.99</v>
      </c>
      <c r="AP2449" s="7">
        <f t="shared" si="123"/>
        <v>0</v>
      </c>
      <c r="AQ2449" s="31" t="str">
        <f t="shared" si="124"/>
        <v>Complete - With Adjustment</v>
      </c>
    </row>
    <row r="2450" spans="1:43" x14ac:dyDescent="0.2">
      <c r="A2450" s="46">
        <v>2440</v>
      </c>
      <c r="B2450" s="38" t="s">
        <v>266</v>
      </c>
      <c r="C2450" s="38" t="s">
        <v>504</v>
      </c>
      <c r="D2450" s="38" t="s">
        <v>805</v>
      </c>
      <c r="E2450" s="38" t="s">
        <v>5852</v>
      </c>
      <c r="F2450" s="38" t="s">
        <v>5412</v>
      </c>
      <c r="G2450" s="38" t="s">
        <v>111</v>
      </c>
      <c r="H2450" s="44">
        <v>44108</v>
      </c>
      <c r="I2450" s="44">
        <v>44117</v>
      </c>
      <c r="J2450">
        <v>274.73</v>
      </c>
      <c r="K2450">
        <v>58.98</v>
      </c>
      <c r="L2450" t="s">
        <v>5853</v>
      </c>
      <c r="M2450" s="45" t="s">
        <v>98</v>
      </c>
      <c r="N2450" s="38" t="s">
        <v>230</v>
      </c>
      <c r="O2450" s="38" t="s">
        <v>505</v>
      </c>
      <c r="P2450" s="38" t="s">
        <v>60</v>
      </c>
      <c r="Q2450" s="38" t="s">
        <v>46</v>
      </c>
      <c r="R2450" s="38" t="s">
        <v>270</v>
      </c>
      <c r="S2450" s="38" t="s">
        <v>5854</v>
      </c>
      <c r="T2450" s="38" t="s">
        <v>5856</v>
      </c>
      <c r="U2450" s="38"/>
      <c r="V2450" s="38"/>
      <c r="W2450" s="38"/>
      <c r="X2450" s="14"/>
      <c r="AI2450" s="53">
        <f>58.98</f>
        <v>58.98</v>
      </c>
      <c r="AN2450" s="7" t="s">
        <v>145</v>
      </c>
      <c r="AO2450" s="21">
        <f t="shared" si="122"/>
        <v>58.98</v>
      </c>
      <c r="AP2450" s="7">
        <f t="shared" si="123"/>
        <v>0</v>
      </c>
      <c r="AQ2450" s="31" t="str">
        <f t="shared" si="124"/>
        <v>Complete - With Adjustment</v>
      </c>
    </row>
    <row r="2451" spans="1:43" x14ac:dyDescent="0.2">
      <c r="A2451" s="46">
        <v>2441</v>
      </c>
      <c r="B2451" s="38" t="s">
        <v>266</v>
      </c>
      <c r="C2451" s="38" t="s">
        <v>504</v>
      </c>
      <c r="D2451" s="38" t="s">
        <v>805</v>
      </c>
      <c r="E2451" s="38" t="s">
        <v>5852</v>
      </c>
      <c r="F2451" s="38" t="s">
        <v>5412</v>
      </c>
      <c r="G2451" s="38" t="s">
        <v>111</v>
      </c>
      <c r="H2451" s="44">
        <v>44108</v>
      </c>
      <c r="I2451" s="44">
        <v>44117</v>
      </c>
      <c r="J2451">
        <v>274.73</v>
      </c>
      <c r="K2451">
        <v>38.79</v>
      </c>
      <c r="L2451" t="s">
        <v>5853</v>
      </c>
      <c r="M2451" s="45" t="s">
        <v>98</v>
      </c>
      <c r="N2451" s="38" t="s">
        <v>230</v>
      </c>
      <c r="O2451" s="38" t="s">
        <v>386</v>
      </c>
      <c r="P2451" s="38" t="s">
        <v>406</v>
      </c>
      <c r="Q2451" s="38" t="s">
        <v>57</v>
      </c>
      <c r="R2451" s="38" t="s">
        <v>270</v>
      </c>
      <c r="S2451" s="38" t="s">
        <v>5854</v>
      </c>
      <c r="T2451" s="38" t="s">
        <v>5857</v>
      </c>
      <c r="U2451" s="38" t="s">
        <v>986</v>
      </c>
      <c r="V2451" s="38" t="s">
        <v>406</v>
      </c>
      <c r="W2451" s="38" t="s">
        <v>58</v>
      </c>
      <c r="X2451" s="14"/>
      <c r="AL2451" s="14">
        <f>38.79</f>
        <v>38.79</v>
      </c>
      <c r="AN2451" s="7" t="s">
        <v>146</v>
      </c>
      <c r="AO2451" s="21">
        <f t="shared" si="122"/>
        <v>38.79</v>
      </c>
      <c r="AP2451" s="7">
        <f t="shared" si="123"/>
        <v>0</v>
      </c>
      <c r="AQ2451" s="31" t="str">
        <f t="shared" si="124"/>
        <v>Complete - With Adjustment</v>
      </c>
    </row>
    <row r="2452" spans="1:43" x14ac:dyDescent="0.2">
      <c r="A2452" s="46">
        <v>2442</v>
      </c>
      <c r="B2452" s="38" t="s">
        <v>266</v>
      </c>
      <c r="C2452" s="38" t="s">
        <v>504</v>
      </c>
      <c r="D2452" s="38" t="s">
        <v>805</v>
      </c>
      <c r="E2452" s="38" t="s">
        <v>5852</v>
      </c>
      <c r="F2452" s="38" t="s">
        <v>5412</v>
      </c>
      <c r="G2452" s="38" t="s">
        <v>111</v>
      </c>
      <c r="H2452" s="44">
        <v>44108</v>
      </c>
      <c r="I2452" s="44">
        <v>44117</v>
      </c>
      <c r="J2452">
        <v>274.73</v>
      </c>
      <c r="K2452">
        <v>58.99</v>
      </c>
      <c r="L2452" t="s">
        <v>5853</v>
      </c>
      <c r="M2452" s="45" t="s">
        <v>98</v>
      </c>
      <c r="N2452" s="38" t="s">
        <v>230</v>
      </c>
      <c r="O2452" s="38" t="s">
        <v>484</v>
      </c>
      <c r="P2452" s="38" t="s">
        <v>60</v>
      </c>
      <c r="Q2452" s="38" t="s">
        <v>46</v>
      </c>
      <c r="R2452" s="38" t="s">
        <v>270</v>
      </c>
      <c r="S2452" s="38" t="s">
        <v>5854</v>
      </c>
      <c r="T2452" s="38" t="s">
        <v>5856</v>
      </c>
      <c r="U2452" s="38"/>
      <c r="V2452" s="38"/>
      <c r="W2452" s="38"/>
      <c r="X2452" s="14"/>
      <c r="AI2452" s="53">
        <f>58.99</f>
        <v>58.99</v>
      </c>
      <c r="AN2452" s="7" t="s">
        <v>145</v>
      </c>
      <c r="AO2452" s="21">
        <f t="shared" si="122"/>
        <v>58.99</v>
      </c>
      <c r="AP2452" s="7">
        <f t="shared" si="123"/>
        <v>0</v>
      </c>
      <c r="AQ2452" s="31" t="str">
        <f t="shared" si="124"/>
        <v>Complete - With Adjustment</v>
      </c>
    </row>
    <row r="2453" spans="1:43" x14ac:dyDescent="0.2">
      <c r="A2453" s="46">
        <v>2443</v>
      </c>
      <c r="B2453" s="38" t="s">
        <v>266</v>
      </c>
      <c r="C2453" s="38" t="s">
        <v>504</v>
      </c>
      <c r="D2453" s="38" t="s">
        <v>805</v>
      </c>
      <c r="E2453" s="38" t="s">
        <v>5852</v>
      </c>
      <c r="F2453" s="38" t="s">
        <v>5412</v>
      </c>
      <c r="G2453" s="38" t="s">
        <v>111</v>
      </c>
      <c r="H2453" s="44">
        <v>44108</v>
      </c>
      <c r="I2453" s="44">
        <v>44117</v>
      </c>
      <c r="J2453">
        <v>274.73</v>
      </c>
      <c r="K2453">
        <v>58.98</v>
      </c>
      <c r="L2453" t="s">
        <v>5853</v>
      </c>
      <c r="M2453" s="45" t="s">
        <v>98</v>
      </c>
      <c r="N2453" s="38" t="s">
        <v>230</v>
      </c>
      <c r="O2453" s="38" t="s">
        <v>592</v>
      </c>
      <c r="P2453" s="38" t="s">
        <v>60</v>
      </c>
      <c r="Q2453" s="38" t="s">
        <v>46</v>
      </c>
      <c r="R2453" s="38" t="s">
        <v>270</v>
      </c>
      <c r="S2453" s="38" t="s">
        <v>5854</v>
      </c>
      <c r="T2453" s="38" t="s">
        <v>5855</v>
      </c>
      <c r="U2453" s="38"/>
      <c r="V2453" s="38"/>
      <c r="W2453" s="38"/>
      <c r="X2453" s="14"/>
      <c r="AI2453" s="53">
        <f>58.98</f>
        <v>58.98</v>
      </c>
      <c r="AN2453" s="7" t="s">
        <v>145</v>
      </c>
      <c r="AO2453" s="21">
        <f t="shared" si="122"/>
        <v>58.98</v>
      </c>
      <c r="AP2453" s="7">
        <f t="shared" si="123"/>
        <v>0</v>
      </c>
      <c r="AQ2453" s="31" t="str">
        <f t="shared" si="124"/>
        <v>Complete - With Adjustment</v>
      </c>
    </row>
    <row r="2454" spans="1:43" x14ac:dyDescent="0.2">
      <c r="A2454" s="46">
        <v>2444</v>
      </c>
      <c r="B2454" s="38" t="s">
        <v>266</v>
      </c>
      <c r="C2454" s="38" t="s">
        <v>504</v>
      </c>
      <c r="D2454" s="38" t="s">
        <v>805</v>
      </c>
      <c r="E2454" s="38" t="s">
        <v>5858</v>
      </c>
      <c r="F2454" s="38" t="s">
        <v>5374</v>
      </c>
      <c r="G2454" s="38" t="s">
        <v>111</v>
      </c>
      <c r="H2454" s="44">
        <v>44116</v>
      </c>
      <c r="I2454" s="44">
        <v>44118</v>
      </c>
      <c r="J2454">
        <v>547.19000000000005</v>
      </c>
      <c r="K2454">
        <v>51</v>
      </c>
      <c r="L2454" t="s">
        <v>5859</v>
      </c>
      <c r="M2454" s="45" t="s">
        <v>98</v>
      </c>
      <c r="N2454" s="38" t="s">
        <v>230</v>
      </c>
      <c r="O2454" s="38" t="s">
        <v>514</v>
      </c>
      <c r="P2454" s="38" t="s">
        <v>60</v>
      </c>
      <c r="Q2454" s="38" t="s">
        <v>46</v>
      </c>
      <c r="R2454" s="38" t="s">
        <v>270</v>
      </c>
      <c r="S2454" s="38" t="s">
        <v>5860</v>
      </c>
      <c r="T2454" s="38" t="s">
        <v>5861</v>
      </c>
      <c r="U2454" s="38"/>
      <c r="V2454" s="38"/>
      <c r="W2454" s="38"/>
      <c r="X2454" s="14"/>
      <c r="AI2454" s="53">
        <f>51</f>
        <v>51</v>
      </c>
      <c r="AN2454" s="7" t="s">
        <v>145</v>
      </c>
      <c r="AO2454" s="21">
        <f t="shared" si="122"/>
        <v>51</v>
      </c>
      <c r="AP2454" s="7">
        <f t="shared" si="123"/>
        <v>0</v>
      </c>
      <c r="AQ2454" s="31" t="str">
        <f t="shared" si="124"/>
        <v>Complete - With Adjustment</v>
      </c>
    </row>
    <row r="2455" spans="1:43" x14ac:dyDescent="0.2">
      <c r="A2455" s="46">
        <v>2445</v>
      </c>
      <c r="B2455" s="38" t="s">
        <v>266</v>
      </c>
      <c r="C2455" s="38" t="s">
        <v>504</v>
      </c>
      <c r="D2455" s="38" t="s">
        <v>805</v>
      </c>
      <c r="E2455" s="38" t="s">
        <v>5858</v>
      </c>
      <c r="F2455" s="38" t="s">
        <v>5374</v>
      </c>
      <c r="G2455" s="38" t="s">
        <v>111</v>
      </c>
      <c r="H2455" s="44">
        <v>44116</v>
      </c>
      <c r="I2455" s="44">
        <v>44118</v>
      </c>
      <c r="J2455">
        <v>547.19000000000005</v>
      </c>
      <c r="K2455">
        <v>244.93</v>
      </c>
      <c r="L2455" t="s">
        <v>5859</v>
      </c>
      <c r="M2455" s="45" t="s">
        <v>98</v>
      </c>
      <c r="N2455" s="38" t="s">
        <v>230</v>
      </c>
      <c r="O2455" s="38" t="s">
        <v>592</v>
      </c>
      <c r="P2455" s="38" t="s">
        <v>60</v>
      </c>
      <c r="Q2455" s="38" t="s">
        <v>46</v>
      </c>
      <c r="R2455" s="38" t="s">
        <v>270</v>
      </c>
      <c r="S2455" s="38" t="s">
        <v>5860</v>
      </c>
      <c r="T2455" s="38" t="s">
        <v>5862</v>
      </c>
      <c r="U2455" s="38"/>
      <c r="V2455" s="38"/>
      <c r="W2455" s="38"/>
      <c r="X2455" s="14"/>
      <c r="AI2455" s="53">
        <f>244.93</f>
        <v>244.93</v>
      </c>
      <c r="AN2455" s="7" t="s">
        <v>145</v>
      </c>
      <c r="AO2455" s="21">
        <f t="shared" si="122"/>
        <v>244.93</v>
      </c>
      <c r="AP2455" s="7">
        <f t="shared" si="123"/>
        <v>0</v>
      </c>
      <c r="AQ2455" s="31" t="str">
        <f t="shared" si="124"/>
        <v>Complete - With Adjustment</v>
      </c>
    </row>
    <row r="2456" spans="1:43" x14ac:dyDescent="0.2">
      <c r="A2456" s="46">
        <v>2446</v>
      </c>
      <c r="B2456" s="38" t="s">
        <v>266</v>
      </c>
      <c r="C2456" s="38" t="s">
        <v>504</v>
      </c>
      <c r="D2456" s="38" t="s">
        <v>805</v>
      </c>
      <c r="E2456" s="38" t="s">
        <v>5858</v>
      </c>
      <c r="F2456" s="38" t="s">
        <v>5374</v>
      </c>
      <c r="G2456" s="38" t="s">
        <v>111</v>
      </c>
      <c r="H2456" s="44">
        <v>44116</v>
      </c>
      <c r="I2456" s="44">
        <v>44118</v>
      </c>
      <c r="J2456">
        <v>547.19000000000005</v>
      </c>
      <c r="K2456">
        <v>106.6</v>
      </c>
      <c r="L2456" t="s">
        <v>5859</v>
      </c>
      <c r="M2456" s="45" t="s">
        <v>98</v>
      </c>
      <c r="N2456" s="38" t="s">
        <v>230</v>
      </c>
      <c r="O2456" s="38" t="s">
        <v>484</v>
      </c>
      <c r="P2456" s="38" t="s">
        <v>60</v>
      </c>
      <c r="Q2456" s="38" t="s">
        <v>46</v>
      </c>
      <c r="R2456" s="38" t="s">
        <v>270</v>
      </c>
      <c r="S2456" s="38" t="s">
        <v>5860</v>
      </c>
      <c r="T2456" s="38" t="s">
        <v>5863</v>
      </c>
      <c r="U2456" s="38"/>
      <c r="V2456" s="38"/>
      <c r="W2456" s="38"/>
      <c r="X2456" s="14"/>
      <c r="AI2456" s="53">
        <f>106.6</f>
        <v>106.6</v>
      </c>
      <c r="AN2456" s="7" t="s">
        <v>145</v>
      </c>
      <c r="AO2456" s="21">
        <f t="shared" si="122"/>
        <v>106.6</v>
      </c>
      <c r="AP2456" s="7">
        <f t="shared" si="123"/>
        <v>0</v>
      </c>
      <c r="AQ2456" s="31" t="str">
        <f t="shared" si="124"/>
        <v>Complete - With Adjustment</v>
      </c>
    </row>
    <row r="2457" spans="1:43" x14ac:dyDescent="0.2">
      <c r="A2457" s="46">
        <v>2447</v>
      </c>
      <c r="B2457" s="38" t="s">
        <v>266</v>
      </c>
      <c r="C2457" s="38" t="s">
        <v>504</v>
      </c>
      <c r="D2457" s="38" t="s">
        <v>805</v>
      </c>
      <c r="E2457" s="38" t="s">
        <v>5858</v>
      </c>
      <c r="F2457" s="38" t="s">
        <v>5374</v>
      </c>
      <c r="G2457" s="38" t="s">
        <v>111</v>
      </c>
      <c r="H2457" s="44">
        <v>44116</v>
      </c>
      <c r="I2457" s="44">
        <v>44118</v>
      </c>
      <c r="J2457">
        <v>547.19000000000005</v>
      </c>
      <c r="K2457">
        <v>25</v>
      </c>
      <c r="L2457" t="s">
        <v>5859</v>
      </c>
      <c r="M2457" s="45" t="s">
        <v>98</v>
      </c>
      <c r="N2457" s="38" t="s">
        <v>230</v>
      </c>
      <c r="O2457" s="38" t="s">
        <v>507</v>
      </c>
      <c r="P2457" s="38" t="s">
        <v>60</v>
      </c>
      <c r="Q2457" s="38" t="s">
        <v>79</v>
      </c>
      <c r="R2457" s="38" t="s">
        <v>270</v>
      </c>
      <c r="S2457" s="38" t="s">
        <v>5860</v>
      </c>
      <c r="T2457" s="38" t="s">
        <v>5864</v>
      </c>
      <c r="U2457" s="38"/>
      <c r="V2457" s="38"/>
      <c r="W2457" s="38"/>
      <c r="X2457" s="14"/>
      <c r="AI2457" s="53">
        <f>25</f>
        <v>25</v>
      </c>
      <c r="AN2457" s="7" t="s">
        <v>145</v>
      </c>
      <c r="AO2457" s="21">
        <f t="shared" si="122"/>
        <v>25</v>
      </c>
      <c r="AP2457" s="7">
        <f t="shared" si="123"/>
        <v>0</v>
      </c>
      <c r="AQ2457" s="31" t="str">
        <f t="shared" si="124"/>
        <v>Complete - With Adjustment</v>
      </c>
    </row>
    <row r="2458" spans="1:43" x14ac:dyDescent="0.2">
      <c r="A2458" s="46">
        <v>2448</v>
      </c>
      <c r="B2458" s="38" t="s">
        <v>266</v>
      </c>
      <c r="C2458" s="38" t="s">
        <v>504</v>
      </c>
      <c r="D2458" s="38" t="s">
        <v>805</v>
      </c>
      <c r="E2458" s="38" t="s">
        <v>5858</v>
      </c>
      <c r="F2458" s="38" t="s">
        <v>5374</v>
      </c>
      <c r="G2458" s="38" t="s">
        <v>111</v>
      </c>
      <c r="H2458" s="44">
        <v>44116</v>
      </c>
      <c r="I2458" s="44">
        <v>44118</v>
      </c>
      <c r="J2458">
        <v>547.19000000000005</v>
      </c>
      <c r="K2458">
        <v>25</v>
      </c>
      <c r="L2458" t="s">
        <v>5859</v>
      </c>
      <c r="M2458" s="45" t="s">
        <v>98</v>
      </c>
      <c r="N2458" s="38" t="s">
        <v>230</v>
      </c>
      <c r="O2458" s="38" t="s">
        <v>506</v>
      </c>
      <c r="P2458" s="38" t="s">
        <v>60</v>
      </c>
      <c r="Q2458" s="38" t="s">
        <v>79</v>
      </c>
      <c r="R2458" s="38" t="s">
        <v>270</v>
      </c>
      <c r="S2458" s="38" t="s">
        <v>5860</v>
      </c>
      <c r="T2458" s="38" t="s">
        <v>5864</v>
      </c>
      <c r="U2458" s="38"/>
      <c r="V2458" s="38"/>
      <c r="W2458" s="38"/>
      <c r="X2458" s="14"/>
      <c r="AI2458" s="53">
        <f>25</f>
        <v>25</v>
      </c>
      <c r="AN2458" s="7" t="s">
        <v>145</v>
      </c>
      <c r="AO2458" s="21">
        <f t="shared" si="122"/>
        <v>25</v>
      </c>
      <c r="AP2458" s="7">
        <f t="shared" si="123"/>
        <v>0</v>
      </c>
      <c r="AQ2458" s="31" t="str">
        <f t="shared" si="124"/>
        <v>Complete - With Adjustment</v>
      </c>
    </row>
    <row r="2459" spans="1:43" x14ac:dyDescent="0.2">
      <c r="A2459" s="46">
        <v>2449</v>
      </c>
      <c r="B2459" s="38" t="s">
        <v>266</v>
      </c>
      <c r="C2459" s="38" t="s">
        <v>504</v>
      </c>
      <c r="D2459" s="38" t="s">
        <v>805</v>
      </c>
      <c r="E2459" s="38" t="s">
        <v>5858</v>
      </c>
      <c r="F2459" s="38" t="s">
        <v>5374</v>
      </c>
      <c r="G2459" s="38" t="s">
        <v>111</v>
      </c>
      <c r="H2459" s="44">
        <v>44116</v>
      </c>
      <c r="I2459" s="44">
        <v>44118</v>
      </c>
      <c r="J2459">
        <v>547.19000000000005</v>
      </c>
      <c r="K2459">
        <v>24.89</v>
      </c>
      <c r="L2459" t="s">
        <v>5859</v>
      </c>
      <c r="M2459" s="45" t="s">
        <v>98</v>
      </c>
      <c r="N2459" s="38" t="s">
        <v>230</v>
      </c>
      <c r="O2459" s="38" t="s">
        <v>658</v>
      </c>
      <c r="P2459" s="38" t="s">
        <v>60</v>
      </c>
      <c r="Q2459" s="38" t="s">
        <v>46</v>
      </c>
      <c r="R2459" s="38" t="s">
        <v>270</v>
      </c>
      <c r="S2459" s="38" t="s">
        <v>5860</v>
      </c>
      <c r="T2459" s="38" t="s">
        <v>5865</v>
      </c>
      <c r="U2459" s="38"/>
      <c r="V2459" s="38"/>
      <c r="W2459" s="38"/>
      <c r="X2459" s="14"/>
      <c r="AI2459" s="53">
        <f>24.89</f>
        <v>24.89</v>
      </c>
      <c r="AN2459" s="7" t="s">
        <v>145</v>
      </c>
      <c r="AO2459" s="21">
        <f t="shared" si="122"/>
        <v>24.89</v>
      </c>
      <c r="AP2459" s="7">
        <f t="shared" si="123"/>
        <v>0</v>
      </c>
      <c r="AQ2459" s="31" t="str">
        <f t="shared" si="124"/>
        <v>Complete - With Adjustment</v>
      </c>
    </row>
    <row r="2460" spans="1:43" x14ac:dyDescent="0.2">
      <c r="A2460" s="46">
        <v>2450</v>
      </c>
      <c r="B2460" s="38" t="s">
        <v>266</v>
      </c>
      <c r="C2460" s="38" t="s">
        <v>504</v>
      </c>
      <c r="D2460" s="38" t="s">
        <v>805</v>
      </c>
      <c r="E2460" s="38" t="s">
        <v>5858</v>
      </c>
      <c r="F2460" s="38" t="s">
        <v>5374</v>
      </c>
      <c r="G2460" s="38" t="s">
        <v>111</v>
      </c>
      <c r="H2460" s="44">
        <v>44116</v>
      </c>
      <c r="I2460" s="44">
        <v>44118</v>
      </c>
      <c r="J2460">
        <v>547.19000000000005</v>
      </c>
      <c r="K2460">
        <v>19.989999999999998</v>
      </c>
      <c r="L2460" t="s">
        <v>5859</v>
      </c>
      <c r="M2460" s="45" t="s">
        <v>98</v>
      </c>
      <c r="N2460" s="38" t="s">
        <v>230</v>
      </c>
      <c r="O2460" s="38" t="s">
        <v>592</v>
      </c>
      <c r="P2460" s="38" t="s">
        <v>60</v>
      </c>
      <c r="Q2460" s="38" t="s">
        <v>79</v>
      </c>
      <c r="R2460" s="38" t="s">
        <v>270</v>
      </c>
      <c r="S2460" s="38" t="s">
        <v>5860</v>
      </c>
      <c r="T2460" s="38" t="s">
        <v>5866</v>
      </c>
      <c r="U2460" s="38"/>
      <c r="V2460" s="38"/>
      <c r="W2460" s="38"/>
      <c r="X2460" s="14"/>
      <c r="AL2460" s="14">
        <f>19.99</f>
        <v>19.989999999999998</v>
      </c>
      <c r="AN2460" s="7" t="s">
        <v>146</v>
      </c>
      <c r="AO2460" s="21">
        <f t="shared" si="122"/>
        <v>19.989999999999998</v>
      </c>
      <c r="AP2460" s="7">
        <f t="shared" si="123"/>
        <v>0</v>
      </c>
      <c r="AQ2460" s="31" t="str">
        <f t="shared" si="124"/>
        <v>Complete - With Adjustment</v>
      </c>
    </row>
    <row r="2461" spans="1:43" x14ac:dyDescent="0.2">
      <c r="A2461" s="46">
        <v>2451</v>
      </c>
      <c r="B2461" s="38" t="s">
        <v>266</v>
      </c>
      <c r="C2461" s="38" t="s">
        <v>504</v>
      </c>
      <c r="D2461" s="38" t="s">
        <v>805</v>
      </c>
      <c r="E2461" s="38" t="s">
        <v>5858</v>
      </c>
      <c r="F2461" s="38" t="s">
        <v>5374</v>
      </c>
      <c r="G2461" s="38" t="s">
        <v>111</v>
      </c>
      <c r="H2461" s="44">
        <v>44116</v>
      </c>
      <c r="I2461" s="44">
        <v>44118</v>
      </c>
      <c r="J2461">
        <v>547.19000000000005</v>
      </c>
      <c r="K2461">
        <v>24.89</v>
      </c>
      <c r="L2461" t="s">
        <v>5859</v>
      </c>
      <c r="M2461" s="45" t="s">
        <v>98</v>
      </c>
      <c r="N2461" s="38" t="s">
        <v>230</v>
      </c>
      <c r="O2461" s="38" t="s">
        <v>366</v>
      </c>
      <c r="P2461" s="38" t="s">
        <v>60</v>
      </c>
      <c r="Q2461" s="38" t="s">
        <v>46</v>
      </c>
      <c r="R2461" s="38" t="s">
        <v>270</v>
      </c>
      <c r="S2461" s="38" t="s">
        <v>5860</v>
      </c>
      <c r="T2461" s="38" t="s">
        <v>5865</v>
      </c>
      <c r="U2461" s="38"/>
      <c r="V2461" s="38"/>
      <c r="W2461" s="38"/>
      <c r="X2461" s="14"/>
      <c r="AI2461" s="53">
        <f>24.89</f>
        <v>24.89</v>
      </c>
      <c r="AN2461" s="7" t="s">
        <v>145</v>
      </c>
      <c r="AO2461" s="21">
        <f t="shared" si="122"/>
        <v>24.89</v>
      </c>
      <c r="AP2461" s="7">
        <f t="shared" si="123"/>
        <v>0</v>
      </c>
      <c r="AQ2461" s="31" t="str">
        <f t="shared" si="124"/>
        <v>Complete - With Adjustment</v>
      </c>
    </row>
    <row r="2462" spans="1:43" x14ac:dyDescent="0.2">
      <c r="A2462" s="46">
        <v>2452</v>
      </c>
      <c r="B2462" s="38" t="s">
        <v>266</v>
      </c>
      <c r="C2462" s="38" t="s">
        <v>504</v>
      </c>
      <c r="D2462" s="38" t="s">
        <v>805</v>
      </c>
      <c r="E2462" s="38" t="s">
        <v>5858</v>
      </c>
      <c r="F2462" s="38" t="s">
        <v>5374</v>
      </c>
      <c r="G2462" s="38" t="s">
        <v>111</v>
      </c>
      <c r="H2462" s="44">
        <v>44116</v>
      </c>
      <c r="I2462" s="44">
        <v>44118</v>
      </c>
      <c r="J2462">
        <v>547.19000000000005</v>
      </c>
      <c r="K2462">
        <v>24.89</v>
      </c>
      <c r="L2462" t="s">
        <v>5859</v>
      </c>
      <c r="M2462" s="45" t="s">
        <v>98</v>
      </c>
      <c r="N2462" s="38" t="s">
        <v>230</v>
      </c>
      <c r="O2462" s="38" t="s">
        <v>423</v>
      </c>
      <c r="P2462" s="38" t="s">
        <v>60</v>
      </c>
      <c r="Q2462" s="38" t="s">
        <v>46</v>
      </c>
      <c r="R2462" s="38" t="s">
        <v>270</v>
      </c>
      <c r="S2462" s="38" t="s">
        <v>5860</v>
      </c>
      <c r="T2462" s="38" t="s">
        <v>5865</v>
      </c>
      <c r="U2462" s="38"/>
      <c r="V2462" s="38"/>
      <c r="W2462" s="38"/>
      <c r="X2462" s="14"/>
      <c r="AI2462" s="53">
        <f>24.89</f>
        <v>24.89</v>
      </c>
      <c r="AN2462" s="7" t="s">
        <v>145</v>
      </c>
      <c r="AO2462" s="21">
        <f t="shared" si="122"/>
        <v>24.89</v>
      </c>
      <c r="AP2462" s="7">
        <f t="shared" si="123"/>
        <v>0</v>
      </c>
      <c r="AQ2462" s="31" t="str">
        <f t="shared" si="124"/>
        <v>Complete - With Adjustment</v>
      </c>
    </row>
    <row r="2463" spans="1:43" x14ac:dyDescent="0.2">
      <c r="A2463" s="46">
        <v>2453</v>
      </c>
      <c r="B2463" s="38" t="s">
        <v>266</v>
      </c>
      <c r="C2463" s="38" t="s">
        <v>504</v>
      </c>
      <c r="D2463" s="38" t="s">
        <v>805</v>
      </c>
      <c r="E2463" s="38" t="s">
        <v>5867</v>
      </c>
      <c r="F2463" s="38" t="s">
        <v>5388</v>
      </c>
      <c r="G2463" s="38" t="s">
        <v>111</v>
      </c>
      <c r="H2463" s="44">
        <v>44096</v>
      </c>
      <c r="I2463" s="44">
        <v>44105</v>
      </c>
      <c r="J2463">
        <v>761.63</v>
      </c>
      <c r="K2463">
        <v>30.56</v>
      </c>
      <c r="L2463" t="s">
        <v>5868</v>
      </c>
      <c r="M2463" s="45" t="s">
        <v>98</v>
      </c>
      <c r="N2463" s="38" t="s">
        <v>230</v>
      </c>
      <c r="O2463" s="38" t="s">
        <v>484</v>
      </c>
      <c r="P2463" s="38" t="s">
        <v>60</v>
      </c>
      <c r="Q2463" s="38" t="s">
        <v>41</v>
      </c>
      <c r="R2463" s="38" t="s">
        <v>270</v>
      </c>
      <c r="S2463" s="38" t="s">
        <v>5869</v>
      </c>
      <c r="T2463" s="38" t="s">
        <v>5870</v>
      </c>
      <c r="U2463" s="38"/>
      <c r="V2463" s="38"/>
      <c r="W2463" s="38"/>
      <c r="X2463" s="14"/>
      <c r="AC2463" s="53">
        <f>(6.18-24.38*20%)</f>
        <v>1.3039999999999994</v>
      </c>
      <c r="AN2463" s="7" t="s">
        <v>67</v>
      </c>
      <c r="AO2463" s="21">
        <f t="shared" si="122"/>
        <v>1.3039999999999994</v>
      </c>
      <c r="AP2463" s="7">
        <f t="shared" si="123"/>
        <v>29.256</v>
      </c>
      <c r="AQ2463" s="31" t="str">
        <f t="shared" si="124"/>
        <v>Complete - With Adjustment</v>
      </c>
    </row>
    <row r="2464" spans="1:43" x14ac:dyDescent="0.2">
      <c r="A2464" s="46">
        <v>2454</v>
      </c>
      <c r="B2464" s="38" t="s">
        <v>266</v>
      </c>
      <c r="C2464" s="38" t="s">
        <v>504</v>
      </c>
      <c r="D2464" s="38" t="s">
        <v>805</v>
      </c>
      <c r="E2464" s="38" t="s">
        <v>5867</v>
      </c>
      <c r="F2464" s="38" t="s">
        <v>5388</v>
      </c>
      <c r="G2464" s="38" t="s">
        <v>111</v>
      </c>
      <c r="H2464" s="44">
        <v>44096</v>
      </c>
      <c r="I2464" s="44">
        <v>44105</v>
      </c>
      <c r="J2464">
        <v>761.63</v>
      </c>
      <c r="K2464">
        <v>25.08</v>
      </c>
      <c r="L2464" t="s">
        <v>5868</v>
      </c>
      <c r="M2464" s="45" t="s">
        <v>98</v>
      </c>
      <c r="N2464" s="38" t="s">
        <v>230</v>
      </c>
      <c r="O2464" s="38" t="s">
        <v>484</v>
      </c>
      <c r="P2464" s="38" t="s">
        <v>60</v>
      </c>
      <c r="Q2464" s="38" t="s">
        <v>41</v>
      </c>
      <c r="R2464" s="38" t="s">
        <v>270</v>
      </c>
      <c r="S2464" s="38" t="s">
        <v>5869</v>
      </c>
      <c r="T2464" s="38" t="s">
        <v>5870</v>
      </c>
      <c r="U2464" s="38"/>
      <c r="V2464" s="38"/>
      <c r="W2464" s="38"/>
      <c r="X2464" s="14"/>
      <c r="AN2464" s="7" t="s">
        <v>70</v>
      </c>
      <c r="AO2464" s="21">
        <f t="shared" si="122"/>
        <v>0</v>
      </c>
      <c r="AP2464" s="7">
        <f t="shared" si="123"/>
        <v>25.08</v>
      </c>
      <c r="AQ2464" s="31" t="str">
        <f t="shared" si="124"/>
        <v>Complete - No Adjustment</v>
      </c>
    </row>
    <row r="2465" spans="1:43" x14ac:dyDescent="0.2">
      <c r="A2465" s="46">
        <v>2455</v>
      </c>
      <c r="B2465" s="38" t="s">
        <v>266</v>
      </c>
      <c r="C2465" s="38" t="s">
        <v>504</v>
      </c>
      <c r="D2465" s="38" t="s">
        <v>805</v>
      </c>
      <c r="E2465" s="38" t="s">
        <v>5867</v>
      </c>
      <c r="F2465" s="38" t="s">
        <v>5388</v>
      </c>
      <c r="G2465" s="38" t="s">
        <v>111</v>
      </c>
      <c r="H2465" s="44">
        <v>44096</v>
      </c>
      <c r="I2465" s="44">
        <v>44105</v>
      </c>
      <c r="J2465">
        <v>761.63</v>
      </c>
      <c r="K2465">
        <v>15.29</v>
      </c>
      <c r="L2465" t="s">
        <v>5868</v>
      </c>
      <c r="M2465" s="45" t="s">
        <v>98</v>
      </c>
      <c r="N2465" s="38" t="s">
        <v>230</v>
      </c>
      <c r="O2465" s="38" t="s">
        <v>465</v>
      </c>
      <c r="P2465" s="38" t="s">
        <v>60</v>
      </c>
      <c r="Q2465" s="38" t="s">
        <v>46</v>
      </c>
      <c r="R2465" s="38" t="s">
        <v>270</v>
      </c>
      <c r="S2465" s="38" t="s">
        <v>5869</v>
      </c>
      <c r="T2465" s="38" t="s">
        <v>5871</v>
      </c>
      <c r="U2465" s="38"/>
      <c r="V2465" s="38"/>
      <c r="W2465" s="38"/>
      <c r="X2465" s="14"/>
      <c r="AI2465" s="53">
        <f>15.29</f>
        <v>15.29</v>
      </c>
      <c r="AN2465" s="7" t="s">
        <v>145</v>
      </c>
      <c r="AO2465" s="21">
        <f t="shared" si="122"/>
        <v>15.29</v>
      </c>
      <c r="AP2465" s="7">
        <f t="shared" si="123"/>
        <v>0</v>
      </c>
      <c r="AQ2465" s="31" t="str">
        <f t="shared" si="124"/>
        <v>Complete - With Adjustment</v>
      </c>
    </row>
    <row r="2466" spans="1:43" x14ac:dyDescent="0.2">
      <c r="A2466" s="46">
        <v>2456</v>
      </c>
      <c r="B2466" s="38" t="s">
        <v>266</v>
      </c>
      <c r="C2466" s="38" t="s">
        <v>504</v>
      </c>
      <c r="D2466" s="38" t="s">
        <v>805</v>
      </c>
      <c r="E2466" s="38" t="s">
        <v>5867</v>
      </c>
      <c r="F2466" s="38" t="s">
        <v>5388</v>
      </c>
      <c r="G2466" s="38" t="s">
        <v>111</v>
      </c>
      <c r="H2466" s="44">
        <v>44096</v>
      </c>
      <c r="I2466" s="44">
        <v>44105</v>
      </c>
      <c r="J2466">
        <v>761.63</v>
      </c>
      <c r="K2466">
        <v>18.2</v>
      </c>
      <c r="L2466" t="s">
        <v>5868</v>
      </c>
      <c r="M2466" s="45" t="s">
        <v>98</v>
      </c>
      <c r="N2466" s="38" t="s">
        <v>230</v>
      </c>
      <c r="O2466" s="38" t="s">
        <v>484</v>
      </c>
      <c r="P2466" s="38" t="s">
        <v>60</v>
      </c>
      <c r="Q2466" s="38" t="s">
        <v>41</v>
      </c>
      <c r="R2466" s="38" t="s">
        <v>270</v>
      </c>
      <c r="S2466" s="38" t="s">
        <v>5869</v>
      </c>
      <c r="T2466" s="38" t="s">
        <v>5870</v>
      </c>
      <c r="U2466" s="38"/>
      <c r="V2466" s="38"/>
      <c r="W2466" s="38"/>
      <c r="X2466" s="14"/>
      <c r="AN2466" s="7" t="s">
        <v>70</v>
      </c>
      <c r="AO2466" s="21">
        <f t="shared" si="122"/>
        <v>0</v>
      </c>
      <c r="AP2466" s="7">
        <f t="shared" si="123"/>
        <v>18.2</v>
      </c>
      <c r="AQ2466" s="31" t="str">
        <f t="shared" si="124"/>
        <v>Complete - No Adjustment</v>
      </c>
    </row>
    <row r="2467" spans="1:43" x14ac:dyDescent="0.2">
      <c r="A2467" s="46">
        <v>2457</v>
      </c>
      <c r="B2467" s="38" t="s">
        <v>266</v>
      </c>
      <c r="C2467" s="38" t="s">
        <v>504</v>
      </c>
      <c r="D2467" s="38" t="s">
        <v>805</v>
      </c>
      <c r="E2467" s="38" t="s">
        <v>5867</v>
      </c>
      <c r="F2467" s="38" t="s">
        <v>5388</v>
      </c>
      <c r="G2467" s="38" t="s">
        <v>111</v>
      </c>
      <c r="H2467" s="44">
        <v>44096</v>
      </c>
      <c r="I2467" s="44">
        <v>44105</v>
      </c>
      <c r="J2467">
        <v>761.63</v>
      </c>
      <c r="K2467">
        <v>19.45</v>
      </c>
      <c r="L2467" t="s">
        <v>5868</v>
      </c>
      <c r="M2467" s="45" t="s">
        <v>98</v>
      </c>
      <c r="N2467" s="38" t="s">
        <v>230</v>
      </c>
      <c r="O2467" s="38" t="s">
        <v>484</v>
      </c>
      <c r="P2467" s="38" t="s">
        <v>60</v>
      </c>
      <c r="Q2467" s="38" t="s">
        <v>41</v>
      </c>
      <c r="R2467" s="38" t="s">
        <v>270</v>
      </c>
      <c r="S2467" s="38" t="s">
        <v>5869</v>
      </c>
      <c r="T2467" s="38" t="s">
        <v>5870</v>
      </c>
      <c r="U2467" s="38"/>
      <c r="V2467" s="38"/>
      <c r="W2467" s="38"/>
      <c r="X2467" s="14"/>
      <c r="AN2467" s="7" t="s">
        <v>70</v>
      </c>
      <c r="AO2467" s="21">
        <f t="shared" si="122"/>
        <v>0</v>
      </c>
      <c r="AP2467" s="7">
        <f t="shared" si="123"/>
        <v>19.45</v>
      </c>
      <c r="AQ2467" s="31" t="str">
        <f t="shared" si="124"/>
        <v>Complete - No Adjustment</v>
      </c>
    </row>
    <row r="2468" spans="1:43" x14ac:dyDescent="0.2">
      <c r="A2468" s="46">
        <v>2458</v>
      </c>
      <c r="B2468" s="38" t="s">
        <v>266</v>
      </c>
      <c r="C2468" s="38" t="s">
        <v>504</v>
      </c>
      <c r="D2468" s="38" t="s">
        <v>805</v>
      </c>
      <c r="E2468" s="38" t="s">
        <v>5867</v>
      </c>
      <c r="F2468" s="38" t="s">
        <v>5388</v>
      </c>
      <c r="G2468" s="38" t="s">
        <v>111</v>
      </c>
      <c r="H2468" s="44">
        <v>44096</v>
      </c>
      <c r="I2468" s="44">
        <v>44105</v>
      </c>
      <c r="J2468">
        <v>761.63</v>
      </c>
      <c r="K2468">
        <v>21.85</v>
      </c>
      <c r="L2468" t="s">
        <v>5868</v>
      </c>
      <c r="M2468" s="45" t="s">
        <v>98</v>
      </c>
      <c r="N2468" s="38" t="s">
        <v>230</v>
      </c>
      <c r="O2468" s="38" t="s">
        <v>484</v>
      </c>
      <c r="P2468" s="38" t="s">
        <v>60</v>
      </c>
      <c r="Q2468" s="38" t="s">
        <v>41</v>
      </c>
      <c r="R2468" s="38" t="s">
        <v>270</v>
      </c>
      <c r="S2468" s="38" t="s">
        <v>5869</v>
      </c>
      <c r="T2468" s="38" t="s">
        <v>5870</v>
      </c>
      <c r="U2468" s="38"/>
      <c r="V2468" s="38"/>
      <c r="W2468" s="38"/>
      <c r="X2468" s="14"/>
      <c r="AN2468" s="7" t="s">
        <v>70</v>
      </c>
      <c r="AO2468" s="21">
        <f t="shared" si="122"/>
        <v>0</v>
      </c>
      <c r="AP2468" s="7">
        <f t="shared" si="123"/>
        <v>21.85</v>
      </c>
      <c r="AQ2468" s="31" t="str">
        <f t="shared" si="124"/>
        <v>Complete - No Adjustment</v>
      </c>
    </row>
    <row r="2469" spans="1:43" x14ac:dyDescent="0.2">
      <c r="A2469" s="46">
        <v>2459</v>
      </c>
      <c r="B2469" s="38" t="s">
        <v>266</v>
      </c>
      <c r="C2469" s="38" t="s">
        <v>504</v>
      </c>
      <c r="D2469" s="38" t="s">
        <v>805</v>
      </c>
      <c r="E2469" s="38" t="s">
        <v>5867</v>
      </c>
      <c r="F2469" s="38" t="s">
        <v>5388</v>
      </c>
      <c r="G2469" s="38" t="s">
        <v>111</v>
      </c>
      <c r="H2469" s="44">
        <v>44096</v>
      </c>
      <c r="I2469" s="44">
        <v>44105</v>
      </c>
      <c r="J2469">
        <v>761.63</v>
      </c>
      <c r="K2469">
        <v>19.46</v>
      </c>
      <c r="L2469" t="s">
        <v>5868</v>
      </c>
      <c r="M2469" s="45" t="s">
        <v>98</v>
      </c>
      <c r="N2469" s="38" t="s">
        <v>230</v>
      </c>
      <c r="O2469" s="38" t="s">
        <v>484</v>
      </c>
      <c r="P2469" s="38" t="s">
        <v>60</v>
      </c>
      <c r="Q2469" s="38" t="s">
        <v>41</v>
      </c>
      <c r="R2469" s="38" t="s">
        <v>270</v>
      </c>
      <c r="S2469" s="38" t="s">
        <v>5869</v>
      </c>
      <c r="T2469" s="38" t="s">
        <v>5870</v>
      </c>
      <c r="U2469" s="38"/>
      <c r="V2469" s="38"/>
      <c r="W2469" s="38"/>
      <c r="X2469" s="14"/>
      <c r="AN2469" s="7" t="s">
        <v>70</v>
      </c>
      <c r="AO2469" s="21">
        <f t="shared" si="122"/>
        <v>0</v>
      </c>
      <c r="AP2469" s="7">
        <f t="shared" si="123"/>
        <v>19.46</v>
      </c>
      <c r="AQ2469" s="31" t="str">
        <f t="shared" si="124"/>
        <v>Complete - No Adjustment</v>
      </c>
    </row>
    <row r="2470" spans="1:43" x14ac:dyDescent="0.2">
      <c r="A2470" s="46">
        <v>2460</v>
      </c>
      <c r="B2470" s="38" t="s">
        <v>266</v>
      </c>
      <c r="C2470" s="38" t="s">
        <v>504</v>
      </c>
      <c r="D2470" s="38" t="s">
        <v>805</v>
      </c>
      <c r="E2470" s="38" t="s">
        <v>5867</v>
      </c>
      <c r="F2470" s="38" t="s">
        <v>5388</v>
      </c>
      <c r="G2470" s="38" t="s">
        <v>111</v>
      </c>
      <c r="H2470" s="44">
        <v>44096</v>
      </c>
      <c r="I2470" s="44">
        <v>44105</v>
      </c>
      <c r="J2470">
        <v>761.63</v>
      </c>
      <c r="K2470">
        <v>24.18</v>
      </c>
      <c r="L2470" t="s">
        <v>5868</v>
      </c>
      <c r="M2470" s="45" t="s">
        <v>98</v>
      </c>
      <c r="N2470" s="38" t="s">
        <v>230</v>
      </c>
      <c r="O2470" s="38" t="s">
        <v>484</v>
      </c>
      <c r="P2470" s="38" t="s">
        <v>60</v>
      </c>
      <c r="Q2470" s="38" t="s">
        <v>41</v>
      </c>
      <c r="R2470" s="38" t="s">
        <v>270</v>
      </c>
      <c r="S2470" s="38" t="s">
        <v>5869</v>
      </c>
      <c r="T2470" s="38" t="s">
        <v>5870</v>
      </c>
      <c r="U2470" s="38"/>
      <c r="V2470" s="38"/>
      <c r="W2470" s="38"/>
      <c r="X2470" s="14"/>
      <c r="AN2470" s="7" t="s">
        <v>70</v>
      </c>
      <c r="AO2470" s="21">
        <f t="shared" si="122"/>
        <v>0</v>
      </c>
      <c r="AP2470" s="7">
        <f t="shared" si="123"/>
        <v>24.18</v>
      </c>
      <c r="AQ2470" s="31" t="str">
        <f t="shared" si="124"/>
        <v>Complete - No Adjustment</v>
      </c>
    </row>
    <row r="2471" spans="1:43" x14ac:dyDescent="0.2">
      <c r="A2471" s="46">
        <v>2461</v>
      </c>
      <c r="B2471" s="38" t="s">
        <v>266</v>
      </c>
      <c r="C2471" s="38" t="s">
        <v>504</v>
      </c>
      <c r="D2471" s="38" t="s">
        <v>805</v>
      </c>
      <c r="E2471" s="38" t="s">
        <v>5867</v>
      </c>
      <c r="F2471" s="38" t="s">
        <v>5388</v>
      </c>
      <c r="G2471" s="38" t="s">
        <v>111</v>
      </c>
      <c r="H2471" s="44">
        <v>44096</v>
      </c>
      <c r="I2471" s="44">
        <v>44105</v>
      </c>
      <c r="J2471">
        <v>761.63</v>
      </c>
      <c r="K2471">
        <v>31.21</v>
      </c>
      <c r="L2471" t="s">
        <v>5868</v>
      </c>
      <c r="M2471" s="45" t="s">
        <v>98</v>
      </c>
      <c r="N2471" s="38" t="s">
        <v>230</v>
      </c>
      <c r="O2471" s="38" t="s">
        <v>484</v>
      </c>
      <c r="P2471" s="38" t="s">
        <v>60</v>
      </c>
      <c r="Q2471" s="38" t="s">
        <v>41</v>
      </c>
      <c r="R2471" s="38" t="s">
        <v>270</v>
      </c>
      <c r="S2471" s="38" t="s">
        <v>5869</v>
      </c>
      <c r="T2471" s="38" t="s">
        <v>5870</v>
      </c>
      <c r="U2471" s="38"/>
      <c r="V2471" s="38"/>
      <c r="W2471" s="38"/>
      <c r="X2471" s="14"/>
      <c r="AC2471" s="53">
        <f>(6.21-25*20%)</f>
        <v>1.21</v>
      </c>
      <c r="AN2471" s="7" t="s">
        <v>67</v>
      </c>
      <c r="AO2471" s="21">
        <f t="shared" si="122"/>
        <v>1.21</v>
      </c>
      <c r="AP2471" s="7">
        <f t="shared" si="123"/>
        <v>30</v>
      </c>
      <c r="AQ2471" s="31" t="str">
        <f t="shared" si="124"/>
        <v>Complete - With Adjustment</v>
      </c>
    </row>
    <row r="2472" spans="1:43" x14ac:dyDescent="0.2">
      <c r="A2472" s="46">
        <v>2462</v>
      </c>
      <c r="B2472" s="38" t="s">
        <v>266</v>
      </c>
      <c r="C2472" s="38" t="s">
        <v>504</v>
      </c>
      <c r="D2472" s="38" t="s">
        <v>805</v>
      </c>
      <c r="E2472" s="38" t="s">
        <v>5867</v>
      </c>
      <c r="F2472" s="38" t="s">
        <v>5388</v>
      </c>
      <c r="G2472" s="38" t="s">
        <v>111</v>
      </c>
      <c r="H2472" s="44">
        <v>44096</v>
      </c>
      <c r="I2472" s="44">
        <v>44105</v>
      </c>
      <c r="J2472">
        <v>761.63</v>
      </c>
      <c r="K2472">
        <v>107.3</v>
      </c>
      <c r="L2472" t="s">
        <v>5868</v>
      </c>
      <c r="M2472" s="45" t="s">
        <v>98</v>
      </c>
      <c r="N2472" s="38" t="s">
        <v>230</v>
      </c>
      <c r="O2472" s="38" t="s">
        <v>506</v>
      </c>
      <c r="P2472" s="38" t="s">
        <v>60</v>
      </c>
      <c r="Q2472" s="38" t="s">
        <v>44</v>
      </c>
      <c r="R2472" s="38" t="s">
        <v>270</v>
      </c>
      <c r="S2472" s="38" t="s">
        <v>5869</v>
      </c>
      <c r="T2472" s="38" t="s">
        <v>5872</v>
      </c>
      <c r="U2472" s="38"/>
      <c r="V2472" s="38"/>
      <c r="W2472" s="38"/>
      <c r="X2472" s="14"/>
      <c r="AI2472" s="53">
        <f>107.3</f>
        <v>107.3</v>
      </c>
      <c r="AN2472" s="7" t="s">
        <v>145</v>
      </c>
      <c r="AO2472" s="21">
        <f t="shared" si="122"/>
        <v>107.3</v>
      </c>
      <c r="AP2472" s="7">
        <f t="shared" si="123"/>
        <v>0</v>
      </c>
      <c r="AQ2472" s="31" t="str">
        <f t="shared" si="124"/>
        <v>Complete - With Adjustment</v>
      </c>
    </row>
    <row r="2473" spans="1:43" x14ac:dyDescent="0.2">
      <c r="A2473" s="46">
        <v>2463</v>
      </c>
      <c r="B2473" s="38" t="s">
        <v>266</v>
      </c>
      <c r="C2473" s="38" t="s">
        <v>504</v>
      </c>
      <c r="D2473" s="38" t="s">
        <v>805</v>
      </c>
      <c r="E2473" s="38" t="s">
        <v>5867</v>
      </c>
      <c r="F2473" s="38" t="s">
        <v>5388</v>
      </c>
      <c r="G2473" s="38" t="s">
        <v>111</v>
      </c>
      <c r="H2473" s="44">
        <v>44096</v>
      </c>
      <c r="I2473" s="44">
        <v>44105</v>
      </c>
      <c r="J2473">
        <v>761.63</v>
      </c>
      <c r="K2473">
        <v>428.19</v>
      </c>
      <c r="L2473" t="s">
        <v>5868</v>
      </c>
      <c r="M2473" s="45" t="s">
        <v>97</v>
      </c>
      <c r="N2473" s="38" t="s">
        <v>230</v>
      </c>
      <c r="O2473" s="38" t="s">
        <v>506</v>
      </c>
      <c r="P2473" s="38" t="s">
        <v>42</v>
      </c>
      <c r="Q2473" s="38" t="s">
        <v>41</v>
      </c>
      <c r="R2473" s="38" t="s">
        <v>270</v>
      </c>
      <c r="S2473" s="38" t="s">
        <v>5869</v>
      </c>
      <c r="T2473" s="38" t="s">
        <v>5873</v>
      </c>
      <c r="U2473" s="38"/>
      <c r="V2473" s="38"/>
      <c r="W2473" s="38"/>
      <c r="X2473" s="14"/>
      <c r="Y2473" s="53">
        <f>428.19</f>
        <v>428.19</v>
      </c>
      <c r="AN2473" s="7" t="s">
        <v>8</v>
      </c>
      <c r="AO2473" s="21">
        <f t="shared" si="122"/>
        <v>428.19</v>
      </c>
      <c r="AP2473" s="7">
        <f t="shared" si="123"/>
        <v>0</v>
      </c>
      <c r="AQ2473" s="31" t="str">
        <f t="shared" si="124"/>
        <v>Complete - With Adjustment</v>
      </c>
    </row>
    <row r="2474" spans="1:43" x14ac:dyDescent="0.2">
      <c r="A2474" s="46">
        <v>2464</v>
      </c>
      <c r="B2474" s="38" t="s">
        <v>266</v>
      </c>
      <c r="C2474" s="38" t="s">
        <v>504</v>
      </c>
      <c r="D2474" s="38" t="s">
        <v>805</v>
      </c>
      <c r="E2474" s="38" t="s">
        <v>5867</v>
      </c>
      <c r="F2474" s="38" t="s">
        <v>5388</v>
      </c>
      <c r="G2474" s="38" t="s">
        <v>111</v>
      </c>
      <c r="H2474" s="44">
        <v>44096</v>
      </c>
      <c r="I2474" s="44">
        <v>44105</v>
      </c>
      <c r="J2474">
        <v>761.63</v>
      </c>
      <c r="K2474">
        <v>20.86</v>
      </c>
      <c r="L2474" t="s">
        <v>5868</v>
      </c>
      <c r="M2474" s="45" t="s">
        <v>98</v>
      </c>
      <c r="N2474" s="38" t="s">
        <v>230</v>
      </c>
      <c r="O2474" s="38" t="s">
        <v>484</v>
      </c>
      <c r="P2474" s="38" t="s">
        <v>60</v>
      </c>
      <c r="Q2474" s="38" t="s">
        <v>41</v>
      </c>
      <c r="R2474" s="38" t="s">
        <v>270</v>
      </c>
      <c r="S2474" s="38" t="s">
        <v>5869</v>
      </c>
      <c r="T2474" s="38" t="s">
        <v>5870</v>
      </c>
      <c r="U2474" s="38"/>
      <c r="V2474" s="38"/>
      <c r="W2474" s="38"/>
      <c r="X2474" s="14"/>
      <c r="AN2474" s="7" t="s">
        <v>70</v>
      </c>
      <c r="AO2474" s="21">
        <f t="shared" si="122"/>
        <v>0</v>
      </c>
      <c r="AP2474" s="7">
        <f t="shared" si="123"/>
        <v>20.86</v>
      </c>
      <c r="AQ2474" s="31" t="str">
        <f t="shared" si="124"/>
        <v>Complete - No Adjustment</v>
      </c>
    </row>
    <row r="2475" spans="1:43" x14ac:dyDescent="0.2">
      <c r="A2475" s="46">
        <v>2465</v>
      </c>
      <c r="B2475" s="38" t="s">
        <v>266</v>
      </c>
      <c r="C2475" s="38" t="s">
        <v>5874</v>
      </c>
      <c r="D2475" s="38" t="s">
        <v>5875</v>
      </c>
      <c r="E2475" s="38" t="s">
        <v>5876</v>
      </c>
      <c r="F2475" s="38" t="s">
        <v>5388</v>
      </c>
      <c r="G2475" s="38" t="s">
        <v>111</v>
      </c>
      <c r="H2475" s="44">
        <v>44102</v>
      </c>
      <c r="I2475" s="44">
        <v>44105</v>
      </c>
      <c r="J2475">
        <v>4022.69</v>
      </c>
      <c r="K2475">
        <v>250</v>
      </c>
      <c r="L2475" t="s">
        <v>5877</v>
      </c>
      <c r="M2475" s="45" t="s">
        <v>97</v>
      </c>
      <c r="N2475" s="38" t="s">
        <v>230</v>
      </c>
      <c r="O2475" s="38" t="s">
        <v>386</v>
      </c>
      <c r="P2475" s="38" t="s">
        <v>42</v>
      </c>
      <c r="Q2475" s="38" t="s">
        <v>55</v>
      </c>
      <c r="R2475" s="38" t="s">
        <v>270</v>
      </c>
      <c r="S2475" s="38" t="s">
        <v>5878</v>
      </c>
      <c r="T2475" s="38" t="s">
        <v>5879</v>
      </c>
      <c r="U2475" s="38"/>
      <c r="V2475" s="38"/>
      <c r="W2475" s="38"/>
      <c r="X2475" s="14"/>
      <c r="AI2475" s="53">
        <f>250</f>
        <v>250</v>
      </c>
      <c r="AN2475" s="7" t="s">
        <v>145</v>
      </c>
      <c r="AO2475" s="21">
        <f t="shared" si="122"/>
        <v>250</v>
      </c>
      <c r="AP2475" s="7">
        <f t="shared" si="123"/>
        <v>0</v>
      </c>
      <c r="AQ2475" s="31" t="str">
        <f t="shared" si="124"/>
        <v>Complete - With Adjustment</v>
      </c>
    </row>
    <row r="2476" spans="1:43" x14ac:dyDescent="0.2">
      <c r="A2476" s="46">
        <v>2466</v>
      </c>
      <c r="B2476" s="38" t="s">
        <v>266</v>
      </c>
      <c r="C2476" s="38" t="s">
        <v>5874</v>
      </c>
      <c r="D2476" s="38" t="s">
        <v>5875</v>
      </c>
      <c r="E2476" s="38" t="s">
        <v>5876</v>
      </c>
      <c r="F2476" s="38" t="s">
        <v>5388</v>
      </c>
      <c r="G2476" s="38" t="s">
        <v>111</v>
      </c>
      <c r="H2476" s="44">
        <v>44102</v>
      </c>
      <c r="I2476" s="44">
        <v>44105</v>
      </c>
      <c r="J2476">
        <v>4022.69</v>
      </c>
      <c r="K2476">
        <v>270.61</v>
      </c>
      <c r="L2476" t="s">
        <v>5877</v>
      </c>
      <c r="M2476" s="45" t="s">
        <v>97</v>
      </c>
      <c r="N2476" s="38" t="s">
        <v>230</v>
      </c>
      <c r="O2476" s="38" t="s">
        <v>386</v>
      </c>
      <c r="P2476" s="38" t="s">
        <v>42</v>
      </c>
      <c r="Q2476" s="38" t="s">
        <v>55</v>
      </c>
      <c r="R2476" s="38" t="s">
        <v>270</v>
      </c>
      <c r="S2476" s="38" t="s">
        <v>5878</v>
      </c>
      <c r="T2476" s="38" t="s">
        <v>5880</v>
      </c>
      <c r="U2476" s="38"/>
      <c r="V2476" s="38"/>
      <c r="W2476" s="38"/>
      <c r="X2476" s="14"/>
      <c r="AI2476" s="53">
        <f>270.61</f>
        <v>270.61</v>
      </c>
      <c r="AN2476" s="7" t="s">
        <v>145</v>
      </c>
      <c r="AO2476" s="21">
        <f t="shared" si="122"/>
        <v>270.61</v>
      </c>
      <c r="AP2476" s="7">
        <f t="shared" si="123"/>
        <v>0</v>
      </c>
      <c r="AQ2476" s="31" t="str">
        <f t="shared" si="124"/>
        <v>Complete - With Adjustment</v>
      </c>
    </row>
    <row r="2477" spans="1:43" x14ac:dyDescent="0.2">
      <c r="A2477" s="46">
        <v>2467</v>
      </c>
      <c r="B2477" s="38" t="s">
        <v>266</v>
      </c>
      <c r="C2477" s="38" t="s">
        <v>5874</v>
      </c>
      <c r="D2477" s="38" t="s">
        <v>5875</v>
      </c>
      <c r="E2477" s="38" t="s">
        <v>5876</v>
      </c>
      <c r="F2477" s="38" t="s">
        <v>5388</v>
      </c>
      <c r="G2477" s="38" t="s">
        <v>111</v>
      </c>
      <c r="H2477" s="44">
        <v>44102</v>
      </c>
      <c r="I2477" s="44">
        <v>44105</v>
      </c>
      <c r="J2477">
        <v>4022.69</v>
      </c>
      <c r="K2477">
        <v>237.07</v>
      </c>
      <c r="L2477" t="s">
        <v>5877</v>
      </c>
      <c r="M2477" s="45" t="s">
        <v>97</v>
      </c>
      <c r="N2477" s="38" t="s">
        <v>230</v>
      </c>
      <c r="O2477" s="38" t="s">
        <v>386</v>
      </c>
      <c r="P2477" s="38" t="s">
        <v>42</v>
      </c>
      <c r="Q2477" s="38" t="s">
        <v>55</v>
      </c>
      <c r="R2477" s="38" t="s">
        <v>270</v>
      </c>
      <c r="S2477" s="38" t="s">
        <v>5878</v>
      </c>
      <c r="T2477" s="38" t="s">
        <v>5880</v>
      </c>
      <c r="U2477" s="38"/>
      <c r="V2477" s="38"/>
      <c r="W2477" s="38"/>
      <c r="X2477" s="14"/>
      <c r="AI2477" s="53">
        <f>237.07</f>
        <v>237.07</v>
      </c>
      <c r="AN2477" s="7" t="s">
        <v>145</v>
      </c>
      <c r="AO2477" s="21">
        <f t="shared" si="122"/>
        <v>237.07</v>
      </c>
      <c r="AP2477" s="7">
        <f t="shared" si="123"/>
        <v>0</v>
      </c>
      <c r="AQ2477" s="31" t="str">
        <f t="shared" si="124"/>
        <v>Complete - With Adjustment</v>
      </c>
    </row>
    <row r="2478" spans="1:43" x14ac:dyDescent="0.2">
      <c r="A2478" s="46">
        <v>2468</v>
      </c>
      <c r="B2478" s="38" t="s">
        <v>266</v>
      </c>
      <c r="C2478" s="38" t="s">
        <v>5874</v>
      </c>
      <c r="D2478" s="38" t="s">
        <v>5875</v>
      </c>
      <c r="E2478" s="38" t="s">
        <v>5876</v>
      </c>
      <c r="F2478" s="38" t="s">
        <v>5388</v>
      </c>
      <c r="G2478" s="38" t="s">
        <v>111</v>
      </c>
      <c r="H2478" s="44">
        <v>44102</v>
      </c>
      <c r="I2478" s="44">
        <v>44105</v>
      </c>
      <c r="J2478">
        <v>4022.69</v>
      </c>
      <c r="K2478">
        <v>250</v>
      </c>
      <c r="L2478" t="s">
        <v>5877</v>
      </c>
      <c r="M2478" s="45" t="s">
        <v>97</v>
      </c>
      <c r="N2478" s="38" t="s">
        <v>230</v>
      </c>
      <c r="O2478" s="38" t="s">
        <v>386</v>
      </c>
      <c r="P2478" s="38" t="s">
        <v>42</v>
      </c>
      <c r="Q2478" s="38" t="s">
        <v>55</v>
      </c>
      <c r="R2478" s="38" t="s">
        <v>270</v>
      </c>
      <c r="S2478" s="38" t="s">
        <v>5878</v>
      </c>
      <c r="T2478" s="38" t="s">
        <v>5879</v>
      </c>
      <c r="U2478" s="38"/>
      <c r="V2478" s="38"/>
      <c r="W2478" s="38"/>
      <c r="X2478" s="14"/>
      <c r="AI2478" s="53">
        <f>250</f>
        <v>250</v>
      </c>
      <c r="AN2478" s="7" t="s">
        <v>145</v>
      </c>
      <c r="AO2478" s="21">
        <f t="shared" si="122"/>
        <v>250</v>
      </c>
      <c r="AP2478" s="7">
        <f t="shared" si="123"/>
        <v>0</v>
      </c>
      <c r="AQ2478" s="31" t="str">
        <f t="shared" si="124"/>
        <v>Complete - With Adjustment</v>
      </c>
    </row>
    <row r="2479" spans="1:43" x14ac:dyDescent="0.2">
      <c r="A2479" s="46">
        <v>2469</v>
      </c>
      <c r="B2479" s="38" t="s">
        <v>266</v>
      </c>
      <c r="C2479" s="38" t="s">
        <v>5874</v>
      </c>
      <c r="D2479" s="38" t="s">
        <v>5875</v>
      </c>
      <c r="E2479" s="38" t="s">
        <v>5876</v>
      </c>
      <c r="F2479" s="38" t="s">
        <v>5388</v>
      </c>
      <c r="G2479" s="38" t="s">
        <v>111</v>
      </c>
      <c r="H2479" s="44">
        <v>44102</v>
      </c>
      <c r="I2479" s="44">
        <v>44105</v>
      </c>
      <c r="J2479">
        <v>4022.69</v>
      </c>
      <c r="K2479">
        <v>318.73</v>
      </c>
      <c r="L2479" t="s">
        <v>5877</v>
      </c>
      <c r="M2479" s="45" t="s">
        <v>97</v>
      </c>
      <c r="N2479" s="38" t="s">
        <v>230</v>
      </c>
      <c r="O2479" s="38" t="s">
        <v>386</v>
      </c>
      <c r="P2479" s="38" t="s">
        <v>42</v>
      </c>
      <c r="Q2479" s="38" t="s">
        <v>55</v>
      </c>
      <c r="R2479" s="38" t="s">
        <v>270</v>
      </c>
      <c r="S2479" s="38" t="s">
        <v>5878</v>
      </c>
      <c r="T2479" s="38" t="s">
        <v>5880</v>
      </c>
      <c r="U2479" s="38"/>
      <c r="V2479" s="38"/>
      <c r="W2479" s="38"/>
      <c r="X2479" s="14"/>
      <c r="AI2479" s="53">
        <f>318.73</f>
        <v>318.73</v>
      </c>
      <c r="AN2479" s="7" t="s">
        <v>145</v>
      </c>
      <c r="AO2479" s="21">
        <f t="shared" si="122"/>
        <v>318.73</v>
      </c>
      <c r="AP2479" s="7">
        <f t="shared" si="123"/>
        <v>0</v>
      </c>
      <c r="AQ2479" s="31" t="str">
        <f t="shared" si="124"/>
        <v>Complete - With Adjustment</v>
      </c>
    </row>
    <row r="2480" spans="1:43" x14ac:dyDescent="0.2">
      <c r="A2480" s="46">
        <v>2470</v>
      </c>
      <c r="B2480" s="38" t="s">
        <v>266</v>
      </c>
      <c r="C2480" s="38" t="s">
        <v>5874</v>
      </c>
      <c r="D2480" s="38" t="s">
        <v>5875</v>
      </c>
      <c r="E2480" s="38" t="s">
        <v>5876</v>
      </c>
      <c r="F2480" s="38" t="s">
        <v>5388</v>
      </c>
      <c r="G2480" s="38" t="s">
        <v>111</v>
      </c>
      <c r="H2480" s="44">
        <v>44102</v>
      </c>
      <c r="I2480" s="44">
        <v>44105</v>
      </c>
      <c r="J2480">
        <v>4022.69</v>
      </c>
      <c r="K2480">
        <v>262.07</v>
      </c>
      <c r="L2480" t="s">
        <v>5877</v>
      </c>
      <c r="M2480" s="45" t="s">
        <v>97</v>
      </c>
      <c r="N2480" s="38" t="s">
        <v>230</v>
      </c>
      <c r="O2480" s="38" t="s">
        <v>386</v>
      </c>
      <c r="P2480" s="38" t="s">
        <v>42</v>
      </c>
      <c r="Q2480" s="38" t="s">
        <v>55</v>
      </c>
      <c r="R2480" s="38" t="s">
        <v>270</v>
      </c>
      <c r="S2480" s="38" t="s">
        <v>5878</v>
      </c>
      <c r="T2480" s="38" t="s">
        <v>5880</v>
      </c>
      <c r="U2480" s="38"/>
      <c r="V2480" s="38"/>
      <c r="W2480" s="38"/>
      <c r="X2480" s="14"/>
      <c r="AI2480" s="53">
        <f>262.07</f>
        <v>262.07</v>
      </c>
      <c r="AN2480" s="7" t="s">
        <v>145</v>
      </c>
      <c r="AO2480" s="21">
        <f t="shared" si="122"/>
        <v>262.07</v>
      </c>
      <c r="AP2480" s="7">
        <f t="shared" si="123"/>
        <v>0</v>
      </c>
      <c r="AQ2480" s="31" t="str">
        <f t="shared" si="124"/>
        <v>Complete - With Adjustment</v>
      </c>
    </row>
    <row r="2481" spans="1:43" x14ac:dyDescent="0.2">
      <c r="A2481" s="46">
        <v>2471</v>
      </c>
      <c r="B2481" s="38" t="s">
        <v>266</v>
      </c>
      <c r="C2481" s="38" t="s">
        <v>5874</v>
      </c>
      <c r="D2481" s="38" t="s">
        <v>5875</v>
      </c>
      <c r="E2481" s="38" t="s">
        <v>5876</v>
      </c>
      <c r="F2481" s="38" t="s">
        <v>5388</v>
      </c>
      <c r="G2481" s="38" t="s">
        <v>111</v>
      </c>
      <c r="H2481" s="44">
        <v>44102</v>
      </c>
      <c r="I2481" s="44">
        <v>44105</v>
      </c>
      <c r="J2481">
        <v>4022.69</v>
      </c>
      <c r="K2481">
        <v>193.77</v>
      </c>
      <c r="L2481" t="s">
        <v>5877</v>
      </c>
      <c r="M2481" s="45" t="s">
        <v>97</v>
      </c>
      <c r="N2481" s="38" t="s">
        <v>230</v>
      </c>
      <c r="O2481" s="38" t="s">
        <v>386</v>
      </c>
      <c r="P2481" s="38" t="s">
        <v>42</v>
      </c>
      <c r="Q2481" s="38" t="s">
        <v>55</v>
      </c>
      <c r="R2481" s="38" t="s">
        <v>270</v>
      </c>
      <c r="S2481" s="38" t="s">
        <v>5878</v>
      </c>
      <c r="T2481" s="38" t="s">
        <v>5880</v>
      </c>
      <c r="U2481" s="38"/>
      <c r="V2481" s="38"/>
      <c r="W2481" s="38"/>
      <c r="X2481" s="14"/>
      <c r="AI2481" s="53">
        <f>193.77</f>
        <v>193.77</v>
      </c>
      <c r="AN2481" s="7" t="s">
        <v>145</v>
      </c>
      <c r="AO2481" s="21">
        <f t="shared" si="122"/>
        <v>193.77</v>
      </c>
      <c r="AP2481" s="7">
        <f t="shared" si="123"/>
        <v>0</v>
      </c>
      <c r="AQ2481" s="31" t="str">
        <f t="shared" si="124"/>
        <v>Complete - With Adjustment</v>
      </c>
    </row>
    <row r="2482" spans="1:43" x14ac:dyDescent="0.2">
      <c r="A2482" s="46">
        <v>2472</v>
      </c>
      <c r="B2482" s="38" t="s">
        <v>266</v>
      </c>
      <c r="C2482" s="38" t="s">
        <v>5874</v>
      </c>
      <c r="D2482" s="38" t="s">
        <v>5875</v>
      </c>
      <c r="E2482" s="38" t="s">
        <v>5876</v>
      </c>
      <c r="F2482" s="38" t="s">
        <v>5388</v>
      </c>
      <c r="G2482" s="38" t="s">
        <v>111</v>
      </c>
      <c r="H2482" s="44">
        <v>44102</v>
      </c>
      <c r="I2482" s="44">
        <v>44105</v>
      </c>
      <c r="J2482">
        <v>4022.69</v>
      </c>
      <c r="K2482">
        <v>305.57</v>
      </c>
      <c r="L2482" t="s">
        <v>5877</v>
      </c>
      <c r="M2482" s="45" t="s">
        <v>97</v>
      </c>
      <c r="N2482" s="38" t="s">
        <v>230</v>
      </c>
      <c r="O2482" s="38" t="s">
        <v>386</v>
      </c>
      <c r="P2482" s="38" t="s">
        <v>42</v>
      </c>
      <c r="Q2482" s="38" t="s">
        <v>55</v>
      </c>
      <c r="R2482" s="38" t="s">
        <v>270</v>
      </c>
      <c r="S2482" s="38" t="s">
        <v>5878</v>
      </c>
      <c r="T2482" s="38" t="s">
        <v>5880</v>
      </c>
      <c r="U2482" s="38"/>
      <c r="V2482" s="38"/>
      <c r="W2482" s="38"/>
      <c r="X2482" s="14"/>
      <c r="AI2482" s="53">
        <f>305.57</f>
        <v>305.57</v>
      </c>
      <c r="AN2482" s="7" t="s">
        <v>145</v>
      </c>
      <c r="AO2482" s="21">
        <f t="shared" si="122"/>
        <v>305.57</v>
      </c>
      <c r="AP2482" s="7">
        <f t="shared" si="123"/>
        <v>0</v>
      </c>
      <c r="AQ2482" s="31" t="str">
        <f t="shared" si="124"/>
        <v>Complete - With Adjustment</v>
      </c>
    </row>
    <row r="2483" spans="1:43" x14ac:dyDescent="0.2">
      <c r="A2483" s="46">
        <v>2473</v>
      </c>
      <c r="B2483" s="38" t="s">
        <v>266</v>
      </c>
      <c r="C2483" s="38" t="s">
        <v>5874</v>
      </c>
      <c r="D2483" s="38" t="s">
        <v>5875</v>
      </c>
      <c r="E2483" s="38" t="s">
        <v>5876</v>
      </c>
      <c r="F2483" s="38" t="s">
        <v>5388</v>
      </c>
      <c r="G2483" s="38" t="s">
        <v>111</v>
      </c>
      <c r="H2483" s="44">
        <v>44102</v>
      </c>
      <c r="I2483" s="44">
        <v>44105</v>
      </c>
      <c r="J2483">
        <v>4022.69</v>
      </c>
      <c r="K2483">
        <v>215.42</v>
      </c>
      <c r="L2483" t="s">
        <v>5877</v>
      </c>
      <c r="M2483" s="45" t="s">
        <v>97</v>
      </c>
      <c r="N2483" s="38" t="s">
        <v>230</v>
      </c>
      <c r="O2483" s="38" t="s">
        <v>386</v>
      </c>
      <c r="P2483" s="38" t="s">
        <v>42</v>
      </c>
      <c r="Q2483" s="38" t="s">
        <v>55</v>
      </c>
      <c r="R2483" s="38" t="s">
        <v>270</v>
      </c>
      <c r="S2483" s="38" t="s">
        <v>5878</v>
      </c>
      <c r="T2483" s="38" t="s">
        <v>5880</v>
      </c>
      <c r="U2483" s="38"/>
      <c r="V2483" s="38"/>
      <c r="W2483" s="38"/>
      <c r="X2483" s="14"/>
      <c r="AI2483" s="53">
        <f>215.42</f>
        <v>215.42</v>
      </c>
      <c r="AN2483" s="7" t="s">
        <v>145</v>
      </c>
      <c r="AO2483" s="21">
        <f t="shared" si="122"/>
        <v>215.42</v>
      </c>
      <c r="AP2483" s="7">
        <f t="shared" si="123"/>
        <v>0</v>
      </c>
      <c r="AQ2483" s="31" t="str">
        <f t="shared" si="124"/>
        <v>Complete - With Adjustment</v>
      </c>
    </row>
    <row r="2484" spans="1:43" x14ac:dyDescent="0.2">
      <c r="A2484" s="46">
        <v>2474</v>
      </c>
      <c r="B2484" s="38" t="s">
        <v>266</v>
      </c>
      <c r="C2484" s="38" t="s">
        <v>5874</v>
      </c>
      <c r="D2484" s="38" t="s">
        <v>5875</v>
      </c>
      <c r="E2484" s="38" t="s">
        <v>5876</v>
      </c>
      <c r="F2484" s="38" t="s">
        <v>5388</v>
      </c>
      <c r="G2484" s="38" t="s">
        <v>111</v>
      </c>
      <c r="H2484" s="44">
        <v>44102</v>
      </c>
      <c r="I2484" s="44">
        <v>44105</v>
      </c>
      <c r="J2484">
        <v>4022.69</v>
      </c>
      <c r="K2484">
        <v>269.54000000000002</v>
      </c>
      <c r="L2484" t="s">
        <v>5877</v>
      </c>
      <c r="M2484" s="45" t="s">
        <v>97</v>
      </c>
      <c r="N2484" s="38" t="s">
        <v>230</v>
      </c>
      <c r="O2484" s="38" t="s">
        <v>386</v>
      </c>
      <c r="P2484" s="38" t="s">
        <v>42</v>
      </c>
      <c r="Q2484" s="38" t="s">
        <v>55</v>
      </c>
      <c r="R2484" s="38" t="s">
        <v>270</v>
      </c>
      <c r="S2484" s="38" t="s">
        <v>5878</v>
      </c>
      <c r="T2484" s="38" t="s">
        <v>5880</v>
      </c>
      <c r="U2484" s="38"/>
      <c r="V2484" s="38"/>
      <c r="W2484" s="38"/>
      <c r="X2484" s="14"/>
      <c r="AI2484" s="53">
        <f>269.54</f>
        <v>269.54000000000002</v>
      </c>
      <c r="AN2484" s="7" t="s">
        <v>145</v>
      </c>
      <c r="AO2484" s="21">
        <f t="shared" si="122"/>
        <v>269.54000000000002</v>
      </c>
      <c r="AP2484" s="7">
        <f t="shared" si="123"/>
        <v>0</v>
      </c>
      <c r="AQ2484" s="31" t="str">
        <f t="shared" si="124"/>
        <v>Complete - With Adjustment</v>
      </c>
    </row>
    <row r="2485" spans="1:43" x14ac:dyDescent="0.2">
      <c r="A2485" s="46">
        <v>2475</v>
      </c>
      <c r="B2485" s="38" t="s">
        <v>266</v>
      </c>
      <c r="C2485" s="38" t="s">
        <v>5874</v>
      </c>
      <c r="D2485" s="38" t="s">
        <v>5875</v>
      </c>
      <c r="E2485" s="38" t="s">
        <v>5876</v>
      </c>
      <c r="F2485" s="38" t="s">
        <v>5388</v>
      </c>
      <c r="G2485" s="38" t="s">
        <v>111</v>
      </c>
      <c r="H2485" s="44">
        <v>44102</v>
      </c>
      <c r="I2485" s="44">
        <v>44105</v>
      </c>
      <c r="J2485">
        <v>4022.69</v>
      </c>
      <c r="K2485">
        <v>240.52</v>
      </c>
      <c r="L2485" t="s">
        <v>5877</v>
      </c>
      <c r="M2485" s="45" t="s">
        <v>97</v>
      </c>
      <c r="N2485" s="38" t="s">
        <v>230</v>
      </c>
      <c r="O2485" s="38" t="s">
        <v>386</v>
      </c>
      <c r="P2485" s="38" t="s">
        <v>42</v>
      </c>
      <c r="Q2485" s="38" t="s">
        <v>55</v>
      </c>
      <c r="R2485" s="38" t="s">
        <v>270</v>
      </c>
      <c r="S2485" s="38" t="s">
        <v>5878</v>
      </c>
      <c r="T2485" s="38" t="s">
        <v>5880</v>
      </c>
      <c r="U2485" s="38"/>
      <c r="V2485" s="38"/>
      <c r="W2485" s="38"/>
      <c r="X2485" s="14"/>
      <c r="AI2485" s="53">
        <f>240.52</f>
        <v>240.52</v>
      </c>
      <c r="AN2485" s="7" t="s">
        <v>145</v>
      </c>
      <c r="AO2485" s="21">
        <f t="shared" si="122"/>
        <v>240.52</v>
      </c>
      <c r="AP2485" s="7">
        <f t="shared" si="123"/>
        <v>0</v>
      </c>
      <c r="AQ2485" s="31" t="str">
        <f t="shared" si="124"/>
        <v>Complete - With Adjustment</v>
      </c>
    </row>
    <row r="2486" spans="1:43" x14ac:dyDescent="0.2">
      <c r="A2486" s="46">
        <v>2476</v>
      </c>
      <c r="B2486" s="38" t="s">
        <v>266</v>
      </c>
      <c r="C2486" s="38" t="s">
        <v>5874</v>
      </c>
      <c r="D2486" s="38" t="s">
        <v>5875</v>
      </c>
      <c r="E2486" s="38" t="s">
        <v>5876</v>
      </c>
      <c r="F2486" s="38" t="s">
        <v>5388</v>
      </c>
      <c r="G2486" s="38" t="s">
        <v>111</v>
      </c>
      <c r="H2486" s="44">
        <v>44102</v>
      </c>
      <c r="I2486" s="44">
        <v>44105</v>
      </c>
      <c r="J2486">
        <v>4022.69</v>
      </c>
      <c r="K2486">
        <v>250</v>
      </c>
      <c r="L2486" t="s">
        <v>5877</v>
      </c>
      <c r="M2486" s="45" t="s">
        <v>97</v>
      </c>
      <c r="N2486" s="38" t="s">
        <v>230</v>
      </c>
      <c r="O2486" s="38" t="s">
        <v>386</v>
      </c>
      <c r="P2486" s="38" t="s">
        <v>42</v>
      </c>
      <c r="Q2486" s="38" t="s">
        <v>55</v>
      </c>
      <c r="R2486" s="38" t="s">
        <v>270</v>
      </c>
      <c r="S2486" s="38" t="s">
        <v>5878</v>
      </c>
      <c r="T2486" s="38" t="s">
        <v>5881</v>
      </c>
      <c r="U2486" s="38"/>
      <c r="V2486" s="38"/>
      <c r="W2486" s="38"/>
      <c r="X2486" s="14"/>
      <c r="AI2486" s="53">
        <f>250</f>
        <v>250</v>
      </c>
      <c r="AN2486" s="7" t="s">
        <v>145</v>
      </c>
      <c r="AO2486" s="21">
        <f t="shared" si="122"/>
        <v>250</v>
      </c>
      <c r="AP2486" s="7">
        <f t="shared" si="123"/>
        <v>0</v>
      </c>
      <c r="AQ2486" s="31" t="str">
        <f t="shared" si="124"/>
        <v>Complete - With Adjustment</v>
      </c>
    </row>
    <row r="2487" spans="1:43" x14ac:dyDescent="0.2">
      <c r="A2487" s="46">
        <v>2477</v>
      </c>
      <c r="B2487" s="38" t="s">
        <v>266</v>
      </c>
      <c r="C2487" s="38" t="s">
        <v>5874</v>
      </c>
      <c r="D2487" s="38" t="s">
        <v>5875</v>
      </c>
      <c r="E2487" s="38" t="s">
        <v>5876</v>
      </c>
      <c r="F2487" s="38" t="s">
        <v>5388</v>
      </c>
      <c r="G2487" s="38" t="s">
        <v>111</v>
      </c>
      <c r="H2487" s="44">
        <v>44102</v>
      </c>
      <c r="I2487" s="44">
        <v>44105</v>
      </c>
      <c r="J2487">
        <v>4022.69</v>
      </c>
      <c r="K2487">
        <v>367.26</v>
      </c>
      <c r="L2487" t="s">
        <v>5877</v>
      </c>
      <c r="M2487" s="45" t="s">
        <v>97</v>
      </c>
      <c r="N2487" s="38" t="s">
        <v>230</v>
      </c>
      <c r="O2487" s="38" t="s">
        <v>386</v>
      </c>
      <c r="P2487" s="38" t="s">
        <v>42</v>
      </c>
      <c r="Q2487" s="38" t="s">
        <v>55</v>
      </c>
      <c r="R2487" s="38" t="s">
        <v>270</v>
      </c>
      <c r="S2487" s="38" t="s">
        <v>5878</v>
      </c>
      <c r="T2487" s="38" t="s">
        <v>5880</v>
      </c>
      <c r="U2487" s="38"/>
      <c r="V2487" s="38"/>
      <c r="W2487" s="38"/>
      <c r="X2487" s="14"/>
      <c r="AI2487" s="53">
        <f>367.26</f>
        <v>367.26</v>
      </c>
      <c r="AN2487" s="7" t="s">
        <v>145</v>
      </c>
      <c r="AO2487" s="21">
        <f t="shared" si="122"/>
        <v>367.26</v>
      </c>
      <c r="AP2487" s="7">
        <f t="shared" si="123"/>
        <v>0</v>
      </c>
      <c r="AQ2487" s="31" t="str">
        <f t="shared" si="124"/>
        <v>Complete - With Adjustment</v>
      </c>
    </row>
    <row r="2488" spans="1:43" x14ac:dyDescent="0.2">
      <c r="A2488" s="46">
        <v>2478</v>
      </c>
      <c r="B2488" s="38" t="s">
        <v>266</v>
      </c>
      <c r="C2488" s="38" t="s">
        <v>5874</v>
      </c>
      <c r="D2488" s="38" t="s">
        <v>5875</v>
      </c>
      <c r="E2488" s="38" t="s">
        <v>5876</v>
      </c>
      <c r="F2488" s="38" t="s">
        <v>5388</v>
      </c>
      <c r="G2488" s="38" t="s">
        <v>111</v>
      </c>
      <c r="H2488" s="44">
        <v>44102</v>
      </c>
      <c r="I2488" s="44">
        <v>44105</v>
      </c>
      <c r="J2488">
        <v>4022.69</v>
      </c>
      <c r="K2488">
        <v>377.79</v>
      </c>
      <c r="L2488" t="s">
        <v>5877</v>
      </c>
      <c r="M2488" s="45" t="s">
        <v>97</v>
      </c>
      <c r="N2488" s="38" t="s">
        <v>230</v>
      </c>
      <c r="O2488" s="38" t="s">
        <v>386</v>
      </c>
      <c r="P2488" s="38" t="s">
        <v>42</v>
      </c>
      <c r="Q2488" s="38" t="s">
        <v>55</v>
      </c>
      <c r="R2488" s="38" t="s">
        <v>270</v>
      </c>
      <c r="S2488" s="38" t="s">
        <v>5878</v>
      </c>
      <c r="T2488" s="38" t="s">
        <v>5882</v>
      </c>
      <c r="U2488" s="38"/>
      <c r="V2488" s="38"/>
      <c r="W2488" s="38"/>
      <c r="X2488" s="14"/>
      <c r="AI2488" s="53">
        <f>377.79</f>
        <v>377.79</v>
      </c>
      <c r="AN2488" s="7" t="s">
        <v>145</v>
      </c>
      <c r="AO2488" s="21">
        <f t="shared" si="122"/>
        <v>377.79</v>
      </c>
      <c r="AP2488" s="7">
        <f t="shared" si="123"/>
        <v>0</v>
      </c>
      <c r="AQ2488" s="31" t="str">
        <f t="shared" si="124"/>
        <v>Complete - With Adjustment</v>
      </c>
    </row>
    <row r="2489" spans="1:43" x14ac:dyDescent="0.2">
      <c r="A2489" s="46">
        <v>2479</v>
      </c>
      <c r="B2489" s="38" t="s">
        <v>266</v>
      </c>
      <c r="C2489" s="38" t="s">
        <v>5874</v>
      </c>
      <c r="D2489" s="38" t="s">
        <v>5875</v>
      </c>
      <c r="E2489" s="38" t="s">
        <v>5876</v>
      </c>
      <c r="F2489" s="38" t="s">
        <v>5388</v>
      </c>
      <c r="G2489" s="38" t="s">
        <v>111</v>
      </c>
      <c r="H2489" s="44">
        <v>44102</v>
      </c>
      <c r="I2489" s="44">
        <v>44105</v>
      </c>
      <c r="J2489">
        <v>4022.69</v>
      </c>
      <c r="K2489">
        <v>214.34</v>
      </c>
      <c r="L2489" t="s">
        <v>5877</v>
      </c>
      <c r="M2489" s="45" t="s">
        <v>97</v>
      </c>
      <c r="N2489" s="38" t="s">
        <v>230</v>
      </c>
      <c r="O2489" s="38" t="s">
        <v>386</v>
      </c>
      <c r="P2489" s="38" t="s">
        <v>42</v>
      </c>
      <c r="Q2489" s="38" t="s">
        <v>55</v>
      </c>
      <c r="R2489" s="38" t="s">
        <v>270</v>
      </c>
      <c r="S2489" s="38" t="s">
        <v>5878</v>
      </c>
      <c r="T2489" s="38" t="s">
        <v>5883</v>
      </c>
      <c r="U2489" s="38"/>
      <c r="V2489" s="38"/>
      <c r="W2489" s="38"/>
      <c r="X2489" s="14"/>
      <c r="AI2489" s="53">
        <f>214.34</f>
        <v>214.34</v>
      </c>
      <c r="AN2489" s="7" t="s">
        <v>145</v>
      </c>
      <c r="AO2489" s="21">
        <f t="shared" si="122"/>
        <v>214.34</v>
      </c>
      <c r="AP2489" s="7">
        <f t="shared" si="123"/>
        <v>0</v>
      </c>
      <c r="AQ2489" s="31" t="str">
        <f t="shared" si="124"/>
        <v>Complete - With Adjustment</v>
      </c>
    </row>
    <row r="2490" spans="1:43" x14ac:dyDescent="0.2">
      <c r="A2490" s="46">
        <v>2480</v>
      </c>
      <c r="B2490" s="38" t="s">
        <v>266</v>
      </c>
      <c r="C2490" s="38" t="s">
        <v>509</v>
      </c>
      <c r="D2490" s="38" t="s">
        <v>508</v>
      </c>
      <c r="E2490" s="38" t="s">
        <v>5884</v>
      </c>
      <c r="F2490" s="38" t="s">
        <v>5431</v>
      </c>
      <c r="G2490" s="38" t="s">
        <v>111</v>
      </c>
      <c r="H2490" s="44">
        <v>44106</v>
      </c>
      <c r="I2490" s="44">
        <v>44110</v>
      </c>
      <c r="J2490">
        <v>34.200000000000003</v>
      </c>
      <c r="K2490">
        <v>19.2</v>
      </c>
      <c r="L2490" t="s">
        <v>5885</v>
      </c>
      <c r="M2490" s="45" t="s">
        <v>98</v>
      </c>
      <c r="N2490" s="38" t="s">
        <v>230</v>
      </c>
      <c r="O2490" s="38" t="s">
        <v>472</v>
      </c>
      <c r="P2490" s="38" t="s">
        <v>60</v>
      </c>
      <c r="Q2490" s="38" t="s">
        <v>41</v>
      </c>
      <c r="R2490" s="38" t="s">
        <v>270</v>
      </c>
      <c r="S2490" s="38" t="s">
        <v>5886</v>
      </c>
      <c r="T2490" s="38" t="s">
        <v>5887</v>
      </c>
      <c r="U2490" s="38"/>
      <c r="V2490" s="38"/>
      <c r="W2490" s="38"/>
      <c r="X2490" s="14"/>
      <c r="AN2490" s="7" t="s">
        <v>70</v>
      </c>
      <c r="AO2490" s="21">
        <f t="shared" si="122"/>
        <v>0</v>
      </c>
      <c r="AP2490" s="7">
        <f t="shared" si="123"/>
        <v>19.2</v>
      </c>
      <c r="AQ2490" s="31" t="str">
        <f t="shared" si="124"/>
        <v>Complete - No Adjustment</v>
      </c>
    </row>
    <row r="2491" spans="1:43" x14ac:dyDescent="0.2">
      <c r="A2491" s="46">
        <v>2481</v>
      </c>
      <c r="B2491" s="38" t="s">
        <v>266</v>
      </c>
      <c r="C2491" s="38" t="s">
        <v>509</v>
      </c>
      <c r="D2491" s="38" t="s">
        <v>508</v>
      </c>
      <c r="E2491" s="38" t="s">
        <v>5884</v>
      </c>
      <c r="F2491" s="38" t="s">
        <v>5431</v>
      </c>
      <c r="G2491" s="38" t="s">
        <v>111</v>
      </c>
      <c r="H2491" s="44">
        <v>44106</v>
      </c>
      <c r="I2491" s="44">
        <v>44110</v>
      </c>
      <c r="J2491">
        <v>34.200000000000003</v>
      </c>
      <c r="K2491">
        <v>15</v>
      </c>
      <c r="L2491" t="s">
        <v>5885</v>
      </c>
      <c r="M2491" s="45" t="s">
        <v>98</v>
      </c>
      <c r="N2491" s="38" t="s">
        <v>230</v>
      </c>
      <c r="O2491" s="38" t="s">
        <v>472</v>
      </c>
      <c r="P2491" s="38" t="s">
        <v>60</v>
      </c>
      <c r="Q2491" s="38" t="s">
        <v>41</v>
      </c>
      <c r="R2491" s="38" t="s">
        <v>270</v>
      </c>
      <c r="S2491" s="38" t="s">
        <v>5886</v>
      </c>
      <c r="T2491" s="38" t="s">
        <v>5888</v>
      </c>
      <c r="U2491" s="38"/>
      <c r="V2491" s="38"/>
      <c r="W2491" s="38"/>
      <c r="X2491" s="14"/>
      <c r="AN2491" s="7" t="s">
        <v>70</v>
      </c>
      <c r="AO2491" s="21">
        <f t="shared" si="122"/>
        <v>0</v>
      </c>
      <c r="AP2491" s="7">
        <f t="shared" si="123"/>
        <v>15</v>
      </c>
      <c r="AQ2491" s="31" t="str">
        <f t="shared" si="124"/>
        <v>Complete - No Adjustment</v>
      </c>
    </row>
    <row r="2492" spans="1:43" x14ac:dyDescent="0.2">
      <c r="A2492" s="46">
        <v>2482</v>
      </c>
      <c r="B2492" s="38" t="s">
        <v>266</v>
      </c>
      <c r="C2492" s="38" t="s">
        <v>883</v>
      </c>
      <c r="D2492" s="38" t="s">
        <v>884</v>
      </c>
      <c r="E2492" s="38" t="s">
        <v>5906</v>
      </c>
      <c r="F2492" s="38" t="s">
        <v>5907</v>
      </c>
      <c r="G2492" s="38" t="s">
        <v>111</v>
      </c>
      <c r="H2492" s="44">
        <v>44146</v>
      </c>
      <c r="I2492" s="44">
        <v>44155</v>
      </c>
      <c r="J2492">
        <v>127.29</v>
      </c>
      <c r="K2492">
        <v>127.29</v>
      </c>
      <c r="L2492" t="s">
        <v>5908</v>
      </c>
      <c r="M2492" s="45" t="s">
        <v>98</v>
      </c>
      <c r="N2492" s="38" t="s">
        <v>230</v>
      </c>
      <c r="O2492" s="38" t="s">
        <v>451</v>
      </c>
      <c r="P2492" s="38" t="s">
        <v>60</v>
      </c>
      <c r="Q2492" s="38" t="s">
        <v>62</v>
      </c>
      <c r="R2492" s="38" t="s">
        <v>270</v>
      </c>
      <c r="S2492" s="38" t="s">
        <v>5909</v>
      </c>
      <c r="T2492" s="38" t="s">
        <v>5910</v>
      </c>
      <c r="U2492" s="38"/>
      <c r="V2492"/>
      <c r="W2492"/>
      <c r="X2492" s="14"/>
      <c r="AN2492" s="7" t="s">
        <v>70</v>
      </c>
      <c r="AO2492" s="21">
        <f t="shared" si="122"/>
        <v>0</v>
      </c>
      <c r="AP2492" s="7">
        <f t="shared" si="123"/>
        <v>127.29</v>
      </c>
      <c r="AQ2492" s="31" t="str">
        <f t="shared" si="124"/>
        <v>Complete - No Adjustment</v>
      </c>
    </row>
    <row r="2493" spans="1:43" x14ac:dyDescent="0.2">
      <c r="A2493" s="46">
        <v>2483</v>
      </c>
      <c r="B2493" s="38" t="s">
        <v>266</v>
      </c>
      <c r="C2493" s="38" t="s">
        <v>718</v>
      </c>
      <c r="D2493" s="38" t="s">
        <v>809</v>
      </c>
      <c r="E2493" s="38" t="s">
        <v>5911</v>
      </c>
      <c r="F2493" s="38" t="s">
        <v>5912</v>
      </c>
      <c r="G2493" s="38" t="s">
        <v>111</v>
      </c>
      <c r="H2493" s="44">
        <v>44141</v>
      </c>
      <c r="I2493" s="44">
        <v>44146</v>
      </c>
      <c r="J2493">
        <v>15.27</v>
      </c>
      <c r="K2493">
        <v>15.27</v>
      </c>
      <c r="L2493" t="s">
        <v>5913</v>
      </c>
      <c r="M2493" s="45" t="s">
        <v>98</v>
      </c>
      <c r="N2493" s="38" t="s">
        <v>230</v>
      </c>
      <c r="O2493" s="38" t="s">
        <v>378</v>
      </c>
      <c r="P2493" s="38" t="s">
        <v>60</v>
      </c>
      <c r="Q2493" s="38" t="s">
        <v>41</v>
      </c>
      <c r="R2493" s="38" t="s">
        <v>270</v>
      </c>
      <c r="S2493" s="38" t="s">
        <v>5914</v>
      </c>
      <c r="T2493" s="38" t="s">
        <v>5915</v>
      </c>
      <c r="U2493" s="38"/>
      <c r="V2493"/>
      <c r="W2493"/>
      <c r="X2493" s="14"/>
      <c r="AL2493" s="14">
        <f>15.27</f>
        <v>15.27</v>
      </c>
      <c r="AN2493" s="7" t="s">
        <v>146</v>
      </c>
      <c r="AO2493" s="21">
        <f t="shared" si="122"/>
        <v>15.27</v>
      </c>
      <c r="AP2493" s="7">
        <f t="shared" si="123"/>
        <v>0</v>
      </c>
      <c r="AQ2493" s="31" t="str">
        <f t="shared" si="124"/>
        <v>Complete - With Adjustment</v>
      </c>
    </row>
    <row r="2494" spans="1:43" x14ac:dyDescent="0.2">
      <c r="A2494" s="46">
        <v>2484</v>
      </c>
      <c r="B2494" s="38" t="s">
        <v>266</v>
      </c>
      <c r="C2494" s="38" t="s">
        <v>691</v>
      </c>
      <c r="D2494" s="38" t="s">
        <v>690</v>
      </c>
      <c r="E2494" s="38" t="s">
        <v>5916</v>
      </c>
      <c r="F2494" s="38" t="s">
        <v>5917</v>
      </c>
      <c r="G2494" s="38" t="s">
        <v>111</v>
      </c>
      <c r="H2494" s="44">
        <v>44147</v>
      </c>
      <c r="I2494" s="44">
        <v>44151</v>
      </c>
      <c r="J2494">
        <v>14.3</v>
      </c>
      <c r="K2494">
        <v>14.3</v>
      </c>
      <c r="L2494" t="s">
        <v>5918</v>
      </c>
      <c r="M2494" s="45" t="s">
        <v>98</v>
      </c>
      <c r="N2494" s="38" t="s">
        <v>230</v>
      </c>
      <c r="O2494" s="38" t="s">
        <v>292</v>
      </c>
      <c r="P2494" s="38" t="s">
        <v>60</v>
      </c>
      <c r="Q2494" s="38" t="s">
        <v>41</v>
      </c>
      <c r="R2494" s="38" t="s">
        <v>270</v>
      </c>
      <c r="S2494" s="38" t="s">
        <v>5919</v>
      </c>
      <c r="T2494" s="38" t="s">
        <v>5920</v>
      </c>
      <c r="U2494" s="38"/>
      <c r="V2494"/>
      <c r="W2494"/>
      <c r="X2494" s="14"/>
      <c r="AN2494" s="7" t="s">
        <v>70</v>
      </c>
      <c r="AO2494" s="21">
        <f t="shared" si="122"/>
        <v>0</v>
      </c>
      <c r="AP2494" s="7">
        <f t="shared" si="123"/>
        <v>14.3</v>
      </c>
      <c r="AQ2494" s="31" t="str">
        <f t="shared" si="124"/>
        <v>Complete - No Adjustment</v>
      </c>
    </row>
    <row r="2495" spans="1:43" x14ac:dyDescent="0.2">
      <c r="A2495" s="46">
        <v>2485</v>
      </c>
      <c r="B2495" s="38" t="s">
        <v>266</v>
      </c>
      <c r="C2495" s="38" t="s">
        <v>833</v>
      </c>
      <c r="D2495" s="38" t="s">
        <v>834</v>
      </c>
      <c r="E2495" s="38" t="s">
        <v>5921</v>
      </c>
      <c r="F2495" s="38" t="s">
        <v>5903</v>
      </c>
      <c r="G2495" s="38" t="s">
        <v>111</v>
      </c>
      <c r="H2495" s="44">
        <v>44153</v>
      </c>
      <c r="I2495" s="44">
        <v>44158</v>
      </c>
      <c r="J2495">
        <v>14.64</v>
      </c>
      <c r="K2495">
        <v>14.64</v>
      </c>
      <c r="L2495" t="s">
        <v>5922</v>
      </c>
      <c r="M2495" s="45" t="s">
        <v>98</v>
      </c>
      <c r="N2495" s="38" t="s">
        <v>230</v>
      </c>
      <c r="O2495" s="38" t="s">
        <v>323</v>
      </c>
      <c r="P2495" s="38" t="s">
        <v>60</v>
      </c>
      <c r="Q2495" s="38" t="s">
        <v>41</v>
      </c>
      <c r="R2495" s="38" t="s">
        <v>270</v>
      </c>
      <c r="S2495" s="38" t="s">
        <v>5923</v>
      </c>
      <c r="T2495" s="38" t="s">
        <v>5924</v>
      </c>
      <c r="U2495" s="38"/>
      <c r="V2495"/>
      <c r="W2495"/>
      <c r="X2495" s="14"/>
      <c r="AN2495" s="7" t="s">
        <v>70</v>
      </c>
      <c r="AO2495" s="21">
        <f t="shared" si="122"/>
        <v>0</v>
      </c>
      <c r="AP2495" s="7">
        <f t="shared" si="123"/>
        <v>14.64</v>
      </c>
      <c r="AQ2495" s="31" t="str">
        <f t="shared" si="124"/>
        <v>Complete - No Adjustment</v>
      </c>
    </row>
    <row r="2496" spans="1:43" x14ac:dyDescent="0.2">
      <c r="A2496" s="46">
        <v>2486</v>
      </c>
      <c r="B2496" s="38" t="s">
        <v>266</v>
      </c>
      <c r="C2496" s="38" t="s">
        <v>833</v>
      </c>
      <c r="D2496" s="38" t="s">
        <v>834</v>
      </c>
      <c r="E2496" s="38" t="s">
        <v>5925</v>
      </c>
      <c r="F2496" s="38" t="s">
        <v>5903</v>
      </c>
      <c r="G2496" s="38" t="s">
        <v>111</v>
      </c>
      <c r="H2496" s="44">
        <v>44153</v>
      </c>
      <c r="I2496" s="44">
        <v>44158</v>
      </c>
      <c r="J2496">
        <v>15.19</v>
      </c>
      <c r="K2496">
        <v>15.19</v>
      </c>
      <c r="L2496" t="s">
        <v>5926</v>
      </c>
      <c r="M2496" s="45" t="s">
        <v>98</v>
      </c>
      <c r="N2496" s="38" t="s">
        <v>230</v>
      </c>
      <c r="O2496" s="38" t="s">
        <v>323</v>
      </c>
      <c r="P2496" s="38" t="s">
        <v>60</v>
      </c>
      <c r="Q2496" s="38" t="s">
        <v>41</v>
      </c>
      <c r="R2496" s="38" t="s">
        <v>270</v>
      </c>
      <c r="S2496" s="38" t="s">
        <v>5927</v>
      </c>
      <c r="T2496" s="38" t="s">
        <v>5928</v>
      </c>
      <c r="U2496" s="38"/>
      <c r="V2496"/>
      <c r="W2496"/>
      <c r="X2496" s="14"/>
      <c r="AN2496" s="7" t="s">
        <v>70</v>
      </c>
      <c r="AO2496" s="21">
        <f t="shared" si="122"/>
        <v>0</v>
      </c>
      <c r="AP2496" s="7">
        <f t="shared" si="123"/>
        <v>15.19</v>
      </c>
      <c r="AQ2496" s="31" t="str">
        <f t="shared" si="124"/>
        <v>Complete - No Adjustment</v>
      </c>
    </row>
    <row r="2497" spans="1:43" x14ac:dyDescent="0.2">
      <c r="A2497" s="46">
        <v>2487</v>
      </c>
      <c r="B2497" s="38" t="s">
        <v>266</v>
      </c>
      <c r="C2497" s="38" t="s">
        <v>833</v>
      </c>
      <c r="D2497" s="38" t="s">
        <v>834</v>
      </c>
      <c r="E2497" s="38" t="s">
        <v>5929</v>
      </c>
      <c r="F2497" s="38" t="s">
        <v>5930</v>
      </c>
      <c r="G2497" s="38" t="s">
        <v>111</v>
      </c>
      <c r="H2497" s="44">
        <v>44138</v>
      </c>
      <c r="I2497" s="44">
        <v>44140</v>
      </c>
      <c r="J2497">
        <v>105</v>
      </c>
      <c r="K2497">
        <v>105</v>
      </c>
      <c r="L2497" t="s">
        <v>5931</v>
      </c>
      <c r="M2497" s="45" t="s">
        <v>98</v>
      </c>
      <c r="N2497" s="38" t="s">
        <v>230</v>
      </c>
      <c r="O2497" s="38" t="s">
        <v>323</v>
      </c>
      <c r="P2497" s="38" t="s">
        <v>60</v>
      </c>
      <c r="Q2497" s="38" t="s">
        <v>59</v>
      </c>
      <c r="R2497" s="38" t="s">
        <v>270</v>
      </c>
      <c r="S2497" s="38" t="s">
        <v>5932</v>
      </c>
      <c r="T2497" s="38" t="s">
        <v>5933</v>
      </c>
      <c r="U2497" s="38"/>
      <c r="V2497"/>
      <c r="W2497"/>
      <c r="X2497" s="14"/>
      <c r="AN2497" s="7" t="s">
        <v>70</v>
      </c>
      <c r="AO2497" s="21">
        <f t="shared" si="122"/>
        <v>0</v>
      </c>
      <c r="AP2497" s="7">
        <f t="shared" si="123"/>
        <v>105</v>
      </c>
      <c r="AQ2497" s="31" t="str">
        <f t="shared" si="124"/>
        <v>Complete - No Adjustment</v>
      </c>
    </row>
    <row r="2498" spans="1:43" x14ac:dyDescent="0.2">
      <c r="A2498" s="46">
        <v>2488</v>
      </c>
      <c r="B2498" s="38" t="s">
        <v>266</v>
      </c>
      <c r="C2498" s="38" t="s">
        <v>833</v>
      </c>
      <c r="D2498" s="38" t="s">
        <v>834</v>
      </c>
      <c r="E2498" s="38" t="s">
        <v>5934</v>
      </c>
      <c r="F2498" s="38" t="s">
        <v>5903</v>
      </c>
      <c r="G2498" s="38" t="s">
        <v>111</v>
      </c>
      <c r="H2498" s="44">
        <v>44152</v>
      </c>
      <c r="I2498" s="44">
        <v>44158</v>
      </c>
      <c r="J2498">
        <v>450</v>
      </c>
      <c r="K2498">
        <v>450</v>
      </c>
      <c r="L2498" t="s">
        <v>5935</v>
      </c>
      <c r="M2498" s="45" t="s">
        <v>98</v>
      </c>
      <c r="N2498" s="38" t="s">
        <v>230</v>
      </c>
      <c r="O2498" s="38" t="s">
        <v>323</v>
      </c>
      <c r="P2498" s="38" t="s">
        <v>60</v>
      </c>
      <c r="Q2498" s="38" t="s">
        <v>48</v>
      </c>
      <c r="R2498" s="38" t="s">
        <v>270</v>
      </c>
      <c r="S2498" s="38" t="s">
        <v>5936</v>
      </c>
      <c r="T2498" s="38" t="s">
        <v>5937</v>
      </c>
      <c r="U2498" s="38"/>
      <c r="V2498"/>
      <c r="W2498"/>
      <c r="X2498" s="14"/>
      <c r="AN2498" s="7" t="s">
        <v>70</v>
      </c>
      <c r="AO2498" s="21">
        <f t="shared" si="122"/>
        <v>0</v>
      </c>
      <c r="AP2498" s="7">
        <f t="shared" si="123"/>
        <v>450</v>
      </c>
      <c r="AQ2498" s="31" t="str">
        <f t="shared" si="124"/>
        <v>Complete - No Adjustment</v>
      </c>
    </row>
    <row r="2499" spans="1:43" x14ac:dyDescent="0.2">
      <c r="A2499" s="46">
        <v>2489</v>
      </c>
      <c r="B2499" s="38" t="s">
        <v>266</v>
      </c>
      <c r="C2499" s="38" t="s">
        <v>796</v>
      </c>
      <c r="D2499" s="38" t="s">
        <v>819</v>
      </c>
      <c r="E2499" s="38" t="s">
        <v>5938</v>
      </c>
      <c r="F2499" s="38" t="s">
        <v>5939</v>
      </c>
      <c r="G2499" s="38" t="s">
        <v>111</v>
      </c>
      <c r="H2499" s="44">
        <v>44148</v>
      </c>
      <c r="I2499" s="44">
        <v>44153</v>
      </c>
      <c r="J2499">
        <v>30</v>
      </c>
      <c r="K2499">
        <v>15</v>
      </c>
      <c r="L2499" t="s">
        <v>5940</v>
      </c>
      <c r="M2499" s="45" t="s">
        <v>98</v>
      </c>
      <c r="N2499" s="38" t="s">
        <v>230</v>
      </c>
      <c r="O2499" s="38" t="s">
        <v>791</v>
      </c>
      <c r="P2499" s="38" t="s">
        <v>60</v>
      </c>
      <c r="Q2499" s="38" t="s">
        <v>41</v>
      </c>
      <c r="R2499" s="38" t="s">
        <v>270</v>
      </c>
      <c r="S2499" s="38" t="s">
        <v>5941</v>
      </c>
      <c r="T2499" s="38" t="s">
        <v>5942</v>
      </c>
      <c r="U2499" s="38"/>
      <c r="V2499"/>
      <c r="W2499"/>
      <c r="X2499" s="14"/>
      <c r="AI2499" s="53">
        <f>15</f>
        <v>15</v>
      </c>
      <c r="AN2499" s="7" t="s">
        <v>145</v>
      </c>
      <c r="AO2499" s="21">
        <f t="shared" si="122"/>
        <v>15</v>
      </c>
      <c r="AP2499" s="7">
        <f t="shared" si="123"/>
        <v>0</v>
      </c>
      <c r="AQ2499" s="31" t="str">
        <f t="shared" si="124"/>
        <v>Complete - With Adjustment</v>
      </c>
    </row>
    <row r="2500" spans="1:43" x14ac:dyDescent="0.2">
      <c r="A2500" s="46">
        <v>2490</v>
      </c>
      <c r="B2500" s="38" t="s">
        <v>266</v>
      </c>
      <c r="C2500" s="38" t="s">
        <v>740</v>
      </c>
      <c r="D2500" s="38" t="s">
        <v>739</v>
      </c>
      <c r="E2500" s="38" t="s">
        <v>5943</v>
      </c>
      <c r="F2500" s="38" t="s">
        <v>5944</v>
      </c>
      <c r="G2500" s="38" t="s">
        <v>111</v>
      </c>
      <c r="H2500" s="44">
        <v>44125</v>
      </c>
      <c r="I2500" s="44">
        <v>44145</v>
      </c>
      <c r="J2500">
        <v>135.76</v>
      </c>
      <c r="K2500">
        <v>10</v>
      </c>
      <c r="L2500" t="s">
        <v>5945</v>
      </c>
      <c r="M2500" s="45" t="s">
        <v>97</v>
      </c>
      <c r="N2500" s="38" t="s">
        <v>230</v>
      </c>
      <c r="O2500" s="38" t="s">
        <v>365</v>
      </c>
      <c r="P2500" s="38" t="s">
        <v>42</v>
      </c>
      <c r="Q2500" s="38" t="s">
        <v>55</v>
      </c>
      <c r="R2500" s="38" t="s">
        <v>270</v>
      </c>
      <c r="S2500" s="38" t="s">
        <v>5946</v>
      </c>
      <c r="T2500" s="38" t="s">
        <v>5947</v>
      </c>
      <c r="U2500" s="38"/>
      <c r="V2500"/>
      <c r="W2500"/>
      <c r="X2500" s="14"/>
      <c r="AI2500" s="53">
        <f>10</f>
        <v>10</v>
      </c>
      <c r="AN2500" s="7" t="s">
        <v>145</v>
      </c>
      <c r="AO2500" s="21">
        <f t="shared" si="122"/>
        <v>10</v>
      </c>
      <c r="AP2500" s="7">
        <f t="shared" si="123"/>
        <v>0</v>
      </c>
      <c r="AQ2500" s="31" t="str">
        <f t="shared" si="124"/>
        <v>Complete - With Adjustment</v>
      </c>
    </row>
    <row r="2501" spans="1:43" x14ac:dyDescent="0.2">
      <c r="A2501" s="46">
        <v>2491</v>
      </c>
      <c r="B2501" s="38" t="s">
        <v>266</v>
      </c>
      <c r="C2501" s="38" t="s">
        <v>740</v>
      </c>
      <c r="D2501" s="38" t="s">
        <v>739</v>
      </c>
      <c r="E2501" s="38" t="s">
        <v>5943</v>
      </c>
      <c r="F2501" s="38" t="s">
        <v>5944</v>
      </c>
      <c r="G2501" s="38" t="s">
        <v>111</v>
      </c>
      <c r="H2501" s="44">
        <v>44125</v>
      </c>
      <c r="I2501" s="44">
        <v>44145</v>
      </c>
      <c r="J2501">
        <v>135.76</v>
      </c>
      <c r="K2501">
        <v>30</v>
      </c>
      <c r="L2501" t="s">
        <v>5945</v>
      </c>
      <c r="M2501" s="45" t="s">
        <v>97</v>
      </c>
      <c r="N2501" s="38" t="s">
        <v>230</v>
      </c>
      <c r="O2501" s="38" t="s">
        <v>365</v>
      </c>
      <c r="P2501" s="38" t="s">
        <v>42</v>
      </c>
      <c r="Q2501" s="38" t="s">
        <v>55</v>
      </c>
      <c r="R2501" s="38" t="s">
        <v>270</v>
      </c>
      <c r="S2501" s="38" t="s">
        <v>5946</v>
      </c>
      <c r="T2501" s="38" t="s">
        <v>5947</v>
      </c>
      <c r="U2501" s="38"/>
      <c r="V2501"/>
      <c r="W2501"/>
      <c r="X2501" s="14"/>
      <c r="AI2501" s="53">
        <f>30</f>
        <v>30</v>
      </c>
      <c r="AN2501" s="7" t="s">
        <v>145</v>
      </c>
      <c r="AO2501" s="21">
        <f t="shared" si="122"/>
        <v>30</v>
      </c>
      <c r="AP2501" s="7">
        <f t="shared" si="123"/>
        <v>0</v>
      </c>
      <c r="AQ2501" s="31" t="str">
        <f t="shared" si="124"/>
        <v>Complete - With Adjustment</v>
      </c>
    </row>
    <row r="2502" spans="1:43" x14ac:dyDescent="0.2">
      <c r="A2502" s="46">
        <v>2492</v>
      </c>
      <c r="B2502" s="38" t="s">
        <v>266</v>
      </c>
      <c r="C2502" s="38" t="s">
        <v>740</v>
      </c>
      <c r="D2502" s="38" t="s">
        <v>739</v>
      </c>
      <c r="E2502" s="38" t="s">
        <v>5943</v>
      </c>
      <c r="F2502" s="38" t="s">
        <v>5944</v>
      </c>
      <c r="G2502" s="38" t="s">
        <v>111</v>
      </c>
      <c r="H2502" s="44">
        <v>44125</v>
      </c>
      <c r="I2502" s="44">
        <v>44145</v>
      </c>
      <c r="J2502">
        <v>135.76</v>
      </c>
      <c r="K2502">
        <v>20</v>
      </c>
      <c r="L2502" t="s">
        <v>5945</v>
      </c>
      <c r="M2502" s="45" t="s">
        <v>97</v>
      </c>
      <c r="N2502" s="38" t="s">
        <v>230</v>
      </c>
      <c r="O2502" s="38" t="s">
        <v>365</v>
      </c>
      <c r="P2502" s="38" t="s">
        <v>42</v>
      </c>
      <c r="Q2502" s="38" t="s">
        <v>55</v>
      </c>
      <c r="R2502" s="38" t="s">
        <v>270</v>
      </c>
      <c r="S2502" s="38" t="s">
        <v>5946</v>
      </c>
      <c r="T2502" s="38" t="s">
        <v>5947</v>
      </c>
      <c r="U2502" s="38"/>
      <c r="V2502"/>
      <c r="W2502"/>
      <c r="X2502" s="14"/>
      <c r="AI2502" s="53">
        <f>20</f>
        <v>20</v>
      </c>
      <c r="AN2502" s="7" t="s">
        <v>145</v>
      </c>
      <c r="AO2502" s="21">
        <f t="shared" ref="AO2502:AO2565" si="125">SUM(Y2502:AL2502)</f>
        <v>20</v>
      </c>
      <c r="AP2502" s="7">
        <f t="shared" ref="AP2502:AP2565" si="126">K2502-AO2502</f>
        <v>0</v>
      </c>
      <c r="AQ2502" s="31" t="str">
        <f t="shared" ref="AQ2502:AQ2565" si="127">IF(AO2502&lt;&gt;0,"Complete - With Adjustment","Complete - No Adjustment")</f>
        <v>Complete - With Adjustment</v>
      </c>
    </row>
    <row r="2503" spans="1:43" x14ac:dyDescent="0.2">
      <c r="A2503" s="46">
        <v>2493</v>
      </c>
      <c r="B2503" s="38" t="s">
        <v>266</v>
      </c>
      <c r="C2503" s="38" t="s">
        <v>740</v>
      </c>
      <c r="D2503" s="38" t="s">
        <v>739</v>
      </c>
      <c r="E2503" s="38" t="s">
        <v>5943</v>
      </c>
      <c r="F2503" s="38" t="s">
        <v>5944</v>
      </c>
      <c r="G2503" s="38" t="s">
        <v>111</v>
      </c>
      <c r="H2503" s="44">
        <v>44125</v>
      </c>
      <c r="I2503" s="44">
        <v>44145</v>
      </c>
      <c r="J2503">
        <v>135.76</v>
      </c>
      <c r="K2503">
        <v>75.760000000000005</v>
      </c>
      <c r="L2503" t="s">
        <v>5945</v>
      </c>
      <c r="M2503" s="45" t="s">
        <v>98</v>
      </c>
      <c r="N2503" s="38" t="s">
        <v>230</v>
      </c>
      <c r="O2503" s="38" t="s">
        <v>365</v>
      </c>
      <c r="P2503" s="38" t="s">
        <v>60</v>
      </c>
      <c r="Q2503" s="38" t="s">
        <v>104</v>
      </c>
      <c r="R2503" s="38" t="s">
        <v>270</v>
      </c>
      <c r="S2503" s="38" t="s">
        <v>5946</v>
      </c>
      <c r="T2503" s="38" t="s">
        <v>5948</v>
      </c>
      <c r="U2503" s="38"/>
      <c r="V2503"/>
      <c r="W2503"/>
      <c r="X2503" s="14"/>
      <c r="AN2503" s="7" t="s">
        <v>155</v>
      </c>
      <c r="AO2503" s="21">
        <f t="shared" si="125"/>
        <v>0</v>
      </c>
      <c r="AP2503" s="7">
        <f t="shared" si="126"/>
        <v>75.760000000000005</v>
      </c>
      <c r="AQ2503" s="31" t="str">
        <f t="shared" si="127"/>
        <v>Complete - No Adjustment</v>
      </c>
    </row>
    <row r="2504" spans="1:43" x14ac:dyDescent="0.2">
      <c r="A2504" s="46">
        <v>2494</v>
      </c>
      <c r="B2504" s="38" t="s">
        <v>266</v>
      </c>
      <c r="C2504" s="38" t="s">
        <v>291</v>
      </c>
      <c r="D2504" s="38" t="s">
        <v>290</v>
      </c>
      <c r="E2504" s="38" t="s">
        <v>5949</v>
      </c>
      <c r="F2504" s="38" t="s">
        <v>5917</v>
      </c>
      <c r="G2504" s="38" t="s">
        <v>111</v>
      </c>
      <c r="H2504" s="44">
        <v>44102</v>
      </c>
      <c r="I2504" s="44">
        <v>44151</v>
      </c>
      <c r="J2504">
        <v>388.74</v>
      </c>
      <c r="K2504">
        <v>375</v>
      </c>
      <c r="L2504" t="s">
        <v>5950</v>
      </c>
      <c r="M2504" s="45" t="s">
        <v>98</v>
      </c>
      <c r="N2504" s="38" t="s">
        <v>230</v>
      </c>
      <c r="O2504" s="38" t="s">
        <v>292</v>
      </c>
      <c r="P2504" s="38" t="s">
        <v>60</v>
      </c>
      <c r="Q2504" s="38" t="s">
        <v>123</v>
      </c>
      <c r="R2504" s="38" t="s">
        <v>270</v>
      </c>
      <c r="S2504" s="38" t="s">
        <v>5951</v>
      </c>
      <c r="T2504" s="38" t="s">
        <v>5952</v>
      </c>
      <c r="U2504" s="38"/>
      <c r="V2504"/>
      <c r="W2504"/>
      <c r="X2504" s="14"/>
      <c r="AN2504" s="7" t="s">
        <v>70</v>
      </c>
      <c r="AO2504" s="21">
        <f t="shared" si="125"/>
        <v>0</v>
      </c>
      <c r="AP2504" s="7">
        <f t="shared" si="126"/>
        <v>375</v>
      </c>
      <c r="AQ2504" s="31" t="str">
        <f t="shared" si="127"/>
        <v>Complete - No Adjustment</v>
      </c>
    </row>
    <row r="2505" spans="1:43" x14ac:dyDescent="0.2">
      <c r="A2505" s="46">
        <v>2495</v>
      </c>
      <c r="B2505" s="38" t="s">
        <v>266</v>
      </c>
      <c r="C2505" s="38" t="s">
        <v>291</v>
      </c>
      <c r="D2505" s="38" t="s">
        <v>290</v>
      </c>
      <c r="E2505" s="38" t="s">
        <v>5949</v>
      </c>
      <c r="F2505" s="38" t="s">
        <v>5917</v>
      </c>
      <c r="G2505" s="38" t="s">
        <v>111</v>
      </c>
      <c r="H2505" s="44">
        <v>44102</v>
      </c>
      <c r="I2505" s="44">
        <v>44151</v>
      </c>
      <c r="J2505">
        <v>388.74</v>
      </c>
      <c r="K2505">
        <v>13.74</v>
      </c>
      <c r="L2505" t="s">
        <v>5950</v>
      </c>
      <c r="M2505" s="45" t="s">
        <v>98</v>
      </c>
      <c r="N2505" s="38" t="s">
        <v>230</v>
      </c>
      <c r="O2505" s="38" t="s">
        <v>292</v>
      </c>
      <c r="P2505" s="38" t="s">
        <v>60</v>
      </c>
      <c r="Q2505" s="38" t="s">
        <v>41</v>
      </c>
      <c r="R2505" s="38" t="s">
        <v>270</v>
      </c>
      <c r="S2505" s="38" t="s">
        <v>5951</v>
      </c>
      <c r="T2505" s="38" t="s">
        <v>5953</v>
      </c>
      <c r="U2505" s="38"/>
      <c r="V2505"/>
      <c r="W2505"/>
      <c r="X2505" s="14"/>
      <c r="AN2505" s="7" t="s">
        <v>70</v>
      </c>
      <c r="AO2505" s="21">
        <f t="shared" si="125"/>
        <v>0</v>
      </c>
      <c r="AP2505" s="7">
        <f t="shared" si="126"/>
        <v>13.74</v>
      </c>
      <c r="AQ2505" s="31" t="str">
        <f t="shared" si="127"/>
        <v>Complete - No Adjustment</v>
      </c>
    </row>
    <row r="2506" spans="1:43" x14ac:dyDescent="0.2">
      <c r="A2506" s="46">
        <v>2496</v>
      </c>
      <c r="B2506" s="38" t="s">
        <v>266</v>
      </c>
      <c r="C2506" s="38" t="s">
        <v>4318</v>
      </c>
      <c r="D2506" s="38" t="s">
        <v>4319</v>
      </c>
      <c r="E2506" s="38" t="s">
        <v>5954</v>
      </c>
      <c r="F2506" s="38" t="s">
        <v>5939</v>
      </c>
      <c r="G2506" s="38" t="s">
        <v>111</v>
      </c>
      <c r="H2506" s="44">
        <v>44151</v>
      </c>
      <c r="I2506" s="44">
        <v>44153</v>
      </c>
      <c r="J2506">
        <v>14.98</v>
      </c>
      <c r="K2506">
        <v>14.98</v>
      </c>
      <c r="L2506" t="s">
        <v>5955</v>
      </c>
      <c r="M2506" s="45" t="s">
        <v>98</v>
      </c>
      <c r="N2506" s="38" t="s">
        <v>230</v>
      </c>
      <c r="O2506" s="38" t="s">
        <v>444</v>
      </c>
      <c r="P2506" s="38" t="s">
        <v>60</v>
      </c>
      <c r="Q2506" s="38" t="s">
        <v>41</v>
      </c>
      <c r="R2506" s="38" t="s">
        <v>270</v>
      </c>
      <c r="S2506" s="38" t="s">
        <v>5956</v>
      </c>
      <c r="T2506" s="38" t="s">
        <v>5957</v>
      </c>
      <c r="U2506" s="38"/>
      <c r="V2506"/>
      <c r="W2506"/>
      <c r="X2506" s="14"/>
      <c r="AI2506" s="53">
        <f>14.98</f>
        <v>14.98</v>
      </c>
      <c r="AN2506" s="7" t="s">
        <v>145</v>
      </c>
      <c r="AO2506" s="21">
        <f t="shared" si="125"/>
        <v>14.98</v>
      </c>
      <c r="AP2506" s="7">
        <f t="shared" si="126"/>
        <v>0</v>
      </c>
      <c r="AQ2506" s="31" t="str">
        <f t="shared" si="127"/>
        <v>Complete - With Adjustment</v>
      </c>
    </row>
    <row r="2507" spans="1:43" x14ac:dyDescent="0.2">
      <c r="A2507" s="46">
        <v>2497</v>
      </c>
      <c r="B2507" s="38" t="s">
        <v>266</v>
      </c>
      <c r="C2507" s="38" t="s">
        <v>583</v>
      </c>
      <c r="D2507" s="38" t="s">
        <v>582</v>
      </c>
      <c r="E2507" s="38" t="s">
        <v>5958</v>
      </c>
      <c r="F2507" s="38" t="s">
        <v>5959</v>
      </c>
      <c r="G2507" s="38" t="s">
        <v>111</v>
      </c>
      <c r="H2507" s="44">
        <v>44147</v>
      </c>
      <c r="I2507" s="44">
        <v>44154</v>
      </c>
      <c r="J2507">
        <v>15</v>
      </c>
      <c r="K2507">
        <v>15</v>
      </c>
      <c r="L2507" t="s">
        <v>5960</v>
      </c>
      <c r="M2507" s="45" t="s">
        <v>98</v>
      </c>
      <c r="N2507" s="38" t="s">
        <v>230</v>
      </c>
      <c r="O2507" s="38" t="s">
        <v>292</v>
      </c>
      <c r="P2507" s="38" t="s">
        <v>60</v>
      </c>
      <c r="Q2507" s="38" t="s">
        <v>46</v>
      </c>
      <c r="R2507" s="38" t="s">
        <v>270</v>
      </c>
      <c r="S2507" s="38" t="s">
        <v>5961</v>
      </c>
      <c r="T2507" s="38" t="s">
        <v>5962</v>
      </c>
      <c r="U2507" s="38"/>
      <c r="V2507"/>
      <c r="W2507"/>
      <c r="X2507" s="14"/>
      <c r="AI2507" s="53">
        <f>15</f>
        <v>15</v>
      </c>
      <c r="AN2507" s="7" t="s">
        <v>145</v>
      </c>
      <c r="AO2507" s="21">
        <f t="shared" si="125"/>
        <v>15</v>
      </c>
      <c r="AP2507" s="7">
        <f t="shared" si="126"/>
        <v>0</v>
      </c>
      <c r="AQ2507" s="31" t="str">
        <f t="shared" si="127"/>
        <v>Complete - With Adjustment</v>
      </c>
    </row>
    <row r="2508" spans="1:43" x14ac:dyDescent="0.2">
      <c r="A2508" s="46">
        <v>2498</v>
      </c>
      <c r="B2508" s="38" t="s">
        <v>266</v>
      </c>
      <c r="C2508" s="38" t="s">
        <v>587</v>
      </c>
      <c r="D2508" s="38" t="s">
        <v>586</v>
      </c>
      <c r="E2508" s="38" t="s">
        <v>5963</v>
      </c>
      <c r="F2508" s="38" t="s">
        <v>5912</v>
      </c>
      <c r="G2508" s="38" t="s">
        <v>111</v>
      </c>
      <c r="H2508" s="44">
        <v>44140</v>
      </c>
      <c r="I2508" s="44">
        <v>44146</v>
      </c>
      <c r="J2508">
        <v>70.39</v>
      </c>
      <c r="K2508">
        <v>70.39</v>
      </c>
      <c r="L2508" t="s">
        <v>5964</v>
      </c>
      <c r="M2508" s="45" t="s">
        <v>98</v>
      </c>
      <c r="N2508" s="38" t="s">
        <v>230</v>
      </c>
      <c r="O2508" s="38" t="s">
        <v>277</v>
      </c>
      <c r="P2508" s="38" t="s">
        <v>60</v>
      </c>
      <c r="Q2508" s="38" t="s">
        <v>62</v>
      </c>
      <c r="R2508" s="38" t="s">
        <v>270</v>
      </c>
      <c r="S2508" s="38" t="s">
        <v>5965</v>
      </c>
      <c r="T2508" s="38" t="s">
        <v>5966</v>
      </c>
      <c r="U2508" s="38"/>
      <c r="V2508"/>
      <c r="W2508"/>
      <c r="X2508" s="14"/>
      <c r="AN2508" s="7" t="s">
        <v>155</v>
      </c>
      <c r="AO2508" s="21">
        <f t="shared" si="125"/>
        <v>0</v>
      </c>
      <c r="AP2508" s="7">
        <f t="shared" si="126"/>
        <v>70.39</v>
      </c>
      <c r="AQ2508" s="31" t="str">
        <f t="shared" si="127"/>
        <v>Complete - No Adjustment</v>
      </c>
    </row>
    <row r="2509" spans="1:43" x14ac:dyDescent="0.2">
      <c r="A2509" s="46">
        <v>2499</v>
      </c>
      <c r="B2509" s="38" t="s">
        <v>266</v>
      </c>
      <c r="C2509" s="38" t="s">
        <v>587</v>
      </c>
      <c r="D2509" s="38" t="s">
        <v>586</v>
      </c>
      <c r="E2509" s="38" t="s">
        <v>5967</v>
      </c>
      <c r="F2509" s="38" t="s">
        <v>5968</v>
      </c>
      <c r="G2509" s="38" t="s">
        <v>111</v>
      </c>
      <c r="H2509" s="44">
        <v>44137</v>
      </c>
      <c r="I2509" s="44">
        <v>44139</v>
      </c>
      <c r="J2509">
        <v>95.08</v>
      </c>
      <c r="K2509">
        <v>95.08</v>
      </c>
      <c r="L2509" t="s">
        <v>5969</v>
      </c>
      <c r="M2509" s="45" t="s">
        <v>98</v>
      </c>
      <c r="N2509" s="38" t="s">
        <v>230</v>
      </c>
      <c r="O2509" s="38" t="s">
        <v>277</v>
      </c>
      <c r="P2509" s="38" t="s">
        <v>60</v>
      </c>
      <c r="Q2509" s="38" t="s">
        <v>62</v>
      </c>
      <c r="R2509" s="38" t="s">
        <v>270</v>
      </c>
      <c r="S2509" s="38" t="s">
        <v>5970</v>
      </c>
      <c r="T2509" s="38" t="s">
        <v>5971</v>
      </c>
      <c r="U2509" s="38"/>
      <c r="V2509"/>
      <c r="W2509"/>
      <c r="X2509" s="14"/>
      <c r="AN2509" s="7" t="s">
        <v>155</v>
      </c>
      <c r="AO2509" s="21">
        <f t="shared" si="125"/>
        <v>0</v>
      </c>
      <c r="AP2509" s="7">
        <f t="shared" si="126"/>
        <v>95.08</v>
      </c>
      <c r="AQ2509" s="31" t="str">
        <f t="shared" si="127"/>
        <v>Complete - No Adjustment</v>
      </c>
    </row>
    <row r="2510" spans="1:43" x14ac:dyDescent="0.2">
      <c r="A2510" s="46">
        <v>2500</v>
      </c>
      <c r="B2510" s="38" t="s">
        <v>266</v>
      </c>
      <c r="C2510" s="38" t="s">
        <v>589</v>
      </c>
      <c r="D2510" s="38" t="s">
        <v>588</v>
      </c>
      <c r="E2510" s="38" t="s">
        <v>5972</v>
      </c>
      <c r="F2510" s="38" t="s">
        <v>5917</v>
      </c>
      <c r="G2510" s="38" t="s">
        <v>111</v>
      </c>
      <c r="H2510" s="44">
        <v>44147</v>
      </c>
      <c r="I2510" s="44">
        <v>44151</v>
      </c>
      <c r="J2510">
        <v>44.8</v>
      </c>
      <c r="K2510">
        <v>25</v>
      </c>
      <c r="L2510" t="s">
        <v>5973</v>
      </c>
      <c r="M2510" s="45" t="s">
        <v>98</v>
      </c>
      <c r="N2510" s="38" t="s">
        <v>230</v>
      </c>
      <c r="O2510" s="38" t="s">
        <v>271</v>
      </c>
      <c r="P2510" s="38" t="s">
        <v>60</v>
      </c>
      <c r="Q2510" s="38" t="s">
        <v>48</v>
      </c>
      <c r="R2510" s="38" t="s">
        <v>270</v>
      </c>
      <c r="S2510" s="38" t="s">
        <v>5974</v>
      </c>
      <c r="T2510" s="38" t="s">
        <v>5975</v>
      </c>
      <c r="U2510" s="38"/>
      <c r="V2510"/>
      <c r="W2510"/>
      <c r="X2510" s="14"/>
      <c r="AL2510" s="14">
        <f>25</f>
        <v>25</v>
      </c>
      <c r="AN2510" s="7" t="s">
        <v>146</v>
      </c>
      <c r="AO2510" s="21">
        <f t="shared" si="125"/>
        <v>25</v>
      </c>
      <c r="AP2510" s="7">
        <f t="shared" si="126"/>
        <v>0</v>
      </c>
      <c r="AQ2510" s="31" t="str">
        <f t="shared" si="127"/>
        <v>Complete - With Adjustment</v>
      </c>
    </row>
    <row r="2511" spans="1:43" x14ac:dyDescent="0.2">
      <c r="A2511" s="46">
        <v>2501</v>
      </c>
      <c r="B2511" s="38" t="s">
        <v>266</v>
      </c>
      <c r="C2511" s="38" t="s">
        <v>589</v>
      </c>
      <c r="D2511" s="38" t="s">
        <v>588</v>
      </c>
      <c r="E2511" s="38" t="s">
        <v>5972</v>
      </c>
      <c r="F2511" s="38" t="s">
        <v>5917</v>
      </c>
      <c r="G2511" s="38" t="s">
        <v>111</v>
      </c>
      <c r="H2511" s="44">
        <v>44147</v>
      </c>
      <c r="I2511" s="44">
        <v>44151</v>
      </c>
      <c r="J2511">
        <v>44.8</v>
      </c>
      <c r="K2511">
        <v>19.8</v>
      </c>
      <c r="L2511" t="s">
        <v>5973</v>
      </c>
      <c r="M2511" s="45" t="s">
        <v>98</v>
      </c>
      <c r="N2511" s="38" t="s">
        <v>230</v>
      </c>
      <c r="O2511" s="38" t="s">
        <v>271</v>
      </c>
      <c r="P2511" s="38" t="s">
        <v>60</v>
      </c>
      <c r="Q2511" s="38" t="s">
        <v>41</v>
      </c>
      <c r="R2511" s="38" t="s">
        <v>270</v>
      </c>
      <c r="S2511" s="38" t="s">
        <v>5974</v>
      </c>
      <c r="T2511" s="38" t="s">
        <v>5976</v>
      </c>
      <c r="U2511" s="38"/>
      <c r="V2511"/>
      <c r="W2511"/>
      <c r="X2511" s="14"/>
      <c r="AI2511" s="53">
        <f>19.8</f>
        <v>19.8</v>
      </c>
      <c r="AN2511" s="7" t="s">
        <v>145</v>
      </c>
      <c r="AO2511" s="21">
        <f t="shared" si="125"/>
        <v>19.8</v>
      </c>
      <c r="AP2511" s="7">
        <f t="shared" si="126"/>
        <v>0</v>
      </c>
      <c r="AQ2511" s="31" t="str">
        <f t="shared" si="127"/>
        <v>Complete - With Adjustment</v>
      </c>
    </row>
    <row r="2512" spans="1:43" x14ac:dyDescent="0.2">
      <c r="A2512" s="46">
        <v>2502</v>
      </c>
      <c r="B2512" s="38" t="s">
        <v>266</v>
      </c>
      <c r="C2512" s="38" t="s">
        <v>721</v>
      </c>
      <c r="D2512" s="38" t="s">
        <v>797</v>
      </c>
      <c r="E2512" s="38" t="s">
        <v>5977</v>
      </c>
      <c r="F2512" s="38" t="s">
        <v>5903</v>
      </c>
      <c r="G2512" s="38" t="s">
        <v>111</v>
      </c>
      <c r="H2512" s="44">
        <v>44155</v>
      </c>
      <c r="I2512" s="44">
        <v>44158</v>
      </c>
      <c r="J2512">
        <v>40</v>
      </c>
      <c r="K2512">
        <v>40</v>
      </c>
      <c r="L2512" t="s">
        <v>5978</v>
      </c>
      <c r="M2512" s="45" t="s">
        <v>98</v>
      </c>
      <c r="N2512" s="38" t="s">
        <v>230</v>
      </c>
      <c r="O2512" s="38" t="s">
        <v>277</v>
      </c>
      <c r="P2512" s="38" t="s">
        <v>60</v>
      </c>
      <c r="Q2512" s="38" t="s">
        <v>46</v>
      </c>
      <c r="R2512" s="38" t="s">
        <v>270</v>
      </c>
      <c r="S2512" s="38" t="s">
        <v>5979</v>
      </c>
      <c r="T2512" s="38" t="s">
        <v>5980</v>
      </c>
      <c r="U2512" s="38"/>
      <c r="V2512"/>
      <c r="W2512"/>
      <c r="X2512" s="14"/>
      <c r="AL2512" s="14">
        <f>40</f>
        <v>40</v>
      </c>
      <c r="AN2512" s="7" t="s">
        <v>146</v>
      </c>
      <c r="AO2512" s="21">
        <f t="shared" si="125"/>
        <v>40</v>
      </c>
      <c r="AP2512" s="7">
        <f t="shared" si="126"/>
        <v>0</v>
      </c>
      <c r="AQ2512" s="31" t="str">
        <f t="shared" si="127"/>
        <v>Complete - With Adjustment</v>
      </c>
    </row>
    <row r="2513" spans="1:43" x14ac:dyDescent="0.2">
      <c r="A2513" s="46">
        <v>2503</v>
      </c>
      <c r="B2513" s="38" t="s">
        <v>266</v>
      </c>
      <c r="C2513" s="38" t="s">
        <v>742</v>
      </c>
      <c r="D2513" s="38" t="s">
        <v>741</v>
      </c>
      <c r="E2513" s="38" t="s">
        <v>5981</v>
      </c>
      <c r="F2513" s="38" t="s">
        <v>5894</v>
      </c>
      <c r="G2513" s="38" t="s">
        <v>111</v>
      </c>
      <c r="H2513" s="44">
        <v>44133</v>
      </c>
      <c r="I2513" s="44">
        <v>44138</v>
      </c>
      <c r="J2513">
        <v>14.07</v>
      </c>
      <c r="K2513">
        <v>14.07</v>
      </c>
      <c r="L2513" t="s">
        <v>5982</v>
      </c>
      <c r="M2513" s="45" t="s">
        <v>98</v>
      </c>
      <c r="N2513" s="38" t="s">
        <v>230</v>
      </c>
      <c r="O2513" s="38" t="s">
        <v>288</v>
      </c>
      <c r="P2513" s="38" t="s">
        <v>60</v>
      </c>
      <c r="Q2513" s="38" t="s">
        <v>41</v>
      </c>
      <c r="R2513" s="38" t="s">
        <v>270</v>
      </c>
      <c r="S2513" s="38" t="s">
        <v>3067</v>
      </c>
      <c r="T2513" s="38" t="s">
        <v>3068</v>
      </c>
      <c r="U2513" s="38"/>
      <c r="V2513"/>
      <c r="W2513"/>
      <c r="X2513" s="14"/>
      <c r="AL2513" s="14">
        <f>14.07</f>
        <v>14.07</v>
      </c>
      <c r="AN2513" s="7" t="s">
        <v>146</v>
      </c>
      <c r="AO2513" s="21">
        <f t="shared" si="125"/>
        <v>14.07</v>
      </c>
      <c r="AP2513" s="7">
        <f t="shared" si="126"/>
        <v>0</v>
      </c>
      <c r="AQ2513" s="31" t="str">
        <f t="shared" si="127"/>
        <v>Complete - With Adjustment</v>
      </c>
    </row>
    <row r="2514" spans="1:43" x14ac:dyDescent="0.2">
      <c r="A2514" s="46">
        <v>2504</v>
      </c>
      <c r="B2514" s="38" t="s">
        <v>266</v>
      </c>
      <c r="C2514" s="38" t="s">
        <v>742</v>
      </c>
      <c r="D2514" s="38" t="s">
        <v>741</v>
      </c>
      <c r="E2514" s="38" t="s">
        <v>5983</v>
      </c>
      <c r="F2514" s="38" t="s">
        <v>5899</v>
      </c>
      <c r="G2514" s="38" t="s">
        <v>111</v>
      </c>
      <c r="H2514" s="44">
        <v>44139</v>
      </c>
      <c r="I2514" s="44">
        <v>44141</v>
      </c>
      <c r="J2514">
        <v>14.61</v>
      </c>
      <c r="K2514">
        <v>14.61</v>
      </c>
      <c r="L2514" t="s">
        <v>5984</v>
      </c>
      <c r="M2514" s="45" t="s">
        <v>98</v>
      </c>
      <c r="N2514" s="38" t="s">
        <v>230</v>
      </c>
      <c r="O2514" s="38" t="s">
        <v>288</v>
      </c>
      <c r="P2514" s="38" t="s">
        <v>60</v>
      </c>
      <c r="Q2514" s="38" t="s">
        <v>41</v>
      </c>
      <c r="R2514" s="38" t="s">
        <v>270</v>
      </c>
      <c r="S2514" s="38" t="s">
        <v>3067</v>
      </c>
      <c r="T2514" s="38" t="s">
        <v>3068</v>
      </c>
      <c r="U2514" s="38"/>
      <c r="V2514"/>
      <c r="W2514"/>
      <c r="X2514" s="14"/>
      <c r="AL2514" s="14">
        <f>14.61</f>
        <v>14.61</v>
      </c>
      <c r="AN2514" s="7" t="s">
        <v>146</v>
      </c>
      <c r="AO2514" s="21">
        <f t="shared" si="125"/>
        <v>14.61</v>
      </c>
      <c r="AP2514" s="7">
        <f t="shared" si="126"/>
        <v>0</v>
      </c>
      <c r="AQ2514" s="31" t="str">
        <f t="shared" si="127"/>
        <v>Complete - With Adjustment</v>
      </c>
    </row>
    <row r="2515" spans="1:43" x14ac:dyDescent="0.2">
      <c r="A2515" s="46">
        <v>2505</v>
      </c>
      <c r="B2515" s="38" t="s">
        <v>266</v>
      </c>
      <c r="C2515" s="38" t="s">
        <v>742</v>
      </c>
      <c r="D2515" s="38" t="s">
        <v>741</v>
      </c>
      <c r="E2515" s="38" t="s">
        <v>5985</v>
      </c>
      <c r="F2515" s="38" t="s">
        <v>5986</v>
      </c>
      <c r="G2515" s="38" t="s">
        <v>111</v>
      </c>
      <c r="H2515" s="44">
        <v>44146</v>
      </c>
      <c r="I2515" s="44">
        <v>44148</v>
      </c>
      <c r="J2515">
        <v>14.61</v>
      </c>
      <c r="K2515">
        <v>14.61</v>
      </c>
      <c r="L2515" t="s">
        <v>5987</v>
      </c>
      <c r="M2515" s="45" t="s">
        <v>98</v>
      </c>
      <c r="N2515" s="38" t="s">
        <v>230</v>
      </c>
      <c r="O2515" s="38" t="s">
        <v>288</v>
      </c>
      <c r="P2515" s="38" t="s">
        <v>60</v>
      </c>
      <c r="Q2515" s="38" t="s">
        <v>41</v>
      </c>
      <c r="R2515" s="38" t="s">
        <v>270</v>
      </c>
      <c r="S2515" s="38" t="s">
        <v>3063</v>
      </c>
      <c r="T2515" s="38" t="s">
        <v>3064</v>
      </c>
      <c r="U2515" s="38"/>
      <c r="V2515"/>
      <c r="W2515"/>
      <c r="X2515" s="14"/>
      <c r="AL2515" s="14">
        <f>14.61</f>
        <v>14.61</v>
      </c>
      <c r="AN2515" s="7" t="s">
        <v>146</v>
      </c>
      <c r="AO2515" s="21">
        <f t="shared" si="125"/>
        <v>14.61</v>
      </c>
      <c r="AP2515" s="7">
        <f t="shared" si="126"/>
        <v>0</v>
      </c>
      <c r="AQ2515" s="31" t="str">
        <f t="shared" si="127"/>
        <v>Complete - With Adjustment</v>
      </c>
    </row>
    <row r="2516" spans="1:43" x14ac:dyDescent="0.2">
      <c r="A2516" s="46">
        <v>2506</v>
      </c>
      <c r="B2516" s="38" t="s">
        <v>266</v>
      </c>
      <c r="C2516" s="38" t="s">
        <v>742</v>
      </c>
      <c r="D2516" s="38" t="s">
        <v>741</v>
      </c>
      <c r="E2516" s="38" t="s">
        <v>5988</v>
      </c>
      <c r="F2516" s="38" t="s">
        <v>5907</v>
      </c>
      <c r="G2516" s="38" t="s">
        <v>111</v>
      </c>
      <c r="H2516" s="44">
        <v>44153</v>
      </c>
      <c r="I2516" s="44">
        <v>44155</v>
      </c>
      <c r="J2516">
        <v>14.61</v>
      </c>
      <c r="K2516">
        <v>14.61</v>
      </c>
      <c r="L2516" t="s">
        <v>5989</v>
      </c>
      <c r="M2516" s="45" t="s">
        <v>98</v>
      </c>
      <c r="N2516" s="38" t="s">
        <v>230</v>
      </c>
      <c r="O2516" s="38" t="s">
        <v>288</v>
      </c>
      <c r="P2516" s="38" t="s">
        <v>60</v>
      </c>
      <c r="Q2516" s="38" t="s">
        <v>41</v>
      </c>
      <c r="R2516" s="38" t="s">
        <v>270</v>
      </c>
      <c r="S2516" s="38" t="s">
        <v>3067</v>
      </c>
      <c r="T2516" s="38" t="s">
        <v>3068</v>
      </c>
      <c r="U2516" s="38"/>
      <c r="V2516"/>
      <c r="W2516"/>
      <c r="X2516" s="14"/>
      <c r="AL2516" s="14">
        <f>14.61</f>
        <v>14.61</v>
      </c>
      <c r="AN2516" s="7" t="s">
        <v>146</v>
      </c>
      <c r="AO2516" s="21">
        <f t="shared" si="125"/>
        <v>14.61</v>
      </c>
      <c r="AP2516" s="7">
        <f t="shared" si="126"/>
        <v>0</v>
      </c>
      <c r="AQ2516" s="31" t="str">
        <f t="shared" si="127"/>
        <v>Complete - With Adjustment</v>
      </c>
    </row>
    <row r="2517" spans="1:43" x14ac:dyDescent="0.2">
      <c r="A2517" s="46">
        <v>2507</v>
      </c>
      <c r="B2517" s="38" t="s">
        <v>266</v>
      </c>
      <c r="C2517" s="38" t="s">
        <v>77</v>
      </c>
      <c r="D2517" s="38" t="s">
        <v>100</v>
      </c>
      <c r="E2517" s="38" t="s">
        <v>5990</v>
      </c>
      <c r="F2517" s="38" t="s">
        <v>5903</v>
      </c>
      <c r="G2517" s="38" t="s">
        <v>111</v>
      </c>
      <c r="H2517" s="44">
        <v>44155</v>
      </c>
      <c r="I2517" s="44">
        <v>44158</v>
      </c>
      <c r="J2517">
        <v>346.88</v>
      </c>
      <c r="K2517">
        <v>46.48</v>
      </c>
      <c r="L2517" t="s">
        <v>5991</v>
      </c>
      <c r="M2517" s="45" t="s">
        <v>98</v>
      </c>
      <c r="N2517" s="38" t="s">
        <v>230</v>
      </c>
      <c r="O2517" s="38" t="s">
        <v>78</v>
      </c>
      <c r="P2517" s="38" t="s">
        <v>60</v>
      </c>
      <c r="Q2517" s="38" t="s">
        <v>104</v>
      </c>
      <c r="R2517" s="38" t="s">
        <v>270</v>
      </c>
      <c r="S2517" s="38" t="s">
        <v>5992</v>
      </c>
      <c r="T2517" s="38" t="s">
        <v>5993</v>
      </c>
      <c r="U2517" s="38"/>
      <c r="V2517"/>
      <c r="W2517"/>
      <c r="X2517" s="14"/>
      <c r="AN2517" s="7" t="s">
        <v>70</v>
      </c>
      <c r="AO2517" s="21">
        <f t="shared" si="125"/>
        <v>0</v>
      </c>
      <c r="AP2517" s="7">
        <f t="shared" si="126"/>
        <v>46.48</v>
      </c>
      <c r="AQ2517" s="31" t="str">
        <f t="shared" si="127"/>
        <v>Complete - No Adjustment</v>
      </c>
    </row>
    <row r="2518" spans="1:43" x14ac:dyDescent="0.2">
      <c r="A2518" s="46">
        <v>2508</v>
      </c>
      <c r="B2518" s="38" t="s">
        <v>266</v>
      </c>
      <c r="C2518" s="38" t="s">
        <v>77</v>
      </c>
      <c r="D2518" s="38" t="s">
        <v>100</v>
      </c>
      <c r="E2518" s="38" t="s">
        <v>5990</v>
      </c>
      <c r="F2518" s="38" t="s">
        <v>5903</v>
      </c>
      <c r="G2518" s="38" t="s">
        <v>111</v>
      </c>
      <c r="H2518" s="44">
        <v>44155</v>
      </c>
      <c r="I2518" s="44">
        <v>44158</v>
      </c>
      <c r="J2518">
        <v>346.88</v>
      </c>
      <c r="K2518">
        <v>295</v>
      </c>
      <c r="L2518" t="s">
        <v>5991</v>
      </c>
      <c r="M2518" s="45" t="s">
        <v>98</v>
      </c>
      <c r="N2518" s="38" t="s">
        <v>230</v>
      </c>
      <c r="O2518" s="38" t="s">
        <v>78</v>
      </c>
      <c r="P2518" s="38" t="s">
        <v>60</v>
      </c>
      <c r="Q2518" s="38" t="s">
        <v>56</v>
      </c>
      <c r="R2518" s="38" t="s">
        <v>270</v>
      </c>
      <c r="S2518" s="38" t="s">
        <v>5992</v>
      </c>
      <c r="T2518" s="38" t="s">
        <v>5994</v>
      </c>
      <c r="U2518" s="38"/>
      <c r="V2518"/>
      <c r="W2518"/>
      <c r="X2518" s="14"/>
      <c r="AN2518" s="7" t="s">
        <v>70</v>
      </c>
      <c r="AO2518" s="21">
        <f t="shared" si="125"/>
        <v>0</v>
      </c>
      <c r="AP2518" s="7">
        <f t="shared" si="126"/>
        <v>295</v>
      </c>
      <c r="AQ2518" s="31" t="str">
        <f t="shared" si="127"/>
        <v>Complete - No Adjustment</v>
      </c>
    </row>
    <row r="2519" spans="1:43" x14ac:dyDescent="0.2">
      <c r="A2519" s="46">
        <v>2509</v>
      </c>
      <c r="B2519" s="38" t="s">
        <v>266</v>
      </c>
      <c r="C2519" s="38" t="s">
        <v>77</v>
      </c>
      <c r="D2519" s="38" t="s">
        <v>100</v>
      </c>
      <c r="E2519" s="38" t="s">
        <v>5990</v>
      </c>
      <c r="F2519" s="38" t="s">
        <v>5903</v>
      </c>
      <c r="G2519" s="38" t="s">
        <v>111</v>
      </c>
      <c r="H2519" s="44">
        <v>44155</v>
      </c>
      <c r="I2519" s="44">
        <v>44158</v>
      </c>
      <c r="J2519">
        <v>346.88</v>
      </c>
      <c r="K2519">
        <v>5.4</v>
      </c>
      <c r="L2519" t="s">
        <v>5991</v>
      </c>
      <c r="M2519" s="45" t="s">
        <v>98</v>
      </c>
      <c r="N2519" s="38" t="s">
        <v>230</v>
      </c>
      <c r="O2519" s="38" t="s">
        <v>78</v>
      </c>
      <c r="P2519" s="38" t="s">
        <v>60</v>
      </c>
      <c r="Q2519" s="38" t="s">
        <v>104</v>
      </c>
      <c r="R2519" s="38" t="s">
        <v>270</v>
      </c>
      <c r="S2519" s="38" t="s">
        <v>5992</v>
      </c>
      <c r="T2519" s="38" t="s">
        <v>5995</v>
      </c>
      <c r="U2519" s="38"/>
      <c r="V2519"/>
      <c r="W2519"/>
      <c r="X2519" s="14"/>
      <c r="AN2519" s="7" t="s">
        <v>70</v>
      </c>
      <c r="AO2519" s="21">
        <f t="shared" si="125"/>
        <v>0</v>
      </c>
      <c r="AP2519" s="7">
        <f t="shared" si="126"/>
        <v>5.4</v>
      </c>
      <c r="AQ2519" s="31" t="str">
        <f t="shared" si="127"/>
        <v>Complete - No Adjustment</v>
      </c>
    </row>
    <row r="2520" spans="1:43" x14ac:dyDescent="0.2">
      <c r="A2520" s="46">
        <v>2510</v>
      </c>
      <c r="B2520" s="38" t="s">
        <v>266</v>
      </c>
      <c r="C2520" s="38" t="s">
        <v>322</v>
      </c>
      <c r="D2520" s="38" t="s">
        <v>321</v>
      </c>
      <c r="E2520" s="38" t="s">
        <v>5996</v>
      </c>
      <c r="F2520" s="38" t="s">
        <v>5997</v>
      </c>
      <c r="G2520" s="38" t="s">
        <v>111</v>
      </c>
      <c r="H2520" s="44">
        <v>44145</v>
      </c>
      <c r="I2520" s="44">
        <v>44147</v>
      </c>
      <c r="J2520">
        <v>450</v>
      </c>
      <c r="K2520">
        <v>450</v>
      </c>
      <c r="L2520" t="s">
        <v>5998</v>
      </c>
      <c r="M2520" s="45" t="s">
        <v>98</v>
      </c>
      <c r="N2520" s="38" t="s">
        <v>230</v>
      </c>
      <c r="O2520" s="38" t="s">
        <v>323</v>
      </c>
      <c r="P2520" s="38" t="s">
        <v>60</v>
      </c>
      <c r="Q2520" s="38" t="s">
        <v>48</v>
      </c>
      <c r="R2520" s="38" t="s">
        <v>270</v>
      </c>
      <c r="S2520" s="38" t="s">
        <v>5999</v>
      </c>
      <c r="T2520" s="38" t="s">
        <v>6000</v>
      </c>
      <c r="U2520" s="38"/>
      <c r="V2520"/>
      <c r="W2520"/>
      <c r="X2520" s="14"/>
      <c r="AN2520" s="7" t="s">
        <v>70</v>
      </c>
      <c r="AO2520" s="21">
        <f t="shared" si="125"/>
        <v>0</v>
      </c>
      <c r="AP2520" s="7">
        <f t="shared" si="126"/>
        <v>450</v>
      </c>
      <c r="AQ2520" s="31" t="str">
        <f t="shared" si="127"/>
        <v>Complete - No Adjustment</v>
      </c>
    </row>
    <row r="2521" spans="1:43" x14ac:dyDescent="0.2">
      <c r="A2521" s="46">
        <v>2511</v>
      </c>
      <c r="B2521" s="38" t="s">
        <v>266</v>
      </c>
      <c r="C2521" s="38" t="s">
        <v>330</v>
      </c>
      <c r="D2521" s="38" t="s">
        <v>329</v>
      </c>
      <c r="E2521" s="38" t="s">
        <v>6001</v>
      </c>
      <c r="F2521" s="38" t="s">
        <v>5944</v>
      </c>
      <c r="G2521" s="38" t="s">
        <v>111</v>
      </c>
      <c r="H2521" s="44">
        <v>44142</v>
      </c>
      <c r="I2521" s="44">
        <v>44145</v>
      </c>
      <c r="J2521">
        <v>94.22</v>
      </c>
      <c r="K2521">
        <v>25</v>
      </c>
      <c r="L2521" t="s">
        <v>6002</v>
      </c>
      <c r="M2521" s="45" t="s">
        <v>98</v>
      </c>
      <c r="N2521" s="38" t="s">
        <v>230</v>
      </c>
      <c r="O2521" s="38" t="s">
        <v>269</v>
      </c>
      <c r="P2521" s="38" t="s">
        <v>60</v>
      </c>
      <c r="Q2521" s="38" t="s">
        <v>46</v>
      </c>
      <c r="R2521" s="38" t="s">
        <v>270</v>
      </c>
      <c r="S2521" s="38" t="s">
        <v>6003</v>
      </c>
      <c r="T2521" s="38" t="s">
        <v>6004</v>
      </c>
      <c r="U2521" s="38"/>
      <c r="V2521"/>
      <c r="W2521"/>
      <c r="X2521" s="14"/>
      <c r="AI2521" s="53">
        <f>25</f>
        <v>25</v>
      </c>
      <c r="AN2521" s="7" t="s">
        <v>145</v>
      </c>
      <c r="AO2521" s="21">
        <f t="shared" si="125"/>
        <v>25</v>
      </c>
      <c r="AP2521" s="7">
        <f t="shared" si="126"/>
        <v>0</v>
      </c>
      <c r="AQ2521" s="31" t="str">
        <f t="shared" si="127"/>
        <v>Complete - With Adjustment</v>
      </c>
    </row>
    <row r="2522" spans="1:43" x14ac:dyDescent="0.2">
      <c r="A2522" s="46">
        <v>2512</v>
      </c>
      <c r="B2522" s="38" t="s">
        <v>266</v>
      </c>
      <c r="C2522" s="38" t="s">
        <v>330</v>
      </c>
      <c r="D2522" s="38" t="s">
        <v>329</v>
      </c>
      <c r="E2522" s="38" t="s">
        <v>6001</v>
      </c>
      <c r="F2522" s="38" t="s">
        <v>5944</v>
      </c>
      <c r="G2522" s="38" t="s">
        <v>111</v>
      </c>
      <c r="H2522" s="44">
        <v>44142</v>
      </c>
      <c r="I2522" s="44">
        <v>44145</v>
      </c>
      <c r="J2522">
        <v>94.22</v>
      </c>
      <c r="K2522">
        <v>20.78</v>
      </c>
      <c r="L2522" t="s">
        <v>6002</v>
      </c>
      <c r="M2522" s="45" t="s">
        <v>98</v>
      </c>
      <c r="N2522" s="38" t="s">
        <v>230</v>
      </c>
      <c r="O2522" s="38" t="s">
        <v>269</v>
      </c>
      <c r="P2522" s="38" t="s">
        <v>60</v>
      </c>
      <c r="Q2522" s="38" t="s">
        <v>41</v>
      </c>
      <c r="R2522" s="38" t="s">
        <v>270</v>
      </c>
      <c r="S2522" s="38" t="s">
        <v>6003</v>
      </c>
      <c r="T2522" s="38" t="s">
        <v>6005</v>
      </c>
      <c r="U2522" s="38"/>
      <c r="V2522"/>
      <c r="W2522"/>
      <c r="X2522" s="14"/>
      <c r="AN2522" s="7" t="s">
        <v>70</v>
      </c>
      <c r="AO2522" s="21">
        <f t="shared" si="125"/>
        <v>0</v>
      </c>
      <c r="AP2522" s="7">
        <f t="shared" si="126"/>
        <v>20.78</v>
      </c>
      <c r="AQ2522" s="31" t="str">
        <f t="shared" si="127"/>
        <v>Complete - No Adjustment</v>
      </c>
    </row>
    <row r="2523" spans="1:43" x14ac:dyDescent="0.2">
      <c r="A2523" s="46">
        <v>2513</v>
      </c>
      <c r="B2523" s="38" t="s">
        <v>266</v>
      </c>
      <c r="C2523" s="38" t="s">
        <v>330</v>
      </c>
      <c r="D2523" s="38" t="s">
        <v>329</v>
      </c>
      <c r="E2523" s="38" t="s">
        <v>6001</v>
      </c>
      <c r="F2523" s="38" t="s">
        <v>5944</v>
      </c>
      <c r="G2523" s="38" t="s">
        <v>111</v>
      </c>
      <c r="H2523" s="44">
        <v>44142</v>
      </c>
      <c r="I2523" s="44">
        <v>44145</v>
      </c>
      <c r="J2523">
        <v>94.22</v>
      </c>
      <c r="K2523">
        <v>26.36</v>
      </c>
      <c r="L2523" t="s">
        <v>6002</v>
      </c>
      <c r="M2523" s="45" t="s">
        <v>98</v>
      </c>
      <c r="N2523" s="38" t="s">
        <v>230</v>
      </c>
      <c r="O2523" s="38" t="s">
        <v>269</v>
      </c>
      <c r="P2523" s="38" t="s">
        <v>60</v>
      </c>
      <c r="Q2523" s="38" t="s">
        <v>41</v>
      </c>
      <c r="R2523" s="38" t="s">
        <v>270</v>
      </c>
      <c r="S2523" s="38" t="s">
        <v>6003</v>
      </c>
      <c r="T2523" s="38" t="s">
        <v>6005</v>
      </c>
      <c r="U2523" s="38"/>
      <c r="V2523"/>
      <c r="W2523"/>
      <c r="X2523" s="14"/>
      <c r="AN2523" s="7" t="s">
        <v>70</v>
      </c>
      <c r="AO2523" s="21">
        <f t="shared" si="125"/>
        <v>0</v>
      </c>
      <c r="AP2523" s="7">
        <f t="shared" si="126"/>
        <v>26.36</v>
      </c>
      <c r="AQ2523" s="31" t="str">
        <f t="shared" si="127"/>
        <v>Complete - No Adjustment</v>
      </c>
    </row>
    <row r="2524" spans="1:43" x14ac:dyDescent="0.2">
      <c r="A2524" s="46">
        <v>2514</v>
      </c>
      <c r="B2524" s="38" t="s">
        <v>266</v>
      </c>
      <c r="C2524" s="38" t="s">
        <v>330</v>
      </c>
      <c r="D2524" s="38" t="s">
        <v>329</v>
      </c>
      <c r="E2524" s="38" t="s">
        <v>6001</v>
      </c>
      <c r="F2524" s="38" t="s">
        <v>5944</v>
      </c>
      <c r="G2524" s="38" t="s">
        <v>111</v>
      </c>
      <c r="H2524" s="44">
        <v>44142</v>
      </c>
      <c r="I2524" s="44">
        <v>44145</v>
      </c>
      <c r="J2524">
        <v>94.22</v>
      </c>
      <c r="K2524">
        <v>22.08</v>
      </c>
      <c r="L2524" t="s">
        <v>6002</v>
      </c>
      <c r="M2524" s="45" t="s">
        <v>98</v>
      </c>
      <c r="N2524" s="38" t="s">
        <v>230</v>
      </c>
      <c r="O2524" s="38" t="s">
        <v>269</v>
      </c>
      <c r="P2524" s="38" t="s">
        <v>60</v>
      </c>
      <c r="Q2524" s="38" t="s">
        <v>41</v>
      </c>
      <c r="R2524" s="38" t="s">
        <v>270</v>
      </c>
      <c r="S2524" s="38" t="s">
        <v>6003</v>
      </c>
      <c r="T2524" s="38" t="s">
        <v>6005</v>
      </c>
      <c r="U2524" s="38"/>
      <c r="V2524"/>
      <c r="W2524"/>
      <c r="X2524" s="14"/>
      <c r="AN2524" s="7" t="s">
        <v>70</v>
      </c>
      <c r="AO2524" s="21">
        <f t="shared" si="125"/>
        <v>0</v>
      </c>
      <c r="AP2524" s="7">
        <f t="shared" si="126"/>
        <v>22.08</v>
      </c>
      <c r="AQ2524" s="31" t="str">
        <f t="shared" si="127"/>
        <v>Complete - No Adjustment</v>
      </c>
    </row>
    <row r="2525" spans="1:43" x14ac:dyDescent="0.2">
      <c r="A2525" s="46">
        <v>2515</v>
      </c>
      <c r="B2525" s="38" t="s">
        <v>266</v>
      </c>
      <c r="C2525" s="38" t="s">
        <v>780</v>
      </c>
      <c r="D2525" s="38" t="s">
        <v>798</v>
      </c>
      <c r="E2525" s="38" t="s">
        <v>6006</v>
      </c>
      <c r="F2525" s="38" t="s">
        <v>5986</v>
      </c>
      <c r="G2525" s="38" t="s">
        <v>111</v>
      </c>
      <c r="H2525" s="44">
        <v>44146</v>
      </c>
      <c r="I2525" s="44">
        <v>44148</v>
      </c>
      <c r="J2525">
        <v>22.92</v>
      </c>
      <c r="K2525">
        <v>22.92</v>
      </c>
      <c r="L2525" t="s">
        <v>6007</v>
      </c>
      <c r="M2525" s="45" t="s">
        <v>98</v>
      </c>
      <c r="N2525" s="38" t="s">
        <v>230</v>
      </c>
      <c r="O2525" s="38" t="s">
        <v>288</v>
      </c>
      <c r="P2525" s="38" t="s">
        <v>60</v>
      </c>
      <c r="Q2525" s="38" t="s">
        <v>41</v>
      </c>
      <c r="R2525" s="38" t="s">
        <v>270</v>
      </c>
      <c r="S2525" s="38" t="s">
        <v>6008</v>
      </c>
      <c r="T2525" s="38" t="s">
        <v>6009</v>
      </c>
      <c r="U2525" s="38"/>
      <c r="V2525"/>
      <c r="W2525"/>
      <c r="X2525" s="14"/>
      <c r="AN2525" s="7" t="s">
        <v>70</v>
      </c>
      <c r="AO2525" s="21">
        <f t="shared" si="125"/>
        <v>0</v>
      </c>
      <c r="AP2525" s="7">
        <f t="shared" si="126"/>
        <v>22.92</v>
      </c>
      <c r="AQ2525" s="31" t="str">
        <f t="shared" si="127"/>
        <v>Complete - No Adjustment</v>
      </c>
    </row>
    <row r="2526" spans="1:43" x14ac:dyDescent="0.2">
      <c r="A2526" s="46">
        <v>2516</v>
      </c>
      <c r="B2526" s="38" t="s">
        <v>266</v>
      </c>
      <c r="C2526" s="38" t="s">
        <v>780</v>
      </c>
      <c r="D2526" s="38" t="s">
        <v>798</v>
      </c>
      <c r="E2526" s="38" t="s">
        <v>6010</v>
      </c>
      <c r="F2526" s="38" t="s">
        <v>5894</v>
      </c>
      <c r="G2526" s="38" t="s">
        <v>111</v>
      </c>
      <c r="H2526" s="44">
        <v>44132</v>
      </c>
      <c r="I2526" s="44">
        <v>44138</v>
      </c>
      <c r="J2526">
        <v>23.38</v>
      </c>
      <c r="K2526">
        <v>23.38</v>
      </c>
      <c r="L2526" t="s">
        <v>6011</v>
      </c>
      <c r="M2526" s="45" t="s">
        <v>98</v>
      </c>
      <c r="N2526" s="38" t="s">
        <v>230</v>
      </c>
      <c r="O2526" s="38" t="s">
        <v>288</v>
      </c>
      <c r="P2526" s="38" t="s">
        <v>60</v>
      </c>
      <c r="Q2526" s="38" t="s">
        <v>41</v>
      </c>
      <c r="R2526" s="38" t="s">
        <v>270</v>
      </c>
      <c r="S2526" s="38" t="s">
        <v>6008</v>
      </c>
      <c r="T2526" s="38" t="s">
        <v>6009</v>
      </c>
      <c r="U2526" s="38"/>
      <c r="V2526"/>
      <c r="W2526"/>
      <c r="X2526" s="14"/>
      <c r="AN2526" s="7" t="s">
        <v>70</v>
      </c>
      <c r="AO2526" s="21">
        <f t="shared" si="125"/>
        <v>0</v>
      </c>
      <c r="AP2526" s="7">
        <f t="shared" si="126"/>
        <v>23.38</v>
      </c>
      <c r="AQ2526" s="31" t="str">
        <f t="shared" si="127"/>
        <v>Complete - No Adjustment</v>
      </c>
    </row>
    <row r="2527" spans="1:43" x14ac:dyDescent="0.2">
      <c r="A2527" s="46">
        <v>2517</v>
      </c>
      <c r="B2527" s="38" t="s">
        <v>266</v>
      </c>
      <c r="C2527" s="38" t="s">
        <v>780</v>
      </c>
      <c r="D2527" s="38" t="s">
        <v>798</v>
      </c>
      <c r="E2527" s="38" t="s">
        <v>6012</v>
      </c>
      <c r="F2527" s="38" t="s">
        <v>5944</v>
      </c>
      <c r="G2527" s="38" t="s">
        <v>111</v>
      </c>
      <c r="H2527" s="44">
        <v>44141</v>
      </c>
      <c r="I2527" s="44">
        <v>44145</v>
      </c>
      <c r="J2527">
        <v>25.82</v>
      </c>
      <c r="K2527">
        <v>25.82</v>
      </c>
      <c r="L2527" t="s">
        <v>6013</v>
      </c>
      <c r="M2527" s="45" t="s">
        <v>98</v>
      </c>
      <c r="N2527" s="38" t="s">
        <v>230</v>
      </c>
      <c r="O2527" s="38" t="s">
        <v>288</v>
      </c>
      <c r="P2527" s="38" t="s">
        <v>60</v>
      </c>
      <c r="Q2527" s="38" t="s">
        <v>41</v>
      </c>
      <c r="R2527" s="38" t="s">
        <v>270</v>
      </c>
      <c r="S2527" s="38" t="s">
        <v>6008</v>
      </c>
      <c r="T2527" s="38" t="s">
        <v>6009</v>
      </c>
      <c r="U2527" s="38"/>
      <c r="V2527"/>
      <c r="W2527"/>
      <c r="X2527" s="14"/>
      <c r="AN2527" s="7" t="s">
        <v>70</v>
      </c>
      <c r="AO2527" s="21">
        <f t="shared" si="125"/>
        <v>0</v>
      </c>
      <c r="AP2527" s="7">
        <f t="shared" si="126"/>
        <v>25.82</v>
      </c>
      <c r="AQ2527" s="31" t="str">
        <f t="shared" si="127"/>
        <v>Complete - No Adjustment</v>
      </c>
    </row>
    <row r="2528" spans="1:43" x14ac:dyDescent="0.2">
      <c r="A2528" s="46">
        <v>2518</v>
      </c>
      <c r="B2528" s="38" t="s">
        <v>266</v>
      </c>
      <c r="C2528" s="38" t="s">
        <v>522</v>
      </c>
      <c r="D2528" s="38" t="s">
        <v>799</v>
      </c>
      <c r="E2528" s="38" t="s">
        <v>6014</v>
      </c>
      <c r="F2528" s="38" t="s">
        <v>5986</v>
      </c>
      <c r="G2528" s="38" t="s">
        <v>111</v>
      </c>
      <c r="H2528" s="44">
        <v>44147</v>
      </c>
      <c r="I2528" s="44">
        <v>44148</v>
      </c>
      <c r="J2528">
        <v>21.65</v>
      </c>
      <c r="K2528">
        <v>21.65</v>
      </c>
      <c r="L2528" t="s">
        <v>6015</v>
      </c>
      <c r="M2528" s="45" t="s">
        <v>98</v>
      </c>
      <c r="N2528" s="38" t="s">
        <v>230</v>
      </c>
      <c r="O2528" s="38" t="s">
        <v>271</v>
      </c>
      <c r="P2528" s="38" t="s">
        <v>60</v>
      </c>
      <c r="Q2528" s="38" t="s">
        <v>41</v>
      </c>
      <c r="R2528" s="38" t="s">
        <v>270</v>
      </c>
      <c r="S2528" s="38" t="s">
        <v>6016</v>
      </c>
      <c r="T2528" s="38" t="s">
        <v>6017</v>
      </c>
      <c r="U2528" s="38"/>
      <c r="V2528"/>
      <c r="W2528"/>
      <c r="X2528" s="14"/>
      <c r="AI2528" s="53">
        <f>21.65</f>
        <v>21.65</v>
      </c>
      <c r="AN2528" s="7" t="s">
        <v>145</v>
      </c>
      <c r="AO2528" s="21">
        <f t="shared" si="125"/>
        <v>21.65</v>
      </c>
      <c r="AP2528" s="7">
        <f t="shared" si="126"/>
        <v>0</v>
      </c>
      <c r="AQ2528" s="31" t="str">
        <f t="shared" si="127"/>
        <v>Complete - With Adjustment</v>
      </c>
    </row>
    <row r="2529" spans="1:43" x14ac:dyDescent="0.2">
      <c r="A2529" s="46">
        <v>2519</v>
      </c>
      <c r="B2529" s="38" t="s">
        <v>266</v>
      </c>
      <c r="C2529" s="38" t="s">
        <v>354</v>
      </c>
      <c r="D2529" s="38" t="s">
        <v>353</v>
      </c>
      <c r="E2529" s="38" t="s">
        <v>5889</v>
      </c>
      <c r="F2529" s="38" t="s">
        <v>5890</v>
      </c>
      <c r="G2529" s="38" t="s">
        <v>111</v>
      </c>
      <c r="H2529" s="44">
        <v>44140</v>
      </c>
      <c r="I2529" s="44">
        <v>44144</v>
      </c>
      <c r="J2529">
        <v>553.24</v>
      </c>
      <c r="K2529">
        <v>553.24</v>
      </c>
      <c r="L2529"/>
      <c r="M2529" s="45" t="s">
        <v>97</v>
      </c>
      <c r="N2529" s="38" t="s">
        <v>230</v>
      </c>
      <c r="O2529" s="38" t="s">
        <v>355</v>
      </c>
      <c r="P2529" s="38" t="s">
        <v>42</v>
      </c>
      <c r="Q2529" s="38" t="s">
        <v>57</v>
      </c>
      <c r="R2529" s="38" t="s">
        <v>270</v>
      </c>
      <c r="S2529" s="38" t="s">
        <v>5891</v>
      </c>
      <c r="T2529" s="38" t="s">
        <v>5892</v>
      </c>
      <c r="U2529" s="38"/>
      <c r="V2529" s="38"/>
      <c r="W2529"/>
      <c r="X2529" s="14"/>
      <c r="AL2529" s="14">
        <v>553.24</v>
      </c>
      <c r="AN2529" s="7" t="s">
        <v>70</v>
      </c>
      <c r="AO2529" s="21">
        <f t="shared" si="125"/>
        <v>553.24</v>
      </c>
      <c r="AP2529" s="7">
        <f t="shared" si="126"/>
        <v>0</v>
      </c>
      <c r="AQ2529" s="31" t="str">
        <f t="shared" si="127"/>
        <v>Complete - With Adjustment</v>
      </c>
    </row>
    <row r="2530" spans="1:43" x14ac:dyDescent="0.2">
      <c r="A2530" s="46">
        <v>2520</v>
      </c>
      <c r="B2530" s="38" t="s">
        <v>266</v>
      </c>
      <c r="C2530" s="38" t="s">
        <v>694</v>
      </c>
      <c r="D2530" s="38" t="s">
        <v>693</v>
      </c>
      <c r="E2530" s="38" t="s">
        <v>6018</v>
      </c>
      <c r="F2530" s="38" t="s">
        <v>5939</v>
      </c>
      <c r="G2530" s="38" t="s">
        <v>111</v>
      </c>
      <c r="H2530" s="44">
        <v>44151</v>
      </c>
      <c r="I2530" s="44">
        <v>44153</v>
      </c>
      <c r="J2530">
        <v>122.53</v>
      </c>
      <c r="K2530">
        <v>29.9</v>
      </c>
      <c r="L2530" t="s">
        <v>6019</v>
      </c>
      <c r="M2530" s="45" t="s">
        <v>98</v>
      </c>
      <c r="N2530" s="38" t="s">
        <v>230</v>
      </c>
      <c r="O2530" s="38" t="s">
        <v>277</v>
      </c>
      <c r="P2530" s="38" t="s">
        <v>60</v>
      </c>
      <c r="Q2530" s="38" t="s">
        <v>44</v>
      </c>
      <c r="R2530" s="38" t="s">
        <v>270</v>
      </c>
      <c r="S2530" s="38" t="s">
        <v>6020</v>
      </c>
      <c r="T2530" s="38" t="s">
        <v>6021</v>
      </c>
      <c r="U2530" s="38"/>
      <c r="V2530"/>
      <c r="W2530"/>
      <c r="X2530" s="14"/>
      <c r="AN2530" s="7" t="s">
        <v>70</v>
      </c>
      <c r="AO2530" s="21">
        <f t="shared" si="125"/>
        <v>0</v>
      </c>
      <c r="AP2530" s="7">
        <f t="shared" si="126"/>
        <v>29.9</v>
      </c>
      <c r="AQ2530" s="31" t="str">
        <f t="shared" si="127"/>
        <v>Complete - No Adjustment</v>
      </c>
    </row>
    <row r="2531" spans="1:43" x14ac:dyDescent="0.2">
      <c r="A2531" s="46">
        <v>2521</v>
      </c>
      <c r="B2531" s="38" t="s">
        <v>266</v>
      </c>
      <c r="C2531" s="38" t="s">
        <v>694</v>
      </c>
      <c r="D2531" s="38" t="s">
        <v>693</v>
      </c>
      <c r="E2531" s="38" t="s">
        <v>6018</v>
      </c>
      <c r="F2531" s="38" t="s">
        <v>5939</v>
      </c>
      <c r="G2531" s="38" t="s">
        <v>111</v>
      </c>
      <c r="H2531" s="44">
        <v>44151</v>
      </c>
      <c r="I2531" s="44">
        <v>44153</v>
      </c>
      <c r="J2531">
        <v>122.53</v>
      </c>
      <c r="K2531">
        <v>28.18</v>
      </c>
      <c r="L2531" t="s">
        <v>6019</v>
      </c>
      <c r="M2531" s="45" t="s">
        <v>98</v>
      </c>
      <c r="N2531" s="38" t="s">
        <v>230</v>
      </c>
      <c r="O2531" s="38" t="s">
        <v>277</v>
      </c>
      <c r="P2531" s="38" t="s">
        <v>60</v>
      </c>
      <c r="Q2531" s="38" t="s">
        <v>44</v>
      </c>
      <c r="R2531" s="38" t="s">
        <v>270</v>
      </c>
      <c r="S2531" s="38" t="s">
        <v>6020</v>
      </c>
      <c r="T2531" s="38" t="s">
        <v>6022</v>
      </c>
      <c r="U2531" s="38"/>
      <c r="V2531"/>
      <c r="W2531"/>
      <c r="X2531" s="14"/>
      <c r="AN2531" s="7" t="s">
        <v>70</v>
      </c>
      <c r="AO2531" s="21">
        <f t="shared" si="125"/>
        <v>0</v>
      </c>
      <c r="AP2531" s="7">
        <f t="shared" si="126"/>
        <v>28.18</v>
      </c>
      <c r="AQ2531" s="31" t="str">
        <f t="shared" si="127"/>
        <v>Complete - No Adjustment</v>
      </c>
    </row>
    <row r="2532" spans="1:43" x14ac:dyDescent="0.2">
      <c r="A2532" s="46">
        <v>2522</v>
      </c>
      <c r="B2532" s="38" t="s">
        <v>266</v>
      </c>
      <c r="C2532" s="38" t="s">
        <v>694</v>
      </c>
      <c r="D2532" s="38" t="s">
        <v>693</v>
      </c>
      <c r="E2532" s="38" t="s">
        <v>6018</v>
      </c>
      <c r="F2532" s="38" t="s">
        <v>5939</v>
      </c>
      <c r="G2532" s="38" t="s">
        <v>111</v>
      </c>
      <c r="H2532" s="44">
        <v>44151</v>
      </c>
      <c r="I2532" s="44">
        <v>44153</v>
      </c>
      <c r="J2532">
        <v>122.53</v>
      </c>
      <c r="K2532">
        <v>10.35</v>
      </c>
      <c r="L2532" t="s">
        <v>6019</v>
      </c>
      <c r="M2532" s="45" t="s">
        <v>98</v>
      </c>
      <c r="N2532" s="38" t="s">
        <v>230</v>
      </c>
      <c r="O2532" s="38" t="s">
        <v>277</v>
      </c>
      <c r="P2532" s="38" t="s">
        <v>60</v>
      </c>
      <c r="Q2532" s="38" t="s">
        <v>44</v>
      </c>
      <c r="R2532" s="38" t="s">
        <v>270</v>
      </c>
      <c r="S2532" s="38" t="s">
        <v>6020</v>
      </c>
      <c r="T2532" s="38" t="s">
        <v>6023</v>
      </c>
      <c r="U2532" s="38"/>
      <c r="V2532"/>
      <c r="W2532"/>
      <c r="X2532" s="14"/>
      <c r="AN2532" s="7" t="s">
        <v>70</v>
      </c>
      <c r="AO2532" s="21">
        <f t="shared" si="125"/>
        <v>0</v>
      </c>
      <c r="AP2532" s="7">
        <f t="shared" si="126"/>
        <v>10.35</v>
      </c>
      <c r="AQ2532" s="31" t="str">
        <f t="shared" si="127"/>
        <v>Complete - No Adjustment</v>
      </c>
    </row>
    <row r="2533" spans="1:43" x14ac:dyDescent="0.2">
      <c r="A2533" s="46">
        <v>2523</v>
      </c>
      <c r="B2533" s="38" t="s">
        <v>266</v>
      </c>
      <c r="C2533" s="38" t="s">
        <v>694</v>
      </c>
      <c r="D2533" s="38" t="s">
        <v>693</v>
      </c>
      <c r="E2533" s="38" t="s">
        <v>6018</v>
      </c>
      <c r="F2533" s="38" t="s">
        <v>5939</v>
      </c>
      <c r="G2533" s="38" t="s">
        <v>111</v>
      </c>
      <c r="H2533" s="44">
        <v>44151</v>
      </c>
      <c r="I2533" s="44">
        <v>44153</v>
      </c>
      <c r="J2533">
        <v>122.53</v>
      </c>
      <c r="K2533">
        <v>25.88</v>
      </c>
      <c r="L2533" t="s">
        <v>6019</v>
      </c>
      <c r="M2533" s="45" t="s">
        <v>98</v>
      </c>
      <c r="N2533" s="38" t="s">
        <v>230</v>
      </c>
      <c r="O2533" s="38" t="s">
        <v>277</v>
      </c>
      <c r="P2533" s="38" t="s">
        <v>60</v>
      </c>
      <c r="Q2533" s="38" t="s">
        <v>44</v>
      </c>
      <c r="R2533" s="38" t="s">
        <v>270</v>
      </c>
      <c r="S2533" s="38" t="s">
        <v>6020</v>
      </c>
      <c r="T2533" s="38" t="s">
        <v>6024</v>
      </c>
      <c r="U2533" s="38"/>
      <c r="V2533"/>
      <c r="W2533"/>
      <c r="X2533" s="14"/>
      <c r="AN2533" s="7" t="s">
        <v>70</v>
      </c>
      <c r="AO2533" s="21">
        <f t="shared" si="125"/>
        <v>0</v>
      </c>
      <c r="AP2533" s="7">
        <f t="shared" si="126"/>
        <v>25.88</v>
      </c>
      <c r="AQ2533" s="31" t="str">
        <f t="shared" si="127"/>
        <v>Complete - No Adjustment</v>
      </c>
    </row>
    <row r="2534" spans="1:43" x14ac:dyDescent="0.2">
      <c r="A2534" s="46">
        <v>2524</v>
      </c>
      <c r="B2534" s="38" t="s">
        <v>266</v>
      </c>
      <c r="C2534" s="38" t="s">
        <v>694</v>
      </c>
      <c r="D2534" s="38" t="s">
        <v>693</v>
      </c>
      <c r="E2534" s="38" t="s">
        <v>6018</v>
      </c>
      <c r="F2534" s="38" t="s">
        <v>5939</v>
      </c>
      <c r="G2534" s="38" t="s">
        <v>111</v>
      </c>
      <c r="H2534" s="44">
        <v>44151</v>
      </c>
      <c r="I2534" s="44">
        <v>44153</v>
      </c>
      <c r="J2534">
        <v>122.53</v>
      </c>
      <c r="K2534">
        <v>6.89</v>
      </c>
      <c r="L2534" t="s">
        <v>6019</v>
      </c>
      <c r="M2534" s="45" t="s">
        <v>98</v>
      </c>
      <c r="N2534" s="38" t="s">
        <v>230</v>
      </c>
      <c r="O2534" s="38" t="s">
        <v>277</v>
      </c>
      <c r="P2534" s="38" t="s">
        <v>60</v>
      </c>
      <c r="Q2534" s="38" t="s">
        <v>44</v>
      </c>
      <c r="R2534" s="38" t="s">
        <v>270</v>
      </c>
      <c r="S2534" s="38" t="s">
        <v>6020</v>
      </c>
      <c r="T2534" s="38" t="s">
        <v>6025</v>
      </c>
      <c r="U2534" s="38"/>
      <c r="V2534"/>
      <c r="W2534"/>
      <c r="X2534" s="14"/>
      <c r="AN2534" s="7" t="s">
        <v>70</v>
      </c>
      <c r="AO2534" s="21">
        <f t="shared" si="125"/>
        <v>0</v>
      </c>
      <c r="AP2534" s="7">
        <f t="shared" si="126"/>
        <v>6.89</v>
      </c>
      <c r="AQ2534" s="31" t="str">
        <f t="shared" si="127"/>
        <v>Complete - No Adjustment</v>
      </c>
    </row>
    <row r="2535" spans="1:43" x14ac:dyDescent="0.2">
      <c r="A2535" s="46">
        <v>2525</v>
      </c>
      <c r="B2535" s="38" t="s">
        <v>266</v>
      </c>
      <c r="C2535" s="38" t="s">
        <v>694</v>
      </c>
      <c r="D2535" s="38" t="s">
        <v>693</v>
      </c>
      <c r="E2535" s="38" t="s">
        <v>6018</v>
      </c>
      <c r="F2535" s="38" t="s">
        <v>5939</v>
      </c>
      <c r="G2535" s="38" t="s">
        <v>111</v>
      </c>
      <c r="H2535" s="44">
        <v>44151</v>
      </c>
      <c r="I2535" s="44">
        <v>44153</v>
      </c>
      <c r="J2535">
        <v>122.53</v>
      </c>
      <c r="K2535">
        <v>13.8</v>
      </c>
      <c r="L2535" t="s">
        <v>6019</v>
      </c>
      <c r="M2535" s="45" t="s">
        <v>98</v>
      </c>
      <c r="N2535" s="38" t="s">
        <v>230</v>
      </c>
      <c r="O2535" s="38" t="s">
        <v>277</v>
      </c>
      <c r="P2535" s="38" t="s">
        <v>60</v>
      </c>
      <c r="Q2535" s="38" t="s">
        <v>44</v>
      </c>
      <c r="R2535" s="38" t="s">
        <v>270</v>
      </c>
      <c r="S2535" s="38" t="s">
        <v>6020</v>
      </c>
      <c r="T2535" s="38" t="s">
        <v>6026</v>
      </c>
      <c r="U2535" s="38"/>
      <c r="V2535"/>
      <c r="W2535"/>
      <c r="X2535" s="14"/>
      <c r="AN2535" s="7" t="s">
        <v>70</v>
      </c>
      <c r="AO2535" s="21">
        <f t="shared" si="125"/>
        <v>0</v>
      </c>
      <c r="AP2535" s="7">
        <f t="shared" si="126"/>
        <v>13.8</v>
      </c>
      <c r="AQ2535" s="31" t="str">
        <f t="shared" si="127"/>
        <v>Complete - No Adjustment</v>
      </c>
    </row>
    <row r="2536" spans="1:43" x14ac:dyDescent="0.2">
      <c r="A2536" s="46">
        <v>2526</v>
      </c>
      <c r="B2536" s="38" t="s">
        <v>266</v>
      </c>
      <c r="C2536" s="38" t="s">
        <v>694</v>
      </c>
      <c r="D2536" s="38" t="s">
        <v>693</v>
      </c>
      <c r="E2536" s="38" t="s">
        <v>6018</v>
      </c>
      <c r="F2536" s="38" t="s">
        <v>5939</v>
      </c>
      <c r="G2536" s="38" t="s">
        <v>111</v>
      </c>
      <c r="H2536" s="44">
        <v>44151</v>
      </c>
      <c r="I2536" s="44">
        <v>44153</v>
      </c>
      <c r="J2536">
        <v>122.53</v>
      </c>
      <c r="K2536">
        <v>7.53</v>
      </c>
      <c r="L2536" t="s">
        <v>6019</v>
      </c>
      <c r="M2536" s="45" t="s">
        <v>98</v>
      </c>
      <c r="N2536" s="38" t="s">
        <v>230</v>
      </c>
      <c r="O2536" s="38" t="s">
        <v>277</v>
      </c>
      <c r="P2536" s="38" t="s">
        <v>60</v>
      </c>
      <c r="Q2536" s="38" t="s">
        <v>44</v>
      </c>
      <c r="R2536" s="38" t="s">
        <v>270</v>
      </c>
      <c r="S2536" s="38" t="s">
        <v>6020</v>
      </c>
      <c r="T2536" s="38" t="s">
        <v>6027</v>
      </c>
      <c r="U2536" s="38"/>
      <c r="V2536"/>
      <c r="W2536"/>
      <c r="X2536" s="14"/>
      <c r="AN2536" s="7" t="s">
        <v>70</v>
      </c>
      <c r="AO2536" s="21">
        <f t="shared" si="125"/>
        <v>0</v>
      </c>
      <c r="AP2536" s="7">
        <f t="shared" si="126"/>
        <v>7.53</v>
      </c>
      <c r="AQ2536" s="31" t="str">
        <f t="shared" si="127"/>
        <v>Complete - No Adjustment</v>
      </c>
    </row>
    <row r="2537" spans="1:43" x14ac:dyDescent="0.2">
      <c r="A2537" s="46">
        <v>2527</v>
      </c>
      <c r="B2537" s="38" t="s">
        <v>266</v>
      </c>
      <c r="C2537" s="38" t="s">
        <v>672</v>
      </c>
      <c r="D2537" s="38" t="s">
        <v>671</v>
      </c>
      <c r="E2537" s="38" t="s">
        <v>6028</v>
      </c>
      <c r="F2537" s="38" t="s">
        <v>5907</v>
      </c>
      <c r="G2537" s="38" t="s">
        <v>111</v>
      </c>
      <c r="H2537" s="44">
        <v>44153</v>
      </c>
      <c r="I2537" s="44">
        <v>44155</v>
      </c>
      <c r="J2537">
        <v>30</v>
      </c>
      <c r="K2537">
        <v>30</v>
      </c>
      <c r="L2537" t="s">
        <v>6029</v>
      </c>
      <c r="M2537" s="45" t="s">
        <v>98</v>
      </c>
      <c r="N2537" s="38" t="s">
        <v>230</v>
      </c>
      <c r="O2537" s="38" t="s">
        <v>673</v>
      </c>
      <c r="P2537" s="38" t="s">
        <v>60</v>
      </c>
      <c r="Q2537" s="38" t="s">
        <v>41</v>
      </c>
      <c r="R2537" s="38" t="s">
        <v>270</v>
      </c>
      <c r="S2537" s="38" t="s">
        <v>6030</v>
      </c>
      <c r="T2537" s="38" t="s">
        <v>6031</v>
      </c>
      <c r="U2537" s="38"/>
      <c r="V2537"/>
      <c r="W2537"/>
      <c r="X2537" s="14"/>
      <c r="AI2537" s="53">
        <f>30</f>
        <v>30</v>
      </c>
      <c r="AN2537" s="7" t="s">
        <v>145</v>
      </c>
      <c r="AO2537" s="21">
        <f t="shared" si="125"/>
        <v>30</v>
      </c>
      <c r="AP2537" s="7">
        <f t="shared" si="126"/>
        <v>0</v>
      </c>
      <c r="AQ2537" s="31" t="str">
        <f t="shared" si="127"/>
        <v>Complete - With Adjustment</v>
      </c>
    </row>
    <row r="2538" spans="1:43" x14ac:dyDescent="0.2">
      <c r="A2538" s="46">
        <v>2528</v>
      </c>
      <c r="B2538" s="38" t="s">
        <v>266</v>
      </c>
      <c r="C2538" s="38" t="s">
        <v>371</v>
      </c>
      <c r="D2538" s="38" t="s">
        <v>370</v>
      </c>
      <c r="E2538" s="38" t="s">
        <v>6032</v>
      </c>
      <c r="F2538" s="38" t="s">
        <v>5997</v>
      </c>
      <c r="G2538" s="38" t="s">
        <v>111</v>
      </c>
      <c r="H2538" s="44">
        <v>44141</v>
      </c>
      <c r="I2538" s="44">
        <v>44147</v>
      </c>
      <c r="J2538">
        <v>170.43</v>
      </c>
      <c r="K2538">
        <v>28.31</v>
      </c>
      <c r="L2538" t="s">
        <v>6033</v>
      </c>
      <c r="M2538" s="45" t="s">
        <v>98</v>
      </c>
      <c r="N2538" s="38" t="s">
        <v>230</v>
      </c>
      <c r="O2538" s="38" t="s">
        <v>269</v>
      </c>
      <c r="P2538" s="38" t="s">
        <v>60</v>
      </c>
      <c r="Q2538" s="38" t="s">
        <v>41</v>
      </c>
      <c r="R2538" s="38" t="s">
        <v>270</v>
      </c>
      <c r="S2538" s="38" t="s">
        <v>6034</v>
      </c>
      <c r="T2538" s="38" t="s">
        <v>6035</v>
      </c>
      <c r="U2538" s="38"/>
      <c r="V2538"/>
      <c r="W2538"/>
      <c r="X2538" s="14"/>
      <c r="AN2538" s="7" t="s">
        <v>70</v>
      </c>
      <c r="AO2538" s="21">
        <f t="shared" si="125"/>
        <v>0</v>
      </c>
      <c r="AP2538" s="7">
        <f t="shared" si="126"/>
        <v>28.31</v>
      </c>
      <c r="AQ2538" s="31" t="str">
        <f t="shared" si="127"/>
        <v>Complete - No Adjustment</v>
      </c>
    </row>
    <row r="2539" spans="1:43" x14ac:dyDescent="0.2">
      <c r="A2539" s="46">
        <v>2529</v>
      </c>
      <c r="B2539" s="38" t="s">
        <v>266</v>
      </c>
      <c r="C2539" s="38" t="s">
        <v>371</v>
      </c>
      <c r="D2539" s="38" t="s">
        <v>370</v>
      </c>
      <c r="E2539" s="38" t="s">
        <v>6032</v>
      </c>
      <c r="F2539" s="38" t="s">
        <v>5997</v>
      </c>
      <c r="G2539" s="38" t="s">
        <v>111</v>
      </c>
      <c r="H2539" s="44">
        <v>44141</v>
      </c>
      <c r="I2539" s="44">
        <v>44147</v>
      </c>
      <c r="J2539">
        <v>170.43</v>
      </c>
      <c r="K2539">
        <v>110</v>
      </c>
      <c r="L2539" t="s">
        <v>6033</v>
      </c>
      <c r="M2539" s="45" t="s">
        <v>98</v>
      </c>
      <c r="N2539" s="38" t="s">
        <v>230</v>
      </c>
      <c r="O2539" s="38" t="s">
        <v>269</v>
      </c>
      <c r="P2539" s="38" t="s">
        <v>60</v>
      </c>
      <c r="Q2539" s="38" t="s">
        <v>74</v>
      </c>
      <c r="R2539" s="38" t="s">
        <v>270</v>
      </c>
      <c r="S2539" s="38" t="s">
        <v>6034</v>
      </c>
      <c r="T2539" s="38" t="s">
        <v>6036</v>
      </c>
      <c r="U2539" s="38"/>
      <c r="V2539"/>
      <c r="W2539"/>
      <c r="X2539" s="14"/>
      <c r="AN2539" s="7" t="s">
        <v>70</v>
      </c>
      <c r="AO2539" s="21">
        <f t="shared" si="125"/>
        <v>0</v>
      </c>
      <c r="AP2539" s="7">
        <f t="shared" si="126"/>
        <v>110</v>
      </c>
      <c r="AQ2539" s="31" t="str">
        <f t="shared" si="127"/>
        <v>Complete - No Adjustment</v>
      </c>
    </row>
    <row r="2540" spans="1:43" x14ac:dyDescent="0.2">
      <c r="A2540" s="46">
        <v>2530</v>
      </c>
      <c r="B2540" s="38" t="s">
        <v>266</v>
      </c>
      <c r="C2540" s="38" t="s">
        <v>371</v>
      </c>
      <c r="D2540" s="38" t="s">
        <v>370</v>
      </c>
      <c r="E2540" s="38" t="s">
        <v>6032</v>
      </c>
      <c r="F2540" s="38" t="s">
        <v>5997</v>
      </c>
      <c r="G2540" s="38" t="s">
        <v>111</v>
      </c>
      <c r="H2540" s="44">
        <v>44141</v>
      </c>
      <c r="I2540" s="44">
        <v>44147</v>
      </c>
      <c r="J2540">
        <v>170.43</v>
      </c>
      <c r="K2540">
        <v>32.119999999999997</v>
      </c>
      <c r="L2540" t="s">
        <v>6033</v>
      </c>
      <c r="M2540" s="45" t="s">
        <v>98</v>
      </c>
      <c r="N2540" s="38" t="s">
        <v>230</v>
      </c>
      <c r="O2540" s="38" t="s">
        <v>269</v>
      </c>
      <c r="P2540" s="38" t="s">
        <v>60</v>
      </c>
      <c r="Q2540" s="38" t="s">
        <v>41</v>
      </c>
      <c r="R2540" s="38" t="s">
        <v>270</v>
      </c>
      <c r="S2540" s="38" t="s">
        <v>6034</v>
      </c>
      <c r="T2540" s="38" t="s">
        <v>6037</v>
      </c>
      <c r="U2540" s="38"/>
      <c r="V2540"/>
      <c r="W2540"/>
      <c r="X2540" s="14"/>
      <c r="AL2540" s="14">
        <f>32.12</f>
        <v>32.119999999999997</v>
      </c>
      <c r="AN2540" s="7" t="s">
        <v>146</v>
      </c>
      <c r="AO2540" s="21">
        <f t="shared" si="125"/>
        <v>32.119999999999997</v>
      </c>
      <c r="AP2540" s="7">
        <f t="shared" si="126"/>
        <v>0</v>
      </c>
      <c r="AQ2540" s="31" t="str">
        <f t="shared" si="127"/>
        <v>Complete - With Adjustment</v>
      </c>
    </row>
    <row r="2541" spans="1:43" x14ac:dyDescent="0.2">
      <c r="A2541" s="46">
        <v>2531</v>
      </c>
      <c r="B2541" s="38" t="s">
        <v>266</v>
      </c>
      <c r="C2541" s="38" t="s">
        <v>650</v>
      </c>
      <c r="D2541" s="38" t="s">
        <v>649</v>
      </c>
      <c r="E2541" s="38" t="s">
        <v>6038</v>
      </c>
      <c r="F2541" s="38" t="s">
        <v>5986</v>
      </c>
      <c r="G2541" s="38" t="s">
        <v>111</v>
      </c>
      <c r="H2541" s="44">
        <v>44139</v>
      </c>
      <c r="I2541" s="44">
        <v>44148</v>
      </c>
      <c r="J2541">
        <v>45.93</v>
      </c>
      <c r="K2541">
        <v>22.21</v>
      </c>
      <c r="L2541" t="s">
        <v>6039</v>
      </c>
      <c r="M2541" s="45" t="s">
        <v>98</v>
      </c>
      <c r="N2541" s="38" t="s">
        <v>230</v>
      </c>
      <c r="O2541" s="38" t="s">
        <v>317</v>
      </c>
      <c r="P2541" s="38" t="s">
        <v>60</v>
      </c>
      <c r="Q2541" s="38" t="s">
        <v>41</v>
      </c>
      <c r="R2541" s="38" t="s">
        <v>270</v>
      </c>
      <c r="S2541" s="38" t="s">
        <v>6040</v>
      </c>
      <c r="T2541" s="38" t="s">
        <v>1815</v>
      </c>
      <c r="U2541" s="38"/>
      <c r="V2541"/>
      <c r="W2541"/>
      <c r="X2541" s="14"/>
      <c r="AL2541" s="14">
        <f>22.21</f>
        <v>22.21</v>
      </c>
      <c r="AN2541" s="7" t="s">
        <v>146</v>
      </c>
      <c r="AO2541" s="21">
        <f t="shared" si="125"/>
        <v>22.21</v>
      </c>
      <c r="AP2541" s="7">
        <f t="shared" si="126"/>
        <v>0</v>
      </c>
      <c r="AQ2541" s="31" t="str">
        <f t="shared" si="127"/>
        <v>Complete - With Adjustment</v>
      </c>
    </row>
    <row r="2542" spans="1:43" x14ac:dyDescent="0.2">
      <c r="A2542" s="46">
        <v>2532</v>
      </c>
      <c r="B2542" s="38" t="s">
        <v>266</v>
      </c>
      <c r="C2542" s="38" t="s">
        <v>650</v>
      </c>
      <c r="D2542" s="38" t="s">
        <v>649</v>
      </c>
      <c r="E2542" s="38" t="s">
        <v>6038</v>
      </c>
      <c r="F2542" s="38" t="s">
        <v>5986</v>
      </c>
      <c r="G2542" s="38" t="s">
        <v>111</v>
      </c>
      <c r="H2542" s="44">
        <v>44139</v>
      </c>
      <c r="I2542" s="44">
        <v>44148</v>
      </c>
      <c r="J2542">
        <v>45.93</v>
      </c>
      <c r="K2542">
        <v>23.72</v>
      </c>
      <c r="L2542" t="s">
        <v>6039</v>
      </c>
      <c r="M2542" s="45" t="s">
        <v>98</v>
      </c>
      <c r="N2542" s="38" t="s">
        <v>230</v>
      </c>
      <c r="O2542" s="38" t="s">
        <v>317</v>
      </c>
      <c r="P2542" s="38" t="s">
        <v>60</v>
      </c>
      <c r="Q2542" s="38" t="s">
        <v>41</v>
      </c>
      <c r="R2542" s="38" t="s">
        <v>270</v>
      </c>
      <c r="S2542" s="38" t="s">
        <v>6040</v>
      </c>
      <c r="T2542" s="38" t="s">
        <v>6041</v>
      </c>
      <c r="U2542" s="38"/>
      <c r="V2542"/>
      <c r="W2542"/>
      <c r="X2542" s="14"/>
      <c r="AN2542" s="7" t="s">
        <v>70</v>
      </c>
      <c r="AO2542" s="21">
        <f t="shared" si="125"/>
        <v>0</v>
      </c>
      <c r="AP2542" s="7">
        <f t="shared" si="126"/>
        <v>23.72</v>
      </c>
      <c r="AQ2542" s="31" t="str">
        <f t="shared" si="127"/>
        <v>Complete - No Adjustment</v>
      </c>
    </row>
    <row r="2543" spans="1:43" x14ac:dyDescent="0.2">
      <c r="A2543" s="46">
        <v>2533</v>
      </c>
      <c r="B2543" s="38" t="s">
        <v>266</v>
      </c>
      <c r="C2543" s="38" t="s">
        <v>650</v>
      </c>
      <c r="D2543" s="38" t="s">
        <v>649</v>
      </c>
      <c r="E2543" s="38" t="s">
        <v>6042</v>
      </c>
      <c r="F2543" s="38" t="s">
        <v>5986</v>
      </c>
      <c r="G2543" s="38" t="s">
        <v>111</v>
      </c>
      <c r="H2543" s="44">
        <v>44130</v>
      </c>
      <c r="I2543" s="44">
        <v>44148</v>
      </c>
      <c r="J2543">
        <v>130.13</v>
      </c>
      <c r="K2543">
        <v>80.150000000000006</v>
      </c>
      <c r="L2543" t="s">
        <v>6043</v>
      </c>
      <c r="M2543" s="45" t="s">
        <v>98</v>
      </c>
      <c r="N2543" s="38" t="s">
        <v>230</v>
      </c>
      <c r="O2543" s="38" t="s">
        <v>317</v>
      </c>
      <c r="P2543" s="38" t="s">
        <v>60</v>
      </c>
      <c r="Q2543" s="38" t="s">
        <v>41</v>
      </c>
      <c r="R2543" s="38" t="s">
        <v>270</v>
      </c>
      <c r="S2543" s="38" t="s">
        <v>6044</v>
      </c>
      <c r="T2543" s="38" t="s">
        <v>6045</v>
      </c>
      <c r="U2543" s="38"/>
      <c r="V2543"/>
      <c r="W2543"/>
      <c r="X2543" s="14"/>
      <c r="AI2543" s="53">
        <f>80.15</f>
        <v>80.150000000000006</v>
      </c>
      <c r="AN2543" s="7" t="s">
        <v>145</v>
      </c>
      <c r="AO2543" s="21">
        <f t="shared" si="125"/>
        <v>80.150000000000006</v>
      </c>
      <c r="AP2543" s="7">
        <f t="shared" si="126"/>
        <v>0</v>
      </c>
      <c r="AQ2543" s="31" t="str">
        <f t="shared" si="127"/>
        <v>Complete - With Adjustment</v>
      </c>
    </row>
    <row r="2544" spans="1:43" x14ac:dyDescent="0.2">
      <c r="A2544" s="46">
        <v>2534</v>
      </c>
      <c r="B2544" s="38" t="s">
        <v>266</v>
      </c>
      <c r="C2544" s="38" t="s">
        <v>650</v>
      </c>
      <c r="D2544" s="38" t="s">
        <v>649</v>
      </c>
      <c r="E2544" s="38" t="s">
        <v>6042</v>
      </c>
      <c r="F2544" s="38" t="s">
        <v>5986</v>
      </c>
      <c r="G2544" s="38" t="s">
        <v>111</v>
      </c>
      <c r="H2544" s="44">
        <v>44130</v>
      </c>
      <c r="I2544" s="44">
        <v>44148</v>
      </c>
      <c r="J2544">
        <v>130.13</v>
      </c>
      <c r="K2544">
        <v>16.66</v>
      </c>
      <c r="L2544" t="s">
        <v>6043</v>
      </c>
      <c r="M2544" s="45" t="s">
        <v>98</v>
      </c>
      <c r="N2544" s="38" t="s">
        <v>230</v>
      </c>
      <c r="O2544" s="38" t="s">
        <v>317</v>
      </c>
      <c r="P2544" s="38" t="s">
        <v>60</v>
      </c>
      <c r="Q2544" s="38" t="s">
        <v>41</v>
      </c>
      <c r="R2544" s="38" t="s">
        <v>270</v>
      </c>
      <c r="S2544" s="38" t="s">
        <v>6044</v>
      </c>
      <c r="T2544" s="38" t="s">
        <v>6046</v>
      </c>
      <c r="U2544" s="38"/>
      <c r="V2544"/>
      <c r="W2544"/>
      <c r="X2544" s="14"/>
      <c r="AI2544" s="53">
        <f>16.66</f>
        <v>16.66</v>
      </c>
      <c r="AN2544" s="7" t="s">
        <v>145</v>
      </c>
      <c r="AO2544" s="21">
        <f t="shared" si="125"/>
        <v>16.66</v>
      </c>
      <c r="AP2544" s="7">
        <f t="shared" si="126"/>
        <v>0</v>
      </c>
      <c r="AQ2544" s="31" t="str">
        <f t="shared" si="127"/>
        <v>Complete - With Adjustment</v>
      </c>
    </row>
    <row r="2545" spans="1:43" x14ac:dyDescent="0.2">
      <c r="A2545" s="46">
        <v>2535</v>
      </c>
      <c r="B2545" s="38" t="s">
        <v>266</v>
      </c>
      <c r="C2545" s="38" t="s">
        <v>650</v>
      </c>
      <c r="D2545" s="38" t="s">
        <v>649</v>
      </c>
      <c r="E2545" s="38" t="s">
        <v>6042</v>
      </c>
      <c r="F2545" s="38" t="s">
        <v>5986</v>
      </c>
      <c r="G2545" s="38" t="s">
        <v>111</v>
      </c>
      <c r="H2545" s="44">
        <v>44130</v>
      </c>
      <c r="I2545" s="44">
        <v>44148</v>
      </c>
      <c r="J2545">
        <v>130.13</v>
      </c>
      <c r="K2545">
        <v>16.66</v>
      </c>
      <c r="L2545" t="s">
        <v>6043</v>
      </c>
      <c r="M2545" s="45" t="s">
        <v>98</v>
      </c>
      <c r="N2545" s="38" t="s">
        <v>230</v>
      </c>
      <c r="O2545" s="38" t="s">
        <v>317</v>
      </c>
      <c r="P2545" s="38" t="s">
        <v>60</v>
      </c>
      <c r="Q2545" s="38" t="s">
        <v>41</v>
      </c>
      <c r="R2545" s="38" t="s">
        <v>270</v>
      </c>
      <c r="S2545" s="38" t="s">
        <v>6044</v>
      </c>
      <c r="T2545" s="38" t="s">
        <v>6047</v>
      </c>
      <c r="U2545" s="38"/>
      <c r="V2545"/>
      <c r="W2545"/>
      <c r="X2545" s="14"/>
      <c r="AI2545" s="53">
        <f>16.66</f>
        <v>16.66</v>
      </c>
      <c r="AN2545" s="7" t="s">
        <v>145</v>
      </c>
      <c r="AO2545" s="21">
        <f t="shared" si="125"/>
        <v>16.66</v>
      </c>
      <c r="AP2545" s="7">
        <f t="shared" si="126"/>
        <v>0</v>
      </c>
      <c r="AQ2545" s="31" t="str">
        <f t="shared" si="127"/>
        <v>Complete - With Adjustment</v>
      </c>
    </row>
    <row r="2546" spans="1:43" x14ac:dyDescent="0.2">
      <c r="A2546" s="46">
        <v>2536</v>
      </c>
      <c r="B2546" s="38" t="s">
        <v>266</v>
      </c>
      <c r="C2546" s="38" t="s">
        <v>650</v>
      </c>
      <c r="D2546" s="38" t="s">
        <v>649</v>
      </c>
      <c r="E2546" s="38" t="s">
        <v>6042</v>
      </c>
      <c r="F2546" s="38" t="s">
        <v>5986</v>
      </c>
      <c r="G2546" s="38" t="s">
        <v>111</v>
      </c>
      <c r="H2546" s="44">
        <v>44130</v>
      </c>
      <c r="I2546" s="44">
        <v>44148</v>
      </c>
      <c r="J2546">
        <v>130.13</v>
      </c>
      <c r="K2546">
        <v>16.66</v>
      </c>
      <c r="L2546" t="s">
        <v>6043</v>
      </c>
      <c r="M2546" s="45" t="s">
        <v>98</v>
      </c>
      <c r="N2546" s="38" t="s">
        <v>230</v>
      </c>
      <c r="O2546" s="38" t="s">
        <v>317</v>
      </c>
      <c r="P2546" s="38" t="s">
        <v>60</v>
      </c>
      <c r="Q2546" s="38" t="s">
        <v>41</v>
      </c>
      <c r="R2546" s="38" t="s">
        <v>270</v>
      </c>
      <c r="S2546" s="38" t="s">
        <v>6044</v>
      </c>
      <c r="T2546" s="38" t="s">
        <v>6048</v>
      </c>
      <c r="U2546" s="38"/>
      <c r="V2546"/>
      <c r="W2546"/>
      <c r="X2546" s="14"/>
      <c r="AI2546" s="53">
        <f>16.66</f>
        <v>16.66</v>
      </c>
      <c r="AN2546" s="7" t="s">
        <v>145</v>
      </c>
      <c r="AO2546" s="21">
        <f t="shared" si="125"/>
        <v>16.66</v>
      </c>
      <c r="AP2546" s="7">
        <f t="shared" si="126"/>
        <v>0</v>
      </c>
      <c r="AQ2546" s="31" t="str">
        <f t="shared" si="127"/>
        <v>Complete - With Adjustment</v>
      </c>
    </row>
    <row r="2547" spans="1:43" x14ac:dyDescent="0.2">
      <c r="A2547" s="46">
        <v>2537</v>
      </c>
      <c r="B2547" s="38" t="s">
        <v>266</v>
      </c>
      <c r="C2547" s="38" t="s">
        <v>600</v>
      </c>
      <c r="D2547" s="38" t="s">
        <v>599</v>
      </c>
      <c r="E2547" s="38" t="s">
        <v>6049</v>
      </c>
      <c r="F2547" s="38" t="s">
        <v>5890</v>
      </c>
      <c r="G2547" s="38" t="s">
        <v>111</v>
      </c>
      <c r="H2547" s="44">
        <v>44134</v>
      </c>
      <c r="I2547" s="44">
        <v>44144</v>
      </c>
      <c r="J2547">
        <v>38.96</v>
      </c>
      <c r="K2547">
        <v>38.96</v>
      </c>
      <c r="L2547" t="s">
        <v>6050</v>
      </c>
      <c r="M2547" s="45" t="s">
        <v>98</v>
      </c>
      <c r="N2547" s="38" t="s">
        <v>230</v>
      </c>
      <c r="O2547" s="38" t="s">
        <v>287</v>
      </c>
      <c r="P2547" s="38" t="s">
        <v>60</v>
      </c>
      <c r="Q2547" s="38" t="s">
        <v>62</v>
      </c>
      <c r="R2547" s="38" t="s">
        <v>270</v>
      </c>
      <c r="S2547" s="38" t="s">
        <v>6051</v>
      </c>
      <c r="T2547" s="38" t="s">
        <v>6052</v>
      </c>
      <c r="U2547" s="38"/>
      <c r="V2547"/>
      <c r="W2547"/>
      <c r="X2547" s="14"/>
      <c r="AN2547" s="7" t="s">
        <v>70</v>
      </c>
      <c r="AO2547" s="21">
        <f t="shared" si="125"/>
        <v>0</v>
      </c>
      <c r="AP2547" s="7">
        <f t="shared" si="126"/>
        <v>38.96</v>
      </c>
      <c r="AQ2547" s="31" t="str">
        <f t="shared" si="127"/>
        <v>Complete - No Adjustment</v>
      </c>
    </row>
    <row r="2548" spans="1:43" x14ac:dyDescent="0.2">
      <c r="A2548" s="46">
        <v>2538</v>
      </c>
      <c r="B2548" s="38" t="s">
        <v>266</v>
      </c>
      <c r="C2548" s="38" t="s">
        <v>3911</v>
      </c>
      <c r="D2548" s="38" t="s">
        <v>3912</v>
      </c>
      <c r="E2548" s="38" t="s">
        <v>6053</v>
      </c>
      <c r="F2548" s="38" t="s">
        <v>5899</v>
      </c>
      <c r="G2548" s="38" t="s">
        <v>111</v>
      </c>
      <c r="H2548" s="44">
        <v>44134</v>
      </c>
      <c r="I2548" s="44">
        <v>44141</v>
      </c>
      <c r="J2548">
        <v>341.55</v>
      </c>
      <c r="K2548">
        <v>341.55</v>
      </c>
      <c r="L2548" t="s">
        <v>6054</v>
      </c>
      <c r="M2548" s="45" t="s">
        <v>98</v>
      </c>
      <c r="N2548" s="38" t="s">
        <v>230</v>
      </c>
      <c r="O2548" s="38" t="s">
        <v>314</v>
      </c>
      <c r="P2548" s="38" t="s">
        <v>60</v>
      </c>
      <c r="Q2548" s="38" t="s">
        <v>44</v>
      </c>
      <c r="R2548" s="38" t="s">
        <v>270</v>
      </c>
      <c r="S2548" s="38" t="s">
        <v>6055</v>
      </c>
      <c r="T2548" s="38" t="s">
        <v>6056</v>
      </c>
      <c r="U2548" s="38"/>
      <c r="V2548"/>
      <c r="W2548"/>
      <c r="X2548" s="14"/>
      <c r="AN2548" s="7" t="s">
        <v>70</v>
      </c>
      <c r="AO2548" s="21">
        <f t="shared" si="125"/>
        <v>0</v>
      </c>
      <c r="AP2548" s="7">
        <f t="shared" si="126"/>
        <v>341.55</v>
      </c>
      <c r="AQ2548" s="31" t="str">
        <f t="shared" si="127"/>
        <v>Complete - No Adjustment</v>
      </c>
    </row>
    <row r="2549" spans="1:43" x14ac:dyDescent="0.2">
      <c r="A2549" s="46">
        <v>2539</v>
      </c>
      <c r="B2549" s="38" t="s">
        <v>266</v>
      </c>
      <c r="C2549" s="38" t="s">
        <v>530</v>
      </c>
      <c r="D2549" s="38" t="s">
        <v>529</v>
      </c>
      <c r="E2549" s="38" t="s">
        <v>6057</v>
      </c>
      <c r="F2549" s="38" t="s">
        <v>5917</v>
      </c>
      <c r="G2549" s="38" t="s">
        <v>111</v>
      </c>
      <c r="H2549" s="44">
        <v>44147</v>
      </c>
      <c r="I2549" s="44">
        <v>44151</v>
      </c>
      <c r="J2549">
        <v>10.68</v>
      </c>
      <c r="K2549">
        <v>10.68</v>
      </c>
      <c r="L2549" t="s">
        <v>6058</v>
      </c>
      <c r="M2549" s="45" t="s">
        <v>98</v>
      </c>
      <c r="N2549" s="38" t="s">
        <v>230</v>
      </c>
      <c r="O2549" s="38" t="s">
        <v>292</v>
      </c>
      <c r="P2549" s="38" t="s">
        <v>60</v>
      </c>
      <c r="Q2549" s="38" t="s">
        <v>41</v>
      </c>
      <c r="R2549" s="38" t="s">
        <v>270</v>
      </c>
      <c r="S2549" s="38" t="s">
        <v>6059</v>
      </c>
      <c r="T2549" s="38" t="s">
        <v>6060</v>
      </c>
      <c r="U2549" s="38"/>
      <c r="V2549"/>
      <c r="W2549"/>
      <c r="X2549" s="14"/>
      <c r="AN2549" s="7" t="s">
        <v>155</v>
      </c>
      <c r="AO2549" s="21">
        <f t="shared" si="125"/>
        <v>0</v>
      </c>
      <c r="AP2549" s="7">
        <f t="shared" si="126"/>
        <v>10.68</v>
      </c>
      <c r="AQ2549" s="31" t="str">
        <f t="shared" si="127"/>
        <v>Complete - No Adjustment</v>
      </c>
    </row>
    <row r="2550" spans="1:43" x14ac:dyDescent="0.2">
      <c r="A2550" s="46">
        <v>2540</v>
      </c>
      <c r="B2550" s="38" t="s">
        <v>266</v>
      </c>
      <c r="C2550" s="38" t="s">
        <v>532</v>
      </c>
      <c r="D2550" s="38" t="s">
        <v>531</v>
      </c>
      <c r="E2550" s="38" t="s">
        <v>6061</v>
      </c>
      <c r="F2550" s="38" t="s">
        <v>5939</v>
      </c>
      <c r="G2550" s="38" t="s">
        <v>111</v>
      </c>
      <c r="H2550" s="44">
        <v>44151</v>
      </c>
      <c r="I2550" s="44">
        <v>44153</v>
      </c>
      <c r="J2550">
        <v>20.23</v>
      </c>
      <c r="K2550">
        <v>20.23</v>
      </c>
      <c r="L2550" t="s">
        <v>6062</v>
      </c>
      <c r="M2550" s="45" t="s">
        <v>98</v>
      </c>
      <c r="N2550" s="38" t="s">
        <v>230</v>
      </c>
      <c r="O2550" s="38" t="s">
        <v>533</v>
      </c>
      <c r="P2550" s="38" t="s">
        <v>60</v>
      </c>
      <c r="Q2550" s="38" t="s">
        <v>46</v>
      </c>
      <c r="R2550" s="38" t="s">
        <v>270</v>
      </c>
      <c r="S2550" s="38" t="s">
        <v>6063</v>
      </c>
      <c r="T2550" s="38" t="s">
        <v>6064</v>
      </c>
      <c r="U2550" s="38"/>
      <c r="V2550"/>
      <c r="W2550"/>
      <c r="X2550" s="14"/>
      <c r="AI2550" s="53">
        <f>20.23</f>
        <v>20.23</v>
      </c>
      <c r="AN2550" s="7" t="s">
        <v>145</v>
      </c>
      <c r="AO2550" s="21">
        <f t="shared" si="125"/>
        <v>20.23</v>
      </c>
      <c r="AP2550" s="7">
        <f t="shared" si="126"/>
        <v>0</v>
      </c>
      <c r="AQ2550" s="31" t="str">
        <f t="shared" si="127"/>
        <v>Complete - With Adjustment</v>
      </c>
    </row>
    <row r="2551" spans="1:43" x14ac:dyDescent="0.2">
      <c r="A2551" s="46">
        <v>2541</v>
      </c>
      <c r="B2551" s="38" t="s">
        <v>266</v>
      </c>
      <c r="C2551" s="38" t="s">
        <v>121</v>
      </c>
      <c r="D2551" s="38" t="s">
        <v>120</v>
      </c>
      <c r="E2551" s="38" t="s">
        <v>6065</v>
      </c>
      <c r="F2551" s="38" t="s">
        <v>5903</v>
      </c>
      <c r="G2551" s="38" t="s">
        <v>111</v>
      </c>
      <c r="H2551" s="44">
        <v>44152</v>
      </c>
      <c r="I2551" s="44">
        <v>44158</v>
      </c>
      <c r="J2551">
        <v>988.96</v>
      </c>
      <c r="K2551">
        <v>67.16</v>
      </c>
      <c r="L2551" t="s">
        <v>6066</v>
      </c>
      <c r="M2551" s="45" t="s">
        <v>98</v>
      </c>
      <c r="N2551" s="38" t="s">
        <v>230</v>
      </c>
      <c r="O2551" s="38" t="s">
        <v>374</v>
      </c>
      <c r="P2551" s="38" t="s">
        <v>60</v>
      </c>
      <c r="Q2551" s="38" t="s">
        <v>44</v>
      </c>
      <c r="R2551" s="38" t="s">
        <v>270</v>
      </c>
      <c r="S2551" s="38" t="s">
        <v>6067</v>
      </c>
      <c r="T2551" s="38" t="s">
        <v>6068</v>
      </c>
      <c r="U2551" s="38"/>
      <c r="V2551"/>
      <c r="W2551"/>
      <c r="X2551" s="14"/>
      <c r="AN2551" s="7" t="s">
        <v>70</v>
      </c>
      <c r="AO2551" s="21">
        <f t="shared" si="125"/>
        <v>0</v>
      </c>
      <c r="AP2551" s="7">
        <f t="shared" si="126"/>
        <v>67.16</v>
      </c>
      <c r="AQ2551" s="31" t="str">
        <f t="shared" si="127"/>
        <v>Complete - No Adjustment</v>
      </c>
    </row>
    <row r="2552" spans="1:43" x14ac:dyDescent="0.2">
      <c r="A2552" s="46">
        <v>2542</v>
      </c>
      <c r="B2552" s="38" t="s">
        <v>266</v>
      </c>
      <c r="C2552" s="38" t="s">
        <v>121</v>
      </c>
      <c r="D2552" s="38" t="s">
        <v>120</v>
      </c>
      <c r="E2552" s="38" t="s">
        <v>6065</v>
      </c>
      <c r="F2552" s="38" t="s">
        <v>5903</v>
      </c>
      <c r="G2552" s="38" t="s">
        <v>111</v>
      </c>
      <c r="H2552" s="44">
        <v>44152</v>
      </c>
      <c r="I2552" s="44">
        <v>44158</v>
      </c>
      <c r="J2552">
        <v>988.96</v>
      </c>
      <c r="K2552">
        <v>921.8</v>
      </c>
      <c r="L2552" t="s">
        <v>6066</v>
      </c>
      <c r="M2552" s="45" t="s">
        <v>98</v>
      </c>
      <c r="N2552" s="38" t="s">
        <v>230</v>
      </c>
      <c r="O2552" s="38" t="s">
        <v>374</v>
      </c>
      <c r="P2552" s="38" t="s">
        <v>60</v>
      </c>
      <c r="Q2552" s="38" t="s">
        <v>41</v>
      </c>
      <c r="R2552" s="38" t="s">
        <v>270</v>
      </c>
      <c r="S2552" s="38" t="s">
        <v>6067</v>
      </c>
      <c r="T2552" s="38" t="s">
        <v>6069</v>
      </c>
      <c r="U2552" s="38"/>
      <c r="V2552"/>
      <c r="W2552"/>
      <c r="X2552" s="14"/>
      <c r="AI2552" s="53">
        <f>921.8</f>
        <v>921.8</v>
      </c>
      <c r="AN2552" s="7" t="s">
        <v>145</v>
      </c>
      <c r="AO2552" s="21">
        <f t="shared" si="125"/>
        <v>921.8</v>
      </c>
      <c r="AP2552" s="7">
        <f t="shared" si="126"/>
        <v>0</v>
      </c>
      <c r="AQ2552" s="31" t="str">
        <f t="shared" si="127"/>
        <v>Complete - With Adjustment</v>
      </c>
    </row>
    <row r="2553" spans="1:43" x14ac:dyDescent="0.2">
      <c r="A2553" s="46">
        <v>2543</v>
      </c>
      <c r="B2553" s="38" t="s">
        <v>266</v>
      </c>
      <c r="C2553" s="38" t="s">
        <v>391</v>
      </c>
      <c r="D2553" s="38" t="s">
        <v>390</v>
      </c>
      <c r="E2553" s="38" t="s">
        <v>6070</v>
      </c>
      <c r="F2553" s="38" t="s">
        <v>5930</v>
      </c>
      <c r="G2553" s="38" t="s">
        <v>111</v>
      </c>
      <c r="H2553" s="44">
        <v>44138</v>
      </c>
      <c r="I2553" s="44">
        <v>44140</v>
      </c>
      <c r="J2553">
        <v>144.34</v>
      </c>
      <c r="K2553">
        <v>10.35</v>
      </c>
      <c r="L2553" t="s">
        <v>6071</v>
      </c>
      <c r="M2553" s="45" t="s">
        <v>98</v>
      </c>
      <c r="N2553" s="38" t="s">
        <v>230</v>
      </c>
      <c r="O2553" s="38" t="s">
        <v>271</v>
      </c>
      <c r="P2553" s="38" t="s">
        <v>60</v>
      </c>
      <c r="Q2553" s="38" t="s">
        <v>44</v>
      </c>
      <c r="R2553" s="38" t="s">
        <v>270</v>
      </c>
      <c r="S2553" s="38" t="s">
        <v>6072</v>
      </c>
      <c r="T2553" s="38" t="s">
        <v>6073</v>
      </c>
      <c r="U2553" s="38"/>
      <c r="V2553"/>
      <c r="W2553"/>
      <c r="X2553" s="14"/>
      <c r="AK2553" s="53">
        <f>10.35</f>
        <v>10.35</v>
      </c>
      <c r="AN2553" s="7" t="s">
        <v>148</v>
      </c>
      <c r="AO2553" s="21">
        <f t="shared" si="125"/>
        <v>10.35</v>
      </c>
      <c r="AP2553" s="7">
        <f t="shared" si="126"/>
        <v>0</v>
      </c>
      <c r="AQ2553" s="31" t="str">
        <f t="shared" si="127"/>
        <v>Complete - With Adjustment</v>
      </c>
    </row>
    <row r="2554" spans="1:43" x14ac:dyDescent="0.2">
      <c r="A2554" s="46">
        <v>2544</v>
      </c>
      <c r="B2554" s="38" t="s">
        <v>266</v>
      </c>
      <c r="C2554" s="38" t="s">
        <v>391</v>
      </c>
      <c r="D2554" s="38" t="s">
        <v>390</v>
      </c>
      <c r="E2554" s="38" t="s">
        <v>6070</v>
      </c>
      <c r="F2554" s="38" t="s">
        <v>5930</v>
      </c>
      <c r="G2554" s="38" t="s">
        <v>111</v>
      </c>
      <c r="H2554" s="44">
        <v>44138</v>
      </c>
      <c r="I2554" s="44">
        <v>44140</v>
      </c>
      <c r="J2554">
        <v>144.34</v>
      </c>
      <c r="K2554">
        <v>21.85</v>
      </c>
      <c r="L2554" t="s">
        <v>6071</v>
      </c>
      <c r="M2554" s="45" t="s">
        <v>98</v>
      </c>
      <c r="N2554" s="38" t="s">
        <v>230</v>
      </c>
      <c r="O2554" s="38" t="s">
        <v>271</v>
      </c>
      <c r="P2554" s="38" t="s">
        <v>60</v>
      </c>
      <c r="Q2554" s="38" t="s">
        <v>44</v>
      </c>
      <c r="R2554" s="38" t="s">
        <v>270</v>
      </c>
      <c r="S2554" s="38" t="s">
        <v>6072</v>
      </c>
      <c r="T2554" s="38" t="s">
        <v>6074</v>
      </c>
      <c r="U2554" s="38"/>
      <c r="V2554"/>
      <c r="W2554"/>
      <c r="X2554" s="14"/>
      <c r="AK2554" s="53">
        <f>21.85</f>
        <v>21.85</v>
      </c>
      <c r="AN2554" s="7" t="s">
        <v>148</v>
      </c>
      <c r="AO2554" s="21">
        <f t="shared" si="125"/>
        <v>21.85</v>
      </c>
      <c r="AP2554" s="7">
        <f t="shared" si="126"/>
        <v>0</v>
      </c>
      <c r="AQ2554" s="31" t="str">
        <f t="shared" si="127"/>
        <v>Complete - With Adjustment</v>
      </c>
    </row>
    <row r="2555" spans="1:43" x14ac:dyDescent="0.2">
      <c r="A2555" s="46">
        <v>2545</v>
      </c>
      <c r="B2555" s="38" t="s">
        <v>266</v>
      </c>
      <c r="C2555" s="38" t="s">
        <v>391</v>
      </c>
      <c r="D2555" s="38" t="s">
        <v>390</v>
      </c>
      <c r="E2555" s="38" t="s">
        <v>6070</v>
      </c>
      <c r="F2555" s="38" t="s">
        <v>5930</v>
      </c>
      <c r="G2555" s="38" t="s">
        <v>111</v>
      </c>
      <c r="H2555" s="44">
        <v>44138</v>
      </c>
      <c r="I2555" s="44">
        <v>44140</v>
      </c>
      <c r="J2555">
        <v>144.34</v>
      </c>
      <c r="K2555">
        <v>14.38</v>
      </c>
      <c r="L2555" t="s">
        <v>6071</v>
      </c>
      <c r="M2555" s="45" t="s">
        <v>98</v>
      </c>
      <c r="N2555" s="38" t="s">
        <v>230</v>
      </c>
      <c r="O2555" s="38" t="s">
        <v>271</v>
      </c>
      <c r="P2555" s="38" t="s">
        <v>60</v>
      </c>
      <c r="Q2555" s="38" t="s">
        <v>44</v>
      </c>
      <c r="R2555" s="38" t="s">
        <v>270</v>
      </c>
      <c r="S2555" s="38" t="s">
        <v>6072</v>
      </c>
      <c r="T2555" s="38" t="s">
        <v>6075</v>
      </c>
      <c r="U2555" s="38"/>
      <c r="V2555"/>
      <c r="W2555"/>
      <c r="X2555" s="14"/>
      <c r="AK2555" s="53">
        <f>14.38</f>
        <v>14.38</v>
      </c>
      <c r="AN2555" s="7" t="s">
        <v>148</v>
      </c>
      <c r="AO2555" s="21">
        <f t="shared" si="125"/>
        <v>14.38</v>
      </c>
      <c r="AP2555" s="7">
        <f t="shared" si="126"/>
        <v>0</v>
      </c>
      <c r="AQ2555" s="31" t="str">
        <f t="shared" si="127"/>
        <v>Complete - With Adjustment</v>
      </c>
    </row>
    <row r="2556" spans="1:43" x14ac:dyDescent="0.2">
      <c r="A2556" s="46">
        <v>2546</v>
      </c>
      <c r="B2556" s="38" t="s">
        <v>266</v>
      </c>
      <c r="C2556" s="38" t="s">
        <v>391</v>
      </c>
      <c r="D2556" s="38" t="s">
        <v>390</v>
      </c>
      <c r="E2556" s="38" t="s">
        <v>6070</v>
      </c>
      <c r="F2556" s="38" t="s">
        <v>5930</v>
      </c>
      <c r="G2556" s="38" t="s">
        <v>111</v>
      </c>
      <c r="H2556" s="44">
        <v>44138</v>
      </c>
      <c r="I2556" s="44">
        <v>44140</v>
      </c>
      <c r="J2556">
        <v>144.34</v>
      </c>
      <c r="K2556">
        <v>16.100000000000001</v>
      </c>
      <c r="L2556" t="s">
        <v>6071</v>
      </c>
      <c r="M2556" s="45" t="s">
        <v>98</v>
      </c>
      <c r="N2556" s="38" t="s">
        <v>230</v>
      </c>
      <c r="O2556" s="38" t="s">
        <v>271</v>
      </c>
      <c r="P2556" s="38" t="s">
        <v>60</v>
      </c>
      <c r="Q2556" s="38" t="s">
        <v>44</v>
      </c>
      <c r="R2556" s="38" t="s">
        <v>270</v>
      </c>
      <c r="S2556" s="38" t="s">
        <v>6072</v>
      </c>
      <c r="T2556" s="38" t="s">
        <v>6076</v>
      </c>
      <c r="U2556" s="38"/>
      <c r="V2556"/>
      <c r="W2556"/>
      <c r="X2556" s="14"/>
      <c r="AK2556" s="53">
        <f>16.1</f>
        <v>16.100000000000001</v>
      </c>
      <c r="AN2556" s="7" t="s">
        <v>148</v>
      </c>
      <c r="AO2556" s="21">
        <f t="shared" si="125"/>
        <v>16.100000000000001</v>
      </c>
      <c r="AP2556" s="7">
        <f t="shared" si="126"/>
        <v>0</v>
      </c>
      <c r="AQ2556" s="31" t="str">
        <f t="shared" si="127"/>
        <v>Complete - With Adjustment</v>
      </c>
    </row>
    <row r="2557" spans="1:43" x14ac:dyDescent="0.2">
      <c r="A2557" s="46">
        <v>2547</v>
      </c>
      <c r="B2557" s="38" t="s">
        <v>266</v>
      </c>
      <c r="C2557" s="38" t="s">
        <v>391</v>
      </c>
      <c r="D2557" s="38" t="s">
        <v>390</v>
      </c>
      <c r="E2557" s="38" t="s">
        <v>6070</v>
      </c>
      <c r="F2557" s="38" t="s">
        <v>5930</v>
      </c>
      <c r="G2557" s="38" t="s">
        <v>111</v>
      </c>
      <c r="H2557" s="44">
        <v>44138</v>
      </c>
      <c r="I2557" s="44">
        <v>44140</v>
      </c>
      <c r="J2557">
        <v>144.34</v>
      </c>
      <c r="K2557">
        <v>16.100000000000001</v>
      </c>
      <c r="L2557" t="s">
        <v>6071</v>
      </c>
      <c r="M2557" s="45" t="s">
        <v>98</v>
      </c>
      <c r="N2557" s="38" t="s">
        <v>230</v>
      </c>
      <c r="O2557" s="38" t="s">
        <v>271</v>
      </c>
      <c r="P2557" s="38" t="s">
        <v>60</v>
      </c>
      <c r="Q2557" s="38" t="s">
        <v>44</v>
      </c>
      <c r="R2557" s="38" t="s">
        <v>270</v>
      </c>
      <c r="S2557" s="38" t="s">
        <v>6072</v>
      </c>
      <c r="T2557" s="38" t="s">
        <v>6077</v>
      </c>
      <c r="U2557" s="38"/>
      <c r="V2557"/>
      <c r="W2557"/>
      <c r="X2557" s="14"/>
      <c r="AK2557" s="53">
        <f>16.1</f>
        <v>16.100000000000001</v>
      </c>
      <c r="AN2557" s="7" t="s">
        <v>148</v>
      </c>
      <c r="AO2557" s="21">
        <f t="shared" si="125"/>
        <v>16.100000000000001</v>
      </c>
      <c r="AP2557" s="7">
        <f t="shared" si="126"/>
        <v>0</v>
      </c>
      <c r="AQ2557" s="31" t="str">
        <f t="shared" si="127"/>
        <v>Complete - With Adjustment</v>
      </c>
    </row>
    <row r="2558" spans="1:43" x14ac:dyDescent="0.2">
      <c r="A2558" s="46">
        <v>2548</v>
      </c>
      <c r="B2558" s="38" t="s">
        <v>266</v>
      </c>
      <c r="C2558" s="38" t="s">
        <v>391</v>
      </c>
      <c r="D2558" s="38" t="s">
        <v>390</v>
      </c>
      <c r="E2558" s="38" t="s">
        <v>6070</v>
      </c>
      <c r="F2558" s="38" t="s">
        <v>5930</v>
      </c>
      <c r="G2558" s="38" t="s">
        <v>111</v>
      </c>
      <c r="H2558" s="44">
        <v>44138</v>
      </c>
      <c r="I2558" s="44">
        <v>44140</v>
      </c>
      <c r="J2558">
        <v>144.34</v>
      </c>
      <c r="K2558">
        <v>13.23</v>
      </c>
      <c r="L2558" t="s">
        <v>6071</v>
      </c>
      <c r="M2558" s="45" t="s">
        <v>98</v>
      </c>
      <c r="N2558" s="38" t="s">
        <v>230</v>
      </c>
      <c r="O2558" s="38" t="s">
        <v>271</v>
      </c>
      <c r="P2558" s="38" t="s">
        <v>60</v>
      </c>
      <c r="Q2558" s="38" t="s">
        <v>44</v>
      </c>
      <c r="R2558" s="38" t="s">
        <v>270</v>
      </c>
      <c r="S2558" s="38" t="s">
        <v>6072</v>
      </c>
      <c r="T2558" s="38" t="s">
        <v>6078</v>
      </c>
      <c r="U2558" s="38"/>
      <c r="V2558"/>
      <c r="W2558"/>
      <c r="X2558" s="14"/>
      <c r="AK2558" s="53">
        <f>13.23</f>
        <v>13.23</v>
      </c>
      <c r="AN2558" s="7" t="s">
        <v>148</v>
      </c>
      <c r="AO2558" s="21">
        <f t="shared" si="125"/>
        <v>13.23</v>
      </c>
      <c r="AP2558" s="7">
        <f t="shared" si="126"/>
        <v>0</v>
      </c>
      <c r="AQ2558" s="31" t="str">
        <f t="shared" si="127"/>
        <v>Complete - With Adjustment</v>
      </c>
    </row>
    <row r="2559" spans="1:43" x14ac:dyDescent="0.2">
      <c r="A2559" s="46">
        <v>2549</v>
      </c>
      <c r="B2559" s="38" t="s">
        <v>266</v>
      </c>
      <c r="C2559" s="38" t="s">
        <v>391</v>
      </c>
      <c r="D2559" s="38" t="s">
        <v>390</v>
      </c>
      <c r="E2559" s="38" t="s">
        <v>6070</v>
      </c>
      <c r="F2559" s="38" t="s">
        <v>5930</v>
      </c>
      <c r="G2559" s="38" t="s">
        <v>111</v>
      </c>
      <c r="H2559" s="44">
        <v>44138</v>
      </c>
      <c r="I2559" s="44">
        <v>44140</v>
      </c>
      <c r="J2559">
        <v>144.34</v>
      </c>
      <c r="K2559">
        <v>12.65</v>
      </c>
      <c r="L2559" t="s">
        <v>6071</v>
      </c>
      <c r="M2559" s="45" t="s">
        <v>98</v>
      </c>
      <c r="N2559" s="38" t="s">
        <v>230</v>
      </c>
      <c r="O2559" s="38" t="s">
        <v>271</v>
      </c>
      <c r="P2559" s="38" t="s">
        <v>60</v>
      </c>
      <c r="Q2559" s="38" t="s">
        <v>44</v>
      </c>
      <c r="R2559" s="38" t="s">
        <v>270</v>
      </c>
      <c r="S2559" s="38" t="s">
        <v>6072</v>
      </c>
      <c r="T2559" s="38" t="s">
        <v>6079</v>
      </c>
      <c r="U2559" s="38"/>
      <c r="V2559"/>
      <c r="W2559"/>
      <c r="X2559" s="14"/>
      <c r="AK2559" s="53">
        <f>12.65</f>
        <v>12.65</v>
      </c>
      <c r="AN2559" s="7" t="s">
        <v>148</v>
      </c>
      <c r="AO2559" s="21">
        <f t="shared" si="125"/>
        <v>12.65</v>
      </c>
      <c r="AP2559" s="7">
        <f t="shared" si="126"/>
        <v>0</v>
      </c>
      <c r="AQ2559" s="31" t="str">
        <f t="shared" si="127"/>
        <v>Complete - With Adjustment</v>
      </c>
    </row>
    <row r="2560" spans="1:43" x14ac:dyDescent="0.2">
      <c r="A2560" s="46">
        <v>2550</v>
      </c>
      <c r="B2560" s="38" t="s">
        <v>266</v>
      </c>
      <c r="C2560" s="38" t="s">
        <v>391</v>
      </c>
      <c r="D2560" s="38" t="s">
        <v>390</v>
      </c>
      <c r="E2560" s="38" t="s">
        <v>6070</v>
      </c>
      <c r="F2560" s="38" t="s">
        <v>5930</v>
      </c>
      <c r="G2560" s="38" t="s">
        <v>111</v>
      </c>
      <c r="H2560" s="44">
        <v>44138</v>
      </c>
      <c r="I2560" s="44">
        <v>44140</v>
      </c>
      <c r="J2560">
        <v>144.34</v>
      </c>
      <c r="K2560">
        <v>13.23</v>
      </c>
      <c r="L2560" t="s">
        <v>6071</v>
      </c>
      <c r="M2560" s="45" t="s">
        <v>98</v>
      </c>
      <c r="N2560" s="38" t="s">
        <v>230</v>
      </c>
      <c r="O2560" s="38" t="s">
        <v>271</v>
      </c>
      <c r="P2560" s="38" t="s">
        <v>60</v>
      </c>
      <c r="Q2560" s="38" t="s">
        <v>44</v>
      </c>
      <c r="R2560" s="38" t="s">
        <v>270</v>
      </c>
      <c r="S2560" s="38" t="s">
        <v>6072</v>
      </c>
      <c r="T2560" s="38" t="s">
        <v>6080</v>
      </c>
      <c r="U2560" s="38"/>
      <c r="V2560"/>
      <c r="W2560"/>
      <c r="X2560" s="14"/>
      <c r="AK2560" s="53">
        <f>13.23</f>
        <v>13.23</v>
      </c>
      <c r="AN2560" s="7" t="s">
        <v>148</v>
      </c>
      <c r="AO2560" s="21">
        <f t="shared" si="125"/>
        <v>13.23</v>
      </c>
      <c r="AP2560" s="7">
        <f t="shared" si="126"/>
        <v>0</v>
      </c>
      <c r="AQ2560" s="31" t="str">
        <f t="shared" si="127"/>
        <v>Complete - With Adjustment</v>
      </c>
    </row>
    <row r="2561" spans="1:43" x14ac:dyDescent="0.2">
      <c r="A2561" s="46">
        <v>2551</v>
      </c>
      <c r="B2561" s="38" t="s">
        <v>266</v>
      </c>
      <c r="C2561" s="38" t="s">
        <v>391</v>
      </c>
      <c r="D2561" s="38" t="s">
        <v>390</v>
      </c>
      <c r="E2561" s="38" t="s">
        <v>6070</v>
      </c>
      <c r="F2561" s="38" t="s">
        <v>5930</v>
      </c>
      <c r="G2561" s="38" t="s">
        <v>111</v>
      </c>
      <c r="H2561" s="44">
        <v>44138</v>
      </c>
      <c r="I2561" s="44">
        <v>44140</v>
      </c>
      <c r="J2561">
        <v>144.34</v>
      </c>
      <c r="K2561">
        <v>12.65</v>
      </c>
      <c r="L2561" t="s">
        <v>6071</v>
      </c>
      <c r="M2561" s="45" t="s">
        <v>98</v>
      </c>
      <c r="N2561" s="38" t="s">
        <v>230</v>
      </c>
      <c r="O2561" s="38" t="s">
        <v>271</v>
      </c>
      <c r="P2561" s="38" t="s">
        <v>60</v>
      </c>
      <c r="Q2561" s="38" t="s">
        <v>44</v>
      </c>
      <c r="R2561" s="38" t="s">
        <v>270</v>
      </c>
      <c r="S2561" s="38" t="s">
        <v>6072</v>
      </c>
      <c r="T2561" s="38" t="s">
        <v>6081</v>
      </c>
      <c r="U2561" s="38"/>
      <c r="V2561"/>
      <c r="W2561"/>
      <c r="X2561" s="14"/>
      <c r="AK2561" s="53">
        <f>12.65</f>
        <v>12.65</v>
      </c>
      <c r="AN2561" s="7" t="s">
        <v>148</v>
      </c>
      <c r="AO2561" s="21">
        <f t="shared" si="125"/>
        <v>12.65</v>
      </c>
      <c r="AP2561" s="7">
        <f t="shared" si="126"/>
        <v>0</v>
      </c>
      <c r="AQ2561" s="31" t="str">
        <f t="shared" si="127"/>
        <v>Complete - With Adjustment</v>
      </c>
    </row>
    <row r="2562" spans="1:43" x14ac:dyDescent="0.2">
      <c r="A2562" s="46">
        <v>2552</v>
      </c>
      <c r="B2562" s="38" t="s">
        <v>266</v>
      </c>
      <c r="C2562" s="38" t="s">
        <v>391</v>
      </c>
      <c r="D2562" s="38" t="s">
        <v>390</v>
      </c>
      <c r="E2562" s="38" t="s">
        <v>6070</v>
      </c>
      <c r="F2562" s="38" t="s">
        <v>5930</v>
      </c>
      <c r="G2562" s="38" t="s">
        <v>111</v>
      </c>
      <c r="H2562" s="44">
        <v>44138</v>
      </c>
      <c r="I2562" s="44">
        <v>44140</v>
      </c>
      <c r="J2562">
        <v>144.34</v>
      </c>
      <c r="K2562">
        <v>13.8</v>
      </c>
      <c r="L2562" t="s">
        <v>6071</v>
      </c>
      <c r="M2562" s="45" t="s">
        <v>98</v>
      </c>
      <c r="N2562" s="38" t="s">
        <v>230</v>
      </c>
      <c r="O2562" s="38" t="s">
        <v>271</v>
      </c>
      <c r="P2562" s="38" t="s">
        <v>60</v>
      </c>
      <c r="Q2562" s="38" t="s">
        <v>44</v>
      </c>
      <c r="R2562" s="38" t="s">
        <v>270</v>
      </c>
      <c r="S2562" s="38" t="s">
        <v>6072</v>
      </c>
      <c r="T2562" s="38" t="s">
        <v>6082</v>
      </c>
      <c r="U2562" s="38"/>
      <c r="V2562"/>
      <c r="W2562"/>
      <c r="X2562" s="14"/>
      <c r="AK2562" s="53">
        <f>13.8</f>
        <v>13.8</v>
      </c>
      <c r="AN2562" s="7" t="s">
        <v>148</v>
      </c>
      <c r="AO2562" s="21">
        <f t="shared" si="125"/>
        <v>13.8</v>
      </c>
      <c r="AP2562" s="7">
        <f t="shared" si="126"/>
        <v>0</v>
      </c>
      <c r="AQ2562" s="31" t="str">
        <f t="shared" si="127"/>
        <v>Complete - With Adjustment</v>
      </c>
    </row>
    <row r="2563" spans="1:43" x14ac:dyDescent="0.2">
      <c r="A2563" s="46">
        <v>2553</v>
      </c>
      <c r="B2563" s="38" t="s">
        <v>266</v>
      </c>
      <c r="C2563" s="38" t="s">
        <v>393</v>
      </c>
      <c r="D2563" s="38" t="s">
        <v>392</v>
      </c>
      <c r="E2563" s="38" t="s">
        <v>6083</v>
      </c>
      <c r="F2563" s="38" t="s">
        <v>6084</v>
      </c>
      <c r="G2563" s="38" t="s">
        <v>111</v>
      </c>
      <c r="H2563" s="44">
        <v>44147</v>
      </c>
      <c r="I2563" s="44">
        <v>44152</v>
      </c>
      <c r="J2563">
        <v>13.64</v>
      </c>
      <c r="K2563">
        <v>13.64</v>
      </c>
      <c r="L2563" t="s">
        <v>6085</v>
      </c>
      <c r="M2563" s="45" t="s">
        <v>98</v>
      </c>
      <c r="N2563" s="38" t="s">
        <v>230</v>
      </c>
      <c r="O2563" s="38" t="s">
        <v>272</v>
      </c>
      <c r="P2563" s="38" t="s">
        <v>60</v>
      </c>
      <c r="Q2563" s="38" t="s">
        <v>41</v>
      </c>
      <c r="R2563" s="38" t="s">
        <v>270</v>
      </c>
      <c r="S2563" s="38" t="s">
        <v>6086</v>
      </c>
      <c r="T2563" s="38" t="s">
        <v>6087</v>
      </c>
      <c r="U2563" s="38"/>
      <c r="V2563"/>
      <c r="W2563"/>
      <c r="X2563" s="14"/>
      <c r="AI2563" s="53">
        <f>13.64</f>
        <v>13.64</v>
      </c>
      <c r="AN2563" s="7" t="s">
        <v>145</v>
      </c>
      <c r="AO2563" s="21">
        <f t="shared" si="125"/>
        <v>13.64</v>
      </c>
      <c r="AP2563" s="7">
        <f t="shared" si="126"/>
        <v>0</v>
      </c>
      <c r="AQ2563" s="31" t="str">
        <f t="shared" si="127"/>
        <v>Complete - With Adjustment</v>
      </c>
    </row>
    <row r="2564" spans="1:43" x14ac:dyDescent="0.2">
      <c r="A2564" s="46">
        <v>2554</v>
      </c>
      <c r="B2564" s="38" t="s">
        <v>266</v>
      </c>
      <c r="C2564" s="38" t="s">
        <v>3946</v>
      </c>
      <c r="D2564" s="38" t="s">
        <v>3947</v>
      </c>
      <c r="E2564" s="38" t="s">
        <v>6088</v>
      </c>
      <c r="F2564" s="38" t="s">
        <v>5944</v>
      </c>
      <c r="G2564" s="38" t="s">
        <v>111</v>
      </c>
      <c r="H2564" s="44">
        <v>44144</v>
      </c>
      <c r="I2564" s="44">
        <v>44145</v>
      </c>
      <c r="J2564">
        <v>15</v>
      </c>
      <c r="K2564">
        <v>15</v>
      </c>
      <c r="L2564" t="s">
        <v>6089</v>
      </c>
      <c r="M2564" s="45" t="s">
        <v>98</v>
      </c>
      <c r="N2564" s="38" t="s">
        <v>230</v>
      </c>
      <c r="O2564" s="38" t="s">
        <v>378</v>
      </c>
      <c r="P2564" s="38" t="s">
        <v>60</v>
      </c>
      <c r="Q2564" s="38" t="s">
        <v>41</v>
      </c>
      <c r="R2564" s="38" t="s">
        <v>270</v>
      </c>
      <c r="S2564" s="38" t="s">
        <v>6090</v>
      </c>
      <c r="T2564" s="38" t="s">
        <v>6091</v>
      </c>
      <c r="U2564" s="38"/>
      <c r="V2564"/>
      <c r="W2564"/>
      <c r="X2564" s="14"/>
      <c r="AN2564" s="7" t="s">
        <v>70</v>
      </c>
      <c r="AO2564" s="21">
        <f t="shared" si="125"/>
        <v>0</v>
      </c>
      <c r="AP2564" s="7">
        <f t="shared" si="126"/>
        <v>15</v>
      </c>
      <c r="AQ2564" s="31" t="str">
        <f t="shared" si="127"/>
        <v>Complete - No Adjustment</v>
      </c>
    </row>
    <row r="2565" spans="1:43" x14ac:dyDescent="0.2">
      <c r="A2565" s="46">
        <v>2555</v>
      </c>
      <c r="B2565" s="38" t="s">
        <v>266</v>
      </c>
      <c r="C2565" s="38" t="s">
        <v>401</v>
      </c>
      <c r="D2565" s="38" t="s">
        <v>400</v>
      </c>
      <c r="E2565" s="38" t="s">
        <v>5893</v>
      </c>
      <c r="F2565" s="38" t="s">
        <v>5894</v>
      </c>
      <c r="G2565" s="38" t="s">
        <v>111</v>
      </c>
      <c r="H2565" s="44">
        <v>44134</v>
      </c>
      <c r="I2565" s="44">
        <v>44138</v>
      </c>
      <c r="J2565">
        <v>121.82</v>
      </c>
      <c r="K2565">
        <v>121.82</v>
      </c>
      <c r="L2565"/>
      <c r="M2565" s="45" t="s">
        <v>98</v>
      </c>
      <c r="N2565" s="38" t="s">
        <v>230</v>
      </c>
      <c r="O2565" s="38" t="s">
        <v>277</v>
      </c>
      <c r="P2565" s="38" t="s">
        <v>60</v>
      </c>
      <c r="Q2565" s="38" t="s">
        <v>62</v>
      </c>
      <c r="R2565" s="38" t="s">
        <v>270</v>
      </c>
      <c r="S2565" s="38" t="s">
        <v>5895</v>
      </c>
      <c r="T2565" s="38" t="s">
        <v>5896</v>
      </c>
      <c r="U2565" s="38"/>
      <c r="V2565" s="38"/>
      <c r="W2565"/>
      <c r="X2565" s="14"/>
      <c r="AL2565" s="14">
        <v>121.82</v>
      </c>
      <c r="AN2565" s="7" t="s">
        <v>155</v>
      </c>
      <c r="AO2565" s="21">
        <f t="shared" si="125"/>
        <v>121.82</v>
      </c>
      <c r="AP2565" s="7">
        <f t="shared" si="126"/>
        <v>0</v>
      </c>
      <c r="AQ2565" s="31" t="str">
        <f t="shared" si="127"/>
        <v>Complete - With Adjustment</v>
      </c>
    </row>
    <row r="2566" spans="1:43" x14ac:dyDescent="0.2">
      <c r="A2566" s="46">
        <v>2556</v>
      </c>
      <c r="B2566" s="38" t="s">
        <v>266</v>
      </c>
      <c r="C2566" s="38" t="s">
        <v>401</v>
      </c>
      <c r="D2566" s="38" t="s">
        <v>400</v>
      </c>
      <c r="E2566" s="38" t="s">
        <v>5897</v>
      </c>
      <c r="F2566" s="38" t="s">
        <v>5894</v>
      </c>
      <c r="G2566" s="38" t="s">
        <v>111</v>
      </c>
      <c r="H2566" s="44">
        <v>44134</v>
      </c>
      <c r="I2566" s="44">
        <v>44138</v>
      </c>
      <c r="J2566">
        <v>240</v>
      </c>
      <c r="K2566">
        <v>240</v>
      </c>
      <c r="L2566"/>
      <c r="M2566" s="45" t="s">
        <v>97</v>
      </c>
      <c r="N2566" s="38" t="s">
        <v>230</v>
      </c>
      <c r="O2566" s="38" t="s">
        <v>402</v>
      </c>
      <c r="P2566" s="38" t="s">
        <v>42</v>
      </c>
      <c r="Q2566" s="38" t="s">
        <v>403</v>
      </c>
      <c r="R2566" s="38" t="s">
        <v>270</v>
      </c>
      <c r="S2566" s="38" t="s">
        <v>5345</v>
      </c>
      <c r="T2566" s="38" t="s">
        <v>5346</v>
      </c>
      <c r="U2566" s="38"/>
      <c r="V2566" s="38"/>
      <c r="W2566"/>
      <c r="X2566" s="14"/>
      <c r="AL2566" s="14">
        <v>240</v>
      </c>
      <c r="AN2566" s="7" t="s">
        <v>70</v>
      </c>
      <c r="AO2566" s="21">
        <f t="shared" ref="AO2566:AO2629" si="128">SUM(Y2566:AL2566)</f>
        <v>240</v>
      </c>
      <c r="AP2566" s="7">
        <f t="shared" ref="AP2566:AP2629" si="129">K2566-AO2566</f>
        <v>0</v>
      </c>
      <c r="AQ2566" s="31" t="str">
        <f t="shared" ref="AQ2566:AQ2629" si="130">IF(AO2566&lt;&gt;0,"Complete - With Adjustment","Complete - No Adjustment")</f>
        <v>Complete - With Adjustment</v>
      </c>
    </row>
    <row r="2567" spans="1:43" x14ac:dyDescent="0.2">
      <c r="A2567" s="46">
        <v>2557</v>
      </c>
      <c r="B2567" s="38" t="s">
        <v>266</v>
      </c>
      <c r="C2567" s="38" t="s">
        <v>401</v>
      </c>
      <c r="D2567" s="38" t="s">
        <v>400</v>
      </c>
      <c r="E2567" s="38" t="s">
        <v>5898</v>
      </c>
      <c r="F2567" s="38" t="s">
        <v>5899</v>
      </c>
      <c r="G2567" s="38" t="s">
        <v>111</v>
      </c>
      <c r="H2567" s="44">
        <v>44113</v>
      </c>
      <c r="I2567" s="44">
        <v>44141</v>
      </c>
      <c r="J2567">
        <v>3973.92</v>
      </c>
      <c r="K2567">
        <v>3973.92</v>
      </c>
      <c r="L2567"/>
      <c r="M2567" s="45" t="s">
        <v>97</v>
      </c>
      <c r="N2567" s="38" t="s">
        <v>230</v>
      </c>
      <c r="O2567" s="38" t="s">
        <v>402</v>
      </c>
      <c r="P2567" s="38" t="s">
        <v>42</v>
      </c>
      <c r="Q2567" s="38" t="s">
        <v>57</v>
      </c>
      <c r="R2567" s="38" t="s">
        <v>270</v>
      </c>
      <c r="S2567" s="38" t="s">
        <v>5900</v>
      </c>
      <c r="T2567" s="38" t="s">
        <v>5901</v>
      </c>
      <c r="U2567" s="38"/>
      <c r="V2567" s="38"/>
      <c r="W2567"/>
      <c r="X2567" s="14"/>
      <c r="AL2567" s="14">
        <v>3973.92</v>
      </c>
      <c r="AN2567" s="7" t="s">
        <v>70</v>
      </c>
      <c r="AO2567" s="21">
        <f t="shared" si="128"/>
        <v>3973.92</v>
      </c>
      <c r="AP2567" s="7">
        <f t="shared" si="129"/>
        <v>0</v>
      </c>
      <c r="AQ2567" s="31" t="str">
        <f t="shared" si="130"/>
        <v>Complete - With Adjustment</v>
      </c>
    </row>
    <row r="2568" spans="1:43" x14ac:dyDescent="0.2">
      <c r="A2568" s="46">
        <v>2558</v>
      </c>
      <c r="B2568" s="38" t="s">
        <v>266</v>
      </c>
      <c r="C2568" s="38" t="s">
        <v>3324</v>
      </c>
      <c r="D2568" s="38" t="s">
        <v>3325</v>
      </c>
      <c r="E2568" s="38" t="s">
        <v>6092</v>
      </c>
      <c r="F2568" s="38" t="s">
        <v>5907</v>
      </c>
      <c r="G2568" s="38" t="s">
        <v>111</v>
      </c>
      <c r="H2568" s="44">
        <v>44148</v>
      </c>
      <c r="I2568" s="44">
        <v>44155</v>
      </c>
      <c r="J2568">
        <v>14.84</v>
      </c>
      <c r="K2568">
        <v>14.84</v>
      </c>
      <c r="L2568" t="s">
        <v>6093</v>
      </c>
      <c r="M2568" s="45" t="s">
        <v>98</v>
      </c>
      <c r="N2568" s="38" t="s">
        <v>230</v>
      </c>
      <c r="O2568" s="38" t="s">
        <v>451</v>
      </c>
      <c r="P2568" s="38" t="s">
        <v>60</v>
      </c>
      <c r="Q2568" s="38" t="s">
        <v>41</v>
      </c>
      <c r="R2568" s="38" t="s">
        <v>270</v>
      </c>
      <c r="S2568" s="38" t="s">
        <v>6094</v>
      </c>
      <c r="T2568" s="38" t="s">
        <v>6095</v>
      </c>
      <c r="U2568" s="38"/>
      <c r="V2568"/>
      <c r="W2568"/>
      <c r="X2568" s="14"/>
      <c r="AI2568" s="53">
        <f>14.84</f>
        <v>14.84</v>
      </c>
      <c r="AN2568" s="7" t="s">
        <v>145</v>
      </c>
      <c r="AO2568" s="21">
        <f t="shared" si="128"/>
        <v>14.84</v>
      </c>
      <c r="AP2568" s="7">
        <f t="shared" si="129"/>
        <v>0</v>
      </c>
      <c r="AQ2568" s="31" t="str">
        <f t="shared" si="130"/>
        <v>Complete - With Adjustment</v>
      </c>
    </row>
    <row r="2569" spans="1:43" x14ac:dyDescent="0.2">
      <c r="A2569" s="46">
        <v>2559</v>
      </c>
      <c r="B2569" s="38" t="s">
        <v>266</v>
      </c>
      <c r="C2569" s="38" t="s">
        <v>765</v>
      </c>
      <c r="D2569" s="38" t="s">
        <v>764</v>
      </c>
      <c r="E2569" s="38" t="s">
        <v>6096</v>
      </c>
      <c r="F2569" s="38" t="s">
        <v>6084</v>
      </c>
      <c r="G2569" s="38" t="s">
        <v>111</v>
      </c>
      <c r="H2569" s="44">
        <v>44148</v>
      </c>
      <c r="I2569" s="44">
        <v>44152</v>
      </c>
      <c r="J2569">
        <v>13.08</v>
      </c>
      <c r="K2569">
        <v>6.54</v>
      </c>
      <c r="L2569" t="s">
        <v>6097</v>
      </c>
      <c r="M2569" s="45" t="s">
        <v>98</v>
      </c>
      <c r="N2569" s="38" t="s">
        <v>230</v>
      </c>
      <c r="O2569" s="38" t="s">
        <v>533</v>
      </c>
      <c r="P2569" s="38" t="s">
        <v>60</v>
      </c>
      <c r="Q2569" s="38" t="s">
        <v>46</v>
      </c>
      <c r="R2569" s="38" t="s">
        <v>270</v>
      </c>
      <c r="S2569" s="38" t="s">
        <v>6030</v>
      </c>
      <c r="T2569" s="38" t="s">
        <v>6098</v>
      </c>
      <c r="U2569" s="38"/>
      <c r="V2569"/>
      <c r="W2569"/>
      <c r="X2569" s="14"/>
      <c r="AI2569" s="53">
        <f>6.54</f>
        <v>6.54</v>
      </c>
      <c r="AN2569" s="7" t="s">
        <v>145</v>
      </c>
      <c r="AO2569" s="21">
        <f t="shared" si="128"/>
        <v>6.54</v>
      </c>
      <c r="AP2569" s="7">
        <f t="shared" si="129"/>
        <v>0</v>
      </c>
      <c r="AQ2569" s="31" t="str">
        <f t="shared" si="130"/>
        <v>Complete - With Adjustment</v>
      </c>
    </row>
    <row r="2570" spans="1:43" x14ac:dyDescent="0.2">
      <c r="A2570" s="46">
        <v>2560</v>
      </c>
      <c r="B2570" s="38" t="s">
        <v>266</v>
      </c>
      <c r="C2570" s="38" t="s">
        <v>410</v>
      </c>
      <c r="D2570" s="38" t="s">
        <v>409</v>
      </c>
      <c r="E2570" s="38" t="s">
        <v>6099</v>
      </c>
      <c r="F2570" s="38" t="s">
        <v>5917</v>
      </c>
      <c r="G2570" s="38" t="s">
        <v>111</v>
      </c>
      <c r="H2570" s="44">
        <v>44147</v>
      </c>
      <c r="I2570" s="44">
        <v>44151</v>
      </c>
      <c r="J2570">
        <v>177.51</v>
      </c>
      <c r="K2570">
        <v>15</v>
      </c>
      <c r="L2570" t="s">
        <v>6100</v>
      </c>
      <c r="M2570" s="45" t="s">
        <v>98</v>
      </c>
      <c r="N2570" s="38" t="s">
        <v>230</v>
      </c>
      <c r="O2570" s="38" t="s">
        <v>292</v>
      </c>
      <c r="P2570" s="38" t="s">
        <v>60</v>
      </c>
      <c r="Q2570" s="38" t="s">
        <v>41</v>
      </c>
      <c r="R2570" s="38" t="s">
        <v>270</v>
      </c>
      <c r="S2570" s="38" t="s">
        <v>6101</v>
      </c>
      <c r="T2570" s="38" t="s">
        <v>6102</v>
      </c>
      <c r="U2570" s="38"/>
      <c r="V2570"/>
      <c r="W2570"/>
      <c r="X2570" s="14"/>
      <c r="AI2570" s="53">
        <f>15</f>
        <v>15</v>
      </c>
      <c r="AN2570" s="7" t="s">
        <v>145</v>
      </c>
      <c r="AO2570" s="21">
        <f t="shared" si="128"/>
        <v>15</v>
      </c>
      <c r="AP2570" s="7">
        <f t="shared" si="129"/>
        <v>0</v>
      </c>
      <c r="AQ2570" s="31" t="str">
        <f t="shared" si="130"/>
        <v>Complete - With Adjustment</v>
      </c>
    </row>
    <row r="2571" spans="1:43" x14ac:dyDescent="0.2">
      <c r="A2571" s="46">
        <v>2561</v>
      </c>
      <c r="B2571" s="38" t="s">
        <v>266</v>
      </c>
      <c r="C2571" s="38" t="s">
        <v>410</v>
      </c>
      <c r="D2571" s="38" t="s">
        <v>409</v>
      </c>
      <c r="E2571" s="38" t="s">
        <v>6099</v>
      </c>
      <c r="F2571" s="38" t="s">
        <v>5917</v>
      </c>
      <c r="G2571" s="38" t="s">
        <v>111</v>
      </c>
      <c r="H2571" s="44">
        <v>44147</v>
      </c>
      <c r="I2571" s="44">
        <v>44151</v>
      </c>
      <c r="J2571">
        <v>177.51</v>
      </c>
      <c r="K2571">
        <v>162.51</v>
      </c>
      <c r="L2571" t="s">
        <v>6100</v>
      </c>
      <c r="M2571" s="45" t="s">
        <v>98</v>
      </c>
      <c r="N2571" s="38" t="s">
        <v>230</v>
      </c>
      <c r="O2571" s="38" t="s">
        <v>292</v>
      </c>
      <c r="P2571" s="38" t="s">
        <v>60</v>
      </c>
      <c r="Q2571" s="38" t="s">
        <v>59</v>
      </c>
      <c r="R2571" s="38" t="s">
        <v>270</v>
      </c>
      <c r="S2571" s="38" t="s">
        <v>6101</v>
      </c>
      <c r="T2571" s="38" t="s">
        <v>6103</v>
      </c>
      <c r="U2571" s="38"/>
      <c r="V2571"/>
      <c r="W2571"/>
      <c r="X2571" s="14"/>
      <c r="AN2571" s="7" t="s">
        <v>70</v>
      </c>
      <c r="AO2571" s="21">
        <f t="shared" si="128"/>
        <v>0</v>
      </c>
      <c r="AP2571" s="7">
        <f t="shared" si="129"/>
        <v>162.51</v>
      </c>
      <c r="AQ2571" s="31" t="str">
        <f t="shared" si="130"/>
        <v>Complete - No Adjustment</v>
      </c>
    </row>
    <row r="2572" spans="1:43" x14ac:dyDescent="0.2">
      <c r="A2572" s="46">
        <v>2562</v>
      </c>
      <c r="B2572" s="38" t="s">
        <v>266</v>
      </c>
      <c r="C2572" s="38" t="s">
        <v>548</v>
      </c>
      <c r="D2572" s="38" t="s">
        <v>547</v>
      </c>
      <c r="E2572" s="38" t="s">
        <v>6104</v>
      </c>
      <c r="F2572" s="38" t="s">
        <v>5939</v>
      </c>
      <c r="G2572" s="38" t="s">
        <v>111</v>
      </c>
      <c r="H2572" s="44">
        <v>44147</v>
      </c>
      <c r="I2572" s="44">
        <v>44153</v>
      </c>
      <c r="J2572">
        <v>101.45</v>
      </c>
      <c r="K2572">
        <v>91.75</v>
      </c>
      <c r="L2572" t="s">
        <v>6105</v>
      </c>
      <c r="M2572" s="45" t="s">
        <v>98</v>
      </c>
      <c r="N2572" s="38" t="s">
        <v>230</v>
      </c>
      <c r="O2572" s="38" t="s">
        <v>386</v>
      </c>
      <c r="P2572" s="38" t="s">
        <v>406</v>
      </c>
      <c r="Q2572" s="38" t="s">
        <v>57</v>
      </c>
      <c r="R2572" s="38" t="s">
        <v>270</v>
      </c>
      <c r="S2572" s="38" t="s">
        <v>6106</v>
      </c>
      <c r="T2572" s="38" t="s">
        <v>6107</v>
      </c>
      <c r="U2572" s="38" t="s">
        <v>986</v>
      </c>
      <c r="V2572">
        <v>9230</v>
      </c>
      <c r="W2572" t="s">
        <v>58</v>
      </c>
      <c r="X2572" s="14"/>
      <c r="AN2572" s="7" t="s">
        <v>155</v>
      </c>
      <c r="AO2572" s="21">
        <f t="shared" si="128"/>
        <v>0</v>
      </c>
      <c r="AP2572" s="7">
        <f t="shared" si="129"/>
        <v>91.75</v>
      </c>
      <c r="AQ2572" s="31" t="str">
        <f t="shared" si="130"/>
        <v>Complete - No Adjustment</v>
      </c>
    </row>
    <row r="2573" spans="1:43" x14ac:dyDescent="0.2">
      <c r="A2573" s="46">
        <v>2563</v>
      </c>
      <c r="B2573" s="38" t="s">
        <v>266</v>
      </c>
      <c r="C2573" s="38" t="s">
        <v>548</v>
      </c>
      <c r="D2573" s="38" t="s">
        <v>547</v>
      </c>
      <c r="E2573" s="38" t="s">
        <v>6104</v>
      </c>
      <c r="F2573" s="38" t="s">
        <v>5939</v>
      </c>
      <c r="G2573" s="38" t="s">
        <v>111</v>
      </c>
      <c r="H2573" s="44">
        <v>44147</v>
      </c>
      <c r="I2573" s="44">
        <v>44153</v>
      </c>
      <c r="J2573">
        <v>101.45</v>
      </c>
      <c r="K2573">
        <v>9.6999999999999993</v>
      </c>
      <c r="L2573" t="s">
        <v>6105</v>
      </c>
      <c r="M2573" s="45" t="s">
        <v>98</v>
      </c>
      <c r="N2573" s="38" t="s">
        <v>230</v>
      </c>
      <c r="O2573" s="38" t="s">
        <v>386</v>
      </c>
      <c r="P2573" s="38" t="s">
        <v>406</v>
      </c>
      <c r="Q2573" s="38" t="s">
        <v>57</v>
      </c>
      <c r="R2573" s="38" t="s">
        <v>270</v>
      </c>
      <c r="S2573" s="38" t="s">
        <v>6106</v>
      </c>
      <c r="T2573" s="38" t="s">
        <v>6108</v>
      </c>
      <c r="U2573" s="38" t="s">
        <v>986</v>
      </c>
      <c r="V2573">
        <v>9230</v>
      </c>
      <c r="W2573" t="s">
        <v>58</v>
      </c>
      <c r="X2573" s="14"/>
      <c r="AN2573" s="7" t="s">
        <v>155</v>
      </c>
      <c r="AO2573" s="21">
        <f t="shared" si="128"/>
        <v>0</v>
      </c>
      <c r="AP2573" s="7">
        <f t="shared" si="129"/>
        <v>9.6999999999999993</v>
      </c>
      <c r="AQ2573" s="31" t="str">
        <f t="shared" si="130"/>
        <v>Complete - No Adjustment</v>
      </c>
    </row>
    <row r="2574" spans="1:43" x14ac:dyDescent="0.2">
      <c r="A2574" s="46">
        <v>2564</v>
      </c>
      <c r="B2574" s="38" t="s">
        <v>266</v>
      </c>
      <c r="C2574" s="38" t="s">
        <v>607</v>
      </c>
      <c r="D2574" s="38" t="s">
        <v>606</v>
      </c>
      <c r="E2574" s="38" t="s">
        <v>6109</v>
      </c>
      <c r="F2574" s="38" t="s">
        <v>6084</v>
      </c>
      <c r="G2574" s="38" t="s">
        <v>111</v>
      </c>
      <c r="H2574" s="44">
        <v>44123</v>
      </c>
      <c r="I2574" s="44">
        <v>44152</v>
      </c>
      <c r="J2574">
        <v>185.15</v>
      </c>
      <c r="K2574">
        <v>18.399999999999999</v>
      </c>
      <c r="L2574" t="s">
        <v>6110</v>
      </c>
      <c r="M2574" s="45" t="s">
        <v>98</v>
      </c>
      <c r="N2574" s="38" t="s">
        <v>230</v>
      </c>
      <c r="O2574" s="38" t="s">
        <v>272</v>
      </c>
      <c r="P2574" s="38" t="s">
        <v>60</v>
      </c>
      <c r="Q2574" s="38" t="s">
        <v>44</v>
      </c>
      <c r="R2574" s="38" t="s">
        <v>270</v>
      </c>
      <c r="S2574" s="38" t="s">
        <v>6111</v>
      </c>
      <c r="T2574" s="38" t="s">
        <v>6112</v>
      </c>
      <c r="U2574" s="38"/>
      <c r="V2574"/>
      <c r="W2574"/>
      <c r="X2574" s="14"/>
      <c r="AK2574" s="53">
        <f>18.4</f>
        <v>18.399999999999999</v>
      </c>
      <c r="AN2574" s="7" t="s">
        <v>148</v>
      </c>
      <c r="AO2574" s="21">
        <f t="shared" si="128"/>
        <v>18.399999999999999</v>
      </c>
      <c r="AP2574" s="7">
        <f t="shared" si="129"/>
        <v>0</v>
      </c>
      <c r="AQ2574" s="31" t="str">
        <f t="shared" si="130"/>
        <v>Complete - With Adjustment</v>
      </c>
    </row>
    <row r="2575" spans="1:43" x14ac:dyDescent="0.2">
      <c r="A2575" s="46">
        <v>2565</v>
      </c>
      <c r="B2575" s="38" t="s">
        <v>266</v>
      </c>
      <c r="C2575" s="38" t="s">
        <v>607</v>
      </c>
      <c r="D2575" s="38" t="s">
        <v>606</v>
      </c>
      <c r="E2575" s="38" t="s">
        <v>6109</v>
      </c>
      <c r="F2575" s="38" t="s">
        <v>6084</v>
      </c>
      <c r="G2575" s="38" t="s">
        <v>111</v>
      </c>
      <c r="H2575" s="44">
        <v>44123</v>
      </c>
      <c r="I2575" s="44">
        <v>44152</v>
      </c>
      <c r="J2575">
        <v>185.15</v>
      </c>
      <c r="K2575">
        <v>23</v>
      </c>
      <c r="L2575" t="s">
        <v>6110</v>
      </c>
      <c r="M2575" s="45" t="s">
        <v>98</v>
      </c>
      <c r="N2575" s="38" t="s">
        <v>230</v>
      </c>
      <c r="O2575" s="38" t="s">
        <v>272</v>
      </c>
      <c r="P2575" s="38" t="s">
        <v>60</v>
      </c>
      <c r="Q2575" s="38" t="s">
        <v>44</v>
      </c>
      <c r="R2575" s="38" t="s">
        <v>270</v>
      </c>
      <c r="S2575" s="38" t="s">
        <v>6111</v>
      </c>
      <c r="T2575" s="38" t="s">
        <v>6113</v>
      </c>
      <c r="U2575" s="38"/>
      <c r="V2575"/>
      <c r="W2575"/>
      <c r="X2575" s="14"/>
      <c r="AK2575" s="53">
        <f>23</f>
        <v>23</v>
      </c>
      <c r="AN2575" s="7" t="s">
        <v>148</v>
      </c>
      <c r="AO2575" s="21">
        <f t="shared" si="128"/>
        <v>23</v>
      </c>
      <c r="AP2575" s="7">
        <f t="shared" si="129"/>
        <v>0</v>
      </c>
      <c r="AQ2575" s="31" t="str">
        <f t="shared" si="130"/>
        <v>Complete - With Adjustment</v>
      </c>
    </row>
    <row r="2576" spans="1:43" x14ac:dyDescent="0.2">
      <c r="A2576" s="46">
        <v>2566</v>
      </c>
      <c r="B2576" s="38" t="s">
        <v>266</v>
      </c>
      <c r="C2576" s="38" t="s">
        <v>607</v>
      </c>
      <c r="D2576" s="38" t="s">
        <v>606</v>
      </c>
      <c r="E2576" s="38" t="s">
        <v>6109</v>
      </c>
      <c r="F2576" s="38" t="s">
        <v>6084</v>
      </c>
      <c r="G2576" s="38" t="s">
        <v>111</v>
      </c>
      <c r="H2576" s="44">
        <v>44123</v>
      </c>
      <c r="I2576" s="44">
        <v>44152</v>
      </c>
      <c r="J2576">
        <v>185.15</v>
      </c>
      <c r="K2576">
        <v>20.7</v>
      </c>
      <c r="L2576" t="s">
        <v>6110</v>
      </c>
      <c r="M2576" s="45" t="s">
        <v>98</v>
      </c>
      <c r="N2576" s="38" t="s">
        <v>230</v>
      </c>
      <c r="O2576" s="38" t="s">
        <v>272</v>
      </c>
      <c r="P2576" s="38" t="s">
        <v>60</v>
      </c>
      <c r="Q2576" s="38" t="s">
        <v>44</v>
      </c>
      <c r="R2576" s="38" t="s">
        <v>270</v>
      </c>
      <c r="S2576" s="38" t="s">
        <v>6111</v>
      </c>
      <c r="T2576" s="38" t="s">
        <v>6114</v>
      </c>
      <c r="U2576" s="38"/>
      <c r="V2576"/>
      <c r="W2576"/>
      <c r="X2576" s="14"/>
      <c r="AN2576" s="7" t="s">
        <v>70</v>
      </c>
      <c r="AO2576" s="21">
        <f t="shared" si="128"/>
        <v>0</v>
      </c>
      <c r="AP2576" s="7">
        <f t="shared" si="129"/>
        <v>20.7</v>
      </c>
      <c r="AQ2576" s="31" t="str">
        <f t="shared" si="130"/>
        <v>Complete - No Adjustment</v>
      </c>
    </row>
    <row r="2577" spans="1:43" x14ac:dyDescent="0.2">
      <c r="A2577" s="46">
        <v>2567</v>
      </c>
      <c r="B2577" s="38" t="s">
        <v>266</v>
      </c>
      <c r="C2577" s="38" t="s">
        <v>607</v>
      </c>
      <c r="D2577" s="38" t="s">
        <v>606</v>
      </c>
      <c r="E2577" s="38" t="s">
        <v>6109</v>
      </c>
      <c r="F2577" s="38" t="s">
        <v>6084</v>
      </c>
      <c r="G2577" s="38" t="s">
        <v>111</v>
      </c>
      <c r="H2577" s="44">
        <v>44123</v>
      </c>
      <c r="I2577" s="44">
        <v>44152</v>
      </c>
      <c r="J2577">
        <v>185.15</v>
      </c>
      <c r="K2577">
        <v>54.05</v>
      </c>
      <c r="L2577" t="s">
        <v>6110</v>
      </c>
      <c r="M2577" s="45" t="s">
        <v>98</v>
      </c>
      <c r="N2577" s="38" t="s">
        <v>230</v>
      </c>
      <c r="O2577" s="38" t="s">
        <v>272</v>
      </c>
      <c r="P2577" s="38" t="s">
        <v>60</v>
      </c>
      <c r="Q2577" s="38" t="s">
        <v>44</v>
      </c>
      <c r="R2577" s="38" t="s">
        <v>270</v>
      </c>
      <c r="S2577" s="38" t="s">
        <v>6111</v>
      </c>
      <c r="T2577" s="38" t="s">
        <v>6115</v>
      </c>
      <c r="U2577" s="38"/>
      <c r="V2577"/>
      <c r="W2577"/>
      <c r="X2577" s="14"/>
      <c r="AK2577" s="53">
        <f>54.05</f>
        <v>54.05</v>
      </c>
      <c r="AN2577" s="7" t="s">
        <v>148</v>
      </c>
      <c r="AO2577" s="21">
        <f t="shared" si="128"/>
        <v>54.05</v>
      </c>
      <c r="AP2577" s="7">
        <f t="shared" si="129"/>
        <v>0</v>
      </c>
      <c r="AQ2577" s="31" t="str">
        <f t="shared" si="130"/>
        <v>Complete - With Adjustment</v>
      </c>
    </row>
    <row r="2578" spans="1:43" x14ac:dyDescent="0.2">
      <c r="A2578" s="46">
        <v>2568</v>
      </c>
      <c r="B2578" s="38" t="s">
        <v>266</v>
      </c>
      <c r="C2578" s="38" t="s">
        <v>607</v>
      </c>
      <c r="D2578" s="38" t="s">
        <v>606</v>
      </c>
      <c r="E2578" s="38" t="s">
        <v>6109</v>
      </c>
      <c r="F2578" s="38" t="s">
        <v>6084</v>
      </c>
      <c r="G2578" s="38" t="s">
        <v>111</v>
      </c>
      <c r="H2578" s="44">
        <v>44123</v>
      </c>
      <c r="I2578" s="44">
        <v>44152</v>
      </c>
      <c r="J2578">
        <v>185.15</v>
      </c>
      <c r="K2578">
        <v>26.45</v>
      </c>
      <c r="L2578" t="s">
        <v>6110</v>
      </c>
      <c r="M2578" s="45" t="s">
        <v>98</v>
      </c>
      <c r="N2578" s="38" t="s">
        <v>230</v>
      </c>
      <c r="O2578" s="38" t="s">
        <v>272</v>
      </c>
      <c r="P2578" s="38" t="s">
        <v>60</v>
      </c>
      <c r="Q2578" s="38" t="s">
        <v>44</v>
      </c>
      <c r="R2578" s="38" t="s">
        <v>270</v>
      </c>
      <c r="S2578" s="38" t="s">
        <v>6111</v>
      </c>
      <c r="T2578" s="38" t="s">
        <v>6116</v>
      </c>
      <c r="U2578" s="38"/>
      <c r="V2578"/>
      <c r="W2578"/>
      <c r="X2578" s="14"/>
      <c r="AK2578" s="53">
        <f>26.45</f>
        <v>26.45</v>
      </c>
      <c r="AN2578" s="7" t="s">
        <v>148</v>
      </c>
      <c r="AO2578" s="21">
        <f t="shared" si="128"/>
        <v>26.45</v>
      </c>
      <c r="AP2578" s="7">
        <f t="shared" si="129"/>
        <v>0</v>
      </c>
      <c r="AQ2578" s="31" t="str">
        <f t="shared" si="130"/>
        <v>Complete - With Adjustment</v>
      </c>
    </row>
    <row r="2579" spans="1:43" x14ac:dyDescent="0.2">
      <c r="A2579" s="46">
        <v>2569</v>
      </c>
      <c r="B2579" s="38" t="s">
        <v>266</v>
      </c>
      <c r="C2579" s="38" t="s">
        <v>607</v>
      </c>
      <c r="D2579" s="38" t="s">
        <v>606</v>
      </c>
      <c r="E2579" s="38" t="s">
        <v>6109</v>
      </c>
      <c r="F2579" s="38" t="s">
        <v>6084</v>
      </c>
      <c r="G2579" s="38" t="s">
        <v>111</v>
      </c>
      <c r="H2579" s="44">
        <v>44123</v>
      </c>
      <c r="I2579" s="44">
        <v>44152</v>
      </c>
      <c r="J2579">
        <v>185.15</v>
      </c>
      <c r="K2579">
        <v>42.55</v>
      </c>
      <c r="L2579" t="s">
        <v>6110</v>
      </c>
      <c r="M2579" s="45" t="s">
        <v>98</v>
      </c>
      <c r="N2579" s="38" t="s">
        <v>230</v>
      </c>
      <c r="O2579" s="38" t="s">
        <v>272</v>
      </c>
      <c r="P2579" s="38" t="s">
        <v>60</v>
      </c>
      <c r="Q2579" s="38" t="s">
        <v>44</v>
      </c>
      <c r="R2579" s="38" t="s">
        <v>270</v>
      </c>
      <c r="S2579" s="38" t="s">
        <v>6111</v>
      </c>
      <c r="T2579" s="38" t="s">
        <v>6117</v>
      </c>
      <c r="U2579" s="38"/>
      <c r="V2579"/>
      <c r="W2579"/>
      <c r="X2579" s="14"/>
      <c r="AK2579" s="53">
        <f>42.55</f>
        <v>42.55</v>
      </c>
      <c r="AN2579" s="7" t="s">
        <v>148</v>
      </c>
      <c r="AO2579" s="21">
        <f t="shared" si="128"/>
        <v>42.55</v>
      </c>
      <c r="AP2579" s="7">
        <f t="shared" si="129"/>
        <v>0</v>
      </c>
      <c r="AQ2579" s="31" t="str">
        <f t="shared" si="130"/>
        <v>Complete - With Adjustment</v>
      </c>
    </row>
    <row r="2580" spans="1:43" x14ac:dyDescent="0.2">
      <c r="A2580" s="46">
        <v>2570</v>
      </c>
      <c r="B2580" s="38" t="s">
        <v>266</v>
      </c>
      <c r="C2580" s="38" t="s">
        <v>2548</v>
      </c>
      <c r="D2580" s="38" t="s">
        <v>2549</v>
      </c>
      <c r="E2580" s="38" t="s">
        <v>6118</v>
      </c>
      <c r="F2580" s="38" t="s">
        <v>5997</v>
      </c>
      <c r="G2580" s="38" t="s">
        <v>111</v>
      </c>
      <c r="H2580" s="44">
        <v>44145</v>
      </c>
      <c r="I2580" s="44">
        <v>44147</v>
      </c>
      <c r="J2580">
        <v>15</v>
      </c>
      <c r="K2580">
        <v>15</v>
      </c>
      <c r="L2580" t="s">
        <v>6119</v>
      </c>
      <c r="M2580" s="45" t="s">
        <v>98</v>
      </c>
      <c r="N2580" s="38" t="s">
        <v>230</v>
      </c>
      <c r="O2580" s="38" t="s">
        <v>559</v>
      </c>
      <c r="P2580" s="38" t="s">
        <v>60</v>
      </c>
      <c r="Q2580" s="38" t="s">
        <v>41</v>
      </c>
      <c r="R2580" s="38" t="s">
        <v>270</v>
      </c>
      <c r="S2580" s="38" t="s">
        <v>6120</v>
      </c>
      <c r="T2580" s="38" t="s">
        <v>6121</v>
      </c>
      <c r="U2580" s="38"/>
      <c r="V2580"/>
      <c r="W2580"/>
      <c r="X2580" s="14"/>
      <c r="AI2580" s="53">
        <f>15</f>
        <v>15</v>
      </c>
      <c r="AN2580" s="7" t="s">
        <v>145</v>
      </c>
      <c r="AO2580" s="21">
        <f t="shared" si="128"/>
        <v>15</v>
      </c>
      <c r="AP2580" s="7">
        <f t="shared" si="129"/>
        <v>0</v>
      </c>
      <c r="AQ2580" s="31" t="str">
        <f t="shared" si="130"/>
        <v>Complete - With Adjustment</v>
      </c>
    </row>
    <row r="2581" spans="1:43" x14ac:dyDescent="0.2">
      <c r="A2581" s="46">
        <v>2571</v>
      </c>
      <c r="B2581" s="38" t="s">
        <v>266</v>
      </c>
      <c r="C2581" s="38" t="s">
        <v>710</v>
      </c>
      <c r="D2581" s="38" t="s">
        <v>709</v>
      </c>
      <c r="E2581" s="38" t="s">
        <v>6122</v>
      </c>
      <c r="F2581" s="38" t="s">
        <v>6084</v>
      </c>
      <c r="G2581" s="38" t="s">
        <v>111</v>
      </c>
      <c r="H2581" s="44">
        <v>44147</v>
      </c>
      <c r="I2581" s="44">
        <v>44152</v>
      </c>
      <c r="J2581">
        <v>73.25</v>
      </c>
      <c r="K2581">
        <v>8.75</v>
      </c>
      <c r="L2581" t="s">
        <v>6123</v>
      </c>
      <c r="M2581" s="45" t="s">
        <v>98</v>
      </c>
      <c r="N2581" s="38" t="s">
        <v>230</v>
      </c>
      <c r="O2581" s="38" t="s">
        <v>288</v>
      </c>
      <c r="P2581" s="38" t="s">
        <v>60</v>
      </c>
      <c r="Q2581" s="38" t="s">
        <v>41</v>
      </c>
      <c r="R2581" s="38" t="s">
        <v>270</v>
      </c>
      <c r="S2581" s="38" t="s">
        <v>6124</v>
      </c>
      <c r="T2581" s="38" t="s">
        <v>6125</v>
      </c>
      <c r="U2581" s="38"/>
      <c r="V2581"/>
      <c r="W2581"/>
      <c r="X2581" s="14"/>
      <c r="AL2581" s="14">
        <f>8.75</f>
        <v>8.75</v>
      </c>
      <c r="AN2581" s="7" t="s">
        <v>146</v>
      </c>
      <c r="AO2581" s="21">
        <f t="shared" si="128"/>
        <v>8.75</v>
      </c>
      <c r="AP2581" s="7">
        <f t="shared" si="129"/>
        <v>0</v>
      </c>
      <c r="AQ2581" s="31" t="str">
        <f t="shared" si="130"/>
        <v>Complete - With Adjustment</v>
      </c>
    </row>
    <row r="2582" spans="1:43" x14ac:dyDescent="0.2">
      <c r="A2582" s="46">
        <v>2572</v>
      </c>
      <c r="B2582" s="38" t="s">
        <v>266</v>
      </c>
      <c r="C2582" s="38" t="s">
        <v>710</v>
      </c>
      <c r="D2582" s="38" t="s">
        <v>709</v>
      </c>
      <c r="E2582" s="38" t="s">
        <v>6122</v>
      </c>
      <c r="F2582" s="38" t="s">
        <v>6084</v>
      </c>
      <c r="G2582" s="38" t="s">
        <v>111</v>
      </c>
      <c r="H2582" s="44">
        <v>44147</v>
      </c>
      <c r="I2582" s="44">
        <v>44152</v>
      </c>
      <c r="J2582">
        <v>73.25</v>
      </c>
      <c r="K2582">
        <v>13.26</v>
      </c>
      <c r="L2582" t="s">
        <v>6123</v>
      </c>
      <c r="M2582" s="45" t="s">
        <v>98</v>
      </c>
      <c r="N2582" s="38" t="s">
        <v>230</v>
      </c>
      <c r="O2582" s="38" t="s">
        <v>288</v>
      </c>
      <c r="P2582" s="38" t="s">
        <v>60</v>
      </c>
      <c r="Q2582" s="38" t="s">
        <v>41</v>
      </c>
      <c r="R2582" s="38" t="s">
        <v>270</v>
      </c>
      <c r="S2582" s="38" t="s">
        <v>6124</v>
      </c>
      <c r="T2582" s="38" t="s">
        <v>6125</v>
      </c>
      <c r="U2582" s="38"/>
      <c r="V2582"/>
      <c r="W2582"/>
      <c r="X2582" s="14"/>
      <c r="AL2582" s="14">
        <f>13.26</f>
        <v>13.26</v>
      </c>
      <c r="AN2582" s="7" t="s">
        <v>146</v>
      </c>
      <c r="AO2582" s="21">
        <f t="shared" si="128"/>
        <v>13.26</v>
      </c>
      <c r="AP2582" s="7">
        <f t="shared" si="129"/>
        <v>0</v>
      </c>
      <c r="AQ2582" s="31" t="str">
        <f t="shared" si="130"/>
        <v>Complete - With Adjustment</v>
      </c>
    </row>
    <row r="2583" spans="1:43" x14ac:dyDescent="0.2">
      <c r="A2583" s="46">
        <v>2573</v>
      </c>
      <c r="B2583" s="38" t="s">
        <v>266</v>
      </c>
      <c r="C2583" s="38" t="s">
        <v>710</v>
      </c>
      <c r="D2583" s="38" t="s">
        <v>709</v>
      </c>
      <c r="E2583" s="38" t="s">
        <v>6122</v>
      </c>
      <c r="F2583" s="38" t="s">
        <v>6084</v>
      </c>
      <c r="G2583" s="38" t="s">
        <v>111</v>
      </c>
      <c r="H2583" s="44">
        <v>44147</v>
      </c>
      <c r="I2583" s="44">
        <v>44152</v>
      </c>
      <c r="J2583">
        <v>73.25</v>
      </c>
      <c r="K2583">
        <v>13.7</v>
      </c>
      <c r="L2583" t="s">
        <v>6123</v>
      </c>
      <c r="M2583" s="45" t="s">
        <v>98</v>
      </c>
      <c r="N2583" s="38" t="s">
        <v>230</v>
      </c>
      <c r="O2583" s="38" t="s">
        <v>288</v>
      </c>
      <c r="P2583" s="38" t="s">
        <v>60</v>
      </c>
      <c r="Q2583" s="38" t="s">
        <v>41</v>
      </c>
      <c r="R2583" s="38" t="s">
        <v>270</v>
      </c>
      <c r="S2583" s="38" t="s">
        <v>6124</v>
      </c>
      <c r="T2583" s="38" t="s">
        <v>6125</v>
      </c>
      <c r="U2583" s="38"/>
      <c r="V2583"/>
      <c r="W2583"/>
      <c r="X2583" s="14"/>
      <c r="AL2583" s="14">
        <f>13.26</f>
        <v>13.26</v>
      </c>
      <c r="AN2583" s="7" t="s">
        <v>146</v>
      </c>
      <c r="AO2583" s="21">
        <f t="shared" si="128"/>
        <v>13.26</v>
      </c>
      <c r="AP2583" s="7">
        <f t="shared" si="129"/>
        <v>0.4399999999999995</v>
      </c>
      <c r="AQ2583" s="31" t="str">
        <f t="shared" si="130"/>
        <v>Complete - With Adjustment</v>
      </c>
    </row>
    <row r="2584" spans="1:43" x14ac:dyDescent="0.2">
      <c r="A2584" s="46">
        <v>2574</v>
      </c>
      <c r="B2584" s="38" t="s">
        <v>266</v>
      </c>
      <c r="C2584" s="38" t="s">
        <v>710</v>
      </c>
      <c r="D2584" s="38" t="s">
        <v>709</v>
      </c>
      <c r="E2584" s="38" t="s">
        <v>6122</v>
      </c>
      <c r="F2584" s="38" t="s">
        <v>6084</v>
      </c>
      <c r="G2584" s="38" t="s">
        <v>111</v>
      </c>
      <c r="H2584" s="44">
        <v>44147</v>
      </c>
      <c r="I2584" s="44">
        <v>44152</v>
      </c>
      <c r="J2584">
        <v>73.25</v>
      </c>
      <c r="K2584">
        <v>13.28</v>
      </c>
      <c r="L2584" t="s">
        <v>6123</v>
      </c>
      <c r="M2584" s="45" t="s">
        <v>98</v>
      </c>
      <c r="N2584" s="38" t="s">
        <v>230</v>
      </c>
      <c r="O2584" s="38" t="s">
        <v>288</v>
      </c>
      <c r="P2584" s="38" t="s">
        <v>60</v>
      </c>
      <c r="Q2584" s="38" t="s">
        <v>41</v>
      </c>
      <c r="R2584" s="38" t="s">
        <v>270</v>
      </c>
      <c r="S2584" s="38" t="s">
        <v>6124</v>
      </c>
      <c r="T2584" s="38" t="s">
        <v>6125</v>
      </c>
      <c r="U2584" s="38"/>
      <c r="V2584"/>
      <c r="W2584"/>
      <c r="X2584" s="14"/>
      <c r="AL2584" s="14">
        <f>13.28</f>
        <v>13.28</v>
      </c>
      <c r="AN2584" s="7" t="s">
        <v>146</v>
      </c>
      <c r="AO2584" s="21">
        <f t="shared" si="128"/>
        <v>13.28</v>
      </c>
      <c r="AP2584" s="7">
        <f t="shared" si="129"/>
        <v>0</v>
      </c>
      <c r="AQ2584" s="31" t="str">
        <f t="shared" si="130"/>
        <v>Complete - With Adjustment</v>
      </c>
    </row>
    <row r="2585" spans="1:43" x14ac:dyDescent="0.2">
      <c r="A2585" s="46">
        <v>2575</v>
      </c>
      <c r="B2585" s="38" t="s">
        <v>266</v>
      </c>
      <c r="C2585" s="38" t="s">
        <v>710</v>
      </c>
      <c r="D2585" s="38" t="s">
        <v>709</v>
      </c>
      <c r="E2585" s="38" t="s">
        <v>6122</v>
      </c>
      <c r="F2585" s="38" t="s">
        <v>6084</v>
      </c>
      <c r="G2585" s="38" t="s">
        <v>111</v>
      </c>
      <c r="H2585" s="44">
        <v>44147</v>
      </c>
      <c r="I2585" s="44">
        <v>44152</v>
      </c>
      <c r="J2585">
        <v>73.25</v>
      </c>
      <c r="K2585">
        <v>12.07</v>
      </c>
      <c r="L2585" t="s">
        <v>6123</v>
      </c>
      <c r="M2585" s="45" t="s">
        <v>98</v>
      </c>
      <c r="N2585" s="38" t="s">
        <v>230</v>
      </c>
      <c r="O2585" s="38" t="s">
        <v>288</v>
      </c>
      <c r="P2585" s="38" t="s">
        <v>60</v>
      </c>
      <c r="Q2585" s="38" t="s">
        <v>41</v>
      </c>
      <c r="R2585" s="38" t="s">
        <v>270</v>
      </c>
      <c r="S2585" s="38" t="s">
        <v>6124</v>
      </c>
      <c r="T2585" s="38" t="s">
        <v>6125</v>
      </c>
      <c r="U2585" s="38"/>
      <c r="V2585"/>
      <c r="W2585"/>
      <c r="X2585" s="14"/>
      <c r="AL2585" s="14">
        <f>12.07</f>
        <v>12.07</v>
      </c>
      <c r="AN2585" s="7" t="s">
        <v>146</v>
      </c>
      <c r="AO2585" s="21">
        <f t="shared" si="128"/>
        <v>12.07</v>
      </c>
      <c r="AP2585" s="7">
        <f t="shared" si="129"/>
        <v>0</v>
      </c>
      <c r="AQ2585" s="31" t="str">
        <f t="shared" si="130"/>
        <v>Complete - With Adjustment</v>
      </c>
    </row>
    <row r="2586" spans="1:43" x14ac:dyDescent="0.2">
      <c r="A2586" s="46">
        <v>2576</v>
      </c>
      <c r="B2586" s="38" t="s">
        <v>266</v>
      </c>
      <c r="C2586" s="38" t="s">
        <v>710</v>
      </c>
      <c r="D2586" s="38" t="s">
        <v>709</v>
      </c>
      <c r="E2586" s="38" t="s">
        <v>6122</v>
      </c>
      <c r="F2586" s="38" t="s">
        <v>6084</v>
      </c>
      <c r="G2586" s="38" t="s">
        <v>111</v>
      </c>
      <c r="H2586" s="44">
        <v>44147</v>
      </c>
      <c r="I2586" s="44">
        <v>44152</v>
      </c>
      <c r="J2586">
        <v>73.25</v>
      </c>
      <c r="K2586">
        <v>12.19</v>
      </c>
      <c r="L2586" t="s">
        <v>6123</v>
      </c>
      <c r="M2586" s="45" t="s">
        <v>98</v>
      </c>
      <c r="N2586" s="38" t="s">
        <v>230</v>
      </c>
      <c r="O2586" s="38" t="s">
        <v>288</v>
      </c>
      <c r="P2586" s="38" t="s">
        <v>60</v>
      </c>
      <c r="Q2586" s="38" t="s">
        <v>41</v>
      </c>
      <c r="R2586" s="38" t="s">
        <v>270</v>
      </c>
      <c r="S2586" s="38" t="s">
        <v>6124</v>
      </c>
      <c r="T2586" s="38" t="s">
        <v>6125</v>
      </c>
      <c r="U2586" s="38"/>
      <c r="V2586"/>
      <c r="W2586"/>
      <c r="X2586" s="14"/>
      <c r="AL2586" s="14">
        <f>12.19</f>
        <v>12.19</v>
      </c>
      <c r="AN2586" s="7" t="s">
        <v>146</v>
      </c>
      <c r="AO2586" s="21">
        <f t="shared" si="128"/>
        <v>12.19</v>
      </c>
      <c r="AP2586" s="7">
        <f t="shared" si="129"/>
        <v>0</v>
      </c>
      <c r="AQ2586" s="31" t="str">
        <f t="shared" si="130"/>
        <v>Complete - With Adjustment</v>
      </c>
    </row>
    <row r="2587" spans="1:43" x14ac:dyDescent="0.2">
      <c r="A2587" s="46">
        <v>2577</v>
      </c>
      <c r="B2587" s="38" t="s">
        <v>266</v>
      </c>
      <c r="C2587" s="38" t="s">
        <v>431</v>
      </c>
      <c r="D2587" s="38" t="s">
        <v>430</v>
      </c>
      <c r="E2587" s="38" t="s">
        <v>6126</v>
      </c>
      <c r="F2587" s="38" t="s">
        <v>5930</v>
      </c>
      <c r="G2587" s="38" t="s">
        <v>111</v>
      </c>
      <c r="H2587" s="44">
        <v>44138</v>
      </c>
      <c r="I2587" s="44">
        <v>44140</v>
      </c>
      <c r="J2587">
        <v>135</v>
      </c>
      <c r="K2587">
        <v>35</v>
      </c>
      <c r="L2587" t="s">
        <v>6127</v>
      </c>
      <c r="M2587" s="45" t="s">
        <v>98</v>
      </c>
      <c r="N2587" s="38" t="s">
        <v>230</v>
      </c>
      <c r="O2587" s="38" t="s">
        <v>78</v>
      </c>
      <c r="P2587" s="38" t="s">
        <v>60</v>
      </c>
      <c r="Q2587" s="38" t="s">
        <v>48</v>
      </c>
      <c r="R2587" s="38" t="s">
        <v>270</v>
      </c>
      <c r="S2587" s="38" t="s">
        <v>6128</v>
      </c>
      <c r="T2587" s="38" t="s">
        <v>6129</v>
      </c>
      <c r="U2587" s="38"/>
      <c r="V2587"/>
      <c r="W2587"/>
      <c r="X2587" s="14"/>
      <c r="AN2587" s="7" t="s">
        <v>70</v>
      </c>
      <c r="AO2587" s="21">
        <f t="shared" si="128"/>
        <v>0</v>
      </c>
      <c r="AP2587" s="7">
        <f t="shared" si="129"/>
        <v>35</v>
      </c>
      <c r="AQ2587" s="31" t="str">
        <f t="shared" si="130"/>
        <v>Complete - No Adjustment</v>
      </c>
    </row>
    <row r="2588" spans="1:43" x14ac:dyDescent="0.2">
      <c r="A2588" s="46">
        <v>2578</v>
      </c>
      <c r="B2588" s="38" t="s">
        <v>266</v>
      </c>
      <c r="C2588" s="38" t="s">
        <v>431</v>
      </c>
      <c r="D2588" s="38" t="s">
        <v>430</v>
      </c>
      <c r="E2588" s="38" t="s">
        <v>6126</v>
      </c>
      <c r="F2588" s="38" t="s">
        <v>5930</v>
      </c>
      <c r="G2588" s="38" t="s">
        <v>111</v>
      </c>
      <c r="H2588" s="44">
        <v>44138</v>
      </c>
      <c r="I2588" s="44">
        <v>44140</v>
      </c>
      <c r="J2588">
        <v>135</v>
      </c>
      <c r="K2588">
        <v>100</v>
      </c>
      <c r="L2588" t="s">
        <v>6127</v>
      </c>
      <c r="M2588" s="45" t="s">
        <v>98</v>
      </c>
      <c r="N2588" s="38" t="s">
        <v>230</v>
      </c>
      <c r="O2588" s="38" t="s">
        <v>78</v>
      </c>
      <c r="P2588" s="38" t="s">
        <v>60</v>
      </c>
      <c r="Q2588" s="38" t="s">
        <v>48</v>
      </c>
      <c r="R2588" s="38" t="s">
        <v>270</v>
      </c>
      <c r="S2588" s="38" t="s">
        <v>6128</v>
      </c>
      <c r="T2588" s="38" t="s">
        <v>6130</v>
      </c>
      <c r="U2588" s="38"/>
      <c r="V2588"/>
      <c r="W2588"/>
      <c r="X2588" s="14"/>
      <c r="AN2588" s="7" t="s">
        <v>70</v>
      </c>
      <c r="AO2588" s="21">
        <f t="shared" si="128"/>
        <v>0</v>
      </c>
      <c r="AP2588" s="7">
        <f t="shared" si="129"/>
        <v>100</v>
      </c>
      <c r="AQ2588" s="31" t="str">
        <f t="shared" si="130"/>
        <v>Complete - No Adjustment</v>
      </c>
    </row>
    <row r="2589" spans="1:43" x14ac:dyDescent="0.2">
      <c r="A2589" s="46">
        <v>2579</v>
      </c>
      <c r="B2589" s="38" t="s">
        <v>266</v>
      </c>
      <c r="C2589" s="38" t="s">
        <v>431</v>
      </c>
      <c r="D2589" s="38" t="s">
        <v>430</v>
      </c>
      <c r="E2589" s="38" t="s">
        <v>6131</v>
      </c>
      <c r="F2589" s="38" t="s">
        <v>5903</v>
      </c>
      <c r="G2589" s="38" t="s">
        <v>111</v>
      </c>
      <c r="H2589" s="44">
        <v>44155</v>
      </c>
      <c r="I2589" s="44">
        <v>44158</v>
      </c>
      <c r="J2589">
        <v>300</v>
      </c>
      <c r="K2589">
        <v>300</v>
      </c>
      <c r="L2589" t="s">
        <v>6132</v>
      </c>
      <c r="M2589" s="45" t="s">
        <v>97</v>
      </c>
      <c r="N2589" s="38" t="s">
        <v>230</v>
      </c>
      <c r="O2589" s="38" t="s">
        <v>78</v>
      </c>
      <c r="P2589" s="38" t="s">
        <v>42</v>
      </c>
      <c r="Q2589" s="38" t="s">
        <v>55</v>
      </c>
      <c r="R2589" s="38" t="s">
        <v>270</v>
      </c>
      <c r="S2589" s="38" t="s">
        <v>6133</v>
      </c>
      <c r="T2589" s="38" t="s">
        <v>6134</v>
      </c>
      <c r="U2589" s="38"/>
      <c r="V2589"/>
      <c r="W2589"/>
      <c r="X2589" s="14"/>
      <c r="AI2589" s="53">
        <f>300</f>
        <v>300</v>
      </c>
      <c r="AN2589" s="7" t="s">
        <v>145</v>
      </c>
      <c r="AO2589" s="21">
        <f t="shared" si="128"/>
        <v>300</v>
      </c>
      <c r="AP2589" s="7">
        <f t="shared" si="129"/>
        <v>0</v>
      </c>
      <c r="AQ2589" s="31" t="str">
        <f t="shared" si="130"/>
        <v>Complete - With Adjustment</v>
      </c>
    </row>
    <row r="2590" spans="1:43" x14ac:dyDescent="0.2">
      <c r="A2590" s="46">
        <v>2580</v>
      </c>
      <c r="B2590" s="38" t="s">
        <v>266</v>
      </c>
      <c r="C2590" s="38" t="s">
        <v>4013</v>
      </c>
      <c r="D2590" s="38" t="s">
        <v>4014</v>
      </c>
      <c r="E2590" s="38" t="s">
        <v>6135</v>
      </c>
      <c r="F2590" s="38" t="s">
        <v>5959</v>
      </c>
      <c r="G2590" s="38" t="s">
        <v>111</v>
      </c>
      <c r="H2590" s="44">
        <v>44139</v>
      </c>
      <c r="I2590" s="44">
        <v>44154</v>
      </c>
      <c r="J2590">
        <v>54.28</v>
      </c>
      <c r="K2590">
        <v>54.28</v>
      </c>
      <c r="L2590" t="s">
        <v>6136</v>
      </c>
      <c r="M2590" s="45" t="s">
        <v>98</v>
      </c>
      <c r="N2590" s="38" t="s">
        <v>230</v>
      </c>
      <c r="O2590" s="38" t="s">
        <v>293</v>
      </c>
      <c r="P2590" s="38" t="s">
        <v>60</v>
      </c>
      <c r="Q2590" s="38" t="s">
        <v>44</v>
      </c>
      <c r="R2590" s="38" t="s">
        <v>270</v>
      </c>
      <c r="S2590" s="38" t="s">
        <v>6137</v>
      </c>
      <c r="T2590" s="38" t="s">
        <v>6138</v>
      </c>
      <c r="U2590" s="38"/>
      <c r="V2590"/>
      <c r="W2590"/>
      <c r="X2590" s="14"/>
      <c r="AN2590" s="7" t="s">
        <v>70</v>
      </c>
      <c r="AO2590" s="21">
        <f t="shared" si="128"/>
        <v>0</v>
      </c>
      <c r="AP2590" s="7">
        <f t="shared" si="129"/>
        <v>54.28</v>
      </c>
      <c r="AQ2590" s="31" t="str">
        <f t="shared" si="130"/>
        <v>Complete - No Adjustment</v>
      </c>
    </row>
    <row r="2591" spans="1:43" x14ac:dyDescent="0.2">
      <c r="A2591" s="46">
        <v>2581</v>
      </c>
      <c r="B2591" s="38" t="s">
        <v>266</v>
      </c>
      <c r="C2591" s="38" t="s">
        <v>6139</v>
      </c>
      <c r="D2591" s="38" t="s">
        <v>6140</v>
      </c>
      <c r="E2591" s="38" t="s">
        <v>6141</v>
      </c>
      <c r="F2591" s="38" t="s">
        <v>6084</v>
      </c>
      <c r="G2591" s="38" t="s">
        <v>111</v>
      </c>
      <c r="H2591" s="44">
        <v>44147</v>
      </c>
      <c r="I2591" s="44">
        <v>44152</v>
      </c>
      <c r="J2591">
        <v>17</v>
      </c>
      <c r="K2591">
        <v>17</v>
      </c>
      <c r="L2591" t="s">
        <v>6142</v>
      </c>
      <c r="M2591" s="45" t="s">
        <v>98</v>
      </c>
      <c r="N2591" s="38" t="s">
        <v>230</v>
      </c>
      <c r="O2591" s="38" t="s">
        <v>272</v>
      </c>
      <c r="P2591" s="38" t="s">
        <v>60</v>
      </c>
      <c r="Q2591" s="38" t="s">
        <v>41</v>
      </c>
      <c r="R2591" s="38" t="s">
        <v>270</v>
      </c>
      <c r="S2591" s="38" t="s">
        <v>6143</v>
      </c>
      <c r="T2591" s="38" t="s">
        <v>6144</v>
      </c>
      <c r="U2591" s="38"/>
      <c r="V2591"/>
      <c r="W2591"/>
      <c r="X2591" s="14"/>
      <c r="AN2591" s="7" t="s">
        <v>70</v>
      </c>
      <c r="AO2591" s="21">
        <f t="shared" si="128"/>
        <v>0</v>
      </c>
      <c r="AP2591" s="7">
        <f t="shared" si="129"/>
        <v>17</v>
      </c>
      <c r="AQ2591" s="31" t="str">
        <f t="shared" si="130"/>
        <v>Complete - No Adjustment</v>
      </c>
    </row>
    <row r="2592" spans="1:43" x14ac:dyDescent="0.2">
      <c r="A2592" s="46">
        <v>2582</v>
      </c>
      <c r="B2592" s="38" t="s">
        <v>266</v>
      </c>
      <c r="C2592" s="38" t="s">
        <v>612</v>
      </c>
      <c r="D2592" s="38" t="s">
        <v>845</v>
      </c>
      <c r="E2592" s="38" t="s">
        <v>6145</v>
      </c>
      <c r="F2592" s="38" t="s">
        <v>5903</v>
      </c>
      <c r="G2592" s="38" t="s">
        <v>111</v>
      </c>
      <c r="H2592" s="44">
        <v>44109</v>
      </c>
      <c r="I2592" s="44">
        <v>44158</v>
      </c>
      <c r="J2592">
        <v>15.12</v>
      </c>
      <c r="K2592">
        <v>15.12</v>
      </c>
      <c r="L2592" t="s">
        <v>6146</v>
      </c>
      <c r="M2592" s="45" t="s">
        <v>98</v>
      </c>
      <c r="N2592" s="38" t="s">
        <v>230</v>
      </c>
      <c r="O2592" s="38" t="s">
        <v>323</v>
      </c>
      <c r="P2592" s="38" t="s">
        <v>60</v>
      </c>
      <c r="Q2592" s="38" t="s">
        <v>41</v>
      </c>
      <c r="R2592" s="38" t="s">
        <v>270</v>
      </c>
      <c r="S2592" s="38" t="s">
        <v>6147</v>
      </c>
      <c r="T2592" s="38" t="s">
        <v>6148</v>
      </c>
      <c r="U2592" s="38"/>
      <c r="V2592"/>
      <c r="W2592"/>
      <c r="X2592" s="14"/>
      <c r="AN2592" s="7" t="s">
        <v>70</v>
      </c>
      <c r="AO2592" s="21">
        <f t="shared" si="128"/>
        <v>0</v>
      </c>
      <c r="AP2592" s="7">
        <f t="shared" si="129"/>
        <v>15.12</v>
      </c>
      <c r="AQ2592" s="31" t="str">
        <f t="shared" si="130"/>
        <v>Complete - No Adjustment</v>
      </c>
    </row>
    <row r="2593" spans="1:43" x14ac:dyDescent="0.2">
      <c r="A2593" s="46">
        <v>2583</v>
      </c>
      <c r="B2593" s="38" t="s">
        <v>266</v>
      </c>
      <c r="C2593" s="38" t="s">
        <v>612</v>
      </c>
      <c r="D2593" s="38" t="s">
        <v>845</v>
      </c>
      <c r="E2593" s="38" t="s">
        <v>6149</v>
      </c>
      <c r="F2593" s="38" t="s">
        <v>5903</v>
      </c>
      <c r="G2593" s="38" t="s">
        <v>111</v>
      </c>
      <c r="H2593" s="44">
        <v>44139</v>
      </c>
      <c r="I2593" s="44">
        <v>44158</v>
      </c>
      <c r="J2593">
        <v>17.64</v>
      </c>
      <c r="K2593">
        <v>17.64</v>
      </c>
      <c r="L2593" t="s">
        <v>6150</v>
      </c>
      <c r="M2593" s="45" t="s">
        <v>98</v>
      </c>
      <c r="N2593" s="38" t="s">
        <v>230</v>
      </c>
      <c r="O2593" s="38" t="s">
        <v>323</v>
      </c>
      <c r="P2593" s="38" t="s">
        <v>60</v>
      </c>
      <c r="Q2593" s="38" t="s">
        <v>41</v>
      </c>
      <c r="R2593" s="38" t="s">
        <v>270</v>
      </c>
      <c r="S2593" s="38" t="s">
        <v>6151</v>
      </c>
      <c r="T2593" s="38" t="s">
        <v>6152</v>
      </c>
      <c r="U2593" s="38"/>
      <c r="V2593"/>
      <c r="W2593"/>
      <c r="X2593" s="14"/>
      <c r="AN2593" s="7" t="s">
        <v>70</v>
      </c>
      <c r="AO2593" s="21">
        <f t="shared" si="128"/>
        <v>0</v>
      </c>
      <c r="AP2593" s="7">
        <f t="shared" si="129"/>
        <v>17.64</v>
      </c>
      <c r="AQ2593" s="31" t="str">
        <f t="shared" si="130"/>
        <v>Complete - No Adjustment</v>
      </c>
    </row>
    <row r="2594" spans="1:43" x14ac:dyDescent="0.2">
      <c r="A2594" s="46">
        <v>2584</v>
      </c>
      <c r="B2594" s="38" t="s">
        <v>266</v>
      </c>
      <c r="C2594" s="38" t="s">
        <v>612</v>
      </c>
      <c r="D2594" s="38" t="s">
        <v>845</v>
      </c>
      <c r="E2594" s="38" t="s">
        <v>6153</v>
      </c>
      <c r="F2594" s="38" t="s">
        <v>5903</v>
      </c>
      <c r="G2594" s="38" t="s">
        <v>111</v>
      </c>
      <c r="H2594" s="44">
        <v>44140</v>
      </c>
      <c r="I2594" s="44">
        <v>44158</v>
      </c>
      <c r="J2594">
        <v>18.46</v>
      </c>
      <c r="K2594">
        <v>18.46</v>
      </c>
      <c r="L2594" t="s">
        <v>6154</v>
      </c>
      <c r="M2594" s="45" t="s">
        <v>98</v>
      </c>
      <c r="N2594" s="38" t="s">
        <v>230</v>
      </c>
      <c r="O2594" s="38" t="s">
        <v>323</v>
      </c>
      <c r="P2594" s="38" t="s">
        <v>60</v>
      </c>
      <c r="Q2594" s="38" t="s">
        <v>41</v>
      </c>
      <c r="R2594" s="38" t="s">
        <v>270</v>
      </c>
      <c r="S2594" s="38" t="s">
        <v>6155</v>
      </c>
      <c r="T2594" s="38" t="s">
        <v>6156</v>
      </c>
      <c r="U2594" s="38"/>
      <c r="V2594"/>
      <c r="W2594"/>
      <c r="X2594" s="14"/>
      <c r="AC2594" s="53">
        <f>(4.34-11.13*20%)</f>
        <v>2.1139999999999994</v>
      </c>
      <c r="AN2594" s="7" t="s">
        <v>67</v>
      </c>
      <c r="AO2594" s="21">
        <f t="shared" si="128"/>
        <v>2.1139999999999994</v>
      </c>
      <c r="AP2594" s="7">
        <f t="shared" si="129"/>
        <v>16.346</v>
      </c>
      <c r="AQ2594" s="31" t="str">
        <f t="shared" si="130"/>
        <v>Complete - With Adjustment</v>
      </c>
    </row>
    <row r="2595" spans="1:43" x14ac:dyDescent="0.2">
      <c r="A2595" s="46">
        <v>2585</v>
      </c>
      <c r="B2595" s="38" t="s">
        <v>266</v>
      </c>
      <c r="C2595" s="38" t="s">
        <v>612</v>
      </c>
      <c r="D2595" s="38" t="s">
        <v>845</v>
      </c>
      <c r="E2595" s="38" t="s">
        <v>6157</v>
      </c>
      <c r="F2595" s="38" t="s">
        <v>5903</v>
      </c>
      <c r="G2595" s="38" t="s">
        <v>111</v>
      </c>
      <c r="H2595" s="44">
        <v>44107</v>
      </c>
      <c r="I2595" s="44">
        <v>44158</v>
      </c>
      <c r="J2595">
        <v>31.56</v>
      </c>
      <c r="K2595">
        <v>31.56</v>
      </c>
      <c r="L2595" t="s">
        <v>6158</v>
      </c>
      <c r="M2595" s="45" t="s">
        <v>98</v>
      </c>
      <c r="N2595" s="38" t="s">
        <v>230</v>
      </c>
      <c r="O2595" s="38" t="s">
        <v>323</v>
      </c>
      <c r="P2595" s="38" t="s">
        <v>60</v>
      </c>
      <c r="Q2595" s="38" t="s">
        <v>41</v>
      </c>
      <c r="R2595" s="38" t="s">
        <v>270</v>
      </c>
      <c r="S2595" s="38" t="s">
        <v>6159</v>
      </c>
      <c r="T2595" s="38" t="s">
        <v>6160</v>
      </c>
      <c r="U2595" s="38"/>
      <c r="V2595"/>
      <c r="W2595"/>
      <c r="X2595" s="14"/>
      <c r="AC2595" s="53">
        <f>(7.12-21.45*20%)</f>
        <v>2.83</v>
      </c>
      <c r="AN2595" s="7" t="s">
        <v>67</v>
      </c>
      <c r="AO2595" s="21">
        <f t="shared" si="128"/>
        <v>2.83</v>
      </c>
      <c r="AP2595" s="7">
        <f t="shared" si="129"/>
        <v>28.729999999999997</v>
      </c>
      <c r="AQ2595" s="31" t="str">
        <f t="shared" si="130"/>
        <v>Complete - With Adjustment</v>
      </c>
    </row>
    <row r="2596" spans="1:43" x14ac:dyDescent="0.2">
      <c r="A2596" s="46">
        <v>2586</v>
      </c>
      <c r="B2596" s="38" t="s">
        <v>266</v>
      </c>
      <c r="C2596" s="38" t="s">
        <v>846</v>
      </c>
      <c r="D2596" s="38" t="s">
        <v>847</v>
      </c>
      <c r="E2596" s="38" t="s">
        <v>6161</v>
      </c>
      <c r="F2596" s="38" t="s">
        <v>5944</v>
      </c>
      <c r="G2596" s="38" t="s">
        <v>111</v>
      </c>
      <c r="H2596" s="44">
        <v>44089</v>
      </c>
      <c r="I2596" s="44">
        <v>44145</v>
      </c>
      <c r="J2596">
        <v>354.2</v>
      </c>
      <c r="K2596">
        <v>354.2</v>
      </c>
      <c r="L2596" t="s">
        <v>6162</v>
      </c>
      <c r="M2596" s="45" t="s">
        <v>98</v>
      </c>
      <c r="N2596" s="38" t="s">
        <v>230</v>
      </c>
      <c r="O2596" s="38" t="s">
        <v>314</v>
      </c>
      <c r="P2596" s="38" t="s">
        <v>60</v>
      </c>
      <c r="Q2596" s="38" t="s">
        <v>44</v>
      </c>
      <c r="R2596" s="38" t="s">
        <v>270</v>
      </c>
      <c r="S2596" s="38" t="s">
        <v>4029</v>
      </c>
      <c r="T2596" s="38" t="s">
        <v>4030</v>
      </c>
      <c r="U2596" s="38"/>
      <c r="V2596"/>
      <c r="W2596"/>
      <c r="X2596" s="14"/>
      <c r="AN2596" s="7" t="s">
        <v>70</v>
      </c>
      <c r="AO2596" s="21">
        <f t="shared" si="128"/>
        <v>0</v>
      </c>
      <c r="AP2596" s="7">
        <f t="shared" si="129"/>
        <v>354.2</v>
      </c>
      <c r="AQ2596" s="31" t="str">
        <f t="shared" si="130"/>
        <v>Complete - No Adjustment</v>
      </c>
    </row>
    <row r="2597" spans="1:43" x14ac:dyDescent="0.2">
      <c r="A2597" s="46">
        <v>2587</v>
      </c>
      <c r="B2597" s="38" t="s">
        <v>266</v>
      </c>
      <c r="C2597" s="38" t="s">
        <v>443</v>
      </c>
      <c r="D2597" s="38" t="s">
        <v>442</v>
      </c>
      <c r="E2597" s="38" t="s">
        <v>6163</v>
      </c>
      <c r="F2597" s="38" t="s">
        <v>6084</v>
      </c>
      <c r="G2597" s="38" t="s">
        <v>111</v>
      </c>
      <c r="H2597" s="44">
        <v>44148</v>
      </c>
      <c r="I2597" s="44">
        <v>44152</v>
      </c>
      <c r="J2597">
        <v>232.85</v>
      </c>
      <c r="K2597">
        <v>219</v>
      </c>
      <c r="L2597" t="s">
        <v>6164</v>
      </c>
      <c r="M2597" s="45" t="s">
        <v>98</v>
      </c>
      <c r="N2597" s="38" t="s">
        <v>230</v>
      </c>
      <c r="O2597" s="38" t="s">
        <v>444</v>
      </c>
      <c r="P2597" s="38" t="s">
        <v>60</v>
      </c>
      <c r="Q2597" s="38" t="s">
        <v>119</v>
      </c>
      <c r="R2597" s="38" t="s">
        <v>270</v>
      </c>
      <c r="S2597" s="38" t="s">
        <v>6165</v>
      </c>
      <c r="T2597" s="38" t="s">
        <v>6166</v>
      </c>
      <c r="U2597" s="38"/>
      <c r="V2597"/>
      <c r="W2597"/>
      <c r="X2597" s="14"/>
      <c r="AN2597" s="7" t="s">
        <v>70</v>
      </c>
      <c r="AO2597" s="21">
        <f t="shared" si="128"/>
        <v>0</v>
      </c>
      <c r="AP2597" s="7">
        <f t="shared" si="129"/>
        <v>219</v>
      </c>
      <c r="AQ2597" s="31" t="str">
        <f t="shared" si="130"/>
        <v>Complete - No Adjustment</v>
      </c>
    </row>
    <row r="2598" spans="1:43" x14ac:dyDescent="0.2">
      <c r="A2598" s="46">
        <v>2588</v>
      </c>
      <c r="B2598" s="38" t="s">
        <v>266</v>
      </c>
      <c r="C2598" s="38" t="s">
        <v>443</v>
      </c>
      <c r="D2598" s="38" t="s">
        <v>442</v>
      </c>
      <c r="E2598" s="38" t="s">
        <v>6163</v>
      </c>
      <c r="F2598" s="38" t="s">
        <v>6084</v>
      </c>
      <c r="G2598" s="38" t="s">
        <v>111</v>
      </c>
      <c r="H2598" s="44">
        <v>44148</v>
      </c>
      <c r="I2598" s="44">
        <v>44152</v>
      </c>
      <c r="J2598">
        <v>232.85</v>
      </c>
      <c r="K2598">
        <v>13.85</v>
      </c>
      <c r="L2598" t="s">
        <v>6164</v>
      </c>
      <c r="M2598" s="45" t="s">
        <v>98</v>
      </c>
      <c r="N2598" s="38" t="s">
        <v>230</v>
      </c>
      <c r="O2598" s="38" t="s">
        <v>444</v>
      </c>
      <c r="P2598" s="38" t="s">
        <v>60</v>
      </c>
      <c r="Q2598" s="38" t="s">
        <v>41</v>
      </c>
      <c r="R2598" s="38" t="s">
        <v>270</v>
      </c>
      <c r="S2598" s="38" t="s">
        <v>6165</v>
      </c>
      <c r="T2598" s="38" t="s">
        <v>6167</v>
      </c>
      <c r="U2598" s="38"/>
      <c r="V2598"/>
      <c r="W2598"/>
      <c r="X2598" s="14"/>
      <c r="AN2598" s="7" t="s">
        <v>155</v>
      </c>
      <c r="AO2598" s="21">
        <f t="shared" si="128"/>
        <v>0</v>
      </c>
      <c r="AP2598" s="7">
        <f t="shared" si="129"/>
        <v>13.85</v>
      </c>
      <c r="AQ2598" s="31" t="str">
        <f t="shared" si="130"/>
        <v>Complete - No Adjustment</v>
      </c>
    </row>
    <row r="2599" spans="1:43" x14ac:dyDescent="0.2">
      <c r="A2599" s="46">
        <v>2589</v>
      </c>
      <c r="B2599" s="38" t="s">
        <v>266</v>
      </c>
      <c r="C2599" s="38" t="s">
        <v>561</v>
      </c>
      <c r="D2599" s="38" t="s">
        <v>560</v>
      </c>
      <c r="E2599" s="38" t="s">
        <v>6168</v>
      </c>
      <c r="F2599" s="38" t="s">
        <v>6169</v>
      </c>
      <c r="G2599" s="38" t="s">
        <v>111</v>
      </c>
      <c r="H2599" s="44">
        <v>44131</v>
      </c>
      <c r="I2599" s="44">
        <v>44137</v>
      </c>
      <c r="J2599">
        <v>59.91</v>
      </c>
      <c r="K2599">
        <v>11.14</v>
      </c>
      <c r="L2599" t="s">
        <v>6170</v>
      </c>
      <c r="M2599" s="45" t="s">
        <v>98</v>
      </c>
      <c r="N2599" s="38" t="s">
        <v>230</v>
      </c>
      <c r="O2599" s="38" t="s">
        <v>281</v>
      </c>
      <c r="P2599" s="38" t="s">
        <v>60</v>
      </c>
      <c r="Q2599" s="38" t="s">
        <v>41</v>
      </c>
      <c r="R2599" s="38" t="s">
        <v>270</v>
      </c>
      <c r="S2599" s="38" t="s">
        <v>1391</v>
      </c>
      <c r="T2599" s="38" t="s">
        <v>1401</v>
      </c>
      <c r="U2599" s="38"/>
      <c r="V2599"/>
      <c r="W2599"/>
      <c r="X2599" s="14"/>
      <c r="AN2599" s="7" t="s">
        <v>155</v>
      </c>
      <c r="AO2599" s="21">
        <f t="shared" si="128"/>
        <v>0</v>
      </c>
      <c r="AP2599" s="7">
        <f t="shared" si="129"/>
        <v>11.14</v>
      </c>
      <c r="AQ2599" s="31" t="str">
        <f t="shared" si="130"/>
        <v>Complete - No Adjustment</v>
      </c>
    </row>
    <row r="2600" spans="1:43" x14ac:dyDescent="0.2">
      <c r="A2600" s="46">
        <v>2590</v>
      </c>
      <c r="B2600" s="38" t="s">
        <v>266</v>
      </c>
      <c r="C2600" s="38" t="s">
        <v>561</v>
      </c>
      <c r="D2600" s="38" t="s">
        <v>560</v>
      </c>
      <c r="E2600" s="38" t="s">
        <v>6168</v>
      </c>
      <c r="F2600" s="38" t="s">
        <v>6169</v>
      </c>
      <c r="G2600" s="38" t="s">
        <v>111</v>
      </c>
      <c r="H2600" s="44">
        <v>44131</v>
      </c>
      <c r="I2600" s="44">
        <v>44137</v>
      </c>
      <c r="J2600">
        <v>59.91</v>
      </c>
      <c r="K2600">
        <v>16.36</v>
      </c>
      <c r="L2600" t="s">
        <v>6170</v>
      </c>
      <c r="M2600" s="45" t="s">
        <v>98</v>
      </c>
      <c r="N2600" s="38" t="s">
        <v>230</v>
      </c>
      <c r="O2600" s="38" t="s">
        <v>281</v>
      </c>
      <c r="P2600" s="38" t="s">
        <v>60</v>
      </c>
      <c r="Q2600" s="38" t="s">
        <v>41</v>
      </c>
      <c r="R2600" s="38" t="s">
        <v>270</v>
      </c>
      <c r="S2600" s="38" t="s">
        <v>1391</v>
      </c>
      <c r="T2600" s="38" t="s">
        <v>1401</v>
      </c>
      <c r="U2600" s="38"/>
      <c r="V2600"/>
      <c r="W2600"/>
      <c r="X2600" s="14"/>
      <c r="AL2600" s="14">
        <f>16.36</f>
        <v>16.36</v>
      </c>
      <c r="AN2600" s="7" t="s">
        <v>2957</v>
      </c>
      <c r="AO2600" s="21">
        <f t="shared" si="128"/>
        <v>16.36</v>
      </c>
      <c r="AP2600" s="7">
        <f t="shared" si="129"/>
        <v>0</v>
      </c>
      <c r="AQ2600" s="31" t="str">
        <f t="shared" si="130"/>
        <v>Complete - With Adjustment</v>
      </c>
    </row>
    <row r="2601" spans="1:43" x14ac:dyDescent="0.2">
      <c r="A2601" s="46">
        <v>2591</v>
      </c>
      <c r="B2601" s="38" t="s">
        <v>266</v>
      </c>
      <c r="C2601" s="38" t="s">
        <v>561</v>
      </c>
      <c r="D2601" s="38" t="s">
        <v>560</v>
      </c>
      <c r="E2601" s="38" t="s">
        <v>6168</v>
      </c>
      <c r="F2601" s="38" t="s">
        <v>6169</v>
      </c>
      <c r="G2601" s="38" t="s">
        <v>111</v>
      </c>
      <c r="H2601" s="44">
        <v>44131</v>
      </c>
      <c r="I2601" s="44">
        <v>44137</v>
      </c>
      <c r="J2601">
        <v>59.91</v>
      </c>
      <c r="K2601">
        <v>13.82</v>
      </c>
      <c r="L2601" t="s">
        <v>6170</v>
      </c>
      <c r="M2601" s="45" t="s">
        <v>98</v>
      </c>
      <c r="N2601" s="38" t="s">
        <v>230</v>
      </c>
      <c r="O2601" s="38" t="s">
        <v>281</v>
      </c>
      <c r="P2601" s="38" t="s">
        <v>60</v>
      </c>
      <c r="Q2601" s="38" t="s">
        <v>41</v>
      </c>
      <c r="R2601" s="38" t="s">
        <v>270</v>
      </c>
      <c r="S2601" s="38" t="s">
        <v>1391</v>
      </c>
      <c r="T2601" s="38" t="s">
        <v>1401</v>
      </c>
      <c r="U2601" s="38"/>
      <c r="V2601"/>
      <c r="W2601"/>
      <c r="X2601" s="14"/>
      <c r="AL2601" s="14">
        <f>13.82</f>
        <v>13.82</v>
      </c>
      <c r="AN2601" s="7" t="s">
        <v>146</v>
      </c>
      <c r="AO2601" s="21">
        <f t="shared" si="128"/>
        <v>13.82</v>
      </c>
      <c r="AP2601" s="7">
        <f t="shared" si="129"/>
        <v>0</v>
      </c>
      <c r="AQ2601" s="31" t="str">
        <f t="shared" si="130"/>
        <v>Complete - With Adjustment</v>
      </c>
    </row>
    <row r="2602" spans="1:43" x14ac:dyDescent="0.2">
      <c r="A2602" s="46">
        <v>2592</v>
      </c>
      <c r="B2602" s="38" t="s">
        <v>266</v>
      </c>
      <c r="C2602" s="38" t="s">
        <v>561</v>
      </c>
      <c r="D2602" s="38" t="s">
        <v>560</v>
      </c>
      <c r="E2602" s="38" t="s">
        <v>6168</v>
      </c>
      <c r="F2602" s="38" t="s">
        <v>6169</v>
      </c>
      <c r="G2602" s="38" t="s">
        <v>111</v>
      </c>
      <c r="H2602" s="44">
        <v>44131</v>
      </c>
      <c r="I2602" s="44">
        <v>44137</v>
      </c>
      <c r="J2602">
        <v>59.91</v>
      </c>
      <c r="K2602">
        <v>18.59</v>
      </c>
      <c r="L2602" t="s">
        <v>6170</v>
      </c>
      <c r="M2602" s="45" t="s">
        <v>98</v>
      </c>
      <c r="N2602" s="38" t="s">
        <v>230</v>
      </c>
      <c r="O2602" s="38" t="s">
        <v>281</v>
      </c>
      <c r="P2602" s="38" t="s">
        <v>60</v>
      </c>
      <c r="Q2602" s="38" t="s">
        <v>41</v>
      </c>
      <c r="R2602" s="38" t="s">
        <v>270</v>
      </c>
      <c r="S2602" s="38" t="s">
        <v>1391</v>
      </c>
      <c r="T2602" s="38" t="s">
        <v>1401</v>
      </c>
      <c r="U2602" s="38"/>
      <c r="V2602"/>
      <c r="W2602"/>
      <c r="X2602" s="14"/>
      <c r="AL2602" s="14">
        <f>18.59</f>
        <v>18.59</v>
      </c>
      <c r="AN2602" s="7" t="s">
        <v>2957</v>
      </c>
      <c r="AO2602" s="21">
        <f t="shared" si="128"/>
        <v>18.59</v>
      </c>
      <c r="AP2602" s="7">
        <f t="shared" si="129"/>
        <v>0</v>
      </c>
      <c r="AQ2602" s="31" t="str">
        <f t="shared" si="130"/>
        <v>Complete - With Adjustment</v>
      </c>
    </row>
    <row r="2603" spans="1:43" x14ac:dyDescent="0.2">
      <c r="A2603" s="46">
        <v>2593</v>
      </c>
      <c r="B2603" s="38" t="s">
        <v>266</v>
      </c>
      <c r="C2603" s="38" t="s">
        <v>446</v>
      </c>
      <c r="D2603" s="38" t="s">
        <v>445</v>
      </c>
      <c r="E2603" s="38" t="s">
        <v>6171</v>
      </c>
      <c r="F2603" s="38" t="s">
        <v>5939</v>
      </c>
      <c r="G2603" s="38" t="s">
        <v>111</v>
      </c>
      <c r="H2603" s="44">
        <v>44151</v>
      </c>
      <c r="I2603" s="44">
        <v>44153</v>
      </c>
      <c r="J2603">
        <v>326.93</v>
      </c>
      <c r="K2603">
        <v>54.13</v>
      </c>
      <c r="L2603" t="s">
        <v>6172</v>
      </c>
      <c r="M2603" s="45" t="s">
        <v>98</v>
      </c>
      <c r="N2603" s="38" t="s">
        <v>230</v>
      </c>
      <c r="O2603" s="38" t="s">
        <v>293</v>
      </c>
      <c r="P2603" s="38" t="s">
        <v>60</v>
      </c>
      <c r="Q2603" s="38" t="s">
        <v>174</v>
      </c>
      <c r="R2603" s="38" t="s">
        <v>270</v>
      </c>
      <c r="S2603" s="38" t="s">
        <v>6173</v>
      </c>
      <c r="T2603" s="38" t="s">
        <v>6174</v>
      </c>
      <c r="U2603" s="38"/>
      <c r="V2603"/>
      <c r="W2603"/>
      <c r="X2603" s="14"/>
      <c r="AN2603" s="7" t="s">
        <v>70</v>
      </c>
      <c r="AO2603" s="21">
        <f t="shared" si="128"/>
        <v>0</v>
      </c>
      <c r="AP2603" s="7">
        <f t="shared" si="129"/>
        <v>54.13</v>
      </c>
      <c r="AQ2603" s="31" t="str">
        <f t="shared" si="130"/>
        <v>Complete - No Adjustment</v>
      </c>
    </row>
    <row r="2604" spans="1:43" x14ac:dyDescent="0.2">
      <c r="A2604" s="46">
        <v>2594</v>
      </c>
      <c r="B2604" s="38" t="s">
        <v>266</v>
      </c>
      <c r="C2604" s="38" t="s">
        <v>446</v>
      </c>
      <c r="D2604" s="38" t="s">
        <v>445</v>
      </c>
      <c r="E2604" s="38" t="s">
        <v>6171</v>
      </c>
      <c r="F2604" s="38" t="s">
        <v>5939</v>
      </c>
      <c r="G2604" s="38" t="s">
        <v>111</v>
      </c>
      <c r="H2604" s="44">
        <v>44151</v>
      </c>
      <c r="I2604" s="44">
        <v>44153</v>
      </c>
      <c r="J2604">
        <v>326.93</v>
      </c>
      <c r="K2604">
        <v>101.76</v>
      </c>
      <c r="L2604" t="s">
        <v>6172</v>
      </c>
      <c r="M2604" s="45" t="s">
        <v>98</v>
      </c>
      <c r="N2604" s="38" t="s">
        <v>230</v>
      </c>
      <c r="O2604" s="38" t="s">
        <v>293</v>
      </c>
      <c r="P2604" s="38" t="s">
        <v>60</v>
      </c>
      <c r="Q2604" s="38" t="s">
        <v>174</v>
      </c>
      <c r="R2604" s="38" t="s">
        <v>270</v>
      </c>
      <c r="S2604" s="38" t="s">
        <v>6173</v>
      </c>
      <c r="T2604" s="38" t="s">
        <v>6175</v>
      </c>
      <c r="U2604" s="38"/>
      <c r="V2604"/>
      <c r="W2604"/>
      <c r="X2604" s="14"/>
      <c r="AN2604" s="7" t="s">
        <v>70</v>
      </c>
      <c r="AO2604" s="21">
        <f t="shared" si="128"/>
        <v>0</v>
      </c>
      <c r="AP2604" s="7">
        <f t="shared" si="129"/>
        <v>101.76</v>
      </c>
      <c r="AQ2604" s="31" t="str">
        <f t="shared" si="130"/>
        <v>Complete - No Adjustment</v>
      </c>
    </row>
    <row r="2605" spans="1:43" x14ac:dyDescent="0.2">
      <c r="A2605" s="46">
        <v>2595</v>
      </c>
      <c r="B2605" s="38" t="s">
        <v>266</v>
      </c>
      <c r="C2605" s="38" t="s">
        <v>446</v>
      </c>
      <c r="D2605" s="38" t="s">
        <v>445</v>
      </c>
      <c r="E2605" s="38" t="s">
        <v>6171</v>
      </c>
      <c r="F2605" s="38" t="s">
        <v>5939</v>
      </c>
      <c r="G2605" s="38" t="s">
        <v>111</v>
      </c>
      <c r="H2605" s="44">
        <v>44151</v>
      </c>
      <c r="I2605" s="44">
        <v>44153</v>
      </c>
      <c r="J2605">
        <v>326.93</v>
      </c>
      <c r="K2605">
        <v>51.96</v>
      </c>
      <c r="L2605" t="s">
        <v>6172</v>
      </c>
      <c r="M2605" s="45" t="s">
        <v>98</v>
      </c>
      <c r="N2605" s="38" t="s">
        <v>230</v>
      </c>
      <c r="O2605" s="38" t="s">
        <v>293</v>
      </c>
      <c r="P2605" s="38" t="s">
        <v>60</v>
      </c>
      <c r="Q2605" s="38" t="s">
        <v>174</v>
      </c>
      <c r="R2605" s="38" t="s">
        <v>270</v>
      </c>
      <c r="S2605" s="38" t="s">
        <v>6173</v>
      </c>
      <c r="T2605" s="38" t="s">
        <v>6176</v>
      </c>
      <c r="U2605" s="38"/>
      <c r="V2605"/>
      <c r="W2605"/>
      <c r="X2605" s="14"/>
      <c r="AN2605" s="7" t="s">
        <v>70</v>
      </c>
      <c r="AO2605" s="21">
        <f t="shared" si="128"/>
        <v>0</v>
      </c>
      <c r="AP2605" s="7">
        <f t="shared" si="129"/>
        <v>51.96</v>
      </c>
      <c r="AQ2605" s="31" t="str">
        <f t="shared" si="130"/>
        <v>Complete - No Adjustment</v>
      </c>
    </row>
    <row r="2606" spans="1:43" x14ac:dyDescent="0.2">
      <c r="A2606" s="46">
        <v>2596</v>
      </c>
      <c r="B2606" s="38" t="s">
        <v>266</v>
      </c>
      <c r="C2606" s="38" t="s">
        <v>446</v>
      </c>
      <c r="D2606" s="38" t="s">
        <v>445</v>
      </c>
      <c r="E2606" s="38" t="s">
        <v>6171</v>
      </c>
      <c r="F2606" s="38" t="s">
        <v>5939</v>
      </c>
      <c r="G2606" s="38" t="s">
        <v>111</v>
      </c>
      <c r="H2606" s="44">
        <v>44151</v>
      </c>
      <c r="I2606" s="44">
        <v>44153</v>
      </c>
      <c r="J2606">
        <v>326.93</v>
      </c>
      <c r="K2606">
        <v>119.08</v>
      </c>
      <c r="L2606" t="s">
        <v>6172</v>
      </c>
      <c r="M2606" s="45" t="s">
        <v>98</v>
      </c>
      <c r="N2606" s="38" t="s">
        <v>230</v>
      </c>
      <c r="O2606" s="38" t="s">
        <v>293</v>
      </c>
      <c r="P2606" s="38" t="s">
        <v>60</v>
      </c>
      <c r="Q2606" s="38" t="s">
        <v>174</v>
      </c>
      <c r="R2606" s="38" t="s">
        <v>270</v>
      </c>
      <c r="S2606" s="38" t="s">
        <v>6173</v>
      </c>
      <c r="T2606" s="38" t="s">
        <v>6177</v>
      </c>
      <c r="U2606" s="38"/>
      <c r="V2606"/>
      <c r="W2606"/>
      <c r="X2606" s="14"/>
      <c r="AN2606" s="7" t="s">
        <v>70</v>
      </c>
      <c r="AO2606" s="21">
        <f t="shared" si="128"/>
        <v>0</v>
      </c>
      <c r="AP2606" s="7">
        <f t="shared" si="129"/>
        <v>119.08</v>
      </c>
      <c r="AQ2606" s="31" t="str">
        <f t="shared" si="130"/>
        <v>Complete - No Adjustment</v>
      </c>
    </row>
    <row r="2607" spans="1:43" x14ac:dyDescent="0.2">
      <c r="A2607" s="46">
        <v>2597</v>
      </c>
      <c r="B2607" s="38" t="s">
        <v>266</v>
      </c>
      <c r="C2607" s="38" t="s">
        <v>616</v>
      </c>
      <c r="D2607" s="38" t="s">
        <v>615</v>
      </c>
      <c r="E2607" s="38" t="s">
        <v>6178</v>
      </c>
      <c r="F2607" s="38" t="s">
        <v>5944</v>
      </c>
      <c r="G2607" s="38" t="s">
        <v>111</v>
      </c>
      <c r="H2607" s="44">
        <v>44141</v>
      </c>
      <c r="I2607" s="44">
        <v>44145</v>
      </c>
      <c r="J2607">
        <v>11.9</v>
      </c>
      <c r="K2607">
        <v>11.9</v>
      </c>
      <c r="L2607" t="s">
        <v>6179</v>
      </c>
      <c r="M2607" s="45" t="s">
        <v>98</v>
      </c>
      <c r="N2607" s="38" t="s">
        <v>230</v>
      </c>
      <c r="O2607" s="38" t="s">
        <v>378</v>
      </c>
      <c r="P2607" s="38" t="s">
        <v>60</v>
      </c>
      <c r="Q2607" s="38" t="s">
        <v>41</v>
      </c>
      <c r="R2607" s="38" t="s">
        <v>270</v>
      </c>
      <c r="S2607" s="38" t="s">
        <v>6180</v>
      </c>
      <c r="T2607" s="38" t="s">
        <v>6181</v>
      </c>
      <c r="U2607" s="38"/>
      <c r="V2607"/>
      <c r="W2607"/>
      <c r="X2607" s="14"/>
      <c r="AL2607" s="14">
        <f>11.9</f>
        <v>11.9</v>
      </c>
      <c r="AN2607" s="7" t="s">
        <v>146</v>
      </c>
      <c r="AO2607" s="21">
        <f t="shared" si="128"/>
        <v>11.9</v>
      </c>
      <c r="AP2607" s="7">
        <f t="shared" si="129"/>
        <v>0</v>
      </c>
      <c r="AQ2607" s="31" t="str">
        <f t="shared" si="130"/>
        <v>Complete - With Adjustment</v>
      </c>
    </row>
    <row r="2608" spans="1:43" x14ac:dyDescent="0.2">
      <c r="A2608" s="46">
        <v>2598</v>
      </c>
      <c r="B2608" s="38" t="s">
        <v>266</v>
      </c>
      <c r="C2608" s="38" t="s">
        <v>620</v>
      </c>
      <c r="D2608" s="38" t="s">
        <v>619</v>
      </c>
      <c r="E2608" s="38" t="s">
        <v>6182</v>
      </c>
      <c r="F2608" s="38" t="s">
        <v>5917</v>
      </c>
      <c r="G2608" s="38" t="s">
        <v>111</v>
      </c>
      <c r="H2608" s="44">
        <v>44147</v>
      </c>
      <c r="I2608" s="44">
        <v>44151</v>
      </c>
      <c r="J2608">
        <v>16.22</v>
      </c>
      <c r="K2608">
        <v>16.22</v>
      </c>
      <c r="L2608" t="s">
        <v>6183</v>
      </c>
      <c r="M2608" s="45" t="s">
        <v>98</v>
      </c>
      <c r="N2608" s="38" t="s">
        <v>230</v>
      </c>
      <c r="O2608" s="38" t="s">
        <v>320</v>
      </c>
      <c r="P2608" s="38" t="s">
        <v>60</v>
      </c>
      <c r="Q2608" s="38" t="s">
        <v>41</v>
      </c>
      <c r="R2608" s="38" t="s">
        <v>270</v>
      </c>
      <c r="S2608" s="38" t="s">
        <v>6184</v>
      </c>
      <c r="T2608" s="38" t="s">
        <v>6185</v>
      </c>
      <c r="U2608" s="38"/>
      <c r="V2608"/>
      <c r="W2608"/>
      <c r="X2608" s="14"/>
      <c r="AL2608" s="14">
        <f>16.22</f>
        <v>16.22</v>
      </c>
      <c r="AN2608" s="7" t="s">
        <v>146</v>
      </c>
      <c r="AO2608" s="21">
        <f t="shared" si="128"/>
        <v>16.22</v>
      </c>
      <c r="AP2608" s="7">
        <f t="shared" si="129"/>
        <v>0</v>
      </c>
      <c r="AQ2608" s="31" t="str">
        <f t="shared" si="130"/>
        <v>Complete - With Adjustment</v>
      </c>
    </row>
    <row r="2609" spans="1:43" x14ac:dyDescent="0.2">
      <c r="A2609" s="46">
        <v>2599</v>
      </c>
      <c r="B2609" s="38" t="s">
        <v>266</v>
      </c>
      <c r="C2609" s="38" t="s">
        <v>462</v>
      </c>
      <c r="D2609" s="38" t="s">
        <v>461</v>
      </c>
      <c r="E2609" s="38" t="s">
        <v>6186</v>
      </c>
      <c r="F2609" s="38" t="s">
        <v>5930</v>
      </c>
      <c r="G2609" s="38" t="s">
        <v>111</v>
      </c>
      <c r="H2609" s="44">
        <v>44137</v>
      </c>
      <c r="I2609" s="44">
        <v>44140</v>
      </c>
      <c r="J2609">
        <v>7.85</v>
      </c>
      <c r="K2609">
        <v>7.85</v>
      </c>
      <c r="L2609" t="s">
        <v>6187</v>
      </c>
      <c r="M2609" s="45" t="s">
        <v>98</v>
      </c>
      <c r="N2609" s="38" t="s">
        <v>230</v>
      </c>
      <c r="O2609" s="38" t="s">
        <v>288</v>
      </c>
      <c r="P2609" s="38" t="s">
        <v>60</v>
      </c>
      <c r="Q2609" s="38" t="s">
        <v>41</v>
      </c>
      <c r="R2609" s="38" t="s">
        <v>270</v>
      </c>
      <c r="S2609" s="38" t="s">
        <v>6188</v>
      </c>
      <c r="T2609" s="38" t="s">
        <v>6189</v>
      </c>
      <c r="U2609" s="38"/>
      <c r="V2609"/>
      <c r="W2609"/>
      <c r="X2609" s="14"/>
      <c r="AN2609" s="7" t="s">
        <v>70</v>
      </c>
      <c r="AO2609" s="21">
        <f t="shared" si="128"/>
        <v>0</v>
      </c>
      <c r="AP2609" s="7">
        <f t="shared" si="129"/>
        <v>7.85</v>
      </c>
      <c r="AQ2609" s="31" t="str">
        <f t="shared" si="130"/>
        <v>Complete - No Adjustment</v>
      </c>
    </row>
    <row r="2610" spans="1:43" x14ac:dyDescent="0.2">
      <c r="A2610" s="46">
        <v>2600</v>
      </c>
      <c r="B2610" s="38" t="s">
        <v>266</v>
      </c>
      <c r="C2610" s="38" t="s">
        <v>462</v>
      </c>
      <c r="D2610" s="38" t="s">
        <v>461</v>
      </c>
      <c r="E2610" s="38" t="s">
        <v>6190</v>
      </c>
      <c r="F2610" s="38" t="s">
        <v>5986</v>
      </c>
      <c r="G2610" s="38" t="s">
        <v>111</v>
      </c>
      <c r="H2610" s="44">
        <v>44146</v>
      </c>
      <c r="I2610" s="44">
        <v>44148</v>
      </c>
      <c r="J2610">
        <v>16.329999999999998</v>
      </c>
      <c r="K2610">
        <v>16.329999999999998</v>
      </c>
      <c r="L2610" t="s">
        <v>6191</v>
      </c>
      <c r="M2610" s="45" t="s">
        <v>98</v>
      </c>
      <c r="N2610" s="38" t="s">
        <v>230</v>
      </c>
      <c r="O2610" s="38" t="s">
        <v>288</v>
      </c>
      <c r="P2610" s="38" t="s">
        <v>60</v>
      </c>
      <c r="Q2610" s="38" t="s">
        <v>41</v>
      </c>
      <c r="R2610" s="38" t="s">
        <v>270</v>
      </c>
      <c r="S2610" s="38" t="s">
        <v>6192</v>
      </c>
      <c r="T2610" s="38" t="s">
        <v>6193</v>
      </c>
      <c r="U2610" s="38"/>
      <c r="V2610"/>
      <c r="W2610"/>
      <c r="X2610" s="14"/>
      <c r="AN2610" s="7" t="s">
        <v>70</v>
      </c>
      <c r="AO2610" s="21">
        <f t="shared" si="128"/>
        <v>0</v>
      </c>
      <c r="AP2610" s="7">
        <f t="shared" si="129"/>
        <v>16.329999999999998</v>
      </c>
      <c r="AQ2610" s="31" t="str">
        <f t="shared" si="130"/>
        <v>Complete - No Adjustment</v>
      </c>
    </row>
    <row r="2611" spans="1:43" x14ac:dyDescent="0.2">
      <c r="A2611" s="46">
        <v>2601</v>
      </c>
      <c r="B2611" s="38" t="s">
        <v>266</v>
      </c>
      <c r="C2611" s="38" t="s">
        <v>660</v>
      </c>
      <c r="D2611" s="38" t="s">
        <v>659</v>
      </c>
      <c r="E2611" s="38" t="s">
        <v>6194</v>
      </c>
      <c r="F2611" s="38" t="s">
        <v>5907</v>
      </c>
      <c r="G2611" s="38" t="s">
        <v>111</v>
      </c>
      <c r="H2611" s="44">
        <v>44153</v>
      </c>
      <c r="I2611" s="44">
        <v>44155</v>
      </c>
      <c r="J2611">
        <v>10.49</v>
      </c>
      <c r="K2611">
        <v>10.49</v>
      </c>
      <c r="L2611" t="s">
        <v>6195</v>
      </c>
      <c r="M2611" s="45" t="s">
        <v>98</v>
      </c>
      <c r="N2611" s="38" t="s">
        <v>230</v>
      </c>
      <c r="O2611" s="38" t="s">
        <v>320</v>
      </c>
      <c r="P2611" s="38" t="s">
        <v>60</v>
      </c>
      <c r="Q2611" s="38" t="s">
        <v>41</v>
      </c>
      <c r="R2611" s="38" t="s">
        <v>270</v>
      </c>
      <c r="S2611" s="38" t="s">
        <v>6196</v>
      </c>
      <c r="T2611" s="38" t="s">
        <v>6197</v>
      </c>
      <c r="U2611" s="38"/>
      <c r="V2611"/>
      <c r="W2611"/>
      <c r="X2611" s="14"/>
      <c r="AL2611" s="14">
        <f>10.49</f>
        <v>10.49</v>
      </c>
      <c r="AN2611" s="7" t="s">
        <v>146</v>
      </c>
      <c r="AO2611" s="21">
        <f t="shared" si="128"/>
        <v>10.49</v>
      </c>
      <c r="AP2611" s="7">
        <f t="shared" si="129"/>
        <v>0</v>
      </c>
      <c r="AQ2611" s="31" t="str">
        <f t="shared" si="130"/>
        <v>Complete - With Adjustment</v>
      </c>
    </row>
    <row r="2612" spans="1:43" x14ac:dyDescent="0.2">
      <c r="A2612" s="46">
        <v>2602</v>
      </c>
      <c r="B2612" s="38" t="s">
        <v>266</v>
      </c>
      <c r="C2612" s="38" t="s">
        <v>684</v>
      </c>
      <c r="D2612" s="38" t="s">
        <v>801</v>
      </c>
      <c r="E2612" s="38" t="s">
        <v>6198</v>
      </c>
      <c r="F2612" s="38" t="s">
        <v>5903</v>
      </c>
      <c r="G2612" s="38" t="s">
        <v>111</v>
      </c>
      <c r="H2612" s="44">
        <v>44127</v>
      </c>
      <c r="I2612" s="44">
        <v>44158</v>
      </c>
      <c r="J2612">
        <v>150</v>
      </c>
      <c r="K2612">
        <v>150</v>
      </c>
      <c r="L2612" t="s">
        <v>6199</v>
      </c>
      <c r="M2612" s="45" t="s">
        <v>98</v>
      </c>
      <c r="N2612" s="38" t="s">
        <v>230</v>
      </c>
      <c r="O2612" s="38" t="s">
        <v>293</v>
      </c>
      <c r="P2612" s="38" t="s">
        <v>60</v>
      </c>
      <c r="Q2612" s="38" t="s">
        <v>56</v>
      </c>
      <c r="R2612" s="38" t="s">
        <v>270</v>
      </c>
      <c r="S2612" s="38" t="s">
        <v>6200</v>
      </c>
      <c r="T2612" s="38" t="s">
        <v>6201</v>
      </c>
      <c r="U2612" s="38"/>
      <c r="V2612"/>
      <c r="W2612"/>
      <c r="X2612" s="14"/>
      <c r="AN2612" s="7" t="s">
        <v>70</v>
      </c>
      <c r="AO2612" s="21">
        <f t="shared" si="128"/>
        <v>0</v>
      </c>
      <c r="AP2612" s="7">
        <f t="shared" si="129"/>
        <v>150</v>
      </c>
      <c r="AQ2612" s="31" t="str">
        <f t="shared" si="130"/>
        <v>Complete - No Adjustment</v>
      </c>
    </row>
    <row r="2613" spans="1:43" x14ac:dyDescent="0.2">
      <c r="A2613" s="46">
        <v>2603</v>
      </c>
      <c r="B2613" s="38" t="s">
        <v>266</v>
      </c>
      <c r="C2613" s="38" t="s">
        <v>1488</v>
      </c>
      <c r="D2613" s="38" t="s">
        <v>1489</v>
      </c>
      <c r="E2613" s="38" t="s">
        <v>6202</v>
      </c>
      <c r="F2613" s="38" t="s">
        <v>5944</v>
      </c>
      <c r="G2613" s="38" t="s">
        <v>111</v>
      </c>
      <c r="H2613" s="44">
        <v>44141</v>
      </c>
      <c r="I2613" s="44">
        <v>44145</v>
      </c>
      <c r="J2613">
        <v>49.95</v>
      </c>
      <c r="K2613">
        <v>49.95</v>
      </c>
      <c r="L2613" t="s">
        <v>6203</v>
      </c>
      <c r="M2613" s="45" t="s">
        <v>98</v>
      </c>
      <c r="N2613" s="38" t="s">
        <v>230</v>
      </c>
      <c r="O2613" s="38" t="s">
        <v>292</v>
      </c>
      <c r="P2613" s="38" t="s">
        <v>60</v>
      </c>
      <c r="Q2613" s="38" t="s">
        <v>56</v>
      </c>
      <c r="R2613" s="38" t="s">
        <v>270</v>
      </c>
      <c r="S2613" s="38" t="s">
        <v>6204</v>
      </c>
      <c r="T2613" s="38" t="s">
        <v>6205</v>
      </c>
      <c r="U2613" s="38"/>
      <c r="V2613"/>
      <c r="W2613"/>
      <c r="X2613" s="14"/>
      <c r="AN2613" s="7" t="s">
        <v>70</v>
      </c>
      <c r="AO2613" s="21">
        <f t="shared" si="128"/>
        <v>0</v>
      </c>
      <c r="AP2613" s="7">
        <f t="shared" si="129"/>
        <v>49.95</v>
      </c>
      <c r="AQ2613" s="31" t="str">
        <f t="shared" si="130"/>
        <v>Complete - No Adjustment</v>
      </c>
    </row>
    <row r="2614" spans="1:43" x14ac:dyDescent="0.2">
      <c r="A2614" s="46">
        <v>2604</v>
      </c>
      <c r="B2614" s="38" t="s">
        <v>266</v>
      </c>
      <c r="C2614" s="38" t="s">
        <v>126</v>
      </c>
      <c r="D2614" s="38" t="s">
        <v>125</v>
      </c>
      <c r="E2614" s="38" t="s">
        <v>6206</v>
      </c>
      <c r="F2614" s="38" t="s">
        <v>6169</v>
      </c>
      <c r="G2614" s="38" t="s">
        <v>111</v>
      </c>
      <c r="H2614" s="44">
        <v>44133</v>
      </c>
      <c r="I2614" s="44">
        <v>44137</v>
      </c>
      <c r="J2614">
        <v>295</v>
      </c>
      <c r="K2614">
        <v>295</v>
      </c>
      <c r="L2614" t="s">
        <v>6207</v>
      </c>
      <c r="M2614" s="45" t="s">
        <v>98</v>
      </c>
      <c r="N2614" s="38" t="s">
        <v>230</v>
      </c>
      <c r="O2614" s="38" t="s">
        <v>383</v>
      </c>
      <c r="P2614" s="38" t="s">
        <v>60</v>
      </c>
      <c r="Q2614" s="38" t="s">
        <v>59</v>
      </c>
      <c r="R2614" s="38" t="s">
        <v>270</v>
      </c>
      <c r="S2614" s="38" t="s">
        <v>6208</v>
      </c>
      <c r="T2614" s="38" t="s">
        <v>6209</v>
      </c>
      <c r="U2614" s="38"/>
      <c r="V2614"/>
      <c r="W2614"/>
      <c r="X2614" s="14"/>
      <c r="AN2614" s="7" t="s">
        <v>70</v>
      </c>
      <c r="AO2614" s="21">
        <f t="shared" si="128"/>
        <v>0</v>
      </c>
      <c r="AP2614" s="7">
        <f t="shared" si="129"/>
        <v>295</v>
      </c>
      <c r="AQ2614" s="31" t="str">
        <f t="shared" si="130"/>
        <v>Complete - No Adjustment</v>
      </c>
    </row>
    <row r="2615" spans="1:43" x14ac:dyDescent="0.2">
      <c r="A2615" s="46">
        <v>2605</v>
      </c>
      <c r="B2615" s="38" t="s">
        <v>266</v>
      </c>
      <c r="C2615" s="38" t="s">
        <v>476</v>
      </c>
      <c r="D2615" s="38" t="s">
        <v>475</v>
      </c>
      <c r="E2615" s="38" t="s">
        <v>6210</v>
      </c>
      <c r="F2615" s="38" t="s">
        <v>5917</v>
      </c>
      <c r="G2615" s="38" t="s">
        <v>111</v>
      </c>
      <c r="H2615" s="44">
        <v>44147</v>
      </c>
      <c r="I2615" s="44">
        <v>44151</v>
      </c>
      <c r="J2615">
        <v>19.59</v>
      </c>
      <c r="K2615">
        <v>19.59</v>
      </c>
      <c r="L2615" t="s">
        <v>6211</v>
      </c>
      <c r="M2615" s="45" t="s">
        <v>98</v>
      </c>
      <c r="N2615" s="38" t="s">
        <v>230</v>
      </c>
      <c r="O2615" s="38" t="s">
        <v>320</v>
      </c>
      <c r="P2615" s="38" t="s">
        <v>60</v>
      </c>
      <c r="Q2615" s="38" t="s">
        <v>46</v>
      </c>
      <c r="R2615" s="38" t="s">
        <v>270</v>
      </c>
      <c r="S2615" s="38" t="s">
        <v>6212</v>
      </c>
      <c r="T2615" s="38" t="s">
        <v>6213</v>
      </c>
      <c r="U2615" s="38"/>
      <c r="V2615"/>
      <c r="W2615"/>
      <c r="X2615" s="14"/>
      <c r="AN2615" s="7" t="s">
        <v>70</v>
      </c>
      <c r="AO2615" s="21">
        <f t="shared" si="128"/>
        <v>0</v>
      </c>
      <c r="AP2615" s="7">
        <f t="shared" si="129"/>
        <v>19.59</v>
      </c>
      <c r="AQ2615" s="31" t="str">
        <f t="shared" si="130"/>
        <v>Complete - No Adjustment</v>
      </c>
    </row>
    <row r="2616" spans="1:43" x14ac:dyDescent="0.2">
      <c r="A2616" s="46">
        <v>2606</v>
      </c>
      <c r="B2616" s="38" t="s">
        <v>266</v>
      </c>
      <c r="C2616" s="38" t="s">
        <v>624</v>
      </c>
      <c r="D2616" s="38" t="s">
        <v>623</v>
      </c>
      <c r="E2616" s="38" t="s">
        <v>6214</v>
      </c>
      <c r="F2616" s="38" t="s">
        <v>5894</v>
      </c>
      <c r="G2616" s="38" t="s">
        <v>111</v>
      </c>
      <c r="H2616" s="44">
        <v>44133</v>
      </c>
      <c r="I2616" s="44">
        <v>44138</v>
      </c>
      <c r="J2616">
        <v>140.71</v>
      </c>
      <c r="K2616">
        <v>140.71</v>
      </c>
      <c r="L2616" t="s">
        <v>6215</v>
      </c>
      <c r="M2616" s="45" t="s">
        <v>98</v>
      </c>
      <c r="N2616" s="38" t="s">
        <v>230</v>
      </c>
      <c r="O2616" s="38" t="s">
        <v>559</v>
      </c>
      <c r="P2616" s="38" t="s">
        <v>60</v>
      </c>
      <c r="Q2616" s="38" t="s">
        <v>62</v>
      </c>
      <c r="R2616" s="38" t="s">
        <v>270</v>
      </c>
      <c r="S2616" s="38" t="s">
        <v>6216</v>
      </c>
      <c r="T2616" s="38" t="s">
        <v>6217</v>
      </c>
      <c r="U2616" s="38"/>
      <c r="V2616"/>
      <c r="W2616"/>
      <c r="X2616" s="14"/>
      <c r="AL2616" s="14">
        <f>140.71</f>
        <v>140.71</v>
      </c>
      <c r="AN2616" s="7" t="s">
        <v>146</v>
      </c>
      <c r="AO2616" s="21">
        <f t="shared" si="128"/>
        <v>140.71</v>
      </c>
      <c r="AP2616" s="7">
        <f t="shared" si="129"/>
        <v>0</v>
      </c>
      <c r="AQ2616" s="31" t="str">
        <f t="shared" si="130"/>
        <v>Complete - With Adjustment</v>
      </c>
    </row>
    <row r="2617" spans="1:43" x14ac:dyDescent="0.2">
      <c r="A2617" s="46">
        <v>2607</v>
      </c>
      <c r="B2617" s="38" t="s">
        <v>266</v>
      </c>
      <c r="C2617" s="38" t="s">
        <v>575</v>
      </c>
      <c r="D2617" s="38" t="s">
        <v>574</v>
      </c>
      <c r="E2617" s="38" t="s">
        <v>6218</v>
      </c>
      <c r="F2617" s="38" t="s">
        <v>5968</v>
      </c>
      <c r="G2617" s="38" t="s">
        <v>111</v>
      </c>
      <c r="H2617" s="44">
        <v>44137</v>
      </c>
      <c r="I2617" s="44">
        <v>44139</v>
      </c>
      <c r="J2617">
        <v>761.76</v>
      </c>
      <c r="K2617">
        <v>147.71</v>
      </c>
      <c r="L2617" t="s">
        <v>6219</v>
      </c>
      <c r="M2617" s="45" t="s">
        <v>98</v>
      </c>
      <c r="N2617" s="38" t="s">
        <v>230</v>
      </c>
      <c r="O2617" s="38" t="s">
        <v>78</v>
      </c>
      <c r="P2617" s="38" t="s">
        <v>60</v>
      </c>
      <c r="Q2617" s="38" t="s">
        <v>174</v>
      </c>
      <c r="R2617" s="38" t="s">
        <v>270</v>
      </c>
      <c r="S2617" s="38" t="s">
        <v>6220</v>
      </c>
      <c r="T2617" s="38" t="s">
        <v>6221</v>
      </c>
      <c r="U2617" s="38"/>
      <c r="V2617"/>
      <c r="W2617"/>
      <c r="X2617" s="14"/>
      <c r="AN2617" s="7" t="s">
        <v>70</v>
      </c>
      <c r="AO2617" s="21">
        <f t="shared" si="128"/>
        <v>0</v>
      </c>
      <c r="AP2617" s="7">
        <f t="shared" si="129"/>
        <v>147.71</v>
      </c>
      <c r="AQ2617" s="31" t="str">
        <f t="shared" si="130"/>
        <v>Complete - No Adjustment</v>
      </c>
    </row>
    <row r="2618" spans="1:43" x14ac:dyDescent="0.2">
      <c r="A2618" s="46">
        <v>2608</v>
      </c>
      <c r="B2618" s="38" t="s">
        <v>266</v>
      </c>
      <c r="C2618" s="38" t="s">
        <v>575</v>
      </c>
      <c r="D2618" s="38" t="s">
        <v>574</v>
      </c>
      <c r="E2618" s="38" t="s">
        <v>6218</v>
      </c>
      <c r="F2618" s="38" t="s">
        <v>5968</v>
      </c>
      <c r="G2618" s="38" t="s">
        <v>111</v>
      </c>
      <c r="H2618" s="44">
        <v>44137</v>
      </c>
      <c r="I2618" s="44">
        <v>44139</v>
      </c>
      <c r="J2618">
        <v>761.76</v>
      </c>
      <c r="K2618">
        <v>119.05</v>
      </c>
      <c r="L2618" t="s">
        <v>6219</v>
      </c>
      <c r="M2618" s="45" t="s">
        <v>98</v>
      </c>
      <c r="N2618" s="38" t="s">
        <v>230</v>
      </c>
      <c r="O2618" s="38" t="s">
        <v>78</v>
      </c>
      <c r="P2618" s="38" t="s">
        <v>60</v>
      </c>
      <c r="Q2618" s="38" t="s">
        <v>41</v>
      </c>
      <c r="R2618" s="38" t="s">
        <v>270</v>
      </c>
      <c r="S2618" s="38" t="s">
        <v>6220</v>
      </c>
      <c r="T2618" s="38" t="s">
        <v>6222</v>
      </c>
      <c r="U2618" s="38"/>
      <c r="V2618"/>
      <c r="W2618"/>
      <c r="X2618" s="14"/>
      <c r="AI2618" s="53">
        <f>119.05</f>
        <v>119.05</v>
      </c>
      <c r="AN2618" s="7" t="s">
        <v>145</v>
      </c>
      <c r="AO2618" s="21">
        <f t="shared" si="128"/>
        <v>119.05</v>
      </c>
      <c r="AP2618" s="7">
        <f t="shared" si="129"/>
        <v>0</v>
      </c>
      <c r="AQ2618" s="31" t="str">
        <f t="shared" si="130"/>
        <v>Complete - With Adjustment</v>
      </c>
    </row>
    <row r="2619" spans="1:43" x14ac:dyDescent="0.2">
      <c r="A2619" s="46">
        <v>2609</v>
      </c>
      <c r="B2619" s="38" t="s">
        <v>266</v>
      </c>
      <c r="C2619" s="38" t="s">
        <v>575</v>
      </c>
      <c r="D2619" s="38" t="s">
        <v>574</v>
      </c>
      <c r="E2619" s="38" t="s">
        <v>6218</v>
      </c>
      <c r="F2619" s="38" t="s">
        <v>5968</v>
      </c>
      <c r="G2619" s="38" t="s">
        <v>111</v>
      </c>
      <c r="H2619" s="44">
        <v>44137</v>
      </c>
      <c r="I2619" s="44">
        <v>44139</v>
      </c>
      <c r="J2619">
        <v>761.76</v>
      </c>
      <c r="K2619">
        <v>200</v>
      </c>
      <c r="L2619" t="s">
        <v>6219</v>
      </c>
      <c r="M2619" s="45" t="s">
        <v>98</v>
      </c>
      <c r="N2619" s="38" t="s">
        <v>230</v>
      </c>
      <c r="O2619" s="38" t="s">
        <v>78</v>
      </c>
      <c r="P2619" s="38" t="s">
        <v>60</v>
      </c>
      <c r="Q2619" s="38" t="s">
        <v>48</v>
      </c>
      <c r="R2619" s="38" t="s">
        <v>270</v>
      </c>
      <c r="S2619" s="38" t="s">
        <v>6220</v>
      </c>
      <c r="T2619" s="38" t="s">
        <v>6223</v>
      </c>
      <c r="U2619" s="38"/>
      <c r="V2619"/>
      <c r="W2619"/>
      <c r="X2619" s="14"/>
      <c r="AN2619" s="7" t="s">
        <v>70</v>
      </c>
      <c r="AO2619" s="21">
        <f t="shared" si="128"/>
        <v>0</v>
      </c>
      <c r="AP2619" s="7">
        <f t="shared" si="129"/>
        <v>200</v>
      </c>
      <c r="AQ2619" s="31" t="str">
        <f t="shared" si="130"/>
        <v>Complete - No Adjustment</v>
      </c>
    </row>
    <row r="2620" spans="1:43" x14ac:dyDescent="0.2">
      <c r="A2620" s="46">
        <v>2610</v>
      </c>
      <c r="B2620" s="38" t="s">
        <v>266</v>
      </c>
      <c r="C2620" s="38" t="s">
        <v>575</v>
      </c>
      <c r="D2620" s="38" t="s">
        <v>574</v>
      </c>
      <c r="E2620" s="38" t="s">
        <v>6218</v>
      </c>
      <c r="F2620" s="38" t="s">
        <v>5968</v>
      </c>
      <c r="G2620" s="38" t="s">
        <v>111</v>
      </c>
      <c r="H2620" s="44">
        <v>44137</v>
      </c>
      <c r="I2620" s="44">
        <v>44139</v>
      </c>
      <c r="J2620">
        <v>761.76</v>
      </c>
      <c r="K2620">
        <v>295</v>
      </c>
      <c r="L2620" t="s">
        <v>6219</v>
      </c>
      <c r="M2620" s="45" t="s">
        <v>98</v>
      </c>
      <c r="N2620" s="38" t="s">
        <v>230</v>
      </c>
      <c r="O2620" s="38" t="s">
        <v>78</v>
      </c>
      <c r="P2620" s="38" t="s">
        <v>60</v>
      </c>
      <c r="Q2620" s="38" t="s">
        <v>48</v>
      </c>
      <c r="R2620" s="38" t="s">
        <v>270</v>
      </c>
      <c r="S2620" s="38" t="s">
        <v>6220</v>
      </c>
      <c r="T2620" s="38" t="s">
        <v>6224</v>
      </c>
      <c r="U2620" s="38"/>
      <c r="V2620"/>
      <c r="W2620"/>
      <c r="X2620" s="14"/>
      <c r="AN2620" s="7" t="s">
        <v>70</v>
      </c>
      <c r="AO2620" s="21">
        <f t="shared" si="128"/>
        <v>0</v>
      </c>
      <c r="AP2620" s="7">
        <f t="shared" si="129"/>
        <v>295</v>
      </c>
      <c r="AQ2620" s="31" t="str">
        <f t="shared" si="130"/>
        <v>Complete - No Adjustment</v>
      </c>
    </row>
    <row r="2621" spans="1:43" x14ac:dyDescent="0.2">
      <c r="A2621" s="46">
        <v>2611</v>
      </c>
      <c r="B2621" s="38" t="s">
        <v>266</v>
      </c>
      <c r="C2621" s="38" t="s">
        <v>236</v>
      </c>
      <c r="D2621" s="38" t="s">
        <v>235</v>
      </c>
      <c r="E2621" s="38" t="s">
        <v>6225</v>
      </c>
      <c r="F2621" s="38" t="s">
        <v>6169</v>
      </c>
      <c r="G2621" s="38" t="s">
        <v>111</v>
      </c>
      <c r="H2621" s="44">
        <v>44132</v>
      </c>
      <c r="I2621" s="44">
        <v>44137</v>
      </c>
      <c r="J2621">
        <v>34.200000000000003</v>
      </c>
      <c r="K2621">
        <v>8.5500000000000007</v>
      </c>
      <c r="L2621" t="s">
        <v>6226</v>
      </c>
      <c r="M2621" s="45" t="s">
        <v>98</v>
      </c>
      <c r="N2621" s="38" t="s">
        <v>230</v>
      </c>
      <c r="O2621" s="38" t="s">
        <v>326</v>
      </c>
      <c r="P2621" s="38" t="s">
        <v>60</v>
      </c>
      <c r="Q2621" s="38" t="s">
        <v>74</v>
      </c>
      <c r="R2621" s="38" t="s">
        <v>270</v>
      </c>
      <c r="S2621" s="38" t="s">
        <v>6227</v>
      </c>
      <c r="T2621" s="38" t="s">
        <v>6228</v>
      </c>
      <c r="U2621" s="38"/>
      <c r="V2621"/>
      <c r="W2621"/>
      <c r="X2621" s="14"/>
      <c r="AN2621" s="7" t="s">
        <v>70</v>
      </c>
      <c r="AO2621" s="21">
        <f t="shared" si="128"/>
        <v>0</v>
      </c>
      <c r="AP2621" s="7">
        <f t="shared" si="129"/>
        <v>8.5500000000000007</v>
      </c>
      <c r="AQ2621" s="31" t="str">
        <f t="shared" si="130"/>
        <v>Complete - No Adjustment</v>
      </c>
    </row>
    <row r="2622" spans="1:43" x14ac:dyDescent="0.2">
      <c r="A2622" s="46">
        <v>2612</v>
      </c>
      <c r="B2622" s="38" t="s">
        <v>266</v>
      </c>
      <c r="C2622" s="38" t="s">
        <v>626</v>
      </c>
      <c r="D2622" s="38" t="s">
        <v>715</v>
      </c>
      <c r="E2622" s="38" t="s">
        <v>6229</v>
      </c>
      <c r="F2622" s="38" t="s">
        <v>6084</v>
      </c>
      <c r="G2622" s="38" t="s">
        <v>111</v>
      </c>
      <c r="H2622" s="44">
        <v>44148</v>
      </c>
      <c r="I2622" s="44">
        <v>44152</v>
      </c>
      <c r="J2622">
        <v>15</v>
      </c>
      <c r="K2622">
        <v>15</v>
      </c>
      <c r="L2622" t="s">
        <v>6230</v>
      </c>
      <c r="M2622" s="45" t="s">
        <v>98</v>
      </c>
      <c r="N2622" s="38" t="s">
        <v>230</v>
      </c>
      <c r="O2622" s="38" t="s">
        <v>294</v>
      </c>
      <c r="P2622" s="38" t="s">
        <v>60</v>
      </c>
      <c r="Q2622" s="38" t="s">
        <v>41</v>
      </c>
      <c r="R2622" s="38" t="s">
        <v>270</v>
      </c>
      <c r="S2622" s="38" t="s">
        <v>6231</v>
      </c>
      <c r="T2622" s="38" t="s">
        <v>6232</v>
      </c>
      <c r="U2622" s="38"/>
      <c r="V2622"/>
      <c r="W2622"/>
      <c r="X2622" s="14"/>
      <c r="AN2622" s="7" t="s">
        <v>70</v>
      </c>
      <c r="AO2622" s="21">
        <f t="shared" si="128"/>
        <v>0</v>
      </c>
      <c r="AP2622" s="7">
        <f t="shared" si="129"/>
        <v>15</v>
      </c>
      <c r="AQ2622" s="31" t="str">
        <f t="shared" si="130"/>
        <v>Complete - No Adjustment</v>
      </c>
    </row>
    <row r="2623" spans="1:43" x14ac:dyDescent="0.2">
      <c r="A2623" s="46">
        <v>2613</v>
      </c>
      <c r="B2623" s="38" t="s">
        <v>266</v>
      </c>
      <c r="C2623" s="38" t="s">
        <v>687</v>
      </c>
      <c r="D2623" s="38" t="s">
        <v>686</v>
      </c>
      <c r="E2623" s="38" t="s">
        <v>6233</v>
      </c>
      <c r="F2623" s="38" t="s">
        <v>5903</v>
      </c>
      <c r="G2623" s="38" t="s">
        <v>111</v>
      </c>
      <c r="H2623" s="44">
        <v>44155</v>
      </c>
      <c r="I2623" s="44">
        <v>44158</v>
      </c>
      <c r="J2623">
        <v>74.95</v>
      </c>
      <c r="K2623">
        <v>74.95</v>
      </c>
      <c r="L2623" t="s">
        <v>6234</v>
      </c>
      <c r="M2623" s="45" t="s">
        <v>98</v>
      </c>
      <c r="N2623" s="38" t="s">
        <v>230</v>
      </c>
      <c r="O2623" s="38" t="s">
        <v>514</v>
      </c>
      <c r="P2623" s="38" t="s">
        <v>60</v>
      </c>
      <c r="Q2623" s="38" t="s">
        <v>48</v>
      </c>
      <c r="R2623" s="38" t="s">
        <v>270</v>
      </c>
      <c r="S2623" s="38" t="s">
        <v>6235</v>
      </c>
      <c r="T2623" s="38" t="s">
        <v>6236</v>
      </c>
      <c r="U2623" s="38"/>
      <c r="V2623"/>
      <c r="W2623"/>
      <c r="X2623" s="14"/>
      <c r="AN2623" s="7" t="s">
        <v>70</v>
      </c>
      <c r="AO2623" s="21">
        <f t="shared" si="128"/>
        <v>0</v>
      </c>
      <c r="AP2623" s="7">
        <f t="shared" si="129"/>
        <v>74.95</v>
      </c>
      <c r="AQ2623" s="31" t="str">
        <f t="shared" si="130"/>
        <v>Complete - No Adjustment</v>
      </c>
    </row>
    <row r="2624" spans="1:43" x14ac:dyDescent="0.2">
      <c r="A2624" s="46">
        <v>2614</v>
      </c>
      <c r="B2624" s="38" t="s">
        <v>266</v>
      </c>
      <c r="C2624" s="38" t="s">
        <v>627</v>
      </c>
      <c r="D2624" s="38" t="s">
        <v>879</v>
      </c>
      <c r="E2624" s="38" t="s">
        <v>5902</v>
      </c>
      <c r="F2624" s="38" t="s">
        <v>5903</v>
      </c>
      <c r="G2624" s="38" t="s">
        <v>111</v>
      </c>
      <c r="H2624" s="44">
        <v>44153</v>
      </c>
      <c r="I2624" s="44">
        <v>44158</v>
      </c>
      <c r="J2624">
        <v>17.28</v>
      </c>
      <c r="K2624">
        <v>17.28</v>
      </c>
      <c r="L2624"/>
      <c r="M2624" s="45" t="s">
        <v>98</v>
      </c>
      <c r="N2624" s="38" t="s">
        <v>230</v>
      </c>
      <c r="O2624" s="38" t="s">
        <v>277</v>
      </c>
      <c r="P2624" s="38" t="s">
        <v>60</v>
      </c>
      <c r="Q2624" s="38" t="s">
        <v>62</v>
      </c>
      <c r="R2624" s="38" t="s">
        <v>270</v>
      </c>
      <c r="S2624" s="38" t="s">
        <v>5904</v>
      </c>
      <c r="T2624" s="38" t="s">
        <v>5905</v>
      </c>
      <c r="U2624" s="38"/>
      <c r="V2624" s="38"/>
      <c r="W2624"/>
      <c r="X2624" s="14"/>
      <c r="AL2624" s="14">
        <v>17.28</v>
      </c>
      <c r="AN2624" s="7" t="s">
        <v>70</v>
      </c>
      <c r="AO2624" s="21">
        <f t="shared" si="128"/>
        <v>17.28</v>
      </c>
      <c r="AP2624" s="7">
        <f t="shared" si="129"/>
        <v>0</v>
      </c>
      <c r="AQ2624" s="31" t="str">
        <f t="shared" si="130"/>
        <v>Complete - With Adjustment</v>
      </c>
    </row>
    <row r="2625" spans="1:43" x14ac:dyDescent="0.2">
      <c r="A2625" s="46">
        <v>2615</v>
      </c>
      <c r="B2625" s="38" t="s">
        <v>266</v>
      </c>
      <c r="C2625" s="38" t="s">
        <v>629</v>
      </c>
      <c r="D2625" s="38" t="s">
        <v>628</v>
      </c>
      <c r="E2625" s="38" t="s">
        <v>6237</v>
      </c>
      <c r="F2625" s="38" t="s">
        <v>5986</v>
      </c>
      <c r="G2625" s="38" t="s">
        <v>111</v>
      </c>
      <c r="H2625" s="44">
        <v>44146</v>
      </c>
      <c r="I2625" s="44">
        <v>44148</v>
      </c>
      <c r="J2625">
        <v>450</v>
      </c>
      <c r="K2625">
        <v>450</v>
      </c>
      <c r="L2625" t="s">
        <v>6238</v>
      </c>
      <c r="M2625" s="45" t="s">
        <v>98</v>
      </c>
      <c r="N2625" s="38" t="s">
        <v>230</v>
      </c>
      <c r="O2625" s="38" t="s">
        <v>506</v>
      </c>
      <c r="P2625" s="38" t="s">
        <v>60</v>
      </c>
      <c r="Q2625" s="38" t="s">
        <v>48</v>
      </c>
      <c r="R2625" s="38" t="s">
        <v>270</v>
      </c>
      <c r="S2625" s="38" t="s">
        <v>6239</v>
      </c>
      <c r="T2625" s="38" t="s">
        <v>6240</v>
      </c>
      <c r="U2625" s="38"/>
      <c r="V2625"/>
      <c r="W2625"/>
      <c r="X2625" s="14"/>
      <c r="AN2625" s="7" t="s">
        <v>70</v>
      </c>
      <c r="AO2625" s="21">
        <f t="shared" si="128"/>
        <v>0</v>
      </c>
      <c r="AP2625" s="7">
        <f t="shared" si="129"/>
        <v>450</v>
      </c>
      <c r="AQ2625" s="31" t="str">
        <f t="shared" si="130"/>
        <v>Complete - No Adjustment</v>
      </c>
    </row>
    <row r="2626" spans="1:43" x14ac:dyDescent="0.2">
      <c r="A2626" s="46">
        <v>2616</v>
      </c>
      <c r="B2626" s="38" t="s">
        <v>266</v>
      </c>
      <c r="C2626" s="38" t="s">
        <v>779</v>
      </c>
      <c r="D2626" s="38" t="s">
        <v>802</v>
      </c>
      <c r="E2626" s="38" t="s">
        <v>6241</v>
      </c>
      <c r="F2626" s="38" t="s">
        <v>5903</v>
      </c>
      <c r="G2626" s="38" t="s">
        <v>111</v>
      </c>
      <c r="H2626" s="44">
        <v>44152</v>
      </c>
      <c r="I2626" s="44">
        <v>44158</v>
      </c>
      <c r="J2626">
        <v>117.99</v>
      </c>
      <c r="K2626">
        <v>117.99</v>
      </c>
      <c r="L2626" t="s">
        <v>6242</v>
      </c>
      <c r="M2626" s="45" t="s">
        <v>97</v>
      </c>
      <c r="N2626" s="38" t="s">
        <v>230</v>
      </c>
      <c r="O2626" s="38" t="s">
        <v>404</v>
      </c>
      <c r="P2626" s="38" t="s">
        <v>42</v>
      </c>
      <c r="Q2626" s="38" t="s">
        <v>55</v>
      </c>
      <c r="R2626" s="38" t="s">
        <v>270</v>
      </c>
      <c r="S2626" s="38" t="s">
        <v>6243</v>
      </c>
      <c r="T2626" s="38" t="s">
        <v>6244</v>
      </c>
      <c r="U2626" s="38"/>
      <c r="V2626"/>
      <c r="W2626"/>
      <c r="X2626" s="14"/>
      <c r="AI2626" s="53">
        <f>117.99</f>
        <v>117.99</v>
      </c>
      <c r="AN2626" s="7" t="s">
        <v>145</v>
      </c>
      <c r="AO2626" s="21">
        <f t="shared" si="128"/>
        <v>117.99</v>
      </c>
      <c r="AP2626" s="7">
        <f t="shared" si="129"/>
        <v>0</v>
      </c>
      <c r="AQ2626" s="31" t="str">
        <f t="shared" si="130"/>
        <v>Complete - With Adjustment</v>
      </c>
    </row>
    <row r="2627" spans="1:43" x14ac:dyDescent="0.2">
      <c r="A2627" s="46">
        <v>2617</v>
      </c>
      <c r="B2627" s="38" t="s">
        <v>266</v>
      </c>
      <c r="C2627" s="38" t="s">
        <v>738</v>
      </c>
      <c r="D2627" s="38" t="s">
        <v>830</v>
      </c>
      <c r="E2627" s="38" t="s">
        <v>6245</v>
      </c>
      <c r="F2627" s="38" t="s">
        <v>5917</v>
      </c>
      <c r="G2627" s="38" t="s">
        <v>111</v>
      </c>
      <c r="H2627" s="44">
        <v>44147</v>
      </c>
      <c r="I2627" s="44">
        <v>44151</v>
      </c>
      <c r="J2627">
        <v>14.43</v>
      </c>
      <c r="K2627">
        <v>14.43</v>
      </c>
      <c r="L2627" t="s">
        <v>6246</v>
      </c>
      <c r="M2627" s="45" t="s">
        <v>98</v>
      </c>
      <c r="N2627" s="38" t="s">
        <v>230</v>
      </c>
      <c r="O2627" s="38" t="s">
        <v>292</v>
      </c>
      <c r="P2627" s="38" t="s">
        <v>60</v>
      </c>
      <c r="Q2627" s="38" t="s">
        <v>41</v>
      </c>
      <c r="R2627" s="38" t="s">
        <v>270</v>
      </c>
      <c r="S2627" s="38" t="s">
        <v>6247</v>
      </c>
      <c r="T2627" s="38" t="s">
        <v>6248</v>
      </c>
      <c r="U2627" s="38"/>
      <c r="V2627"/>
      <c r="W2627"/>
      <c r="X2627" s="14"/>
      <c r="AN2627" s="7" t="s">
        <v>70</v>
      </c>
      <c r="AO2627" s="21">
        <f t="shared" si="128"/>
        <v>0</v>
      </c>
      <c r="AP2627" s="7">
        <f t="shared" si="129"/>
        <v>14.43</v>
      </c>
      <c r="AQ2627" s="31" t="str">
        <f t="shared" si="130"/>
        <v>Complete - No Adjustment</v>
      </c>
    </row>
    <row r="2628" spans="1:43" x14ac:dyDescent="0.2">
      <c r="A2628" s="46">
        <v>2618</v>
      </c>
      <c r="B2628" s="38" t="s">
        <v>266</v>
      </c>
      <c r="C2628" s="38" t="s">
        <v>492</v>
      </c>
      <c r="D2628" s="38" t="s">
        <v>491</v>
      </c>
      <c r="E2628" s="38" t="s">
        <v>6249</v>
      </c>
      <c r="F2628" s="38" t="s">
        <v>5907</v>
      </c>
      <c r="G2628" s="38" t="s">
        <v>111</v>
      </c>
      <c r="H2628" s="44">
        <v>44153</v>
      </c>
      <c r="I2628" s="44">
        <v>44155</v>
      </c>
      <c r="J2628">
        <v>53.22</v>
      </c>
      <c r="K2628">
        <v>38.090000000000003</v>
      </c>
      <c r="L2628" t="s">
        <v>6250</v>
      </c>
      <c r="M2628" s="45" t="s">
        <v>98</v>
      </c>
      <c r="N2628" s="38" t="s">
        <v>230</v>
      </c>
      <c r="O2628" s="38" t="s">
        <v>292</v>
      </c>
      <c r="P2628" s="38" t="s">
        <v>60</v>
      </c>
      <c r="Q2628" s="38" t="s">
        <v>41</v>
      </c>
      <c r="R2628" s="38" t="s">
        <v>270</v>
      </c>
      <c r="S2628" s="38" t="s">
        <v>6251</v>
      </c>
      <c r="T2628" s="38" t="s">
        <v>6252</v>
      </c>
      <c r="U2628" s="38"/>
      <c r="V2628"/>
      <c r="W2628"/>
      <c r="X2628" s="14"/>
      <c r="AI2628" s="53">
        <f>38.09</f>
        <v>38.090000000000003</v>
      </c>
      <c r="AN2628" s="7" t="s">
        <v>145</v>
      </c>
      <c r="AO2628" s="21">
        <f t="shared" si="128"/>
        <v>38.090000000000003</v>
      </c>
      <c r="AP2628" s="7">
        <f t="shared" si="129"/>
        <v>0</v>
      </c>
      <c r="AQ2628" s="31" t="str">
        <f t="shared" si="130"/>
        <v>Complete - With Adjustment</v>
      </c>
    </row>
    <row r="2629" spans="1:43" x14ac:dyDescent="0.2">
      <c r="A2629" s="46">
        <v>2619</v>
      </c>
      <c r="B2629" s="38" t="s">
        <v>266</v>
      </c>
      <c r="C2629" s="38" t="s">
        <v>492</v>
      </c>
      <c r="D2629" s="38" t="s">
        <v>491</v>
      </c>
      <c r="E2629" s="38" t="s">
        <v>6249</v>
      </c>
      <c r="F2629" s="38" t="s">
        <v>5907</v>
      </c>
      <c r="G2629" s="38" t="s">
        <v>111</v>
      </c>
      <c r="H2629" s="44">
        <v>44153</v>
      </c>
      <c r="I2629" s="44">
        <v>44155</v>
      </c>
      <c r="J2629">
        <v>53.22</v>
      </c>
      <c r="K2629">
        <v>15.13</v>
      </c>
      <c r="L2629" t="s">
        <v>6250</v>
      </c>
      <c r="M2629" s="45" t="s">
        <v>98</v>
      </c>
      <c r="N2629" s="38" t="s">
        <v>230</v>
      </c>
      <c r="O2629" s="38" t="s">
        <v>292</v>
      </c>
      <c r="P2629" s="38" t="s">
        <v>60</v>
      </c>
      <c r="Q2629" s="38" t="s">
        <v>41</v>
      </c>
      <c r="R2629" s="38" t="s">
        <v>270</v>
      </c>
      <c r="S2629" s="38" t="s">
        <v>6251</v>
      </c>
      <c r="T2629" s="38" t="s">
        <v>6253</v>
      </c>
      <c r="U2629" s="38"/>
      <c r="V2629"/>
      <c r="W2629"/>
      <c r="X2629" s="14"/>
      <c r="AI2629" s="53">
        <f>15.13</f>
        <v>15.13</v>
      </c>
      <c r="AN2629" s="7" t="s">
        <v>145</v>
      </c>
      <c r="AO2629" s="21">
        <f t="shared" si="128"/>
        <v>15.13</v>
      </c>
      <c r="AP2629" s="7">
        <f t="shared" si="129"/>
        <v>0</v>
      </c>
      <c r="AQ2629" s="31" t="str">
        <f t="shared" si="130"/>
        <v>Complete - With Adjustment</v>
      </c>
    </row>
    <row r="2630" spans="1:43" x14ac:dyDescent="0.2">
      <c r="A2630" s="46">
        <v>2620</v>
      </c>
      <c r="B2630" s="38" t="s">
        <v>266</v>
      </c>
      <c r="C2630" s="38" t="s">
        <v>496</v>
      </c>
      <c r="D2630" s="38" t="s">
        <v>495</v>
      </c>
      <c r="E2630" s="38" t="s">
        <v>6254</v>
      </c>
      <c r="F2630" s="38" t="s">
        <v>5912</v>
      </c>
      <c r="G2630" s="38" t="s">
        <v>111</v>
      </c>
      <c r="H2630" s="44">
        <v>44139</v>
      </c>
      <c r="I2630" s="44">
        <v>44146</v>
      </c>
      <c r="J2630">
        <v>339.92</v>
      </c>
      <c r="K2630">
        <v>6.66</v>
      </c>
      <c r="L2630" t="s">
        <v>6255</v>
      </c>
      <c r="M2630" s="45" t="s">
        <v>98</v>
      </c>
      <c r="N2630" s="38" t="s">
        <v>230</v>
      </c>
      <c r="O2630" s="38" t="s">
        <v>383</v>
      </c>
      <c r="P2630" s="38" t="s">
        <v>60</v>
      </c>
      <c r="Q2630" s="38" t="s">
        <v>73</v>
      </c>
      <c r="R2630" s="38" t="s">
        <v>270</v>
      </c>
      <c r="S2630" s="38" t="s">
        <v>6256</v>
      </c>
      <c r="T2630" s="38" t="s">
        <v>6257</v>
      </c>
      <c r="U2630" s="38"/>
      <c r="V2630"/>
      <c r="W2630"/>
      <c r="X2630" s="14"/>
      <c r="AL2630" s="14">
        <f>6.66</f>
        <v>6.66</v>
      </c>
      <c r="AN2630" s="7" t="s">
        <v>146</v>
      </c>
      <c r="AO2630" s="21">
        <f t="shared" ref="AO2630:AO2693" si="131">SUM(Y2630:AL2630)</f>
        <v>6.66</v>
      </c>
      <c r="AP2630" s="7">
        <f t="shared" ref="AP2630:AP2693" si="132">K2630-AO2630</f>
        <v>0</v>
      </c>
      <c r="AQ2630" s="31" t="str">
        <f t="shared" ref="AQ2630:AQ2693" si="133">IF(AO2630&lt;&gt;0,"Complete - With Adjustment","Complete - No Adjustment")</f>
        <v>Complete - With Adjustment</v>
      </c>
    </row>
    <row r="2631" spans="1:43" x14ac:dyDescent="0.2">
      <c r="A2631" s="46">
        <v>2621</v>
      </c>
      <c r="B2631" s="38" t="s">
        <v>266</v>
      </c>
      <c r="C2631" s="38" t="s">
        <v>496</v>
      </c>
      <c r="D2631" s="38" t="s">
        <v>495</v>
      </c>
      <c r="E2631" s="38" t="s">
        <v>6254</v>
      </c>
      <c r="F2631" s="38" t="s">
        <v>5912</v>
      </c>
      <c r="G2631" s="38" t="s">
        <v>111</v>
      </c>
      <c r="H2631" s="44">
        <v>44139</v>
      </c>
      <c r="I2631" s="44">
        <v>44146</v>
      </c>
      <c r="J2631">
        <v>339.92</v>
      </c>
      <c r="K2631">
        <v>6.68</v>
      </c>
      <c r="L2631" t="s">
        <v>6255</v>
      </c>
      <c r="M2631" s="45" t="s">
        <v>98</v>
      </c>
      <c r="N2631" s="38" t="s">
        <v>230</v>
      </c>
      <c r="O2631" s="38" t="s">
        <v>320</v>
      </c>
      <c r="P2631" s="38" t="s">
        <v>60</v>
      </c>
      <c r="Q2631" s="38" t="s">
        <v>73</v>
      </c>
      <c r="R2631" s="38" t="s">
        <v>270</v>
      </c>
      <c r="S2631" s="38" t="s">
        <v>6256</v>
      </c>
      <c r="T2631" s="38" t="s">
        <v>6258</v>
      </c>
      <c r="U2631" s="38"/>
      <c r="V2631"/>
      <c r="W2631"/>
      <c r="X2631" s="14"/>
      <c r="AL2631" s="14">
        <f>6.68</f>
        <v>6.68</v>
      </c>
      <c r="AN2631" s="7" t="s">
        <v>146</v>
      </c>
      <c r="AO2631" s="21">
        <f t="shared" si="131"/>
        <v>6.68</v>
      </c>
      <c r="AP2631" s="7">
        <f t="shared" si="132"/>
        <v>0</v>
      </c>
      <c r="AQ2631" s="31" t="str">
        <f t="shared" si="133"/>
        <v>Complete - With Adjustment</v>
      </c>
    </row>
    <row r="2632" spans="1:43" x14ac:dyDescent="0.2">
      <c r="A2632" s="46">
        <v>2622</v>
      </c>
      <c r="B2632" s="38" t="s">
        <v>266</v>
      </c>
      <c r="C2632" s="38" t="s">
        <v>496</v>
      </c>
      <c r="D2632" s="38" t="s">
        <v>495</v>
      </c>
      <c r="E2632" s="38" t="s">
        <v>6254</v>
      </c>
      <c r="F2632" s="38" t="s">
        <v>5912</v>
      </c>
      <c r="G2632" s="38" t="s">
        <v>111</v>
      </c>
      <c r="H2632" s="44">
        <v>44139</v>
      </c>
      <c r="I2632" s="44">
        <v>44146</v>
      </c>
      <c r="J2632">
        <v>339.92</v>
      </c>
      <c r="K2632">
        <v>6.66</v>
      </c>
      <c r="L2632" t="s">
        <v>6255</v>
      </c>
      <c r="M2632" s="45" t="s">
        <v>98</v>
      </c>
      <c r="N2632" s="38" t="s">
        <v>230</v>
      </c>
      <c r="O2632" s="38" t="s">
        <v>444</v>
      </c>
      <c r="P2632" s="38" t="s">
        <v>60</v>
      </c>
      <c r="Q2632" s="38" t="s">
        <v>73</v>
      </c>
      <c r="R2632" s="38" t="s">
        <v>270</v>
      </c>
      <c r="S2632" s="38" t="s">
        <v>6256</v>
      </c>
      <c r="T2632" s="38" t="s">
        <v>6258</v>
      </c>
      <c r="U2632" s="38"/>
      <c r="V2632"/>
      <c r="W2632"/>
      <c r="X2632" s="14"/>
      <c r="AL2632" s="14">
        <f>6.66</f>
        <v>6.66</v>
      </c>
      <c r="AN2632" s="7" t="s">
        <v>146</v>
      </c>
      <c r="AO2632" s="21">
        <f t="shared" si="131"/>
        <v>6.66</v>
      </c>
      <c r="AP2632" s="7">
        <f t="shared" si="132"/>
        <v>0</v>
      </c>
      <c r="AQ2632" s="31" t="str">
        <f t="shared" si="133"/>
        <v>Complete - With Adjustment</v>
      </c>
    </row>
    <row r="2633" spans="1:43" x14ac:dyDescent="0.2">
      <c r="A2633" s="46">
        <v>2623</v>
      </c>
      <c r="B2633" s="38" t="s">
        <v>266</v>
      </c>
      <c r="C2633" s="38" t="s">
        <v>496</v>
      </c>
      <c r="D2633" s="38" t="s">
        <v>495</v>
      </c>
      <c r="E2633" s="38" t="s">
        <v>6254</v>
      </c>
      <c r="F2633" s="38" t="s">
        <v>5912</v>
      </c>
      <c r="G2633" s="38" t="s">
        <v>111</v>
      </c>
      <c r="H2633" s="44">
        <v>44139</v>
      </c>
      <c r="I2633" s="44">
        <v>44146</v>
      </c>
      <c r="J2633">
        <v>339.92</v>
      </c>
      <c r="K2633">
        <v>20</v>
      </c>
      <c r="L2633" t="s">
        <v>6255</v>
      </c>
      <c r="M2633" s="45" t="s">
        <v>98</v>
      </c>
      <c r="N2633" s="38" t="s">
        <v>230</v>
      </c>
      <c r="O2633" s="38" t="s">
        <v>375</v>
      </c>
      <c r="P2633" s="38" t="s">
        <v>60</v>
      </c>
      <c r="Q2633" s="38" t="s">
        <v>73</v>
      </c>
      <c r="R2633" s="38" t="s">
        <v>270</v>
      </c>
      <c r="S2633" s="38" t="s">
        <v>6256</v>
      </c>
      <c r="T2633" s="38" t="s">
        <v>6259</v>
      </c>
      <c r="U2633" s="38"/>
      <c r="V2633"/>
      <c r="W2633"/>
      <c r="X2633" s="14"/>
      <c r="AL2633" s="14">
        <f>20</f>
        <v>20</v>
      </c>
      <c r="AN2633" s="7" t="s">
        <v>146</v>
      </c>
      <c r="AO2633" s="21">
        <f t="shared" si="131"/>
        <v>20</v>
      </c>
      <c r="AP2633" s="7">
        <f t="shared" si="132"/>
        <v>0</v>
      </c>
      <c r="AQ2633" s="31" t="str">
        <f t="shared" si="133"/>
        <v>Complete - With Adjustment</v>
      </c>
    </row>
    <row r="2634" spans="1:43" x14ac:dyDescent="0.2">
      <c r="A2634" s="46">
        <v>2624</v>
      </c>
      <c r="B2634" s="38" t="s">
        <v>266</v>
      </c>
      <c r="C2634" s="38" t="s">
        <v>496</v>
      </c>
      <c r="D2634" s="38" t="s">
        <v>495</v>
      </c>
      <c r="E2634" s="38" t="s">
        <v>6254</v>
      </c>
      <c r="F2634" s="38" t="s">
        <v>5912</v>
      </c>
      <c r="G2634" s="38" t="s">
        <v>111</v>
      </c>
      <c r="H2634" s="44">
        <v>44139</v>
      </c>
      <c r="I2634" s="44">
        <v>44146</v>
      </c>
      <c r="J2634">
        <v>339.92</v>
      </c>
      <c r="K2634">
        <v>51.23</v>
      </c>
      <c r="L2634" t="s">
        <v>6255</v>
      </c>
      <c r="M2634" s="45" t="s">
        <v>97</v>
      </c>
      <c r="N2634" s="38" t="s">
        <v>230</v>
      </c>
      <c r="O2634" s="38" t="s">
        <v>355</v>
      </c>
      <c r="P2634" s="38" t="s">
        <v>42</v>
      </c>
      <c r="Q2634" s="38" t="s">
        <v>57</v>
      </c>
      <c r="R2634" s="38" t="s">
        <v>270</v>
      </c>
      <c r="S2634" s="38" t="s">
        <v>6256</v>
      </c>
      <c r="T2634" s="38" t="s">
        <v>829</v>
      </c>
      <c r="U2634" s="38"/>
      <c r="V2634"/>
      <c r="W2634"/>
      <c r="X2634" s="14"/>
      <c r="AN2634" s="7" t="s">
        <v>70</v>
      </c>
      <c r="AO2634" s="21">
        <f t="shared" si="131"/>
        <v>0</v>
      </c>
      <c r="AP2634" s="7">
        <f t="shared" si="132"/>
        <v>51.23</v>
      </c>
      <c r="AQ2634" s="31" t="str">
        <f t="shared" si="133"/>
        <v>Complete - No Adjustment</v>
      </c>
    </row>
    <row r="2635" spans="1:43" x14ac:dyDescent="0.2">
      <c r="A2635" s="46">
        <v>2625</v>
      </c>
      <c r="B2635" s="38" t="s">
        <v>266</v>
      </c>
      <c r="C2635" s="38" t="s">
        <v>496</v>
      </c>
      <c r="D2635" s="38" t="s">
        <v>495</v>
      </c>
      <c r="E2635" s="38" t="s">
        <v>6254</v>
      </c>
      <c r="F2635" s="38" t="s">
        <v>5912</v>
      </c>
      <c r="G2635" s="38" t="s">
        <v>111</v>
      </c>
      <c r="H2635" s="44">
        <v>44139</v>
      </c>
      <c r="I2635" s="44">
        <v>44146</v>
      </c>
      <c r="J2635">
        <v>339.92</v>
      </c>
      <c r="K2635">
        <v>196.74</v>
      </c>
      <c r="L2635" t="s">
        <v>6255</v>
      </c>
      <c r="M2635" s="45" t="s">
        <v>97</v>
      </c>
      <c r="N2635" s="38" t="s">
        <v>230</v>
      </c>
      <c r="O2635" s="38" t="s">
        <v>355</v>
      </c>
      <c r="P2635" s="38" t="s">
        <v>42</v>
      </c>
      <c r="Q2635" s="38" t="s">
        <v>57</v>
      </c>
      <c r="R2635" s="38" t="s">
        <v>270</v>
      </c>
      <c r="S2635" s="38" t="s">
        <v>6256</v>
      </c>
      <c r="T2635" s="38" t="s">
        <v>6260</v>
      </c>
      <c r="U2635" s="38"/>
      <c r="V2635"/>
      <c r="W2635"/>
      <c r="X2635" s="14"/>
      <c r="AL2635" s="14">
        <f>196.74</f>
        <v>196.74</v>
      </c>
      <c r="AN2635" s="7" t="s">
        <v>146</v>
      </c>
      <c r="AO2635" s="21">
        <f t="shared" si="131"/>
        <v>196.74</v>
      </c>
      <c r="AP2635" s="7">
        <f t="shared" si="132"/>
        <v>0</v>
      </c>
      <c r="AQ2635" s="31" t="str">
        <f t="shared" si="133"/>
        <v>Complete - With Adjustment</v>
      </c>
    </row>
    <row r="2636" spans="1:43" x14ac:dyDescent="0.2">
      <c r="A2636" s="46">
        <v>2626</v>
      </c>
      <c r="B2636" s="38" t="s">
        <v>266</v>
      </c>
      <c r="C2636" s="38" t="s">
        <v>496</v>
      </c>
      <c r="D2636" s="38" t="s">
        <v>495</v>
      </c>
      <c r="E2636" s="38" t="s">
        <v>6254</v>
      </c>
      <c r="F2636" s="38" t="s">
        <v>5912</v>
      </c>
      <c r="G2636" s="38" t="s">
        <v>111</v>
      </c>
      <c r="H2636" s="44">
        <v>44139</v>
      </c>
      <c r="I2636" s="44">
        <v>44146</v>
      </c>
      <c r="J2636">
        <v>339.92</v>
      </c>
      <c r="K2636">
        <v>51.95</v>
      </c>
      <c r="L2636" t="s">
        <v>6255</v>
      </c>
      <c r="M2636" s="45" t="s">
        <v>98</v>
      </c>
      <c r="N2636" s="38" t="s">
        <v>230</v>
      </c>
      <c r="O2636" s="38" t="s">
        <v>320</v>
      </c>
      <c r="P2636" s="38" t="s">
        <v>60</v>
      </c>
      <c r="Q2636" s="38" t="s">
        <v>62</v>
      </c>
      <c r="R2636" s="38" t="s">
        <v>270</v>
      </c>
      <c r="S2636" s="38" t="s">
        <v>6256</v>
      </c>
      <c r="T2636" s="38" t="s">
        <v>6261</v>
      </c>
      <c r="U2636" s="38"/>
      <c r="V2636"/>
      <c r="W2636"/>
      <c r="X2636" s="14"/>
      <c r="AN2636" s="7" t="s">
        <v>70</v>
      </c>
      <c r="AO2636" s="21">
        <f t="shared" si="131"/>
        <v>0</v>
      </c>
      <c r="AP2636" s="7">
        <f t="shared" si="132"/>
        <v>51.95</v>
      </c>
      <c r="AQ2636" s="31" t="str">
        <f t="shared" si="133"/>
        <v>Complete - No Adjustment</v>
      </c>
    </row>
    <row r="2637" spans="1:43" x14ac:dyDescent="0.2">
      <c r="A2637" s="46">
        <v>2627</v>
      </c>
      <c r="B2637" s="38" t="s">
        <v>266</v>
      </c>
      <c r="C2637" s="38" t="s">
        <v>499</v>
      </c>
      <c r="D2637" s="38" t="s">
        <v>498</v>
      </c>
      <c r="E2637" s="38" t="s">
        <v>6262</v>
      </c>
      <c r="F2637" s="38" t="s">
        <v>5912</v>
      </c>
      <c r="G2637" s="38" t="s">
        <v>111</v>
      </c>
      <c r="H2637" s="44">
        <v>44145</v>
      </c>
      <c r="I2637" s="44">
        <v>44146</v>
      </c>
      <c r="J2637">
        <v>12.34</v>
      </c>
      <c r="K2637">
        <v>12.34</v>
      </c>
      <c r="L2637" t="s">
        <v>6263</v>
      </c>
      <c r="M2637" s="45" t="s">
        <v>98</v>
      </c>
      <c r="N2637" s="38" t="s">
        <v>230</v>
      </c>
      <c r="O2637" s="38" t="s">
        <v>378</v>
      </c>
      <c r="P2637" s="38" t="s">
        <v>60</v>
      </c>
      <c r="Q2637" s="38" t="s">
        <v>41</v>
      </c>
      <c r="R2637" s="38" t="s">
        <v>270</v>
      </c>
      <c r="S2637" s="38" t="s">
        <v>6264</v>
      </c>
      <c r="T2637" s="38" t="s">
        <v>6265</v>
      </c>
      <c r="U2637" s="38"/>
      <c r="V2637"/>
      <c r="W2637"/>
      <c r="X2637" s="14"/>
      <c r="AL2637" s="14">
        <f>12.34</f>
        <v>12.34</v>
      </c>
      <c r="AN2637" s="7" t="s">
        <v>146</v>
      </c>
      <c r="AO2637" s="21">
        <f t="shared" si="131"/>
        <v>12.34</v>
      </c>
      <c r="AP2637" s="7">
        <f t="shared" si="132"/>
        <v>0</v>
      </c>
      <c r="AQ2637" s="31" t="str">
        <f t="shared" si="133"/>
        <v>Complete - With Adjustment</v>
      </c>
    </row>
    <row r="2638" spans="1:43" x14ac:dyDescent="0.2">
      <c r="A2638" s="46">
        <v>2628</v>
      </c>
      <c r="B2638" s="38" t="s">
        <v>266</v>
      </c>
      <c r="C2638" s="38" t="s">
        <v>503</v>
      </c>
      <c r="D2638" s="38" t="s">
        <v>502</v>
      </c>
      <c r="E2638" s="38" t="s">
        <v>6266</v>
      </c>
      <c r="F2638" s="38" t="s">
        <v>5968</v>
      </c>
      <c r="G2638" s="38" t="s">
        <v>111</v>
      </c>
      <c r="H2638" s="44">
        <v>44136</v>
      </c>
      <c r="I2638" s="44">
        <v>44139</v>
      </c>
      <c r="J2638">
        <v>468.97</v>
      </c>
      <c r="K2638">
        <v>468.97</v>
      </c>
      <c r="L2638" t="s">
        <v>6267</v>
      </c>
      <c r="M2638" s="45" t="s">
        <v>98</v>
      </c>
      <c r="N2638" s="38" t="s">
        <v>230</v>
      </c>
      <c r="O2638" s="38" t="s">
        <v>277</v>
      </c>
      <c r="P2638" s="38" t="s">
        <v>60</v>
      </c>
      <c r="Q2638" s="38" t="s">
        <v>62</v>
      </c>
      <c r="R2638" s="38" t="s">
        <v>270</v>
      </c>
      <c r="S2638" s="38" t="s">
        <v>6268</v>
      </c>
      <c r="T2638" s="38" t="s">
        <v>6269</v>
      </c>
      <c r="U2638" s="38"/>
      <c r="V2638"/>
      <c r="W2638"/>
      <c r="X2638" s="14"/>
      <c r="AN2638" s="7" t="s">
        <v>70</v>
      </c>
      <c r="AO2638" s="21">
        <f t="shared" si="131"/>
        <v>0</v>
      </c>
      <c r="AP2638" s="7">
        <f t="shared" si="132"/>
        <v>468.97</v>
      </c>
      <c r="AQ2638" s="31" t="str">
        <f t="shared" si="133"/>
        <v>Complete - No Adjustment</v>
      </c>
    </row>
    <row r="2639" spans="1:43" x14ac:dyDescent="0.2">
      <c r="A2639" s="46">
        <v>2629</v>
      </c>
      <c r="B2639" s="38" t="s">
        <v>266</v>
      </c>
      <c r="C2639" s="38" t="s">
        <v>504</v>
      </c>
      <c r="D2639" s="38" t="s">
        <v>805</v>
      </c>
      <c r="E2639" s="38" t="s">
        <v>6270</v>
      </c>
      <c r="F2639" s="38" t="s">
        <v>5894</v>
      </c>
      <c r="G2639" s="38" t="s">
        <v>111</v>
      </c>
      <c r="H2639" s="44">
        <v>44125</v>
      </c>
      <c r="I2639" s="44">
        <v>44138</v>
      </c>
      <c r="J2639">
        <v>239.03</v>
      </c>
      <c r="K2639">
        <v>24.57</v>
      </c>
      <c r="L2639" t="s">
        <v>6271</v>
      </c>
      <c r="M2639" s="45" t="s">
        <v>98</v>
      </c>
      <c r="N2639" s="38" t="s">
        <v>230</v>
      </c>
      <c r="O2639" s="38" t="s">
        <v>484</v>
      </c>
      <c r="P2639" s="38" t="s">
        <v>60</v>
      </c>
      <c r="Q2639" s="38" t="s">
        <v>46</v>
      </c>
      <c r="R2639" s="38" t="s">
        <v>270</v>
      </c>
      <c r="S2639" s="38" t="s">
        <v>6272</v>
      </c>
      <c r="T2639" s="38" t="s">
        <v>6273</v>
      </c>
      <c r="U2639" s="38"/>
      <c r="V2639"/>
      <c r="W2639"/>
      <c r="X2639" s="14"/>
      <c r="AL2639" s="14">
        <f>24.57</f>
        <v>24.57</v>
      </c>
      <c r="AN2639" s="7" t="s">
        <v>146</v>
      </c>
      <c r="AO2639" s="21">
        <f t="shared" si="131"/>
        <v>24.57</v>
      </c>
      <c r="AP2639" s="7">
        <f t="shared" si="132"/>
        <v>0</v>
      </c>
      <c r="AQ2639" s="31" t="str">
        <f t="shared" si="133"/>
        <v>Complete - With Adjustment</v>
      </c>
    </row>
    <row r="2640" spans="1:43" x14ac:dyDescent="0.2">
      <c r="A2640" s="46">
        <v>2630</v>
      </c>
      <c r="B2640" s="38" t="s">
        <v>266</v>
      </c>
      <c r="C2640" s="38" t="s">
        <v>504</v>
      </c>
      <c r="D2640" s="38" t="s">
        <v>805</v>
      </c>
      <c r="E2640" s="38" t="s">
        <v>6270</v>
      </c>
      <c r="F2640" s="38" t="s">
        <v>5894</v>
      </c>
      <c r="G2640" s="38" t="s">
        <v>111</v>
      </c>
      <c r="H2640" s="44">
        <v>44125</v>
      </c>
      <c r="I2640" s="44">
        <v>44138</v>
      </c>
      <c r="J2640">
        <v>239.03</v>
      </c>
      <c r="K2640">
        <v>48.04</v>
      </c>
      <c r="L2640" t="s">
        <v>6271</v>
      </c>
      <c r="M2640" s="45" t="s">
        <v>98</v>
      </c>
      <c r="N2640" s="38" t="s">
        <v>230</v>
      </c>
      <c r="O2640" s="38" t="s">
        <v>514</v>
      </c>
      <c r="P2640" s="38" t="s">
        <v>60</v>
      </c>
      <c r="Q2640" s="38" t="s">
        <v>46</v>
      </c>
      <c r="R2640" s="38" t="s">
        <v>270</v>
      </c>
      <c r="S2640" s="38" t="s">
        <v>6272</v>
      </c>
      <c r="T2640" s="38" t="s">
        <v>6274</v>
      </c>
      <c r="U2640" s="38"/>
      <c r="V2640"/>
      <c r="W2640"/>
      <c r="X2640" s="14"/>
      <c r="AI2640" s="53">
        <f>48.04</f>
        <v>48.04</v>
      </c>
      <c r="AN2640" s="7" t="s">
        <v>145</v>
      </c>
      <c r="AO2640" s="21">
        <f t="shared" si="131"/>
        <v>48.04</v>
      </c>
      <c r="AP2640" s="7">
        <f t="shared" si="132"/>
        <v>0</v>
      </c>
      <c r="AQ2640" s="31" t="str">
        <f t="shared" si="133"/>
        <v>Complete - With Adjustment</v>
      </c>
    </row>
    <row r="2641" spans="1:43" x14ac:dyDescent="0.2">
      <c r="A2641" s="46">
        <v>2631</v>
      </c>
      <c r="B2641" s="38" t="s">
        <v>266</v>
      </c>
      <c r="C2641" s="38" t="s">
        <v>504</v>
      </c>
      <c r="D2641" s="38" t="s">
        <v>805</v>
      </c>
      <c r="E2641" s="38" t="s">
        <v>6270</v>
      </c>
      <c r="F2641" s="38" t="s">
        <v>5894</v>
      </c>
      <c r="G2641" s="38" t="s">
        <v>111</v>
      </c>
      <c r="H2641" s="44">
        <v>44125</v>
      </c>
      <c r="I2641" s="44">
        <v>44138</v>
      </c>
      <c r="J2641">
        <v>239.03</v>
      </c>
      <c r="K2641">
        <v>18.96</v>
      </c>
      <c r="L2641" t="s">
        <v>6271</v>
      </c>
      <c r="M2641" s="45" t="s">
        <v>98</v>
      </c>
      <c r="N2641" s="38" t="s">
        <v>230</v>
      </c>
      <c r="O2641" s="38" t="s">
        <v>484</v>
      </c>
      <c r="P2641" s="38" t="s">
        <v>60</v>
      </c>
      <c r="Q2641" s="38" t="s">
        <v>46</v>
      </c>
      <c r="R2641" s="38" t="s">
        <v>270</v>
      </c>
      <c r="S2641" s="38" t="s">
        <v>6272</v>
      </c>
      <c r="T2641" s="38" t="s">
        <v>6273</v>
      </c>
      <c r="U2641" s="38"/>
      <c r="V2641"/>
      <c r="W2641"/>
      <c r="X2641" s="14"/>
      <c r="AL2641" s="14">
        <f>18.96</f>
        <v>18.96</v>
      </c>
      <c r="AN2641" s="7" t="s">
        <v>146</v>
      </c>
      <c r="AO2641" s="21">
        <f t="shared" si="131"/>
        <v>18.96</v>
      </c>
      <c r="AP2641" s="7">
        <f t="shared" si="132"/>
        <v>0</v>
      </c>
      <c r="AQ2641" s="31" t="str">
        <f t="shared" si="133"/>
        <v>Complete - With Adjustment</v>
      </c>
    </row>
    <row r="2642" spans="1:43" x14ac:dyDescent="0.2">
      <c r="A2642" s="46">
        <v>2632</v>
      </c>
      <c r="B2642" s="38" t="s">
        <v>266</v>
      </c>
      <c r="C2642" s="38" t="s">
        <v>504</v>
      </c>
      <c r="D2642" s="38" t="s">
        <v>805</v>
      </c>
      <c r="E2642" s="38" t="s">
        <v>6270</v>
      </c>
      <c r="F2642" s="38" t="s">
        <v>5894</v>
      </c>
      <c r="G2642" s="38" t="s">
        <v>111</v>
      </c>
      <c r="H2642" s="44">
        <v>44125</v>
      </c>
      <c r="I2642" s="44">
        <v>44138</v>
      </c>
      <c r="J2642">
        <v>239.03</v>
      </c>
      <c r="K2642">
        <v>20.72</v>
      </c>
      <c r="L2642" t="s">
        <v>6271</v>
      </c>
      <c r="M2642" s="45" t="s">
        <v>98</v>
      </c>
      <c r="N2642" s="38" t="s">
        <v>230</v>
      </c>
      <c r="O2642" s="38" t="s">
        <v>484</v>
      </c>
      <c r="P2642" s="38" t="s">
        <v>60</v>
      </c>
      <c r="Q2642" s="38" t="s">
        <v>46</v>
      </c>
      <c r="R2642" s="38" t="s">
        <v>270</v>
      </c>
      <c r="S2642" s="38" t="s">
        <v>6272</v>
      </c>
      <c r="T2642" s="38" t="s">
        <v>6273</v>
      </c>
      <c r="U2642" s="38"/>
      <c r="V2642"/>
      <c r="W2642"/>
      <c r="X2642" s="14"/>
      <c r="AL2642" s="14">
        <f>20.72</f>
        <v>20.72</v>
      </c>
      <c r="AN2642" s="7" t="s">
        <v>146</v>
      </c>
      <c r="AO2642" s="21">
        <f t="shared" si="131"/>
        <v>20.72</v>
      </c>
      <c r="AP2642" s="7">
        <f t="shared" si="132"/>
        <v>0</v>
      </c>
      <c r="AQ2642" s="31" t="str">
        <f t="shared" si="133"/>
        <v>Complete - With Adjustment</v>
      </c>
    </row>
    <row r="2643" spans="1:43" x14ac:dyDescent="0.2">
      <c r="A2643" s="46">
        <v>2633</v>
      </c>
      <c r="B2643" s="38" t="s">
        <v>266</v>
      </c>
      <c r="C2643" s="38" t="s">
        <v>504</v>
      </c>
      <c r="D2643" s="38" t="s">
        <v>805</v>
      </c>
      <c r="E2643" s="38" t="s">
        <v>6270</v>
      </c>
      <c r="F2643" s="38" t="s">
        <v>5894</v>
      </c>
      <c r="G2643" s="38" t="s">
        <v>111</v>
      </c>
      <c r="H2643" s="44">
        <v>44125</v>
      </c>
      <c r="I2643" s="44">
        <v>44138</v>
      </c>
      <c r="J2643">
        <v>239.03</v>
      </c>
      <c r="K2643">
        <v>16.27</v>
      </c>
      <c r="L2643" t="s">
        <v>6271</v>
      </c>
      <c r="M2643" s="45" t="s">
        <v>98</v>
      </c>
      <c r="N2643" s="38" t="s">
        <v>230</v>
      </c>
      <c r="O2643" s="38" t="s">
        <v>484</v>
      </c>
      <c r="P2643" s="38" t="s">
        <v>60</v>
      </c>
      <c r="Q2643" s="38" t="s">
        <v>46</v>
      </c>
      <c r="R2643" s="38" t="s">
        <v>270</v>
      </c>
      <c r="S2643" s="38" t="s">
        <v>6272</v>
      </c>
      <c r="T2643" s="38" t="s">
        <v>6273</v>
      </c>
      <c r="U2643" s="38"/>
      <c r="V2643"/>
      <c r="W2643"/>
      <c r="X2643" s="14"/>
      <c r="AL2643" s="14">
        <f>16.27</f>
        <v>16.27</v>
      </c>
      <c r="AN2643" s="7" t="s">
        <v>146</v>
      </c>
      <c r="AO2643" s="21">
        <f t="shared" si="131"/>
        <v>16.27</v>
      </c>
      <c r="AP2643" s="7">
        <f t="shared" si="132"/>
        <v>0</v>
      </c>
      <c r="AQ2643" s="31" t="str">
        <f t="shared" si="133"/>
        <v>Complete - With Adjustment</v>
      </c>
    </row>
    <row r="2644" spans="1:43" x14ac:dyDescent="0.2">
      <c r="A2644" s="46">
        <v>2634</v>
      </c>
      <c r="B2644" s="38" t="s">
        <v>266</v>
      </c>
      <c r="C2644" s="38" t="s">
        <v>504</v>
      </c>
      <c r="D2644" s="38" t="s">
        <v>805</v>
      </c>
      <c r="E2644" s="38" t="s">
        <v>6270</v>
      </c>
      <c r="F2644" s="38" t="s">
        <v>5894</v>
      </c>
      <c r="G2644" s="38" t="s">
        <v>111</v>
      </c>
      <c r="H2644" s="44">
        <v>44125</v>
      </c>
      <c r="I2644" s="44">
        <v>44138</v>
      </c>
      <c r="J2644">
        <v>239.03</v>
      </c>
      <c r="K2644">
        <v>37.49</v>
      </c>
      <c r="L2644" t="s">
        <v>6271</v>
      </c>
      <c r="M2644" s="45" t="s">
        <v>98</v>
      </c>
      <c r="N2644" s="38" t="s">
        <v>230</v>
      </c>
      <c r="O2644" s="38" t="s">
        <v>484</v>
      </c>
      <c r="P2644" s="38" t="s">
        <v>60</v>
      </c>
      <c r="Q2644" s="38" t="s">
        <v>46</v>
      </c>
      <c r="R2644" s="38" t="s">
        <v>270</v>
      </c>
      <c r="S2644" s="38" t="s">
        <v>6272</v>
      </c>
      <c r="T2644" s="38" t="s">
        <v>6273</v>
      </c>
      <c r="U2644" s="38"/>
      <c r="V2644"/>
      <c r="W2644"/>
      <c r="X2644" s="14"/>
      <c r="AL2644" s="14">
        <f>37.49</f>
        <v>37.49</v>
      </c>
      <c r="AN2644" s="7" t="s">
        <v>146</v>
      </c>
      <c r="AO2644" s="21">
        <f t="shared" si="131"/>
        <v>37.49</v>
      </c>
      <c r="AP2644" s="7">
        <f t="shared" si="132"/>
        <v>0</v>
      </c>
      <c r="AQ2644" s="31" t="str">
        <f t="shared" si="133"/>
        <v>Complete - With Adjustment</v>
      </c>
    </row>
    <row r="2645" spans="1:43" x14ac:dyDescent="0.2">
      <c r="A2645" s="46">
        <v>2635</v>
      </c>
      <c r="B2645" s="38" t="s">
        <v>266</v>
      </c>
      <c r="C2645" s="38" t="s">
        <v>504</v>
      </c>
      <c r="D2645" s="38" t="s">
        <v>805</v>
      </c>
      <c r="E2645" s="38" t="s">
        <v>6270</v>
      </c>
      <c r="F2645" s="38" t="s">
        <v>5894</v>
      </c>
      <c r="G2645" s="38" t="s">
        <v>111</v>
      </c>
      <c r="H2645" s="44">
        <v>44125</v>
      </c>
      <c r="I2645" s="44">
        <v>44138</v>
      </c>
      <c r="J2645">
        <v>239.03</v>
      </c>
      <c r="K2645">
        <v>19.489999999999998</v>
      </c>
      <c r="L2645" t="s">
        <v>6271</v>
      </c>
      <c r="M2645" s="45" t="s">
        <v>98</v>
      </c>
      <c r="N2645" s="38" t="s">
        <v>230</v>
      </c>
      <c r="O2645" s="38" t="s">
        <v>484</v>
      </c>
      <c r="P2645" s="38" t="s">
        <v>60</v>
      </c>
      <c r="Q2645" s="38" t="s">
        <v>46</v>
      </c>
      <c r="R2645" s="38" t="s">
        <v>270</v>
      </c>
      <c r="S2645" s="38" t="s">
        <v>6272</v>
      </c>
      <c r="T2645" s="38" t="s">
        <v>6273</v>
      </c>
      <c r="U2645" s="38"/>
      <c r="V2645"/>
      <c r="W2645"/>
      <c r="X2645" s="14"/>
      <c r="AL2645" s="14">
        <f>19.49</f>
        <v>19.489999999999998</v>
      </c>
      <c r="AN2645" s="7" t="s">
        <v>146</v>
      </c>
      <c r="AO2645" s="21">
        <f t="shared" si="131"/>
        <v>19.489999999999998</v>
      </c>
      <c r="AP2645" s="7">
        <f t="shared" si="132"/>
        <v>0</v>
      </c>
      <c r="AQ2645" s="31" t="str">
        <f t="shared" si="133"/>
        <v>Complete - With Adjustment</v>
      </c>
    </row>
    <row r="2646" spans="1:43" x14ac:dyDescent="0.2">
      <c r="A2646" s="46">
        <v>2636</v>
      </c>
      <c r="B2646" s="38" t="s">
        <v>266</v>
      </c>
      <c r="C2646" s="38" t="s">
        <v>504</v>
      </c>
      <c r="D2646" s="38" t="s">
        <v>805</v>
      </c>
      <c r="E2646" s="38" t="s">
        <v>6270</v>
      </c>
      <c r="F2646" s="38" t="s">
        <v>5894</v>
      </c>
      <c r="G2646" s="38" t="s">
        <v>111</v>
      </c>
      <c r="H2646" s="44">
        <v>44125</v>
      </c>
      <c r="I2646" s="44">
        <v>44138</v>
      </c>
      <c r="J2646">
        <v>239.03</v>
      </c>
      <c r="K2646">
        <v>30.09</v>
      </c>
      <c r="L2646" t="s">
        <v>6271</v>
      </c>
      <c r="M2646" s="45" t="s">
        <v>98</v>
      </c>
      <c r="N2646" s="38" t="s">
        <v>230</v>
      </c>
      <c r="O2646" s="38" t="s">
        <v>484</v>
      </c>
      <c r="P2646" s="38" t="s">
        <v>60</v>
      </c>
      <c r="Q2646" s="38" t="s">
        <v>46</v>
      </c>
      <c r="R2646" s="38" t="s">
        <v>270</v>
      </c>
      <c r="S2646" s="38" t="s">
        <v>6272</v>
      </c>
      <c r="T2646" s="38" t="s">
        <v>6273</v>
      </c>
      <c r="U2646" s="38"/>
      <c r="V2646"/>
      <c r="W2646"/>
      <c r="X2646" s="14"/>
      <c r="AL2646" s="14">
        <f>30.09</f>
        <v>30.09</v>
      </c>
      <c r="AN2646" s="7" t="s">
        <v>146</v>
      </c>
      <c r="AO2646" s="21">
        <f t="shared" si="131"/>
        <v>30.09</v>
      </c>
      <c r="AP2646" s="7">
        <f t="shared" si="132"/>
        <v>0</v>
      </c>
      <c r="AQ2646" s="31" t="str">
        <f t="shared" si="133"/>
        <v>Complete - With Adjustment</v>
      </c>
    </row>
    <row r="2647" spans="1:43" x14ac:dyDescent="0.2">
      <c r="A2647" s="46">
        <v>2637</v>
      </c>
      <c r="B2647" s="38" t="s">
        <v>266</v>
      </c>
      <c r="C2647" s="38" t="s">
        <v>504</v>
      </c>
      <c r="D2647" s="38" t="s">
        <v>805</v>
      </c>
      <c r="E2647" s="38" t="s">
        <v>6270</v>
      </c>
      <c r="F2647" s="38" t="s">
        <v>5894</v>
      </c>
      <c r="G2647" s="38" t="s">
        <v>111</v>
      </c>
      <c r="H2647" s="44">
        <v>44125</v>
      </c>
      <c r="I2647" s="44">
        <v>44138</v>
      </c>
      <c r="J2647">
        <v>239.03</v>
      </c>
      <c r="K2647">
        <v>23.4</v>
      </c>
      <c r="L2647" t="s">
        <v>6271</v>
      </c>
      <c r="M2647" s="45" t="s">
        <v>98</v>
      </c>
      <c r="N2647" s="38" t="s">
        <v>230</v>
      </c>
      <c r="O2647" s="38" t="s">
        <v>484</v>
      </c>
      <c r="P2647" s="38" t="s">
        <v>60</v>
      </c>
      <c r="Q2647" s="38" t="s">
        <v>46</v>
      </c>
      <c r="R2647" s="38" t="s">
        <v>270</v>
      </c>
      <c r="S2647" s="38" t="s">
        <v>6272</v>
      </c>
      <c r="T2647" s="38" t="s">
        <v>6273</v>
      </c>
      <c r="U2647" s="38"/>
      <c r="V2647"/>
      <c r="W2647"/>
      <c r="X2647" s="14"/>
      <c r="AL2647" s="14">
        <f>23.4</f>
        <v>23.4</v>
      </c>
      <c r="AN2647" s="7" t="s">
        <v>146</v>
      </c>
      <c r="AO2647" s="21">
        <f t="shared" si="131"/>
        <v>23.4</v>
      </c>
      <c r="AP2647" s="7">
        <f t="shared" si="132"/>
        <v>0</v>
      </c>
      <c r="AQ2647" s="31" t="str">
        <f t="shared" si="133"/>
        <v>Complete - With Adjustment</v>
      </c>
    </row>
    <row r="2648" spans="1:43" x14ac:dyDescent="0.2">
      <c r="A2648" s="46">
        <v>2638</v>
      </c>
      <c r="B2648" s="38" t="s">
        <v>266</v>
      </c>
      <c r="C2648" s="38" t="s">
        <v>579</v>
      </c>
      <c r="D2648" s="38" t="s">
        <v>578</v>
      </c>
      <c r="E2648" s="38" t="s">
        <v>6275</v>
      </c>
      <c r="F2648" s="38" t="s">
        <v>5917</v>
      </c>
      <c r="G2648" s="38" t="s">
        <v>111</v>
      </c>
      <c r="H2648" s="44">
        <v>44147</v>
      </c>
      <c r="I2648" s="44">
        <v>44151</v>
      </c>
      <c r="J2648">
        <v>15</v>
      </c>
      <c r="K2648">
        <v>7.5</v>
      </c>
      <c r="L2648" t="s">
        <v>6276</v>
      </c>
      <c r="M2648" s="45" t="s">
        <v>98</v>
      </c>
      <c r="N2648" s="38" t="s">
        <v>230</v>
      </c>
      <c r="O2648" s="38" t="s">
        <v>294</v>
      </c>
      <c r="P2648" s="38" t="s">
        <v>60</v>
      </c>
      <c r="Q2648" s="38" t="s">
        <v>41</v>
      </c>
      <c r="R2648" s="38" t="s">
        <v>270</v>
      </c>
      <c r="S2648" s="38" t="s">
        <v>6277</v>
      </c>
      <c r="T2648" s="38" t="s">
        <v>6278</v>
      </c>
      <c r="U2648" s="38"/>
      <c r="V2648"/>
      <c r="W2648"/>
      <c r="X2648" s="14"/>
      <c r="AI2648" s="53">
        <f>7.5</f>
        <v>7.5</v>
      </c>
      <c r="AN2648" s="7" t="s">
        <v>145</v>
      </c>
      <c r="AO2648" s="21">
        <f t="shared" si="131"/>
        <v>7.5</v>
      </c>
      <c r="AP2648" s="7">
        <f t="shared" si="132"/>
        <v>0</v>
      </c>
      <c r="AQ2648" s="31" t="str">
        <f t="shared" si="133"/>
        <v>Complete - With Adjustment</v>
      </c>
    </row>
    <row r="2649" spans="1:43" x14ac:dyDescent="0.2">
      <c r="A2649" s="46">
        <v>2639</v>
      </c>
      <c r="B2649" s="38" t="s">
        <v>266</v>
      </c>
      <c r="C2649" s="38" t="s">
        <v>579</v>
      </c>
      <c r="D2649" s="38" t="s">
        <v>578</v>
      </c>
      <c r="E2649" s="38" t="s">
        <v>6275</v>
      </c>
      <c r="F2649" s="38" t="s">
        <v>5917</v>
      </c>
      <c r="G2649" s="38" t="s">
        <v>111</v>
      </c>
      <c r="H2649" s="44">
        <v>44147</v>
      </c>
      <c r="I2649" s="44">
        <v>44151</v>
      </c>
      <c r="J2649">
        <v>15</v>
      </c>
      <c r="K2649">
        <v>7.5</v>
      </c>
      <c r="L2649" t="s">
        <v>6276</v>
      </c>
      <c r="M2649" s="45" t="s">
        <v>98</v>
      </c>
      <c r="N2649" s="38" t="s">
        <v>230</v>
      </c>
      <c r="O2649" s="38" t="s">
        <v>297</v>
      </c>
      <c r="P2649" s="38" t="s">
        <v>60</v>
      </c>
      <c r="Q2649" s="38" t="s">
        <v>41</v>
      </c>
      <c r="R2649" s="38" t="s">
        <v>270</v>
      </c>
      <c r="S2649" s="38" t="s">
        <v>6277</v>
      </c>
      <c r="T2649" s="38" t="s">
        <v>6278</v>
      </c>
      <c r="U2649" s="38"/>
      <c r="V2649"/>
      <c r="W2649"/>
      <c r="X2649" s="14"/>
      <c r="AI2649" s="53">
        <f>7.5</f>
        <v>7.5</v>
      </c>
      <c r="AN2649" s="7" t="s">
        <v>145</v>
      </c>
      <c r="AO2649" s="21">
        <f t="shared" si="131"/>
        <v>7.5</v>
      </c>
      <c r="AP2649" s="7">
        <f t="shared" si="132"/>
        <v>0</v>
      </c>
      <c r="AQ2649" s="31" t="str">
        <f t="shared" si="133"/>
        <v>Complete - With Adjustment</v>
      </c>
    </row>
    <row r="2650" spans="1:43" x14ac:dyDescent="0.2">
      <c r="A2650" s="46">
        <v>2640</v>
      </c>
      <c r="B2650" s="38" t="s">
        <v>266</v>
      </c>
      <c r="C2650" s="38" t="s">
        <v>511</v>
      </c>
      <c r="D2650" s="38" t="s">
        <v>510</v>
      </c>
      <c r="E2650" s="38" t="s">
        <v>6279</v>
      </c>
      <c r="F2650" s="38" t="s">
        <v>5907</v>
      </c>
      <c r="G2650" s="38" t="s">
        <v>111</v>
      </c>
      <c r="H2650" s="44">
        <v>44147</v>
      </c>
      <c r="I2650" s="44">
        <v>44155</v>
      </c>
      <c r="J2650">
        <v>20</v>
      </c>
      <c r="K2650">
        <v>20</v>
      </c>
      <c r="L2650" t="s">
        <v>6280</v>
      </c>
      <c r="M2650" s="45" t="s">
        <v>98</v>
      </c>
      <c r="N2650" s="38" t="s">
        <v>230</v>
      </c>
      <c r="O2650" s="38" t="s">
        <v>320</v>
      </c>
      <c r="P2650" s="38" t="s">
        <v>60</v>
      </c>
      <c r="Q2650" s="38" t="s">
        <v>41</v>
      </c>
      <c r="R2650" s="38" t="s">
        <v>270</v>
      </c>
      <c r="S2650" s="38" t="s">
        <v>6281</v>
      </c>
      <c r="T2650" s="38" t="s">
        <v>6282</v>
      </c>
      <c r="U2650" s="38"/>
      <c r="V2650"/>
      <c r="W2650"/>
      <c r="X2650" s="14"/>
      <c r="AI2650" s="53">
        <f>20</f>
        <v>20</v>
      </c>
      <c r="AN2650" s="7" t="s">
        <v>145</v>
      </c>
      <c r="AO2650" s="21">
        <f t="shared" si="131"/>
        <v>20</v>
      </c>
      <c r="AP2650" s="7">
        <f t="shared" si="132"/>
        <v>0</v>
      </c>
      <c r="AQ2650" s="31" t="str">
        <f t="shared" si="133"/>
        <v>Complete - With Adjustment</v>
      </c>
    </row>
    <row r="2651" spans="1:43" x14ac:dyDescent="0.2">
      <c r="A2651" s="46">
        <v>2641</v>
      </c>
      <c r="B2651" s="38" t="s">
        <v>266</v>
      </c>
      <c r="C2651" s="38" t="s">
        <v>5366</v>
      </c>
      <c r="D2651" s="38" t="s">
        <v>5367</v>
      </c>
      <c r="E2651" s="38" t="s">
        <v>6298</v>
      </c>
      <c r="F2651" s="38" t="s">
        <v>6299</v>
      </c>
      <c r="G2651" s="38" t="s">
        <v>111</v>
      </c>
      <c r="H2651" s="44">
        <v>44160</v>
      </c>
      <c r="I2651" s="44">
        <v>44174</v>
      </c>
      <c r="J2651">
        <v>59</v>
      </c>
      <c r="K2651" s="22">
        <v>59</v>
      </c>
      <c r="L2651" s="22" t="s">
        <v>6300</v>
      </c>
      <c r="M2651" s="45" t="s">
        <v>98</v>
      </c>
      <c r="N2651" s="13" t="s">
        <v>230</v>
      </c>
      <c r="O2651" s="13" t="s">
        <v>404</v>
      </c>
      <c r="P2651" s="13" t="s">
        <v>60</v>
      </c>
      <c r="Q2651" s="13" t="s">
        <v>48</v>
      </c>
      <c r="R2651" s="38" t="s">
        <v>270</v>
      </c>
      <c r="S2651" s="38" t="s">
        <v>6301</v>
      </c>
      <c r="T2651" s="38" t="s">
        <v>6302</v>
      </c>
      <c r="U2651" s="38"/>
      <c r="V2651" s="38"/>
      <c r="W2651" s="38"/>
      <c r="X2651" s="14"/>
      <c r="AM2651" s="1"/>
      <c r="AN2651" s="7" t="s">
        <v>70</v>
      </c>
      <c r="AO2651" s="21">
        <f t="shared" si="131"/>
        <v>0</v>
      </c>
      <c r="AP2651" s="7">
        <f t="shared" si="132"/>
        <v>59</v>
      </c>
      <c r="AQ2651" s="31" t="str">
        <f t="shared" si="133"/>
        <v>Complete - No Adjustment</v>
      </c>
    </row>
    <row r="2652" spans="1:43" x14ac:dyDescent="0.2">
      <c r="A2652" s="46">
        <v>2642</v>
      </c>
      <c r="B2652" s="38" t="s">
        <v>266</v>
      </c>
      <c r="C2652" s="38" t="s">
        <v>276</v>
      </c>
      <c r="D2652" s="38" t="s">
        <v>275</v>
      </c>
      <c r="E2652" s="38" t="s">
        <v>6303</v>
      </c>
      <c r="F2652" s="38" t="s">
        <v>6304</v>
      </c>
      <c r="G2652" s="38" t="s">
        <v>111</v>
      </c>
      <c r="H2652" s="44">
        <v>44113</v>
      </c>
      <c r="I2652" s="44">
        <v>44180</v>
      </c>
      <c r="J2652">
        <v>375.67</v>
      </c>
      <c r="K2652" s="22">
        <v>40.67</v>
      </c>
      <c r="L2652" s="22" t="s">
        <v>6305</v>
      </c>
      <c r="M2652" s="45" t="s">
        <v>98</v>
      </c>
      <c r="N2652" s="13" t="s">
        <v>230</v>
      </c>
      <c r="O2652" s="13" t="s">
        <v>277</v>
      </c>
      <c r="P2652" s="13" t="s">
        <v>60</v>
      </c>
      <c r="Q2652" s="13" t="s">
        <v>74</v>
      </c>
      <c r="R2652" s="38" t="s">
        <v>270</v>
      </c>
      <c r="S2652" s="38" t="s">
        <v>6306</v>
      </c>
      <c r="T2652" s="38" t="s">
        <v>6307</v>
      </c>
      <c r="U2652" s="38"/>
      <c r="V2652" s="38"/>
      <c r="W2652" s="38"/>
      <c r="X2652" s="14"/>
      <c r="AM2652" s="1"/>
      <c r="AN2652" s="7" t="s">
        <v>70</v>
      </c>
      <c r="AO2652" s="21">
        <f t="shared" si="131"/>
        <v>0</v>
      </c>
      <c r="AP2652" s="7">
        <f t="shared" si="132"/>
        <v>40.67</v>
      </c>
      <c r="AQ2652" s="31" t="str">
        <f t="shared" si="133"/>
        <v>Complete - No Adjustment</v>
      </c>
    </row>
    <row r="2653" spans="1:43" x14ac:dyDescent="0.2">
      <c r="A2653" s="46">
        <v>2643</v>
      </c>
      <c r="B2653" s="38" t="s">
        <v>266</v>
      </c>
      <c r="C2653" s="38" t="s">
        <v>276</v>
      </c>
      <c r="D2653" s="38" t="s">
        <v>275</v>
      </c>
      <c r="E2653" s="38" t="s">
        <v>6303</v>
      </c>
      <c r="F2653" s="38" t="s">
        <v>6304</v>
      </c>
      <c r="G2653" s="38" t="s">
        <v>111</v>
      </c>
      <c r="H2653" s="44">
        <v>44113</v>
      </c>
      <c r="I2653" s="44">
        <v>44180</v>
      </c>
      <c r="J2653">
        <v>375.67</v>
      </c>
      <c r="K2653" s="22">
        <v>335</v>
      </c>
      <c r="L2653" s="22" t="s">
        <v>6305</v>
      </c>
      <c r="M2653" s="45" t="s">
        <v>98</v>
      </c>
      <c r="N2653" s="13" t="s">
        <v>230</v>
      </c>
      <c r="O2653" s="13" t="s">
        <v>277</v>
      </c>
      <c r="P2653" s="13" t="s">
        <v>60</v>
      </c>
      <c r="Q2653" s="13" t="s">
        <v>59</v>
      </c>
      <c r="R2653" s="38" t="s">
        <v>270</v>
      </c>
      <c r="S2653" s="38" t="s">
        <v>6306</v>
      </c>
      <c r="T2653" s="38" t="s">
        <v>6308</v>
      </c>
      <c r="U2653" s="38"/>
      <c r="V2653" s="38"/>
      <c r="W2653" s="38"/>
      <c r="X2653" s="14"/>
      <c r="AM2653" s="1"/>
      <c r="AN2653" s="7" t="s">
        <v>70</v>
      </c>
      <c r="AO2653" s="21">
        <f t="shared" si="131"/>
        <v>0</v>
      </c>
      <c r="AP2653" s="7">
        <f t="shared" si="132"/>
        <v>335</v>
      </c>
      <c r="AQ2653" s="31" t="str">
        <f t="shared" si="133"/>
        <v>Complete - No Adjustment</v>
      </c>
    </row>
    <row r="2654" spans="1:43" x14ac:dyDescent="0.2">
      <c r="A2654" s="46">
        <v>2644</v>
      </c>
      <c r="B2654" s="38" t="s">
        <v>266</v>
      </c>
      <c r="C2654" s="38" t="s">
        <v>719</v>
      </c>
      <c r="D2654" s="38" t="s">
        <v>2121</v>
      </c>
      <c r="E2654" s="38" t="s">
        <v>6309</v>
      </c>
      <c r="F2654" s="38" t="s">
        <v>6284</v>
      </c>
      <c r="G2654" s="38" t="s">
        <v>111</v>
      </c>
      <c r="H2654" s="44">
        <v>44181</v>
      </c>
      <c r="I2654" s="44">
        <v>44183</v>
      </c>
      <c r="J2654">
        <v>15</v>
      </c>
      <c r="K2654" s="22">
        <v>10.5</v>
      </c>
      <c r="L2654" s="22" t="s">
        <v>6310</v>
      </c>
      <c r="M2654" s="45" t="s">
        <v>98</v>
      </c>
      <c r="N2654" s="13" t="s">
        <v>230</v>
      </c>
      <c r="O2654" s="13" t="s">
        <v>559</v>
      </c>
      <c r="P2654" s="13" t="s">
        <v>60</v>
      </c>
      <c r="Q2654" s="13" t="s">
        <v>41</v>
      </c>
      <c r="R2654" s="38" t="s">
        <v>270</v>
      </c>
      <c r="S2654" s="38" t="s">
        <v>6311</v>
      </c>
      <c r="T2654" s="38" t="s">
        <v>6312</v>
      </c>
      <c r="U2654" s="38"/>
      <c r="V2654" s="38"/>
      <c r="W2654" s="38"/>
      <c r="X2654" s="14"/>
      <c r="AI2654" s="54">
        <v>10.5</v>
      </c>
      <c r="AM2654" s="1"/>
      <c r="AN2654" s="7" t="s">
        <v>145</v>
      </c>
      <c r="AO2654" s="21">
        <f t="shared" si="131"/>
        <v>10.5</v>
      </c>
      <c r="AP2654" s="7">
        <f t="shared" si="132"/>
        <v>0</v>
      </c>
      <c r="AQ2654" s="31" t="str">
        <f t="shared" si="133"/>
        <v>Complete - With Adjustment</v>
      </c>
    </row>
    <row r="2655" spans="1:43" x14ac:dyDescent="0.2">
      <c r="A2655" s="46">
        <v>2645</v>
      </c>
      <c r="B2655" s="38" t="s">
        <v>266</v>
      </c>
      <c r="C2655" s="38" t="s">
        <v>719</v>
      </c>
      <c r="D2655" s="38" t="s">
        <v>2121</v>
      </c>
      <c r="E2655" s="38" t="s">
        <v>6309</v>
      </c>
      <c r="F2655" s="38" t="s">
        <v>6284</v>
      </c>
      <c r="G2655" s="38" t="s">
        <v>111</v>
      </c>
      <c r="H2655" s="44">
        <v>44181</v>
      </c>
      <c r="I2655" s="44">
        <v>44183</v>
      </c>
      <c r="J2655">
        <v>15</v>
      </c>
      <c r="K2655" s="22">
        <v>4.5</v>
      </c>
      <c r="L2655" s="22" t="s">
        <v>6310</v>
      </c>
      <c r="M2655" s="45" t="s">
        <v>97</v>
      </c>
      <c r="N2655" s="13" t="s">
        <v>230</v>
      </c>
      <c r="O2655" s="13" t="s">
        <v>50</v>
      </c>
      <c r="P2655" s="13" t="s">
        <v>72</v>
      </c>
      <c r="Q2655" s="13" t="s">
        <v>41</v>
      </c>
      <c r="R2655" s="38" t="s">
        <v>270</v>
      </c>
      <c r="S2655" s="38" t="s">
        <v>6311</v>
      </c>
      <c r="T2655" s="38" t="s">
        <v>6312</v>
      </c>
      <c r="U2655" s="38"/>
      <c r="V2655" s="38"/>
      <c r="W2655" s="38"/>
      <c r="X2655" s="14"/>
      <c r="AI2655" s="54">
        <v>4.5</v>
      </c>
      <c r="AM2655" s="1"/>
      <c r="AN2655" s="7" t="s">
        <v>145</v>
      </c>
      <c r="AO2655" s="21">
        <f t="shared" si="131"/>
        <v>4.5</v>
      </c>
      <c r="AP2655" s="7">
        <f t="shared" si="132"/>
        <v>0</v>
      </c>
      <c r="AQ2655" s="31" t="str">
        <f t="shared" si="133"/>
        <v>Complete - With Adjustment</v>
      </c>
    </row>
    <row r="2656" spans="1:43" x14ac:dyDescent="0.2">
      <c r="A2656" s="46">
        <v>2646</v>
      </c>
      <c r="B2656" s="38" t="s">
        <v>266</v>
      </c>
      <c r="C2656" s="38" t="s">
        <v>719</v>
      </c>
      <c r="D2656" s="38" t="s">
        <v>2121</v>
      </c>
      <c r="E2656" s="38" t="s">
        <v>6313</v>
      </c>
      <c r="F2656" s="38" t="s">
        <v>6314</v>
      </c>
      <c r="G2656" s="38" t="s">
        <v>111</v>
      </c>
      <c r="H2656" s="44">
        <v>44159</v>
      </c>
      <c r="I2656" s="44">
        <v>44167</v>
      </c>
      <c r="J2656">
        <v>89</v>
      </c>
      <c r="K2656" s="22">
        <v>62.3</v>
      </c>
      <c r="L2656" s="22" t="s">
        <v>6315</v>
      </c>
      <c r="M2656" s="45" t="s">
        <v>98</v>
      </c>
      <c r="N2656" s="13" t="s">
        <v>230</v>
      </c>
      <c r="O2656" s="13" t="s">
        <v>559</v>
      </c>
      <c r="P2656" s="13" t="s">
        <v>60</v>
      </c>
      <c r="Q2656" s="13" t="s">
        <v>48</v>
      </c>
      <c r="R2656" s="38" t="s">
        <v>270</v>
      </c>
      <c r="S2656" s="38" t="s">
        <v>6316</v>
      </c>
      <c r="T2656" s="38" t="s">
        <v>6317</v>
      </c>
      <c r="U2656" s="38"/>
      <c r="V2656" s="38"/>
      <c r="W2656" s="38"/>
      <c r="X2656" s="14"/>
      <c r="AM2656" s="1"/>
      <c r="AN2656" s="7" t="s">
        <v>70</v>
      </c>
      <c r="AO2656" s="21">
        <f t="shared" si="131"/>
        <v>0</v>
      </c>
      <c r="AP2656" s="7">
        <f t="shared" si="132"/>
        <v>62.3</v>
      </c>
      <c r="AQ2656" s="31" t="str">
        <f t="shared" si="133"/>
        <v>Complete - No Adjustment</v>
      </c>
    </row>
    <row r="2657" spans="1:43" x14ac:dyDescent="0.2">
      <c r="A2657" s="46">
        <v>2647</v>
      </c>
      <c r="B2657" s="38" t="s">
        <v>266</v>
      </c>
      <c r="C2657" s="38" t="s">
        <v>719</v>
      </c>
      <c r="D2657" s="38" t="s">
        <v>2121</v>
      </c>
      <c r="E2657" s="38" t="s">
        <v>6313</v>
      </c>
      <c r="F2657" s="38" t="s">
        <v>6314</v>
      </c>
      <c r="G2657" s="38" t="s">
        <v>111</v>
      </c>
      <c r="H2657" s="44">
        <v>44159</v>
      </c>
      <c r="I2657" s="44">
        <v>44167</v>
      </c>
      <c r="J2657">
        <v>89</v>
      </c>
      <c r="K2657" s="22">
        <v>26.7</v>
      </c>
      <c r="L2657" s="22" t="s">
        <v>6315</v>
      </c>
      <c r="M2657" s="45" t="s">
        <v>97</v>
      </c>
      <c r="N2657" s="13" t="s">
        <v>230</v>
      </c>
      <c r="O2657" s="13" t="s">
        <v>50</v>
      </c>
      <c r="P2657" s="13" t="s">
        <v>72</v>
      </c>
      <c r="Q2657" s="13" t="s">
        <v>48</v>
      </c>
      <c r="R2657" s="38" t="s">
        <v>270</v>
      </c>
      <c r="S2657" s="38" t="s">
        <v>6316</v>
      </c>
      <c r="T2657" s="38" t="s">
        <v>6317</v>
      </c>
      <c r="U2657" s="38"/>
      <c r="V2657" s="38"/>
      <c r="W2657" s="38"/>
      <c r="X2657" s="14"/>
      <c r="AM2657" s="1"/>
      <c r="AN2657" s="7" t="s">
        <v>70</v>
      </c>
      <c r="AO2657" s="21">
        <f t="shared" si="131"/>
        <v>0</v>
      </c>
      <c r="AP2657" s="7">
        <f t="shared" si="132"/>
        <v>26.7</v>
      </c>
      <c r="AQ2657" s="31" t="str">
        <f t="shared" si="133"/>
        <v>Complete - No Adjustment</v>
      </c>
    </row>
    <row r="2658" spans="1:43" x14ac:dyDescent="0.2">
      <c r="A2658" s="46">
        <v>2648</v>
      </c>
      <c r="B2658" s="38" t="s">
        <v>266</v>
      </c>
      <c r="C2658" s="38" t="s">
        <v>291</v>
      </c>
      <c r="D2658" s="38" t="s">
        <v>290</v>
      </c>
      <c r="E2658" s="38" t="s">
        <v>6318</v>
      </c>
      <c r="F2658" s="38" t="s">
        <v>6319</v>
      </c>
      <c r="G2658" s="38" t="s">
        <v>111</v>
      </c>
      <c r="H2658" s="44">
        <v>44175</v>
      </c>
      <c r="I2658" s="44">
        <v>44176</v>
      </c>
      <c r="J2658">
        <v>120</v>
      </c>
      <c r="K2658" s="22">
        <v>120</v>
      </c>
      <c r="L2658" s="22" t="s">
        <v>6320</v>
      </c>
      <c r="M2658" s="45" t="s">
        <v>98</v>
      </c>
      <c r="N2658" s="13" t="s">
        <v>230</v>
      </c>
      <c r="O2658" s="13" t="s">
        <v>292</v>
      </c>
      <c r="P2658" s="13" t="s">
        <v>60</v>
      </c>
      <c r="Q2658" s="13" t="s">
        <v>75</v>
      </c>
      <c r="R2658" s="38" t="s">
        <v>270</v>
      </c>
      <c r="S2658" s="38" t="s">
        <v>6321</v>
      </c>
      <c r="T2658" s="38" t="s">
        <v>6322</v>
      </c>
      <c r="U2658" s="38"/>
      <c r="V2658" s="38"/>
      <c r="W2658" s="38"/>
      <c r="X2658" s="14"/>
      <c r="AM2658" s="1"/>
      <c r="AN2658" s="7" t="s">
        <v>70</v>
      </c>
      <c r="AO2658" s="21">
        <f t="shared" si="131"/>
        <v>0</v>
      </c>
      <c r="AP2658" s="7">
        <f t="shared" si="132"/>
        <v>120</v>
      </c>
      <c r="AQ2658" s="31" t="str">
        <f t="shared" si="133"/>
        <v>Complete - No Adjustment</v>
      </c>
    </row>
    <row r="2659" spans="1:43" x14ac:dyDescent="0.2">
      <c r="A2659" s="46">
        <v>2649</v>
      </c>
      <c r="B2659" s="38" t="s">
        <v>266</v>
      </c>
      <c r="C2659" s="38" t="s">
        <v>667</v>
      </c>
      <c r="D2659" s="38" t="s">
        <v>666</v>
      </c>
      <c r="E2659" s="38" t="s">
        <v>6323</v>
      </c>
      <c r="F2659" s="38" t="s">
        <v>6324</v>
      </c>
      <c r="G2659" s="38" t="s">
        <v>111</v>
      </c>
      <c r="H2659" s="44">
        <v>44165</v>
      </c>
      <c r="I2659" s="44">
        <v>44168</v>
      </c>
      <c r="J2659">
        <v>323.06</v>
      </c>
      <c r="K2659" s="22">
        <v>75</v>
      </c>
      <c r="L2659" s="22" t="s">
        <v>6325</v>
      </c>
      <c r="M2659" s="45" t="s">
        <v>98</v>
      </c>
      <c r="N2659" s="13" t="s">
        <v>230</v>
      </c>
      <c r="O2659" s="13" t="s">
        <v>484</v>
      </c>
      <c r="P2659" s="13" t="s">
        <v>60</v>
      </c>
      <c r="Q2659" s="13" t="s">
        <v>59</v>
      </c>
      <c r="R2659" s="38" t="s">
        <v>270</v>
      </c>
      <c r="S2659" s="38" t="s">
        <v>6326</v>
      </c>
      <c r="T2659" s="38" t="s">
        <v>6327</v>
      </c>
      <c r="U2659" s="38"/>
      <c r="V2659" s="38"/>
      <c r="W2659" s="38"/>
      <c r="X2659" s="14"/>
      <c r="AM2659" s="1"/>
      <c r="AN2659" s="7" t="s">
        <v>70</v>
      </c>
      <c r="AO2659" s="21">
        <f t="shared" si="131"/>
        <v>0</v>
      </c>
      <c r="AP2659" s="7">
        <f t="shared" si="132"/>
        <v>75</v>
      </c>
      <c r="AQ2659" s="31" t="str">
        <f t="shared" si="133"/>
        <v>Complete - No Adjustment</v>
      </c>
    </row>
    <row r="2660" spans="1:43" x14ac:dyDescent="0.2">
      <c r="A2660" s="46">
        <v>2650</v>
      </c>
      <c r="B2660" s="38" t="s">
        <v>266</v>
      </c>
      <c r="C2660" s="38" t="s">
        <v>667</v>
      </c>
      <c r="D2660" s="38" t="s">
        <v>666</v>
      </c>
      <c r="E2660" s="38" t="s">
        <v>6323</v>
      </c>
      <c r="F2660" s="38" t="s">
        <v>6324</v>
      </c>
      <c r="G2660" s="38" t="s">
        <v>111</v>
      </c>
      <c r="H2660" s="44">
        <v>44165</v>
      </c>
      <c r="I2660" s="44">
        <v>44168</v>
      </c>
      <c r="J2660">
        <v>323.06</v>
      </c>
      <c r="K2660" s="22">
        <v>248.06</v>
      </c>
      <c r="L2660" s="22" t="s">
        <v>6325</v>
      </c>
      <c r="M2660" s="45" t="s">
        <v>98</v>
      </c>
      <c r="N2660" s="13" t="s">
        <v>230</v>
      </c>
      <c r="O2660" s="13" t="s">
        <v>484</v>
      </c>
      <c r="P2660" s="13" t="s">
        <v>60</v>
      </c>
      <c r="Q2660" s="13" t="s">
        <v>123</v>
      </c>
      <c r="R2660" s="38" t="s">
        <v>270</v>
      </c>
      <c r="S2660" s="38" t="s">
        <v>6326</v>
      </c>
      <c r="T2660" s="38" t="s">
        <v>6328</v>
      </c>
      <c r="U2660" s="38"/>
      <c r="V2660" s="38"/>
      <c r="W2660" s="38"/>
      <c r="X2660" s="14"/>
      <c r="AM2660" s="1"/>
      <c r="AN2660" s="7" t="s">
        <v>70</v>
      </c>
      <c r="AO2660" s="21">
        <f t="shared" si="131"/>
        <v>0</v>
      </c>
      <c r="AP2660" s="7">
        <f t="shared" si="132"/>
        <v>248.06</v>
      </c>
      <c r="AQ2660" s="31" t="str">
        <f t="shared" si="133"/>
        <v>Complete - No Adjustment</v>
      </c>
    </row>
    <row r="2661" spans="1:43" x14ac:dyDescent="0.2">
      <c r="A2661" s="46">
        <v>2651</v>
      </c>
      <c r="B2661" s="38" t="s">
        <v>266</v>
      </c>
      <c r="C2661" s="38" t="s">
        <v>300</v>
      </c>
      <c r="D2661" s="38" t="s">
        <v>299</v>
      </c>
      <c r="E2661" s="38" t="s">
        <v>6329</v>
      </c>
      <c r="F2661" s="38" t="s">
        <v>6324</v>
      </c>
      <c r="G2661" s="38" t="s">
        <v>111</v>
      </c>
      <c r="H2661" s="44">
        <v>44152</v>
      </c>
      <c r="I2661" s="44">
        <v>44168</v>
      </c>
      <c r="J2661">
        <v>246.1</v>
      </c>
      <c r="K2661" s="22">
        <v>246.1</v>
      </c>
      <c r="L2661" s="22" t="s">
        <v>6330</v>
      </c>
      <c r="M2661" s="45" t="s">
        <v>98</v>
      </c>
      <c r="N2661" s="13" t="s">
        <v>230</v>
      </c>
      <c r="O2661" s="13" t="s">
        <v>272</v>
      </c>
      <c r="P2661" s="13" t="s">
        <v>60</v>
      </c>
      <c r="Q2661" s="13" t="s">
        <v>44</v>
      </c>
      <c r="R2661" s="38" t="s">
        <v>270</v>
      </c>
      <c r="S2661" s="38" t="s">
        <v>6331</v>
      </c>
      <c r="T2661" s="38" t="s">
        <v>6332</v>
      </c>
      <c r="U2661" s="38"/>
      <c r="V2661" s="38"/>
      <c r="W2661" s="38"/>
      <c r="X2661" s="14"/>
      <c r="AM2661" s="1"/>
      <c r="AN2661" s="7" t="s">
        <v>70</v>
      </c>
      <c r="AO2661" s="21">
        <f t="shared" si="131"/>
        <v>0</v>
      </c>
      <c r="AP2661" s="7">
        <f t="shared" si="132"/>
        <v>246.1</v>
      </c>
      <c r="AQ2661" s="31" t="str">
        <f t="shared" si="133"/>
        <v>Complete - No Adjustment</v>
      </c>
    </row>
    <row r="2662" spans="1:43" x14ac:dyDescent="0.2">
      <c r="A2662" s="46">
        <v>2652</v>
      </c>
      <c r="B2662" s="38" t="s">
        <v>266</v>
      </c>
      <c r="C2662" s="38" t="s">
        <v>302</v>
      </c>
      <c r="D2662" s="38" t="s">
        <v>301</v>
      </c>
      <c r="E2662" s="38" t="s">
        <v>6333</v>
      </c>
      <c r="F2662" s="38" t="s">
        <v>6314</v>
      </c>
      <c r="G2662" s="38" t="s">
        <v>111</v>
      </c>
      <c r="H2662" s="44">
        <v>44125</v>
      </c>
      <c r="I2662" s="44">
        <v>44167</v>
      </c>
      <c r="J2662">
        <v>60.58</v>
      </c>
      <c r="K2662" s="22">
        <v>21.53</v>
      </c>
      <c r="L2662" s="22" t="s">
        <v>6334</v>
      </c>
      <c r="M2662" s="45" t="s">
        <v>98</v>
      </c>
      <c r="N2662" s="13" t="s">
        <v>230</v>
      </c>
      <c r="O2662" s="13" t="s">
        <v>303</v>
      </c>
      <c r="P2662" s="13" t="s">
        <v>60</v>
      </c>
      <c r="Q2662" s="13" t="s">
        <v>62</v>
      </c>
      <c r="R2662" s="38" t="s">
        <v>270</v>
      </c>
      <c r="S2662" s="38" t="s">
        <v>6335</v>
      </c>
      <c r="T2662" s="38" t="s">
        <v>6336</v>
      </c>
      <c r="U2662" s="38"/>
      <c r="V2662" s="38"/>
      <c r="W2662" s="38"/>
      <c r="X2662" s="14"/>
      <c r="AL2662" s="14">
        <v>21.53</v>
      </c>
      <c r="AM2662" s="1"/>
      <c r="AN2662" s="7" t="s">
        <v>6337</v>
      </c>
      <c r="AO2662" s="21">
        <f t="shared" si="131"/>
        <v>21.53</v>
      </c>
      <c r="AP2662" s="7">
        <f t="shared" si="132"/>
        <v>0</v>
      </c>
      <c r="AQ2662" s="31" t="str">
        <f t="shared" si="133"/>
        <v>Complete - With Adjustment</v>
      </c>
    </row>
    <row r="2663" spans="1:43" x14ac:dyDescent="0.2">
      <c r="A2663" s="46">
        <v>2653</v>
      </c>
      <c r="B2663" s="38" t="s">
        <v>266</v>
      </c>
      <c r="C2663" s="38" t="s">
        <v>302</v>
      </c>
      <c r="D2663" s="38" t="s">
        <v>301</v>
      </c>
      <c r="E2663" s="38" t="s">
        <v>6333</v>
      </c>
      <c r="F2663" s="38" t="s">
        <v>6314</v>
      </c>
      <c r="G2663" s="38" t="s">
        <v>111</v>
      </c>
      <c r="H2663" s="44">
        <v>44125</v>
      </c>
      <c r="I2663" s="44">
        <v>44167</v>
      </c>
      <c r="J2663">
        <v>60.58</v>
      </c>
      <c r="K2663" s="22">
        <v>39.049999999999997</v>
      </c>
      <c r="L2663" s="22" t="s">
        <v>6334</v>
      </c>
      <c r="M2663" s="45" t="s">
        <v>98</v>
      </c>
      <c r="N2663" s="13" t="s">
        <v>230</v>
      </c>
      <c r="O2663" s="13" t="s">
        <v>303</v>
      </c>
      <c r="P2663" s="13" t="s">
        <v>60</v>
      </c>
      <c r="Q2663" s="13" t="s">
        <v>79</v>
      </c>
      <c r="R2663" s="38" t="s">
        <v>270</v>
      </c>
      <c r="S2663" s="38" t="s">
        <v>6335</v>
      </c>
      <c r="T2663" s="38" t="s">
        <v>6338</v>
      </c>
      <c r="U2663" s="38"/>
      <c r="V2663" s="38"/>
      <c r="W2663" s="38"/>
      <c r="X2663" s="14"/>
      <c r="AM2663" s="1"/>
      <c r="AN2663" s="7" t="s">
        <v>70</v>
      </c>
      <c r="AO2663" s="21">
        <f t="shared" si="131"/>
        <v>0</v>
      </c>
      <c r="AP2663" s="7">
        <f t="shared" si="132"/>
        <v>39.049999999999997</v>
      </c>
      <c r="AQ2663" s="31" t="str">
        <f t="shared" si="133"/>
        <v>Complete - No Adjustment</v>
      </c>
    </row>
    <row r="2664" spans="1:43" x14ac:dyDescent="0.2">
      <c r="A2664" s="46">
        <v>2654</v>
      </c>
      <c r="B2664" s="38" t="s">
        <v>266</v>
      </c>
      <c r="C2664" s="38" t="s">
        <v>757</v>
      </c>
      <c r="D2664" s="38" t="s">
        <v>756</v>
      </c>
      <c r="E2664" s="38" t="s">
        <v>6339</v>
      </c>
      <c r="F2664" s="38" t="s">
        <v>6324</v>
      </c>
      <c r="G2664" s="38" t="s">
        <v>111</v>
      </c>
      <c r="H2664" s="44">
        <v>44160</v>
      </c>
      <c r="I2664" s="44">
        <v>44168</v>
      </c>
      <c r="J2664">
        <v>15</v>
      </c>
      <c r="K2664" s="22">
        <v>15</v>
      </c>
      <c r="L2664" s="22" t="s">
        <v>6340</v>
      </c>
      <c r="M2664" s="45" t="s">
        <v>98</v>
      </c>
      <c r="N2664" s="13" t="s">
        <v>230</v>
      </c>
      <c r="O2664" s="13" t="s">
        <v>292</v>
      </c>
      <c r="P2664" s="13" t="s">
        <v>60</v>
      </c>
      <c r="Q2664" s="13" t="s">
        <v>41</v>
      </c>
      <c r="R2664" s="38" t="s">
        <v>270</v>
      </c>
      <c r="S2664" s="38" t="s">
        <v>6341</v>
      </c>
      <c r="T2664" s="38" t="s">
        <v>6342</v>
      </c>
      <c r="U2664" s="38"/>
      <c r="V2664" s="38"/>
      <c r="W2664" s="38"/>
      <c r="X2664" s="14"/>
      <c r="AM2664" s="1"/>
      <c r="AN2664" s="7" t="s">
        <v>70</v>
      </c>
      <c r="AO2664" s="21">
        <f t="shared" si="131"/>
        <v>0</v>
      </c>
      <c r="AP2664" s="7">
        <f t="shared" si="132"/>
        <v>15</v>
      </c>
      <c r="AQ2664" s="31" t="str">
        <f t="shared" si="133"/>
        <v>Complete - No Adjustment</v>
      </c>
    </row>
    <row r="2665" spans="1:43" x14ac:dyDescent="0.2">
      <c r="A2665" s="46">
        <v>2655</v>
      </c>
      <c r="B2665" s="38" t="s">
        <v>266</v>
      </c>
      <c r="C2665" s="38" t="s">
        <v>518</v>
      </c>
      <c r="D2665" s="38" t="s">
        <v>517</v>
      </c>
      <c r="E2665" s="38" t="s">
        <v>6343</v>
      </c>
      <c r="F2665" s="38" t="s">
        <v>6344</v>
      </c>
      <c r="G2665" s="38" t="s">
        <v>111</v>
      </c>
      <c r="H2665" s="44">
        <v>44166</v>
      </c>
      <c r="I2665" s="44">
        <v>44169</v>
      </c>
      <c r="J2665">
        <v>474.68</v>
      </c>
      <c r="K2665" s="22">
        <v>21.17</v>
      </c>
      <c r="L2665" s="22" t="s">
        <v>6345</v>
      </c>
      <c r="M2665" s="45" t="s">
        <v>98</v>
      </c>
      <c r="N2665" s="13" t="s">
        <v>230</v>
      </c>
      <c r="O2665" s="13" t="s">
        <v>519</v>
      </c>
      <c r="P2665" s="13" t="s">
        <v>60</v>
      </c>
      <c r="Q2665" s="13" t="s">
        <v>41</v>
      </c>
      <c r="R2665" s="38" t="s">
        <v>270</v>
      </c>
      <c r="S2665" s="38" t="s">
        <v>6346</v>
      </c>
      <c r="T2665" s="38" t="s">
        <v>6347</v>
      </c>
      <c r="U2665" s="38"/>
      <c r="V2665" s="38"/>
      <c r="W2665" s="38"/>
      <c r="X2665" s="14"/>
      <c r="AH2665" s="14">
        <v>21.17</v>
      </c>
      <c r="AM2665" s="1"/>
      <c r="AN2665" s="7" t="s">
        <v>16</v>
      </c>
      <c r="AO2665" s="21">
        <f t="shared" si="131"/>
        <v>21.17</v>
      </c>
      <c r="AP2665" s="7">
        <f t="shared" si="132"/>
        <v>0</v>
      </c>
      <c r="AQ2665" s="31" t="str">
        <f t="shared" si="133"/>
        <v>Complete - With Adjustment</v>
      </c>
    </row>
    <row r="2666" spans="1:43" x14ac:dyDescent="0.2">
      <c r="A2666" s="46">
        <v>2656</v>
      </c>
      <c r="B2666" s="38" t="s">
        <v>266</v>
      </c>
      <c r="C2666" s="38" t="s">
        <v>518</v>
      </c>
      <c r="D2666" s="38" t="s">
        <v>517</v>
      </c>
      <c r="E2666" s="38" t="s">
        <v>6343</v>
      </c>
      <c r="F2666" s="38" t="s">
        <v>6344</v>
      </c>
      <c r="G2666" s="38" t="s">
        <v>111</v>
      </c>
      <c r="H2666" s="44">
        <v>44166</v>
      </c>
      <c r="I2666" s="44">
        <v>44169</v>
      </c>
      <c r="J2666">
        <v>474.68</v>
      </c>
      <c r="K2666" s="22">
        <v>22.81</v>
      </c>
      <c r="L2666" s="22" t="s">
        <v>6345</v>
      </c>
      <c r="M2666" s="45" t="s">
        <v>98</v>
      </c>
      <c r="N2666" s="13" t="s">
        <v>230</v>
      </c>
      <c r="O2666" s="13" t="s">
        <v>519</v>
      </c>
      <c r="P2666" s="13" t="s">
        <v>60</v>
      </c>
      <c r="Q2666" s="13" t="s">
        <v>41</v>
      </c>
      <c r="R2666" s="38" t="s">
        <v>270</v>
      </c>
      <c r="S2666" s="38" t="s">
        <v>6346</v>
      </c>
      <c r="T2666" s="38" t="s">
        <v>6348</v>
      </c>
      <c r="U2666" s="38"/>
      <c r="V2666" s="38"/>
      <c r="W2666" s="38"/>
      <c r="X2666" s="14"/>
      <c r="AH2666" s="14">
        <v>22.81</v>
      </c>
      <c r="AM2666" s="1"/>
      <c r="AN2666" s="7" t="s">
        <v>16</v>
      </c>
      <c r="AO2666" s="21">
        <f t="shared" si="131"/>
        <v>22.81</v>
      </c>
      <c r="AP2666" s="7">
        <f t="shared" si="132"/>
        <v>0</v>
      </c>
      <c r="AQ2666" s="31" t="str">
        <f t="shared" si="133"/>
        <v>Complete - With Adjustment</v>
      </c>
    </row>
    <row r="2667" spans="1:43" x14ac:dyDescent="0.2">
      <c r="A2667" s="46">
        <v>2657</v>
      </c>
      <c r="B2667" s="38" t="s">
        <v>266</v>
      </c>
      <c r="C2667" s="38" t="s">
        <v>518</v>
      </c>
      <c r="D2667" s="38" t="s">
        <v>517</v>
      </c>
      <c r="E2667" s="38" t="s">
        <v>6343</v>
      </c>
      <c r="F2667" s="38" t="s">
        <v>6344</v>
      </c>
      <c r="G2667" s="38" t="s">
        <v>111</v>
      </c>
      <c r="H2667" s="44">
        <v>44166</v>
      </c>
      <c r="I2667" s="44">
        <v>44169</v>
      </c>
      <c r="J2667">
        <v>474.68</v>
      </c>
      <c r="K2667" s="22">
        <v>342</v>
      </c>
      <c r="L2667" s="22" t="s">
        <v>6345</v>
      </c>
      <c r="M2667" s="45" t="s">
        <v>97</v>
      </c>
      <c r="N2667" s="13" t="s">
        <v>230</v>
      </c>
      <c r="O2667" s="13" t="s">
        <v>519</v>
      </c>
      <c r="P2667" s="13" t="s">
        <v>42</v>
      </c>
      <c r="Q2667" s="13" t="s">
        <v>63</v>
      </c>
      <c r="R2667" s="38" t="s">
        <v>270</v>
      </c>
      <c r="S2667" s="38" t="s">
        <v>6346</v>
      </c>
      <c r="T2667" s="38" t="s">
        <v>6349</v>
      </c>
      <c r="U2667" s="38"/>
      <c r="V2667" s="38"/>
      <c r="W2667" s="38"/>
      <c r="X2667" s="14"/>
      <c r="AH2667" s="14">
        <v>342</v>
      </c>
      <c r="AM2667" s="1"/>
      <c r="AN2667" s="7" t="s">
        <v>16</v>
      </c>
      <c r="AO2667" s="21">
        <f t="shared" si="131"/>
        <v>342</v>
      </c>
      <c r="AP2667" s="7">
        <f t="shared" si="132"/>
        <v>0</v>
      </c>
      <c r="AQ2667" s="31" t="str">
        <f t="shared" si="133"/>
        <v>Complete - With Adjustment</v>
      </c>
    </row>
    <row r="2668" spans="1:43" x14ac:dyDescent="0.2">
      <c r="A2668" s="46">
        <v>2658</v>
      </c>
      <c r="B2668" s="38" t="s">
        <v>266</v>
      </c>
      <c r="C2668" s="38" t="s">
        <v>518</v>
      </c>
      <c r="D2668" s="38" t="s">
        <v>517</v>
      </c>
      <c r="E2668" s="38" t="s">
        <v>6343</v>
      </c>
      <c r="F2668" s="38" t="s">
        <v>6344</v>
      </c>
      <c r="G2668" s="38" t="s">
        <v>111</v>
      </c>
      <c r="H2668" s="44">
        <v>44166</v>
      </c>
      <c r="I2668" s="44">
        <v>44169</v>
      </c>
      <c r="J2668">
        <v>474.68</v>
      </c>
      <c r="K2668" s="22">
        <v>20.02</v>
      </c>
      <c r="L2668" s="22" t="s">
        <v>6345</v>
      </c>
      <c r="M2668" s="45" t="s">
        <v>98</v>
      </c>
      <c r="N2668" s="13" t="s">
        <v>230</v>
      </c>
      <c r="O2668" s="13" t="s">
        <v>519</v>
      </c>
      <c r="P2668" s="13" t="s">
        <v>60</v>
      </c>
      <c r="Q2668" s="13" t="s">
        <v>41</v>
      </c>
      <c r="R2668" s="38" t="s">
        <v>270</v>
      </c>
      <c r="S2668" s="38" t="s">
        <v>6346</v>
      </c>
      <c r="T2668" s="38" t="s">
        <v>6350</v>
      </c>
      <c r="U2668" s="38"/>
      <c r="V2668" s="38"/>
      <c r="W2668" s="38"/>
      <c r="X2668" s="14"/>
      <c r="AH2668" s="14">
        <v>20.02</v>
      </c>
      <c r="AM2668" s="1"/>
      <c r="AN2668" s="7" t="s">
        <v>16</v>
      </c>
      <c r="AO2668" s="21">
        <f t="shared" si="131"/>
        <v>20.02</v>
      </c>
      <c r="AP2668" s="7">
        <f t="shared" si="132"/>
        <v>0</v>
      </c>
      <c r="AQ2668" s="31" t="str">
        <f t="shared" si="133"/>
        <v>Complete - With Adjustment</v>
      </c>
    </row>
    <row r="2669" spans="1:43" x14ac:dyDescent="0.2">
      <c r="A2669" s="46">
        <v>2659</v>
      </c>
      <c r="B2669" s="38" t="s">
        <v>266</v>
      </c>
      <c r="C2669" s="38" t="s">
        <v>518</v>
      </c>
      <c r="D2669" s="38" t="s">
        <v>517</v>
      </c>
      <c r="E2669" s="38" t="s">
        <v>6343</v>
      </c>
      <c r="F2669" s="38" t="s">
        <v>6344</v>
      </c>
      <c r="G2669" s="38" t="s">
        <v>111</v>
      </c>
      <c r="H2669" s="44">
        <v>44166</v>
      </c>
      <c r="I2669" s="44">
        <v>44169</v>
      </c>
      <c r="J2669">
        <v>474.68</v>
      </c>
      <c r="K2669" s="22">
        <v>18.97</v>
      </c>
      <c r="L2669" s="22" t="s">
        <v>6345</v>
      </c>
      <c r="M2669" s="45" t="s">
        <v>98</v>
      </c>
      <c r="N2669" s="13" t="s">
        <v>230</v>
      </c>
      <c r="O2669" s="13" t="s">
        <v>519</v>
      </c>
      <c r="P2669" s="13" t="s">
        <v>60</v>
      </c>
      <c r="Q2669" s="13" t="s">
        <v>41</v>
      </c>
      <c r="R2669" s="38" t="s">
        <v>270</v>
      </c>
      <c r="S2669" s="38" t="s">
        <v>6346</v>
      </c>
      <c r="T2669" s="38" t="s">
        <v>6351</v>
      </c>
      <c r="U2669" s="38"/>
      <c r="V2669" s="38"/>
      <c r="W2669" s="38"/>
      <c r="X2669" s="14"/>
      <c r="AH2669" s="14">
        <v>18.97</v>
      </c>
      <c r="AM2669" s="1"/>
      <c r="AN2669" s="7" t="s">
        <v>16</v>
      </c>
      <c r="AO2669" s="21">
        <f t="shared" si="131"/>
        <v>18.97</v>
      </c>
      <c r="AP2669" s="7">
        <f t="shared" si="132"/>
        <v>0</v>
      </c>
      <c r="AQ2669" s="31" t="str">
        <f t="shared" si="133"/>
        <v>Complete - With Adjustment</v>
      </c>
    </row>
    <row r="2670" spans="1:43" x14ac:dyDescent="0.2">
      <c r="A2670" s="46">
        <v>2660</v>
      </c>
      <c r="B2670" s="38" t="s">
        <v>266</v>
      </c>
      <c r="C2670" s="38" t="s">
        <v>518</v>
      </c>
      <c r="D2670" s="38" t="s">
        <v>517</v>
      </c>
      <c r="E2670" s="38" t="s">
        <v>6343</v>
      </c>
      <c r="F2670" s="38" t="s">
        <v>6344</v>
      </c>
      <c r="G2670" s="38" t="s">
        <v>111</v>
      </c>
      <c r="H2670" s="44">
        <v>44166</v>
      </c>
      <c r="I2670" s="44">
        <v>44169</v>
      </c>
      <c r="J2670">
        <v>474.68</v>
      </c>
      <c r="K2670" s="22">
        <v>26.32</v>
      </c>
      <c r="L2670" s="22" t="s">
        <v>6345</v>
      </c>
      <c r="M2670" s="45" t="s">
        <v>98</v>
      </c>
      <c r="N2670" s="13" t="s">
        <v>230</v>
      </c>
      <c r="O2670" s="13" t="s">
        <v>519</v>
      </c>
      <c r="P2670" s="13" t="s">
        <v>60</v>
      </c>
      <c r="Q2670" s="13" t="s">
        <v>41</v>
      </c>
      <c r="R2670" s="38" t="s">
        <v>270</v>
      </c>
      <c r="S2670" s="38" t="s">
        <v>6346</v>
      </c>
      <c r="T2670" s="38" t="s">
        <v>6352</v>
      </c>
      <c r="U2670" s="38"/>
      <c r="V2670" s="38"/>
      <c r="W2670" s="38"/>
      <c r="X2670" s="14"/>
      <c r="AH2670" s="14">
        <v>26.32</v>
      </c>
      <c r="AM2670" s="1"/>
      <c r="AN2670" s="7" t="s">
        <v>16</v>
      </c>
      <c r="AO2670" s="21">
        <f t="shared" si="131"/>
        <v>26.32</v>
      </c>
      <c r="AP2670" s="7">
        <f t="shared" si="132"/>
        <v>0</v>
      </c>
      <c r="AQ2670" s="31" t="str">
        <f t="shared" si="133"/>
        <v>Complete - With Adjustment</v>
      </c>
    </row>
    <row r="2671" spans="1:43" x14ac:dyDescent="0.2">
      <c r="A2671" s="46">
        <v>2661</v>
      </c>
      <c r="B2671" s="38" t="s">
        <v>266</v>
      </c>
      <c r="C2671" s="38" t="s">
        <v>518</v>
      </c>
      <c r="D2671" s="38" t="s">
        <v>517</v>
      </c>
      <c r="E2671" s="38" t="s">
        <v>6343</v>
      </c>
      <c r="F2671" s="38" t="s">
        <v>6344</v>
      </c>
      <c r="G2671" s="38" t="s">
        <v>111</v>
      </c>
      <c r="H2671" s="44">
        <v>44166</v>
      </c>
      <c r="I2671" s="44">
        <v>44169</v>
      </c>
      <c r="J2671">
        <v>474.68</v>
      </c>
      <c r="K2671" s="22">
        <v>23.39</v>
      </c>
      <c r="L2671" s="22" t="s">
        <v>6345</v>
      </c>
      <c r="M2671" s="45" t="s">
        <v>98</v>
      </c>
      <c r="N2671" s="13" t="s">
        <v>230</v>
      </c>
      <c r="O2671" s="13" t="s">
        <v>519</v>
      </c>
      <c r="P2671" s="13" t="s">
        <v>60</v>
      </c>
      <c r="Q2671" s="13" t="s">
        <v>41</v>
      </c>
      <c r="R2671" s="38" t="s">
        <v>270</v>
      </c>
      <c r="S2671" s="38" t="s">
        <v>6346</v>
      </c>
      <c r="T2671" s="38" t="s">
        <v>6352</v>
      </c>
      <c r="U2671" s="38"/>
      <c r="V2671" s="38"/>
      <c r="W2671" s="38"/>
      <c r="X2671" s="14"/>
      <c r="AH2671" s="14">
        <v>23.39</v>
      </c>
      <c r="AM2671" s="1"/>
      <c r="AN2671" s="7" t="s">
        <v>16</v>
      </c>
      <c r="AO2671" s="21">
        <f t="shared" si="131"/>
        <v>23.39</v>
      </c>
      <c r="AP2671" s="7">
        <f t="shared" si="132"/>
        <v>0</v>
      </c>
      <c r="AQ2671" s="31" t="str">
        <f t="shared" si="133"/>
        <v>Complete - With Adjustment</v>
      </c>
    </row>
    <row r="2672" spans="1:43" x14ac:dyDescent="0.2">
      <c r="A2672" s="46">
        <v>2662</v>
      </c>
      <c r="B2672" s="38" t="s">
        <v>266</v>
      </c>
      <c r="C2672" s="38" t="s">
        <v>307</v>
      </c>
      <c r="D2672" s="38" t="s">
        <v>306</v>
      </c>
      <c r="E2672" s="38" t="s">
        <v>6353</v>
      </c>
      <c r="F2672" s="38" t="s">
        <v>6354</v>
      </c>
      <c r="G2672" s="38" t="s">
        <v>111</v>
      </c>
      <c r="H2672" s="44">
        <v>44188</v>
      </c>
      <c r="I2672" s="44">
        <v>44193</v>
      </c>
      <c r="J2672">
        <v>230</v>
      </c>
      <c r="K2672" s="22">
        <v>230</v>
      </c>
      <c r="L2672" s="22" t="s">
        <v>6355</v>
      </c>
      <c r="M2672" s="45" t="s">
        <v>98</v>
      </c>
      <c r="N2672" s="13" t="s">
        <v>230</v>
      </c>
      <c r="O2672" s="13" t="s">
        <v>277</v>
      </c>
      <c r="P2672" s="13" t="s">
        <v>60</v>
      </c>
      <c r="Q2672" s="13" t="s">
        <v>59</v>
      </c>
      <c r="R2672" s="38" t="s">
        <v>270</v>
      </c>
      <c r="S2672" s="38" t="s">
        <v>6356</v>
      </c>
      <c r="T2672" s="38" t="s">
        <v>6357</v>
      </c>
      <c r="U2672" s="38"/>
      <c r="V2672" s="38"/>
      <c r="W2672" s="38"/>
      <c r="X2672" s="14"/>
      <c r="AM2672" s="1"/>
      <c r="AN2672" s="7" t="s">
        <v>70</v>
      </c>
      <c r="AO2672" s="21">
        <f t="shared" si="131"/>
        <v>0</v>
      </c>
      <c r="AP2672" s="7">
        <f t="shared" si="132"/>
        <v>230</v>
      </c>
      <c r="AQ2672" s="31" t="str">
        <f t="shared" si="133"/>
        <v>Complete - No Adjustment</v>
      </c>
    </row>
    <row r="2673" spans="1:43" x14ac:dyDescent="0.2">
      <c r="A2673" s="46">
        <v>2663</v>
      </c>
      <c r="B2673" s="38" t="s">
        <v>266</v>
      </c>
      <c r="C2673" s="38" t="s">
        <v>585</v>
      </c>
      <c r="D2673" s="38" t="s">
        <v>584</v>
      </c>
      <c r="E2673" s="38" t="s">
        <v>6358</v>
      </c>
      <c r="F2673" s="38" t="s">
        <v>6359</v>
      </c>
      <c r="G2673" s="38" t="s">
        <v>111</v>
      </c>
      <c r="H2673" s="44">
        <v>44176</v>
      </c>
      <c r="I2673" s="44">
        <v>44186</v>
      </c>
      <c r="J2673">
        <v>13.25</v>
      </c>
      <c r="K2673" s="22">
        <v>13.25</v>
      </c>
      <c r="L2673" s="22" t="s">
        <v>6360</v>
      </c>
      <c r="M2673" s="45" t="s">
        <v>98</v>
      </c>
      <c r="N2673" s="13" t="s">
        <v>230</v>
      </c>
      <c r="O2673" s="13" t="s">
        <v>472</v>
      </c>
      <c r="P2673" s="13" t="s">
        <v>60</v>
      </c>
      <c r="Q2673" s="13" t="s">
        <v>41</v>
      </c>
      <c r="R2673" s="38" t="s">
        <v>270</v>
      </c>
      <c r="S2673" s="38" t="s">
        <v>6361</v>
      </c>
      <c r="T2673" s="38" t="s">
        <v>6362</v>
      </c>
      <c r="U2673" s="38"/>
      <c r="V2673" s="38"/>
      <c r="W2673" s="38"/>
      <c r="X2673" s="14"/>
      <c r="AI2673" s="53">
        <v>13.25</v>
      </c>
      <c r="AM2673" s="1"/>
      <c r="AN2673" s="7" t="s">
        <v>145</v>
      </c>
      <c r="AO2673" s="21">
        <f t="shared" si="131"/>
        <v>13.25</v>
      </c>
      <c r="AP2673" s="7">
        <f t="shared" si="132"/>
        <v>0</v>
      </c>
      <c r="AQ2673" s="31" t="str">
        <f t="shared" si="133"/>
        <v>Complete - With Adjustment</v>
      </c>
    </row>
    <row r="2674" spans="1:43" x14ac:dyDescent="0.2">
      <c r="A2674" s="46">
        <v>2664</v>
      </c>
      <c r="B2674" s="38" t="s">
        <v>266</v>
      </c>
      <c r="C2674" s="38" t="s">
        <v>742</v>
      </c>
      <c r="D2674" s="38" t="s">
        <v>741</v>
      </c>
      <c r="E2674" s="38" t="s">
        <v>6363</v>
      </c>
      <c r="F2674" s="38" t="s">
        <v>6359</v>
      </c>
      <c r="G2674" s="38" t="s">
        <v>111</v>
      </c>
      <c r="H2674" s="44">
        <v>44182</v>
      </c>
      <c r="I2674" s="44">
        <v>44186</v>
      </c>
      <c r="J2674">
        <v>11.02</v>
      </c>
      <c r="K2674" s="22">
        <v>11.02</v>
      </c>
      <c r="L2674" s="22" t="s">
        <v>6364</v>
      </c>
      <c r="M2674" s="45" t="s">
        <v>98</v>
      </c>
      <c r="N2674" s="13" t="s">
        <v>230</v>
      </c>
      <c r="O2674" s="13" t="s">
        <v>288</v>
      </c>
      <c r="P2674" s="13" t="s">
        <v>60</v>
      </c>
      <c r="Q2674" s="13" t="s">
        <v>41</v>
      </c>
      <c r="R2674" s="38" t="s">
        <v>270</v>
      </c>
      <c r="S2674" s="38" t="s">
        <v>3063</v>
      </c>
      <c r="T2674" s="38" t="s">
        <v>3064</v>
      </c>
      <c r="U2674" s="38"/>
      <c r="V2674" s="38"/>
      <c r="W2674" s="38"/>
      <c r="X2674" s="14"/>
      <c r="AM2674" s="1"/>
      <c r="AN2674" s="7" t="s">
        <v>155</v>
      </c>
      <c r="AO2674" s="21">
        <f t="shared" si="131"/>
        <v>0</v>
      </c>
      <c r="AP2674" s="7">
        <f t="shared" si="132"/>
        <v>11.02</v>
      </c>
      <c r="AQ2674" s="31" t="str">
        <f t="shared" si="133"/>
        <v>Complete - No Adjustment</v>
      </c>
    </row>
    <row r="2675" spans="1:43" x14ac:dyDescent="0.2">
      <c r="A2675" s="46">
        <v>2665</v>
      </c>
      <c r="B2675" s="38" t="s">
        <v>266</v>
      </c>
      <c r="C2675" s="38" t="s">
        <v>742</v>
      </c>
      <c r="D2675" s="38" t="s">
        <v>741</v>
      </c>
      <c r="E2675" s="38" t="s">
        <v>6365</v>
      </c>
      <c r="F2675" s="38" t="s">
        <v>6366</v>
      </c>
      <c r="G2675" s="38" t="s">
        <v>111</v>
      </c>
      <c r="H2675" s="44">
        <v>44168</v>
      </c>
      <c r="I2675" s="44">
        <v>44172</v>
      </c>
      <c r="J2675">
        <v>14.61</v>
      </c>
      <c r="K2675" s="22">
        <v>14.61</v>
      </c>
      <c r="L2675" s="22" t="s">
        <v>6367</v>
      </c>
      <c r="M2675" s="45" t="s">
        <v>98</v>
      </c>
      <c r="N2675" s="13" t="s">
        <v>230</v>
      </c>
      <c r="O2675" s="13" t="s">
        <v>288</v>
      </c>
      <c r="P2675" s="13" t="s">
        <v>60</v>
      </c>
      <c r="Q2675" s="13" t="s">
        <v>41</v>
      </c>
      <c r="R2675" s="38" t="s">
        <v>270</v>
      </c>
      <c r="S2675" s="38" t="s">
        <v>3067</v>
      </c>
      <c r="T2675" s="38" t="s">
        <v>3068</v>
      </c>
      <c r="U2675" s="38"/>
      <c r="V2675" s="38"/>
      <c r="W2675" s="38"/>
      <c r="X2675" s="14"/>
      <c r="AI2675" s="53">
        <v>14.61</v>
      </c>
      <c r="AM2675" s="1"/>
      <c r="AN2675" s="7" t="s">
        <v>6337</v>
      </c>
      <c r="AO2675" s="21">
        <f t="shared" si="131"/>
        <v>14.61</v>
      </c>
      <c r="AP2675" s="7">
        <f t="shared" si="132"/>
        <v>0</v>
      </c>
      <c r="AQ2675" s="31" t="str">
        <f t="shared" si="133"/>
        <v>Complete - With Adjustment</v>
      </c>
    </row>
    <row r="2676" spans="1:43" x14ac:dyDescent="0.2">
      <c r="A2676" s="46">
        <v>2666</v>
      </c>
      <c r="B2676" s="38" t="s">
        <v>266</v>
      </c>
      <c r="C2676" s="38" t="s">
        <v>742</v>
      </c>
      <c r="D2676" s="38" t="s">
        <v>741</v>
      </c>
      <c r="E2676" s="38" t="s">
        <v>6368</v>
      </c>
      <c r="F2676" s="38" t="s">
        <v>6319</v>
      </c>
      <c r="G2676" s="38" t="s">
        <v>111</v>
      </c>
      <c r="H2676" s="44">
        <v>44174</v>
      </c>
      <c r="I2676" s="44">
        <v>44176</v>
      </c>
      <c r="J2676">
        <v>14.61</v>
      </c>
      <c r="K2676" s="22">
        <v>14.61</v>
      </c>
      <c r="L2676" s="22" t="s">
        <v>6369</v>
      </c>
      <c r="M2676" s="45" t="s">
        <v>98</v>
      </c>
      <c r="N2676" s="13" t="s">
        <v>230</v>
      </c>
      <c r="O2676" s="13" t="s">
        <v>288</v>
      </c>
      <c r="P2676" s="13" t="s">
        <v>60</v>
      </c>
      <c r="Q2676" s="13" t="s">
        <v>41</v>
      </c>
      <c r="R2676" s="38" t="s">
        <v>270</v>
      </c>
      <c r="S2676" s="38" t="s">
        <v>3067</v>
      </c>
      <c r="T2676" s="38" t="s">
        <v>3068</v>
      </c>
      <c r="U2676" s="38"/>
      <c r="V2676" s="38"/>
      <c r="W2676" s="38"/>
      <c r="X2676" s="14"/>
      <c r="AM2676" s="1"/>
      <c r="AN2676" s="7" t="s">
        <v>70</v>
      </c>
      <c r="AO2676" s="21">
        <f t="shared" si="131"/>
        <v>0</v>
      </c>
      <c r="AP2676" s="7">
        <f t="shared" si="132"/>
        <v>14.61</v>
      </c>
      <c r="AQ2676" s="31" t="str">
        <f t="shared" si="133"/>
        <v>Complete - No Adjustment</v>
      </c>
    </row>
    <row r="2677" spans="1:43" x14ac:dyDescent="0.2">
      <c r="A2677" s="46">
        <v>2667</v>
      </c>
      <c r="B2677" s="38" t="s">
        <v>266</v>
      </c>
      <c r="C2677" s="38" t="s">
        <v>77</v>
      </c>
      <c r="D2677" s="38" t="s">
        <v>100</v>
      </c>
      <c r="E2677" s="38" t="s">
        <v>6370</v>
      </c>
      <c r="F2677" s="38" t="s">
        <v>6299</v>
      </c>
      <c r="G2677" s="38" t="s">
        <v>111</v>
      </c>
      <c r="H2677" s="44">
        <v>44172</v>
      </c>
      <c r="I2677" s="44">
        <v>44174</v>
      </c>
      <c r="J2677">
        <v>933</v>
      </c>
      <c r="K2677" s="22">
        <v>933</v>
      </c>
      <c r="L2677" s="22" t="s">
        <v>6371</v>
      </c>
      <c r="M2677" s="45" t="s">
        <v>98</v>
      </c>
      <c r="N2677" s="13" t="s">
        <v>230</v>
      </c>
      <c r="O2677" s="13" t="s">
        <v>78</v>
      </c>
      <c r="P2677" s="13" t="s">
        <v>60</v>
      </c>
      <c r="Q2677" s="13" t="s">
        <v>62</v>
      </c>
      <c r="R2677" s="38" t="s">
        <v>270</v>
      </c>
      <c r="S2677" s="38" t="s">
        <v>6372</v>
      </c>
      <c r="T2677" s="38" t="s">
        <v>6373</v>
      </c>
      <c r="U2677" s="38"/>
      <c r="V2677" s="38"/>
      <c r="W2677" s="38"/>
      <c r="X2677" s="14"/>
      <c r="AL2677" s="14">
        <v>933</v>
      </c>
      <c r="AM2677" s="1"/>
      <c r="AN2677" s="7" t="s">
        <v>70</v>
      </c>
      <c r="AO2677" s="21">
        <f t="shared" si="131"/>
        <v>933</v>
      </c>
      <c r="AP2677" s="7">
        <f t="shared" si="132"/>
        <v>0</v>
      </c>
      <c r="AQ2677" s="31" t="str">
        <f t="shared" si="133"/>
        <v>Complete - With Adjustment</v>
      </c>
    </row>
    <row r="2678" spans="1:43" x14ac:dyDescent="0.2">
      <c r="A2678" s="46">
        <v>2668</v>
      </c>
      <c r="B2678" s="38" t="s">
        <v>266</v>
      </c>
      <c r="C2678" s="38" t="s">
        <v>325</v>
      </c>
      <c r="D2678" s="38" t="s">
        <v>324</v>
      </c>
      <c r="E2678" s="38" t="s">
        <v>6374</v>
      </c>
      <c r="F2678" s="38" t="s">
        <v>6284</v>
      </c>
      <c r="G2678" s="38" t="s">
        <v>111</v>
      </c>
      <c r="H2678" s="44">
        <v>44182</v>
      </c>
      <c r="I2678" s="44">
        <v>44183</v>
      </c>
      <c r="J2678">
        <v>19.309999999999999</v>
      </c>
      <c r="K2678" s="22">
        <v>19.309999999999999</v>
      </c>
      <c r="L2678" s="22" t="s">
        <v>6375</v>
      </c>
      <c r="M2678" s="45" t="s">
        <v>98</v>
      </c>
      <c r="N2678" s="13" t="s">
        <v>230</v>
      </c>
      <c r="O2678" s="13" t="s">
        <v>288</v>
      </c>
      <c r="P2678" s="13" t="s">
        <v>60</v>
      </c>
      <c r="Q2678" s="13" t="s">
        <v>41</v>
      </c>
      <c r="R2678" s="38" t="s">
        <v>270</v>
      </c>
      <c r="S2678" s="38" t="s">
        <v>6376</v>
      </c>
      <c r="T2678" s="38" t="s">
        <v>6377</v>
      </c>
      <c r="U2678" s="38"/>
      <c r="V2678" s="38"/>
      <c r="W2678" s="38"/>
      <c r="X2678" s="14"/>
      <c r="AM2678" s="1"/>
      <c r="AN2678" s="7" t="s">
        <v>70</v>
      </c>
      <c r="AO2678" s="21">
        <f t="shared" si="131"/>
        <v>0</v>
      </c>
      <c r="AP2678" s="7">
        <f t="shared" si="132"/>
        <v>19.309999999999999</v>
      </c>
      <c r="AQ2678" s="31" t="str">
        <f t="shared" si="133"/>
        <v>Complete - No Adjustment</v>
      </c>
    </row>
    <row r="2679" spans="1:43" x14ac:dyDescent="0.2">
      <c r="A2679" s="46">
        <v>2669</v>
      </c>
      <c r="B2679" s="38" t="s">
        <v>266</v>
      </c>
      <c r="C2679" s="38" t="s">
        <v>325</v>
      </c>
      <c r="D2679" s="38" t="s">
        <v>324</v>
      </c>
      <c r="E2679" s="38" t="s">
        <v>6378</v>
      </c>
      <c r="F2679" s="38" t="s">
        <v>6379</v>
      </c>
      <c r="G2679" s="38" t="s">
        <v>111</v>
      </c>
      <c r="H2679" s="44">
        <v>44169</v>
      </c>
      <c r="I2679" s="44">
        <v>44173</v>
      </c>
      <c r="J2679">
        <v>39.19</v>
      </c>
      <c r="K2679" s="22">
        <v>19.309999999999999</v>
      </c>
      <c r="L2679" s="22" t="s">
        <v>6380</v>
      </c>
      <c r="M2679" s="45" t="s">
        <v>98</v>
      </c>
      <c r="N2679" s="13" t="s">
        <v>230</v>
      </c>
      <c r="O2679" s="13" t="s">
        <v>288</v>
      </c>
      <c r="P2679" s="13" t="s">
        <v>60</v>
      </c>
      <c r="Q2679" s="13" t="s">
        <v>41</v>
      </c>
      <c r="R2679" s="38" t="s">
        <v>270</v>
      </c>
      <c r="S2679" s="38" t="s">
        <v>6381</v>
      </c>
      <c r="T2679" s="38" t="s">
        <v>6382</v>
      </c>
      <c r="U2679" s="38"/>
      <c r="V2679" s="38"/>
      <c r="W2679" s="38"/>
      <c r="X2679" s="14"/>
      <c r="AL2679" s="14">
        <v>19.309999999999999</v>
      </c>
      <c r="AM2679" s="1"/>
      <c r="AN2679" s="7" t="s">
        <v>70</v>
      </c>
      <c r="AO2679" s="21">
        <f t="shared" si="131"/>
        <v>19.309999999999999</v>
      </c>
      <c r="AP2679" s="7">
        <f t="shared" si="132"/>
        <v>0</v>
      </c>
      <c r="AQ2679" s="31" t="str">
        <f t="shared" si="133"/>
        <v>Complete - With Adjustment</v>
      </c>
    </row>
    <row r="2680" spans="1:43" x14ac:dyDescent="0.2">
      <c r="A2680" s="46">
        <v>2670</v>
      </c>
      <c r="B2680" s="38" t="s">
        <v>266</v>
      </c>
      <c r="C2680" s="38" t="s">
        <v>325</v>
      </c>
      <c r="D2680" s="38" t="s">
        <v>324</v>
      </c>
      <c r="E2680" s="38" t="s">
        <v>6378</v>
      </c>
      <c r="F2680" s="38" t="s">
        <v>6379</v>
      </c>
      <c r="G2680" s="38" t="s">
        <v>111</v>
      </c>
      <c r="H2680" s="44">
        <v>44169</v>
      </c>
      <c r="I2680" s="44">
        <v>44173</v>
      </c>
      <c r="J2680">
        <v>39.19</v>
      </c>
      <c r="K2680" s="22">
        <v>19.88</v>
      </c>
      <c r="L2680" s="22" t="s">
        <v>6380</v>
      </c>
      <c r="M2680" s="45" t="s">
        <v>98</v>
      </c>
      <c r="N2680" s="13" t="s">
        <v>230</v>
      </c>
      <c r="O2680" s="13" t="s">
        <v>288</v>
      </c>
      <c r="P2680" s="13" t="s">
        <v>60</v>
      </c>
      <c r="Q2680" s="13" t="s">
        <v>41</v>
      </c>
      <c r="R2680" s="38" t="s">
        <v>270</v>
      </c>
      <c r="S2680" s="38" t="s">
        <v>6381</v>
      </c>
      <c r="T2680" s="38" t="s">
        <v>6383</v>
      </c>
      <c r="U2680" s="38"/>
      <c r="V2680" s="38"/>
      <c r="W2680" s="38"/>
      <c r="X2680" s="14"/>
      <c r="AM2680" s="1"/>
      <c r="AN2680" s="7" t="s">
        <v>70</v>
      </c>
      <c r="AO2680" s="21">
        <f t="shared" si="131"/>
        <v>0</v>
      </c>
      <c r="AP2680" s="7">
        <f t="shared" si="132"/>
        <v>19.88</v>
      </c>
      <c r="AQ2680" s="31" t="str">
        <f t="shared" si="133"/>
        <v>Complete - No Adjustment</v>
      </c>
    </row>
    <row r="2681" spans="1:43" x14ac:dyDescent="0.2">
      <c r="A2681" s="46">
        <v>2671</v>
      </c>
      <c r="B2681" s="38" t="s">
        <v>266</v>
      </c>
      <c r="C2681" s="38" t="s">
        <v>325</v>
      </c>
      <c r="D2681" s="38" t="s">
        <v>324</v>
      </c>
      <c r="E2681" s="38" t="s">
        <v>6384</v>
      </c>
      <c r="F2681" s="38" t="s">
        <v>6324</v>
      </c>
      <c r="G2681" s="38" t="s">
        <v>111</v>
      </c>
      <c r="H2681" s="44">
        <v>44155</v>
      </c>
      <c r="I2681" s="44">
        <v>44168</v>
      </c>
      <c r="J2681">
        <v>70.03</v>
      </c>
      <c r="K2681" s="22">
        <v>16.71</v>
      </c>
      <c r="L2681" s="22" t="s">
        <v>6385</v>
      </c>
      <c r="M2681" s="45" t="s">
        <v>98</v>
      </c>
      <c r="N2681" s="13" t="s">
        <v>230</v>
      </c>
      <c r="O2681" s="13" t="s">
        <v>288</v>
      </c>
      <c r="P2681" s="13" t="s">
        <v>60</v>
      </c>
      <c r="Q2681" s="13" t="s">
        <v>41</v>
      </c>
      <c r="R2681" s="38" t="s">
        <v>270</v>
      </c>
      <c r="S2681" s="38" t="s">
        <v>6386</v>
      </c>
      <c r="T2681" s="38" t="s">
        <v>6387</v>
      </c>
      <c r="U2681" s="38"/>
      <c r="V2681" s="38"/>
      <c r="W2681" s="38"/>
      <c r="X2681" s="14"/>
      <c r="AC2681" s="53">
        <v>2</v>
      </c>
      <c r="AL2681" s="14">
        <v>16.71</v>
      </c>
      <c r="AM2681" s="1"/>
      <c r="AN2681" s="7" t="s">
        <v>6388</v>
      </c>
      <c r="AO2681" s="21">
        <f t="shared" si="131"/>
        <v>18.71</v>
      </c>
      <c r="AP2681" s="7">
        <f t="shared" si="132"/>
        <v>-2</v>
      </c>
      <c r="AQ2681" s="31" t="str">
        <f t="shared" si="133"/>
        <v>Complete - With Adjustment</v>
      </c>
    </row>
    <row r="2682" spans="1:43" x14ac:dyDescent="0.2">
      <c r="A2682" s="46">
        <v>2672</v>
      </c>
      <c r="B2682" s="38" t="s">
        <v>266</v>
      </c>
      <c r="C2682" s="38" t="s">
        <v>325</v>
      </c>
      <c r="D2682" s="38" t="s">
        <v>324</v>
      </c>
      <c r="E2682" s="38" t="s">
        <v>6384</v>
      </c>
      <c r="F2682" s="38" t="s">
        <v>6324</v>
      </c>
      <c r="G2682" s="38" t="s">
        <v>111</v>
      </c>
      <c r="H2682" s="44">
        <v>44155</v>
      </c>
      <c r="I2682" s="44">
        <v>44168</v>
      </c>
      <c r="J2682">
        <v>70.03</v>
      </c>
      <c r="K2682" s="22">
        <v>19.309999999999999</v>
      </c>
      <c r="L2682" s="22" t="s">
        <v>6385</v>
      </c>
      <c r="M2682" s="45" t="s">
        <v>98</v>
      </c>
      <c r="N2682" s="13" t="s">
        <v>230</v>
      </c>
      <c r="O2682" s="13" t="s">
        <v>288</v>
      </c>
      <c r="P2682" s="13" t="s">
        <v>60</v>
      </c>
      <c r="Q2682" s="13" t="s">
        <v>41</v>
      </c>
      <c r="R2682" s="38" t="s">
        <v>270</v>
      </c>
      <c r="S2682" s="38" t="s">
        <v>6386</v>
      </c>
      <c r="T2682" s="38" t="s">
        <v>6389</v>
      </c>
      <c r="U2682" s="38"/>
      <c r="V2682" s="38"/>
      <c r="W2682" s="38"/>
      <c r="X2682" s="14"/>
      <c r="AL2682" s="14">
        <v>19.309999999999999</v>
      </c>
      <c r="AM2682" s="1"/>
      <c r="AN2682" s="7" t="s">
        <v>70</v>
      </c>
      <c r="AO2682" s="21">
        <f t="shared" si="131"/>
        <v>19.309999999999999</v>
      </c>
      <c r="AP2682" s="7">
        <f t="shared" si="132"/>
        <v>0</v>
      </c>
      <c r="AQ2682" s="31" t="str">
        <f t="shared" si="133"/>
        <v>Complete - With Adjustment</v>
      </c>
    </row>
    <row r="2683" spans="1:43" x14ac:dyDescent="0.2">
      <c r="A2683" s="46">
        <v>2673</v>
      </c>
      <c r="B2683" s="38" t="s">
        <v>266</v>
      </c>
      <c r="C2683" s="38" t="s">
        <v>325</v>
      </c>
      <c r="D2683" s="38" t="s">
        <v>324</v>
      </c>
      <c r="E2683" s="38" t="s">
        <v>6384</v>
      </c>
      <c r="F2683" s="38" t="s">
        <v>6324</v>
      </c>
      <c r="G2683" s="38" t="s">
        <v>111</v>
      </c>
      <c r="H2683" s="44">
        <v>44155</v>
      </c>
      <c r="I2683" s="44">
        <v>44168</v>
      </c>
      <c r="J2683">
        <v>70.03</v>
      </c>
      <c r="K2683" s="22">
        <v>19.309999999999999</v>
      </c>
      <c r="L2683" s="22" t="s">
        <v>6385</v>
      </c>
      <c r="M2683" s="45" t="s">
        <v>98</v>
      </c>
      <c r="N2683" s="13" t="s">
        <v>230</v>
      </c>
      <c r="O2683" s="13" t="s">
        <v>288</v>
      </c>
      <c r="P2683" s="13" t="s">
        <v>60</v>
      </c>
      <c r="Q2683" s="13" t="s">
        <v>41</v>
      </c>
      <c r="R2683" s="38" t="s">
        <v>270</v>
      </c>
      <c r="S2683" s="38" t="s">
        <v>6386</v>
      </c>
      <c r="T2683" s="38" t="s">
        <v>6390</v>
      </c>
      <c r="U2683" s="38"/>
      <c r="V2683" s="38"/>
      <c r="W2683" s="38"/>
      <c r="X2683" s="14"/>
      <c r="AL2683" s="14">
        <v>19.309999999999999</v>
      </c>
      <c r="AM2683" s="1"/>
      <c r="AN2683" s="7" t="s">
        <v>70</v>
      </c>
      <c r="AO2683" s="21">
        <f t="shared" si="131"/>
        <v>19.309999999999999</v>
      </c>
      <c r="AP2683" s="7">
        <f t="shared" si="132"/>
        <v>0</v>
      </c>
      <c r="AQ2683" s="31" t="str">
        <f t="shared" si="133"/>
        <v>Complete - With Adjustment</v>
      </c>
    </row>
    <row r="2684" spans="1:43" x14ac:dyDescent="0.2">
      <c r="A2684" s="46">
        <v>2674</v>
      </c>
      <c r="B2684" s="38" t="s">
        <v>266</v>
      </c>
      <c r="C2684" s="38" t="s">
        <v>325</v>
      </c>
      <c r="D2684" s="38" t="s">
        <v>324</v>
      </c>
      <c r="E2684" s="38" t="s">
        <v>6384</v>
      </c>
      <c r="F2684" s="38" t="s">
        <v>6324</v>
      </c>
      <c r="G2684" s="38" t="s">
        <v>111</v>
      </c>
      <c r="H2684" s="44">
        <v>44155</v>
      </c>
      <c r="I2684" s="44">
        <v>44168</v>
      </c>
      <c r="J2684">
        <v>70.03</v>
      </c>
      <c r="K2684" s="22">
        <v>14.7</v>
      </c>
      <c r="L2684" s="22" t="s">
        <v>6385</v>
      </c>
      <c r="M2684" s="45" t="s">
        <v>98</v>
      </c>
      <c r="N2684" s="13" t="s">
        <v>230</v>
      </c>
      <c r="O2684" s="13" t="s">
        <v>288</v>
      </c>
      <c r="P2684" s="13" t="s">
        <v>60</v>
      </c>
      <c r="Q2684" s="13" t="s">
        <v>41</v>
      </c>
      <c r="R2684" s="38" t="s">
        <v>270</v>
      </c>
      <c r="S2684" s="38" t="s">
        <v>6386</v>
      </c>
      <c r="T2684" s="38" t="s">
        <v>6391</v>
      </c>
      <c r="U2684" s="38"/>
      <c r="V2684" s="38"/>
      <c r="W2684" s="38"/>
      <c r="X2684" s="14"/>
      <c r="AL2684" s="14">
        <v>14.7</v>
      </c>
      <c r="AM2684" s="1"/>
      <c r="AN2684" s="7" t="s">
        <v>70</v>
      </c>
      <c r="AO2684" s="21">
        <f t="shared" si="131"/>
        <v>14.7</v>
      </c>
      <c r="AP2684" s="7">
        <f t="shared" si="132"/>
        <v>0</v>
      </c>
      <c r="AQ2684" s="31" t="str">
        <f t="shared" si="133"/>
        <v>Complete - With Adjustment</v>
      </c>
    </row>
    <row r="2685" spans="1:43" x14ac:dyDescent="0.2">
      <c r="A2685" s="46">
        <v>2675</v>
      </c>
      <c r="B2685" s="38" t="s">
        <v>266</v>
      </c>
      <c r="C2685" s="38" t="s">
        <v>242</v>
      </c>
      <c r="D2685" s="38" t="s">
        <v>241</v>
      </c>
      <c r="E2685" s="38" t="s">
        <v>6392</v>
      </c>
      <c r="F2685" s="38" t="s">
        <v>6393</v>
      </c>
      <c r="G2685" s="38" t="s">
        <v>111</v>
      </c>
      <c r="H2685" s="44">
        <v>44186</v>
      </c>
      <c r="I2685" s="44">
        <v>44188</v>
      </c>
      <c r="J2685">
        <v>85.52</v>
      </c>
      <c r="K2685" s="22">
        <v>85.52</v>
      </c>
      <c r="L2685" s="22" t="s">
        <v>6394</v>
      </c>
      <c r="M2685" s="45" t="s">
        <v>98</v>
      </c>
      <c r="N2685" s="13" t="s">
        <v>230</v>
      </c>
      <c r="O2685" s="13" t="s">
        <v>287</v>
      </c>
      <c r="P2685" s="13" t="s">
        <v>60</v>
      </c>
      <c r="Q2685" s="13" t="s">
        <v>75</v>
      </c>
      <c r="R2685" s="38" t="s">
        <v>270</v>
      </c>
      <c r="S2685" s="38" t="s">
        <v>6395</v>
      </c>
      <c r="T2685" s="38" t="s">
        <v>6396</v>
      </c>
      <c r="U2685" s="38"/>
      <c r="V2685" s="38"/>
      <c r="W2685" s="38"/>
      <c r="X2685" s="14"/>
      <c r="AM2685" s="1"/>
      <c r="AN2685" s="7" t="s">
        <v>70</v>
      </c>
      <c r="AO2685" s="21">
        <f t="shared" si="131"/>
        <v>0</v>
      </c>
      <c r="AP2685" s="7">
        <f t="shared" si="132"/>
        <v>85.52</v>
      </c>
      <c r="AQ2685" s="31" t="str">
        <f t="shared" si="133"/>
        <v>Complete - No Adjustment</v>
      </c>
    </row>
    <row r="2686" spans="1:43" x14ac:dyDescent="0.2">
      <c r="A2686" s="46">
        <v>2676</v>
      </c>
      <c r="B2686" s="38" t="s">
        <v>266</v>
      </c>
      <c r="C2686" s="38" t="s">
        <v>328</v>
      </c>
      <c r="D2686" s="38" t="s">
        <v>327</v>
      </c>
      <c r="E2686" s="38" t="s">
        <v>6397</v>
      </c>
      <c r="F2686" s="38" t="s">
        <v>6366</v>
      </c>
      <c r="G2686" s="38" t="s">
        <v>111</v>
      </c>
      <c r="H2686" s="44">
        <v>44155</v>
      </c>
      <c r="I2686" s="44">
        <v>44172</v>
      </c>
      <c r="J2686">
        <v>118.28</v>
      </c>
      <c r="K2686" s="22">
        <v>118.28</v>
      </c>
      <c r="L2686" s="22" t="s">
        <v>6398</v>
      </c>
      <c r="M2686" s="45" t="s">
        <v>98</v>
      </c>
      <c r="N2686" s="13" t="s">
        <v>230</v>
      </c>
      <c r="O2686" s="13" t="s">
        <v>281</v>
      </c>
      <c r="P2686" s="13" t="s">
        <v>60</v>
      </c>
      <c r="Q2686" s="13" t="s">
        <v>104</v>
      </c>
      <c r="R2686" s="38" t="s">
        <v>270</v>
      </c>
      <c r="S2686" s="38" t="s">
        <v>6399</v>
      </c>
      <c r="T2686" s="38" t="s">
        <v>6400</v>
      </c>
      <c r="U2686" s="38"/>
      <c r="V2686" s="38"/>
      <c r="W2686" s="38"/>
      <c r="X2686" s="14"/>
      <c r="AM2686" s="1"/>
      <c r="AN2686" s="7" t="s">
        <v>70</v>
      </c>
      <c r="AO2686" s="21">
        <f t="shared" si="131"/>
        <v>0</v>
      </c>
      <c r="AP2686" s="7">
        <f t="shared" si="132"/>
        <v>118.28</v>
      </c>
      <c r="AQ2686" s="31" t="str">
        <f t="shared" si="133"/>
        <v>Complete - No Adjustment</v>
      </c>
    </row>
    <row r="2687" spans="1:43" x14ac:dyDescent="0.2">
      <c r="A2687" s="46">
        <v>2677</v>
      </c>
      <c r="B2687" s="38" t="s">
        <v>266</v>
      </c>
      <c r="C2687" s="38" t="s">
        <v>336</v>
      </c>
      <c r="D2687" s="38" t="s">
        <v>335</v>
      </c>
      <c r="E2687" s="38" t="s">
        <v>6401</v>
      </c>
      <c r="F2687" s="38" t="s">
        <v>6295</v>
      </c>
      <c r="G2687" s="38" t="s">
        <v>111</v>
      </c>
      <c r="H2687" s="44">
        <v>44123</v>
      </c>
      <c r="I2687" s="44">
        <v>44166</v>
      </c>
      <c r="J2687">
        <v>72.91</v>
      </c>
      <c r="K2687" s="22">
        <v>25</v>
      </c>
      <c r="L2687" s="22" t="s">
        <v>6402</v>
      </c>
      <c r="M2687" s="45" t="s">
        <v>98</v>
      </c>
      <c r="N2687" s="13" t="s">
        <v>230</v>
      </c>
      <c r="O2687" s="13" t="s">
        <v>271</v>
      </c>
      <c r="P2687" s="13" t="s">
        <v>60</v>
      </c>
      <c r="Q2687" s="13" t="s">
        <v>123</v>
      </c>
      <c r="R2687" s="38" t="s">
        <v>270</v>
      </c>
      <c r="S2687" s="38" t="s">
        <v>6403</v>
      </c>
      <c r="T2687" s="38" t="s">
        <v>6404</v>
      </c>
      <c r="U2687" s="38"/>
      <c r="V2687" s="38"/>
      <c r="W2687" s="38"/>
      <c r="X2687" s="14"/>
      <c r="AM2687" s="1"/>
      <c r="AN2687" s="7" t="s">
        <v>70</v>
      </c>
      <c r="AO2687" s="21">
        <f t="shared" si="131"/>
        <v>0</v>
      </c>
      <c r="AP2687" s="7">
        <f t="shared" si="132"/>
        <v>25</v>
      </c>
      <c r="AQ2687" s="31" t="str">
        <f t="shared" si="133"/>
        <v>Complete - No Adjustment</v>
      </c>
    </row>
    <row r="2688" spans="1:43" x14ac:dyDescent="0.2">
      <c r="A2688" s="46">
        <v>2678</v>
      </c>
      <c r="B2688" s="38" t="s">
        <v>266</v>
      </c>
      <c r="C2688" s="38" t="s">
        <v>336</v>
      </c>
      <c r="D2688" s="38" t="s">
        <v>335</v>
      </c>
      <c r="E2688" s="38" t="s">
        <v>6401</v>
      </c>
      <c r="F2688" s="38" t="s">
        <v>6295</v>
      </c>
      <c r="G2688" s="38" t="s">
        <v>111</v>
      </c>
      <c r="H2688" s="44">
        <v>44123</v>
      </c>
      <c r="I2688" s="44">
        <v>44166</v>
      </c>
      <c r="J2688">
        <v>72.91</v>
      </c>
      <c r="K2688" s="22">
        <v>2.99</v>
      </c>
      <c r="L2688" s="22" t="s">
        <v>6402</v>
      </c>
      <c r="M2688" s="45" t="s">
        <v>98</v>
      </c>
      <c r="N2688" s="13" t="s">
        <v>230</v>
      </c>
      <c r="O2688" s="13" t="s">
        <v>271</v>
      </c>
      <c r="P2688" s="13" t="s">
        <v>60</v>
      </c>
      <c r="Q2688" s="13" t="s">
        <v>65</v>
      </c>
      <c r="R2688" s="38" t="s">
        <v>270</v>
      </c>
      <c r="S2688" s="38" t="s">
        <v>6403</v>
      </c>
      <c r="T2688" s="38" t="s">
        <v>6405</v>
      </c>
      <c r="U2688" s="38"/>
      <c r="V2688" s="38"/>
      <c r="W2688" s="38"/>
      <c r="X2688" s="14"/>
      <c r="AM2688" s="1"/>
      <c r="AN2688" s="7" t="s">
        <v>70</v>
      </c>
      <c r="AO2688" s="21">
        <f t="shared" si="131"/>
        <v>0</v>
      </c>
      <c r="AP2688" s="7">
        <f t="shared" si="132"/>
        <v>2.99</v>
      </c>
      <c r="AQ2688" s="31" t="str">
        <f t="shared" si="133"/>
        <v>Complete - No Adjustment</v>
      </c>
    </row>
    <row r="2689" spans="1:43" x14ac:dyDescent="0.2">
      <c r="A2689" s="46">
        <v>2679</v>
      </c>
      <c r="B2689" s="38" t="s">
        <v>266</v>
      </c>
      <c r="C2689" s="38" t="s">
        <v>336</v>
      </c>
      <c r="D2689" s="38" t="s">
        <v>335</v>
      </c>
      <c r="E2689" s="38" t="s">
        <v>6401</v>
      </c>
      <c r="F2689" s="38" t="s">
        <v>6295</v>
      </c>
      <c r="G2689" s="38" t="s">
        <v>111</v>
      </c>
      <c r="H2689" s="44">
        <v>44123</v>
      </c>
      <c r="I2689" s="44">
        <v>44166</v>
      </c>
      <c r="J2689">
        <v>72.91</v>
      </c>
      <c r="K2689" s="22">
        <v>2.99</v>
      </c>
      <c r="L2689" s="22" t="s">
        <v>6402</v>
      </c>
      <c r="M2689" s="45" t="s">
        <v>98</v>
      </c>
      <c r="N2689" s="13" t="s">
        <v>230</v>
      </c>
      <c r="O2689" s="13" t="s">
        <v>271</v>
      </c>
      <c r="P2689" s="13" t="s">
        <v>60</v>
      </c>
      <c r="Q2689" s="13" t="s">
        <v>65</v>
      </c>
      <c r="R2689" s="38" t="s">
        <v>270</v>
      </c>
      <c r="S2689" s="38" t="s">
        <v>6403</v>
      </c>
      <c r="T2689" s="38" t="s">
        <v>6406</v>
      </c>
      <c r="U2689" s="38"/>
      <c r="V2689" s="38"/>
      <c r="W2689" s="38"/>
      <c r="X2689" s="14"/>
      <c r="AM2689" s="1"/>
      <c r="AN2689" s="7" t="s">
        <v>70</v>
      </c>
      <c r="AO2689" s="21">
        <f t="shared" si="131"/>
        <v>0</v>
      </c>
      <c r="AP2689" s="7">
        <f t="shared" si="132"/>
        <v>2.99</v>
      </c>
      <c r="AQ2689" s="31" t="str">
        <f t="shared" si="133"/>
        <v>Complete - No Adjustment</v>
      </c>
    </row>
    <row r="2690" spans="1:43" x14ac:dyDescent="0.2">
      <c r="A2690" s="46">
        <v>2680</v>
      </c>
      <c r="B2690" s="38" t="s">
        <v>266</v>
      </c>
      <c r="C2690" s="38" t="s">
        <v>336</v>
      </c>
      <c r="D2690" s="38" t="s">
        <v>335</v>
      </c>
      <c r="E2690" s="38" t="s">
        <v>6401</v>
      </c>
      <c r="F2690" s="38" t="s">
        <v>6295</v>
      </c>
      <c r="G2690" s="38" t="s">
        <v>111</v>
      </c>
      <c r="H2690" s="44">
        <v>44123</v>
      </c>
      <c r="I2690" s="44">
        <v>44166</v>
      </c>
      <c r="J2690">
        <v>72.91</v>
      </c>
      <c r="K2690" s="22">
        <v>41.93</v>
      </c>
      <c r="L2690" s="22" t="s">
        <v>6402</v>
      </c>
      <c r="M2690" s="45" t="s">
        <v>98</v>
      </c>
      <c r="N2690" s="13" t="s">
        <v>230</v>
      </c>
      <c r="O2690" s="13" t="s">
        <v>271</v>
      </c>
      <c r="P2690" s="13" t="s">
        <v>60</v>
      </c>
      <c r="Q2690" s="13" t="s">
        <v>46</v>
      </c>
      <c r="R2690" s="38" t="s">
        <v>270</v>
      </c>
      <c r="S2690" s="38" t="s">
        <v>6403</v>
      </c>
      <c r="T2690" s="38" t="s">
        <v>6407</v>
      </c>
      <c r="U2690" s="38"/>
      <c r="V2690" s="38"/>
      <c r="W2690" s="38"/>
      <c r="X2690" s="14"/>
      <c r="AM2690" s="1"/>
      <c r="AN2690" s="7" t="s">
        <v>70</v>
      </c>
      <c r="AO2690" s="21">
        <f t="shared" si="131"/>
        <v>0</v>
      </c>
      <c r="AP2690" s="7">
        <f t="shared" si="132"/>
        <v>41.93</v>
      </c>
      <c r="AQ2690" s="31" t="str">
        <f t="shared" si="133"/>
        <v>Complete - No Adjustment</v>
      </c>
    </row>
    <row r="2691" spans="1:43" x14ac:dyDescent="0.2">
      <c r="A2691" s="46">
        <v>2681</v>
      </c>
      <c r="B2691" s="38" t="s">
        <v>266</v>
      </c>
      <c r="C2691" s="38" t="s">
        <v>780</v>
      </c>
      <c r="D2691" s="38" t="s">
        <v>798</v>
      </c>
      <c r="E2691" s="38" t="s">
        <v>6408</v>
      </c>
      <c r="F2691" s="38" t="s">
        <v>6409</v>
      </c>
      <c r="G2691" s="38" t="s">
        <v>111</v>
      </c>
      <c r="H2691" s="44">
        <v>44172</v>
      </c>
      <c r="I2691" s="44">
        <v>44175</v>
      </c>
      <c r="J2691">
        <v>22.92</v>
      </c>
      <c r="K2691" s="22">
        <v>22.92</v>
      </c>
      <c r="L2691" s="22" t="s">
        <v>6410</v>
      </c>
      <c r="M2691" s="45" t="s">
        <v>98</v>
      </c>
      <c r="N2691" s="13" t="s">
        <v>230</v>
      </c>
      <c r="O2691" s="13" t="s">
        <v>288</v>
      </c>
      <c r="P2691" s="13" t="s">
        <v>60</v>
      </c>
      <c r="Q2691" s="13" t="s">
        <v>41</v>
      </c>
      <c r="R2691" s="38" t="s">
        <v>270</v>
      </c>
      <c r="S2691" s="38" t="s">
        <v>6008</v>
      </c>
      <c r="T2691" s="38" t="s">
        <v>6009</v>
      </c>
      <c r="U2691" s="38"/>
      <c r="V2691" s="38"/>
      <c r="W2691" s="38"/>
      <c r="X2691" s="14"/>
      <c r="AM2691" s="1"/>
      <c r="AN2691" s="7" t="s">
        <v>70</v>
      </c>
      <c r="AO2691" s="21">
        <f t="shared" si="131"/>
        <v>0</v>
      </c>
      <c r="AP2691" s="7">
        <f t="shared" si="132"/>
        <v>22.92</v>
      </c>
      <c r="AQ2691" s="31" t="str">
        <f t="shared" si="133"/>
        <v>Complete - No Adjustment</v>
      </c>
    </row>
    <row r="2692" spans="1:43" x14ac:dyDescent="0.2">
      <c r="A2692" s="46">
        <v>2682</v>
      </c>
      <c r="B2692" s="38" t="s">
        <v>266</v>
      </c>
      <c r="C2692" s="38" t="s">
        <v>780</v>
      </c>
      <c r="D2692" s="38" t="s">
        <v>798</v>
      </c>
      <c r="E2692" s="38" t="s">
        <v>6411</v>
      </c>
      <c r="F2692" s="38" t="s">
        <v>6284</v>
      </c>
      <c r="G2692" s="38" t="s">
        <v>111</v>
      </c>
      <c r="H2692" s="44">
        <v>44181</v>
      </c>
      <c r="I2692" s="44">
        <v>44183</v>
      </c>
      <c r="J2692">
        <v>25.79</v>
      </c>
      <c r="K2692" s="22">
        <v>25.79</v>
      </c>
      <c r="L2692" s="22" t="s">
        <v>6412</v>
      </c>
      <c r="M2692" s="45" t="s">
        <v>98</v>
      </c>
      <c r="N2692" s="13" t="s">
        <v>230</v>
      </c>
      <c r="O2692" s="13" t="s">
        <v>288</v>
      </c>
      <c r="P2692" s="13" t="s">
        <v>60</v>
      </c>
      <c r="Q2692" s="13" t="s">
        <v>41</v>
      </c>
      <c r="R2692" s="38" t="s">
        <v>270</v>
      </c>
      <c r="S2692" s="38" t="s">
        <v>6413</v>
      </c>
      <c r="T2692" s="38" t="s">
        <v>6414</v>
      </c>
      <c r="U2692" s="38"/>
      <c r="V2692" s="38"/>
      <c r="W2692" s="38"/>
      <c r="X2692" s="14"/>
      <c r="AC2692" s="53">
        <v>3.36</v>
      </c>
      <c r="AM2692" s="1"/>
      <c r="AN2692" s="7" t="s">
        <v>67</v>
      </c>
      <c r="AO2692" s="21">
        <f t="shared" si="131"/>
        <v>3.36</v>
      </c>
      <c r="AP2692" s="7">
        <f t="shared" si="132"/>
        <v>22.43</v>
      </c>
      <c r="AQ2692" s="31" t="str">
        <f t="shared" si="133"/>
        <v>Complete - With Adjustment</v>
      </c>
    </row>
    <row r="2693" spans="1:43" x14ac:dyDescent="0.2">
      <c r="A2693" s="46">
        <v>2683</v>
      </c>
      <c r="B2693" s="38" t="s">
        <v>266</v>
      </c>
      <c r="C2693" s="38" t="s">
        <v>780</v>
      </c>
      <c r="D2693" s="38" t="s">
        <v>798</v>
      </c>
      <c r="E2693" s="38" t="s">
        <v>6415</v>
      </c>
      <c r="F2693" s="38" t="s">
        <v>6319</v>
      </c>
      <c r="G2693" s="38" t="s">
        <v>111</v>
      </c>
      <c r="H2693" s="44">
        <v>44174</v>
      </c>
      <c r="I2693" s="44">
        <v>44176</v>
      </c>
      <c r="J2693">
        <v>26.04</v>
      </c>
      <c r="K2693" s="22">
        <v>26.04</v>
      </c>
      <c r="L2693" s="22" t="s">
        <v>6416</v>
      </c>
      <c r="M2693" s="45" t="s">
        <v>98</v>
      </c>
      <c r="N2693" s="13" t="s">
        <v>230</v>
      </c>
      <c r="O2693" s="13" t="s">
        <v>288</v>
      </c>
      <c r="P2693" s="13" t="s">
        <v>60</v>
      </c>
      <c r="Q2693" s="13" t="s">
        <v>41</v>
      </c>
      <c r="R2693" s="38" t="s">
        <v>270</v>
      </c>
      <c r="S2693" s="38" t="s">
        <v>6008</v>
      </c>
      <c r="T2693" s="38" t="s">
        <v>6009</v>
      </c>
      <c r="U2693" s="38"/>
      <c r="V2693" s="38"/>
      <c r="W2693" s="38"/>
      <c r="X2693" s="14"/>
      <c r="AC2693" s="53">
        <v>2</v>
      </c>
      <c r="AM2693" s="1"/>
      <c r="AN2693" s="7" t="s">
        <v>67</v>
      </c>
      <c r="AO2693" s="21">
        <f t="shared" si="131"/>
        <v>2</v>
      </c>
      <c r="AP2693" s="7">
        <f t="shared" si="132"/>
        <v>24.04</v>
      </c>
      <c r="AQ2693" s="31" t="str">
        <f t="shared" si="133"/>
        <v>Complete - With Adjustment</v>
      </c>
    </row>
    <row r="2694" spans="1:43" x14ac:dyDescent="0.2">
      <c r="A2694" s="46">
        <v>2684</v>
      </c>
      <c r="B2694" s="38" t="s">
        <v>266</v>
      </c>
      <c r="C2694" s="38" t="s">
        <v>780</v>
      </c>
      <c r="D2694" s="38" t="s">
        <v>798</v>
      </c>
      <c r="E2694" s="38" t="s">
        <v>6417</v>
      </c>
      <c r="F2694" s="38" t="s">
        <v>6324</v>
      </c>
      <c r="G2694" s="38" t="s">
        <v>111</v>
      </c>
      <c r="H2694" s="44">
        <v>44155</v>
      </c>
      <c r="I2694" s="44">
        <v>44168</v>
      </c>
      <c r="J2694">
        <v>27.18</v>
      </c>
      <c r="K2694" s="22">
        <v>27.18</v>
      </c>
      <c r="L2694" s="22" t="s">
        <v>6418</v>
      </c>
      <c r="M2694" s="45" t="s">
        <v>98</v>
      </c>
      <c r="N2694" s="13" t="s">
        <v>230</v>
      </c>
      <c r="O2694" s="13" t="s">
        <v>288</v>
      </c>
      <c r="P2694" s="13" t="s">
        <v>60</v>
      </c>
      <c r="Q2694" s="13" t="s">
        <v>41</v>
      </c>
      <c r="R2694" s="38" t="s">
        <v>270</v>
      </c>
      <c r="S2694" s="38" t="s">
        <v>6008</v>
      </c>
      <c r="T2694" s="38" t="s">
        <v>6009</v>
      </c>
      <c r="U2694" s="38"/>
      <c r="V2694" s="38"/>
      <c r="W2694" s="38"/>
      <c r="X2694" s="14"/>
      <c r="AM2694" s="1"/>
      <c r="AN2694" s="7" t="s">
        <v>70</v>
      </c>
      <c r="AO2694" s="21">
        <f t="shared" ref="AO2694:AO2757" si="134">SUM(Y2694:AL2694)</f>
        <v>0</v>
      </c>
      <c r="AP2694" s="7">
        <f t="shared" ref="AP2694:AP2757" si="135">K2694-AO2694</f>
        <v>27.18</v>
      </c>
      <c r="AQ2694" s="31" t="str">
        <f t="shared" ref="AQ2694:AQ2757" si="136">IF(AO2694&lt;&gt;0,"Complete - With Adjustment","Complete - No Adjustment")</f>
        <v>Complete - No Adjustment</v>
      </c>
    </row>
    <row r="2695" spans="1:43" x14ac:dyDescent="0.2">
      <c r="A2695" s="46">
        <v>2685</v>
      </c>
      <c r="B2695" s="38" t="s">
        <v>266</v>
      </c>
      <c r="C2695" s="38" t="s">
        <v>349</v>
      </c>
      <c r="D2695" s="38" t="s">
        <v>348</v>
      </c>
      <c r="E2695" s="38" t="s">
        <v>6419</v>
      </c>
      <c r="F2695" s="38" t="s">
        <v>6299</v>
      </c>
      <c r="G2695" s="38" t="s">
        <v>111</v>
      </c>
      <c r="H2695" s="44">
        <v>44173</v>
      </c>
      <c r="I2695" s="44">
        <v>44174</v>
      </c>
      <c r="J2695">
        <v>200</v>
      </c>
      <c r="K2695" s="22">
        <v>200</v>
      </c>
      <c r="L2695" s="22" t="s">
        <v>6420</v>
      </c>
      <c r="M2695" s="45" t="s">
        <v>98</v>
      </c>
      <c r="N2695" s="13" t="s">
        <v>230</v>
      </c>
      <c r="O2695" s="13" t="s">
        <v>334</v>
      </c>
      <c r="P2695" s="13" t="s">
        <v>60</v>
      </c>
      <c r="Q2695" s="13" t="s">
        <v>119</v>
      </c>
      <c r="R2695" s="38" t="s">
        <v>270</v>
      </c>
      <c r="S2695" s="38" t="s">
        <v>6421</v>
      </c>
      <c r="T2695" s="38" t="s">
        <v>6422</v>
      </c>
      <c r="U2695" s="38"/>
      <c r="V2695" s="38"/>
      <c r="W2695" s="38"/>
      <c r="X2695" s="14"/>
      <c r="AM2695" s="1"/>
      <c r="AN2695" s="7" t="s">
        <v>70</v>
      </c>
      <c r="AO2695" s="21">
        <f t="shared" si="134"/>
        <v>0</v>
      </c>
      <c r="AP2695" s="7">
        <f t="shared" si="135"/>
        <v>200</v>
      </c>
      <c r="AQ2695" s="31" t="str">
        <f t="shared" si="136"/>
        <v>Complete - No Adjustment</v>
      </c>
    </row>
    <row r="2696" spans="1:43" x14ac:dyDescent="0.2">
      <c r="A2696" s="46">
        <v>2686</v>
      </c>
      <c r="B2696" s="38" t="s">
        <v>266</v>
      </c>
      <c r="C2696" s="38" t="s">
        <v>2318</v>
      </c>
      <c r="D2696" s="38" t="s">
        <v>2319</v>
      </c>
      <c r="E2696" s="38" t="s">
        <v>6423</v>
      </c>
      <c r="F2696" s="38" t="s">
        <v>6295</v>
      </c>
      <c r="G2696" s="38" t="s">
        <v>111</v>
      </c>
      <c r="H2696" s="44">
        <v>44153</v>
      </c>
      <c r="I2696" s="44">
        <v>44166</v>
      </c>
      <c r="J2696">
        <v>9.4</v>
      </c>
      <c r="K2696" s="22">
        <v>9.4</v>
      </c>
      <c r="L2696" s="22" t="s">
        <v>6424</v>
      </c>
      <c r="M2696" s="45" t="s">
        <v>98</v>
      </c>
      <c r="N2696" s="13" t="s">
        <v>230</v>
      </c>
      <c r="O2696" s="13" t="s">
        <v>484</v>
      </c>
      <c r="P2696" s="13" t="s">
        <v>60</v>
      </c>
      <c r="Q2696" s="13" t="s">
        <v>41</v>
      </c>
      <c r="R2696" s="38" t="s">
        <v>270</v>
      </c>
      <c r="S2696" s="38" t="s">
        <v>6425</v>
      </c>
      <c r="T2696" s="38" t="s">
        <v>6426</v>
      </c>
      <c r="U2696" s="38"/>
      <c r="V2696" s="38"/>
      <c r="W2696" s="38"/>
      <c r="X2696" s="14"/>
      <c r="AM2696" s="1"/>
      <c r="AN2696" s="7" t="s">
        <v>70</v>
      </c>
      <c r="AO2696" s="21">
        <f t="shared" si="134"/>
        <v>0</v>
      </c>
      <c r="AP2696" s="7">
        <f t="shared" si="135"/>
        <v>9.4</v>
      </c>
      <c r="AQ2696" s="31" t="str">
        <f t="shared" si="136"/>
        <v>Complete - No Adjustment</v>
      </c>
    </row>
    <row r="2697" spans="1:43" x14ac:dyDescent="0.2">
      <c r="A2697" s="46">
        <v>2687</v>
      </c>
      <c r="B2697" s="38" t="s">
        <v>266</v>
      </c>
      <c r="C2697" s="38" t="s">
        <v>2318</v>
      </c>
      <c r="D2697" s="38" t="s">
        <v>2319</v>
      </c>
      <c r="E2697" s="38" t="s">
        <v>6427</v>
      </c>
      <c r="F2697" s="38" t="s">
        <v>6428</v>
      </c>
      <c r="G2697" s="38" t="s">
        <v>111</v>
      </c>
      <c r="H2697" s="44">
        <v>44179</v>
      </c>
      <c r="I2697" s="44">
        <v>44182</v>
      </c>
      <c r="J2697">
        <v>9.4</v>
      </c>
      <c r="K2697" s="22">
        <v>9.4</v>
      </c>
      <c r="L2697" s="22" t="s">
        <v>6429</v>
      </c>
      <c r="M2697" s="45" t="s">
        <v>98</v>
      </c>
      <c r="N2697" s="13" t="s">
        <v>230</v>
      </c>
      <c r="O2697" s="13" t="s">
        <v>484</v>
      </c>
      <c r="P2697" s="13" t="s">
        <v>60</v>
      </c>
      <c r="Q2697" s="13" t="s">
        <v>41</v>
      </c>
      <c r="R2697" s="38" t="s">
        <v>270</v>
      </c>
      <c r="S2697" s="38" t="s">
        <v>6430</v>
      </c>
      <c r="T2697" s="38" t="s">
        <v>6431</v>
      </c>
      <c r="U2697" s="38"/>
      <c r="V2697" s="38"/>
      <c r="W2697" s="38"/>
      <c r="X2697" s="14"/>
      <c r="AI2697" s="53">
        <v>9.4</v>
      </c>
      <c r="AM2697" s="1"/>
      <c r="AN2697" s="7" t="s">
        <v>145</v>
      </c>
      <c r="AO2697" s="21">
        <f t="shared" si="134"/>
        <v>9.4</v>
      </c>
      <c r="AP2697" s="7">
        <f t="shared" si="135"/>
        <v>0</v>
      </c>
      <c r="AQ2697" s="31" t="str">
        <f t="shared" si="136"/>
        <v>Complete - With Adjustment</v>
      </c>
    </row>
    <row r="2698" spans="1:43" x14ac:dyDescent="0.2">
      <c r="A2698" s="46">
        <v>2688</v>
      </c>
      <c r="B2698" s="38" t="s">
        <v>266</v>
      </c>
      <c r="C2698" s="38" t="s">
        <v>354</v>
      </c>
      <c r="D2698" s="38" t="s">
        <v>353</v>
      </c>
      <c r="E2698" s="38" t="s">
        <v>6283</v>
      </c>
      <c r="F2698" s="38" t="s">
        <v>6284</v>
      </c>
      <c r="G2698" s="38" t="s">
        <v>111</v>
      </c>
      <c r="H2698" s="44">
        <v>44180</v>
      </c>
      <c r="I2698" s="44">
        <v>44183</v>
      </c>
      <c r="J2698">
        <v>500</v>
      </c>
      <c r="K2698">
        <v>500</v>
      </c>
      <c r="L2698"/>
      <c r="M2698" s="45" t="s">
        <v>97</v>
      </c>
      <c r="N2698" s="38" t="s">
        <v>230</v>
      </c>
      <c r="O2698" s="38" t="s">
        <v>405</v>
      </c>
      <c r="P2698" s="38" t="s">
        <v>42</v>
      </c>
      <c r="Q2698" s="38" t="s">
        <v>57</v>
      </c>
      <c r="R2698" s="38" t="s">
        <v>270</v>
      </c>
      <c r="S2698" s="38" t="s">
        <v>6285</v>
      </c>
      <c r="T2698" s="38" t="s">
        <v>6286</v>
      </c>
      <c r="U2698" s="38"/>
      <c r="V2698" s="38"/>
      <c r="W2698" s="38"/>
      <c r="X2698" s="14"/>
      <c r="AL2698" s="14">
        <v>500</v>
      </c>
      <c r="AO2698" s="21">
        <f t="shared" si="134"/>
        <v>500</v>
      </c>
      <c r="AP2698" s="7">
        <f t="shared" si="135"/>
        <v>0</v>
      </c>
      <c r="AQ2698" s="31" t="str">
        <f t="shared" si="136"/>
        <v>Complete - With Adjustment</v>
      </c>
    </row>
    <row r="2699" spans="1:43" x14ac:dyDescent="0.2">
      <c r="A2699" s="46">
        <v>2689</v>
      </c>
      <c r="B2699" s="38" t="s">
        <v>266</v>
      </c>
      <c r="C2699" s="38" t="s">
        <v>596</v>
      </c>
      <c r="D2699" s="38" t="s">
        <v>595</v>
      </c>
      <c r="E2699" s="38" t="s">
        <v>6432</v>
      </c>
      <c r="F2699" s="38" t="s">
        <v>6304</v>
      </c>
      <c r="G2699" s="38" t="s">
        <v>111</v>
      </c>
      <c r="H2699" s="44">
        <v>44176</v>
      </c>
      <c r="I2699" s="44">
        <v>44180</v>
      </c>
      <c r="J2699">
        <v>27.69</v>
      </c>
      <c r="K2699" s="22">
        <v>27.69</v>
      </c>
      <c r="L2699" s="22" t="s">
        <v>6433</v>
      </c>
      <c r="M2699" s="45" t="s">
        <v>98</v>
      </c>
      <c r="N2699" s="13" t="s">
        <v>230</v>
      </c>
      <c r="O2699" s="13" t="s">
        <v>342</v>
      </c>
      <c r="P2699" s="13" t="s">
        <v>60</v>
      </c>
      <c r="Q2699" s="13" t="s">
        <v>65</v>
      </c>
      <c r="R2699" s="38" t="s">
        <v>270</v>
      </c>
      <c r="S2699" s="38" t="s">
        <v>6434</v>
      </c>
      <c r="T2699" s="38" t="s">
        <v>6435</v>
      </c>
      <c r="U2699" s="38"/>
      <c r="V2699" s="38"/>
      <c r="W2699" s="38"/>
      <c r="X2699" s="14"/>
      <c r="AM2699" s="1"/>
      <c r="AN2699" s="7" t="s">
        <v>70</v>
      </c>
      <c r="AO2699" s="21">
        <f t="shared" si="134"/>
        <v>0</v>
      </c>
      <c r="AP2699" s="7">
        <f t="shared" si="135"/>
        <v>27.69</v>
      </c>
      <c r="AQ2699" s="31" t="str">
        <f t="shared" si="136"/>
        <v>Complete - No Adjustment</v>
      </c>
    </row>
    <row r="2700" spans="1:43" x14ac:dyDescent="0.2">
      <c r="A2700" s="46">
        <v>2690</v>
      </c>
      <c r="B2700" s="38" t="s">
        <v>266</v>
      </c>
      <c r="C2700" s="38" t="s">
        <v>2384</v>
      </c>
      <c r="D2700" s="38" t="s">
        <v>2385</v>
      </c>
      <c r="E2700" s="38" t="s">
        <v>6436</v>
      </c>
      <c r="F2700" s="38" t="s">
        <v>6354</v>
      </c>
      <c r="G2700" s="38" t="s">
        <v>111</v>
      </c>
      <c r="H2700" s="44">
        <v>44174</v>
      </c>
      <c r="I2700" s="44">
        <v>44193</v>
      </c>
      <c r="J2700">
        <v>11.69</v>
      </c>
      <c r="K2700" s="22">
        <v>11.69</v>
      </c>
      <c r="L2700" s="22" t="s">
        <v>6437</v>
      </c>
      <c r="M2700" s="45" t="s">
        <v>98</v>
      </c>
      <c r="N2700" s="13" t="s">
        <v>230</v>
      </c>
      <c r="O2700" s="13" t="s">
        <v>362</v>
      </c>
      <c r="P2700" s="13" t="s">
        <v>60</v>
      </c>
      <c r="Q2700" s="13" t="s">
        <v>41</v>
      </c>
      <c r="R2700" s="38" t="s">
        <v>270</v>
      </c>
      <c r="S2700" s="38" t="s">
        <v>6438</v>
      </c>
      <c r="T2700" s="38" t="s">
        <v>6439</v>
      </c>
      <c r="U2700" s="38"/>
      <c r="V2700" s="38"/>
      <c r="W2700" s="38"/>
      <c r="X2700" s="14"/>
      <c r="AI2700" s="53">
        <v>11.69</v>
      </c>
      <c r="AM2700" s="1"/>
      <c r="AN2700" s="7" t="s">
        <v>145</v>
      </c>
      <c r="AO2700" s="21">
        <f t="shared" si="134"/>
        <v>11.69</v>
      </c>
      <c r="AP2700" s="7">
        <f t="shared" si="135"/>
        <v>0</v>
      </c>
      <c r="AQ2700" s="31" t="str">
        <f t="shared" si="136"/>
        <v>Complete - With Adjustment</v>
      </c>
    </row>
    <row r="2701" spans="1:43" x14ac:dyDescent="0.2">
      <c r="A2701" s="46">
        <v>2691</v>
      </c>
      <c r="B2701" s="38" t="s">
        <v>266</v>
      </c>
      <c r="C2701" s="38" t="s">
        <v>650</v>
      </c>
      <c r="D2701" s="38" t="s">
        <v>649</v>
      </c>
      <c r="E2701" s="38" t="s">
        <v>6440</v>
      </c>
      <c r="F2701" s="38" t="s">
        <v>6304</v>
      </c>
      <c r="G2701" s="38" t="s">
        <v>111</v>
      </c>
      <c r="H2701" s="44">
        <v>44168</v>
      </c>
      <c r="I2701" s="44">
        <v>44180</v>
      </c>
      <c r="J2701">
        <v>41.95</v>
      </c>
      <c r="K2701" s="22">
        <v>20.74</v>
      </c>
      <c r="L2701" s="22" t="s">
        <v>6441</v>
      </c>
      <c r="M2701" s="45" t="s">
        <v>98</v>
      </c>
      <c r="N2701" s="13" t="s">
        <v>230</v>
      </c>
      <c r="O2701" s="13" t="s">
        <v>317</v>
      </c>
      <c r="P2701" s="13" t="s">
        <v>60</v>
      </c>
      <c r="Q2701" s="13" t="s">
        <v>41</v>
      </c>
      <c r="R2701" s="38" t="s">
        <v>270</v>
      </c>
      <c r="S2701" s="38" t="s">
        <v>6442</v>
      </c>
      <c r="T2701" s="38" t="s">
        <v>6443</v>
      </c>
      <c r="U2701" s="38"/>
      <c r="V2701" s="38"/>
      <c r="W2701" s="38"/>
      <c r="X2701" s="14"/>
      <c r="AM2701" s="1"/>
      <c r="AN2701" s="7" t="s">
        <v>70</v>
      </c>
      <c r="AO2701" s="21">
        <f t="shared" si="134"/>
        <v>0</v>
      </c>
      <c r="AP2701" s="7">
        <f t="shared" si="135"/>
        <v>20.74</v>
      </c>
      <c r="AQ2701" s="31" t="str">
        <f t="shared" si="136"/>
        <v>Complete - No Adjustment</v>
      </c>
    </row>
    <row r="2702" spans="1:43" x14ac:dyDescent="0.2">
      <c r="A2702" s="46">
        <v>2692</v>
      </c>
      <c r="B2702" s="38" t="s">
        <v>266</v>
      </c>
      <c r="C2702" s="38" t="s">
        <v>650</v>
      </c>
      <c r="D2702" s="38" t="s">
        <v>649</v>
      </c>
      <c r="E2702" s="38" t="s">
        <v>6440</v>
      </c>
      <c r="F2702" s="38" t="s">
        <v>6304</v>
      </c>
      <c r="G2702" s="38" t="s">
        <v>111</v>
      </c>
      <c r="H2702" s="44">
        <v>44168</v>
      </c>
      <c r="I2702" s="44">
        <v>44180</v>
      </c>
      <c r="J2702">
        <v>41.95</v>
      </c>
      <c r="K2702" s="22">
        <v>21.21</v>
      </c>
      <c r="L2702" s="22" t="s">
        <v>6441</v>
      </c>
      <c r="M2702" s="45" t="s">
        <v>98</v>
      </c>
      <c r="N2702" s="13" t="s">
        <v>230</v>
      </c>
      <c r="O2702" s="13" t="s">
        <v>317</v>
      </c>
      <c r="P2702" s="13" t="s">
        <v>60</v>
      </c>
      <c r="Q2702" s="13" t="s">
        <v>41</v>
      </c>
      <c r="R2702" s="38" t="s">
        <v>270</v>
      </c>
      <c r="S2702" s="38" t="s">
        <v>6442</v>
      </c>
      <c r="T2702" s="38" t="s">
        <v>6443</v>
      </c>
      <c r="U2702" s="38"/>
      <c r="V2702" s="38"/>
      <c r="W2702" s="38"/>
      <c r="X2702" s="14"/>
      <c r="AM2702" s="1"/>
      <c r="AN2702" s="7" t="s">
        <v>70</v>
      </c>
      <c r="AO2702" s="21">
        <f t="shared" si="134"/>
        <v>0</v>
      </c>
      <c r="AP2702" s="7">
        <f t="shared" si="135"/>
        <v>21.21</v>
      </c>
      <c r="AQ2702" s="31" t="str">
        <f t="shared" si="136"/>
        <v>Complete - No Adjustment</v>
      </c>
    </row>
    <row r="2703" spans="1:43" x14ac:dyDescent="0.2">
      <c r="A2703" s="46">
        <v>2693</v>
      </c>
      <c r="B2703" s="38" t="s">
        <v>266</v>
      </c>
      <c r="C2703" s="38" t="s">
        <v>650</v>
      </c>
      <c r="D2703" s="38" t="s">
        <v>649</v>
      </c>
      <c r="E2703" s="38" t="s">
        <v>6444</v>
      </c>
      <c r="F2703" s="38" t="s">
        <v>6366</v>
      </c>
      <c r="G2703" s="38" t="s">
        <v>111</v>
      </c>
      <c r="H2703" s="44">
        <v>44155</v>
      </c>
      <c r="I2703" s="44">
        <v>44172</v>
      </c>
      <c r="J2703">
        <v>83.96</v>
      </c>
      <c r="K2703" s="22">
        <v>20.99</v>
      </c>
      <c r="L2703" s="22" t="s">
        <v>6445</v>
      </c>
      <c r="M2703" s="45" t="s">
        <v>98</v>
      </c>
      <c r="N2703" s="13" t="s">
        <v>230</v>
      </c>
      <c r="O2703" s="13" t="s">
        <v>317</v>
      </c>
      <c r="P2703" s="13" t="s">
        <v>60</v>
      </c>
      <c r="Q2703" s="13" t="s">
        <v>41</v>
      </c>
      <c r="R2703" s="38" t="s">
        <v>270</v>
      </c>
      <c r="S2703" s="38" t="s">
        <v>6446</v>
      </c>
      <c r="T2703" s="38" t="s">
        <v>6447</v>
      </c>
      <c r="U2703" s="38"/>
      <c r="V2703" s="38"/>
      <c r="W2703" s="38"/>
      <c r="X2703" s="14"/>
      <c r="AI2703" s="54">
        <v>20.99</v>
      </c>
      <c r="AM2703" s="1"/>
      <c r="AN2703" s="7" t="s">
        <v>145</v>
      </c>
      <c r="AO2703" s="21">
        <f t="shared" si="134"/>
        <v>20.99</v>
      </c>
      <c r="AP2703" s="7">
        <f t="shared" si="135"/>
        <v>0</v>
      </c>
      <c r="AQ2703" s="31" t="str">
        <f t="shared" si="136"/>
        <v>Complete - With Adjustment</v>
      </c>
    </row>
    <row r="2704" spans="1:43" x14ac:dyDescent="0.2">
      <c r="A2704" s="46">
        <v>2694</v>
      </c>
      <c r="B2704" s="38" t="s">
        <v>266</v>
      </c>
      <c r="C2704" s="38" t="s">
        <v>650</v>
      </c>
      <c r="D2704" s="38" t="s">
        <v>649</v>
      </c>
      <c r="E2704" s="38" t="s">
        <v>6444</v>
      </c>
      <c r="F2704" s="38" t="s">
        <v>6366</v>
      </c>
      <c r="G2704" s="38" t="s">
        <v>111</v>
      </c>
      <c r="H2704" s="44">
        <v>44155</v>
      </c>
      <c r="I2704" s="44">
        <v>44172</v>
      </c>
      <c r="J2704">
        <v>83.96</v>
      </c>
      <c r="K2704" s="22">
        <v>20.99</v>
      </c>
      <c r="L2704" s="22" t="s">
        <v>6445</v>
      </c>
      <c r="M2704" s="45" t="s">
        <v>98</v>
      </c>
      <c r="N2704" s="13" t="s">
        <v>230</v>
      </c>
      <c r="O2704" s="13" t="s">
        <v>317</v>
      </c>
      <c r="P2704" s="13" t="s">
        <v>60</v>
      </c>
      <c r="Q2704" s="13" t="s">
        <v>41</v>
      </c>
      <c r="R2704" s="38" t="s">
        <v>270</v>
      </c>
      <c r="S2704" s="38" t="s">
        <v>6446</v>
      </c>
      <c r="T2704" s="38" t="s">
        <v>6448</v>
      </c>
      <c r="U2704" s="38"/>
      <c r="V2704" s="38"/>
      <c r="W2704" s="38"/>
      <c r="X2704" s="14"/>
      <c r="AI2704" s="54">
        <v>20.99</v>
      </c>
      <c r="AM2704" s="1"/>
      <c r="AN2704" s="7" t="s">
        <v>145</v>
      </c>
      <c r="AO2704" s="21">
        <f t="shared" si="134"/>
        <v>20.99</v>
      </c>
      <c r="AP2704" s="7">
        <f t="shared" si="135"/>
        <v>0</v>
      </c>
      <c r="AQ2704" s="31" t="str">
        <f t="shared" si="136"/>
        <v>Complete - With Adjustment</v>
      </c>
    </row>
    <row r="2705" spans="1:43" x14ac:dyDescent="0.2">
      <c r="A2705" s="46">
        <v>2695</v>
      </c>
      <c r="B2705" s="38" t="s">
        <v>266</v>
      </c>
      <c r="C2705" s="38" t="s">
        <v>650</v>
      </c>
      <c r="D2705" s="38" t="s">
        <v>649</v>
      </c>
      <c r="E2705" s="38" t="s">
        <v>6444</v>
      </c>
      <c r="F2705" s="38" t="s">
        <v>6366</v>
      </c>
      <c r="G2705" s="38" t="s">
        <v>111</v>
      </c>
      <c r="H2705" s="44">
        <v>44155</v>
      </c>
      <c r="I2705" s="44">
        <v>44172</v>
      </c>
      <c r="J2705">
        <v>83.96</v>
      </c>
      <c r="K2705" s="22">
        <v>20.99</v>
      </c>
      <c r="L2705" s="22" t="s">
        <v>6445</v>
      </c>
      <c r="M2705" s="45" t="s">
        <v>98</v>
      </c>
      <c r="N2705" s="13" t="s">
        <v>230</v>
      </c>
      <c r="O2705" s="13" t="s">
        <v>317</v>
      </c>
      <c r="P2705" s="13" t="s">
        <v>60</v>
      </c>
      <c r="Q2705" s="13" t="s">
        <v>41</v>
      </c>
      <c r="R2705" s="38" t="s">
        <v>270</v>
      </c>
      <c r="S2705" s="38" t="s">
        <v>6446</v>
      </c>
      <c r="T2705" s="38" t="s">
        <v>6449</v>
      </c>
      <c r="U2705" s="38"/>
      <c r="V2705" s="38"/>
      <c r="W2705" s="38"/>
      <c r="X2705" s="14"/>
      <c r="AI2705" s="54">
        <v>20.99</v>
      </c>
      <c r="AM2705" s="1"/>
      <c r="AN2705" s="7" t="s">
        <v>145</v>
      </c>
      <c r="AO2705" s="21">
        <f t="shared" si="134"/>
        <v>20.99</v>
      </c>
      <c r="AP2705" s="7">
        <f t="shared" si="135"/>
        <v>0</v>
      </c>
      <c r="AQ2705" s="31" t="str">
        <f t="shared" si="136"/>
        <v>Complete - With Adjustment</v>
      </c>
    </row>
    <row r="2706" spans="1:43" x14ac:dyDescent="0.2">
      <c r="A2706" s="46">
        <v>2696</v>
      </c>
      <c r="B2706" s="38" t="s">
        <v>266</v>
      </c>
      <c r="C2706" s="38" t="s">
        <v>650</v>
      </c>
      <c r="D2706" s="38" t="s">
        <v>649</v>
      </c>
      <c r="E2706" s="38" t="s">
        <v>6444</v>
      </c>
      <c r="F2706" s="38" t="s">
        <v>6366</v>
      </c>
      <c r="G2706" s="38" t="s">
        <v>111</v>
      </c>
      <c r="H2706" s="44">
        <v>44155</v>
      </c>
      <c r="I2706" s="44">
        <v>44172</v>
      </c>
      <c r="J2706">
        <v>83.96</v>
      </c>
      <c r="K2706" s="22">
        <v>20.99</v>
      </c>
      <c r="L2706" s="22" t="s">
        <v>6445</v>
      </c>
      <c r="M2706" s="45" t="s">
        <v>98</v>
      </c>
      <c r="N2706" s="13" t="s">
        <v>230</v>
      </c>
      <c r="O2706" s="13" t="s">
        <v>317</v>
      </c>
      <c r="P2706" s="13" t="s">
        <v>60</v>
      </c>
      <c r="Q2706" s="13" t="s">
        <v>41</v>
      </c>
      <c r="R2706" s="38" t="s">
        <v>270</v>
      </c>
      <c r="S2706" s="38" t="s">
        <v>6446</v>
      </c>
      <c r="T2706" s="38" t="s">
        <v>6450</v>
      </c>
      <c r="U2706" s="38"/>
      <c r="V2706" s="38"/>
      <c r="W2706" s="38"/>
      <c r="X2706" s="14"/>
      <c r="AI2706" s="54">
        <v>20.99</v>
      </c>
      <c r="AM2706" s="1"/>
      <c r="AN2706" s="7" t="s">
        <v>145</v>
      </c>
      <c r="AO2706" s="21">
        <f t="shared" si="134"/>
        <v>20.99</v>
      </c>
      <c r="AP2706" s="7">
        <f t="shared" si="135"/>
        <v>0</v>
      </c>
      <c r="AQ2706" s="31" t="str">
        <f t="shared" si="136"/>
        <v>Complete - With Adjustment</v>
      </c>
    </row>
    <row r="2707" spans="1:43" x14ac:dyDescent="0.2">
      <c r="A2707" s="46">
        <v>2697</v>
      </c>
      <c r="B2707" s="38" t="s">
        <v>266</v>
      </c>
      <c r="C2707" s="38" t="s">
        <v>763</v>
      </c>
      <c r="D2707" s="38" t="s">
        <v>762</v>
      </c>
      <c r="E2707" s="38" t="s">
        <v>6451</v>
      </c>
      <c r="F2707" s="38" t="s">
        <v>6304</v>
      </c>
      <c r="G2707" s="38" t="s">
        <v>111</v>
      </c>
      <c r="H2707" s="44">
        <v>44175</v>
      </c>
      <c r="I2707" s="44">
        <v>44180</v>
      </c>
      <c r="J2707">
        <v>15</v>
      </c>
      <c r="K2707" s="22">
        <v>15</v>
      </c>
      <c r="L2707" s="22" t="s">
        <v>6452</v>
      </c>
      <c r="M2707" s="45" t="s">
        <v>98</v>
      </c>
      <c r="N2707" s="13" t="s">
        <v>230</v>
      </c>
      <c r="O2707" s="13" t="s">
        <v>472</v>
      </c>
      <c r="P2707" s="13" t="s">
        <v>60</v>
      </c>
      <c r="Q2707" s="13" t="s">
        <v>46</v>
      </c>
      <c r="R2707" s="38" t="s">
        <v>270</v>
      </c>
      <c r="S2707" s="38" t="s">
        <v>6453</v>
      </c>
      <c r="T2707" s="38" t="s">
        <v>6454</v>
      </c>
      <c r="U2707" s="38"/>
      <c r="V2707" s="38"/>
      <c r="W2707" s="38"/>
      <c r="X2707" s="14"/>
      <c r="AI2707" s="53">
        <v>15</v>
      </c>
      <c r="AM2707" s="1"/>
      <c r="AN2707" s="7" t="s">
        <v>145</v>
      </c>
      <c r="AO2707" s="21">
        <f t="shared" si="134"/>
        <v>15</v>
      </c>
      <c r="AP2707" s="7">
        <f t="shared" si="135"/>
        <v>0</v>
      </c>
      <c r="AQ2707" s="31" t="str">
        <f t="shared" si="136"/>
        <v>Complete - With Adjustment</v>
      </c>
    </row>
    <row r="2708" spans="1:43" x14ac:dyDescent="0.2">
      <c r="A2708" s="46">
        <v>2698</v>
      </c>
      <c r="B2708" s="38" t="s">
        <v>266</v>
      </c>
      <c r="C2708" s="38" t="s">
        <v>4731</v>
      </c>
      <c r="D2708" s="38" t="s">
        <v>4732</v>
      </c>
      <c r="E2708" s="38" t="s">
        <v>6455</v>
      </c>
      <c r="F2708" s="38" t="s">
        <v>6379</v>
      </c>
      <c r="G2708" s="38" t="s">
        <v>111</v>
      </c>
      <c r="H2708" s="44">
        <v>44169</v>
      </c>
      <c r="I2708" s="44">
        <v>44173</v>
      </c>
      <c r="J2708">
        <v>103</v>
      </c>
      <c r="K2708" s="22">
        <v>103</v>
      </c>
      <c r="L2708" s="22" t="s">
        <v>6456</v>
      </c>
      <c r="M2708" s="45" t="s">
        <v>98</v>
      </c>
      <c r="N2708" s="13" t="s">
        <v>230</v>
      </c>
      <c r="O2708" s="13" t="s">
        <v>357</v>
      </c>
      <c r="P2708" s="13" t="s">
        <v>60</v>
      </c>
      <c r="Q2708" s="13" t="s">
        <v>48</v>
      </c>
      <c r="R2708" s="38" t="s">
        <v>270</v>
      </c>
      <c r="S2708" s="38" t="s">
        <v>6457</v>
      </c>
      <c r="T2708" s="38" t="s">
        <v>6458</v>
      </c>
      <c r="U2708" s="38"/>
      <c r="V2708" s="38"/>
      <c r="W2708" s="38"/>
      <c r="X2708" s="14"/>
      <c r="AM2708" s="1"/>
      <c r="AN2708" s="7" t="s">
        <v>70</v>
      </c>
      <c r="AO2708" s="21">
        <f t="shared" si="134"/>
        <v>0</v>
      </c>
      <c r="AP2708" s="7">
        <f t="shared" si="135"/>
        <v>103</v>
      </c>
      <c r="AQ2708" s="31" t="str">
        <f t="shared" si="136"/>
        <v>Complete - No Adjustment</v>
      </c>
    </row>
    <row r="2709" spans="1:43" x14ac:dyDescent="0.2">
      <c r="A2709" s="46">
        <v>2699</v>
      </c>
      <c r="B2709" s="38" t="s">
        <v>266</v>
      </c>
      <c r="C2709" s="38" t="s">
        <v>675</v>
      </c>
      <c r="D2709" s="38" t="s">
        <v>674</v>
      </c>
      <c r="E2709" s="38" t="s">
        <v>6459</v>
      </c>
      <c r="F2709" s="38" t="s">
        <v>6288</v>
      </c>
      <c r="G2709" s="38" t="s">
        <v>111</v>
      </c>
      <c r="H2709" s="44">
        <v>44159</v>
      </c>
      <c r="I2709" s="44">
        <v>44181</v>
      </c>
      <c r="J2709">
        <v>314.05</v>
      </c>
      <c r="K2709" s="22">
        <v>75</v>
      </c>
      <c r="L2709" s="22" t="s">
        <v>6460</v>
      </c>
      <c r="M2709" s="45" t="s">
        <v>98</v>
      </c>
      <c r="N2709" s="13" t="s">
        <v>230</v>
      </c>
      <c r="O2709" s="13" t="s">
        <v>592</v>
      </c>
      <c r="P2709" s="13" t="s">
        <v>60</v>
      </c>
      <c r="Q2709" s="13" t="s">
        <v>59</v>
      </c>
      <c r="R2709" s="38" t="s">
        <v>270</v>
      </c>
      <c r="S2709" s="38" t="s">
        <v>6461</v>
      </c>
      <c r="T2709" s="38" t="s">
        <v>824</v>
      </c>
      <c r="U2709" s="38"/>
      <c r="V2709" s="38"/>
      <c r="W2709" s="38"/>
      <c r="X2709" s="14"/>
      <c r="AM2709" s="1"/>
      <c r="AN2709" s="7" t="s">
        <v>70</v>
      </c>
      <c r="AO2709" s="21">
        <f t="shared" si="134"/>
        <v>0</v>
      </c>
      <c r="AP2709" s="7">
        <f t="shared" si="135"/>
        <v>75</v>
      </c>
      <c r="AQ2709" s="31" t="str">
        <f t="shared" si="136"/>
        <v>Complete - No Adjustment</v>
      </c>
    </row>
    <row r="2710" spans="1:43" x14ac:dyDescent="0.2">
      <c r="A2710" s="46">
        <v>2700</v>
      </c>
      <c r="B2710" s="38" t="s">
        <v>266</v>
      </c>
      <c r="C2710" s="38" t="s">
        <v>675</v>
      </c>
      <c r="D2710" s="38" t="s">
        <v>674</v>
      </c>
      <c r="E2710" s="38" t="s">
        <v>6459</v>
      </c>
      <c r="F2710" s="38" t="s">
        <v>6288</v>
      </c>
      <c r="G2710" s="38" t="s">
        <v>111</v>
      </c>
      <c r="H2710" s="44">
        <v>44159</v>
      </c>
      <c r="I2710" s="44">
        <v>44181</v>
      </c>
      <c r="J2710">
        <v>314.05</v>
      </c>
      <c r="K2710" s="22">
        <v>200</v>
      </c>
      <c r="L2710" s="22" t="s">
        <v>6460</v>
      </c>
      <c r="M2710" s="45" t="s">
        <v>98</v>
      </c>
      <c r="N2710" s="13" t="s">
        <v>230</v>
      </c>
      <c r="O2710" s="13" t="s">
        <v>592</v>
      </c>
      <c r="P2710" s="13" t="s">
        <v>60</v>
      </c>
      <c r="Q2710" s="13" t="s">
        <v>56</v>
      </c>
      <c r="R2710" s="38" t="s">
        <v>270</v>
      </c>
      <c r="S2710" s="38" t="s">
        <v>6461</v>
      </c>
      <c r="T2710" s="38" t="s">
        <v>6462</v>
      </c>
      <c r="U2710" s="38"/>
      <c r="V2710" s="38"/>
      <c r="W2710" s="38"/>
      <c r="X2710" s="14"/>
      <c r="AM2710" s="1"/>
      <c r="AN2710" s="7" t="s">
        <v>70</v>
      </c>
      <c r="AO2710" s="21">
        <f t="shared" si="134"/>
        <v>0</v>
      </c>
      <c r="AP2710" s="7">
        <f t="shared" si="135"/>
        <v>200</v>
      </c>
      <c r="AQ2710" s="31" t="str">
        <f t="shared" si="136"/>
        <v>Complete - No Adjustment</v>
      </c>
    </row>
    <row r="2711" spans="1:43" x14ac:dyDescent="0.2">
      <c r="A2711" s="46">
        <v>2701</v>
      </c>
      <c r="B2711" s="38" t="s">
        <v>266</v>
      </c>
      <c r="C2711" s="38" t="s">
        <v>675</v>
      </c>
      <c r="D2711" s="38" t="s">
        <v>674</v>
      </c>
      <c r="E2711" s="38" t="s">
        <v>6459</v>
      </c>
      <c r="F2711" s="38" t="s">
        <v>6288</v>
      </c>
      <c r="G2711" s="38" t="s">
        <v>111</v>
      </c>
      <c r="H2711" s="44">
        <v>44159</v>
      </c>
      <c r="I2711" s="44">
        <v>44181</v>
      </c>
      <c r="J2711">
        <v>314.05</v>
      </c>
      <c r="K2711" s="22">
        <v>39.049999999999997</v>
      </c>
      <c r="L2711" s="22" t="s">
        <v>6460</v>
      </c>
      <c r="M2711" s="45" t="s">
        <v>98</v>
      </c>
      <c r="N2711" s="13" t="s">
        <v>230</v>
      </c>
      <c r="O2711" s="13" t="s">
        <v>592</v>
      </c>
      <c r="P2711" s="13" t="s">
        <v>60</v>
      </c>
      <c r="Q2711" s="13" t="s">
        <v>56</v>
      </c>
      <c r="R2711" s="38" t="s">
        <v>270</v>
      </c>
      <c r="S2711" s="38" t="s">
        <v>6461</v>
      </c>
      <c r="T2711" s="38" t="s">
        <v>6463</v>
      </c>
      <c r="U2711" s="38"/>
      <c r="V2711" s="38"/>
      <c r="W2711" s="38"/>
      <c r="X2711" s="14"/>
      <c r="AM2711" s="1"/>
      <c r="AN2711" s="7" t="s">
        <v>70</v>
      </c>
      <c r="AO2711" s="21">
        <f t="shared" si="134"/>
        <v>0</v>
      </c>
      <c r="AP2711" s="7">
        <f t="shared" si="135"/>
        <v>39.049999999999997</v>
      </c>
      <c r="AQ2711" s="31" t="str">
        <f t="shared" si="136"/>
        <v>Complete - No Adjustment</v>
      </c>
    </row>
    <row r="2712" spans="1:43" x14ac:dyDescent="0.2">
      <c r="A2712" s="46">
        <v>2702</v>
      </c>
      <c r="B2712" s="38" t="s">
        <v>266</v>
      </c>
      <c r="C2712" s="38" t="s">
        <v>1830</v>
      </c>
      <c r="D2712" s="38" t="s">
        <v>1831</v>
      </c>
      <c r="E2712" s="38" t="s">
        <v>6464</v>
      </c>
      <c r="F2712" s="38" t="s">
        <v>6304</v>
      </c>
      <c r="G2712" s="38" t="s">
        <v>111</v>
      </c>
      <c r="H2712" s="44">
        <v>44148</v>
      </c>
      <c r="I2712" s="44">
        <v>44180</v>
      </c>
      <c r="J2712">
        <v>14.94</v>
      </c>
      <c r="K2712" s="22">
        <v>14.94</v>
      </c>
      <c r="L2712" s="22" t="s">
        <v>6465</v>
      </c>
      <c r="M2712" s="45" t="s">
        <v>98</v>
      </c>
      <c r="N2712" s="13" t="s">
        <v>230</v>
      </c>
      <c r="O2712" s="13" t="s">
        <v>426</v>
      </c>
      <c r="P2712" s="13" t="s">
        <v>60</v>
      </c>
      <c r="Q2712" s="13" t="s">
        <v>41</v>
      </c>
      <c r="R2712" s="38" t="s">
        <v>270</v>
      </c>
      <c r="S2712" s="38" t="s">
        <v>6466</v>
      </c>
      <c r="T2712" s="38" t="s">
        <v>6467</v>
      </c>
      <c r="U2712" s="38"/>
      <c r="V2712" s="38"/>
      <c r="W2712" s="38"/>
      <c r="X2712" s="14"/>
      <c r="AH2712" s="14">
        <v>14.92</v>
      </c>
      <c r="AM2712" s="1"/>
      <c r="AN2712" s="7" t="s">
        <v>16</v>
      </c>
      <c r="AO2712" s="21">
        <f t="shared" si="134"/>
        <v>14.92</v>
      </c>
      <c r="AP2712" s="7">
        <f t="shared" si="135"/>
        <v>1.9999999999999574E-2</v>
      </c>
      <c r="AQ2712" s="31" t="str">
        <f t="shared" si="136"/>
        <v>Complete - With Adjustment</v>
      </c>
    </row>
    <row r="2713" spans="1:43" x14ac:dyDescent="0.2">
      <c r="A2713" s="46">
        <v>2703</v>
      </c>
      <c r="B2713" s="38" t="s">
        <v>266</v>
      </c>
      <c r="C2713" s="38" t="s">
        <v>1830</v>
      </c>
      <c r="D2713" s="38" t="s">
        <v>1831</v>
      </c>
      <c r="E2713" s="38" t="s">
        <v>6468</v>
      </c>
      <c r="F2713" s="38" t="s">
        <v>6284</v>
      </c>
      <c r="G2713" s="38" t="s">
        <v>111</v>
      </c>
      <c r="H2713" s="44">
        <v>44180</v>
      </c>
      <c r="I2713" s="44">
        <v>44183</v>
      </c>
      <c r="J2713">
        <v>15</v>
      </c>
      <c r="K2713" s="22">
        <v>15</v>
      </c>
      <c r="L2713" s="22" t="s">
        <v>6469</v>
      </c>
      <c r="M2713" s="45" t="s">
        <v>98</v>
      </c>
      <c r="N2713" s="13" t="s">
        <v>230</v>
      </c>
      <c r="O2713" s="13" t="s">
        <v>426</v>
      </c>
      <c r="P2713" s="13" t="s">
        <v>60</v>
      </c>
      <c r="Q2713" s="13" t="s">
        <v>41</v>
      </c>
      <c r="R2713" s="38" t="s">
        <v>270</v>
      </c>
      <c r="S2713" s="38" t="s">
        <v>6470</v>
      </c>
      <c r="T2713" s="38" t="s">
        <v>6471</v>
      </c>
      <c r="U2713" s="38"/>
      <c r="V2713" s="38"/>
      <c r="W2713" s="38"/>
      <c r="X2713" s="14"/>
      <c r="AI2713" s="53">
        <v>15</v>
      </c>
      <c r="AM2713" s="1"/>
      <c r="AN2713" s="7" t="s">
        <v>145</v>
      </c>
      <c r="AO2713" s="21">
        <f t="shared" si="134"/>
        <v>15</v>
      </c>
      <c r="AP2713" s="7">
        <f t="shared" si="135"/>
        <v>0</v>
      </c>
      <c r="AQ2713" s="31" t="str">
        <f t="shared" si="136"/>
        <v>Complete - With Adjustment</v>
      </c>
    </row>
    <row r="2714" spans="1:43" x14ac:dyDescent="0.2">
      <c r="A2714" s="46">
        <v>2704</v>
      </c>
      <c r="B2714" s="38" t="s">
        <v>266</v>
      </c>
      <c r="C2714" s="38" t="s">
        <v>401</v>
      </c>
      <c r="D2714" s="38" t="s">
        <v>400</v>
      </c>
      <c r="E2714" s="38" t="s">
        <v>6287</v>
      </c>
      <c r="F2714" s="38" t="s">
        <v>6288</v>
      </c>
      <c r="G2714" s="38" t="s">
        <v>111</v>
      </c>
      <c r="H2714" s="44">
        <v>44179</v>
      </c>
      <c r="I2714" s="44">
        <v>44181</v>
      </c>
      <c r="J2714">
        <v>25</v>
      </c>
      <c r="K2714">
        <v>25</v>
      </c>
      <c r="L2714"/>
      <c r="M2714" s="45" t="s">
        <v>97</v>
      </c>
      <c r="N2714" s="38" t="s">
        <v>230</v>
      </c>
      <c r="O2714" s="38" t="s">
        <v>402</v>
      </c>
      <c r="P2714" s="38" t="s">
        <v>42</v>
      </c>
      <c r="Q2714" s="38" t="s">
        <v>403</v>
      </c>
      <c r="R2714" s="38" t="s">
        <v>270</v>
      </c>
      <c r="S2714" s="38" t="s">
        <v>6289</v>
      </c>
      <c r="T2714" s="38" t="s">
        <v>6290</v>
      </c>
      <c r="U2714" s="38"/>
      <c r="V2714" s="38"/>
      <c r="W2714" s="38"/>
      <c r="X2714" s="14"/>
      <c r="AL2714" s="14">
        <v>25</v>
      </c>
      <c r="AO2714" s="21">
        <f t="shared" si="134"/>
        <v>25</v>
      </c>
      <c r="AP2714" s="7">
        <f t="shared" si="135"/>
        <v>0</v>
      </c>
      <c r="AQ2714" s="31" t="str">
        <f t="shared" si="136"/>
        <v>Complete - With Adjustment</v>
      </c>
    </row>
    <row r="2715" spans="1:43" x14ac:dyDescent="0.2">
      <c r="A2715" s="46">
        <v>2705</v>
      </c>
      <c r="B2715" s="38" t="s">
        <v>266</v>
      </c>
      <c r="C2715" s="38" t="s">
        <v>401</v>
      </c>
      <c r="D2715" s="38" t="s">
        <v>400</v>
      </c>
      <c r="E2715" s="38" t="s">
        <v>6291</v>
      </c>
      <c r="F2715" s="38" t="s">
        <v>6284</v>
      </c>
      <c r="G2715" s="38" t="s">
        <v>111</v>
      </c>
      <c r="H2715" s="44">
        <v>44181</v>
      </c>
      <c r="I2715" s="44">
        <v>44183</v>
      </c>
      <c r="J2715">
        <v>25</v>
      </c>
      <c r="K2715">
        <v>25</v>
      </c>
      <c r="L2715"/>
      <c r="M2715" s="45" t="s">
        <v>97</v>
      </c>
      <c r="N2715" s="38" t="s">
        <v>230</v>
      </c>
      <c r="O2715" s="38" t="s">
        <v>402</v>
      </c>
      <c r="P2715" s="38" t="s">
        <v>42</v>
      </c>
      <c r="Q2715" s="38" t="s">
        <v>403</v>
      </c>
      <c r="R2715" s="38" t="s">
        <v>270</v>
      </c>
      <c r="S2715" s="38" t="s">
        <v>6292</v>
      </c>
      <c r="T2715" s="38" t="s">
        <v>6293</v>
      </c>
      <c r="U2715" s="38"/>
      <c r="V2715" s="38"/>
      <c r="W2715" s="38"/>
      <c r="X2715" s="14"/>
      <c r="AL2715" s="14">
        <v>25</v>
      </c>
      <c r="AO2715" s="21">
        <f t="shared" si="134"/>
        <v>25</v>
      </c>
      <c r="AP2715" s="7">
        <f t="shared" si="135"/>
        <v>0</v>
      </c>
      <c r="AQ2715" s="31" t="str">
        <f t="shared" si="136"/>
        <v>Complete - With Adjustment</v>
      </c>
    </row>
    <row r="2716" spans="1:43" x14ac:dyDescent="0.2">
      <c r="A2716" s="46">
        <v>2706</v>
      </c>
      <c r="B2716" s="38" t="s">
        <v>266</v>
      </c>
      <c r="C2716" s="38" t="s">
        <v>654</v>
      </c>
      <c r="D2716" s="38" t="s">
        <v>653</v>
      </c>
      <c r="E2716" s="38" t="s">
        <v>6472</v>
      </c>
      <c r="F2716" s="38" t="s">
        <v>6299</v>
      </c>
      <c r="G2716" s="38" t="s">
        <v>111</v>
      </c>
      <c r="H2716" s="44">
        <v>44172</v>
      </c>
      <c r="I2716" s="44">
        <v>44174</v>
      </c>
      <c r="J2716">
        <v>129.88999999999999</v>
      </c>
      <c r="K2716" s="22">
        <v>129.88999999999999</v>
      </c>
      <c r="L2716" s="22" t="s">
        <v>6473</v>
      </c>
      <c r="M2716" s="45" t="s">
        <v>98</v>
      </c>
      <c r="N2716" s="13" t="s">
        <v>230</v>
      </c>
      <c r="O2716" s="13" t="s">
        <v>397</v>
      </c>
      <c r="P2716" s="13" t="s">
        <v>60</v>
      </c>
      <c r="Q2716" s="13" t="s">
        <v>62</v>
      </c>
      <c r="R2716" s="38" t="s">
        <v>270</v>
      </c>
      <c r="S2716" s="38" t="s">
        <v>6474</v>
      </c>
      <c r="T2716" s="38" t="s">
        <v>6475</v>
      </c>
      <c r="U2716" s="38"/>
      <c r="V2716" s="38"/>
      <c r="W2716" s="38"/>
      <c r="X2716" s="14"/>
      <c r="AL2716" s="14">
        <v>129.88999999999999</v>
      </c>
      <c r="AM2716" s="1"/>
      <c r="AN2716" s="7" t="s">
        <v>70</v>
      </c>
      <c r="AO2716" s="21">
        <f t="shared" si="134"/>
        <v>129.88999999999999</v>
      </c>
      <c r="AP2716" s="7">
        <f t="shared" si="135"/>
        <v>0</v>
      </c>
      <c r="AQ2716" s="31" t="str">
        <f t="shared" si="136"/>
        <v>Complete - With Adjustment</v>
      </c>
    </row>
    <row r="2717" spans="1:43" x14ac:dyDescent="0.2">
      <c r="A2717" s="46">
        <v>2707</v>
      </c>
      <c r="B2717" s="38" t="s">
        <v>266</v>
      </c>
      <c r="C2717" s="38" t="s">
        <v>783</v>
      </c>
      <c r="D2717" s="38" t="s">
        <v>782</v>
      </c>
      <c r="E2717" s="38" t="s">
        <v>6476</v>
      </c>
      <c r="F2717" s="38" t="s">
        <v>6299</v>
      </c>
      <c r="G2717" s="38" t="s">
        <v>111</v>
      </c>
      <c r="H2717" s="44">
        <v>44167</v>
      </c>
      <c r="I2717" s="44">
        <v>44174</v>
      </c>
      <c r="J2717">
        <v>420</v>
      </c>
      <c r="K2717" s="22">
        <v>15</v>
      </c>
      <c r="L2717" s="22" t="s">
        <v>6477</v>
      </c>
      <c r="M2717" s="45" t="s">
        <v>97</v>
      </c>
      <c r="N2717" s="13" t="s">
        <v>230</v>
      </c>
      <c r="O2717" s="13" t="s">
        <v>365</v>
      </c>
      <c r="P2717" s="13" t="s">
        <v>42</v>
      </c>
      <c r="Q2717" s="13" t="s">
        <v>55</v>
      </c>
      <c r="R2717" s="38" t="s">
        <v>270</v>
      </c>
      <c r="S2717" s="38" t="s">
        <v>6478</v>
      </c>
      <c r="T2717" s="38" t="s">
        <v>6479</v>
      </c>
      <c r="U2717" s="38"/>
      <c r="V2717" s="38"/>
      <c r="W2717" s="38"/>
      <c r="X2717" s="14"/>
      <c r="AI2717" s="54">
        <v>15</v>
      </c>
      <c r="AM2717" s="1"/>
      <c r="AN2717" s="7" t="s">
        <v>145</v>
      </c>
      <c r="AO2717" s="21">
        <f t="shared" si="134"/>
        <v>15</v>
      </c>
      <c r="AP2717" s="7">
        <f t="shared" si="135"/>
        <v>0</v>
      </c>
      <c r="AQ2717" s="31" t="str">
        <f t="shared" si="136"/>
        <v>Complete - With Adjustment</v>
      </c>
    </row>
    <row r="2718" spans="1:43" x14ac:dyDescent="0.2">
      <c r="A2718" s="46">
        <v>2708</v>
      </c>
      <c r="B2718" s="38" t="s">
        <v>266</v>
      </c>
      <c r="C2718" s="38" t="s">
        <v>783</v>
      </c>
      <c r="D2718" s="38" t="s">
        <v>782</v>
      </c>
      <c r="E2718" s="38" t="s">
        <v>6476</v>
      </c>
      <c r="F2718" s="38" t="s">
        <v>6299</v>
      </c>
      <c r="G2718" s="38" t="s">
        <v>111</v>
      </c>
      <c r="H2718" s="44">
        <v>44167</v>
      </c>
      <c r="I2718" s="44">
        <v>44174</v>
      </c>
      <c r="J2718">
        <v>420</v>
      </c>
      <c r="K2718" s="22">
        <v>15</v>
      </c>
      <c r="L2718" s="22" t="s">
        <v>6477</v>
      </c>
      <c r="M2718" s="45" t="s">
        <v>97</v>
      </c>
      <c r="N2718" s="13" t="s">
        <v>230</v>
      </c>
      <c r="O2718" s="13" t="s">
        <v>365</v>
      </c>
      <c r="P2718" s="13" t="s">
        <v>42</v>
      </c>
      <c r="Q2718" s="13" t="s">
        <v>55</v>
      </c>
      <c r="R2718" s="38" t="s">
        <v>270</v>
      </c>
      <c r="S2718" s="38" t="s">
        <v>6478</v>
      </c>
      <c r="T2718" s="38" t="s">
        <v>6479</v>
      </c>
      <c r="U2718" s="38"/>
      <c r="V2718" s="38"/>
      <c r="W2718" s="38"/>
      <c r="X2718" s="14"/>
      <c r="AI2718" s="54">
        <v>15</v>
      </c>
      <c r="AM2718" s="1"/>
      <c r="AN2718" s="7" t="s">
        <v>145</v>
      </c>
      <c r="AO2718" s="21">
        <f t="shared" si="134"/>
        <v>15</v>
      </c>
      <c r="AP2718" s="7">
        <f t="shared" si="135"/>
        <v>0</v>
      </c>
      <c r="AQ2718" s="31" t="str">
        <f t="shared" si="136"/>
        <v>Complete - With Adjustment</v>
      </c>
    </row>
    <row r="2719" spans="1:43" x14ac:dyDescent="0.2">
      <c r="A2719" s="46">
        <v>2709</v>
      </c>
      <c r="B2719" s="38" t="s">
        <v>266</v>
      </c>
      <c r="C2719" s="38" t="s">
        <v>783</v>
      </c>
      <c r="D2719" s="38" t="s">
        <v>782</v>
      </c>
      <c r="E2719" s="38" t="s">
        <v>6476</v>
      </c>
      <c r="F2719" s="38" t="s">
        <v>6299</v>
      </c>
      <c r="G2719" s="38" t="s">
        <v>111</v>
      </c>
      <c r="H2719" s="44">
        <v>44167</v>
      </c>
      <c r="I2719" s="44">
        <v>44174</v>
      </c>
      <c r="J2719">
        <v>420</v>
      </c>
      <c r="K2719" s="22">
        <v>15</v>
      </c>
      <c r="L2719" s="22" t="s">
        <v>6477</v>
      </c>
      <c r="M2719" s="45" t="s">
        <v>97</v>
      </c>
      <c r="N2719" s="13" t="s">
        <v>230</v>
      </c>
      <c r="O2719" s="13" t="s">
        <v>365</v>
      </c>
      <c r="P2719" s="13" t="s">
        <v>42</v>
      </c>
      <c r="Q2719" s="13" t="s">
        <v>55</v>
      </c>
      <c r="R2719" s="38" t="s">
        <v>270</v>
      </c>
      <c r="S2719" s="38" t="s">
        <v>6478</v>
      </c>
      <c r="T2719" s="38" t="s">
        <v>6479</v>
      </c>
      <c r="U2719" s="38"/>
      <c r="V2719" s="38"/>
      <c r="W2719" s="38"/>
      <c r="X2719" s="14"/>
      <c r="AI2719" s="54">
        <v>15</v>
      </c>
      <c r="AM2719" s="1"/>
      <c r="AN2719" s="7" t="s">
        <v>145</v>
      </c>
      <c r="AO2719" s="21">
        <f t="shared" si="134"/>
        <v>15</v>
      </c>
      <c r="AP2719" s="7">
        <f t="shared" si="135"/>
        <v>0</v>
      </c>
      <c r="AQ2719" s="31" t="str">
        <f t="shared" si="136"/>
        <v>Complete - With Adjustment</v>
      </c>
    </row>
    <row r="2720" spans="1:43" x14ac:dyDescent="0.2">
      <c r="A2720" s="46">
        <v>2710</v>
      </c>
      <c r="B2720" s="38" t="s">
        <v>266</v>
      </c>
      <c r="C2720" s="38" t="s">
        <v>783</v>
      </c>
      <c r="D2720" s="38" t="s">
        <v>782</v>
      </c>
      <c r="E2720" s="38" t="s">
        <v>6476</v>
      </c>
      <c r="F2720" s="38" t="s">
        <v>6299</v>
      </c>
      <c r="G2720" s="38" t="s">
        <v>111</v>
      </c>
      <c r="H2720" s="44">
        <v>44167</v>
      </c>
      <c r="I2720" s="44">
        <v>44174</v>
      </c>
      <c r="J2720">
        <v>420</v>
      </c>
      <c r="K2720" s="22">
        <v>15</v>
      </c>
      <c r="L2720" s="22" t="s">
        <v>6477</v>
      </c>
      <c r="M2720" s="45" t="s">
        <v>97</v>
      </c>
      <c r="N2720" s="13" t="s">
        <v>230</v>
      </c>
      <c r="O2720" s="13" t="s">
        <v>365</v>
      </c>
      <c r="P2720" s="13" t="s">
        <v>42</v>
      </c>
      <c r="Q2720" s="13" t="s">
        <v>55</v>
      </c>
      <c r="R2720" s="38" t="s">
        <v>270</v>
      </c>
      <c r="S2720" s="38" t="s">
        <v>6478</v>
      </c>
      <c r="T2720" s="38" t="s">
        <v>6479</v>
      </c>
      <c r="U2720" s="38"/>
      <c r="V2720" s="38"/>
      <c r="W2720" s="38"/>
      <c r="X2720" s="14"/>
      <c r="AI2720" s="54">
        <v>15</v>
      </c>
      <c r="AM2720" s="1"/>
      <c r="AN2720" s="7" t="s">
        <v>145</v>
      </c>
      <c r="AO2720" s="21">
        <f t="shared" si="134"/>
        <v>15</v>
      </c>
      <c r="AP2720" s="7">
        <f t="shared" si="135"/>
        <v>0</v>
      </c>
      <c r="AQ2720" s="31" t="str">
        <f t="shared" si="136"/>
        <v>Complete - With Adjustment</v>
      </c>
    </row>
    <row r="2721" spans="1:43" x14ac:dyDescent="0.2">
      <c r="A2721" s="46">
        <v>2711</v>
      </c>
      <c r="B2721" s="38" t="s">
        <v>266</v>
      </c>
      <c r="C2721" s="38" t="s">
        <v>783</v>
      </c>
      <c r="D2721" s="38" t="s">
        <v>782</v>
      </c>
      <c r="E2721" s="38" t="s">
        <v>6476</v>
      </c>
      <c r="F2721" s="38" t="s">
        <v>6299</v>
      </c>
      <c r="G2721" s="38" t="s">
        <v>111</v>
      </c>
      <c r="H2721" s="44">
        <v>44167</v>
      </c>
      <c r="I2721" s="44">
        <v>44174</v>
      </c>
      <c r="J2721">
        <v>420</v>
      </c>
      <c r="K2721" s="22">
        <v>15</v>
      </c>
      <c r="L2721" s="22" t="s">
        <v>6477</v>
      </c>
      <c r="M2721" s="45" t="s">
        <v>97</v>
      </c>
      <c r="N2721" s="13" t="s">
        <v>230</v>
      </c>
      <c r="O2721" s="13" t="s">
        <v>365</v>
      </c>
      <c r="P2721" s="13" t="s">
        <v>42</v>
      </c>
      <c r="Q2721" s="13" t="s">
        <v>55</v>
      </c>
      <c r="R2721" s="38" t="s">
        <v>270</v>
      </c>
      <c r="S2721" s="38" t="s">
        <v>6478</v>
      </c>
      <c r="T2721" s="38" t="s">
        <v>6479</v>
      </c>
      <c r="U2721" s="38"/>
      <c r="V2721" s="38"/>
      <c r="W2721" s="38"/>
      <c r="X2721" s="14"/>
      <c r="AI2721" s="54">
        <v>15</v>
      </c>
      <c r="AM2721" s="1"/>
      <c r="AN2721" s="7" t="s">
        <v>145</v>
      </c>
      <c r="AO2721" s="21">
        <f t="shared" si="134"/>
        <v>15</v>
      </c>
      <c r="AP2721" s="7">
        <f t="shared" si="135"/>
        <v>0</v>
      </c>
      <c r="AQ2721" s="31" t="str">
        <f t="shared" si="136"/>
        <v>Complete - With Adjustment</v>
      </c>
    </row>
    <row r="2722" spans="1:43" x14ac:dyDescent="0.2">
      <c r="A2722" s="46">
        <v>2712</v>
      </c>
      <c r="B2722" s="38" t="s">
        <v>266</v>
      </c>
      <c r="C2722" s="38" t="s">
        <v>783</v>
      </c>
      <c r="D2722" s="38" t="s">
        <v>782</v>
      </c>
      <c r="E2722" s="38" t="s">
        <v>6476</v>
      </c>
      <c r="F2722" s="38" t="s">
        <v>6299</v>
      </c>
      <c r="G2722" s="38" t="s">
        <v>111</v>
      </c>
      <c r="H2722" s="44">
        <v>44167</v>
      </c>
      <c r="I2722" s="44">
        <v>44174</v>
      </c>
      <c r="J2722">
        <v>420</v>
      </c>
      <c r="K2722" s="22">
        <v>15</v>
      </c>
      <c r="L2722" s="22" t="s">
        <v>6477</v>
      </c>
      <c r="M2722" s="45" t="s">
        <v>97</v>
      </c>
      <c r="N2722" s="13" t="s">
        <v>230</v>
      </c>
      <c r="O2722" s="13" t="s">
        <v>365</v>
      </c>
      <c r="P2722" s="13" t="s">
        <v>42</v>
      </c>
      <c r="Q2722" s="13" t="s">
        <v>55</v>
      </c>
      <c r="R2722" s="38" t="s">
        <v>270</v>
      </c>
      <c r="S2722" s="38" t="s">
        <v>6478</v>
      </c>
      <c r="T2722" s="38" t="s">
        <v>6479</v>
      </c>
      <c r="U2722" s="38"/>
      <c r="V2722" s="38"/>
      <c r="W2722" s="38"/>
      <c r="X2722" s="14"/>
      <c r="AI2722" s="54">
        <v>15</v>
      </c>
      <c r="AM2722" s="1"/>
      <c r="AN2722" s="7" t="s">
        <v>145</v>
      </c>
      <c r="AO2722" s="21">
        <f t="shared" si="134"/>
        <v>15</v>
      </c>
      <c r="AP2722" s="7">
        <f t="shared" si="135"/>
        <v>0</v>
      </c>
      <c r="AQ2722" s="31" t="str">
        <f t="shared" si="136"/>
        <v>Complete - With Adjustment</v>
      </c>
    </row>
    <row r="2723" spans="1:43" x14ac:dyDescent="0.2">
      <c r="A2723" s="46">
        <v>2713</v>
      </c>
      <c r="B2723" s="38" t="s">
        <v>266</v>
      </c>
      <c r="C2723" s="38" t="s">
        <v>783</v>
      </c>
      <c r="D2723" s="38" t="s">
        <v>782</v>
      </c>
      <c r="E2723" s="38" t="s">
        <v>6476</v>
      </c>
      <c r="F2723" s="38" t="s">
        <v>6299</v>
      </c>
      <c r="G2723" s="38" t="s">
        <v>111</v>
      </c>
      <c r="H2723" s="44">
        <v>44167</v>
      </c>
      <c r="I2723" s="44">
        <v>44174</v>
      </c>
      <c r="J2723">
        <v>420</v>
      </c>
      <c r="K2723" s="22">
        <v>15</v>
      </c>
      <c r="L2723" s="22" t="s">
        <v>6477</v>
      </c>
      <c r="M2723" s="45" t="s">
        <v>97</v>
      </c>
      <c r="N2723" s="13" t="s">
        <v>230</v>
      </c>
      <c r="O2723" s="13" t="s">
        <v>365</v>
      </c>
      <c r="P2723" s="13" t="s">
        <v>42</v>
      </c>
      <c r="Q2723" s="13" t="s">
        <v>55</v>
      </c>
      <c r="R2723" s="38" t="s">
        <v>270</v>
      </c>
      <c r="S2723" s="38" t="s">
        <v>6478</v>
      </c>
      <c r="T2723" s="38" t="s">
        <v>6479</v>
      </c>
      <c r="U2723" s="38"/>
      <c r="V2723" s="38"/>
      <c r="W2723" s="38"/>
      <c r="X2723" s="14"/>
      <c r="AI2723" s="54">
        <v>15</v>
      </c>
      <c r="AM2723" s="1"/>
      <c r="AN2723" s="7" t="s">
        <v>145</v>
      </c>
      <c r="AO2723" s="21">
        <f t="shared" si="134"/>
        <v>15</v>
      </c>
      <c r="AP2723" s="7">
        <f t="shared" si="135"/>
        <v>0</v>
      </c>
      <c r="AQ2723" s="31" t="str">
        <f t="shared" si="136"/>
        <v>Complete - With Adjustment</v>
      </c>
    </row>
    <row r="2724" spans="1:43" x14ac:dyDescent="0.2">
      <c r="A2724" s="46">
        <v>2714</v>
      </c>
      <c r="B2724" s="38" t="s">
        <v>266</v>
      </c>
      <c r="C2724" s="38" t="s">
        <v>783</v>
      </c>
      <c r="D2724" s="38" t="s">
        <v>782</v>
      </c>
      <c r="E2724" s="38" t="s">
        <v>6476</v>
      </c>
      <c r="F2724" s="38" t="s">
        <v>6299</v>
      </c>
      <c r="G2724" s="38" t="s">
        <v>111</v>
      </c>
      <c r="H2724" s="44">
        <v>44167</v>
      </c>
      <c r="I2724" s="44">
        <v>44174</v>
      </c>
      <c r="J2724">
        <v>420</v>
      </c>
      <c r="K2724" s="22">
        <v>15</v>
      </c>
      <c r="L2724" s="22" t="s">
        <v>6477</v>
      </c>
      <c r="M2724" s="45" t="s">
        <v>97</v>
      </c>
      <c r="N2724" s="13" t="s">
        <v>230</v>
      </c>
      <c r="O2724" s="13" t="s">
        <v>365</v>
      </c>
      <c r="P2724" s="13" t="s">
        <v>42</v>
      </c>
      <c r="Q2724" s="13" t="s">
        <v>55</v>
      </c>
      <c r="R2724" s="38" t="s">
        <v>270</v>
      </c>
      <c r="S2724" s="38" t="s">
        <v>6478</v>
      </c>
      <c r="T2724" s="38" t="s">
        <v>6479</v>
      </c>
      <c r="U2724" s="38"/>
      <c r="V2724" s="38"/>
      <c r="W2724" s="38"/>
      <c r="X2724" s="14"/>
      <c r="AI2724" s="54">
        <v>15</v>
      </c>
      <c r="AM2724" s="1"/>
      <c r="AN2724" s="7" t="s">
        <v>145</v>
      </c>
      <c r="AO2724" s="21">
        <f t="shared" si="134"/>
        <v>15</v>
      </c>
      <c r="AP2724" s="7">
        <f t="shared" si="135"/>
        <v>0</v>
      </c>
      <c r="AQ2724" s="31" t="str">
        <f t="shared" si="136"/>
        <v>Complete - With Adjustment</v>
      </c>
    </row>
    <row r="2725" spans="1:43" x14ac:dyDescent="0.2">
      <c r="A2725" s="46">
        <v>2715</v>
      </c>
      <c r="B2725" s="38" t="s">
        <v>266</v>
      </c>
      <c r="C2725" s="38" t="s">
        <v>783</v>
      </c>
      <c r="D2725" s="38" t="s">
        <v>782</v>
      </c>
      <c r="E2725" s="38" t="s">
        <v>6476</v>
      </c>
      <c r="F2725" s="38" t="s">
        <v>6299</v>
      </c>
      <c r="G2725" s="38" t="s">
        <v>111</v>
      </c>
      <c r="H2725" s="44">
        <v>44167</v>
      </c>
      <c r="I2725" s="44">
        <v>44174</v>
      </c>
      <c r="J2725">
        <v>420</v>
      </c>
      <c r="K2725" s="22">
        <v>15</v>
      </c>
      <c r="L2725" s="22" t="s">
        <v>6477</v>
      </c>
      <c r="M2725" s="45" t="s">
        <v>97</v>
      </c>
      <c r="N2725" s="13" t="s">
        <v>230</v>
      </c>
      <c r="O2725" s="13" t="s">
        <v>365</v>
      </c>
      <c r="P2725" s="13" t="s">
        <v>42</v>
      </c>
      <c r="Q2725" s="13" t="s">
        <v>55</v>
      </c>
      <c r="R2725" s="38" t="s">
        <v>270</v>
      </c>
      <c r="S2725" s="38" t="s">
        <v>6478</v>
      </c>
      <c r="T2725" s="38" t="s">
        <v>6479</v>
      </c>
      <c r="U2725" s="38"/>
      <c r="V2725" s="38"/>
      <c r="W2725" s="38"/>
      <c r="X2725" s="14"/>
      <c r="AI2725" s="54">
        <v>15</v>
      </c>
      <c r="AM2725" s="1"/>
      <c r="AN2725" s="7" t="s">
        <v>145</v>
      </c>
      <c r="AO2725" s="21">
        <f t="shared" si="134"/>
        <v>15</v>
      </c>
      <c r="AP2725" s="7">
        <f t="shared" si="135"/>
        <v>0</v>
      </c>
      <c r="AQ2725" s="31" t="str">
        <f t="shared" si="136"/>
        <v>Complete - With Adjustment</v>
      </c>
    </row>
    <row r="2726" spans="1:43" x14ac:dyDescent="0.2">
      <c r="A2726" s="46">
        <v>2716</v>
      </c>
      <c r="B2726" s="38" t="s">
        <v>266</v>
      </c>
      <c r="C2726" s="38" t="s">
        <v>783</v>
      </c>
      <c r="D2726" s="38" t="s">
        <v>782</v>
      </c>
      <c r="E2726" s="38" t="s">
        <v>6476</v>
      </c>
      <c r="F2726" s="38" t="s">
        <v>6299</v>
      </c>
      <c r="G2726" s="38" t="s">
        <v>111</v>
      </c>
      <c r="H2726" s="44">
        <v>44167</v>
      </c>
      <c r="I2726" s="44">
        <v>44174</v>
      </c>
      <c r="J2726">
        <v>420</v>
      </c>
      <c r="K2726" s="22">
        <v>15</v>
      </c>
      <c r="L2726" s="22" t="s">
        <v>6477</v>
      </c>
      <c r="M2726" s="45" t="s">
        <v>97</v>
      </c>
      <c r="N2726" s="13" t="s">
        <v>230</v>
      </c>
      <c r="O2726" s="13" t="s">
        <v>365</v>
      </c>
      <c r="P2726" s="13" t="s">
        <v>42</v>
      </c>
      <c r="Q2726" s="13" t="s">
        <v>55</v>
      </c>
      <c r="R2726" s="38" t="s">
        <v>270</v>
      </c>
      <c r="S2726" s="38" t="s">
        <v>6478</v>
      </c>
      <c r="T2726" s="38" t="s">
        <v>6479</v>
      </c>
      <c r="U2726" s="38"/>
      <c r="V2726" s="38"/>
      <c r="W2726" s="38"/>
      <c r="X2726" s="14"/>
      <c r="AI2726" s="54">
        <v>15</v>
      </c>
      <c r="AM2726" s="1"/>
      <c r="AN2726" s="7" t="s">
        <v>145</v>
      </c>
      <c r="AO2726" s="21">
        <f t="shared" si="134"/>
        <v>15</v>
      </c>
      <c r="AP2726" s="7">
        <f t="shared" si="135"/>
        <v>0</v>
      </c>
      <c r="AQ2726" s="31" t="str">
        <f t="shared" si="136"/>
        <v>Complete - With Adjustment</v>
      </c>
    </row>
    <row r="2727" spans="1:43" x14ac:dyDescent="0.2">
      <c r="A2727" s="46">
        <v>2717</v>
      </c>
      <c r="B2727" s="38" t="s">
        <v>266</v>
      </c>
      <c r="C2727" s="38" t="s">
        <v>783</v>
      </c>
      <c r="D2727" s="38" t="s">
        <v>782</v>
      </c>
      <c r="E2727" s="38" t="s">
        <v>6476</v>
      </c>
      <c r="F2727" s="38" t="s">
        <v>6299</v>
      </c>
      <c r="G2727" s="38" t="s">
        <v>111</v>
      </c>
      <c r="H2727" s="44">
        <v>44167</v>
      </c>
      <c r="I2727" s="44">
        <v>44174</v>
      </c>
      <c r="J2727">
        <v>420</v>
      </c>
      <c r="K2727" s="22">
        <v>15</v>
      </c>
      <c r="L2727" s="22" t="s">
        <v>6477</v>
      </c>
      <c r="M2727" s="45" t="s">
        <v>97</v>
      </c>
      <c r="N2727" s="13" t="s">
        <v>230</v>
      </c>
      <c r="O2727" s="13" t="s">
        <v>365</v>
      </c>
      <c r="P2727" s="13" t="s">
        <v>42</v>
      </c>
      <c r="Q2727" s="13" t="s">
        <v>55</v>
      </c>
      <c r="R2727" s="38" t="s">
        <v>270</v>
      </c>
      <c r="S2727" s="38" t="s">
        <v>6478</v>
      </c>
      <c r="T2727" s="38" t="s">
        <v>6479</v>
      </c>
      <c r="U2727" s="38"/>
      <c r="V2727" s="38"/>
      <c r="W2727" s="38"/>
      <c r="X2727" s="14"/>
      <c r="AI2727" s="54">
        <v>15</v>
      </c>
      <c r="AM2727" s="1"/>
      <c r="AN2727" s="7" t="s">
        <v>145</v>
      </c>
      <c r="AO2727" s="21">
        <f t="shared" si="134"/>
        <v>15</v>
      </c>
      <c r="AP2727" s="7">
        <f t="shared" si="135"/>
        <v>0</v>
      </c>
      <c r="AQ2727" s="31" t="str">
        <f t="shared" si="136"/>
        <v>Complete - With Adjustment</v>
      </c>
    </row>
    <row r="2728" spans="1:43" x14ac:dyDescent="0.2">
      <c r="A2728" s="46">
        <v>2718</v>
      </c>
      <c r="B2728" s="38" t="s">
        <v>266</v>
      </c>
      <c r="C2728" s="38" t="s">
        <v>783</v>
      </c>
      <c r="D2728" s="38" t="s">
        <v>782</v>
      </c>
      <c r="E2728" s="38" t="s">
        <v>6476</v>
      </c>
      <c r="F2728" s="38" t="s">
        <v>6299</v>
      </c>
      <c r="G2728" s="38" t="s">
        <v>111</v>
      </c>
      <c r="H2728" s="44">
        <v>44167</v>
      </c>
      <c r="I2728" s="44">
        <v>44174</v>
      </c>
      <c r="J2728">
        <v>420</v>
      </c>
      <c r="K2728" s="22">
        <v>15</v>
      </c>
      <c r="L2728" s="22" t="s">
        <v>6477</v>
      </c>
      <c r="M2728" s="45" t="s">
        <v>97</v>
      </c>
      <c r="N2728" s="13" t="s">
        <v>230</v>
      </c>
      <c r="O2728" s="13" t="s">
        <v>365</v>
      </c>
      <c r="P2728" s="13" t="s">
        <v>42</v>
      </c>
      <c r="Q2728" s="13" t="s">
        <v>55</v>
      </c>
      <c r="R2728" s="38" t="s">
        <v>270</v>
      </c>
      <c r="S2728" s="38" t="s">
        <v>6478</v>
      </c>
      <c r="T2728" s="38" t="s">
        <v>6479</v>
      </c>
      <c r="U2728" s="38"/>
      <c r="V2728" s="38"/>
      <c r="W2728" s="38"/>
      <c r="X2728" s="14"/>
      <c r="AI2728" s="54">
        <v>15</v>
      </c>
      <c r="AM2728" s="1"/>
      <c r="AN2728" s="7" t="s">
        <v>145</v>
      </c>
      <c r="AO2728" s="21">
        <f t="shared" si="134"/>
        <v>15</v>
      </c>
      <c r="AP2728" s="7">
        <f t="shared" si="135"/>
        <v>0</v>
      </c>
      <c r="AQ2728" s="31" t="str">
        <f t="shared" si="136"/>
        <v>Complete - With Adjustment</v>
      </c>
    </row>
    <row r="2729" spans="1:43" x14ac:dyDescent="0.2">
      <c r="A2729" s="46">
        <v>2719</v>
      </c>
      <c r="B2729" s="38" t="s">
        <v>266</v>
      </c>
      <c r="C2729" s="38" t="s">
        <v>783</v>
      </c>
      <c r="D2729" s="38" t="s">
        <v>782</v>
      </c>
      <c r="E2729" s="38" t="s">
        <v>6476</v>
      </c>
      <c r="F2729" s="38" t="s">
        <v>6299</v>
      </c>
      <c r="G2729" s="38" t="s">
        <v>111</v>
      </c>
      <c r="H2729" s="44">
        <v>44167</v>
      </c>
      <c r="I2729" s="44">
        <v>44174</v>
      </c>
      <c r="J2729">
        <v>420</v>
      </c>
      <c r="K2729" s="22">
        <v>15</v>
      </c>
      <c r="L2729" s="22" t="s">
        <v>6477</v>
      </c>
      <c r="M2729" s="45" t="s">
        <v>97</v>
      </c>
      <c r="N2729" s="13" t="s">
        <v>230</v>
      </c>
      <c r="O2729" s="13" t="s">
        <v>365</v>
      </c>
      <c r="P2729" s="13" t="s">
        <v>42</v>
      </c>
      <c r="Q2729" s="13" t="s">
        <v>55</v>
      </c>
      <c r="R2729" s="38" t="s">
        <v>270</v>
      </c>
      <c r="S2729" s="38" t="s">
        <v>6478</v>
      </c>
      <c r="T2729" s="38" t="s">
        <v>6479</v>
      </c>
      <c r="U2729" s="38"/>
      <c r="V2729" s="38"/>
      <c r="W2729" s="38"/>
      <c r="X2729" s="14"/>
      <c r="AI2729" s="54">
        <v>15</v>
      </c>
      <c r="AM2729" s="1"/>
      <c r="AN2729" s="7" t="s">
        <v>145</v>
      </c>
      <c r="AO2729" s="21">
        <f t="shared" si="134"/>
        <v>15</v>
      </c>
      <c r="AP2729" s="7">
        <f t="shared" si="135"/>
        <v>0</v>
      </c>
      <c r="AQ2729" s="31" t="str">
        <f t="shared" si="136"/>
        <v>Complete - With Adjustment</v>
      </c>
    </row>
    <row r="2730" spans="1:43" x14ac:dyDescent="0.2">
      <c r="A2730" s="46">
        <v>2720</v>
      </c>
      <c r="B2730" s="38" t="s">
        <v>266</v>
      </c>
      <c r="C2730" s="38" t="s">
        <v>783</v>
      </c>
      <c r="D2730" s="38" t="s">
        <v>782</v>
      </c>
      <c r="E2730" s="38" t="s">
        <v>6476</v>
      </c>
      <c r="F2730" s="38" t="s">
        <v>6299</v>
      </c>
      <c r="G2730" s="38" t="s">
        <v>111</v>
      </c>
      <c r="H2730" s="44">
        <v>44167</v>
      </c>
      <c r="I2730" s="44">
        <v>44174</v>
      </c>
      <c r="J2730">
        <v>420</v>
      </c>
      <c r="K2730" s="22">
        <v>15</v>
      </c>
      <c r="L2730" s="22" t="s">
        <v>6477</v>
      </c>
      <c r="M2730" s="45" t="s">
        <v>97</v>
      </c>
      <c r="N2730" s="13" t="s">
        <v>230</v>
      </c>
      <c r="O2730" s="13" t="s">
        <v>365</v>
      </c>
      <c r="P2730" s="13" t="s">
        <v>42</v>
      </c>
      <c r="Q2730" s="13" t="s">
        <v>55</v>
      </c>
      <c r="R2730" s="38" t="s">
        <v>270</v>
      </c>
      <c r="S2730" s="38" t="s">
        <v>6478</v>
      </c>
      <c r="T2730" s="38" t="s">
        <v>6479</v>
      </c>
      <c r="U2730" s="38"/>
      <c r="V2730" s="38"/>
      <c r="W2730" s="38"/>
      <c r="X2730" s="14"/>
      <c r="AI2730" s="54">
        <v>15</v>
      </c>
      <c r="AM2730" s="1"/>
      <c r="AN2730" s="7" t="s">
        <v>145</v>
      </c>
      <c r="AO2730" s="21">
        <f t="shared" si="134"/>
        <v>15</v>
      </c>
      <c r="AP2730" s="7">
        <f t="shared" si="135"/>
        <v>0</v>
      </c>
      <c r="AQ2730" s="31" t="str">
        <f t="shared" si="136"/>
        <v>Complete - With Adjustment</v>
      </c>
    </row>
    <row r="2731" spans="1:43" x14ac:dyDescent="0.2">
      <c r="A2731" s="46">
        <v>2721</v>
      </c>
      <c r="B2731" s="38" t="s">
        <v>266</v>
      </c>
      <c r="C2731" s="38" t="s">
        <v>783</v>
      </c>
      <c r="D2731" s="38" t="s">
        <v>782</v>
      </c>
      <c r="E2731" s="38" t="s">
        <v>6476</v>
      </c>
      <c r="F2731" s="38" t="s">
        <v>6299</v>
      </c>
      <c r="G2731" s="38" t="s">
        <v>111</v>
      </c>
      <c r="H2731" s="44">
        <v>44167</v>
      </c>
      <c r="I2731" s="44">
        <v>44174</v>
      </c>
      <c r="J2731">
        <v>420</v>
      </c>
      <c r="K2731" s="22">
        <v>15</v>
      </c>
      <c r="L2731" s="22" t="s">
        <v>6477</v>
      </c>
      <c r="M2731" s="45" t="s">
        <v>97</v>
      </c>
      <c r="N2731" s="13" t="s">
        <v>230</v>
      </c>
      <c r="O2731" s="13" t="s">
        <v>365</v>
      </c>
      <c r="P2731" s="13" t="s">
        <v>42</v>
      </c>
      <c r="Q2731" s="13" t="s">
        <v>55</v>
      </c>
      <c r="R2731" s="38" t="s">
        <v>270</v>
      </c>
      <c r="S2731" s="38" t="s">
        <v>6478</v>
      </c>
      <c r="T2731" s="38" t="s">
        <v>6479</v>
      </c>
      <c r="U2731" s="38"/>
      <c r="V2731" s="38"/>
      <c r="W2731" s="38"/>
      <c r="X2731" s="14"/>
      <c r="AI2731" s="54">
        <v>15</v>
      </c>
      <c r="AM2731" s="1"/>
      <c r="AN2731" s="7" t="s">
        <v>145</v>
      </c>
      <c r="AO2731" s="21">
        <f t="shared" si="134"/>
        <v>15</v>
      </c>
      <c r="AP2731" s="7">
        <f t="shared" si="135"/>
        <v>0</v>
      </c>
      <c r="AQ2731" s="31" t="str">
        <f t="shared" si="136"/>
        <v>Complete - With Adjustment</v>
      </c>
    </row>
    <row r="2732" spans="1:43" x14ac:dyDescent="0.2">
      <c r="A2732" s="46">
        <v>2722</v>
      </c>
      <c r="B2732" s="38" t="s">
        <v>266</v>
      </c>
      <c r="C2732" s="38" t="s">
        <v>783</v>
      </c>
      <c r="D2732" s="38" t="s">
        <v>782</v>
      </c>
      <c r="E2732" s="38" t="s">
        <v>6476</v>
      </c>
      <c r="F2732" s="38" t="s">
        <v>6299</v>
      </c>
      <c r="G2732" s="38" t="s">
        <v>111</v>
      </c>
      <c r="H2732" s="44">
        <v>44167</v>
      </c>
      <c r="I2732" s="44">
        <v>44174</v>
      </c>
      <c r="J2732">
        <v>420</v>
      </c>
      <c r="K2732" s="22">
        <v>15</v>
      </c>
      <c r="L2732" s="22" t="s">
        <v>6477</v>
      </c>
      <c r="M2732" s="45" t="s">
        <v>97</v>
      </c>
      <c r="N2732" s="13" t="s">
        <v>230</v>
      </c>
      <c r="O2732" s="13" t="s">
        <v>365</v>
      </c>
      <c r="P2732" s="13" t="s">
        <v>42</v>
      </c>
      <c r="Q2732" s="13" t="s">
        <v>55</v>
      </c>
      <c r="R2732" s="38" t="s">
        <v>270</v>
      </c>
      <c r="S2732" s="38" t="s">
        <v>6478</v>
      </c>
      <c r="T2732" s="38" t="s">
        <v>6479</v>
      </c>
      <c r="U2732" s="38"/>
      <c r="V2732" s="38"/>
      <c r="W2732" s="38"/>
      <c r="X2732" s="14"/>
      <c r="AI2732" s="54">
        <v>15</v>
      </c>
      <c r="AM2732" s="1"/>
      <c r="AN2732" s="7" t="s">
        <v>145</v>
      </c>
      <c r="AO2732" s="21">
        <f t="shared" si="134"/>
        <v>15</v>
      </c>
      <c r="AP2732" s="7">
        <f t="shared" si="135"/>
        <v>0</v>
      </c>
      <c r="AQ2732" s="31" t="str">
        <f t="shared" si="136"/>
        <v>Complete - With Adjustment</v>
      </c>
    </row>
    <row r="2733" spans="1:43" x14ac:dyDescent="0.2">
      <c r="A2733" s="46">
        <v>2723</v>
      </c>
      <c r="B2733" s="38" t="s">
        <v>266</v>
      </c>
      <c r="C2733" s="38" t="s">
        <v>783</v>
      </c>
      <c r="D2733" s="38" t="s">
        <v>782</v>
      </c>
      <c r="E2733" s="38" t="s">
        <v>6476</v>
      </c>
      <c r="F2733" s="38" t="s">
        <v>6299</v>
      </c>
      <c r="G2733" s="38" t="s">
        <v>111</v>
      </c>
      <c r="H2733" s="44">
        <v>44167</v>
      </c>
      <c r="I2733" s="44">
        <v>44174</v>
      </c>
      <c r="J2733">
        <v>420</v>
      </c>
      <c r="K2733" s="22">
        <v>15</v>
      </c>
      <c r="L2733" s="22" t="s">
        <v>6477</v>
      </c>
      <c r="M2733" s="45" t="s">
        <v>97</v>
      </c>
      <c r="N2733" s="13" t="s">
        <v>230</v>
      </c>
      <c r="O2733" s="13" t="s">
        <v>365</v>
      </c>
      <c r="P2733" s="13" t="s">
        <v>42</v>
      </c>
      <c r="Q2733" s="13" t="s">
        <v>55</v>
      </c>
      <c r="R2733" s="38" t="s">
        <v>270</v>
      </c>
      <c r="S2733" s="38" t="s">
        <v>6478</v>
      </c>
      <c r="T2733" s="38" t="s">
        <v>6479</v>
      </c>
      <c r="U2733" s="38"/>
      <c r="V2733" s="38"/>
      <c r="W2733" s="38"/>
      <c r="X2733" s="14"/>
      <c r="AI2733" s="54">
        <v>15</v>
      </c>
      <c r="AM2733" s="1"/>
      <c r="AN2733" s="7" t="s">
        <v>145</v>
      </c>
      <c r="AO2733" s="21">
        <f t="shared" si="134"/>
        <v>15</v>
      </c>
      <c r="AP2733" s="7">
        <f t="shared" si="135"/>
        <v>0</v>
      </c>
      <c r="AQ2733" s="31" t="str">
        <f t="shared" si="136"/>
        <v>Complete - With Adjustment</v>
      </c>
    </row>
    <row r="2734" spans="1:43" x14ac:dyDescent="0.2">
      <c r="A2734" s="46">
        <v>2724</v>
      </c>
      <c r="B2734" s="38" t="s">
        <v>266</v>
      </c>
      <c r="C2734" s="38" t="s">
        <v>783</v>
      </c>
      <c r="D2734" s="38" t="s">
        <v>782</v>
      </c>
      <c r="E2734" s="38" t="s">
        <v>6476</v>
      </c>
      <c r="F2734" s="38" t="s">
        <v>6299</v>
      </c>
      <c r="G2734" s="38" t="s">
        <v>111</v>
      </c>
      <c r="H2734" s="44">
        <v>44167</v>
      </c>
      <c r="I2734" s="44">
        <v>44174</v>
      </c>
      <c r="J2734">
        <v>420</v>
      </c>
      <c r="K2734" s="22">
        <v>15</v>
      </c>
      <c r="L2734" s="22" t="s">
        <v>6477</v>
      </c>
      <c r="M2734" s="45" t="s">
        <v>97</v>
      </c>
      <c r="N2734" s="13" t="s">
        <v>230</v>
      </c>
      <c r="O2734" s="13" t="s">
        <v>365</v>
      </c>
      <c r="P2734" s="13" t="s">
        <v>42</v>
      </c>
      <c r="Q2734" s="13" t="s">
        <v>55</v>
      </c>
      <c r="R2734" s="38" t="s">
        <v>270</v>
      </c>
      <c r="S2734" s="38" t="s">
        <v>6478</v>
      </c>
      <c r="T2734" s="38" t="s">
        <v>6479</v>
      </c>
      <c r="U2734" s="38"/>
      <c r="V2734" s="38"/>
      <c r="W2734" s="38"/>
      <c r="X2734" s="14"/>
      <c r="AI2734" s="54">
        <v>15</v>
      </c>
      <c r="AM2734" s="1"/>
      <c r="AN2734" s="7" t="s">
        <v>145</v>
      </c>
      <c r="AO2734" s="21">
        <f t="shared" si="134"/>
        <v>15</v>
      </c>
      <c r="AP2734" s="7">
        <f t="shared" si="135"/>
        <v>0</v>
      </c>
      <c r="AQ2734" s="31" t="str">
        <f t="shared" si="136"/>
        <v>Complete - With Adjustment</v>
      </c>
    </row>
    <row r="2735" spans="1:43" x14ac:dyDescent="0.2">
      <c r="A2735" s="46">
        <v>2725</v>
      </c>
      <c r="B2735" s="38" t="s">
        <v>266</v>
      </c>
      <c r="C2735" s="38" t="s">
        <v>783</v>
      </c>
      <c r="D2735" s="38" t="s">
        <v>782</v>
      </c>
      <c r="E2735" s="38" t="s">
        <v>6476</v>
      </c>
      <c r="F2735" s="38" t="s">
        <v>6299</v>
      </c>
      <c r="G2735" s="38" t="s">
        <v>111</v>
      </c>
      <c r="H2735" s="44">
        <v>44167</v>
      </c>
      <c r="I2735" s="44">
        <v>44174</v>
      </c>
      <c r="J2735">
        <v>420</v>
      </c>
      <c r="K2735" s="22">
        <v>15</v>
      </c>
      <c r="L2735" s="22" t="s">
        <v>6477</v>
      </c>
      <c r="M2735" s="45" t="s">
        <v>97</v>
      </c>
      <c r="N2735" s="13" t="s">
        <v>230</v>
      </c>
      <c r="O2735" s="13" t="s">
        <v>365</v>
      </c>
      <c r="P2735" s="13" t="s">
        <v>42</v>
      </c>
      <c r="Q2735" s="13" t="s">
        <v>55</v>
      </c>
      <c r="R2735" s="38" t="s">
        <v>270</v>
      </c>
      <c r="S2735" s="38" t="s">
        <v>6478</v>
      </c>
      <c r="T2735" s="38" t="s">
        <v>6479</v>
      </c>
      <c r="U2735" s="38"/>
      <c r="V2735" s="38"/>
      <c r="W2735" s="38"/>
      <c r="X2735" s="14"/>
      <c r="AI2735" s="54">
        <v>15</v>
      </c>
      <c r="AM2735" s="1"/>
      <c r="AN2735" s="7" t="s">
        <v>145</v>
      </c>
      <c r="AO2735" s="21">
        <f t="shared" si="134"/>
        <v>15</v>
      </c>
      <c r="AP2735" s="7">
        <f t="shared" si="135"/>
        <v>0</v>
      </c>
      <c r="AQ2735" s="31" t="str">
        <f t="shared" si="136"/>
        <v>Complete - With Adjustment</v>
      </c>
    </row>
    <row r="2736" spans="1:43" x14ac:dyDescent="0.2">
      <c r="A2736" s="46">
        <v>2726</v>
      </c>
      <c r="B2736" s="38" t="s">
        <v>266</v>
      </c>
      <c r="C2736" s="38" t="s">
        <v>783</v>
      </c>
      <c r="D2736" s="38" t="s">
        <v>782</v>
      </c>
      <c r="E2736" s="38" t="s">
        <v>6476</v>
      </c>
      <c r="F2736" s="38" t="s">
        <v>6299</v>
      </c>
      <c r="G2736" s="38" t="s">
        <v>111</v>
      </c>
      <c r="H2736" s="44">
        <v>44167</v>
      </c>
      <c r="I2736" s="44">
        <v>44174</v>
      </c>
      <c r="J2736">
        <v>420</v>
      </c>
      <c r="K2736" s="22">
        <v>15</v>
      </c>
      <c r="L2736" s="22" t="s">
        <v>6477</v>
      </c>
      <c r="M2736" s="45" t="s">
        <v>97</v>
      </c>
      <c r="N2736" s="13" t="s">
        <v>230</v>
      </c>
      <c r="O2736" s="13" t="s">
        <v>365</v>
      </c>
      <c r="P2736" s="13" t="s">
        <v>42</v>
      </c>
      <c r="Q2736" s="13" t="s">
        <v>55</v>
      </c>
      <c r="R2736" s="38" t="s">
        <v>270</v>
      </c>
      <c r="S2736" s="38" t="s">
        <v>6478</v>
      </c>
      <c r="T2736" s="38" t="s">
        <v>6479</v>
      </c>
      <c r="U2736" s="38"/>
      <c r="V2736" s="38"/>
      <c r="W2736" s="38"/>
      <c r="X2736" s="14"/>
      <c r="AI2736" s="54">
        <v>15</v>
      </c>
      <c r="AM2736" s="1"/>
      <c r="AN2736" s="7" t="s">
        <v>145</v>
      </c>
      <c r="AO2736" s="21">
        <f t="shared" si="134"/>
        <v>15</v>
      </c>
      <c r="AP2736" s="7">
        <f t="shared" si="135"/>
        <v>0</v>
      </c>
      <c r="AQ2736" s="31" t="str">
        <f t="shared" si="136"/>
        <v>Complete - With Adjustment</v>
      </c>
    </row>
    <row r="2737" spans="1:43" x14ac:dyDescent="0.2">
      <c r="A2737" s="46">
        <v>2727</v>
      </c>
      <c r="B2737" s="38" t="s">
        <v>266</v>
      </c>
      <c r="C2737" s="38" t="s">
        <v>783</v>
      </c>
      <c r="D2737" s="38" t="s">
        <v>782</v>
      </c>
      <c r="E2737" s="38" t="s">
        <v>6476</v>
      </c>
      <c r="F2737" s="38" t="s">
        <v>6299</v>
      </c>
      <c r="G2737" s="38" t="s">
        <v>111</v>
      </c>
      <c r="H2737" s="44">
        <v>44167</v>
      </c>
      <c r="I2737" s="44">
        <v>44174</v>
      </c>
      <c r="J2737">
        <v>420</v>
      </c>
      <c r="K2737" s="22">
        <v>15</v>
      </c>
      <c r="L2737" s="22" t="s">
        <v>6477</v>
      </c>
      <c r="M2737" s="45" t="s">
        <v>97</v>
      </c>
      <c r="N2737" s="13" t="s">
        <v>230</v>
      </c>
      <c r="O2737" s="13" t="s">
        <v>365</v>
      </c>
      <c r="P2737" s="13" t="s">
        <v>42</v>
      </c>
      <c r="Q2737" s="13" t="s">
        <v>55</v>
      </c>
      <c r="R2737" s="38" t="s">
        <v>270</v>
      </c>
      <c r="S2737" s="38" t="s">
        <v>6478</v>
      </c>
      <c r="T2737" s="38" t="s">
        <v>6479</v>
      </c>
      <c r="U2737" s="38"/>
      <c r="V2737" s="38"/>
      <c r="W2737" s="38"/>
      <c r="X2737" s="14"/>
      <c r="AI2737" s="54">
        <v>15</v>
      </c>
      <c r="AM2737" s="1"/>
      <c r="AN2737" s="7" t="s">
        <v>145</v>
      </c>
      <c r="AO2737" s="21">
        <f t="shared" si="134"/>
        <v>15</v>
      </c>
      <c r="AP2737" s="7">
        <f t="shared" si="135"/>
        <v>0</v>
      </c>
      <c r="AQ2737" s="31" t="str">
        <f t="shared" si="136"/>
        <v>Complete - With Adjustment</v>
      </c>
    </row>
    <row r="2738" spans="1:43" x14ac:dyDescent="0.2">
      <c r="A2738" s="46">
        <v>2728</v>
      </c>
      <c r="B2738" s="38" t="s">
        <v>266</v>
      </c>
      <c r="C2738" s="38" t="s">
        <v>783</v>
      </c>
      <c r="D2738" s="38" t="s">
        <v>782</v>
      </c>
      <c r="E2738" s="38" t="s">
        <v>6476</v>
      </c>
      <c r="F2738" s="38" t="s">
        <v>6299</v>
      </c>
      <c r="G2738" s="38" t="s">
        <v>111</v>
      </c>
      <c r="H2738" s="44">
        <v>44167</v>
      </c>
      <c r="I2738" s="44">
        <v>44174</v>
      </c>
      <c r="J2738">
        <v>420</v>
      </c>
      <c r="K2738" s="22">
        <v>15</v>
      </c>
      <c r="L2738" s="22" t="s">
        <v>6477</v>
      </c>
      <c r="M2738" s="45" t="s">
        <v>97</v>
      </c>
      <c r="N2738" s="13" t="s">
        <v>230</v>
      </c>
      <c r="O2738" s="13" t="s">
        <v>365</v>
      </c>
      <c r="P2738" s="13" t="s">
        <v>42</v>
      </c>
      <c r="Q2738" s="13" t="s">
        <v>55</v>
      </c>
      <c r="R2738" s="38" t="s">
        <v>270</v>
      </c>
      <c r="S2738" s="38" t="s">
        <v>6478</v>
      </c>
      <c r="T2738" s="38" t="s">
        <v>6479</v>
      </c>
      <c r="U2738" s="38"/>
      <c r="V2738" s="38"/>
      <c r="W2738" s="38"/>
      <c r="X2738" s="14"/>
      <c r="AI2738" s="54">
        <v>15</v>
      </c>
      <c r="AM2738" s="1"/>
      <c r="AN2738" s="7" t="s">
        <v>145</v>
      </c>
      <c r="AO2738" s="21">
        <f t="shared" si="134"/>
        <v>15</v>
      </c>
      <c r="AP2738" s="7">
        <f t="shared" si="135"/>
        <v>0</v>
      </c>
      <c r="AQ2738" s="31" t="str">
        <f t="shared" si="136"/>
        <v>Complete - With Adjustment</v>
      </c>
    </row>
    <row r="2739" spans="1:43" x14ac:dyDescent="0.2">
      <c r="A2739" s="46">
        <v>2729</v>
      </c>
      <c r="B2739" s="38" t="s">
        <v>266</v>
      </c>
      <c r="C2739" s="38" t="s">
        <v>783</v>
      </c>
      <c r="D2739" s="38" t="s">
        <v>782</v>
      </c>
      <c r="E2739" s="38" t="s">
        <v>6476</v>
      </c>
      <c r="F2739" s="38" t="s">
        <v>6299</v>
      </c>
      <c r="G2739" s="38" t="s">
        <v>111</v>
      </c>
      <c r="H2739" s="44">
        <v>44167</v>
      </c>
      <c r="I2739" s="44">
        <v>44174</v>
      </c>
      <c r="J2739">
        <v>420</v>
      </c>
      <c r="K2739" s="22">
        <v>15</v>
      </c>
      <c r="L2739" s="22" t="s">
        <v>6477</v>
      </c>
      <c r="M2739" s="45" t="s">
        <v>97</v>
      </c>
      <c r="N2739" s="13" t="s">
        <v>230</v>
      </c>
      <c r="O2739" s="13" t="s">
        <v>365</v>
      </c>
      <c r="P2739" s="13" t="s">
        <v>42</v>
      </c>
      <c r="Q2739" s="13" t="s">
        <v>55</v>
      </c>
      <c r="R2739" s="38" t="s">
        <v>270</v>
      </c>
      <c r="S2739" s="38" t="s">
        <v>6478</v>
      </c>
      <c r="T2739" s="38" t="s">
        <v>6479</v>
      </c>
      <c r="U2739" s="38"/>
      <c r="V2739" s="38"/>
      <c r="W2739" s="38"/>
      <c r="X2739" s="14"/>
      <c r="AI2739" s="54">
        <v>15</v>
      </c>
      <c r="AM2739" s="1"/>
      <c r="AN2739" s="7" t="s">
        <v>145</v>
      </c>
      <c r="AO2739" s="21">
        <f t="shared" si="134"/>
        <v>15</v>
      </c>
      <c r="AP2739" s="7">
        <f t="shared" si="135"/>
        <v>0</v>
      </c>
      <c r="AQ2739" s="31" t="str">
        <f t="shared" si="136"/>
        <v>Complete - With Adjustment</v>
      </c>
    </row>
    <row r="2740" spans="1:43" x14ac:dyDescent="0.2">
      <c r="A2740" s="46">
        <v>2730</v>
      </c>
      <c r="B2740" s="38" t="s">
        <v>266</v>
      </c>
      <c r="C2740" s="38" t="s">
        <v>783</v>
      </c>
      <c r="D2740" s="38" t="s">
        <v>782</v>
      </c>
      <c r="E2740" s="38" t="s">
        <v>6476</v>
      </c>
      <c r="F2740" s="38" t="s">
        <v>6299</v>
      </c>
      <c r="G2740" s="38" t="s">
        <v>111</v>
      </c>
      <c r="H2740" s="44">
        <v>44167</v>
      </c>
      <c r="I2740" s="44">
        <v>44174</v>
      </c>
      <c r="J2740">
        <v>420</v>
      </c>
      <c r="K2740" s="22">
        <v>30</v>
      </c>
      <c r="L2740" s="22" t="s">
        <v>6477</v>
      </c>
      <c r="M2740" s="45" t="s">
        <v>97</v>
      </c>
      <c r="N2740" s="13" t="s">
        <v>230</v>
      </c>
      <c r="O2740" s="13" t="s">
        <v>365</v>
      </c>
      <c r="P2740" s="13" t="s">
        <v>42</v>
      </c>
      <c r="Q2740" s="13" t="s">
        <v>55</v>
      </c>
      <c r="R2740" s="38" t="s">
        <v>270</v>
      </c>
      <c r="S2740" s="38" t="s">
        <v>6478</v>
      </c>
      <c r="T2740" s="38" t="s">
        <v>6480</v>
      </c>
      <c r="U2740" s="38"/>
      <c r="V2740" s="38"/>
      <c r="W2740" s="38"/>
      <c r="X2740" s="14"/>
      <c r="AI2740" s="53">
        <v>30</v>
      </c>
      <c r="AM2740" s="1"/>
      <c r="AN2740" s="7" t="s">
        <v>145</v>
      </c>
      <c r="AO2740" s="21">
        <f t="shared" si="134"/>
        <v>30</v>
      </c>
      <c r="AP2740" s="7">
        <f t="shared" si="135"/>
        <v>0</v>
      </c>
      <c r="AQ2740" s="31" t="str">
        <f t="shared" si="136"/>
        <v>Complete - With Adjustment</v>
      </c>
    </row>
    <row r="2741" spans="1:43" x14ac:dyDescent="0.2">
      <c r="A2741" s="46">
        <v>2731</v>
      </c>
      <c r="B2741" s="38" t="s">
        <v>266</v>
      </c>
      <c r="C2741" s="38" t="s">
        <v>783</v>
      </c>
      <c r="D2741" s="38" t="s">
        <v>782</v>
      </c>
      <c r="E2741" s="38" t="s">
        <v>6476</v>
      </c>
      <c r="F2741" s="38" t="s">
        <v>6299</v>
      </c>
      <c r="G2741" s="38" t="s">
        <v>111</v>
      </c>
      <c r="H2741" s="44">
        <v>44167</v>
      </c>
      <c r="I2741" s="44">
        <v>44174</v>
      </c>
      <c r="J2741">
        <v>420</v>
      </c>
      <c r="K2741" s="22">
        <v>10</v>
      </c>
      <c r="L2741" s="22" t="s">
        <v>6477</v>
      </c>
      <c r="M2741" s="45" t="s">
        <v>97</v>
      </c>
      <c r="N2741" s="13" t="s">
        <v>230</v>
      </c>
      <c r="O2741" s="13" t="s">
        <v>365</v>
      </c>
      <c r="P2741" s="13" t="s">
        <v>42</v>
      </c>
      <c r="Q2741" s="13" t="s">
        <v>55</v>
      </c>
      <c r="R2741" s="38" t="s">
        <v>270</v>
      </c>
      <c r="S2741" s="38" t="s">
        <v>6478</v>
      </c>
      <c r="T2741" s="38" t="s">
        <v>6481</v>
      </c>
      <c r="U2741" s="38"/>
      <c r="V2741" s="38"/>
      <c r="W2741" s="38"/>
      <c r="X2741" s="14"/>
      <c r="AI2741" s="54">
        <v>10</v>
      </c>
      <c r="AM2741" s="1"/>
      <c r="AN2741" s="7" t="s">
        <v>145</v>
      </c>
      <c r="AO2741" s="21">
        <f t="shared" si="134"/>
        <v>10</v>
      </c>
      <c r="AP2741" s="7">
        <f t="shared" si="135"/>
        <v>0</v>
      </c>
      <c r="AQ2741" s="31" t="str">
        <f t="shared" si="136"/>
        <v>Complete - With Adjustment</v>
      </c>
    </row>
    <row r="2742" spans="1:43" x14ac:dyDescent="0.2">
      <c r="A2742" s="46">
        <v>2732</v>
      </c>
      <c r="B2742" s="38" t="s">
        <v>266</v>
      </c>
      <c r="C2742" s="38" t="s">
        <v>783</v>
      </c>
      <c r="D2742" s="38" t="s">
        <v>782</v>
      </c>
      <c r="E2742" s="38" t="s">
        <v>6476</v>
      </c>
      <c r="F2742" s="38" t="s">
        <v>6299</v>
      </c>
      <c r="G2742" s="38" t="s">
        <v>111</v>
      </c>
      <c r="H2742" s="44">
        <v>44167</v>
      </c>
      <c r="I2742" s="44">
        <v>44174</v>
      </c>
      <c r="J2742">
        <v>420</v>
      </c>
      <c r="K2742" s="22">
        <v>15</v>
      </c>
      <c r="L2742" s="22" t="s">
        <v>6477</v>
      </c>
      <c r="M2742" s="45" t="s">
        <v>97</v>
      </c>
      <c r="N2742" s="13" t="s">
        <v>230</v>
      </c>
      <c r="O2742" s="13" t="s">
        <v>365</v>
      </c>
      <c r="P2742" s="13" t="s">
        <v>42</v>
      </c>
      <c r="Q2742" s="13" t="s">
        <v>55</v>
      </c>
      <c r="R2742" s="38" t="s">
        <v>270</v>
      </c>
      <c r="S2742" s="38" t="s">
        <v>6478</v>
      </c>
      <c r="T2742" s="38" t="s">
        <v>6479</v>
      </c>
      <c r="U2742" s="38"/>
      <c r="V2742" s="38"/>
      <c r="W2742" s="38"/>
      <c r="X2742" s="14"/>
      <c r="AI2742" s="54">
        <v>15</v>
      </c>
      <c r="AM2742" s="1"/>
      <c r="AN2742" s="7" t="s">
        <v>145</v>
      </c>
      <c r="AO2742" s="21">
        <f t="shared" si="134"/>
        <v>15</v>
      </c>
      <c r="AP2742" s="7">
        <f t="shared" si="135"/>
        <v>0</v>
      </c>
      <c r="AQ2742" s="31" t="str">
        <f t="shared" si="136"/>
        <v>Complete - With Adjustment</v>
      </c>
    </row>
    <row r="2743" spans="1:43" x14ac:dyDescent="0.2">
      <c r="A2743" s="46">
        <v>2733</v>
      </c>
      <c r="B2743" s="38" t="s">
        <v>266</v>
      </c>
      <c r="C2743" s="38" t="s">
        <v>783</v>
      </c>
      <c r="D2743" s="38" t="s">
        <v>782</v>
      </c>
      <c r="E2743" s="38" t="s">
        <v>6476</v>
      </c>
      <c r="F2743" s="38" t="s">
        <v>6299</v>
      </c>
      <c r="G2743" s="38" t="s">
        <v>111</v>
      </c>
      <c r="H2743" s="44">
        <v>44167</v>
      </c>
      <c r="I2743" s="44">
        <v>44174</v>
      </c>
      <c r="J2743">
        <v>420</v>
      </c>
      <c r="K2743" s="22">
        <v>20</v>
      </c>
      <c r="L2743" s="22" t="s">
        <v>6477</v>
      </c>
      <c r="M2743" s="45" t="s">
        <v>97</v>
      </c>
      <c r="N2743" s="13" t="s">
        <v>230</v>
      </c>
      <c r="O2743" s="13" t="s">
        <v>365</v>
      </c>
      <c r="P2743" s="13" t="s">
        <v>42</v>
      </c>
      <c r="Q2743" s="13" t="s">
        <v>55</v>
      </c>
      <c r="R2743" s="38" t="s">
        <v>270</v>
      </c>
      <c r="S2743" s="38" t="s">
        <v>6478</v>
      </c>
      <c r="T2743" s="38" t="s">
        <v>6481</v>
      </c>
      <c r="U2743" s="38"/>
      <c r="V2743" s="38"/>
      <c r="W2743" s="38"/>
      <c r="X2743" s="14"/>
      <c r="AI2743" s="54">
        <v>20</v>
      </c>
      <c r="AM2743" s="1"/>
      <c r="AN2743" s="7" t="s">
        <v>145</v>
      </c>
      <c r="AO2743" s="21">
        <f t="shared" si="134"/>
        <v>20</v>
      </c>
      <c r="AP2743" s="7">
        <f t="shared" si="135"/>
        <v>0</v>
      </c>
      <c r="AQ2743" s="31" t="str">
        <f t="shared" si="136"/>
        <v>Complete - With Adjustment</v>
      </c>
    </row>
    <row r="2744" spans="1:43" x14ac:dyDescent="0.2">
      <c r="A2744" s="46">
        <v>2734</v>
      </c>
      <c r="B2744" s="38" t="s">
        <v>266</v>
      </c>
      <c r="C2744" s="38" t="s">
        <v>410</v>
      </c>
      <c r="D2744" s="38" t="s">
        <v>409</v>
      </c>
      <c r="E2744" s="38" t="s">
        <v>6482</v>
      </c>
      <c r="F2744" s="38" t="s">
        <v>6359</v>
      </c>
      <c r="G2744" s="38" t="s">
        <v>111</v>
      </c>
      <c r="H2744" s="44">
        <v>44182</v>
      </c>
      <c r="I2744" s="44">
        <v>44186</v>
      </c>
      <c r="J2744">
        <v>45.64</v>
      </c>
      <c r="K2744" s="22">
        <v>18.02</v>
      </c>
      <c r="L2744" s="22" t="s">
        <v>6483</v>
      </c>
      <c r="M2744" s="45" t="s">
        <v>98</v>
      </c>
      <c r="N2744" s="13" t="s">
        <v>230</v>
      </c>
      <c r="O2744" s="13" t="s">
        <v>292</v>
      </c>
      <c r="P2744" s="13" t="s">
        <v>60</v>
      </c>
      <c r="Q2744" s="13" t="s">
        <v>46</v>
      </c>
      <c r="R2744" s="38" t="s">
        <v>270</v>
      </c>
      <c r="S2744" s="38" t="s">
        <v>6484</v>
      </c>
      <c r="T2744" s="38" t="s">
        <v>6485</v>
      </c>
      <c r="U2744" s="38"/>
      <c r="V2744" s="38"/>
      <c r="W2744" s="38"/>
      <c r="X2744" s="14"/>
      <c r="AI2744" s="53">
        <v>18.02</v>
      </c>
      <c r="AM2744" s="1"/>
      <c r="AN2744" s="7" t="s">
        <v>145</v>
      </c>
      <c r="AO2744" s="21">
        <f t="shared" si="134"/>
        <v>18.02</v>
      </c>
      <c r="AP2744" s="7">
        <f t="shared" si="135"/>
        <v>0</v>
      </c>
      <c r="AQ2744" s="31" t="str">
        <f t="shared" si="136"/>
        <v>Complete - With Adjustment</v>
      </c>
    </row>
    <row r="2745" spans="1:43" x14ac:dyDescent="0.2">
      <c r="A2745" s="46">
        <v>2735</v>
      </c>
      <c r="B2745" s="38" t="s">
        <v>266</v>
      </c>
      <c r="C2745" s="38" t="s">
        <v>410</v>
      </c>
      <c r="D2745" s="38" t="s">
        <v>409</v>
      </c>
      <c r="E2745" s="38" t="s">
        <v>6482</v>
      </c>
      <c r="F2745" s="38" t="s">
        <v>6359</v>
      </c>
      <c r="G2745" s="38" t="s">
        <v>111</v>
      </c>
      <c r="H2745" s="44">
        <v>44182</v>
      </c>
      <c r="I2745" s="44">
        <v>44186</v>
      </c>
      <c r="J2745">
        <v>45.64</v>
      </c>
      <c r="K2745" s="22">
        <v>27.62</v>
      </c>
      <c r="L2745" s="22" t="s">
        <v>6483</v>
      </c>
      <c r="M2745" s="45" t="s">
        <v>98</v>
      </c>
      <c r="N2745" s="13" t="s">
        <v>230</v>
      </c>
      <c r="O2745" s="13" t="s">
        <v>292</v>
      </c>
      <c r="P2745" s="13" t="s">
        <v>60</v>
      </c>
      <c r="Q2745" s="13" t="s">
        <v>46</v>
      </c>
      <c r="R2745" s="38" t="s">
        <v>270</v>
      </c>
      <c r="S2745" s="38" t="s">
        <v>6484</v>
      </c>
      <c r="T2745" s="38" t="s">
        <v>6486</v>
      </c>
      <c r="U2745" s="38"/>
      <c r="V2745" s="38"/>
      <c r="W2745" s="38"/>
      <c r="X2745" s="14"/>
      <c r="AI2745" s="53">
        <v>27.62</v>
      </c>
      <c r="AM2745" s="1"/>
      <c r="AN2745" s="7" t="s">
        <v>145</v>
      </c>
      <c r="AO2745" s="21">
        <f t="shared" si="134"/>
        <v>27.62</v>
      </c>
      <c r="AP2745" s="7">
        <f t="shared" si="135"/>
        <v>0</v>
      </c>
      <c r="AQ2745" s="31" t="str">
        <f t="shared" si="136"/>
        <v>Complete - With Adjustment</v>
      </c>
    </row>
    <row r="2746" spans="1:43" x14ac:dyDescent="0.2">
      <c r="A2746" s="46">
        <v>2736</v>
      </c>
      <c r="B2746" s="38" t="s">
        <v>266</v>
      </c>
      <c r="C2746" s="38" t="s">
        <v>1228</v>
      </c>
      <c r="D2746" s="38" t="s">
        <v>1229</v>
      </c>
      <c r="E2746" s="38" t="s">
        <v>6487</v>
      </c>
      <c r="F2746" s="38" t="s">
        <v>6344</v>
      </c>
      <c r="G2746" s="38" t="s">
        <v>111</v>
      </c>
      <c r="H2746" s="44">
        <v>44166</v>
      </c>
      <c r="I2746" s="44">
        <v>44169</v>
      </c>
      <c r="J2746">
        <v>27.43</v>
      </c>
      <c r="K2746" s="22">
        <v>27.43</v>
      </c>
      <c r="L2746" s="22" t="s">
        <v>6488</v>
      </c>
      <c r="M2746" s="45" t="s">
        <v>98</v>
      </c>
      <c r="N2746" s="13" t="s">
        <v>230</v>
      </c>
      <c r="O2746" s="13" t="s">
        <v>545</v>
      </c>
      <c r="P2746" s="13" t="s">
        <v>60</v>
      </c>
      <c r="Q2746" s="13" t="s">
        <v>46</v>
      </c>
      <c r="R2746" s="38" t="s">
        <v>270</v>
      </c>
      <c r="S2746" s="38" t="s">
        <v>6489</v>
      </c>
      <c r="T2746" s="38" t="s">
        <v>6490</v>
      </c>
      <c r="U2746" s="38"/>
      <c r="V2746" s="38"/>
      <c r="W2746" s="38"/>
      <c r="X2746" s="14"/>
      <c r="AM2746" s="1"/>
      <c r="AN2746" s="7" t="s">
        <v>70</v>
      </c>
      <c r="AO2746" s="21">
        <f t="shared" si="134"/>
        <v>0</v>
      </c>
      <c r="AP2746" s="7">
        <f t="shared" si="135"/>
        <v>27.43</v>
      </c>
      <c r="AQ2746" s="31" t="str">
        <f t="shared" si="136"/>
        <v>Complete - No Adjustment</v>
      </c>
    </row>
    <row r="2747" spans="1:43" x14ac:dyDescent="0.2">
      <c r="A2747" s="46">
        <v>2737</v>
      </c>
      <c r="B2747" s="38" t="s">
        <v>266</v>
      </c>
      <c r="C2747" s="38" t="s">
        <v>414</v>
      </c>
      <c r="D2747" s="38" t="s">
        <v>413</v>
      </c>
      <c r="E2747" s="38" t="s">
        <v>6491</v>
      </c>
      <c r="F2747" s="38" t="s">
        <v>6288</v>
      </c>
      <c r="G2747" s="38" t="s">
        <v>111</v>
      </c>
      <c r="H2747" s="44">
        <v>44107</v>
      </c>
      <c r="I2747" s="44">
        <v>44181</v>
      </c>
      <c r="J2747">
        <v>54.04</v>
      </c>
      <c r="K2747" s="22">
        <v>27.73</v>
      </c>
      <c r="L2747" s="22" t="s">
        <v>6492</v>
      </c>
      <c r="M2747" s="45" t="s">
        <v>98</v>
      </c>
      <c r="N2747" s="13" t="s">
        <v>230</v>
      </c>
      <c r="O2747" s="13" t="s">
        <v>317</v>
      </c>
      <c r="P2747" s="13" t="s">
        <v>60</v>
      </c>
      <c r="Q2747" s="13" t="s">
        <v>41</v>
      </c>
      <c r="R2747" s="38" t="s">
        <v>270</v>
      </c>
      <c r="S2747" s="38" t="s">
        <v>2522</v>
      </c>
      <c r="T2747" s="38" t="s">
        <v>1869</v>
      </c>
      <c r="U2747" s="38"/>
      <c r="V2747" s="38"/>
      <c r="W2747" s="38"/>
      <c r="X2747" s="14"/>
      <c r="AM2747" s="1"/>
      <c r="AN2747" s="7" t="s">
        <v>70</v>
      </c>
      <c r="AO2747" s="21">
        <f t="shared" si="134"/>
        <v>0</v>
      </c>
      <c r="AP2747" s="7">
        <f t="shared" si="135"/>
        <v>27.73</v>
      </c>
      <c r="AQ2747" s="31" t="str">
        <f t="shared" si="136"/>
        <v>Complete - No Adjustment</v>
      </c>
    </row>
    <row r="2748" spans="1:43" x14ac:dyDescent="0.2">
      <c r="A2748" s="46">
        <v>2738</v>
      </c>
      <c r="B2748" s="38" t="s">
        <v>266</v>
      </c>
      <c r="C2748" s="38" t="s">
        <v>414</v>
      </c>
      <c r="D2748" s="38" t="s">
        <v>413</v>
      </c>
      <c r="E2748" s="38" t="s">
        <v>6491</v>
      </c>
      <c r="F2748" s="38" t="s">
        <v>6288</v>
      </c>
      <c r="G2748" s="38" t="s">
        <v>111</v>
      </c>
      <c r="H2748" s="44">
        <v>44107</v>
      </c>
      <c r="I2748" s="44">
        <v>44181</v>
      </c>
      <c r="J2748">
        <v>54.04</v>
      </c>
      <c r="K2748" s="22">
        <v>26.31</v>
      </c>
      <c r="L2748" s="22" t="s">
        <v>6492</v>
      </c>
      <c r="M2748" s="45" t="s">
        <v>98</v>
      </c>
      <c r="N2748" s="13" t="s">
        <v>230</v>
      </c>
      <c r="O2748" s="13" t="s">
        <v>317</v>
      </c>
      <c r="P2748" s="13" t="s">
        <v>60</v>
      </c>
      <c r="Q2748" s="13" t="s">
        <v>41</v>
      </c>
      <c r="R2748" s="38" t="s">
        <v>270</v>
      </c>
      <c r="S2748" s="38" t="s">
        <v>2522</v>
      </c>
      <c r="T2748" s="38" t="s">
        <v>1869</v>
      </c>
      <c r="U2748" s="38"/>
      <c r="V2748" s="38"/>
      <c r="W2748" s="38"/>
      <c r="X2748" s="14"/>
      <c r="AC2748" s="53">
        <v>4</v>
      </c>
      <c r="AM2748" s="1"/>
      <c r="AN2748" s="7" t="s">
        <v>67</v>
      </c>
      <c r="AO2748" s="21">
        <f t="shared" si="134"/>
        <v>4</v>
      </c>
      <c r="AP2748" s="7">
        <f t="shared" si="135"/>
        <v>22.31</v>
      </c>
      <c r="AQ2748" s="31" t="str">
        <f t="shared" si="136"/>
        <v>Complete - With Adjustment</v>
      </c>
    </row>
    <row r="2749" spans="1:43" x14ac:dyDescent="0.2">
      <c r="A2749" s="46">
        <v>2739</v>
      </c>
      <c r="B2749" s="38" t="s">
        <v>266</v>
      </c>
      <c r="C2749" s="38" t="s">
        <v>414</v>
      </c>
      <c r="D2749" s="38" t="s">
        <v>413</v>
      </c>
      <c r="E2749" s="38" t="s">
        <v>6493</v>
      </c>
      <c r="F2749" s="38" t="s">
        <v>6284</v>
      </c>
      <c r="G2749" s="38" t="s">
        <v>111</v>
      </c>
      <c r="H2749" s="44">
        <v>44124</v>
      </c>
      <c r="I2749" s="44">
        <v>44183</v>
      </c>
      <c r="J2749">
        <v>249.53</v>
      </c>
      <c r="K2749" s="22">
        <v>25.06</v>
      </c>
      <c r="L2749" s="22" t="s">
        <v>6494</v>
      </c>
      <c r="M2749" s="45" t="s">
        <v>98</v>
      </c>
      <c r="N2749" s="13" t="s">
        <v>230</v>
      </c>
      <c r="O2749" s="13" t="s">
        <v>317</v>
      </c>
      <c r="P2749" s="13" t="s">
        <v>60</v>
      </c>
      <c r="Q2749" s="13" t="s">
        <v>41</v>
      </c>
      <c r="R2749" s="38" t="s">
        <v>270</v>
      </c>
      <c r="S2749" s="38" t="s">
        <v>6495</v>
      </c>
      <c r="T2749" s="38" t="s">
        <v>1869</v>
      </c>
      <c r="U2749" s="38"/>
      <c r="V2749" s="38"/>
      <c r="W2749" s="38"/>
      <c r="X2749" s="14"/>
      <c r="AC2749" s="53">
        <v>4</v>
      </c>
      <c r="AM2749" s="1"/>
      <c r="AN2749" s="7" t="s">
        <v>67</v>
      </c>
      <c r="AO2749" s="21">
        <f t="shared" si="134"/>
        <v>4</v>
      </c>
      <c r="AP2749" s="7">
        <f t="shared" si="135"/>
        <v>21.06</v>
      </c>
      <c r="AQ2749" s="31" t="str">
        <f t="shared" si="136"/>
        <v>Complete - With Adjustment</v>
      </c>
    </row>
    <row r="2750" spans="1:43" x14ac:dyDescent="0.2">
      <c r="A2750" s="46">
        <v>2740</v>
      </c>
      <c r="B2750" s="38" t="s">
        <v>266</v>
      </c>
      <c r="C2750" s="38" t="s">
        <v>414</v>
      </c>
      <c r="D2750" s="38" t="s">
        <v>413</v>
      </c>
      <c r="E2750" s="38" t="s">
        <v>6493</v>
      </c>
      <c r="F2750" s="38" t="s">
        <v>6284</v>
      </c>
      <c r="G2750" s="38" t="s">
        <v>111</v>
      </c>
      <c r="H2750" s="44">
        <v>44124</v>
      </c>
      <c r="I2750" s="44">
        <v>44183</v>
      </c>
      <c r="J2750">
        <v>249.53</v>
      </c>
      <c r="K2750" s="22">
        <v>19.97</v>
      </c>
      <c r="L2750" s="22" t="s">
        <v>6494</v>
      </c>
      <c r="M2750" s="45" t="s">
        <v>98</v>
      </c>
      <c r="N2750" s="13" t="s">
        <v>230</v>
      </c>
      <c r="O2750" s="13" t="s">
        <v>317</v>
      </c>
      <c r="P2750" s="13" t="s">
        <v>60</v>
      </c>
      <c r="Q2750" s="13" t="s">
        <v>41</v>
      </c>
      <c r="R2750" s="38" t="s">
        <v>270</v>
      </c>
      <c r="S2750" s="38" t="s">
        <v>6495</v>
      </c>
      <c r="T2750" s="38" t="s">
        <v>6496</v>
      </c>
      <c r="U2750" s="38"/>
      <c r="V2750" s="38"/>
      <c r="W2750" s="38"/>
      <c r="X2750" s="14"/>
      <c r="AC2750" s="53">
        <v>3</v>
      </c>
      <c r="AM2750" s="1"/>
      <c r="AN2750" s="7" t="s">
        <v>6337</v>
      </c>
      <c r="AO2750" s="21">
        <f t="shared" si="134"/>
        <v>3</v>
      </c>
      <c r="AP2750" s="7">
        <f t="shared" si="135"/>
        <v>16.97</v>
      </c>
      <c r="AQ2750" s="31" t="str">
        <f t="shared" si="136"/>
        <v>Complete - With Adjustment</v>
      </c>
    </row>
    <row r="2751" spans="1:43" x14ac:dyDescent="0.2">
      <c r="A2751" s="46">
        <v>2741</v>
      </c>
      <c r="B2751" s="38" t="s">
        <v>266</v>
      </c>
      <c r="C2751" s="38" t="s">
        <v>414</v>
      </c>
      <c r="D2751" s="38" t="s">
        <v>413</v>
      </c>
      <c r="E2751" s="38" t="s">
        <v>6493</v>
      </c>
      <c r="F2751" s="38" t="s">
        <v>6284</v>
      </c>
      <c r="G2751" s="38" t="s">
        <v>111</v>
      </c>
      <c r="H2751" s="44">
        <v>44124</v>
      </c>
      <c r="I2751" s="44">
        <v>44183</v>
      </c>
      <c r="J2751">
        <v>249.53</v>
      </c>
      <c r="K2751" s="22">
        <v>28.79</v>
      </c>
      <c r="L2751" s="22" t="s">
        <v>6494</v>
      </c>
      <c r="M2751" s="45" t="s">
        <v>98</v>
      </c>
      <c r="N2751" s="13" t="s">
        <v>230</v>
      </c>
      <c r="O2751" s="13" t="s">
        <v>317</v>
      </c>
      <c r="P2751" s="13" t="s">
        <v>60</v>
      </c>
      <c r="Q2751" s="13" t="s">
        <v>41</v>
      </c>
      <c r="R2751" s="38" t="s">
        <v>270</v>
      </c>
      <c r="S2751" s="38" t="s">
        <v>6495</v>
      </c>
      <c r="T2751" s="38" t="s">
        <v>1869</v>
      </c>
      <c r="U2751" s="38"/>
      <c r="V2751" s="38"/>
      <c r="W2751" s="38"/>
      <c r="X2751" s="14"/>
      <c r="AC2751" s="53">
        <v>5</v>
      </c>
      <c r="AM2751" s="1"/>
      <c r="AN2751" s="7" t="s">
        <v>67</v>
      </c>
      <c r="AO2751" s="21">
        <f t="shared" si="134"/>
        <v>5</v>
      </c>
      <c r="AP2751" s="7">
        <f t="shared" si="135"/>
        <v>23.79</v>
      </c>
      <c r="AQ2751" s="31" t="str">
        <f t="shared" si="136"/>
        <v>Complete - With Adjustment</v>
      </c>
    </row>
    <row r="2752" spans="1:43" x14ac:dyDescent="0.2">
      <c r="A2752" s="46">
        <v>2742</v>
      </c>
      <c r="B2752" s="38" t="s">
        <v>266</v>
      </c>
      <c r="C2752" s="38" t="s">
        <v>414</v>
      </c>
      <c r="D2752" s="38" t="s">
        <v>413</v>
      </c>
      <c r="E2752" s="38" t="s">
        <v>6493</v>
      </c>
      <c r="F2752" s="38" t="s">
        <v>6284</v>
      </c>
      <c r="G2752" s="38" t="s">
        <v>111</v>
      </c>
      <c r="H2752" s="44">
        <v>44124</v>
      </c>
      <c r="I2752" s="44">
        <v>44183</v>
      </c>
      <c r="J2752">
        <v>249.53</v>
      </c>
      <c r="K2752" s="22">
        <v>29.47</v>
      </c>
      <c r="L2752" s="22" t="s">
        <v>6494</v>
      </c>
      <c r="M2752" s="45" t="s">
        <v>98</v>
      </c>
      <c r="N2752" s="13" t="s">
        <v>230</v>
      </c>
      <c r="O2752" s="13" t="s">
        <v>317</v>
      </c>
      <c r="P2752" s="13" t="s">
        <v>60</v>
      </c>
      <c r="Q2752" s="13" t="s">
        <v>41</v>
      </c>
      <c r="R2752" s="38" t="s">
        <v>270</v>
      </c>
      <c r="S2752" s="38" t="s">
        <v>6495</v>
      </c>
      <c r="T2752" s="38" t="s">
        <v>1869</v>
      </c>
      <c r="U2752" s="38"/>
      <c r="V2752" s="38"/>
      <c r="W2752" s="38"/>
      <c r="X2752" s="14"/>
      <c r="AC2752" s="53">
        <v>4</v>
      </c>
      <c r="AM2752" s="1"/>
      <c r="AN2752" s="7" t="s">
        <v>6337</v>
      </c>
      <c r="AO2752" s="21">
        <f t="shared" si="134"/>
        <v>4</v>
      </c>
      <c r="AP2752" s="7">
        <f t="shared" si="135"/>
        <v>25.47</v>
      </c>
      <c r="AQ2752" s="31" t="str">
        <f t="shared" si="136"/>
        <v>Complete - With Adjustment</v>
      </c>
    </row>
    <row r="2753" spans="1:43" x14ac:dyDescent="0.2">
      <c r="A2753" s="46">
        <v>2743</v>
      </c>
      <c r="B2753" s="38" t="s">
        <v>266</v>
      </c>
      <c r="C2753" s="38" t="s">
        <v>414</v>
      </c>
      <c r="D2753" s="38" t="s">
        <v>413</v>
      </c>
      <c r="E2753" s="38" t="s">
        <v>6493</v>
      </c>
      <c r="F2753" s="38" t="s">
        <v>6284</v>
      </c>
      <c r="G2753" s="38" t="s">
        <v>111</v>
      </c>
      <c r="H2753" s="44">
        <v>44124</v>
      </c>
      <c r="I2753" s="44">
        <v>44183</v>
      </c>
      <c r="J2753">
        <v>249.53</v>
      </c>
      <c r="K2753" s="22">
        <v>19.43</v>
      </c>
      <c r="L2753" s="22" t="s">
        <v>6494</v>
      </c>
      <c r="M2753" s="45" t="s">
        <v>98</v>
      </c>
      <c r="N2753" s="13" t="s">
        <v>230</v>
      </c>
      <c r="O2753" s="13" t="s">
        <v>317</v>
      </c>
      <c r="P2753" s="13" t="s">
        <v>60</v>
      </c>
      <c r="Q2753" s="13" t="s">
        <v>41</v>
      </c>
      <c r="R2753" s="38" t="s">
        <v>270</v>
      </c>
      <c r="S2753" s="38" t="s">
        <v>6495</v>
      </c>
      <c r="T2753" s="38" t="s">
        <v>6496</v>
      </c>
      <c r="U2753" s="38"/>
      <c r="V2753" s="38"/>
      <c r="W2753" s="38"/>
      <c r="X2753" s="14"/>
      <c r="AC2753" s="53">
        <v>3</v>
      </c>
      <c r="AM2753" s="1"/>
      <c r="AN2753" s="7" t="s">
        <v>6337</v>
      </c>
      <c r="AO2753" s="21">
        <f t="shared" si="134"/>
        <v>3</v>
      </c>
      <c r="AP2753" s="7">
        <f t="shared" si="135"/>
        <v>16.43</v>
      </c>
      <c r="AQ2753" s="31" t="str">
        <f t="shared" si="136"/>
        <v>Complete - With Adjustment</v>
      </c>
    </row>
    <row r="2754" spans="1:43" x14ac:dyDescent="0.2">
      <c r="A2754" s="46">
        <v>2744</v>
      </c>
      <c r="B2754" s="38" t="s">
        <v>266</v>
      </c>
      <c r="C2754" s="38" t="s">
        <v>414</v>
      </c>
      <c r="D2754" s="38" t="s">
        <v>413</v>
      </c>
      <c r="E2754" s="38" t="s">
        <v>6493</v>
      </c>
      <c r="F2754" s="38" t="s">
        <v>6284</v>
      </c>
      <c r="G2754" s="38" t="s">
        <v>111</v>
      </c>
      <c r="H2754" s="44">
        <v>44124</v>
      </c>
      <c r="I2754" s="44">
        <v>44183</v>
      </c>
      <c r="J2754">
        <v>249.53</v>
      </c>
      <c r="K2754" s="22">
        <v>26.59</v>
      </c>
      <c r="L2754" s="22" t="s">
        <v>6494</v>
      </c>
      <c r="M2754" s="45" t="s">
        <v>98</v>
      </c>
      <c r="N2754" s="13" t="s">
        <v>230</v>
      </c>
      <c r="O2754" s="13" t="s">
        <v>317</v>
      </c>
      <c r="P2754" s="13" t="s">
        <v>60</v>
      </c>
      <c r="Q2754" s="13" t="s">
        <v>41</v>
      </c>
      <c r="R2754" s="38" t="s">
        <v>270</v>
      </c>
      <c r="S2754" s="38" t="s">
        <v>6495</v>
      </c>
      <c r="T2754" s="38" t="s">
        <v>810</v>
      </c>
      <c r="U2754" s="38"/>
      <c r="V2754" s="38"/>
      <c r="W2754" s="38"/>
      <c r="X2754" s="14"/>
      <c r="AC2754" s="53">
        <v>4</v>
      </c>
      <c r="AM2754" s="1"/>
      <c r="AN2754" s="7" t="s">
        <v>67</v>
      </c>
      <c r="AO2754" s="21">
        <f t="shared" si="134"/>
        <v>4</v>
      </c>
      <c r="AP2754" s="7">
        <f t="shared" si="135"/>
        <v>22.59</v>
      </c>
      <c r="AQ2754" s="31" t="str">
        <f t="shared" si="136"/>
        <v>Complete - With Adjustment</v>
      </c>
    </row>
    <row r="2755" spans="1:43" x14ac:dyDescent="0.2">
      <c r="A2755" s="46">
        <v>2745</v>
      </c>
      <c r="B2755" s="38" t="s">
        <v>266</v>
      </c>
      <c r="C2755" s="38" t="s">
        <v>414</v>
      </c>
      <c r="D2755" s="38" t="s">
        <v>413</v>
      </c>
      <c r="E2755" s="38" t="s">
        <v>6493</v>
      </c>
      <c r="F2755" s="38" t="s">
        <v>6284</v>
      </c>
      <c r="G2755" s="38" t="s">
        <v>111</v>
      </c>
      <c r="H2755" s="44">
        <v>44124</v>
      </c>
      <c r="I2755" s="44">
        <v>44183</v>
      </c>
      <c r="J2755">
        <v>249.53</v>
      </c>
      <c r="K2755" s="22">
        <v>19.97</v>
      </c>
      <c r="L2755" s="22" t="s">
        <v>6494</v>
      </c>
      <c r="M2755" s="45" t="s">
        <v>98</v>
      </c>
      <c r="N2755" s="13" t="s">
        <v>230</v>
      </c>
      <c r="O2755" s="13" t="s">
        <v>317</v>
      </c>
      <c r="P2755" s="13" t="s">
        <v>60</v>
      </c>
      <c r="Q2755" s="13" t="s">
        <v>41</v>
      </c>
      <c r="R2755" s="38" t="s">
        <v>270</v>
      </c>
      <c r="S2755" s="38" t="s">
        <v>6495</v>
      </c>
      <c r="T2755" s="38" t="s">
        <v>6496</v>
      </c>
      <c r="U2755" s="38"/>
      <c r="V2755" s="38"/>
      <c r="W2755" s="38"/>
      <c r="X2755" s="14"/>
      <c r="AC2755" s="53">
        <v>3</v>
      </c>
      <c r="AM2755" s="1"/>
      <c r="AN2755" s="7" t="s">
        <v>6337</v>
      </c>
      <c r="AO2755" s="21">
        <f t="shared" si="134"/>
        <v>3</v>
      </c>
      <c r="AP2755" s="7">
        <f t="shared" si="135"/>
        <v>16.97</v>
      </c>
      <c r="AQ2755" s="31" t="str">
        <f t="shared" si="136"/>
        <v>Complete - With Adjustment</v>
      </c>
    </row>
    <row r="2756" spans="1:43" x14ac:dyDescent="0.2">
      <c r="A2756" s="46">
        <v>2746</v>
      </c>
      <c r="B2756" s="38" t="s">
        <v>266</v>
      </c>
      <c r="C2756" s="38" t="s">
        <v>414</v>
      </c>
      <c r="D2756" s="38" t="s">
        <v>413</v>
      </c>
      <c r="E2756" s="38" t="s">
        <v>6493</v>
      </c>
      <c r="F2756" s="38" t="s">
        <v>6284</v>
      </c>
      <c r="G2756" s="38" t="s">
        <v>111</v>
      </c>
      <c r="H2756" s="44">
        <v>44124</v>
      </c>
      <c r="I2756" s="44">
        <v>44183</v>
      </c>
      <c r="J2756">
        <v>249.53</v>
      </c>
      <c r="K2756" s="22">
        <v>19.43</v>
      </c>
      <c r="L2756" s="22" t="s">
        <v>6494</v>
      </c>
      <c r="M2756" s="45" t="s">
        <v>98</v>
      </c>
      <c r="N2756" s="13" t="s">
        <v>230</v>
      </c>
      <c r="O2756" s="13" t="s">
        <v>317</v>
      </c>
      <c r="P2756" s="13" t="s">
        <v>60</v>
      </c>
      <c r="Q2756" s="13" t="s">
        <v>41</v>
      </c>
      <c r="R2756" s="38" t="s">
        <v>270</v>
      </c>
      <c r="S2756" s="38" t="s">
        <v>6495</v>
      </c>
      <c r="T2756" s="38" t="s">
        <v>6496</v>
      </c>
      <c r="U2756" s="38"/>
      <c r="V2756" s="38"/>
      <c r="W2756" s="38"/>
      <c r="X2756" s="14"/>
      <c r="AC2756" s="53">
        <v>3</v>
      </c>
      <c r="AM2756" s="1"/>
      <c r="AN2756" s="7" t="s">
        <v>6337</v>
      </c>
      <c r="AO2756" s="21">
        <f t="shared" si="134"/>
        <v>3</v>
      </c>
      <c r="AP2756" s="7">
        <f t="shared" si="135"/>
        <v>16.43</v>
      </c>
      <c r="AQ2756" s="31" t="str">
        <f t="shared" si="136"/>
        <v>Complete - With Adjustment</v>
      </c>
    </row>
    <row r="2757" spans="1:43" x14ac:dyDescent="0.2">
      <c r="A2757" s="46">
        <v>2747</v>
      </c>
      <c r="B2757" s="38" t="s">
        <v>266</v>
      </c>
      <c r="C2757" s="38" t="s">
        <v>414</v>
      </c>
      <c r="D2757" s="38" t="s">
        <v>413</v>
      </c>
      <c r="E2757" s="38" t="s">
        <v>6493</v>
      </c>
      <c r="F2757" s="38" t="s">
        <v>6284</v>
      </c>
      <c r="G2757" s="38" t="s">
        <v>111</v>
      </c>
      <c r="H2757" s="44">
        <v>44124</v>
      </c>
      <c r="I2757" s="44">
        <v>44183</v>
      </c>
      <c r="J2757">
        <v>249.53</v>
      </c>
      <c r="K2757" s="22">
        <v>21.96</v>
      </c>
      <c r="L2757" s="22" t="s">
        <v>6494</v>
      </c>
      <c r="M2757" s="45" t="s">
        <v>98</v>
      </c>
      <c r="N2757" s="13" t="s">
        <v>230</v>
      </c>
      <c r="O2757" s="13" t="s">
        <v>317</v>
      </c>
      <c r="P2757" s="13" t="s">
        <v>60</v>
      </c>
      <c r="Q2757" s="13" t="s">
        <v>41</v>
      </c>
      <c r="R2757" s="38" t="s">
        <v>270</v>
      </c>
      <c r="S2757" s="38" t="s">
        <v>6495</v>
      </c>
      <c r="T2757" s="38" t="s">
        <v>6496</v>
      </c>
      <c r="U2757" s="38"/>
      <c r="V2757" s="38"/>
      <c r="W2757" s="38"/>
      <c r="X2757" s="14"/>
      <c r="AC2757" s="53">
        <v>3</v>
      </c>
      <c r="AM2757" s="1"/>
      <c r="AN2757" s="7" t="s">
        <v>67</v>
      </c>
      <c r="AO2757" s="21">
        <f t="shared" si="134"/>
        <v>3</v>
      </c>
      <c r="AP2757" s="7">
        <f t="shared" si="135"/>
        <v>18.96</v>
      </c>
      <c r="AQ2757" s="31" t="str">
        <f t="shared" si="136"/>
        <v>Complete - With Adjustment</v>
      </c>
    </row>
    <row r="2758" spans="1:43" x14ac:dyDescent="0.2">
      <c r="A2758" s="46">
        <v>2748</v>
      </c>
      <c r="B2758" s="38" t="s">
        <v>266</v>
      </c>
      <c r="C2758" s="38" t="s">
        <v>414</v>
      </c>
      <c r="D2758" s="38" t="s">
        <v>413</v>
      </c>
      <c r="E2758" s="38" t="s">
        <v>6493</v>
      </c>
      <c r="F2758" s="38" t="s">
        <v>6284</v>
      </c>
      <c r="G2758" s="38" t="s">
        <v>111</v>
      </c>
      <c r="H2758" s="44">
        <v>44124</v>
      </c>
      <c r="I2758" s="44">
        <v>44183</v>
      </c>
      <c r="J2758">
        <v>249.53</v>
      </c>
      <c r="K2758" s="22">
        <v>19.43</v>
      </c>
      <c r="L2758" s="22" t="s">
        <v>6494</v>
      </c>
      <c r="M2758" s="45" t="s">
        <v>98</v>
      </c>
      <c r="N2758" s="13" t="s">
        <v>230</v>
      </c>
      <c r="O2758" s="13" t="s">
        <v>317</v>
      </c>
      <c r="P2758" s="13" t="s">
        <v>60</v>
      </c>
      <c r="Q2758" s="13" t="s">
        <v>41</v>
      </c>
      <c r="R2758" s="38" t="s">
        <v>270</v>
      </c>
      <c r="S2758" s="38" t="s">
        <v>6495</v>
      </c>
      <c r="T2758" s="38" t="s">
        <v>6496</v>
      </c>
      <c r="U2758" s="38"/>
      <c r="V2758" s="38"/>
      <c r="W2758" s="38"/>
      <c r="X2758" s="14"/>
      <c r="AC2758" s="53">
        <v>3</v>
      </c>
      <c r="AM2758" s="1"/>
      <c r="AN2758" s="7" t="s">
        <v>6337</v>
      </c>
      <c r="AO2758" s="21">
        <f t="shared" ref="AO2758:AO2821" si="137">SUM(Y2758:AL2758)</f>
        <v>3</v>
      </c>
      <c r="AP2758" s="7">
        <f t="shared" ref="AP2758:AP2821" si="138">K2758-AO2758</f>
        <v>16.43</v>
      </c>
      <c r="AQ2758" s="31" t="str">
        <f t="shared" ref="AQ2758:AQ2821" si="139">IF(AO2758&lt;&gt;0,"Complete - With Adjustment","Complete - No Adjustment")</f>
        <v>Complete - With Adjustment</v>
      </c>
    </row>
    <row r="2759" spans="1:43" x14ac:dyDescent="0.2">
      <c r="A2759" s="46">
        <v>2749</v>
      </c>
      <c r="B2759" s="38" t="s">
        <v>266</v>
      </c>
      <c r="C2759" s="38" t="s">
        <v>414</v>
      </c>
      <c r="D2759" s="38" t="s">
        <v>413</v>
      </c>
      <c r="E2759" s="38" t="s">
        <v>6493</v>
      </c>
      <c r="F2759" s="38" t="s">
        <v>6284</v>
      </c>
      <c r="G2759" s="38" t="s">
        <v>111</v>
      </c>
      <c r="H2759" s="44">
        <v>44124</v>
      </c>
      <c r="I2759" s="44">
        <v>44183</v>
      </c>
      <c r="J2759">
        <v>249.53</v>
      </c>
      <c r="K2759" s="22">
        <v>19.43</v>
      </c>
      <c r="L2759" s="22" t="s">
        <v>6494</v>
      </c>
      <c r="M2759" s="45" t="s">
        <v>98</v>
      </c>
      <c r="N2759" s="13" t="s">
        <v>230</v>
      </c>
      <c r="O2759" s="13" t="s">
        <v>317</v>
      </c>
      <c r="P2759" s="13" t="s">
        <v>60</v>
      </c>
      <c r="Q2759" s="13" t="s">
        <v>41</v>
      </c>
      <c r="R2759" s="38" t="s">
        <v>270</v>
      </c>
      <c r="S2759" s="38" t="s">
        <v>6495</v>
      </c>
      <c r="T2759" s="38" t="s">
        <v>6496</v>
      </c>
      <c r="U2759" s="38"/>
      <c r="V2759" s="38"/>
      <c r="W2759" s="38"/>
      <c r="X2759" s="14"/>
      <c r="AC2759" s="53">
        <v>3</v>
      </c>
      <c r="AM2759" s="1"/>
      <c r="AN2759" s="7" t="s">
        <v>67</v>
      </c>
      <c r="AO2759" s="21">
        <f t="shared" si="137"/>
        <v>3</v>
      </c>
      <c r="AP2759" s="7">
        <f t="shared" si="138"/>
        <v>16.43</v>
      </c>
      <c r="AQ2759" s="31" t="str">
        <f t="shared" si="139"/>
        <v>Complete - With Adjustment</v>
      </c>
    </row>
    <row r="2760" spans="1:43" x14ac:dyDescent="0.2">
      <c r="A2760" s="46">
        <v>2750</v>
      </c>
      <c r="B2760" s="38" t="s">
        <v>266</v>
      </c>
      <c r="C2760" s="38" t="s">
        <v>416</v>
      </c>
      <c r="D2760" s="38" t="s">
        <v>415</v>
      </c>
      <c r="E2760" s="38" t="s">
        <v>6497</v>
      </c>
      <c r="F2760" s="38" t="s">
        <v>6344</v>
      </c>
      <c r="G2760" s="38" t="s">
        <v>111</v>
      </c>
      <c r="H2760" s="44">
        <v>44165</v>
      </c>
      <c r="I2760" s="44">
        <v>44169</v>
      </c>
      <c r="J2760">
        <v>21.1</v>
      </c>
      <c r="K2760" s="22">
        <v>21.1</v>
      </c>
      <c r="L2760" s="22" t="s">
        <v>6498</v>
      </c>
      <c r="M2760" s="45" t="s">
        <v>98</v>
      </c>
      <c r="N2760" s="13" t="s">
        <v>230</v>
      </c>
      <c r="O2760" s="13" t="s">
        <v>331</v>
      </c>
      <c r="P2760" s="13" t="s">
        <v>60</v>
      </c>
      <c r="Q2760" s="13" t="s">
        <v>46</v>
      </c>
      <c r="R2760" s="38" t="s">
        <v>270</v>
      </c>
      <c r="S2760" s="38" t="s">
        <v>6499</v>
      </c>
      <c r="T2760" s="38" t="s">
        <v>6500</v>
      </c>
      <c r="U2760" s="38"/>
      <c r="V2760" s="38"/>
      <c r="W2760" s="38"/>
      <c r="X2760" s="14"/>
      <c r="AM2760" s="1"/>
      <c r="AN2760" s="7" t="s">
        <v>70</v>
      </c>
      <c r="AO2760" s="21">
        <f t="shared" si="137"/>
        <v>0</v>
      </c>
      <c r="AP2760" s="7">
        <f t="shared" si="138"/>
        <v>21.1</v>
      </c>
      <c r="AQ2760" s="31" t="str">
        <f t="shared" si="139"/>
        <v>Complete - No Adjustment</v>
      </c>
    </row>
    <row r="2761" spans="1:43" x14ac:dyDescent="0.2">
      <c r="A2761" s="46">
        <v>2751</v>
      </c>
      <c r="B2761" s="38" t="s">
        <v>266</v>
      </c>
      <c r="C2761" s="38" t="s">
        <v>6501</v>
      </c>
      <c r="D2761" s="38" t="s">
        <v>6502</v>
      </c>
      <c r="E2761" s="38" t="s">
        <v>6503</v>
      </c>
      <c r="F2761" s="38" t="s">
        <v>6428</v>
      </c>
      <c r="G2761" s="38" t="s">
        <v>111</v>
      </c>
      <c r="H2761" s="44">
        <v>44179</v>
      </c>
      <c r="I2761" s="44">
        <v>44182</v>
      </c>
      <c r="J2761">
        <v>40.450000000000003</v>
      </c>
      <c r="K2761" s="22">
        <v>40.450000000000003</v>
      </c>
      <c r="L2761" s="22" t="s">
        <v>6504</v>
      </c>
      <c r="M2761" s="45" t="s">
        <v>98</v>
      </c>
      <c r="N2761" s="13" t="s">
        <v>230</v>
      </c>
      <c r="O2761" s="13" t="s">
        <v>484</v>
      </c>
      <c r="P2761" s="13" t="s">
        <v>60</v>
      </c>
      <c r="Q2761" s="13" t="s">
        <v>41</v>
      </c>
      <c r="R2761" s="38" t="s">
        <v>270</v>
      </c>
      <c r="S2761" s="38" t="s">
        <v>6505</v>
      </c>
      <c r="T2761" s="38" t="s">
        <v>6506</v>
      </c>
      <c r="U2761" s="38"/>
      <c r="V2761" s="38"/>
      <c r="W2761" s="38"/>
      <c r="X2761" s="14"/>
      <c r="AI2761" s="53">
        <v>40.450000000000003</v>
      </c>
      <c r="AM2761" s="1"/>
      <c r="AN2761" s="7" t="s">
        <v>145</v>
      </c>
      <c r="AO2761" s="21">
        <f t="shared" si="137"/>
        <v>40.450000000000003</v>
      </c>
      <c r="AP2761" s="7">
        <f t="shared" si="138"/>
        <v>0</v>
      </c>
      <c r="AQ2761" s="31" t="str">
        <f t="shared" si="139"/>
        <v>Complete - With Adjustment</v>
      </c>
    </row>
    <row r="2762" spans="1:43" x14ac:dyDescent="0.2">
      <c r="A2762" s="46">
        <v>2752</v>
      </c>
      <c r="B2762" s="38" t="s">
        <v>266</v>
      </c>
      <c r="C2762" s="38" t="s">
        <v>428</v>
      </c>
      <c r="D2762" s="38" t="s">
        <v>2570</v>
      </c>
      <c r="E2762" s="38" t="s">
        <v>6507</v>
      </c>
      <c r="F2762" s="38" t="s">
        <v>6359</v>
      </c>
      <c r="G2762" s="38" t="s">
        <v>111</v>
      </c>
      <c r="H2762" s="44">
        <v>44182</v>
      </c>
      <c r="I2762" s="44">
        <v>44186</v>
      </c>
      <c r="J2762">
        <v>15.14</v>
      </c>
      <c r="K2762" s="22">
        <v>4.54</v>
      </c>
      <c r="L2762" s="22" t="s">
        <v>6508</v>
      </c>
      <c r="M2762" s="45" t="s">
        <v>97</v>
      </c>
      <c r="N2762" s="13" t="s">
        <v>230</v>
      </c>
      <c r="O2762" s="13" t="s">
        <v>50</v>
      </c>
      <c r="P2762" s="13" t="s">
        <v>72</v>
      </c>
      <c r="Q2762" s="13" t="s">
        <v>41</v>
      </c>
      <c r="R2762" s="38" t="s">
        <v>270</v>
      </c>
      <c r="S2762" s="38" t="s">
        <v>6509</v>
      </c>
      <c r="T2762" s="38" t="s">
        <v>6510</v>
      </c>
      <c r="U2762" s="38"/>
      <c r="V2762" s="38"/>
      <c r="W2762" s="38"/>
      <c r="X2762" s="14"/>
      <c r="AI2762" s="54">
        <v>4.54</v>
      </c>
      <c r="AM2762" s="1"/>
      <c r="AN2762" s="7" t="s">
        <v>145</v>
      </c>
      <c r="AO2762" s="21">
        <f t="shared" si="137"/>
        <v>4.54</v>
      </c>
      <c r="AP2762" s="7">
        <f t="shared" si="138"/>
        <v>0</v>
      </c>
      <c r="AQ2762" s="31" t="str">
        <f t="shared" si="139"/>
        <v>Complete - With Adjustment</v>
      </c>
    </row>
    <row r="2763" spans="1:43" x14ac:dyDescent="0.2">
      <c r="A2763" s="46">
        <v>2753</v>
      </c>
      <c r="B2763" s="38" t="s">
        <v>266</v>
      </c>
      <c r="C2763" s="38" t="s">
        <v>428</v>
      </c>
      <c r="D2763" s="38" t="s">
        <v>2570</v>
      </c>
      <c r="E2763" s="38" t="s">
        <v>6507</v>
      </c>
      <c r="F2763" s="38" t="s">
        <v>6359</v>
      </c>
      <c r="G2763" s="38" t="s">
        <v>111</v>
      </c>
      <c r="H2763" s="44">
        <v>44182</v>
      </c>
      <c r="I2763" s="44">
        <v>44186</v>
      </c>
      <c r="J2763">
        <v>15.14</v>
      </c>
      <c r="K2763" s="22">
        <v>10.6</v>
      </c>
      <c r="L2763" s="22" t="s">
        <v>6508</v>
      </c>
      <c r="M2763" s="45" t="s">
        <v>98</v>
      </c>
      <c r="N2763" s="13" t="s">
        <v>230</v>
      </c>
      <c r="O2763" s="13" t="s">
        <v>356</v>
      </c>
      <c r="P2763" s="13" t="s">
        <v>60</v>
      </c>
      <c r="Q2763" s="13" t="s">
        <v>41</v>
      </c>
      <c r="R2763" s="38" t="s">
        <v>270</v>
      </c>
      <c r="S2763" s="38" t="s">
        <v>6509</v>
      </c>
      <c r="T2763" s="38" t="s">
        <v>6510</v>
      </c>
      <c r="U2763" s="38"/>
      <c r="V2763" s="38"/>
      <c r="W2763" s="38"/>
      <c r="X2763" s="14"/>
      <c r="AI2763" s="54">
        <v>10.6</v>
      </c>
      <c r="AM2763" s="1"/>
      <c r="AN2763" s="7" t="s">
        <v>145</v>
      </c>
      <c r="AO2763" s="21">
        <f t="shared" si="137"/>
        <v>10.6</v>
      </c>
      <c r="AP2763" s="7">
        <f t="shared" si="138"/>
        <v>0</v>
      </c>
      <c r="AQ2763" s="31" t="str">
        <f t="shared" si="139"/>
        <v>Complete - With Adjustment</v>
      </c>
    </row>
    <row r="2764" spans="1:43" x14ac:dyDescent="0.2">
      <c r="A2764" s="46">
        <v>2754</v>
      </c>
      <c r="B2764" s="38" t="s">
        <v>266</v>
      </c>
      <c r="C2764" s="38" t="s">
        <v>710</v>
      </c>
      <c r="D2764" s="38" t="s">
        <v>709</v>
      </c>
      <c r="E2764" s="38" t="s">
        <v>6511</v>
      </c>
      <c r="F2764" s="38" t="s">
        <v>6288</v>
      </c>
      <c r="G2764" s="38" t="s">
        <v>111</v>
      </c>
      <c r="H2764" s="44">
        <v>44179</v>
      </c>
      <c r="I2764" s="44">
        <v>44181</v>
      </c>
      <c r="J2764">
        <v>12.43</v>
      </c>
      <c r="K2764" s="22">
        <v>12.43</v>
      </c>
      <c r="L2764" s="22" t="s">
        <v>6512</v>
      </c>
      <c r="M2764" s="45" t="s">
        <v>98</v>
      </c>
      <c r="N2764" s="13" t="s">
        <v>230</v>
      </c>
      <c r="O2764" s="13" t="s">
        <v>288</v>
      </c>
      <c r="P2764" s="13" t="s">
        <v>60</v>
      </c>
      <c r="Q2764" s="13" t="s">
        <v>41</v>
      </c>
      <c r="R2764" s="38" t="s">
        <v>270</v>
      </c>
      <c r="S2764" s="38" t="s">
        <v>6124</v>
      </c>
      <c r="T2764" s="38" t="s">
        <v>6125</v>
      </c>
      <c r="U2764" s="38"/>
      <c r="V2764" s="38"/>
      <c r="W2764" s="38"/>
      <c r="X2764" s="14"/>
      <c r="AM2764" s="1"/>
      <c r="AN2764" s="7" t="s">
        <v>70</v>
      </c>
      <c r="AO2764" s="21">
        <f t="shared" si="137"/>
        <v>0</v>
      </c>
      <c r="AP2764" s="7">
        <f t="shared" si="138"/>
        <v>12.43</v>
      </c>
      <c r="AQ2764" s="31" t="str">
        <f t="shared" si="139"/>
        <v>Complete - No Adjustment</v>
      </c>
    </row>
    <row r="2765" spans="1:43" x14ac:dyDescent="0.2">
      <c r="A2765" s="46">
        <v>2755</v>
      </c>
      <c r="B2765" s="38" t="s">
        <v>266</v>
      </c>
      <c r="C2765" s="38" t="s">
        <v>710</v>
      </c>
      <c r="D2765" s="38" t="s">
        <v>709</v>
      </c>
      <c r="E2765" s="38" t="s">
        <v>6513</v>
      </c>
      <c r="F2765" s="38" t="s">
        <v>6324</v>
      </c>
      <c r="G2765" s="38" t="s">
        <v>111</v>
      </c>
      <c r="H2765" s="44">
        <v>44154</v>
      </c>
      <c r="I2765" s="44">
        <v>44168</v>
      </c>
      <c r="J2765">
        <v>17.489999999999998</v>
      </c>
      <c r="K2765" s="22">
        <v>17.489999999999998</v>
      </c>
      <c r="L2765" s="22" t="s">
        <v>6514</v>
      </c>
      <c r="M2765" s="45" t="s">
        <v>98</v>
      </c>
      <c r="N2765" s="13" t="s">
        <v>230</v>
      </c>
      <c r="O2765" s="13" t="s">
        <v>288</v>
      </c>
      <c r="P2765" s="13" t="s">
        <v>60</v>
      </c>
      <c r="Q2765" s="13" t="s">
        <v>41</v>
      </c>
      <c r="R2765" s="38" t="s">
        <v>270</v>
      </c>
      <c r="S2765" s="38" t="s">
        <v>6124</v>
      </c>
      <c r="T2765" s="38" t="s">
        <v>6125</v>
      </c>
      <c r="U2765" s="38"/>
      <c r="V2765" s="38"/>
      <c r="W2765" s="38"/>
      <c r="X2765" s="14"/>
      <c r="AM2765" s="1"/>
      <c r="AN2765" s="7" t="s">
        <v>70</v>
      </c>
      <c r="AO2765" s="21">
        <f t="shared" si="137"/>
        <v>0</v>
      </c>
      <c r="AP2765" s="7">
        <f t="shared" si="138"/>
        <v>17.489999999999998</v>
      </c>
      <c r="AQ2765" s="31" t="str">
        <f t="shared" si="139"/>
        <v>Complete - No Adjustment</v>
      </c>
    </row>
    <row r="2766" spans="1:43" x14ac:dyDescent="0.2">
      <c r="A2766" s="46">
        <v>2756</v>
      </c>
      <c r="B2766" s="38" t="s">
        <v>266</v>
      </c>
      <c r="C2766" s="38" t="s">
        <v>710</v>
      </c>
      <c r="D2766" s="38" t="s">
        <v>709</v>
      </c>
      <c r="E2766" s="38" t="s">
        <v>6515</v>
      </c>
      <c r="F2766" s="38" t="s">
        <v>6379</v>
      </c>
      <c r="G2766" s="38" t="s">
        <v>111</v>
      </c>
      <c r="H2766" s="44">
        <v>44169</v>
      </c>
      <c r="I2766" s="44">
        <v>44173</v>
      </c>
      <c r="J2766">
        <v>18.45</v>
      </c>
      <c r="K2766" s="22">
        <v>18.45</v>
      </c>
      <c r="L2766" s="22" t="s">
        <v>6516</v>
      </c>
      <c r="M2766" s="45" t="s">
        <v>98</v>
      </c>
      <c r="N2766" s="13" t="s">
        <v>230</v>
      </c>
      <c r="O2766" s="13" t="s">
        <v>288</v>
      </c>
      <c r="P2766" s="13" t="s">
        <v>60</v>
      </c>
      <c r="Q2766" s="13" t="s">
        <v>41</v>
      </c>
      <c r="R2766" s="38" t="s">
        <v>270</v>
      </c>
      <c r="S2766" s="38" t="s">
        <v>6124</v>
      </c>
      <c r="T2766" s="38" t="s">
        <v>6125</v>
      </c>
      <c r="U2766" s="38"/>
      <c r="V2766" s="38"/>
      <c r="W2766" s="38"/>
      <c r="X2766" s="14"/>
      <c r="AM2766" s="1"/>
      <c r="AN2766" s="7" t="s">
        <v>70</v>
      </c>
      <c r="AO2766" s="21">
        <f t="shared" si="137"/>
        <v>0</v>
      </c>
      <c r="AP2766" s="7">
        <f t="shared" si="138"/>
        <v>18.45</v>
      </c>
      <c r="AQ2766" s="31" t="str">
        <f t="shared" si="139"/>
        <v>Complete - No Adjustment</v>
      </c>
    </row>
    <row r="2767" spans="1:43" x14ac:dyDescent="0.2">
      <c r="A2767" s="46">
        <v>2757</v>
      </c>
      <c r="B2767" s="38" t="s">
        <v>266</v>
      </c>
      <c r="C2767" s="38" t="s">
        <v>710</v>
      </c>
      <c r="D2767" s="38" t="s">
        <v>709</v>
      </c>
      <c r="E2767" s="38" t="s">
        <v>6517</v>
      </c>
      <c r="F2767" s="38" t="s">
        <v>6288</v>
      </c>
      <c r="G2767" s="38" t="s">
        <v>111</v>
      </c>
      <c r="H2767" s="44">
        <v>44176</v>
      </c>
      <c r="I2767" s="44">
        <v>44181</v>
      </c>
      <c r="J2767">
        <v>21.45</v>
      </c>
      <c r="K2767" s="22">
        <v>21.45</v>
      </c>
      <c r="L2767" s="22" t="s">
        <v>6518</v>
      </c>
      <c r="M2767" s="45" t="s">
        <v>98</v>
      </c>
      <c r="N2767" s="13" t="s">
        <v>230</v>
      </c>
      <c r="O2767" s="13" t="s">
        <v>288</v>
      </c>
      <c r="P2767" s="13" t="s">
        <v>60</v>
      </c>
      <c r="Q2767" s="13" t="s">
        <v>41</v>
      </c>
      <c r="R2767" s="38" t="s">
        <v>270</v>
      </c>
      <c r="S2767" s="38" t="s">
        <v>6124</v>
      </c>
      <c r="T2767" s="38" t="s">
        <v>6125</v>
      </c>
      <c r="U2767" s="38"/>
      <c r="V2767" s="38"/>
      <c r="W2767" s="38"/>
      <c r="X2767" s="14"/>
      <c r="AM2767" s="1"/>
      <c r="AN2767" s="7" t="s">
        <v>70</v>
      </c>
      <c r="AO2767" s="21">
        <f t="shared" si="137"/>
        <v>0</v>
      </c>
      <c r="AP2767" s="7">
        <f t="shared" si="138"/>
        <v>21.45</v>
      </c>
      <c r="AQ2767" s="31" t="str">
        <f t="shared" si="139"/>
        <v>Complete - No Adjustment</v>
      </c>
    </row>
    <row r="2768" spans="1:43" x14ac:dyDescent="0.2">
      <c r="A2768" s="46">
        <v>2758</v>
      </c>
      <c r="B2768" s="38" t="s">
        <v>266</v>
      </c>
      <c r="C2768" s="38" t="s">
        <v>246</v>
      </c>
      <c r="D2768" s="38" t="s">
        <v>245</v>
      </c>
      <c r="E2768" s="38" t="s">
        <v>6519</v>
      </c>
      <c r="F2768" s="38" t="s">
        <v>6295</v>
      </c>
      <c r="G2768" s="38" t="s">
        <v>111</v>
      </c>
      <c r="H2768" s="44">
        <v>44151</v>
      </c>
      <c r="I2768" s="44">
        <v>44166</v>
      </c>
      <c r="J2768">
        <v>263.52</v>
      </c>
      <c r="K2768" s="22">
        <v>89</v>
      </c>
      <c r="L2768" s="22" t="s">
        <v>6520</v>
      </c>
      <c r="M2768" s="45" t="s">
        <v>98</v>
      </c>
      <c r="N2768" s="13" t="s">
        <v>230</v>
      </c>
      <c r="O2768" s="13" t="s">
        <v>784</v>
      </c>
      <c r="P2768" s="13" t="s">
        <v>60</v>
      </c>
      <c r="Q2768" s="13" t="s">
        <v>62</v>
      </c>
      <c r="R2768" s="38" t="s">
        <v>270</v>
      </c>
      <c r="S2768" s="38" t="s">
        <v>6521</v>
      </c>
      <c r="T2768" s="38" t="s">
        <v>6522</v>
      </c>
      <c r="U2768" s="38"/>
      <c r="V2768" s="38"/>
      <c r="W2768" s="38"/>
      <c r="X2768" s="14"/>
      <c r="AM2768" s="1"/>
      <c r="AN2768" s="7" t="s">
        <v>6337</v>
      </c>
      <c r="AO2768" s="21">
        <f t="shared" si="137"/>
        <v>0</v>
      </c>
      <c r="AP2768" s="7">
        <f t="shared" si="138"/>
        <v>89</v>
      </c>
      <c r="AQ2768" s="31" t="str">
        <f t="shared" si="139"/>
        <v>Complete - No Adjustment</v>
      </c>
    </row>
    <row r="2769" spans="1:43" x14ac:dyDescent="0.2">
      <c r="A2769" s="46">
        <v>2759</v>
      </c>
      <c r="B2769" s="38" t="s">
        <v>266</v>
      </c>
      <c r="C2769" s="38" t="s">
        <v>246</v>
      </c>
      <c r="D2769" s="38" t="s">
        <v>245</v>
      </c>
      <c r="E2769" s="38" t="s">
        <v>6519</v>
      </c>
      <c r="F2769" s="38" t="s">
        <v>6295</v>
      </c>
      <c r="G2769" s="38" t="s">
        <v>111</v>
      </c>
      <c r="H2769" s="44">
        <v>44151</v>
      </c>
      <c r="I2769" s="44">
        <v>44166</v>
      </c>
      <c r="J2769">
        <v>263.52</v>
      </c>
      <c r="K2769" s="22">
        <v>89</v>
      </c>
      <c r="L2769" s="22" t="s">
        <v>6520</v>
      </c>
      <c r="M2769" s="45" t="s">
        <v>98</v>
      </c>
      <c r="N2769" s="13" t="s">
        <v>230</v>
      </c>
      <c r="O2769" s="13" t="s">
        <v>784</v>
      </c>
      <c r="P2769" s="13" t="s">
        <v>60</v>
      </c>
      <c r="Q2769" s="13" t="s">
        <v>62</v>
      </c>
      <c r="R2769" s="38" t="s">
        <v>270</v>
      </c>
      <c r="S2769" s="38" t="s">
        <v>6521</v>
      </c>
      <c r="T2769" s="38" t="s">
        <v>4924</v>
      </c>
      <c r="U2769" s="38"/>
      <c r="V2769" s="38"/>
      <c r="W2769" s="38"/>
      <c r="X2769" s="14"/>
      <c r="AM2769" s="1"/>
      <c r="AN2769" s="7" t="s">
        <v>6337</v>
      </c>
      <c r="AO2769" s="21">
        <f t="shared" si="137"/>
        <v>0</v>
      </c>
      <c r="AP2769" s="7">
        <f t="shared" si="138"/>
        <v>89</v>
      </c>
      <c r="AQ2769" s="31" t="str">
        <f t="shared" si="139"/>
        <v>Complete - No Adjustment</v>
      </c>
    </row>
    <row r="2770" spans="1:43" x14ac:dyDescent="0.2">
      <c r="A2770" s="46">
        <v>2760</v>
      </c>
      <c r="B2770" s="38" t="s">
        <v>266</v>
      </c>
      <c r="C2770" s="38" t="s">
        <v>246</v>
      </c>
      <c r="D2770" s="38" t="s">
        <v>245</v>
      </c>
      <c r="E2770" s="38" t="s">
        <v>6519</v>
      </c>
      <c r="F2770" s="38" t="s">
        <v>6295</v>
      </c>
      <c r="G2770" s="38" t="s">
        <v>111</v>
      </c>
      <c r="H2770" s="44">
        <v>44151</v>
      </c>
      <c r="I2770" s="44">
        <v>44166</v>
      </c>
      <c r="J2770">
        <v>263.52</v>
      </c>
      <c r="K2770" s="22">
        <v>85.52</v>
      </c>
      <c r="L2770" s="22" t="s">
        <v>6520</v>
      </c>
      <c r="M2770" s="45" t="s">
        <v>98</v>
      </c>
      <c r="N2770" s="13" t="s">
        <v>230</v>
      </c>
      <c r="O2770" s="13" t="s">
        <v>784</v>
      </c>
      <c r="P2770" s="13" t="s">
        <v>60</v>
      </c>
      <c r="Q2770" s="13" t="s">
        <v>62</v>
      </c>
      <c r="R2770" s="38" t="s">
        <v>270</v>
      </c>
      <c r="S2770" s="38" t="s">
        <v>6521</v>
      </c>
      <c r="T2770" s="38" t="s">
        <v>6523</v>
      </c>
      <c r="U2770" s="38"/>
      <c r="V2770" s="38"/>
      <c r="W2770" s="38"/>
      <c r="X2770" s="14"/>
      <c r="AM2770" s="1"/>
      <c r="AN2770" s="7" t="s">
        <v>70</v>
      </c>
      <c r="AO2770" s="21">
        <f t="shared" si="137"/>
        <v>0</v>
      </c>
      <c r="AP2770" s="7">
        <f t="shared" si="138"/>
        <v>85.52</v>
      </c>
      <c r="AQ2770" s="31" t="str">
        <f t="shared" si="139"/>
        <v>Complete - No Adjustment</v>
      </c>
    </row>
    <row r="2771" spans="1:43" x14ac:dyDescent="0.2">
      <c r="A2771" s="46">
        <v>2761</v>
      </c>
      <c r="B2771" s="38" t="s">
        <v>266</v>
      </c>
      <c r="C2771" s="38" t="s">
        <v>657</v>
      </c>
      <c r="D2771" s="38" t="s">
        <v>656</v>
      </c>
      <c r="E2771" s="38" t="s">
        <v>6524</v>
      </c>
      <c r="F2771" s="38" t="s">
        <v>6295</v>
      </c>
      <c r="G2771" s="38" t="s">
        <v>111</v>
      </c>
      <c r="H2771" s="44">
        <v>44155</v>
      </c>
      <c r="I2771" s="44">
        <v>44166</v>
      </c>
      <c r="J2771">
        <v>230</v>
      </c>
      <c r="K2771" s="22">
        <v>162.19</v>
      </c>
      <c r="L2771" s="22" t="s">
        <v>6525</v>
      </c>
      <c r="M2771" s="45" t="s">
        <v>98</v>
      </c>
      <c r="N2771" s="13" t="s">
        <v>230</v>
      </c>
      <c r="O2771" s="13" t="s">
        <v>484</v>
      </c>
      <c r="P2771" s="13" t="s">
        <v>60</v>
      </c>
      <c r="Q2771" s="13" t="s">
        <v>46</v>
      </c>
      <c r="R2771" s="38" t="s">
        <v>270</v>
      </c>
      <c r="S2771" s="38" t="s">
        <v>6526</v>
      </c>
      <c r="T2771" s="38" t="s">
        <v>6527</v>
      </c>
      <c r="U2771" s="38"/>
      <c r="V2771" s="38"/>
      <c r="W2771" s="38"/>
      <c r="X2771" s="14"/>
      <c r="AH2771" s="14">
        <v>162.19</v>
      </c>
      <c r="AM2771" s="1"/>
      <c r="AN2771" s="7" t="s">
        <v>16</v>
      </c>
      <c r="AO2771" s="21">
        <f t="shared" si="137"/>
        <v>162.19</v>
      </c>
      <c r="AP2771" s="7">
        <f t="shared" si="138"/>
        <v>0</v>
      </c>
      <c r="AQ2771" s="31" t="str">
        <f t="shared" si="139"/>
        <v>Complete - With Adjustment</v>
      </c>
    </row>
    <row r="2772" spans="1:43" x14ac:dyDescent="0.2">
      <c r="A2772" s="46">
        <v>2762</v>
      </c>
      <c r="B2772" s="38" t="s">
        <v>266</v>
      </c>
      <c r="C2772" s="38" t="s">
        <v>657</v>
      </c>
      <c r="D2772" s="38" t="s">
        <v>656</v>
      </c>
      <c r="E2772" s="38" t="s">
        <v>6524</v>
      </c>
      <c r="F2772" s="38" t="s">
        <v>6295</v>
      </c>
      <c r="G2772" s="38" t="s">
        <v>111</v>
      </c>
      <c r="H2772" s="44">
        <v>44155</v>
      </c>
      <c r="I2772" s="44">
        <v>44166</v>
      </c>
      <c r="J2772">
        <v>230</v>
      </c>
      <c r="K2772" s="22">
        <v>67.81</v>
      </c>
      <c r="L2772" s="22" t="s">
        <v>6525</v>
      </c>
      <c r="M2772" s="45" t="s">
        <v>98</v>
      </c>
      <c r="N2772" s="13" t="s">
        <v>230</v>
      </c>
      <c r="O2772" s="13" t="s">
        <v>484</v>
      </c>
      <c r="P2772" s="13" t="s">
        <v>60</v>
      </c>
      <c r="Q2772" s="13" t="s">
        <v>46</v>
      </c>
      <c r="R2772" s="38" t="s">
        <v>270</v>
      </c>
      <c r="S2772" s="38" t="s">
        <v>6526</v>
      </c>
      <c r="T2772" s="38" t="s">
        <v>6527</v>
      </c>
      <c r="U2772" s="38"/>
      <c r="V2772" s="38"/>
      <c r="W2772" s="38"/>
      <c r="X2772" s="14"/>
      <c r="AH2772" s="14">
        <v>67.81</v>
      </c>
      <c r="AM2772" s="1"/>
      <c r="AN2772" s="7" t="s">
        <v>16</v>
      </c>
      <c r="AO2772" s="21">
        <f t="shared" si="137"/>
        <v>67.81</v>
      </c>
      <c r="AP2772" s="7">
        <f t="shared" si="138"/>
        <v>0</v>
      </c>
      <c r="AQ2772" s="31" t="str">
        <f t="shared" si="139"/>
        <v>Complete - With Adjustment</v>
      </c>
    </row>
    <row r="2773" spans="1:43" x14ac:dyDescent="0.2">
      <c r="A2773" s="46">
        <v>2763</v>
      </c>
      <c r="B2773" s="38" t="s">
        <v>266</v>
      </c>
      <c r="C2773" s="38" t="s">
        <v>439</v>
      </c>
      <c r="D2773" s="38" t="s">
        <v>438</v>
      </c>
      <c r="E2773" s="38" t="s">
        <v>6528</v>
      </c>
      <c r="F2773" s="38" t="s">
        <v>6428</v>
      </c>
      <c r="G2773" s="38" t="s">
        <v>111</v>
      </c>
      <c r="H2773" s="44">
        <v>44180</v>
      </c>
      <c r="I2773" s="44">
        <v>44182</v>
      </c>
      <c r="J2773">
        <v>51.32</v>
      </c>
      <c r="K2773" s="22">
        <v>14.99</v>
      </c>
      <c r="L2773" s="22" t="s">
        <v>6529</v>
      </c>
      <c r="M2773" s="45" t="s">
        <v>98</v>
      </c>
      <c r="N2773" s="13" t="s">
        <v>230</v>
      </c>
      <c r="O2773" s="13" t="s">
        <v>271</v>
      </c>
      <c r="P2773" s="13" t="s">
        <v>60</v>
      </c>
      <c r="Q2773" s="13" t="s">
        <v>46</v>
      </c>
      <c r="R2773" s="38" t="s">
        <v>270</v>
      </c>
      <c r="S2773" s="38" t="s">
        <v>6530</v>
      </c>
      <c r="T2773" s="38" t="s">
        <v>6531</v>
      </c>
      <c r="U2773" s="38"/>
      <c r="V2773" s="38"/>
      <c r="W2773" s="38"/>
      <c r="X2773" s="14"/>
      <c r="AI2773" s="53">
        <v>14.99</v>
      </c>
      <c r="AM2773" s="1"/>
      <c r="AN2773" s="7" t="s">
        <v>145</v>
      </c>
      <c r="AO2773" s="21">
        <f t="shared" si="137"/>
        <v>14.99</v>
      </c>
      <c r="AP2773" s="7">
        <f t="shared" si="138"/>
        <v>0</v>
      </c>
      <c r="AQ2773" s="31" t="str">
        <f t="shared" si="139"/>
        <v>Complete - With Adjustment</v>
      </c>
    </row>
    <row r="2774" spans="1:43" x14ac:dyDescent="0.2">
      <c r="A2774" s="46">
        <v>2764</v>
      </c>
      <c r="B2774" s="38" t="s">
        <v>266</v>
      </c>
      <c r="C2774" s="38" t="s">
        <v>439</v>
      </c>
      <c r="D2774" s="38" t="s">
        <v>438</v>
      </c>
      <c r="E2774" s="38" t="s">
        <v>6528</v>
      </c>
      <c r="F2774" s="38" t="s">
        <v>6428</v>
      </c>
      <c r="G2774" s="38" t="s">
        <v>111</v>
      </c>
      <c r="H2774" s="44">
        <v>44180</v>
      </c>
      <c r="I2774" s="44">
        <v>44182</v>
      </c>
      <c r="J2774">
        <v>51.32</v>
      </c>
      <c r="K2774" s="22">
        <v>15</v>
      </c>
      <c r="L2774" s="22" t="s">
        <v>6529</v>
      </c>
      <c r="M2774" s="45" t="s">
        <v>98</v>
      </c>
      <c r="N2774" s="13" t="s">
        <v>230</v>
      </c>
      <c r="O2774" s="13" t="s">
        <v>271</v>
      </c>
      <c r="P2774" s="13" t="s">
        <v>60</v>
      </c>
      <c r="Q2774" s="13" t="s">
        <v>41</v>
      </c>
      <c r="R2774" s="38" t="s">
        <v>270</v>
      </c>
      <c r="S2774" s="38" t="s">
        <v>6530</v>
      </c>
      <c r="T2774" s="38" t="s">
        <v>6532</v>
      </c>
      <c r="U2774" s="38"/>
      <c r="V2774" s="38"/>
      <c r="W2774" s="38"/>
      <c r="X2774" s="14"/>
      <c r="AM2774" s="1"/>
      <c r="AN2774" s="7" t="s">
        <v>6337</v>
      </c>
      <c r="AO2774" s="21">
        <f t="shared" si="137"/>
        <v>0</v>
      </c>
      <c r="AP2774" s="7">
        <f t="shared" si="138"/>
        <v>15</v>
      </c>
      <c r="AQ2774" s="31" t="str">
        <f t="shared" si="139"/>
        <v>Complete - No Adjustment</v>
      </c>
    </row>
    <row r="2775" spans="1:43" x14ac:dyDescent="0.2">
      <c r="A2775" s="46">
        <v>2765</v>
      </c>
      <c r="B2775" s="38" t="s">
        <v>266</v>
      </c>
      <c r="C2775" s="38" t="s">
        <v>439</v>
      </c>
      <c r="D2775" s="38" t="s">
        <v>438</v>
      </c>
      <c r="E2775" s="38" t="s">
        <v>6528</v>
      </c>
      <c r="F2775" s="38" t="s">
        <v>6428</v>
      </c>
      <c r="G2775" s="38" t="s">
        <v>111</v>
      </c>
      <c r="H2775" s="44">
        <v>44180</v>
      </c>
      <c r="I2775" s="44">
        <v>44182</v>
      </c>
      <c r="J2775">
        <v>51.32</v>
      </c>
      <c r="K2775" s="22">
        <v>13.93</v>
      </c>
      <c r="L2775" s="22" t="s">
        <v>6529</v>
      </c>
      <c r="M2775" s="45" t="s">
        <v>98</v>
      </c>
      <c r="N2775" s="13" t="s">
        <v>230</v>
      </c>
      <c r="O2775" s="13" t="s">
        <v>271</v>
      </c>
      <c r="P2775" s="13" t="s">
        <v>60</v>
      </c>
      <c r="Q2775" s="13" t="s">
        <v>46</v>
      </c>
      <c r="R2775" s="38" t="s">
        <v>270</v>
      </c>
      <c r="S2775" s="38" t="s">
        <v>6530</v>
      </c>
      <c r="T2775" s="38" t="s">
        <v>6533</v>
      </c>
      <c r="U2775" s="38"/>
      <c r="V2775" s="38"/>
      <c r="W2775" s="38"/>
      <c r="X2775" s="14"/>
      <c r="AI2775" s="53">
        <v>13.93</v>
      </c>
      <c r="AM2775" s="1"/>
      <c r="AN2775" s="7" t="s">
        <v>145</v>
      </c>
      <c r="AO2775" s="21">
        <f t="shared" si="137"/>
        <v>13.93</v>
      </c>
      <c r="AP2775" s="7">
        <f t="shared" si="138"/>
        <v>0</v>
      </c>
      <c r="AQ2775" s="31" t="str">
        <f t="shared" si="139"/>
        <v>Complete - With Adjustment</v>
      </c>
    </row>
    <row r="2776" spans="1:43" x14ac:dyDescent="0.2">
      <c r="A2776" s="46">
        <v>2766</v>
      </c>
      <c r="B2776" s="38" t="s">
        <v>266</v>
      </c>
      <c r="C2776" s="38" t="s">
        <v>439</v>
      </c>
      <c r="D2776" s="38" t="s">
        <v>438</v>
      </c>
      <c r="E2776" s="38" t="s">
        <v>6528</v>
      </c>
      <c r="F2776" s="38" t="s">
        <v>6428</v>
      </c>
      <c r="G2776" s="38" t="s">
        <v>111</v>
      </c>
      <c r="H2776" s="44">
        <v>44180</v>
      </c>
      <c r="I2776" s="44">
        <v>44182</v>
      </c>
      <c r="J2776">
        <v>51.32</v>
      </c>
      <c r="K2776" s="22">
        <v>7.4</v>
      </c>
      <c r="L2776" s="22" t="s">
        <v>6529</v>
      </c>
      <c r="M2776" s="45" t="s">
        <v>98</v>
      </c>
      <c r="N2776" s="13" t="s">
        <v>230</v>
      </c>
      <c r="O2776" s="13" t="s">
        <v>271</v>
      </c>
      <c r="P2776" s="13" t="s">
        <v>60</v>
      </c>
      <c r="Q2776" s="13" t="s">
        <v>46</v>
      </c>
      <c r="R2776" s="38" t="s">
        <v>270</v>
      </c>
      <c r="S2776" s="38" t="s">
        <v>6530</v>
      </c>
      <c r="T2776" s="38" t="s">
        <v>6534</v>
      </c>
      <c r="U2776" s="38"/>
      <c r="V2776" s="38"/>
      <c r="W2776" s="38"/>
      <c r="X2776" s="14"/>
      <c r="AI2776" s="53">
        <v>7.4</v>
      </c>
      <c r="AM2776" s="1"/>
      <c r="AN2776" s="7" t="s">
        <v>145</v>
      </c>
      <c r="AO2776" s="21">
        <f t="shared" si="137"/>
        <v>7.4</v>
      </c>
      <c r="AP2776" s="7">
        <f t="shared" si="138"/>
        <v>0</v>
      </c>
      <c r="AQ2776" s="31" t="str">
        <f t="shared" si="139"/>
        <v>Complete - With Adjustment</v>
      </c>
    </row>
    <row r="2777" spans="1:43" x14ac:dyDescent="0.2">
      <c r="A2777" s="46">
        <v>2767</v>
      </c>
      <c r="B2777" s="38" t="s">
        <v>266</v>
      </c>
      <c r="C2777" s="38" t="s">
        <v>558</v>
      </c>
      <c r="D2777" s="38" t="s">
        <v>557</v>
      </c>
      <c r="E2777" s="38" t="s">
        <v>6294</v>
      </c>
      <c r="F2777" s="38" t="s">
        <v>6295</v>
      </c>
      <c r="G2777" s="38" t="s">
        <v>111</v>
      </c>
      <c r="H2777" s="44">
        <v>44153</v>
      </c>
      <c r="I2777" s="44">
        <v>44166</v>
      </c>
      <c r="J2777">
        <v>125</v>
      </c>
      <c r="K2777">
        <v>125</v>
      </c>
      <c r="L2777"/>
      <c r="M2777" s="45" t="s">
        <v>97</v>
      </c>
      <c r="N2777" s="38" t="s">
        <v>230</v>
      </c>
      <c r="O2777" s="38" t="s">
        <v>497</v>
      </c>
      <c r="P2777" s="38" t="s">
        <v>42</v>
      </c>
      <c r="Q2777" s="38" t="s">
        <v>56</v>
      </c>
      <c r="R2777" s="38" t="s">
        <v>270</v>
      </c>
      <c r="S2777" s="38" t="s">
        <v>6296</v>
      </c>
      <c r="T2777" s="38" t="s">
        <v>6297</v>
      </c>
      <c r="U2777" s="38"/>
      <c r="V2777" s="38"/>
      <c r="W2777" s="38"/>
      <c r="X2777" s="14"/>
      <c r="AL2777" s="14">
        <v>125</v>
      </c>
      <c r="AO2777" s="21">
        <f t="shared" si="137"/>
        <v>125</v>
      </c>
      <c r="AP2777" s="7">
        <f t="shared" si="138"/>
        <v>0</v>
      </c>
      <c r="AQ2777" s="31" t="str">
        <f t="shared" si="139"/>
        <v>Complete - With Adjustment</v>
      </c>
    </row>
    <row r="2778" spans="1:43" x14ac:dyDescent="0.2">
      <c r="A2778" s="46">
        <v>2768</v>
      </c>
      <c r="B2778" s="38" t="s">
        <v>266</v>
      </c>
      <c r="C2778" s="38" t="s">
        <v>446</v>
      </c>
      <c r="D2778" s="38" t="s">
        <v>445</v>
      </c>
      <c r="E2778" s="38" t="s">
        <v>6535</v>
      </c>
      <c r="F2778" s="38" t="s">
        <v>6428</v>
      </c>
      <c r="G2778" s="38" t="s">
        <v>111</v>
      </c>
      <c r="H2778" s="44">
        <v>44179</v>
      </c>
      <c r="I2778" s="44">
        <v>44182</v>
      </c>
      <c r="J2778">
        <v>555.33000000000004</v>
      </c>
      <c r="K2778" s="22">
        <v>492.54</v>
      </c>
      <c r="L2778" s="22" t="s">
        <v>6536</v>
      </c>
      <c r="M2778" s="45" t="s">
        <v>98</v>
      </c>
      <c r="N2778" s="13" t="s">
        <v>230</v>
      </c>
      <c r="O2778" s="13" t="s">
        <v>293</v>
      </c>
      <c r="P2778" s="13" t="s">
        <v>60</v>
      </c>
      <c r="Q2778" s="13" t="s">
        <v>174</v>
      </c>
      <c r="R2778" s="38" t="s">
        <v>270</v>
      </c>
      <c r="S2778" s="38" t="s">
        <v>6537</v>
      </c>
      <c r="T2778" s="38" t="s">
        <v>6538</v>
      </c>
      <c r="U2778" s="38"/>
      <c r="V2778" s="38"/>
      <c r="W2778" s="38"/>
      <c r="X2778" s="14"/>
      <c r="AM2778" s="1"/>
      <c r="AN2778" s="7" t="s">
        <v>70</v>
      </c>
      <c r="AO2778" s="21">
        <f t="shared" si="137"/>
        <v>0</v>
      </c>
      <c r="AP2778" s="7">
        <f t="shared" si="138"/>
        <v>492.54</v>
      </c>
      <c r="AQ2778" s="31" t="str">
        <f t="shared" si="139"/>
        <v>Complete - No Adjustment</v>
      </c>
    </row>
    <row r="2779" spans="1:43" x14ac:dyDescent="0.2">
      <c r="A2779" s="46">
        <v>2769</v>
      </c>
      <c r="B2779" s="38" t="s">
        <v>266</v>
      </c>
      <c r="C2779" s="38" t="s">
        <v>446</v>
      </c>
      <c r="D2779" s="38" t="s">
        <v>445</v>
      </c>
      <c r="E2779" s="38" t="s">
        <v>6535</v>
      </c>
      <c r="F2779" s="38" t="s">
        <v>6428</v>
      </c>
      <c r="G2779" s="38" t="s">
        <v>111</v>
      </c>
      <c r="H2779" s="44">
        <v>44179</v>
      </c>
      <c r="I2779" s="44">
        <v>44182</v>
      </c>
      <c r="J2779">
        <v>555.33000000000004</v>
      </c>
      <c r="K2779" s="22">
        <v>62.79</v>
      </c>
      <c r="L2779" s="22" t="s">
        <v>6536</v>
      </c>
      <c r="M2779" s="45" t="s">
        <v>98</v>
      </c>
      <c r="N2779" s="13" t="s">
        <v>230</v>
      </c>
      <c r="O2779" s="13" t="s">
        <v>293</v>
      </c>
      <c r="P2779" s="13" t="s">
        <v>60</v>
      </c>
      <c r="Q2779" s="13" t="s">
        <v>174</v>
      </c>
      <c r="R2779" s="38" t="s">
        <v>270</v>
      </c>
      <c r="S2779" s="38" t="s">
        <v>6537</v>
      </c>
      <c r="T2779" s="38" t="s">
        <v>6539</v>
      </c>
      <c r="U2779" s="38"/>
      <c r="V2779" s="38"/>
      <c r="W2779" s="38"/>
      <c r="X2779" s="14"/>
      <c r="AM2779" s="1"/>
      <c r="AN2779" s="7" t="s">
        <v>70</v>
      </c>
      <c r="AO2779" s="21">
        <f t="shared" si="137"/>
        <v>0</v>
      </c>
      <c r="AP2779" s="7">
        <f t="shared" si="138"/>
        <v>62.79</v>
      </c>
      <c r="AQ2779" s="31" t="str">
        <f t="shared" si="139"/>
        <v>Complete - No Adjustment</v>
      </c>
    </row>
    <row r="2780" spans="1:43" x14ac:dyDescent="0.2">
      <c r="A2780" s="46">
        <v>2770</v>
      </c>
      <c r="B2780" s="38" t="s">
        <v>266</v>
      </c>
      <c r="C2780" s="38" t="s">
        <v>5032</v>
      </c>
      <c r="D2780" s="38" t="s">
        <v>5033</v>
      </c>
      <c r="E2780" s="38" t="s">
        <v>6540</v>
      </c>
      <c r="F2780" s="38" t="s">
        <v>6344</v>
      </c>
      <c r="G2780" s="38" t="s">
        <v>111</v>
      </c>
      <c r="H2780" s="44">
        <v>44147</v>
      </c>
      <c r="I2780" s="44">
        <v>44169</v>
      </c>
      <c r="J2780">
        <v>20</v>
      </c>
      <c r="K2780" s="22">
        <v>20</v>
      </c>
      <c r="L2780" s="22" t="s">
        <v>6541</v>
      </c>
      <c r="M2780" s="45" t="s">
        <v>98</v>
      </c>
      <c r="N2780" s="13" t="s">
        <v>230</v>
      </c>
      <c r="O2780" s="13" t="s">
        <v>320</v>
      </c>
      <c r="P2780" s="13" t="s">
        <v>60</v>
      </c>
      <c r="Q2780" s="13" t="s">
        <v>41</v>
      </c>
      <c r="R2780" s="38" t="s">
        <v>270</v>
      </c>
      <c r="S2780" s="38" t="s">
        <v>6542</v>
      </c>
      <c r="T2780" s="38" t="s">
        <v>6543</v>
      </c>
      <c r="U2780" s="38"/>
      <c r="V2780" s="38"/>
      <c r="W2780" s="38"/>
      <c r="X2780" s="14"/>
      <c r="AL2780" s="14">
        <v>20</v>
      </c>
      <c r="AM2780" s="1"/>
      <c r="AN2780" s="7" t="s">
        <v>70</v>
      </c>
      <c r="AO2780" s="21">
        <f t="shared" si="137"/>
        <v>20</v>
      </c>
      <c r="AP2780" s="7">
        <f t="shared" si="138"/>
        <v>0</v>
      </c>
      <c r="AQ2780" s="31" t="str">
        <f t="shared" si="139"/>
        <v>Complete - With Adjustment</v>
      </c>
    </row>
    <row r="2781" spans="1:43" x14ac:dyDescent="0.2">
      <c r="A2781" s="46">
        <v>2771</v>
      </c>
      <c r="B2781" s="38" t="s">
        <v>266</v>
      </c>
      <c r="C2781" s="38" t="s">
        <v>813</v>
      </c>
      <c r="D2781" s="38" t="s">
        <v>814</v>
      </c>
      <c r="E2781" s="38" t="s">
        <v>6544</v>
      </c>
      <c r="F2781" s="38" t="s">
        <v>6545</v>
      </c>
      <c r="G2781" s="38" t="s">
        <v>111</v>
      </c>
      <c r="H2781" s="44">
        <v>44186</v>
      </c>
      <c r="I2781" s="44">
        <v>44194</v>
      </c>
      <c r="J2781">
        <v>129</v>
      </c>
      <c r="K2781" s="22">
        <v>129</v>
      </c>
      <c r="L2781" s="22" t="s">
        <v>6546</v>
      </c>
      <c r="M2781" s="45" t="s">
        <v>98</v>
      </c>
      <c r="N2781" s="13" t="s">
        <v>230</v>
      </c>
      <c r="O2781" s="13" t="s">
        <v>269</v>
      </c>
      <c r="P2781" s="13" t="s">
        <v>60</v>
      </c>
      <c r="Q2781" s="13" t="s">
        <v>56</v>
      </c>
      <c r="R2781" s="38" t="s">
        <v>270</v>
      </c>
      <c r="S2781" s="38" t="s">
        <v>6547</v>
      </c>
      <c r="T2781" s="38" t="s">
        <v>6548</v>
      </c>
      <c r="U2781" s="38"/>
      <c r="V2781" s="38"/>
      <c r="W2781" s="38"/>
      <c r="X2781" s="14"/>
      <c r="AM2781" s="1"/>
      <c r="AN2781" s="7" t="s">
        <v>70</v>
      </c>
      <c r="AO2781" s="21">
        <f t="shared" si="137"/>
        <v>0</v>
      </c>
      <c r="AP2781" s="7">
        <f t="shared" si="138"/>
        <v>129</v>
      </c>
      <c r="AQ2781" s="31" t="str">
        <f t="shared" si="139"/>
        <v>Complete - No Adjustment</v>
      </c>
    </row>
    <row r="2782" spans="1:43" x14ac:dyDescent="0.2">
      <c r="A2782" s="46">
        <v>2772</v>
      </c>
      <c r="B2782" s="38" t="s">
        <v>266</v>
      </c>
      <c r="C2782" s="38" t="s">
        <v>720</v>
      </c>
      <c r="D2782" s="38" t="s">
        <v>1424</v>
      </c>
      <c r="E2782" s="38" t="s">
        <v>6549</v>
      </c>
      <c r="F2782" s="38" t="s">
        <v>6295</v>
      </c>
      <c r="G2782" s="38" t="s">
        <v>111</v>
      </c>
      <c r="H2782" s="44">
        <v>44153</v>
      </c>
      <c r="I2782" s="44">
        <v>44166</v>
      </c>
      <c r="J2782">
        <v>15</v>
      </c>
      <c r="K2782" s="22">
        <v>15</v>
      </c>
      <c r="L2782" s="22" t="s">
        <v>6550</v>
      </c>
      <c r="M2782" s="45" t="s">
        <v>98</v>
      </c>
      <c r="N2782" s="13" t="s">
        <v>230</v>
      </c>
      <c r="O2782" s="13" t="s">
        <v>292</v>
      </c>
      <c r="P2782" s="13" t="s">
        <v>60</v>
      </c>
      <c r="Q2782" s="13" t="s">
        <v>46</v>
      </c>
      <c r="R2782" s="38" t="s">
        <v>270</v>
      </c>
      <c r="S2782" s="38" t="s">
        <v>6551</v>
      </c>
      <c r="T2782" s="38" t="s">
        <v>6552</v>
      </c>
      <c r="U2782" s="38"/>
      <c r="V2782" s="38"/>
      <c r="W2782" s="38"/>
      <c r="X2782" s="14"/>
      <c r="AI2782" s="53">
        <v>15</v>
      </c>
      <c r="AM2782" s="1"/>
      <c r="AN2782" s="7" t="s">
        <v>16</v>
      </c>
      <c r="AO2782" s="21">
        <f t="shared" si="137"/>
        <v>15</v>
      </c>
      <c r="AP2782" s="7">
        <f t="shared" si="138"/>
        <v>0</v>
      </c>
      <c r="AQ2782" s="31" t="str">
        <f t="shared" si="139"/>
        <v>Complete - With Adjustment</v>
      </c>
    </row>
    <row r="2783" spans="1:43" x14ac:dyDescent="0.2">
      <c r="A2783" s="46">
        <v>2773</v>
      </c>
      <c r="B2783" s="38" t="s">
        <v>266</v>
      </c>
      <c r="C2783" s="38" t="s">
        <v>458</v>
      </c>
      <c r="D2783" s="38" t="s">
        <v>457</v>
      </c>
      <c r="E2783" s="38" t="s">
        <v>6553</v>
      </c>
      <c r="F2783" s="38" t="s">
        <v>6366</v>
      </c>
      <c r="G2783" s="38" t="s">
        <v>111</v>
      </c>
      <c r="H2783" s="44">
        <v>44158</v>
      </c>
      <c r="I2783" s="44">
        <v>44172</v>
      </c>
      <c r="J2783">
        <v>86.59</v>
      </c>
      <c r="K2783" s="22">
        <v>86.59</v>
      </c>
      <c r="L2783" s="22" t="s">
        <v>6554</v>
      </c>
      <c r="M2783" s="45" t="s">
        <v>98</v>
      </c>
      <c r="N2783" s="13" t="s">
        <v>230</v>
      </c>
      <c r="O2783" s="13" t="s">
        <v>281</v>
      </c>
      <c r="P2783" s="13" t="s">
        <v>60</v>
      </c>
      <c r="Q2783" s="13" t="s">
        <v>62</v>
      </c>
      <c r="R2783" s="38" t="s">
        <v>270</v>
      </c>
      <c r="S2783" s="38" t="s">
        <v>6555</v>
      </c>
      <c r="T2783" s="38" t="s">
        <v>6556</v>
      </c>
      <c r="U2783" s="38"/>
      <c r="V2783" s="38"/>
      <c r="W2783" s="38"/>
      <c r="X2783" s="14"/>
      <c r="AM2783" s="1"/>
      <c r="AN2783" s="7" t="s">
        <v>70</v>
      </c>
      <c r="AO2783" s="21">
        <f t="shared" si="137"/>
        <v>0</v>
      </c>
      <c r="AP2783" s="7">
        <f t="shared" si="138"/>
        <v>86.59</v>
      </c>
      <c r="AQ2783" s="31" t="str">
        <f t="shared" si="139"/>
        <v>Complete - No Adjustment</v>
      </c>
    </row>
    <row r="2784" spans="1:43" x14ac:dyDescent="0.2">
      <c r="A2784" s="46">
        <v>2774</v>
      </c>
      <c r="B2784" s="38" t="s">
        <v>266</v>
      </c>
      <c r="C2784" s="38" t="s">
        <v>620</v>
      </c>
      <c r="D2784" s="38" t="s">
        <v>619</v>
      </c>
      <c r="E2784" s="38" t="s">
        <v>6557</v>
      </c>
      <c r="F2784" s="38" t="s">
        <v>6284</v>
      </c>
      <c r="G2784" s="38" t="s">
        <v>111</v>
      </c>
      <c r="H2784" s="44">
        <v>44181</v>
      </c>
      <c r="I2784" s="44">
        <v>44183</v>
      </c>
      <c r="J2784">
        <v>12.81</v>
      </c>
      <c r="K2784" s="22">
        <v>12.81</v>
      </c>
      <c r="L2784" s="22" t="s">
        <v>6558</v>
      </c>
      <c r="M2784" s="45" t="s">
        <v>98</v>
      </c>
      <c r="N2784" s="13" t="s">
        <v>230</v>
      </c>
      <c r="O2784" s="13" t="s">
        <v>320</v>
      </c>
      <c r="P2784" s="13" t="s">
        <v>60</v>
      </c>
      <c r="Q2784" s="13" t="s">
        <v>41</v>
      </c>
      <c r="R2784" s="38" t="s">
        <v>270</v>
      </c>
      <c r="S2784" s="38" t="s">
        <v>6559</v>
      </c>
      <c r="T2784" s="38" t="s">
        <v>6560</v>
      </c>
      <c r="U2784" s="38"/>
      <c r="V2784" s="38"/>
      <c r="W2784" s="38"/>
      <c r="X2784" s="14"/>
      <c r="AM2784" s="1"/>
      <c r="AN2784" s="7" t="s">
        <v>70</v>
      </c>
      <c r="AO2784" s="21">
        <f t="shared" si="137"/>
        <v>0</v>
      </c>
      <c r="AP2784" s="7">
        <f t="shared" si="138"/>
        <v>12.81</v>
      </c>
      <c r="AQ2784" s="31" t="str">
        <f t="shared" si="139"/>
        <v>Complete - No Adjustment</v>
      </c>
    </row>
    <row r="2785" spans="1:43" x14ac:dyDescent="0.2">
      <c r="A2785" s="46">
        <v>2775</v>
      </c>
      <c r="B2785" s="38" t="s">
        <v>266</v>
      </c>
      <c r="C2785" s="38" t="s">
        <v>462</v>
      </c>
      <c r="D2785" s="38" t="s">
        <v>461</v>
      </c>
      <c r="E2785" s="38" t="s">
        <v>6561</v>
      </c>
      <c r="F2785" s="38" t="s">
        <v>6409</v>
      </c>
      <c r="G2785" s="38" t="s">
        <v>111</v>
      </c>
      <c r="H2785" s="44">
        <v>44174</v>
      </c>
      <c r="I2785" s="44">
        <v>44175</v>
      </c>
      <c r="J2785">
        <v>8.75</v>
      </c>
      <c r="K2785" s="22">
        <v>8.75</v>
      </c>
      <c r="L2785" s="22" t="s">
        <v>6562</v>
      </c>
      <c r="M2785" s="45" t="s">
        <v>98</v>
      </c>
      <c r="N2785" s="13" t="s">
        <v>230</v>
      </c>
      <c r="O2785" s="13" t="s">
        <v>288</v>
      </c>
      <c r="P2785" s="13" t="s">
        <v>60</v>
      </c>
      <c r="Q2785" s="13" t="s">
        <v>41</v>
      </c>
      <c r="R2785" s="38" t="s">
        <v>270</v>
      </c>
      <c r="S2785" s="38" t="s">
        <v>6563</v>
      </c>
      <c r="T2785" s="38" t="s">
        <v>6564</v>
      </c>
      <c r="U2785" s="38"/>
      <c r="V2785" s="38"/>
      <c r="W2785" s="38"/>
      <c r="X2785" s="14"/>
      <c r="AM2785" s="1"/>
      <c r="AN2785" s="7" t="s">
        <v>70</v>
      </c>
      <c r="AO2785" s="21">
        <f t="shared" si="137"/>
        <v>0</v>
      </c>
      <c r="AP2785" s="7">
        <f t="shared" si="138"/>
        <v>8.75</v>
      </c>
      <c r="AQ2785" s="31" t="str">
        <f t="shared" si="139"/>
        <v>Complete - No Adjustment</v>
      </c>
    </row>
    <row r="2786" spans="1:43" x14ac:dyDescent="0.2">
      <c r="A2786" s="46">
        <v>2776</v>
      </c>
      <c r="B2786" s="38" t="s">
        <v>266</v>
      </c>
      <c r="C2786" s="38" t="s">
        <v>462</v>
      </c>
      <c r="D2786" s="38" t="s">
        <v>461</v>
      </c>
      <c r="E2786" s="38" t="s">
        <v>6565</v>
      </c>
      <c r="F2786" s="38" t="s">
        <v>6288</v>
      </c>
      <c r="G2786" s="38" t="s">
        <v>111</v>
      </c>
      <c r="H2786" s="44">
        <v>44176</v>
      </c>
      <c r="I2786" s="44">
        <v>44181</v>
      </c>
      <c r="J2786">
        <v>11.89</v>
      </c>
      <c r="K2786" s="22">
        <v>11.89</v>
      </c>
      <c r="L2786" s="22" t="s">
        <v>6566</v>
      </c>
      <c r="M2786" s="45" t="s">
        <v>98</v>
      </c>
      <c r="N2786" s="13" t="s">
        <v>230</v>
      </c>
      <c r="O2786" s="13" t="s">
        <v>288</v>
      </c>
      <c r="P2786" s="13" t="s">
        <v>60</v>
      </c>
      <c r="Q2786" s="13" t="s">
        <v>41</v>
      </c>
      <c r="R2786" s="38" t="s">
        <v>270</v>
      </c>
      <c r="S2786" s="38" t="s">
        <v>5107</v>
      </c>
      <c r="T2786" s="38" t="s">
        <v>5108</v>
      </c>
      <c r="U2786" s="38"/>
      <c r="V2786" s="38"/>
      <c r="W2786" s="38"/>
      <c r="X2786" s="14"/>
      <c r="AM2786" s="1"/>
      <c r="AN2786" s="7" t="s">
        <v>70</v>
      </c>
      <c r="AO2786" s="21">
        <f t="shared" si="137"/>
        <v>0</v>
      </c>
      <c r="AP2786" s="7">
        <f t="shared" si="138"/>
        <v>11.89</v>
      </c>
      <c r="AQ2786" s="31" t="str">
        <f t="shared" si="139"/>
        <v>Complete - No Adjustment</v>
      </c>
    </row>
    <row r="2787" spans="1:43" x14ac:dyDescent="0.2">
      <c r="A2787" s="46">
        <v>2777</v>
      </c>
      <c r="B2787" s="38" t="s">
        <v>266</v>
      </c>
      <c r="C2787" s="38" t="s">
        <v>462</v>
      </c>
      <c r="D2787" s="38" t="s">
        <v>461</v>
      </c>
      <c r="E2787" s="38" t="s">
        <v>6567</v>
      </c>
      <c r="F2787" s="38" t="s">
        <v>6295</v>
      </c>
      <c r="G2787" s="38" t="s">
        <v>111</v>
      </c>
      <c r="H2787" s="44">
        <v>44154</v>
      </c>
      <c r="I2787" s="44">
        <v>44166</v>
      </c>
      <c r="J2787">
        <v>14.59</v>
      </c>
      <c r="K2787" s="22">
        <v>14.59</v>
      </c>
      <c r="L2787" s="22" t="s">
        <v>6568</v>
      </c>
      <c r="M2787" s="45" t="s">
        <v>98</v>
      </c>
      <c r="N2787" s="13" t="s">
        <v>230</v>
      </c>
      <c r="O2787" s="13" t="s">
        <v>288</v>
      </c>
      <c r="P2787" s="13" t="s">
        <v>60</v>
      </c>
      <c r="Q2787" s="13" t="s">
        <v>41</v>
      </c>
      <c r="R2787" s="38" t="s">
        <v>270</v>
      </c>
      <c r="S2787" s="38" t="s">
        <v>6569</v>
      </c>
      <c r="T2787" s="38" t="s">
        <v>6570</v>
      </c>
      <c r="U2787" s="38"/>
      <c r="V2787" s="38"/>
      <c r="W2787" s="38"/>
      <c r="X2787" s="14"/>
      <c r="AM2787" s="1"/>
      <c r="AN2787" s="7" t="s">
        <v>70</v>
      </c>
      <c r="AO2787" s="21">
        <f t="shared" si="137"/>
        <v>0</v>
      </c>
      <c r="AP2787" s="7">
        <f t="shared" si="138"/>
        <v>14.59</v>
      </c>
      <c r="AQ2787" s="31" t="str">
        <f t="shared" si="139"/>
        <v>Complete - No Adjustment</v>
      </c>
    </row>
    <row r="2788" spans="1:43" x14ac:dyDescent="0.2">
      <c r="A2788" s="46">
        <v>2778</v>
      </c>
      <c r="B2788" s="38" t="s">
        <v>266</v>
      </c>
      <c r="C2788" s="38" t="s">
        <v>6571</v>
      </c>
      <c r="D2788" s="38" t="s">
        <v>6572</v>
      </c>
      <c r="E2788" s="38" t="s">
        <v>6573</v>
      </c>
      <c r="F2788" s="38" t="s">
        <v>6324</v>
      </c>
      <c r="G2788" s="38" t="s">
        <v>111</v>
      </c>
      <c r="H2788" s="44">
        <v>44153</v>
      </c>
      <c r="I2788" s="44">
        <v>44168</v>
      </c>
      <c r="J2788">
        <v>43.86</v>
      </c>
      <c r="K2788" s="22">
        <v>43.86</v>
      </c>
      <c r="L2788" s="22" t="s">
        <v>6574</v>
      </c>
      <c r="M2788" s="45" t="s">
        <v>98</v>
      </c>
      <c r="N2788" s="13" t="s">
        <v>230</v>
      </c>
      <c r="O2788" s="13" t="s">
        <v>298</v>
      </c>
      <c r="P2788" s="13" t="s">
        <v>60</v>
      </c>
      <c r="Q2788" s="13" t="s">
        <v>74</v>
      </c>
      <c r="R2788" s="38" t="s">
        <v>270</v>
      </c>
      <c r="S2788" s="38" t="s">
        <v>6575</v>
      </c>
      <c r="T2788" s="38" t="s">
        <v>6576</v>
      </c>
      <c r="U2788" s="38"/>
      <c r="V2788" s="38"/>
      <c r="W2788" s="38"/>
      <c r="X2788" s="14"/>
      <c r="AM2788" s="1"/>
      <c r="AN2788" s="7" t="s">
        <v>70</v>
      </c>
      <c r="AO2788" s="21">
        <f t="shared" si="137"/>
        <v>0</v>
      </c>
      <c r="AP2788" s="7">
        <f t="shared" si="138"/>
        <v>43.86</v>
      </c>
      <c r="AQ2788" s="31" t="str">
        <f t="shared" si="139"/>
        <v>Complete - No Adjustment</v>
      </c>
    </row>
    <row r="2789" spans="1:43" x14ac:dyDescent="0.2">
      <c r="A2789" s="46">
        <v>2779</v>
      </c>
      <c r="B2789" s="38" t="s">
        <v>266</v>
      </c>
      <c r="C2789" s="38" t="s">
        <v>660</v>
      </c>
      <c r="D2789" s="38" t="s">
        <v>659</v>
      </c>
      <c r="E2789" s="38" t="s">
        <v>6577</v>
      </c>
      <c r="F2789" s="38" t="s">
        <v>6284</v>
      </c>
      <c r="G2789" s="38" t="s">
        <v>111</v>
      </c>
      <c r="H2789" s="44">
        <v>44182</v>
      </c>
      <c r="I2789" s="44">
        <v>44183</v>
      </c>
      <c r="J2789">
        <v>17.52</v>
      </c>
      <c r="K2789" s="22">
        <v>17.52</v>
      </c>
      <c r="L2789" s="22" t="s">
        <v>6578</v>
      </c>
      <c r="M2789" s="45" t="s">
        <v>98</v>
      </c>
      <c r="N2789" s="13" t="s">
        <v>230</v>
      </c>
      <c r="O2789" s="13" t="s">
        <v>320</v>
      </c>
      <c r="P2789" s="13" t="s">
        <v>60</v>
      </c>
      <c r="Q2789" s="13" t="s">
        <v>41</v>
      </c>
      <c r="R2789" s="38" t="s">
        <v>270</v>
      </c>
      <c r="S2789" s="38" t="s">
        <v>6579</v>
      </c>
      <c r="T2789" s="38" t="s">
        <v>6580</v>
      </c>
      <c r="U2789" s="38"/>
      <c r="V2789" s="38"/>
      <c r="W2789" s="38"/>
      <c r="X2789" s="14"/>
      <c r="AI2789" s="53">
        <v>17.52</v>
      </c>
      <c r="AM2789" s="1"/>
      <c r="AN2789" s="7" t="s">
        <v>145</v>
      </c>
      <c r="AO2789" s="21">
        <f t="shared" si="137"/>
        <v>17.52</v>
      </c>
      <c r="AP2789" s="7">
        <f t="shared" si="138"/>
        <v>0</v>
      </c>
      <c r="AQ2789" s="31" t="str">
        <f t="shared" si="139"/>
        <v>Complete - With Adjustment</v>
      </c>
    </row>
    <row r="2790" spans="1:43" x14ac:dyDescent="0.2">
      <c r="A2790" s="46">
        <v>2780</v>
      </c>
      <c r="B2790" s="38" t="s">
        <v>266</v>
      </c>
      <c r="C2790" s="38" t="s">
        <v>467</v>
      </c>
      <c r="D2790" s="38" t="s">
        <v>466</v>
      </c>
      <c r="E2790" s="38" t="s">
        <v>6581</v>
      </c>
      <c r="F2790" s="38" t="s">
        <v>6366</v>
      </c>
      <c r="G2790" s="38" t="s">
        <v>111</v>
      </c>
      <c r="H2790" s="44">
        <v>44167</v>
      </c>
      <c r="I2790" s="44">
        <v>44172</v>
      </c>
      <c r="J2790">
        <v>320</v>
      </c>
      <c r="K2790" s="22">
        <v>256.64999999999998</v>
      </c>
      <c r="L2790" s="22" t="s">
        <v>6582</v>
      </c>
      <c r="M2790" s="45" t="s">
        <v>98</v>
      </c>
      <c r="N2790" s="13" t="s">
        <v>230</v>
      </c>
      <c r="O2790" s="13" t="s">
        <v>284</v>
      </c>
      <c r="P2790" s="13" t="s">
        <v>60</v>
      </c>
      <c r="Q2790" s="13" t="s">
        <v>56</v>
      </c>
      <c r="R2790" s="38" t="s">
        <v>270</v>
      </c>
      <c r="S2790" s="38" t="s">
        <v>6583</v>
      </c>
      <c r="T2790" s="38" t="s">
        <v>6584</v>
      </c>
      <c r="U2790" s="38"/>
      <c r="V2790" s="38"/>
      <c r="W2790" s="38"/>
      <c r="X2790" s="14"/>
      <c r="AM2790" s="1"/>
      <c r="AN2790" s="7" t="s">
        <v>70</v>
      </c>
      <c r="AO2790" s="21">
        <f t="shared" si="137"/>
        <v>0</v>
      </c>
      <c r="AP2790" s="7">
        <f t="shared" si="138"/>
        <v>256.64999999999998</v>
      </c>
      <c r="AQ2790" s="31" t="str">
        <f t="shared" si="139"/>
        <v>Complete - No Adjustment</v>
      </c>
    </row>
    <row r="2791" spans="1:43" x14ac:dyDescent="0.2">
      <c r="A2791" s="46">
        <v>2781</v>
      </c>
      <c r="B2791" s="38" t="s">
        <v>266</v>
      </c>
      <c r="C2791" s="38" t="s">
        <v>467</v>
      </c>
      <c r="D2791" s="38" t="s">
        <v>466</v>
      </c>
      <c r="E2791" s="38" t="s">
        <v>6581</v>
      </c>
      <c r="F2791" s="38" t="s">
        <v>6366</v>
      </c>
      <c r="G2791" s="38" t="s">
        <v>111</v>
      </c>
      <c r="H2791" s="44">
        <v>44167</v>
      </c>
      <c r="I2791" s="44">
        <v>44172</v>
      </c>
      <c r="J2791">
        <v>320</v>
      </c>
      <c r="K2791" s="22">
        <v>21.75</v>
      </c>
      <c r="L2791" s="22" t="s">
        <v>6582</v>
      </c>
      <c r="M2791" s="45" t="s">
        <v>98</v>
      </c>
      <c r="N2791" s="13" t="s">
        <v>230</v>
      </c>
      <c r="O2791" s="13" t="s">
        <v>284</v>
      </c>
      <c r="P2791" s="13" t="s">
        <v>60</v>
      </c>
      <c r="Q2791" s="13" t="s">
        <v>41</v>
      </c>
      <c r="R2791" s="38" t="s">
        <v>270</v>
      </c>
      <c r="S2791" s="38" t="s">
        <v>6583</v>
      </c>
      <c r="T2791" s="38" t="s">
        <v>6585</v>
      </c>
      <c r="U2791" s="38"/>
      <c r="V2791" s="38"/>
      <c r="W2791" s="38"/>
      <c r="X2791" s="14"/>
      <c r="AI2791" s="54">
        <v>21.75</v>
      </c>
      <c r="AM2791" s="1"/>
      <c r="AN2791" s="7" t="s">
        <v>145</v>
      </c>
      <c r="AO2791" s="21">
        <f t="shared" si="137"/>
        <v>21.75</v>
      </c>
      <c r="AP2791" s="7">
        <f t="shared" si="138"/>
        <v>0</v>
      </c>
      <c r="AQ2791" s="31" t="str">
        <f t="shared" si="139"/>
        <v>Complete - With Adjustment</v>
      </c>
    </row>
    <row r="2792" spans="1:43" x14ac:dyDescent="0.2">
      <c r="A2792" s="46">
        <v>2782</v>
      </c>
      <c r="B2792" s="38" t="s">
        <v>266</v>
      </c>
      <c r="C2792" s="38" t="s">
        <v>467</v>
      </c>
      <c r="D2792" s="38" t="s">
        <v>466</v>
      </c>
      <c r="E2792" s="38" t="s">
        <v>6581</v>
      </c>
      <c r="F2792" s="38" t="s">
        <v>6366</v>
      </c>
      <c r="G2792" s="38" t="s">
        <v>111</v>
      </c>
      <c r="H2792" s="44">
        <v>44167</v>
      </c>
      <c r="I2792" s="44">
        <v>44172</v>
      </c>
      <c r="J2792">
        <v>320</v>
      </c>
      <c r="K2792" s="22">
        <v>3.25</v>
      </c>
      <c r="L2792" s="22" t="s">
        <v>6582</v>
      </c>
      <c r="M2792" s="45" t="s">
        <v>97</v>
      </c>
      <c r="N2792" s="13" t="s">
        <v>230</v>
      </c>
      <c r="O2792" s="13" t="s">
        <v>284</v>
      </c>
      <c r="P2792" s="13" t="s">
        <v>64</v>
      </c>
      <c r="Q2792" s="13" t="s">
        <v>41</v>
      </c>
      <c r="R2792" s="38" t="s">
        <v>270</v>
      </c>
      <c r="S2792" s="38" t="s">
        <v>6583</v>
      </c>
      <c r="T2792" s="38" t="s">
        <v>6585</v>
      </c>
      <c r="U2792" s="38"/>
      <c r="V2792" s="38"/>
      <c r="W2792" s="38"/>
      <c r="X2792" s="14"/>
      <c r="AI2792" s="54">
        <v>3.25</v>
      </c>
      <c r="AM2792" s="1"/>
      <c r="AN2792" s="7" t="s">
        <v>145</v>
      </c>
      <c r="AO2792" s="21">
        <f t="shared" si="137"/>
        <v>3.25</v>
      </c>
      <c r="AP2792" s="7">
        <f t="shared" si="138"/>
        <v>0</v>
      </c>
      <c r="AQ2792" s="31" t="str">
        <f t="shared" si="139"/>
        <v>Complete - With Adjustment</v>
      </c>
    </row>
    <row r="2793" spans="1:43" x14ac:dyDescent="0.2">
      <c r="A2793" s="46">
        <v>2783</v>
      </c>
      <c r="B2793" s="38" t="s">
        <v>266</v>
      </c>
      <c r="C2793" s="38" t="s">
        <v>467</v>
      </c>
      <c r="D2793" s="38" t="s">
        <v>466</v>
      </c>
      <c r="E2793" s="38" t="s">
        <v>6581</v>
      </c>
      <c r="F2793" s="38" t="s">
        <v>6366</v>
      </c>
      <c r="G2793" s="38" t="s">
        <v>111</v>
      </c>
      <c r="H2793" s="44">
        <v>44167</v>
      </c>
      <c r="I2793" s="44">
        <v>44172</v>
      </c>
      <c r="J2793">
        <v>320</v>
      </c>
      <c r="K2793" s="22">
        <v>38.35</v>
      </c>
      <c r="L2793" s="22" t="s">
        <v>6582</v>
      </c>
      <c r="M2793" s="45" t="s">
        <v>97</v>
      </c>
      <c r="N2793" s="13" t="s">
        <v>230</v>
      </c>
      <c r="O2793" s="13" t="s">
        <v>284</v>
      </c>
      <c r="P2793" s="13" t="s">
        <v>64</v>
      </c>
      <c r="Q2793" s="13" t="s">
        <v>56</v>
      </c>
      <c r="R2793" s="38" t="s">
        <v>270</v>
      </c>
      <c r="S2793" s="38" t="s">
        <v>6583</v>
      </c>
      <c r="T2793" s="38" t="s">
        <v>6584</v>
      </c>
      <c r="U2793" s="38"/>
      <c r="V2793" s="38"/>
      <c r="W2793" s="38"/>
      <c r="X2793" s="14"/>
      <c r="AM2793" s="1"/>
      <c r="AN2793" s="7" t="s">
        <v>70</v>
      </c>
      <c r="AO2793" s="21">
        <f t="shared" si="137"/>
        <v>0</v>
      </c>
      <c r="AP2793" s="7">
        <f t="shared" si="138"/>
        <v>38.35</v>
      </c>
      <c r="AQ2793" s="31" t="str">
        <f t="shared" si="139"/>
        <v>Complete - No Adjustment</v>
      </c>
    </row>
    <row r="2794" spans="1:43" x14ac:dyDescent="0.2">
      <c r="A2794" s="46">
        <v>2784</v>
      </c>
      <c r="B2794" s="38" t="s">
        <v>266</v>
      </c>
      <c r="C2794" s="38" t="s">
        <v>467</v>
      </c>
      <c r="D2794" s="38" t="s">
        <v>466</v>
      </c>
      <c r="E2794" s="38" t="s">
        <v>6586</v>
      </c>
      <c r="F2794" s="38" t="s">
        <v>6366</v>
      </c>
      <c r="G2794" s="38" t="s">
        <v>111</v>
      </c>
      <c r="H2794" s="44">
        <v>44168</v>
      </c>
      <c r="I2794" s="44">
        <v>44172</v>
      </c>
      <c r="J2794">
        <v>14922.5</v>
      </c>
      <c r="K2794" s="22">
        <v>14922.5</v>
      </c>
      <c r="L2794" s="22" t="s">
        <v>6587</v>
      </c>
      <c r="M2794" s="45" t="s">
        <v>97</v>
      </c>
      <c r="N2794" s="13" t="s">
        <v>230</v>
      </c>
      <c r="O2794" s="13" t="s">
        <v>284</v>
      </c>
      <c r="P2794" s="13" t="s">
        <v>64</v>
      </c>
      <c r="Q2794" s="13" t="s">
        <v>55</v>
      </c>
      <c r="R2794" s="38" t="s">
        <v>270</v>
      </c>
      <c r="S2794" s="38" t="s">
        <v>6588</v>
      </c>
      <c r="T2794" s="38" t="s">
        <v>6589</v>
      </c>
      <c r="U2794" s="38"/>
      <c r="V2794" s="38"/>
      <c r="W2794" s="38"/>
      <c r="X2794" s="14"/>
      <c r="AG2794" s="54">
        <v>14922.5</v>
      </c>
      <c r="AM2794" s="1"/>
      <c r="AN2794" s="7" t="s">
        <v>225</v>
      </c>
      <c r="AO2794" s="21">
        <f t="shared" si="137"/>
        <v>14922.5</v>
      </c>
      <c r="AP2794" s="7">
        <f t="shared" si="138"/>
        <v>0</v>
      </c>
      <c r="AQ2794" s="31" t="str">
        <f t="shared" si="139"/>
        <v>Complete - With Adjustment</v>
      </c>
    </row>
    <row r="2795" spans="1:43" x14ac:dyDescent="0.2">
      <c r="A2795" s="46">
        <v>2785</v>
      </c>
      <c r="B2795" s="38" t="s">
        <v>266</v>
      </c>
      <c r="C2795" s="38" t="s">
        <v>788</v>
      </c>
      <c r="D2795" s="38" t="s">
        <v>787</v>
      </c>
      <c r="E2795" s="38" t="s">
        <v>6590</v>
      </c>
      <c r="F2795" s="38" t="s">
        <v>6314</v>
      </c>
      <c r="G2795" s="38" t="s">
        <v>111</v>
      </c>
      <c r="H2795" s="44">
        <v>44160</v>
      </c>
      <c r="I2795" s="44">
        <v>44167</v>
      </c>
      <c r="J2795">
        <v>104.66</v>
      </c>
      <c r="K2795" s="22">
        <v>12</v>
      </c>
      <c r="L2795" s="22" t="s">
        <v>6591</v>
      </c>
      <c r="M2795" s="45" t="s">
        <v>98</v>
      </c>
      <c r="N2795" s="13" t="s">
        <v>230</v>
      </c>
      <c r="O2795" s="13" t="s">
        <v>444</v>
      </c>
      <c r="P2795" s="13" t="s">
        <v>60</v>
      </c>
      <c r="Q2795" s="13" t="s">
        <v>74</v>
      </c>
      <c r="R2795" s="38" t="s">
        <v>270</v>
      </c>
      <c r="S2795" s="38" t="s">
        <v>6592</v>
      </c>
      <c r="T2795" s="38" t="s">
        <v>6593</v>
      </c>
      <c r="U2795" s="38"/>
      <c r="V2795" s="38"/>
      <c r="W2795" s="38"/>
      <c r="X2795" s="14"/>
      <c r="AI2795" s="53">
        <v>12</v>
      </c>
      <c r="AM2795" s="1"/>
      <c r="AN2795" s="7" t="s">
        <v>145</v>
      </c>
      <c r="AO2795" s="21">
        <f t="shared" si="137"/>
        <v>12</v>
      </c>
      <c r="AP2795" s="7">
        <f t="shared" si="138"/>
        <v>0</v>
      </c>
      <c r="AQ2795" s="31" t="str">
        <f t="shared" si="139"/>
        <v>Complete - With Adjustment</v>
      </c>
    </row>
    <row r="2796" spans="1:43" x14ac:dyDescent="0.2">
      <c r="A2796" s="46">
        <v>2786</v>
      </c>
      <c r="B2796" s="38" t="s">
        <v>266</v>
      </c>
      <c r="C2796" s="38" t="s">
        <v>788</v>
      </c>
      <c r="D2796" s="38" t="s">
        <v>787</v>
      </c>
      <c r="E2796" s="38" t="s">
        <v>6590</v>
      </c>
      <c r="F2796" s="38" t="s">
        <v>6314</v>
      </c>
      <c r="G2796" s="38" t="s">
        <v>111</v>
      </c>
      <c r="H2796" s="44">
        <v>44160</v>
      </c>
      <c r="I2796" s="44">
        <v>44167</v>
      </c>
      <c r="J2796">
        <v>104.66</v>
      </c>
      <c r="K2796" s="22">
        <v>11.73</v>
      </c>
      <c r="L2796" s="22" t="s">
        <v>6591</v>
      </c>
      <c r="M2796" s="45" t="s">
        <v>98</v>
      </c>
      <c r="N2796" s="13" t="s">
        <v>230</v>
      </c>
      <c r="O2796" s="13" t="s">
        <v>444</v>
      </c>
      <c r="P2796" s="13" t="s">
        <v>60</v>
      </c>
      <c r="Q2796" s="13" t="s">
        <v>41</v>
      </c>
      <c r="R2796" s="38" t="s">
        <v>270</v>
      </c>
      <c r="S2796" s="38" t="s">
        <v>6592</v>
      </c>
      <c r="T2796" s="38" t="s">
        <v>6594</v>
      </c>
      <c r="U2796" s="38"/>
      <c r="V2796" s="38"/>
      <c r="W2796" s="38"/>
      <c r="X2796" s="14"/>
      <c r="AI2796" s="53">
        <v>11.73</v>
      </c>
      <c r="AM2796" s="1"/>
      <c r="AN2796" s="7" t="s">
        <v>145</v>
      </c>
      <c r="AO2796" s="21">
        <f t="shared" si="137"/>
        <v>11.73</v>
      </c>
      <c r="AP2796" s="7">
        <f t="shared" si="138"/>
        <v>0</v>
      </c>
      <c r="AQ2796" s="31" t="str">
        <f t="shared" si="139"/>
        <v>Complete - With Adjustment</v>
      </c>
    </row>
    <row r="2797" spans="1:43" x14ac:dyDescent="0.2">
      <c r="A2797" s="46">
        <v>2787</v>
      </c>
      <c r="B2797" s="38" t="s">
        <v>266</v>
      </c>
      <c r="C2797" s="38" t="s">
        <v>788</v>
      </c>
      <c r="D2797" s="38" t="s">
        <v>787</v>
      </c>
      <c r="E2797" s="38" t="s">
        <v>6590</v>
      </c>
      <c r="F2797" s="38" t="s">
        <v>6314</v>
      </c>
      <c r="G2797" s="38" t="s">
        <v>111</v>
      </c>
      <c r="H2797" s="44">
        <v>44160</v>
      </c>
      <c r="I2797" s="44">
        <v>44167</v>
      </c>
      <c r="J2797">
        <v>104.66</v>
      </c>
      <c r="K2797" s="22">
        <v>80.930000000000007</v>
      </c>
      <c r="L2797" s="22" t="s">
        <v>6591</v>
      </c>
      <c r="M2797" s="45" t="s">
        <v>98</v>
      </c>
      <c r="N2797" s="13" t="s">
        <v>230</v>
      </c>
      <c r="O2797" s="13" t="s">
        <v>444</v>
      </c>
      <c r="P2797" s="13" t="s">
        <v>60</v>
      </c>
      <c r="Q2797" s="13" t="s">
        <v>74</v>
      </c>
      <c r="R2797" s="38" t="s">
        <v>270</v>
      </c>
      <c r="S2797" s="38" t="s">
        <v>6592</v>
      </c>
      <c r="T2797" s="38" t="s">
        <v>6595</v>
      </c>
      <c r="U2797" s="38"/>
      <c r="V2797" s="38"/>
      <c r="W2797" s="38"/>
      <c r="X2797" s="14"/>
      <c r="AM2797" s="1"/>
      <c r="AN2797" s="7" t="s">
        <v>70</v>
      </c>
      <c r="AO2797" s="21">
        <f t="shared" si="137"/>
        <v>0</v>
      </c>
      <c r="AP2797" s="7">
        <f t="shared" si="138"/>
        <v>80.930000000000007</v>
      </c>
      <c r="AQ2797" s="31" t="str">
        <f t="shared" si="139"/>
        <v>Complete - No Adjustment</v>
      </c>
    </row>
    <row r="2798" spans="1:43" x14ac:dyDescent="0.2">
      <c r="A2798" s="46">
        <v>2788</v>
      </c>
      <c r="B2798" s="38" t="s">
        <v>266</v>
      </c>
      <c r="C2798" s="38" t="s">
        <v>571</v>
      </c>
      <c r="D2798" s="38" t="s">
        <v>570</v>
      </c>
      <c r="E2798" s="38" t="s">
        <v>6596</v>
      </c>
      <c r="F2798" s="38" t="s">
        <v>6409</v>
      </c>
      <c r="G2798" s="38" t="s">
        <v>111</v>
      </c>
      <c r="H2798" s="44">
        <v>44155</v>
      </c>
      <c r="I2798" s="44">
        <v>44175</v>
      </c>
      <c r="J2798">
        <v>405</v>
      </c>
      <c r="K2798" s="22">
        <v>405</v>
      </c>
      <c r="L2798" s="22" t="s">
        <v>6597</v>
      </c>
      <c r="M2798" s="45" t="s">
        <v>98</v>
      </c>
      <c r="N2798" s="13" t="s">
        <v>230</v>
      </c>
      <c r="O2798" s="13" t="s">
        <v>404</v>
      </c>
      <c r="P2798" s="13" t="s">
        <v>60</v>
      </c>
      <c r="Q2798" s="13" t="s">
        <v>48</v>
      </c>
      <c r="R2798" s="38" t="s">
        <v>270</v>
      </c>
      <c r="S2798" s="38" t="s">
        <v>6598</v>
      </c>
      <c r="T2798" s="38" t="s">
        <v>6599</v>
      </c>
      <c r="U2798" s="38"/>
      <c r="V2798" s="38"/>
      <c r="W2798" s="38"/>
      <c r="X2798" s="14"/>
      <c r="AM2798" s="1"/>
      <c r="AN2798" s="7" t="s">
        <v>70</v>
      </c>
      <c r="AO2798" s="21">
        <f t="shared" si="137"/>
        <v>0</v>
      </c>
      <c r="AP2798" s="7">
        <f t="shared" si="138"/>
        <v>405</v>
      </c>
      <c r="AQ2798" s="31" t="str">
        <f t="shared" si="139"/>
        <v>Complete - No Adjustment</v>
      </c>
    </row>
    <row r="2799" spans="1:43" x14ac:dyDescent="0.2">
      <c r="A2799" s="46">
        <v>2789</v>
      </c>
      <c r="B2799" s="38" t="s">
        <v>266</v>
      </c>
      <c r="C2799" s="38" t="s">
        <v>265</v>
      </c>
      <c r="D2799" s="38" t="s">
        <v>264</v>
      </c>
      <c r="E2799" s="38" t="s">
        <v>6600</v>
      </c>
      <c r="F2799" s="38" t="s">
        <v>6366</v>
      </c>
      <c r="G2799" s="38" t="s">
        <v>111</v>
      </c>
      <c r="H2799" s="44">
        <v>44145</v>
      </c>
      <c r="I2799" s="44">
        <v>44172</v>
      </c>
      <c r="J2799">
        <v>321.89999999999998</v>
      </c>
      <c r="K2799" s="22">
        <v>80</v>
      </c>
      <c r="L2799" s="22" t="s">
        <v>6601</v>
      </c>
      <c r="M2799" s="45" t="s">
        <v>98</v>
      </c>
      <c r="N2799" s="13" t="s">
        <v>230</v>
      </c>
      <c r="O2799" s="13" t="s">
        <v>342</v>
      </c>
      <c r="P2799" s="13" t="s">
        <v>60</v>
      </c>
      <c r="Q2799" s="13" t="s">
        <v>41</v>
      </c>
      <c r="R2799" s="38" t="s">
        <v>270</v>
      </c>
      <c r="S2799" s="38" t="s">
        <v>6602</v>
      </c>
      <c r="T2799" s="38" t="s">
        <v>6603</v>
      </c>
      <c r="U2799" s="38"/>
      <c r="V2799" s="38"/>
      <c r="W2799" s="38"/>
      <c r="X2799" s="14"/>
      <c r="AM2799" s="1"/>
      <c r="AN2799" s="7" t="s">
        <v>70</v>
      </c>
      <c r="AO2799" s="21">
        <f t="shared" si="137"/>
        <v>0</v>
      </c>
      <c r="AP2799" s="7">
        <f t="shared" si="138"/>
        <v>80</v>
      </c>
      <c r="AQ2799" s="31" t="str">
        <f t="shared" si="139"/>
        <v>Complete - No Adjustment</v>
      </c>
    </row>
    <row r="2800" spans="1:43" x14ac:dyDescent="0.2">
      <c r="A2800" s="46">
        <v>2790</v>
      </c>
      <c r="B2800" s="38" t="s">
        <v>266</v>
      </c>
      <c r="C2800" s="38" t="s">
        <v>265</v>
      </c>
      <c r="D2800" s="38" t="s">
        <v>264</v>
      </c>
      <c r="E2800" s="38" t="s">
        <v>6600</v>
      </c>
      <c r="F2800" s="38" t="s">
        <v>6366</v>
      </c>
      <c r="G2800" s="38" t="s">
        <v>111</v>
      </c>
      <c r="H2800" s="44">
        <v>44145</v>
      </c>
      <c r="I2800" s="44">
        <v>44172</v>
      </c>
      <c r="J2800">
        <v>321.89999999999998</v>
      </c>
      <c r="K2800" s="22">
        <v>139</v>
      </c>
      <c r="L2800" s="22" t="s">
        <v>6601</v>
      </c>
      <c r="M2800" s="45" t="s">
        <v>98</v>
      </c>
      <c r="N2800" s="13" t="s">
        <v>230</v>
      </c>
      <c r="O2800" s="13" t="s">
        <v>342</v>
      </c>
      <c r="P2800" s="13" t="s">
        <v>60</v>
      </c>
      <c r="Q2800" s="13" t="s">
        <v>62</v>
      </c>
      <c r="R2800" s="38" t="s">
        <v>270</v>
      </c>
      <c r="S2800" s="38" t="s">
        <v>6602</v>
      </c>
      <c r="T2800" s="38" t="s">
        <v>6604</v>
      </c>
      <c r="U2800" s="38"/>
      <c r="V2800" s="38"/>
      <c r="W2800" s="38"/>
      <c r="X2800" s="14"/>
      <c r="AM2800" s="1"/>
      <c r="AN2800" s="7" t="s">
        <v>70</v>
      </c>
      <c r="AO2800" s="21">
        <f t="shared" si="137"/>
        <v>0</v>
      </c>
      <c r="AP2800" s="7">
        <f t="shared" si="138"/>
        <v>139</v>
      </c>
      <c r="AQ2800" s="31" t="str">
        <f t="shared" si="139"/>
        <v>Complete - No Adjustment</v>
      </c>
    </row>
    <row r="2801" spans="1:43" x14ac:dyDescent="0.2">
      <c r="A2801" s="46">
        <v>2791</v>
      </c>
      <c r="B2801" s="38" t="s">
        <v>266</v>
      </c>
      <c r="C2801" s="38" t="s">
        <v>265</v>
      </c>
      <c r="D2801" s="38" t="s">
        <v>264</v>
      </c>
      <c r="E2801" s="38" t="s">
        <v>6600</v>
      </c>
      <c r="F2801" s="38" t="s">
        <v>6366</v>
      </c>
      <c r="G2801" s="38" t="s">
        <v>111</v>
      </c>
      <c r="H2801" s="44">
        <v>44145</v>
      </c>
      <c r="I2801" s="44">
        <v>44172</v>
      </c>
      <c r="J2801">
        <v>321.89999999999998</v>
      </c>
      <c r="K2801" s="22">
        <v>102.9</v>
      </c>
      <c r="L2801" s="22" t="s">
        <v>6601</v>
      </c>
      <c r="M2801" s="45" t="s">
        <v>98</v>
      </c>
      <c r="N2801" s="13" t="s">
        <v>230</v>
      </c>
      <c r="O2801" s="13" t="s">
        <v>342</v>
      </c>
      <c r="P2801" s="13" t="s">
        <v>60</v>
      </c>
      <c r="Q2801" s="13" t="s">
        <v>46</v>
      </c>
      <c r="R2801" s="38" t="s">
        <v>270</v>
      </c>
      <c r="S2801" s="38" t="s">
        <v>6602</v>
      </c>
      <c r="T2801" s="38" t="s">
        <v>6605</v>
      </c>
      <c r="U2801" s="38"/>
      <c r="V2801" s="38"/>
      <c r="W2801" s="38"/>
      <c r="X2801" s="14"/>
      <c r="AI2801" s="53">
        <v>102.9</v>
      </c>
      <c r="AM2801" s="1"/>
      <c r="AN2801" s="7" t="s">
        <v>145</v>
      </c>
      <c r="AO2801" s="21">
        <f t="shared" si="137"/>
        <v>102.9</v>
      </c>
      <c r="AP2801" s="7">
        <f t="shared" si="138"/>
        <v>0</v>
      </c>
      <c r="AQ2801" s="31" t="str">
        <f t="shared" si="139"/>
        <v>Complete - With Adjustment</v>
      </c>
    </row>
    <row r="2802" spans="1:43" x14ac:dyDescent="0.2">
      <c r="A2802" s="46">
        <v>2792</v>
      </c>
      <c r="B2802" s="38" t="s">
        <v>266</v>
      </c>
      <c r="C2802" s="38" t="s">
        <v>265</v>
      </c>
      <c r="D2802" s="38" t="s">
        <v>264</v>
      </c>
      <c r="E2802" s="38" t="s">
        <v>6606</v>
      </c>
      <c r="F2802" s="38" t="s">
        <v>6409</v>
      </c>
      <c r="G2802" s="38" t="s">
        <v>111</v>
      </c>
      <c r="H2802" s="44">
        <v>44168</v>
      </c>
      <c r="I2802" s="44">
        <v>44175</v>
      </c>
      <c r="J2802">
        <v>369</v>
      </c>
      <c r="K2802" s="22">
        <v>369</v>
      </c>
      <c r="L2802" s="22" t="s">
        <v>6607</v>
      </c>
      <c r="M2802" s="45" t="s">
        <v>98</v>
      </c>
      <c r="N2802" s="13" t="s">
        <v>230</v>
      </c>
      <c r="O2802" s="13" t="s">
        <v>342</v>
      </c>
      <c r="P2802" s="13" t="s">
        <v>60</v>
      </c>
      <c r="Q2802" s="13" t="s">
        <v>59</v>
      </c>
      <c r="R2802" s="38" t="s">
        <v>270</v>
      </c>
      <c r="S2802" s="38" t="s">
        <v>6608</v>
      </c>
      <c r="T2802" s="38" t="s">
        <v>6609</v>
      </c>
      <c r="U2802" s="38"/>
      <c r="V2802" s="38"/>
      <c r="W2802" s="38"/>
      <c r="X2802" s="14"/>
      <c r="AM2802" s="1"/>
      <c r="AN2802" s="7" t="s">
        <v>70</v>
      </c>
      <c r="AO2802" s="21">
        <f t="shared" si="137"/>
        <v>0</v>
      </c>
      <c r="AP2802" s="7">
        <f t="shared" si="138"/>
        <v>369</v>
      </c>
      <c r="AQ2802" s="31" t="str">
        <f t="shared" si="139"/>
        <v>Complete - No Adjustment</v>
      </c>
    </row>
    <row r="2803" spans="1:43" x14ac:dyDescent="0.2">
      <c r="A2803" s="46">
        <v>2793</v>
      </c>
      <c r="B2803" s="38" t="s">
        <v>266</v>
      </c>
      <c r="C2803" s="38" t="s">
        <v>471</v>
      </c>
      <c r="D2803" s="38" t="s">
        <v>470</v>
      </c>
      <c r="E2803" s="38" t="s">
        <v>6610</v>
      </c>
      <c r="F2803" s="38" t="s">
        <v>6288</v>
      </c>
      <c r="G2803" s="38" t="s">
        <v>111</v>
      </c>
      <c r="H2803" s="44">
        <v>44174</v>
      </c>
      <c r="I2803" s="44">
        <v>44181</v>
      </c>
      <c r="J2803">
        <v>15</v>
      </c>
      <c r="K2803" s="22">
        <v>15</v>
      </c>
      <c r="L2803" s="22" t="s">
        <v>6611</v>
      </c>
      <c r="M2803" s="45" t="s">
        <v>98</v>
      </c>
      <c r="N2803" s="13" t="s">
        <v>230</v>
      </c>
      <c r="O2803" s="13" t="s">
        <v>472</v>
      </c>
      <c r="P2803" s="13" t="s">
        <v>60</v>
      </c>
      <c r="Q2803" s="13" t="s">
        <v>41</v>
      </c>
      <c r="R2803" s="38" t="s">
        <v>270</v>
      </c>
      <c r="S2803" s="38" t="s">
        <v>6612</v>
      </c>
      <c r="T2803" s="38" t="s">
        <v>6613</v>
      </c>
      <c r="U2803" s="38"/>
      <c r="V2803" s="38"/>
      <c r="W2803" s="38"/>
      <c r="X2803" s="14"/>
      <c r="AM2803" s="1"/>
      <c r="AN2803" s="7" t="s">
        <v>70</v>
      </c>
      <c r="AO2803" s="21">
        <f t="shared" si="137"/>
        <v>0</v>
      </c>
      <c r="AP2803" s="7">
        <f t="shared" si="138"/>
        <v>15</v>
      </c>
      <c r="AQ2803" s="31" t="str">
        <f t="shared" si="139"/>
        <v>Complete - No Adjustment</v>
      </c>
    </row>
    <row r="2804" spans="1:43" x14ac:dyDescent="0.2">
      <c r="A2804" s="46">
        <v>2794</v>
      </c>
      <c r="B2804" s="38" t="s">
        <v>266</v>
      </c>
      <c r="C2804" s="38" t="s">
        <v>6614</v>
      </c>
      <c r="D2804" s="38" t="s">
        <v>6615</v>
      </c>
      <c r="E2804" s="38" t="s">
        <v>6616</v>
      </c>
      <c r="F2804" s="38" t="s">
        <v>6366</v>
      </c>
      <c r="G2804" s="38" t="s">
        <v>111</v>
      </c>
      <c r="H2804" s="44">
        <v>44158</v>
      </c>
      <c r="I2804" s="44">
        <v>44172</v>
      </c>
      <c r="J2804">
        <v>89.88</v>
      </c>
      <c r="K2804" s="22">
        <v>58.33</v>
      </c>
      <c r="L2804" s="22" t="s">
        <v>6617</v>
      </c>
      <c r="M2804" s="45" t="s">
        <v>98</v>
      </c>
      <c r="N2804" s="13" t="s">
        <v>230</v>
      </c>
      <c r="O2804" s="13" t="s">
        <v>289</v>
      </c>
      <c r="P2804" s="13" t="s">
        <v>60</v>
      </c>
      <c r="Q2804" s="13" t="s">
        <v>74</v>
      </c>
      <c r="R2804" s="38" t="s">
        <v>270</v>
      </c>
      <c r="S2804" s="38" t="s">
        <v>6618</v>
      </c>
      <c r="T2804" s="38" t="s">
        <v>6619</v>
      </c>
      <c r="U2804" s="38"/>
      <c r="V2804" s="38"/>
      <c r="W2804" s="38"/>
      <c r="X2804" s="14"/>
      <c r="AM2804" s="1"/>
      <c r="AN2804" s="7" t="s">
        <v>70</v>
      </c>
      <c r="AO2804" s="21">
        <f t="shared" si="137"/>
        <v>0</v>
      </c>
      <c r="AP2804" s="7">
        <f t="shared" si="138"/>
        <v>58.33</v>
      </c>
      <c r="AQ2804" s="31" t="str">
        <f t="shared" si="139"/>
        <v>Complete - No Adjustment</v>
      </c>
    </row>
    <row r="2805" spans="1:43" x14ac:dyDescent="0.2">
      <c r="A2805" s="46">
        <v>2795</v>
      </c>
      <c r="B2805" s="38" t="s">
        <v>266</v>
      </c>
      <c r="C2805" s="38" t="s">
        <v>6614</v>
      </c>
      <c r="D2805" s="38" t="s">
        <v>6615</v>
      </c>
      <c r="E2805" s="38" t="s">
        <v>6616</v>
      </c>
      <c r="F2805" s="38" t="s">
        <v>6366</v>
      </c>
      <c r="G2805" s="38" t="s">
        <v>111</v>
      </c>
      <c r="H2805" s="44">
        <v>44158</v>
      </c>
      <c r="I2805" s="44">
        <v>44172</v>
      </c>
      <c r="J2805">
        <v>89.88</v>
      </c>
      <c r="K2805" s="22">
        <v>31.55</v>
      </c>
      <c r="L2805" s="22" t="s">
        <v>6617</v>
      </c>
      <c r="M2805" s="45" t="s">
        <v>98</v>
      </c>
      <c r="N2805" s="13" t="s">
        <v>230</v>
      </c>
      <c r="O2805" s="13" t="s">
        <v>289</v>
      </c>
      <c r="P2805" s="13" t="s">
        <v>60</v>
      </c>
      <c r="Q2805" s="13" t="s">
        <v>74</v>
      </c>
      <c r="R2805" s="38" t="s">
        <v>270</v>
      </c>
      <c r="S2805" s="38" t="s">
        <v>6618</v>
      </c>
      <c r="T2805" s="38" t="s">
        <v>6620</v>
      </c>
      <c r="U2805" s="38"/>
      <c r="V2805" s="38"/>
      <c r="W2805" s="38"/>
      <c r="X2805" s="14"/>
      <c r="AM2805" s="1"/>
      <c r="AN2805" s="7" t="s">
        <v>70</v>
      </c>
      <c r="AO2805" s="21">
        <f t="shared" si="137"/>
        <v>0</v>
      </c>
      <c r="AP2805" s="7">
        <f t="shared" si="138"/>
        <v>31.55</v>
      </c>
      <c r="AQ2805" s="31" t="str">
        <f t="shared" si="139"/>
        <v>Complete - No Adjustment</v>
      </c>
    </row>
    <row r="2806" spans="1:43" x14ac:dyDescent="0.2">
      <c r="A2806" s="46">
        <v>2796</v>
      </c>
      <c r="B2806" s="38" t="s">
        <v>266</v>
      </c>
      <c r="C2806" s="38" t="s">
        <v>775</v>
      </c>
      <c r="D2806" s="38" t="s">
        <v>774</v>
      </c>
      <c r="E2806" s="38" t="s">
        <v>6621</v>
      </c>
      <c r="F2806" s="38" t="s">
        <v>6428</v>
      </c>
      <c r="G2806" s="38" t="s">
        <v>111</v>
      </c>
      <c r="H2806" s="44">
        <v>44175</v>
      </c>
      <c r="I2806" s="44">
        <v>44182</v>
      </c>
      <c r="J2806">
        <v>105.95</v>
      </c>
      <c r="K2806" s="22">
        <v>105.95</v>
      </c>
      <c r="L2806" s="22" t="s">
        <v>6622</v>
      </c>
      <c r="M2806" s="45" t="s">
        <v>97</v>
      </c>
      <c r="N2806" s="13" t="s">
        <v>230</v>
      </c>
      <c r="O2806" s="13" t="s">
        <v>298</v>
      </c>
      <c r="P2806" s="13" t="s">
        <v>42</v>
      </c>
      <c r="Q2806" s="13" t="s">
        <v>55</v>
      </c>
      <c r="R2806" s="38" t="s">
        <v>270</v>
      </c>
      <c r="S2806" s="38" t="s">
        <v>6623</v>
      </c>
      <c r="T2806" s="38" t="s">
        <v>6624</v>
      </c>
      <c r="U2806" s="38"/>
      <c r="V2806" s="38"/>
      <c r="W2806" s="38"/>
      <c r="X2806" s="14"/>
      <c r="AI2806" s="53">
        <v>105.95</v>
      </c>
      <c r="AM2806" s="1"/>
      <c r="AN2806" s="7" t="s">
        <v>145</v>
      </c>
      <c r="AO2806" s="21">
        <f t="shared" si="137"/>
        <v>105.95</v>
      </c>
      <c r="AP2806" s="7">
        <f t="shared" si="138"/>
        <v>0</v>
      </c>
      <c r="AQ2806" s="31" t="str">
        <f t="shared" si="139"/>
        <v>Complete - With Adjustment</v>
      </c>
    </row>
    <row r="2807" spans="1:43" x14ac:dyDescent="0.2">
      <c r="A2807" s="46">
        <v>2797</v>
      </c>
      <c r="B2807" s="38" t="s">
        <v>266</v>
      </c>
      <c r="C2807" s="38" t="s">
        <v>775</v>
      </c>
      <c r="D2807" s="38" t="s">
        <v>774</v>
      </c>
      <c r="E2807" s="38" t="s">
        <v>6625</v>
      </c>
      <c r="F2807" s="38" t="s">
        <v>6393</v>
      </c>
      <c r="G2807" s="38" t="s">
        <v>111</v>
      </c>
      <c r="H2807" s="44">
        <v>44186</v>
      </c>
      <c r="I2807" s="44">
        <v>44188</v>
      </c>
      <c r="J2807">
        <v>145.27000000000001</v>
      </c>
      <c r="K2807" s="22">
        <v>131.09</v>
      </c>
      <c r="L2807" s="22" t="s">
        <v>6626</v>
      </c>
      <c r="M2807" s="45" t="s">
        <v>97</v>
      </c>
      <c r="N2807" s="13" t="s">
        <v>230</v>
      </c>
      <c r="O2807" s="13" t="s">
        <v>298</v>
      </c>
      <c r="P2807" s="13" t="s">
        <v>42</v>
      </c>
      <c r="Q2807" s="13" t="s">
        <v>41</v>
      </c>
      <c r="R2807" s="38" t="s">
        <v>270</v>
      </c>
      <c r="S2807" s="38" t="s">
        <v>6627</v>
      </c>
      <c r="T2807" s="38" t="s">
        <v>6628</v>
      </c>
      <c r="U2807" s="38"/>
      <c r="V2807" s="38"/>
      <c r="W2807" s="38"/>
      <c r="X2807" s="14"/>
      <c r="AI2807" s="54">
        <v>131.09</v>
      </c>
      <c r="AM2807" s="1"/>
      <c r="AN2807" s="7" t="s">
        <v>145</v>
      </c>
      <c r="AO2807" s="21">
        <f t="shared" si="137"/>
        <v>131.09</v>
      </c>
      <c r="AP2807" s="7">
        <f t="shared" si="138"/>
        <v>0</v>
      </c>
      <c r="AQ2807" s="31" t="str">
        <f t="shared" si="139"/>
        <v>Complete - With Adjustment</v>
      </c>
    </row>
    <row r="2808" spans="1:43" x14ac:dyDescent="0.2">
      <c r="A2808" s="46">
        <v>2798</v>
      </c>
      <c r="B2808" s="38" t="s">
        <v>266</v>
      </c>
      <c r="C2808" s="38" t="s">
        <v>775</v>
      </c>
      <c r="D2808" s="38" t="s">
        <v>774</v>
      </c>
      <c r="E2808" s="38" t="s">
        <v>6625</v>
      </c>
      <c r="F2808" s="38" t="s">
        <v>6393</v>
      </c>
      <c r="G2808" s="38" t="s">
        <v>111</v>
      </c>
      <c r="H2808" s="44">
        <v>44186</v>
      </c>
      <c r="I2808" s="44">
        <v>44188</v>
      </c>
      <c r="J2808">
        <v>145.27000000000001</v>
      </c>
      <c r="K2808" s="22">
        <v>14.18</v>
      </c>
      <c r="L2808" s="22" t="s">
        <v>6626</v>
      </c>
      <c r="M2808" s="45" t="s">
        <v>98</v>
      </c>
      <c r="N2808" s="13" t="s">
        <v>230</v>
      </c>
      <c r="O2808" s="13" t="s">
        <v>298</v>
      </c>
      <c r="P2808" s="13" t="s">
        <v>60</v>
      </c>
      <c r="Q2808" s="13" t="s">
        <v>46</v>
      </c>
      <c r="R2808" s="38" t="s">
        <v>270</v>
      </c>
      <c r="S2808" s="38" t="s">
        <v>6627</v>
      </c>
      <c r="T2808" s="38" t="s">
        <v>6629</v>
      </c>
      <c r="U2808" s="38"/>
      <c r="V2808" s="38"/>
      <c r="W2808" s="38"/>
      <c r="X2808" s="14"/>
      <c r="AM2808" s="1"/>
      <c r="AN2808" s="7" t="s">
        <v>6337</v>
      </c>
      <c r="AO2808" s="21">
        <f t="shared" si="137"/>
        <v>0</v>
      </c>
      <c r="AP2808" s="7">
        <f t="shared" si="138"/>
        <v>14.18</v>
      </c>
      <c r="AQ2808" s="31" t="str">
        <f t="shared" si="139"/>
        <v>Complete - No Adjustment</v>
      </c>
    </row>
    <row r="2809" spans="1:43" x14ac:dyDescent="0.2">
      <c r="A2809" s="46">
        <v>2799</v>
      </c>
      <c r="B2809" s="38" t="s">
        <v>266</v>
      </c>
      <c r="C2809" s="38" t="s">
        <v>152</v>
      </c>
      <c r="D2809" s="38" t="s">
        <v>153</v>
      </c>
      <c r="E2809" s="38" t="s">
        <v>6630</v>
      </c>
      <c r="F2809" s="38" t="s">
        <v>6359</v>
      </c>
      <c r="G2809" s="38" t="s">
        <v>111</v>
      </c>
      <c r="H2809" s="44">
        <v>44180</v>
      </c>
      <c r="I2809" s="44">
        <v>44186</v>
      </c>
      <c r="J2809">
        <v>756.87</v>
      </c>
      <c r="K2809" s="22">
        <v>550</v>
      </c>
      <c r="L2809" s="22" t="s">
        <v>6631</v>
      </c>
      <c r="M2809" s="45" t="s">
        <v>98</v>
      </c>
      <c r="N2809" s="13" t="s">
        <v>230</v>
      </c>
      <c r="O2809" s="13" t="s">
        <v>78</v>
      </c>
      <c r="P2809" s="13" t="s">
        <v>60</v>
      </c>
      <c r="Q2809" s="13" t="s">
        <v>48</v>
      </c>
      <c r="R2809" s="38" t="s">
        <v>270</v>
      </c>
      <c r="S2809" s="38" t="s">
        <v>6632</v>
      </c>
      <c r="T2809" s="38" t="s">
        <v>6633</v>
      </c>
      <c r="U2809" s="38"/>
      <c r="V2809" s="38"/>
      <c r="W2809" s="38"/>
      <c r="X2809" s="14"/>
      <c r="AM2809" s="1"/>
      <c r="AN2809" s="7" t="s">
        <v>70</v>
      </c>
      <c r="AO2809" s="21">
        <f t="shared" si="137"/>
        <v>0</v>
      </c>
      <c r="AP2809" s="7">
        <f t="shared" si="138"/>
        <v>550</v>
      </c>
      <c r="AQ2809" s="31" t="str">
        <f t="shared" si="139"/>
        <v>Complete - No Adjustment</v>
      </c>
    </row>
    <row r="2810" spans="1:43" x14ac:dyDescent="0.2">
      <c r="A2810" s="46">
        <v>2800</v>
      </c>
      <c r="B2810" s="38" t="s">
        <v>266</v>
      </c>
      <c r="C2810" s="38" t="s">
        <v>152</v>
      </c>
      <c r="D2810" s="38" t="s">
        <v>153</v>
      </c>
      <c r="E2810" s="38" t="s">
        <v>6630</v>
      </c>
      <c r="F2810" s="38" t="s">
        <v>6359</v>
      </c>
      <c r="G2810" s="38" t="s">
        <v>111</v>
      </c>
      <c r="H2810" s="44">
        <v>44180</v>
      </c>
      <c r="I2810" s="44">
        <v>44186</v>
      </c>
      <c r="J2810">
        <v>756.87</v>
      </c>
      <c r="K2810" s="22">
        <v>79.069999999999993</v>
      </c>
      <c r="L2810" s="22" t="s">
        <v>6631</v>
      </c>
      <c r="M2810" s="45" t="s">
        <v>97</v>
      </c>
      <c r="N2810" s="13" t="s">
        <v>230</v>
      </c>
      <c r="O2810" s="13" t="s">
        <v>78</v>
      </c>
      <c r="P2810" s="13" t="s">
        <v>42</v>
      </c>
      <c r="Q2810" s="13" t="s">
        <v>41</v>
      </c>
      <c r="R2810" s="38" t="s">
        <v>270</v>
      </c>
      <c r="S2810" s="38" t="s">
        <v>6632</v>
      </c>
      <c r="T2810" s="38" t="s">
        <v>6634</v>
      </c>
      <c r="U2810" s="38"/>
      <c r="V2810" s="38"/>
      <c r="W2810" s="38"/>
      <c r="X2810" s="14"/>
      <c r="Y2810" s="53">
        <v>79.069999999999993</v>
      </c>
      <c r="AM2810" s="1"/>
      <c r="AN2810" s="7" t="s">
        <v>8</v>
      </c>
      <c r="AO2810" s="21">
        <f t="shared" si="137"/>
        <v>79.069999999999993</v>
      </c>
      <c r="AP2810" s="7">
        <f t="shared" si="138"/>
        <v>0</v>
      </c>
      <c r="AQ2810" s="31" t="str">
        <f t="shared" si="139"/>
        <v>Complete - With Adjustment</v>
      </c>
    </row>
    <row r="2811" spans="1:43" x14ac:dyDescent="0.2">
      <c r="A2811" s="46">
        <v>2801</v>
      </c>
      <c r="B2811" s="38" t="s">
        <v>266</v>
      </c>
      <c r="C2811" s="38" t="s">
        <v>152</v>
      </c>
      <c r="D2811" s="38" t="s">
        <v>153</v>
      </c>
      <c r="E2811" s="38" t="s">
        <v>6630</v>
      </c>
      <c r="F2811" s="38" t="s">
        <v>6359</v>
      </c>
      <c r="G2811" s="38" t="s">
        <v>111</v>
      </c>
      <c r="H2811" s="44">
        <v>44180</v>
      </c>
      <c r="I2811" s="44">
        <v>44186</v>
      </c>
      <c r="J2811">
        <v>756.87</v>
      </c>
      <c r="K2811" s="22">
        <v>74</v>
      </c>
      <c r="L2811" s="22" t="s">
        <v>6631</v>
      </c>
      <c r="M2811" s="45" t="s">
        <v>98</v>
      </c>
      <c r="N2811" s="13" t="s">
        <v>230</v>
      </c>
      <c r="O2811" s="13" t="s">
        <v>78</v>
      </c>
      <c r="P2811" s="13" t="s">
        <v>60</v>
      </c>
      <c r="Q2811" s="13" t="s">
        <v>41</v>
      </c>
      <c r="R2811" s="38" t="s">
        <v>270</v>
      </c>
      <c r="S2811" s="38" t="s">
        <v>6632</v>
      </c>
      <c r="T2811" s="38" t="s">
        <v>6635</v>
      </c>
      <c r="U2811" s="38"/>
      <c r="V2811" s="38"/>
      <c r="W2811" s="38"/>
      <c r="X2811" s="14"/>
      <c r="AB2811" s="14">
        <f>74-32.48*2</f>
        <v>9.0400000000000063</v>
      </c>
      <c r="AM2811" s="1"/>
      <c r="AN2811" s="7" t="s">
        <v>66</v>
      </c>
      <c r="AO2811" s="21">
        <f t="shared" si="137"/>
        <v>9.0400000000000063</v>
      </c>
      <c r="AP2811" s="7">
        <f t="shared" si="138"/>
        <v>64.959999999999994</v>
      </c>
      <c r="AQ2811" s="31" t="str">
        <f t="shared" si="139"/>
        <v>Complete - With Adjustment</v>
      </c>
    </row>
    <row r="2812" spans="1:43" x14ac:dyDescent="0.2">
      <c r="A2812" s="46">
        <v>2802</v>
      </c>
      <c r="B2812" s="38" t="s">
        <v>266</v>
      </c>
      <c r="C2812" s="38" t="s">
        <v>152</v>
      </c>
      <c r="D2812" s="38" t="s">
        <v>153</v>
      </c>
      <c r="E2812" s="38" t="s">
        <v>6630</v>
      </c>
      <c r="F2812" s="38" t="s">
        <v>6359</v>
      </c>
      <c r="G2812" s="38" t="s">
        <v>111</v>
      </c>
      <c r="H2812" s="44">
        <v>44180</v>
      </c>
      <c r="I2812" s="44">
        <v>44186</v>
      </c>
      <c r="J2812">
        <v>756.87</v>
      </c>
      <c r="K2812" s="22">
        <v>53.8</v>
      </c>
      <c r="L2812" s="22" t="s">
        <v>6631</v>
      </c>
      <c r="M2812" s="45" t="s">
        <v>98</v>
      </c>
      <c r="N2812" s="13" t="s">
        <v>230</v>
      </c>
      <c r="O2812" s="13" t="s">
        <v>78</v>
      </c>
      <c r="P2812" s="13" t="s">
        <v>60</v>
      </c>
      <c r="Q2812" s="13" t="s">
        <v>41</v>
      </c>
      <c r="R2812" s="38" t="s">
        <v>270</v>
      </c>
      <c r="S2812" s="38" t="s">
        <v>6632</v>
      </c>
      <c r="T2812" s="38" t="s">
        <v>6636</v>
      </c>
      <c r="U2812" s="38"/>
      <c r="V2812" s="38"/>
      <c r="W2812" s="38"/>
      <c r="X2812" s="14"/>
      <c r="AM2812" s="1"/>
      <c r="AN2812" s="7" t="s">
        <v>70</v>
      </c>
      <c r="AO2812" s="21">
        <f t="shared" si="137"/>
        <v>0</v>
      </c>
      <c r="AP2812" s="7">
        <f t="shared" si="138"/>
        <v>53.8</v>
      </c>
      <c r="AQ2812" s="31" t="str">
        <f t="shared" si="139"/>
        <v>Complete - No Adjustment</v>
      </c>
    </row>
    <row r="2813" spans="1:43" x14ac:dyDescent="0.2">
      <c r="A2813" s="46">
        <v>2803</v>
      </c>
      <c r="B2813" s="38" t="s">
        <v>266</v>
      </c>
      <c r="C2813" s="38" t="s">
        <v>733</v>
      </c>
      <c r="D2813" s="38" t="s">
        <v>732</v>
      </c>
      <c r="E2813" s="38" t="s">
        <v>6637</v>
      </c>
      <c r="F2813" s="38" t="s">
        <v>6366</v>
      </c>
      <c r="G2813" s="38" t="s">
        <v>111</v>
      </c>
      <c r="H2813" s="44">
        <v>44148</v>
      </c>
      <c r="I2813" s="44">
        <v>44172</v>
      </c>
      <c r="J2813">
        <v>239.61</v>
      </c>
      <c r="K2813" s="22">
        <v>9.65</v>
      </c>
      <c r="L2813" s="22" t="s">
        <v>6638</v>
      </c>
      <c r="M2813" s="45" t="s">
        <v>98</v>
      </c>
      <c r="N2813" s="13" t="s">
        <v>230</v>
      </c>
      <c r="O2813" s="13" t="s">
        <v>378</v>
      </c>
      <c r="P2813" s="13" t="s">
        <v>60</v>
      </c>
      <c r="Q2813" s="13" t="s">
        <v>41</v>
      </c>
      <c r="R2813" s="38" t="s">
        <v>270</v>
      </c>
      <c r="S2813" s="38" t="s">
        <v>6639</v>
      </c>
      <c r="T2813" s="38" t="s">
        <v>6640</v>
      </c>
      <c r="U2813" s="38"/>
      <c r="V2813" s="38"/>
      <c r="W2813" s="38"/>
      <c r="X2813" s="14"/>
      <c r="AM2813" s="1"/>
      <c r="AN2813" s="7" t="s">
        <v>70</v>
      </c>
      <c r="AO2813" s="21">
        <f t="shared" si="137"/>
        <v>0</v>
      </c>
      <c r="AP2813" s="7">
        <f t="shared" si="138"/>
        <v>9.65</v>
      </c>
      <c r="AQ2813" s="31" t="str">
        <f t="shared" si="139"/>
        <v>Complete - No Adjustment</v>
      </c>
    </row>
    <row r="2814" spans="1:43" x14ac:dyDescent="0.2">
      <c r="A2814" s="46">
        <v>2804</v>
      </c>
      <c r="B2814" s="38" t="s">
        <v>266</v>
      </c>
      <c r="C2814" s="38" t="s">
        <v>733</v>
      </c>
      <c r="D2814" s="38" t="s">
        <v>732</v>
      </c>
      <c r="E2814" s="38" t="s">
        <v>6637</v>
      </c>
      <c r="F2814" s="38" t="s">
        <v>6366</v>
      </c>
      <c r="G2814" s="38" t="s">
        <v>111</v>
      </c>
      <c r="H2814" s="44">
        <v>44148</v>
      </c>
      <c r="I2814" s="44">
        <v>44172</v>
      </c>
      <c r="J2814">
        <v>239.61</v>
      </c>
      <c r="K2814" s="22">
        <v>12.44</v>
      </c>
      <c r="L2814" s="22" t="s">
        <v>6638</v>
      </c>
      <c r="M2814" s="45" t="s">
        <v>98</v>
      </c>
      <c r="N2814" s="13" t="s">
        <v>230</v>
      </c>
      <c r="O2814" s="13" t="s">
        <v>378</v>
      </c>
      <c r="P2814" s="13" t="s">
        <v>60</v>
      </c>
      <c r="Q2814" s="13" t="s">
        <v>41</v>
      </c>
      <c r="R2814" s="38" t="s">
        <v>270</v>
      </c>
      <c r="S2814" s="38" t="s">
        <v>6639</v>
      </c>
      <c r="T2814" s="38" t="s">
        <v>6641</v>
      </c>
      <c r="U2814" s="38"/>
      <c r="V2814" s="38"/>
      <c r="W2814" s="38"/>
      <c r="X2814" s="14"/>
      <c r="AM2814" s="1"/>
      <c r="AN2814" s="7" t="s">
        <v>70</v>
      </c>
      <c r="AO2814" s="21">
        <f t="shared" si="137"/>
        <v>0</v>
      </c>
      <c r="AP2814" s="7">
        <f t="shared" si="138"/>
        <v>12.44</v>
      </c>
      <c r="AQ2814" s="31" t="str">
        <f t="shared" si="139"/>
        <v>Complete - No Adjustment</v>
      </c>
    </row>
    <row r="2815" spans="1:43" x14ac:dyDescent="0.2">
      <c r="A2815" s="46">
        <v>2805</v>
      </c>
      <c r="B2815" s="38" t="s">
        <v>266</v>
      </c>
      <c r="C2815" s="38" t="s">
        <v>733</v>
      </c>
      <c r="D2815" s="38" t="s">
        <v>732</v>
      </c>
      <c r="E2815" s="38" t="s">
        <v>6637</v>
      </c>
      <c r="F2815" s="38" t="s">
        <v>6366</v>
      </c>
      <c r="G2815" s="38" t="s">
        <v>111</v>
      </c>
      <c r="H2815" s="44">
        <v>44148</v>
      </c>
      <c r="I2815" s="44">
        <v>44172</v>
      </c>
      <c r="J2815">
        <v>239.61</v>
      </c>
      <c r="K2815" s="22">
        <v>40</v>
      </c>
      <c r="L2815" s="22" t="s">
        <v>6638</v>
      </c>
      <c r="M2815" s="45" t="s">
        <v>98</v>
      </c>
      <c r="N2815" s="13" t="s">
        <v>230</v>
      </c>
      <c r="O2815" s="13" t="s">
        <v>378</v>
      </c>
      <c r="P2815" s="13" t="s">
        <v>60</v>
      </c>
      <c r="Q2815" s="13" t="s">
        <v>59</v>
      </c>
      <c r="R2815" s="38" t="s">
        <v>270</v>
      </c>
      <c r="S2815" s="38" t="s">
        <v>6639</v>
      </c>
      <c r="T2815" s="38" t="s">
        <v>6642</v>
      </c>
      <c r="U2815" s="38"/>
      <c r="V2815" s="38"/>
      <c r="W2815" s="38"/>
      <c r="X2815" s="14"/>
      <c r="AM2815" s="1"/>
      <c r="AN2815" s="7" t="s">
        <v>70</v>
      </c>
      <c r="AO2815" s="21">
        <f t="shared" si="137"/>
        <v>0</v>
      </c>
      <c r="AP2815" s="7">
        <f t="shared" si="138"/>
        <v>40</v>
      </c>
      <c r="AQ2815" s="31" t="str">
        <f t="shared" si="139"/>
        <v>Complete - No Adjustment</v>
      </c>
    </row>
    <row r="2816" spans="1:43" x14ac:dyDescent="0.2">
      <c r="A2816" s="46">
        <v>2806</v>
      </c>
      <c r="B2816" s="38" t="s">
        <v>266</v>
      </c>
      <c r="C2816" s="38" t="s">
        <v>733</v>
      </c>
      <c r="D2816" s="38" t="s">
        <v>732</v>
      </c>
      <c r="E2816" s="38" t="s">
        <v>6637</v>
      </c>
      <c r="F2816" s="38" t="s">
        <v>6366</v>
      </c>
      <c r="G2816" s="38" t="s">
        <v>111</v>
      </c>
      <c r="H2816" s="44">
        <v>44148</v>
      </c>
      <c r="I2816" s="44">
        <v>44172</v>
      </c>
      <c r="J2816">
        <v>239.61</v>
      </c>
      <c r="K2816" s="22">
        <v>150</v>
      </c>
      <c r="L2816" s="22" t="s">
        <v>6638</v>
      </c>
      <c r="M2816" s="45" t="s">
        <v>98</v>
      </c>
      <c r="N2816" s="13" t="s">
        <v>230</v>
      </c>
      <c r="O2816" s="13" t="s">
        <v>378</v>
      </c>
      <c r="P2816" s="13" t="s">
        <v>60</v>
      </c>
      <c r="Q2816" s="13" t="s">
        <v>59</v>
      </c>
      <c r="R2816" s="38" t="s">
        <v>270</v>
      </c>
      <c r="S2816" s="38" t="s">
        <v>6639</v>
      </c>
      <c r="T2816" s="38" t="s">
        <v>6643</v>
      </c>
      <c r="U2816" s="38"/>
      <c r="V2816" s="38"/>
      <c r="W2816" s="38"/>
      <c r="X2816" s="14"/>
      <c r="AM2816" s="1"/>
      <c r="AN2816" s="7" t="s">
        <v>70</v>
      </c>
      <c r="AO2816" s="21">
        <f t="shared" si="137"/>
        <v>0</v>
      </c>
      <c r="AP2816" s="7">
        <f t="shared" si="138"/>
        <v>150</v>
      </c>
      <c r="AQ2816" s="31" t="str">
        <f t="shared" si="139"/>
        <v>Complete - No Adjustment</v>
      </c>
    </row>
    <row r="2817" spans="1:43" x14ac:dyDescent="0.2">
      <c r="A2817" s="46">
        <v>2807</v>
      </c>
      <c r="B2817" s="38" t="s">
        <v>266</v>
      </c>
      <c r="C2817" s="38" t="s">
        <v>733</v>
      </c>
      <c r="D2817" s="38" t="s">
        <v>732</v>
      </c>
      <c r="E2817" s="38" t="s">
        <v>6637</v>
      </c>
      <c r="F2817" s="38" t="s">
        <v>6366</v>
      </c>
      <c r="G2817" s="38" t="s">
        <v>111</v>
      </c>
      <c r="H2817" s="44">
        <v>44148</v>
      </c>
      <c r="I2817" s="44">
        <v>44172</v>
      </c>
      <c r="J2817">
        <v>239.61</v>
      </c>
      <c r="K2817" s="22">
        <v>13.86</v>
      </c>
      <c r="L2817" s="22" t="s">
        <v>6638</v>
      </c>
      <c r="M2817" s="45" t="s">
        <v>98</v>
      </c>
      <c r="N2817" s="13" t="s">
        <v>230</v>
      </c>
      <c r="O2817" s="13" t="s">
        <v>378</v>
      </c>
      <c r="P2817" s="13" t="s">
        <v>60</v>
      </c>
      <c r="Q2817" s="13" t="s">
        <v>41</v>
      </c>
      <c r="R2817" s="38" t="s">
        <v>270</v>
      </c>
      <c r="S2817" s="38" t="s">
        <v>6639</v>
      </c>
      <c r="T2817" s="38" t="s">
        <v>6644</v>
      </c>
      <c r="U2817" s="38"/>
      <c r="V2817" s="38"/>
      <c r="W2817" s="38"/>
      <c r="X2817" s="14"/>
      <c r="AM2817" s="1"/>
      <c r="AN2817" s="7" t="s">
        <v>70</v>
      </c>
      <c r="AO2817" s="21">
        <f t="shared" si="137"/>
        <v>0</v>
      </c>
      <c r="AP2817" s="7">
        <f t="shared" si="138"/>
        <v>13.86</v>
      </c>
      <c r="AQ2817" s="31" t="str">
        <f t="shared" si="139"/>
        <v>Complete - No Adjustment</v>
      </c>
    </row>
    <row r="2818" spans="1:43" x14ac:dyDescent="0.2">
      <c r="A2818" s="46">
        <v>2808</v>
      </c>
      <c r="B2818" s="38" t="s">
        <v>266</v>
      </c>
      <c r="C2818" s="38" t="s">
        <v>733</v>
      </c>
      <c r="D2818" s="38" t="s">
        <v>732</v>
      </c>
      <c r="E2818" s="38" t="s">
        <v>6637</v>
      </c>
      <c r="F2818" s="38" t="s">
        <v>6366</v>
      </c>
      <c r="G2818" s="38" t="s">
        <v>111</v>
      </c>
      <c r="H2818" s="44">
        <v>44148</v>
      </c>
      <c r="I2818" s="44">
        <v>44172</v>
      </c>
      <c r="J2818">
        <v>239.61</v>
      </c>
      <c r="K2818" s="22">
        <v>6.16</v>
      </c>
      <c r="L2818" s="22" t="s">
        <v>6638</v>
      </c>
      <c r="M2818" s="45" t="s">
        <v>98</v>
      </c>
      <c r="N2818" s="13" t="s">
        <v>230</v>
      </c>
      <c r="O2818" s="13" t="s">
        <v>378</v>
      </c>
      <c r="P2818" s="13" t="s">
        <v>60</v>
      </c>
      <c r="Q2818" s="13" t="s">
        <v>41</v>
      </c>
      <c r="R2818" s="38" t="s">
        <v>270</v>
      </c>
      <c r="S2818" s="38" t="s">
        <v>6639</v>
      </c>
      <c r="T2818" s="38" t="s">
        <v>6640</v>
      </c>
      <c r="U2818" s="38"/>
      <c r="V2818" s="38"/>
      <c r="W2818" s="38"/>
      <c r="X2818" s="14"/>
      <c r="AM2818" s="1"/>
      <c r="AN2818" s="7" t="s">
        <v>70</v>
      </c>
      <c r="AO2818" s="21">
        <f t="shared" si="137"/>
        <v>0</v>
      </c>
      <c r="AP2818" s="7">
        <f t="shared" si="138"/>
        <v>6.16</v>
      </c>
      <c r="AQ2818" s="31" t="str">
        <f t="shared" si="139"/>
        <v>Complete - No Adjustment</v>
      </c>
    </row>
    <row r="2819" spans="1:43" x14ac:dyDescent="0.2">
      <c r="A2819" s="46">
        <v>2809</v>
      </c>
      <c r="B2819" s="38" t="s">
        <v>266</v>
      </c>
      <c r="C2819" s="38" t="s">
        <v>733</v>
      </c>
      <c r="D2819" s="38" t="s">
        <v>732</v>
      </c>
      <c r="E2819" s="38" t="s">
        <v>6637</v>
      </c>
      <c r="F2819" s="38" t="s">
        <v>6366</v>
      </c>
      <c r="G2819" s="38" t="s">
        <v>111</v>
      </c>
      <c r="H2819" s="44">
        <v>44148</v>
      </c>
      <c r="I2819" s="44">
        <v>44172</v>
      </c>
      <c r="J2819">
        <v>239.61</v>
      </c>
      <c r="K2819" s="22">
        <v>7.5</v>
      </c>
      <c r="L2819" s="22" t="s">
        <v>6638</v>
      </c>
      <c r="M2819" s="45" t="s">
        <v>98</v>
      </c>
      <c r="N2819" s="13" t="s">
        <v>230</v>
      </c>
      <c r="O2819" s="13" t="s">
        <v>378</v>
      </c>
      <c r="P2819" s="13" t="s">
        <v>60</v>
      </c>
      <c r="Q2819" s="13" t="s">
        <v>41</v>
      </c>
      <c r="R2819" s="38" t="s">
        <v>270</v>
      </c>
      <c r="S2819" s="38" t="s">
        <v>6639</v>
      </c>
      <c r="T2819" s="38" t="s">
        <v>6645</v>
      </c>
      <c r="U2819" s="38"/>
      <c r="V2819" s="38"/>
      <c r="W2819" s="38"/>
      <c r="X2819" s="14"/>
      <c r="AM2819" s="1"/>
      <c r="AN2819" s="7" t="s">
        <v>70</v>
      </c>
      <c r="AO2819" s="21">
        <f t="shared" si="137"/>
        <v>0</v>
      </c>
      <c r="AP2819" s="7">
        <f t="shared" si="138"/>
        <v>7.5</v>
      </c>
      <c r="AQ2819" s="31" t="str">
        <f t="shared" si="139"/>
        <v>Complete - No Adjustment</v>
      </c>
    </row>
    <row r="2820" spans="1:43" x14ac:dyDescent="0.2">
      <c r="A2820" s="46">
        <v>2810</v>
      </c>
      <c r="B2820" s="38" t="s">
        <v>266</v>
      </c>
      <c r="C2820" s="38" t="s">
        <v>126</v>
      </c>
      <c r="D2820" s="38" t="s">
        <v>125</v>
      </c>
      <c r="E2820" s="38" t="s">
        <v>6646</v>
      </c>
      <c r="F2820" s="38" t="s">
        <v>6359</v>
      </c>
      <c r="G2820" s="38" t="s">
        <v>111</v>
      </c>
      <c r="H2820" s="44">
        <v>44179</v>
      </c>
      <c r="I2820" s="44">
        <v>44186</v>
      </c>
      <c r="J2820">
        <v>169.67</v>
      </c>
      <c r="K2820" s="22">
        <v>58.43</v>
      </c>
      <c r="L2820" s="22" t="s">
        <v>6647</v>
      </c>
      <c r="M2820" s="45" t="s">
        <v>98</v>
      </c>
      <c r="N2820" s="13" t="s">
        <v>230</v>
      </c>
      <c r="O2820" s="13" t="s">
        <v>383</v>
      </c>
      <c r="P2820" s="13" t="s">
        <v>60</v>
      </c>
      <c r="Q2820" s="13" t="s">
        <v>62</v>
      </c>
      <c r="R2820" s="38" t="s">
        <v>270</v>
      </c>
      <c r="S2820" s="38" t="s">
        <v>6648</v>
      </c>
      <c r="T2820" s="38" t="s">
        <v>6649</v>
      </c>
      <c r="U2820" s="38"/>
      <c r="V2820" s="38"/>
      <c r="W2820" s="38"/>
      <c r="X2820" s="14"/>
      <c r="AM2820" s="1"/>
      <c r="AN2820" s="7" t="s">
        <v>70</v>
      </c>
      <c r="AO2820" s="21">
        <f t="shared" si="137"/>
        <v>0</v>
      </c>
      <c r="AP2820" s="7">
        <f t="shared" si="138"/>
        <v>58.43</v>
      </c>
      <c r="AQ2820" s="31" t="str">
        <f t="shared" si="139"/>
        <v>Complete - No Adjustment</v>
      </c>
    </row>
    <row r="2821" spans="1:43" x14ac:dyDescent="0.2">
      <c r="A2821" s="46">
        <v>2811</v>
      </c>
      <c r="B2821" s="38" t="s">
        <v>266</v>
      </c>
      <c r="C2821" s="38" t="s">
        <v>126</v>
      </c>
      <c r="D2821" s="38" t="s">
        <v>125</v>
      </c>
      <c r="E2821" s="38" t="s">
        <v>6646</v>
      </c>
      <c r="F2821" s="38" t="s">
        <v>6359</v>
      </c>
      <c r="G2821" s="38" t="s">
        <v>111</v>
      </c>
      <c r="H2821" s="44">
        <v>44179</v>
      </c>
      <c r="I2821" s="44">
        <v>44186</v>
      </c>
      <c r="J2821">
        <v>169.67</v>
      </c>
      <c r="K2821" s="22">
        <v>11</v>
      </c>
      <c r="L2821" s="22" t="s">
        <v>6647</v>
      </c>
      <c r="M2821" s="45" t="s">
        <v>98</v>
      </c>
      <c r="N2821" s="13" t="s">
        <v>230</v>
      </c>
      <c r="O2821" s="13" t="s">
        <v>383</v>
      </c>
      <c r="P2821" s="13" t="s">
        <v>60</v>
      </c>
      <c r="Q2821" s="13" t="s">
        <v>74</v>
      </c>
      <c r="R2821" s="38" t="s">
        <v>270</v>
      </c>
      <c r="S2821" s="38" t="s">
        <v>6648</v>
      </c>
      <c r="T2821" s="38" t="s">
        <v>6650</v>
      </c>
      <c r="U2821" s="38"/>
      <c r="V2821" s="38"/>
      <c r="W2821" s="38"/>
      <c r="X2821" s="14"/>
      <c r="AM2821" s="1"/>
      <c r="AN2821" s="7" t="s">
        <v>70</v>
      </c>
      <c r="AO2821" s="21">
        <f t="shared" si="137"/>
        <v>0</v>
      </c>
      <c r="AP2821" s="7">
        <f t="shared" si="138"/>
        <v>11</v>
      </c>
      <c r="AQ2821" s="31" t="str">
        <f t="shared" si="139"/>
        <v>Complete - No Adjustment</v>
      </c>
    </row>
    <row r="2822" spans="1:43" x14ac:dyDescent="0.2">
      <c r="A2822" s="46">
        <v>2812</v>
      </c>
      <c r="B2822" s="38" t="s">
        <v>266</v>
      </c>
      <c r="C2822" s="38" t="s">
        <v>126</v>
      </c>
      <c r="D2822" s="38" t="s">
        <v>125</v>
      </c>
      <c r="E2822" s="38" t="s">
        <v>6646</v>
      </c>
      <c r="F2822" s="38" t="s">
        <v>6359</v>
      </c>
      <c r="G2822" s="38" t="s">
        <v>111</v>
      </c>
      <c r="H2822" s="44">
        <v>44179</v>
      </c>
      <c r="I2822" s="44">
        <v>44186</v>
      </c>
      <c r="J2822">
        <v>169.67</v>
      </c>
      <c r="K2822" s="22">
        <v>15.77</v>
      </c>
      <c r="L2822" s="22" t="s">
        <v>6647</v>
      </c>
      <c r="M2822" s="45" t="s">
        <v>98</v>
      </c>
      <c r="N2822" s="13" t="s">
        <v>230</v>
      </c>
      <c r="O2822" s="13" t="s">
        <v>383</v>
      </c>
      <c r="P2822" s="13" t="s">
        <v>60</v>
      </c>
      <c r="Q2822" s="13" t="s">
        <v>47</v>
      </c>
      <c r="R2822" s="38" t="s">
        <v>270</v>
      </c>
      <c r="S2822" s="38" t="s">
        <v>6648</v>
      </c>
      <c r="T2822" s="38" t="s">
        <v>6651</v>
      </c>
      <c r="U2822" s="38"/>
      <c r="V2822" s="38"/>
      <c r="W2822" s="38"/>
      <c r="X2822" s="14"/>
      <c r="AI2822" s="53">
        <v>15.77</v>
      </c>
      <c r="AM2822" s="1"/>
      <c r="AN2822" s="7" t="s">
        <v>145</v>
      </c>
      <c r="AO2822" s="21">
        <f t="shared" ref="AO2822:AO2879" si="140">SUM(Y2822:AL2822)</f>
        <v>15.77</v>
      </c>
      <c r="AP2822" s="7">
        <f t="shared" ref="AP2822:AP2879" si="141">K2822-AO2822</f>
        <v>0</v>
      </c>
      <c r="AQ2822" s="31" t="str">
        <f t="shared" ref="AQ2822:AQ2879" si="142">IF(AO2822&lt;&gt;0,"Complete - With Adjustment","Complete - No Adjustment")</f>
        <v>Complete - With Adjustment</v>
      </c>
    </row>
    <row r="2823" spans="1:43" x14ac:dyDescent="0.2">
      <c r="A2823" s="46">
        <v>2813</v>
      </c>
      <c r="B2823" s="38" t="s">
        <v>266</v>
      </c>
      <c r="C2823" s="38" t="s">
        <v>126</v>
      </c>
      <c r="D2823" s="38" t="s">
        <v>125</v>
      </c>
      <c r="E2823" s="38" t="s">
        <v>6646</v>
      </c>
      <c r="F2823" s="38" t="s">
        <v>6359</v>
      </c>
      <c r="G2823" s="38" t="s">
        <v>111</v>
      </c>
      <c r="H2823" s="44">
        <v>44179</v>
      </c>
      <c r="I2823" s="44">
        <v>44186</v>
      </c>
      <c r="J2823">
        <v>169.67</v>
      </c>
      <c r="K2823" s="22">
        <v>9.1999999999999993</v>
      </c>
      <c r="L2823" s="22" t="s">
        <v>6647</v>
      </c>
      <c r="M2823" s="45" t="s">
        <v>98</v>
      </c>
      <c r="N2823" s="13" t="s">
        <v>230</v>
      </c>
      <c r="O2823" s="13" t="s">
        <v>383</v>
      </c>
      <c r="P2823" s="13" t="s">
        <v>60</v>
      </c>
      <c r="Q2823" s="13" t="s">
        <v>44</v>
      </c>
      <c r="R2823" s="38" t="s">
        <v>270</v>
      </c>
      <c r="S2823" s="38" t="s">
        <v>6648</v>
      </c>
      <c r="T2823" s="38" t="s">
        <v>6652</v>
      </c>
      <c r="U2823" s="38"/>
      <c r="V2823" s="38"/>
      <c r="W2823" s="38"/>
      <c r="X2823" s="14"/>
      <c r="AM2823" s="1"/>
      <c r="AN2823" s="7" t="s">
        <v>70</v>
      </c>
      <c r="AO2823" s="21">
        <f t="shared" si="140"/>
        <v>0</v>
      </c>
      <c r="AP2823" s="7">
        <f t="shared" si="141"/>
        <v>9.1999999999999993</v>
      </c>
      <c r="AQ2823" s="31" t="str">
        <f t="shared" si="142"/>
        <v>Complete - No Adjustment</v>
      </c>
    </row>
    <row r="2824" spans="1:43" x14ac:dyDescent="0.2">
      <c r="A2824" s="46">
        <v>2814</v>
      </c>
      <c r="B2824" s="38" t="s">
        <v>266</v>
      </c>
      <c r="C2824" s="38" t="s">
        <v>126</v>
      </c>
      <c r="D2824" s="38" t="s">
        <v>125</v>
      </c>
      <c r="E2824" s="38" t="s">
        <v>6646</v>
      </c>
      <c r="F2824" s="38" t="s">
        <v>6359</v>
      </c>
      <c r="G2824" s="38" t="s">
        <v>111</v>
      </c>
      <c r="H2824" s="44">
        <v>44179</v>
      </c>
      <c r="I2824" s="44">
        <v>44186</v>
      </c>
      <c r="J2824">
        <v>169.67</v>
      </c>
      <c r="K2824" s="22">
        <v>20.7</v>
      </c>
      <c r="L2824" s="22" t="s">
        <v>6647</v>
      </c>
      <c r="M2824" s="45" t="s">
        <v>98</v>
      </c>
      <c r="N2824" s="13" t="s">
        <v>230</v>
      </c>
      <c r="O2824" s="13" t="s">
        <v>383</v>
      </c>
      <c r="P2824" s="13" t="s">
        <v>60</v>
      </c>
      <c r="Q2824" s="13" t="s">
        <v>44</v>
      </c>
      <c r="R2824" s="38" t="s">
        <v>270</v>
      </c>
      <c r="S2824" s="38" t="s">
        <v>6648</v>
      </c>
      <c r="T2824" s="38" t="s">
        <v>6653</v>
      </c>
      <c r="U2824" s="38"/>
      <c r="V2824" s="38"/>
      <c r="W2824" s="38"/>
      <c r="X2824" s="14"/>
      <c r="AI2824" s="53">
        <v>20.7</v>
      </c>
      <c r="AM2824" s="1"/>
      <c r="AN2824" s="7" t="s">
        <v>145</v>
      </c>
      <c r="AO2824" s="21">
        <f t="shared" si="140"/>
        <v>20.7</v>
      </c>
      <c r="AP2824" s="7">
        <f t="shared" si="141"/>
        <v>0</v>
      </c>
      <c r="AQ2824" s="31" t="str">
        <f t="shared" si="142"/>
        <v>Complete - With Adjustment</v>
      </c>
    </row>
    <row r="2825" spans="1:43" x14ac:dyDescent="0.2">
      <c r="A2825" s="46">
        <v>2815</v>
      </c>
      <c r="B2825" s="38" t="s">
        <v>266</v>
      </c>
      <c r="C2825" s="38" t="s">
        <v>126</v>
      </c>
      <c r="D2825" s="38" t="s">
        <v>125</v>
      </c>
      <c r="E2825" s="38" t="s">
        <v>6646</v>
      </c>
      <c r="F2825" s="38" t="s">
        <v>6359</v>
      </c>
      <c r="G2825" s="38" t="s">
        <v>111</v>
      </c>
      <c r="H2825" s="44">
        <v>44179</v>
      </c>
      <c r="I2825" s="44">
        <v>44186</v>
      </c>
      <c r="J2825">
        <v>169.67</v>
      </c>
      <c r="K2825" s="22">
        <v>8.65</v>
      </c>
      <c r="L2825" s="22" t="s">
        <v>6647</v>
      </c>
      <c r="M2825" s="45" t="s">
        <v>98</v>
      </c>
      <c r="N2825" s="13" t="s">
        <v>230</v>
      </c>
      <c r="O2825" s="13" t="s">
        <v>383</v>
      </c>
      <c r="P2825" s="13" t="s">
        <v>60</v>
      </c>
      <c r="Q2825" s="13" t="s">
        <v>47</v>
      </c>
      <c r="R2825" s="38" t="s">
        <v>270</v>
      </c>
      <c r="S2825" s="38" t="s">
        <v>6648</v>
      </c>
      <c r="T2825" s="38" t="s">
        <v>6654</v>
      </c>
      <c r="U2825" s="38"/>
      <c r="V2825" s="38"/>
      <c r="W2825" s="38"/>
      <c r="X2825" s="14"/>
      <c r="AI2825" s="53">
        <v>8.65</v>
      </c>
      <c r="AM2825" s="1"/>
      <c r="AN2825" s="7" t="s">
        <v>145</v>
      </c>
      <c r="AO2825" s="21">
        <f t="shared" si="140"/>
        <v>8.65</v>
      </c>
      <c r="AP2825" s="7">
        <f t="shared" si="141"/>
        <v>0</v>
      </c>
      <c r="AQ2825" s="31" t="str">
        <f t="shared" si="142"/>
        <v>Complete - With Adjustment</v>
      </c>
    </row>
    <row r="2826" spans="1:43" x14ac:dyDescent="0.2">
      <c r="A2826" s="46">
        <v>2816</v>
      </c>
      <c r="B2826" s="38" t="s">
        <v>266</v>
      </c>
      <c r="C2826" s="38" t="s">
        <v>126</v>
      </c>
      <c r="D2826" s="38" t="s">
        <v>125</v>
      </c>
      <c r="E2826" s="38" t="s">
        <v>6646</v>
      </c>
      <c r="F2826" s="38" t="s">
        <v>6359</v>
      </c>
      <c r="G2826" s="38" t="s">
        <v>111</v>
      </c>
      <c r="H2826" s="44">
        <v>44179</v>
      </c>
      <c r="I2826" s="44">
        <v>44186</v>
      </c>
      <c r="J2826">
        <v>169.67</v>
      </c>
      <c r="K2826" s="22">
        <v>20</v>
      </c>
      <c r="L2826" s="22" t="s">
        <v>6647</v>
      </c>
      <c r="M2826" s="45" t="s">
        <v>98</v>
      </c>
      <c r="N2826" s="13" t="s">
        <v>230</v>
      </c>
      <c r="O2826" s="13" t="s">
        <v>383</v>
      </c>
      <c r="P2826" s="13" t="s">
        <v>60</v>
      </c>
      <c r="Q2826" s="13" t="s">
        <v>41</v>
      </c>
      <c r="R2826" s="38" t="s">
        <v>270</v>
      </c>
      <c r="S2826" s="38" t="s">
        <v>6648</v>
      </c>
      <c r="T2826" s="38" t="s">
        <v>6655</v>
      </c>
      <c r="U2826" s="38"/>
      <c r="V2826" s="38"/>
      <c r="W2826" s="38"/>
      <c r="X2826" s="14"/>
      <c r="AM2826" s="1"/>
      <c r="AN2826" s="7" t="s">
        <v>70</v>
      </c>
      <c r="AO2826" s="21">
        <f t="shared" si="140"/>
        <v>0</v>
      </c>
      <c r="AP2826" s="7">
        <f t="shared" si="141"/>
        <v>20</v>
      </c>
      <c r="AQ2826" s="31" t="str">
        <f t="shared" si="142"/>
        <v>Complete - No Adjustment</v>
      </c>
    </row>
    <row r="2827" spans="1:43" x14ac:dyDescent="0.2">
      <c r="A2827" s="46">
        <v>2817</v>
      </c>
      <c r="B2827" s="38" t="s">
        <v>266</v>
      </c>
      <c r="C2827" s="38" t="s">
        <v>126</v>
      </c>
      <c r="D2827" s="38" t="s">
        <v>125</v>
      </c>
      <c r="E2827" s="38" t="s">
        <v>6646</v>
      </c>
      <c r="F2827" s="38" t="s">
        <v>6359</v>
      </c>
      <c r="G2827" s="38" t="s">
        <v>111</v>
      </c>
      <c r="H2827" s="44">
        <v>44179</v>
      </c>
      <c r="I2827" s="44">
        <v>44186</v>
      </c>
      <c r="J2827">
        <v>169.67</v>
      </c>
      <c r="K2827" s="22">
        <v>25.92</v>
      </c>
      <c r="L2827" s="22" t="s">
        <v>6647</v>
      </c>
      <c r="M2827" s="45" t="s">
        <v>98</v>
      </c>
      <c r="N2827" s="13" t="s">
        <v>230</v>
      </c>
      <c r="O2827" s="13" t="s">
        <v>383</v>
      </c>
      <c r="P2827" s="13" t="s">
        <v>60</v>
      </c>
      <c r="Q2827" s="13" t="s">
        <v>62</v>
      </c>
      <c r="R2827" s="38" t="s">
        <v>270</v>
      </c>
      <c r="S2827" s="38" t="s">
        <v>6648</v>
      </c>
      <c r="T2827" s="38" t="s">
        <v>6656</v>
      </c>
      <c r="U2827" s="38"/>
      <c r="V2827" s="38"/>
      <c r="W2827" s="38"/>
      <c r="X2827" s="14"/>
      <c r="AM2827" s="1"/>
      <c r="AN2827" s="7" t="s">
        <v>70</v>
      </c>
      <c r="AO2827" s="21">
        <f t="shared" si="140"/>
        <v>0</v>
      </c>
      <c r="AP2827" s="7">
        <f t="shared" si="141"/>
        <v>25.92</v>
      </c>
      <c r="AQ2827" s="31" t="str">
        <f t="shared" si="142"/>
        <v>Complete - No Adjustment</v>
      </c>
    </row>
    <row r="2828" spans="1:43" x14ac:dyDescent="0.2">
      <c r="A2828" s="46">
        <v>2818</v>
      </c>
      <c r="B2828" s="38" t="s">
        <v>266</v>
      </c>
      <c r="C2828" s="38" t="s">
        <v>474</v>
      </c>
      <c r="D2828" s="38" t="s">
        <v>473</v>
      </c>
      <c r="E2828" s="38" t="s">
        <v>6657</v>
      </c>
      <c r="F2828" s="38" t="s">
        <v>6354</v>
      </c>
      <c r="G2828" s="38" t="s">
        <v>111</v>
      </c>
      <c r="H2828" s="44">
        <v>44187</v>
      </c>
      <c r="I2828" s="44">
        <v>44193</v>
      </c>
      <c r="J2828">
        <v>24.2</v>
      </c>
      <c r="K2828" s="22">
        <v>24.2</v>
      </c>
      <c r="L2828" s="22" t="s">
        <v>6658</v>
      </c>
      <c r="M2828" s="45" t="s">
        <v>98</v>
      </c>
      <c r="N2828" s="13" t="s">
        <v>230</v>
      </c>
      <c r="O2828" s="13" t="s">
        <v>297</v>
      </c>
      <c r="P2828" s="13" t="s">
        <v>60</v>
      </c>
      <c r="Q2828" s="13" t="s">
        <v>46</v>
      </c>
      <c r="R2828" s="38" t="s">
        <v>270</v>
      </c>
      <c r="S2828" s="38" t="s">
        <v>6659</v>
      </c>
      <c r="T2828" s="38" t="s">
        <v>6660</v>
      </c>
      <c r="U2828" s="38"/>
      <c r="V2828" s="38"/>
      <c r="W2828" s="38"/>
      <c r="X2828" s="14"/>
      <c r="AI2828" s="53">
        <v>24.2</v>
      </c>
      <c r="AM2828" s="1"/>
      <c r="AN2828" s="7" t="s">
        <v>145</v>
      </c>
      <c r="AO2828" s="21">
        <f t="shared" si="140"/>
        <v>24.2</v>
      </c>
      <c r="AP2828" s="7">
        <f t="shared" si="141"/>
        <v>0</v>
      </c>
      <c r="AQ2828" s="31" t="str">
        <f t="shared" si="142"/>
        <v>Complete - With Adjustment</v>
      </c>
    </row>
    <row r="2829" spans="1:43" x14ac:dyDescent="0.2">
      <c r="A2829" s="46">
        <v>2819</v>
      </c>
      <c r="B2829" s="38" t="s">
        <v>266</v>
      </c>
      <c r="C2829" s="38" t="s">
        <v>476</v>
      </c>
      <c r="D2829" s="38" t="s">
        <v>475</v>
      </c>
      <c r="E2829" s="38" t="s">
        <v>6661</v>
      </c>
      <c r="F2829" s="38" t="s">
        <v>6319</v>
      </c>
      <c r="G2829" s="38" t="s">
        <v>111</v>
      </c>
      <c r="H2829" s="44">
        <v>44174</v>
      </c>
      <c r="I2829" s="44">
        <v>44176</v>
      </c>
      <c r="J2829">
        <v>7.5</v>
      </c>
      <c r="K2829" s="22">
        <v>7.5</v>
      </c>
      <c r="L2829" s="22" t="s">
        <v>6662</v>
      </c>
      <c r="M2829" s="45" t="s">
        <v>98</v>
      </c>
      <c r="N2829" s="13" t="s">
        <v>230</v>
      </c>
      <c r="O2829" s="13" t="s">
        <v>320</v>
      </c>
      <c r="P2829" s="13" t="s">
        <v>60</v>
      </c>
      <c r="Q2829" s="13" t="s">
        <v>41</v>
      </c>
      <c r="R2829" s="38" t="s">
        <v>270</v>
      </c>
      <c r="S2829" s="38" t="s">
        <v>6663</v>
      </c>
      <c r="T2829" s="38" t="s">
        <v>6664</v>
      </c>
      <c r="U2829" s="38"/>
      <c r="V2829" s="38"/>
      <c r="W2829" s="38"/>
      <c r="X2829" s="14"/>
      <c r="AM2829" s="1"/>
      <c r="AN2829" s="7" t="s">
        <v>70</v>
      </c>
      <c r="AO2829" s="21">
        <f t="shared" si="140"/>
        <v>0</v>
      </c>
      <c r="AP2829" s="7">
        <f t="shared" si="141"/>
        <v>7.5</v>
      </c>
      <c r="AQ2829" s="31" t="str">
        <f t="shared" si="142"/>
        <v>Complete - No Adjustment</v>
      </c>
    </row>
    <row r="2830" spans="1:43" x14ac:dyDescent="0.2">
      <c r="A2830" s="46">
        <v>2820</v>
      </c>
      <c r="B2830" s="38" t="s">
        <v>266</v>
      </c>
      <c r="C2830" s="38" t="s">
        <v>476</v>
      </c>
      <c r="D2830" s="38" t="s">
        <v>475</v>
      </c>
      <c r="E2830" s="38" t="s">
        <v>6665</v>
      </c>
      <c r="F2830" s="38" t="s">
        <v>6393</v>
      </c>
      <c r="G2830" s="38" t="s">
        <v>111</v>
      </c>
      <c r="H2830" s="44">
        <v>44180</v>
      </c>
      <c r="I2830" s="44">
        <v>44188</v>
      </c>
      <c r="J2830">
        <v>20</v>
      </c>
      <c r="K2830" s="22">
        <v>20</v>
      </c>
      <c r="L2830" s="22" t="s">
        <v>6666</v>
      </c>
      <c r="M2830" s="45" t="s">
        <v>98</v>
      </c>
      <c r="N2830" s="13" t="s">
        <v>230</v>
      </c>
      <c r="O2830" s="13" t="s">
        <v>320</v>
      </c>
      <c r="P2830" s="13" t="s">
        <v>60</v>
      </c>
      <c r="Q2830" s="13" t="s">
        <v>46</v>
      </c>
      <c r="R2830" s="38" t="s">
        <v>270</v>
      </c>
      <c r="S2830" s="38" t="s">
        <v>6667</v>
      </c>
      <c r="T2830" s="38" t="s">
        <v>6668</v>
      </c>
      <c r="U2830" s="38"/>
      <c r="V2830" s="38"/>
      <c r="W2830" s="38"/>
      <c r="X2830" s="14"/>
      <c r="AM2830" s="1"/>
      <c r="AN2830" s="7" t="s">
        <v>70</v>
      </c>
      <c r="AO2830" s="21">
        <f t="shared" si="140"/>
        <v>0</v>
      </c>
      <c r="AP2830" s="7">
        <f t="shared" si="141"/>
        <v>20</v>
      </c>
      <c r="AQ2830" s="31" t="str">
        <f t="shared" si="142"/>
        <v>Complete - No Adjustment</v>
      </c>
    </row>
    <row r="2831" spans="1:43" x14ac:dyDescent="0.2">
      <c r="A2831" s="46">
        <v>2821</v>
      </c>
      <c r="B2831" s="38" t="s">
        <v>266</v>
      </c>
      <c r="C2831" s="38" t="s">
        <v>476</v>
      </c>
      <c r="D2831" s="38" t="s">
        <v>475</v>
      </c>
      <c r="E2831" s="38" t="s">
        <v>6669</v>
      </c>
      <c r="F2831" s="38" t="s">
        <v>6366</v>
      </c>
      <c r="G2831" s="38" t="s">
        <v>111</v>
      </c>
      <c r="H2831" s="44">
        <v>44166</v>
      </c>
      <c r="I2831" s="44">
        <v>44172</v>
      </c>
      <c r="J2831">
        <v>22.61</v>
      </c>
      <c r="K2831" s="22">
        <v>22.61</v>
      </c>
      <c r="L2831" s="22" t="s">
        <v>6670</v>
      </c>
      <c r="M2831" s="45" t="s">
        <v>98</v>
      </c>
      <c r="N2831" s="13" t="s">
        <v>230</v>
      </c>
      <c r="O2831" s="13" t="s">
        <v>320</v>
      </c>
      <c r="P2831" s="13" t="s">
        <v>60</v>
      </c>
      <c r="Q2831" s="13" t="s">
        <v>62</v>
      </c>
      <c r="R2831" s="38" t="s">
        <v>270</v>
      </c>
      <c r="S2831" s="38" t="s">
        <v>6671</v>
      </c>
      <c r="T2831" s="38" t="s">
        <v>6672</v>
      </c>
      <c r="U2831" s="38"/>
      <c r="V2831" s="38"/>
      <c r="W2831" s="38"/>
      <c r="X2831" s="14"/>
      <c r="AM2831" s="1"/>
      <c r="AN2831" s="7" t="s">
        <v>6337</v>
      </c>
      <c r="AO2831" s="21">
        <f t="shared" si="140"/>
        <v>0</v>
      </c>
      <c r="AP2831" s="7">
        <f t="shared" si="141"/>
        <v>22.61</v>
      </c>
      <c r="AQ2831" s="31" t="str">
        <f t="shared" si="142"/>
        <v>Complete - No Adjustment</v>
      </c>
    </row>
    <row r="2832" spans="1:43" x14ac:dyDescent="0.2">
      <c r="A2832" s="46">
        <v>2822</v>
      </c>
      <c r="B2832" s="38" t="s">
        <v>266</v>
      </c>
      <c r="C2832" s="38" t="s">
        <v>476</v>
      </c>
      <c r="D2832" s="38" t="s">
        <v>475</v>
      </c>
      <c r="E2832" s="38" t="s">
        <v>6673</v>
      </c>
      <c r="F2832" s="38" t="s">
        <v>6319</v>
      </c>
      <c r="G2832" s="38" t="s">
        <v>111</v>
      </c>
      <c r="H2832" s="44">
        <v>44166</v>
      </c>
      <c r="I2832" s="44">
        <v>44176</v>
      </c>
      <c r="J2832">
        <v>23.92</v>
      </c>
      <c r="K2832" s="22">
        <v>23.92</v>
      </c>
      <c r="L2832" s="22" t="s">
        <v>6674</v>
      </c>
      <c r="M2832" s="45" t="s">
        <v>98</v>
      </c>
      <c r="N2832" s="13" t="s">
        <v>230</v>
      </c>
      <c r="O2832" s="13" t="s">
        <v>320</v>
      </c>
      <c r="P2832" s="13" t="s">
        <v>60</v>
      </c>
      <c r="Q2832" s="13" t="s">
        <v>41</v>
      </c>
      <c r="R2832" s="38" t="s">
        <v>270</v>
      </c>
      <c r="S2832" s="38" t="s">
        <v>6675</v>
      </c>
      <c r="T2832" s="38" t="s">
        <v>6676</v>
      </c>
      <c r="U2832" s="38"/>
      <c r="V2832" s="38"/>
      <c r="W2832" s="38"/>
      <c r="X2832" s="14"/>
      <c r="AH2832" s="14">
        <v>23.92</v>
      </c>
      <c r="AM2832" s="1"/>
      <c r="AN2832" s="7" t="s">
        <v>16</v>
      </c>
      <c r="AO2832" s="21">
        <f t="shared" si="140"/>
        <v>23.92</v>
      </c>
      <c r="AP2832" s="7">
        <f t="shared" si="141"/>
        <v>0</v>
      </c>
      <c r="AQ2832" s="31" t="str">
        <f t="shared" si="142"/>
        <v>Complete - With Adjustment</v>
      </c>
    </row>
    <row r="2833" spans="1:43" x14ac:dyDescent="0.2">
      <c r="A2833" s="46">
        <v>2823</v>
      </c>
      <c r="B2833" s="38" t="s">
        <v>266</v>
      </c>
      <c r="C2833" s="38" t="s">
        <v>625</v>
      </c>
      <c r="D2833" s="38" t="s">
        <v>850</v>
      </c>
      <c r="E2833" s="38" t="s">
        <v>6677</v>
      </c>
      <c r="F2833" s="38" t="s">
        <v>6319</v>
      </c>
      <c r="G2833" s="38" t="s">
        <v>111</v>
      </c>
      <c r="H2833" s="44">
        <v>44155</v>
      </c>
      <c r="I2833" s="44">
        <v>44176</v>
      </c>
      <c r="J2833">
        <v>510</v>
      </c>
      <c r="K2833" s="22">
        <v>15</v>
      </c>
      <c r="L2833" s="22" t="s">
        <v>6678</v>
      </c>
      <c r="M2833" s="45" t="s">
        <v>98</v>
      </c>
      <c r="N2833" s="13" t="s">
        <v>230</v>
      </c>
      <c r="O2833" s="13" t="s">
        <v>387</v>
      </c>
      <c r="P2833" s="13" t="s">
        <v>60</v>
      </c>
      <c r="Q2833" s="13" t="s">
        <v>46</v>
      </c>
      <c r="R2833" s="38" t="s">
        <v>270</v>
      </c>
      <c r="S2833" s="38" t="s">
        <v>6679</v>
      </c>
      <c r="T2833" s="38" t="s">
        <v>6680</v>
      </c>
      <c r="U2833" s="38"/>
      <c r="V2833" s="38"/>
      <c r="W2833" s="38"/>
      <c r="X2833" s="14"/>
      <c r="AI2833" s="53">
        <v>15</v>
      </c>
      <c r="AM2833" s="1"/>
      <c r="AN2833" s="7" t="s">
        <v>145</v>
      </c>
      <c r="AO2833" s="21">
        <f t="shared" si="140"/>
        <v>15</v>
      </c>
      <c r="AP2833" s="7">
        <f t="shared" si="141"/>
        <v>0</v>
      </c>
      <c r="AQ2833" s="31" t="str">
        <f t="shared" si="142"/>
        <v>Complete - With Adjustment</v>
      </c>
    </row>
    <row r="2834" spans="1:43" x14ac:dyDescent="0.2">
      <c r="A2834" s="46">
        <v>2824</v>
      </c>
      <c r="B2834" s="38" t="s">
        <v>266</v>
      </c>
      <c r="C2834" s="38" t="s">
        <v>625</v>
      </c>
      <c r="D2834" s="38" t="s">
        <v>850</v>
      </c>
      <c r="E2834" s="38" t="s">
        <v>6677</v>
      </c>
      <c r="F2834" s="38" t="s">
        <v>6319</v>
      </c>
      <c r="G2834" s="38" t="s">
        <v>111</v>
      </c>
      <c r="H2834" s="44">
        <v>44155</v>
      </c>
      <c r="I2834" s="44">
        <v>44176</v>
      </c>
      <c r="J2834">
        <v>510</v>
      </c>
      <c r="K2834" s="22">
        <v>495</v>
      </c>
      <c r="L2834" s="22" t="s">
        <v>6678</v>
      </c>
      <c r="M2834" s="45" t="s">
        <v>98</v>
      </c>
      <c r="N2834" s="13" t="s">
        <v>230</v>
      </c>
      <c r="O2834" s="13" t="s">
        <v>387</v>
      </c>
      <c r="P2834" s="13" t="s">
        <v>60</v>
      </c>
      <c r="Q2834" s="13" t="s">
        <v>48</v>
      </c>
      <c r="R2834" s="38" t="s">
        <v>270</v>
      </c>
      <c r="S2834" s="38" t="s">
        <v>6679</v>
      </c>
      <c r="T2834" s="38" t="s">
        <v>6681</v>
      </c>
      <c r="U2834" s="38"/>
      <c r="V2834" s="38"/>
      <c r="W2834" s="38"/>
      <c r="X2834" s="14"/>
      <c r="AM2834" s="1"/>
      <c r="AN2834" s="7" t="s">
        <v>70</v>
      </c>
      <c r="AO2834" s="21">
        <f t="shared" si="140"/>
        <v>0</v>
      </c>
      <c r="AP2834" s="7">
        <f t="shared" si="141"/>
        <v>495</v>
      </c>
      <c r="AQ2834" s="31" t="str">
        <f t="shared" si="142"/>
        <v>Complete - No Adjustment</v>
      </c>
    </row>
    <row r="2835" spans="1:43" x14ac:dyDescent="0.2">
      <c r="A2835" s="46">
        <v>2825</v>
      </c>
      <c r="B2835" s="38" t="s">
        <v>266</v>
      </c>
      <c r="C2835" s="38" t="s">
        <v>626</v>
      </c>
      <c r="D2835" s="38" t="s">
        <v>715</v>
      </c>
      <c r="E2835" s="38" t="s">
        <v>6682</v>
      </c>
      <c r="F2835" s="38" t="s">
        <v>6304</v>
      </c>
      <c r="G2835" s="38" t="s">
        <v>111</v>
      </c>
      <c r="H2835" s="44">
        <v>44176</v>
      </c>
      <c r="I2835" s="44">
        <v>44180</v>
      </c>
      <c r="J2835">
        <v>124</v>
      </c>
      <c r="K2835" s="22">
        <v>75</v>
      </c>
      <c r="L2835" s="22" t="s">
        <v>6683</v>
      </c>
      <c r="M2835" s="45" t="s">
        <v>98</v>
      </c>
      <c r="N2835" s="13" t="s">
        <v>230</v>
      </c>
      <c r="O2835" s="13" t="s">
        <v>294</v>
      </c>
      <c r="P2835" s="13" t="s">
        <v>60</v>
      </c>
      <c r="Q2835" s="13" t="s">
        <v>59</v>
      </c>
      <c r="R2835" s="38" t="s">
        <v>270</v>
      </c>
      <c r="S2835" s="38" t="s">
        <v>6684</v>
      </c>
      <c r="T2835" s="38" t="s">
        <v>6685</v>
      </c>
      <c r="U2835" s="38"/>
      <c r="V2835" s="38"/>
      <c r="W2835" s="38"/>
      <c r="X2835" s="14"/>
      <c r="AM2835" s="1"/>
      <c r="AN2835" s="7" t="s">
        <v>70</v>
      </c>
      <c r="AO2835" s="21">
        <f t="shared" si="140"/>
        <v>0</v>
      </c>
      <c r="AP2835" s="7">
        <f t="shared" si="141"/>
        <v>75</v>
      </c>
      <c r="AQ2835" s="31" t="str">
        <f t="shared" si="142"/>
        <v>Complete - No Adjustment</v>
      </c>
    </row>
    <row r="2836" spans="1:43" x14ac:dyDescent="0.2">
      <c r="A2836" s="46">
        <v>2826</v>
      </c>
      <c r="B2836" s="38" t="s">
        <v>266</v>
      </c>
      <c r="C2836" s="38" t="s">
        <v>626</v>
      </c>
      <c r="D2836" s="38" t="s">
        <v>715</v>
      </c>
      <c r="E2836" s="38" t="s">
        <v>6682</v>
      </c>
      <c r="F2836" s="38" t="s">
        <v>6304</v>
      </c>
      <c r="G2836" s="38" t="s">
        <v>111</v>
      </c>
      <c r="H2836" s="44">
        <v>44176</v>
      </c>
      <c r="I2836" s="44">
        <v>44180</v>
      </c>
      <c r="J2836">
        <v>124</v>
      </c>
      <c r="K2836" s="22">
        <v>49</v>
      </c>
      <c r="L2836" s="22" t="s">
        <v>6683</v>
      </c>
      <c r="M2836" s="45" t="s">
        <v>98</v>
      </c>
      <c r="N2836" s="13" t="s">
        <v>230</v>
      </c>
      <c r="O2836" s="13" t="s">
        <v>294</v>
      </c>
      <c r="P2836" s="13" t="s">
        <v>60</v>
      </c>
      <c r="Q2836" s="13" t="s">
        <v>48</v>
      </c>
      <c r="R2836" s="38" t="s">
        <v>270</v>
      </c>
      <c r="S2836" s="38" t="s">
        <v>6684</v>
      </c>
      <c r="T2836" s="38" t="s">
        <v>6686</v>
      </c>
      <c r="U2836" s="38"/>
      <c r="V2836" s="38"/>
      <c r="W2836" s="38"/>
      <c r="X2836" s="14"/>
      <c r="AM2836" s="1"/>
      <c r="AN2836" s="7" t="s">
        <v>70</v>
      </c>
      <c r="AO2836" s="21">
        <f t="shared" si="140"/>
        <v>0</v>
      </c>
      <c r="AP2836" s="7">
        <f t="shared" si="141"/>
        <v>49</v>
      </c>
      <c r="AQ2836" s="31" t="str">
        <f t="shared" si="142"/>
        <v>Complete - No Adjustment</v>
      </c>
    </row>
    <row r="2837" spans="1:43" x14ac:dyDescent="0.2">
      <c r="A2837" s="46">
        <v>2827</v>
      </c>
      <c r="B2837" s="38" t="s">
        <v>266</v>
      </c>
      <c r="C2837" s="38" t="s">
        <v>687</v>
      </c>
      <c r="D2837" s="38" t="s">
        <v>686</v>
      </c>
      <c r="E2837" s="38" t="s">
        <v>6687</v>
      </c>
      <c r="F2837" s="38" t="s">
        <v>6295</v>
      </c>
      <c r="G2837" s="38" t="s">
        <v>111</v>
      </c>
      <c r="H2837" s="44">
        <v>44154</v>
      </c>
      <c r="I2837" s="44">
        <v>44166</v>
      </c>
      <c r="J2837">
        <v>75</v>
      </c>
      <c r="K2837" s="22">
        <v>75</v>
      </c>
      <c r="L2837" s="22" t="s">
        <v>6688</v>
      </c>
      <c r="M2837" s="45" t="s">
        <v>98</v>
      </c>
      <c r="N2837" s="13" t="s">
        <v>230</v>
      </c>
      <c r="O2837" s="13" t="s">
        <v>514</v>
      </c>
      <c r="P2837" s="13" t="s">
        <v>60</v>
      </c>
      <c r="Q2837" s="13" t="s">
        <v>59</v>
      </c>
      <c r="R2837" s="38" t="s">
        <v>270</v>
      </c>
      <c r="S2837" s="38" t="s">
        <v>6689</v>
      </c>
      <c r="T2837" s="38" t="s">
        <v>6690</v>
      </c>
      <c r="U2837" s="38"/>
      <c r="V2837" s="38"/>
      <c r="W2837" s="38"/>
      <c r="X2837" s="14"/>
      <c r="AM2837" s="1"/>
      <c r="AN2837" s="7" t="s">
        <v>70</v>
      </c>
      <c r="AO2837" s="21">
        <f t="shared" si="140"/>
        <v>0</v>
      </c>
      <c r="AP2837" s="7">
        <f t="shared" si="141"/>
        <v>75</v>
      </c>
      <c r="AQ2837" s="31" t="str">
        <f t="shared" si="142"/>
        <v>Complete - No Adjustment</v>
      </c>
    </row>
    <row r="2838" spans="1:43" x14ac:dyDescent="0.2">
      <c r="A2838" s="46">
        <v>2828</v>
      </c>
      <c r="B2838" s="38" t="s">
        <v>266</v>
      </c>
      <c r="C2838" s="38" t="s">
        <v>737</v>
      </c>
      <c r="D2838" s="38" t="s">
        <v>736</v>
      </c>
      <c r="E2838" s="38" t="s">
        <v>6691</v>
      </c>
      <c r="F2838" s="38" t="s">
        <v>6284</v>
      </c>
      <c r="G2838" s="38" t="s">
        <v>111</v>
      </c>
      <c r="H2838" s="44">
        <v>44174</v>
      </c>
      <c r="I2838" s="44">
        <v>44183</v>
      </c>
      <c r="J2838">
        <v>140.71</v>
      </c>
      <c r="K2838" s="22">
        <v>140.71</v>
      </c>
      <c r="L2838" s="22" t="s">
        <v>6692</v>
      </c>
      <c r="M2838" s="45" t="s">
        <v>98</v>
      </c>
      <c r="N2838" s="13" t="s">
        <v>230</v>
      </c>
      <c r="O2838" s="13" t="s">
        <v>397</v>
      </c>
      <c r="P2838" s="13" t="s">
        <v>60</v>
      </c>
      <c r="Q2838" s="13" t="s">
        <v>62</v>
      </c>
      <c r="R2838" s="38" t="s">
        <v>270</v>
      </c>
      <c r="S2838" s="38" t="s">
        <v>6693</v>
      </c>
      <c r="T2838" s="38" t="s">
        <v>6694</v>
      </c>
      <c r="U2838" s="38"/>
      <c r="V2838" s="38"/>
      <c r="W2838" s="38"/>
      <c r="X2838" s="14"/>
      <c r="AM2838" s="1"/>
      <c r="AN2838" s="7" t="s">
        <v>70</v>
      </c>
      <c r="AO2838" s="21">
        <f t="shared" si="140"/>
        <v>0</v>
      </c>
      <c r="AP2838" s="7">
        <f t="shared" si="141"/>
        <v>140.71</v>
      </c>
      <c r="AQ2838" s="31" t="str">
        <f t="shared" si="142"/>
        <v>Complete - No Adjustment</v>
      </c>
    </row>
    <row r="2839" spans="1:43" x14ac:dyDescent="0.2">
      <c r="A2839" s="46">
        <v>2829</v>
      </c>
      <c r="B2839" s="38" t="s">
        <v>266</v>
      </c>
      <c r="C2839" s="38" t="s">
        <v>804</v>
      </c>
      <c r="D2839" s="38" t="s">
        <v>803</v>
      </c>
      <c r="E2839" s="38" t="s">
        <v>6695</v>
      </c>
      <c r="F2839" s="38" t="s">
        <v>6319</v>
      </c>
      <c r="G2839" s="38" t="s">
        <v>111</v>
      </c>
      <c r="H2839" s="44">
        <v>44175</v>
      </c>
      <c r="I2839" s="44">
        <v>44176</v>
      </c>
      <c r="J2839">
        <v>39.950000000000003</v>
      </c>
      <c r="K2839" s="22">
        <v>39.950000000000003</v>
      </c>
      <c r="L2839" s="22" t="s">
        <v>6696</v>
      </c>
      <c r="M2839" s="45" t="s">
        <v>98</v>
      </c>
      <c r="N2839" s="13" t="s">
        <v>230</v>
      </c>
      <c r="O2839" s="13" t="s">
        <v>717</v>
      </c>
      <c r="P2839" s="13" t="s">
        <v>60</v>
      </c>
      <c r="Q2839" s="13" t="s">
        <v>56</v>
      </c>
      <c r="R2839" s="38" t="s">
        <v>270</v>
      </c>
      <c r="S2839" s="38" t="s">
        <v>6697</v>
      </c>
      <c r="T2839" s="38" t="s">
        <v>6698</v>
      </c>
      <c r="U2839" s="38"/>
      <c r="V2839" s="38"/>
      <c r="W2839" s="38"/>
      <c r="X2839" s="14"/>
      <c r="AM2839" s="1"/>
      <c r="AN2839" s="7" t="s">
        <v>70</v>
      </c>
      <c r="AO2839" s="21">
        <f t="shared" si="140"/>
        <v>0</v>
      </c>
      <c r="AP2839" s="7">
        <f t="shared" si="141"/>
        <v>39.950000000000003</v>
      </c>
      <c r="AQ2839" s="31" t="str">
        <f t="shared" si="142"/>
        <v>Complete - No Adjustment</v>
      </c>
    </row>
    <row r="2840" spans="1:43" x14ac:dyDescent="0.2">
      <c r="A2840" s="46">
        <v>2830</v>
      </c>
      <c r="B2840" s="38" t="s">
        <v>266</v>
      </c>
      <c r="C2840" s="38" t="s">
        <v>804</v>
      </c>
      <c r="D2840" s="38" t="s">
        <v>803</v>
      </c>
      <c r="E2840" s="38" t="s">
        <v>6699</v>
      </c>
      <c r="F2840" s="38" t="s">
        <v>6319</v>
      </c>
      <c r="G2840" s="38" t="s">
        <v>111</v>
      </c>
      <c r="H2840" s="44">
        <v>44175</v>
      </c>
      <c r="I2840" s="44">
        <v>44176</v>
      </c>
      <c r="J2840">
        <v>75</v>
      </c>
      <c r="K2840" s="22">
        <v>75</v>
      </c>
      <c r="L2840" s="22" t="s">
        <v>6700</v>
      </c>
      <c r="M2840" s="45" t="s">
        <v>98</v>
      </c>
      <c r="N2840" s="13" t="s">
        <v>230</v>
      </c>
      <c r="O2840" s="13" t="s">
        <v>717</v>
      </c>
      <c r="P2840" s="13" t="s">
        <v>60</v>
      </c>
      <c r="Q2840" s="13" t="s">
        <v>59</v>
      </c>
      <c r="R2840" s="38" t="s">
        <v>270</v>
      </c>
      <c r="S2840" s="38" t="s">
        <v>6701</v>
      </c>
      <c r="T2840" s="38" t="s">
        <v>6702</v>
      </c>
      <c r="U2840" s="38"/>
      <c r="V2840" s="38"/>
      <c r="W2840" s="38"/>
      <c r="X2840" s="14"/>
      <c r="AM2840" s="1"/>
      <c r="AN2840" s="7" t="s">
        <v>70</v>
      </c>
      <c r="AO2840" s="21">
        <f t="shared" si="140"/>
        <v>0</v>
      </c>
      <c r="AP2840" s="7">
        <f t="shared" si="141"/>
        <v>75</v>
      </c>
      <c r="AQ2840" s="31" t="str">
        <f t="shared" si="142"/>
        <v>Complete - No Adjustment</v>
      </c>
    </row>
    <row r="2841" spans="1:43" x14ac:dyDescent="0.2">
      <c r="A2841" s="46">
        <v>2831</v>
      </c>
      <c r="B2841" s="38" t="s">
        <v>266</v>
      </c>
      <c r="C2841" s="38" t="s">
        <v>633</v>
      </c>
      <c r="D2841" s="38" t="s">
        <v>632</v>
      </c>
      <c r="E2841" s="38" t="s">
        <v>6703</v>
      </c>
      <c r="F2841" s="38" t="s">
        <v>6344</v>
      </c>
      <c r="G2841" s="38" t="s">
        <v>111</v>
      </c>
      <c r="H2841" s="44">
        <v>44165</v>
      </c>
      <c r="I2841" s="44">
        <v>44169</v>
      </c>
      <c r="J2841">
        <v>1400</v>
      </c>
      <c r="K2841" s="22">
        <v>1400</v>
      </c>
      <c r="L2841" s="22" t="s">
        <v>6704</v>
      </c>
      <c r="M2841" s="45" t="s">
        <v>98</v>
      </c>
      <c r="N2841" s="13" t="s">
        <v>230</v>
      </c>
      <c r="O2841" s="13" t="s">
        <v>484</v>
      </c>
      <c r="P2841" s="13" t="s">
        <v>60</v>
      </c>
      <c r="Q2841" s="13" t="s">
        <v>48</v>
      </c>
      <c r="R2841" s="38" t="s">
        <v>270</v>
      </c>
      <c r="S2841" s="38" t="s">
        <v>6705</v>
      </c>
      <c r="T2841" s="38" t="s">
        <v>6706</v>
      </c>
      <c r="U2841" s="38"/>
      <c r="V2841" s="38"/>
      <c r="W2841" s="38"/>
      <c r="X2841" s="14"/>
      <c r="AM2841" s="1"/>
      <c r="AN2841" s="7" t="s">
        <v>70</v>
      </c>
      <c r="AO2841" s="21">
        <f t="shared" si="140"/>
        <v>0</v>
      </c>
      <c r="AP2841" s="7">
        <f t="shared" si="141"/>
        <v>1400</v>
      </c>
      <c r="AQ2841" s="31" t="str">
        <f t="shared" si="142"/>
        <v>Complete - No Adjustment</v>
      </c>
    </row>
    <row r="2842" spans="1:43" x14ac:dyDescent="0.2">
      <c r="A2842" s="46">
        <v>2832</v>
      </c>
      <c r="B2842" s="38" t="s">
        <v>266</v>
      </c>
      <c r="C2842" s="38" t="s">
        <v>496</v>
      </c>
      <c r="D2842" s="38" t="s">
        <v>495</v>
      </c>
      <c r="E2842" s="38" t="s">
        <v>6707</v>
      </c>
      <c r="F2842" s="38" t="s">
        <v>6299</v>
      </c>
      <c r="G2842" s="38" t="s">
        <v>111</v>
      </c>
      <c r="H2842" s="44">
        <v>44167</v>
      </c>
      <c r="I2842" s="44">
        <v>44174</v>
      </c>
      <c r="J2842">
        <v>131.22999999999999</v>
      </c>
      <c r="K2842" s="22">
        <v>6.66</v>
      </c>
      <c r="L2842" s="22" t="s">
        <v>6708</v>
      </c>
      <c r="M2842" s="45" t="s">
        <v>98</v>
      </c>
      <c r="N2842" s="13" t="s">
        <v>230</v>
      </c>
      <c r="O2842" s="13" t="s">
        <v>383</v>
      </c>
      <c r="P2842" s="13" t="s">
        <v>60</v>
      </c>
      <c r="Q2842" s="13" t="s">
        <v>73</v>
      </c>
      <c r="R2842" s="38" t="s">
        <v>270</v>
      </c>
      <c r="S2842" s="38" t="s">
        <v>6709</v>
      </c>
      <c r="T2842" s="38" t="s">
        <v>6710</v>
      </c>
      <c r="U2842" s="38"/>
      <c r="V2842" s="38"/>
      <c r="W2842" s="38"/>
      <c r="X2842" s="14"/>
      <c r="AM2842" s="1"/>
      <c r="AN2842" s="7" t="s">
        <v>70</v>
      </c>
      <c r="AO2842" s="21">
        <f t="shared" si="140"/>
        <v>0</v>
      </c>
      <c r="AP2842" s="7">
        <f t="shared" si="141"/>
        <v>6.66</v>
      </c>
      <c r="AQ2842" s="31" t="str">
        <f t="shared" si="142"/>
        <v>Complete - No Adjustment</v>
      </c>
    </row>
    <row r="2843" spans="1:43" x14ac:dyDescent="0.2">
      <c r="A2843" s="46">
        <v>2833</v>
      </c>
      <c r="B2843" s="38" t="s">
        <v>266</v>
      </c>
      <c r="C2843" s="38" t="s">
        <v>496</v>
      </c>
      <c r="D2843" s="38" t="s">
        <v>495</v>
      </c>
      <c r="E2843" s="38" t="s">
        <v>6707</v>
      </c>
      <c r="F2843" s="38" t="s">
        <v>6299</v>
      </c>
      <c r="G2843" s="38" t="s">
        <v>111</v>
      </c>
      <c r="H2843" s="44">
        <v>44167</v>
      </c>
      <c r="I2843" s="44">
        <v>44174</v>
      </c>
      <c r="J2843">
        <v>131.22999999999999</v>
      </c>
      <c r="K2843" s="22">
        <v>20</v>
      </c>
      <c r="L2843" s="22" t="s">
        <v>6708</v>
      </c>
      <c r="M2843" s="45" t="s">
        <v>98</v>
      </c>
      <c r="N2843" s="13" t="s">
        <v>230</v>
      </c>
      <c r="O2843" s="13" t="s">
        <v>375</v>
      </c>
      <c r="P2843" s="13" t="s">
        <v>60</v>
      </c>
      <c r="Q2843" s="13" t="s">
        <v>73</v>
      </c>
      <c r="R2843" s="38" t="s">
        <v>270</v>
      </c>
      <c r="S2843" s="38" t="s">
        <v>6709</v>
      </c>
      <c r="T2843" s="38" t="s">
        <v>6711</v>
      </c>
      <c r="U2843" s="38"/>
      <c r="V2843" s="38"/>
      <c r="W2843" s="38"/>
      <c r="X2843" s="14"/>
      <c r="AM2843" s="1"/>
      <c r="AN2843" s="7" t="s">
        <v>70</v>
      </c>
      <c r="AO2843" s="21">
        <f t="shared" si="140"/>
        <v>0</v>
      </c>
      <c r="AP2843" s="7">
        <f t="shared" si="141"/>
        <v>20</v>
      </c>
      <c r="AQ2843" s="31" t="str">
        <f t="shared" si="142"/>
        <v>Complete - No Adjustment</v>
      </c>
    </row>
    <row r="2844" spans="1:43" x14ac:dyDescent="0.2">
      <c r="A2844" s="46">
        <v>2834</v>
      </c>
      <c r="B2844" s="38" t="s">
        <v>266</v>
      </c>
      <c r="C2844" s="38" t="s">
        <v>496</v>
      </c>
      <c r="D2844" s="38" t="s">
        <v>495</v>
      </c>
      <c r="E2844" s="38" t="s">
        <v>6707</v>
      </c>
      <c r="F2844" s="38" t="s">
        <v>6299</v>
      </c>
      <c r="G2844" s="38" t="s">
        <v>111</v>
      </c>
      <c r="H2844" s="44">
        <v>44167</v>
      </c>
      <c r="I2844" s="44">
        <v>44174</v>
      </c>
      <c r="J2844">
        <v>131.22999999999999</v>
      </c>
      <c r="K2844" s="22">
        <v>20</v>
      </c>
      <c r="L2844" s="22" t="s">
        <v>6708</v>
      </c>
      <c r="M2844" s="45" t="s">
        <v>98</v>
      </c>
      <c r="N2844" s="13" t="s">
        <v>230</v>
      </c>
      <c r="O2844" s="13" t="s">
        <v>375</v>
      </c>
      <c r="P2844" s="13" t="s">
        <v>60</v>
      </c>
      <c r="Q2844" s="13" t="s">
        <v>73</v>
      </c>
      <c r="R2844" s="38" t="s">
        <v>270</v>
      </c>
      <c r="S2844" s="38" t="s">
        <v>6709</v>
      </c>
      <c r="T2844" s="38" t="s">
        <v>6712</v>
      </c>
      <c r="U2844" s="38"/>
      <c r="V2844" s="38"/>
      <c r="W2844" s="38"/>
      <c r="X2844" s="14"/>
      <c r="AM2844" s="1"/>
      <c r="AN2844" s="7" t="s">
        <v>70</v>
      </c>
      <c r="AO2844" s="21">
        <f t="shared" si="140"/>
        <v>0</v>
      </c>
      <c r="AP2844" s="7">
        <f t="shared" si="141"/>
        <v>20</v>
      </c>
      <c r="AQ2844" s="31" t="str">
        <f t="shared" si="142"/>
        <v>Complete - No Adjustment</v>
      </c>
    </row>
    <row r="2845" spans="1:43" x14ac:dyDescent="0.2">
      <c r="A2845" s="46">
        <v>2835</v>
      </c>
      <c r="B2845" s="38" t="s">
        <v>266</v>
      </c>
      <c r="C2845" s="38" t="s">
        <v>496</v>
      </c>
      <c r="D2845" s="38" t="s">
        <v>495</v>
      </c>
      <c r="E2845" s="38" t="s">
        <v>6707</v>
      </c>
      <c r="F2845" s="38" t="s">
        <v>6299</v>
      </c>
      <c r="G2845" s="38" t="s">
        <v>111</v>
      </c>
      <c r="H2845" s="44">
        <v>44167</v>
      </c>
      <c r="I2845" s="44">
        <v>44174</v>
      </c>
      <c r="J2845">
        <v>131.22999999999999</v>
      </c>
      <c r="K2845" s="22">
        <v>6.66</v>
      </c>
      <c r="L2845" s="22" t="s">
        <v>6708</v>
      </c>
      <c r="M2845" s="45" t="s">
        <v>98</v>
      </c>
      <c r="N2845" s="13" t="s">
        <v>230</v>
      </c>
      <c r="O2845" s="13" t="s">
        <v>444</v>
      </c>
      <c r="P2845" s="13" t="s">
        <v>60</v>
      </c>
      <c r="Q2845" s="13" t="s">
        <v>73</v>
      </c>
      <c r="R2845" s="38" t="s">
        <v>270</v>
      </c>
      <c r="S2845" s="38" t="s">
        <v>6709</v>
      </c>
      <c r="T2845" s="38" t="s">
        <v>6713</v>
      </c>
      <c r="U2845" s="38"/>
      <c r="V2845" s="38"/>
      <c r="W2845" s="38"/>
      <c r="X2845" s="14"/>
      <c r="AM2845" s="1"/>
      <c r="AN2845" s="7" t="s">
        <v>70</v>
      </c>
      <c r="AO2845" s="21">
        <f t="shared" si="140"/>
        <v>0</v>
      </c>
      <c r="AP2845" s="7">
        <f t="shared" si="141"/>
        <v>6.66</v>
      </c>
      <c r="AQ2845" s="31" t="str">
        <f t="shared" si="142"/>
        <v>Complete - No Adjustment</v>
      </c>
    </row>
    <row r="2846" spans="1:43" x14ac:dyDescent="0.2">
      <c r="A2846" s="46">
        <v>2836</v>
      </c>
      <c r="B2846" s="38" t="s">
        <v>266</v>
      </c>
      <c r="C2846" s="38" t="s">
        <v>496</v>
      </c>
      <c r="D2846" s="38" t="s">
        <v>495</v>
      </c>
      <c r="E2846" s="38" t="s">
        <v>6707</v>
      </c>
      <c r="F2846" s="38" t="s">
        <v>6299</v>
      </c>
      <c r="G2846" s="38" t="s">
        <v>111</v>
      </c>
      <c r="H2846" s="44">
        <v>44167</v>
      </c>
      <c r="I2846" s="44">
        <v>44174</v>
      </c>
      <c r="J2846">
        <v>131.22999999999999</v>
      </c>
      <c r="K2846" s="22">
        <v>51.23</v>
      </c>
      <c r="L2846" s="22" t="s">
        <v>6708</v>
      </c>
      <c r="M2846" s="45" t="s">
        <v>97</v>
      </c>
      <c r="N2846" s="13" t="s">
        <v>230</v>
      </c>
      <c r="O2846" s="13" t="s">
        <v>355</v>
      </c>
      <c r="P2846" s="13" t="s">
        <v>42</v>
      </c>
      <c r="Q2846" s="13" t="s">
        <v>57</v>
      </c>
      <c r="R2846" s="38" t="s">
        <v>270</v>
      </c>
      <c r="S2846" s="38" t="s">
        <v>6709</v>
      </c>
      <c r="T2846" s="38" t="s">
        <v>6714</v>
      </c>
      <c r="U2846" s="38"/>
      <c r="V2846" s="38"/>
      <c r="W2846" s="38"/>
      <c r="X2846" s="14"/>
      <c r="AL2846" s="14">
        <v>51.23</v>
      </c>
      <c r="AM2846" s="1"/>
      <c r="AN2846" s="7" t="s">
        <v>6715</v>
      </c>
      <c r="AO2846" s="21">
        <f t="shared" si="140"/>
        <v>51.23</v>
      </c>
      <c r="AP2846" s="7">
        <f t="shared" si="141"/>
        <v>0</v>
      </c>
      <c r="AQ2846" s="31" t="str">
        <f t="shared" si="142"/>
        <v>Complete - With Adjustment</v>
      </c>
    </row>
    <row r="2847" spans="1:43" x14ac:dyDescent="0.2">
      <c r="A2847" s="46">
        <v>2837</v>
      </c>
      <c r="B2847" s="38" t="s">
        <v>266</v>
      </c>
      <c r="C2847" s="38" t="s">
        <v>496</v>
      </c>
      <c r="D2847" s="38" t="s">
        <v>495</v>
      </c>
      <c r="E2847" s="38" t="s">
        <v>6707</v>
      </c>
      <c r="F2847" s="38" t="s">
        <v>6299</v>
      </c>
      <c r="G2847" s="38" t="s">
        <v>111</v>
      </c>
      <c r="H2847" s="44">
        <v>44167</v>
      </c>
      <c r="I2847" s="44">
        <v>44174</v>
      </c>
      <c r="J2847">
        <v>131.22999999999999</v>
      </c>
      <c r="K2847" s="22">
        <v>6.66</v>
      </c>
      <c r="L2847" s="22" t="s">
        <v>6708</v>
      </c>
      <c r="M2847" s="45" t="s">
        <v>98</v>
      </c>
      <c r="N2847" s="13" t="s">
        <v>230</v>
      </c>
      <c r="O2847" s="13" t="s">
        <v>383</v>
      </c>
      <c r="P2847" s="13" t="s">
        <v>60</v>
      </c>
      <c r="Q2847" s="13" t="s">
        <v>73</v>
      </c>
      <c r="R2847" s="38" t="s">
        <v>270</v>
      </c>
      <c r="S2847" s="38" t="s">
        <v>6709</v>
      </c>
      <c r="T2847" s="38" t="s">
        <v>6713</v>
      </c>
      <c r="U2847" s="38"/>
      <c r="V2847" s="38"/>
      <c r="W2847" s="38"/>
      <c r="X2847" s="14"/>
      <c r="AM2847" s="1"/>
      <c r="AN2847" s="7" t="s">
        <v>70</v>
      </c>
      <c r="AO2847" s="21">
        <f t="shared" si="140"/>
        <v>0</v>
      </c>
      <c r="AP2847" s="7">
        <f t="shared" si="141"/>
        <v>6.66</v>
      </c>
      <c r="AQ2847" s="31" t="str">
        <f t="shared" si="142"/>
        <v>Complete - No Adjustment</v>
      </c>
    </row>
    <row r="2848" spans="1:43" x14ac:dyDescent="0.2">
      <c r="A2848" s="46">
        <v>2838</v>
      </c>
      <c r="B2848" s="38" t="s">
        <v>266</v>
      </c>
      <c r="C2848" s="38" t="s">
        <v>496</v>
      </c>
      <c r="D2848" s="38" t="s">
        <v>495</v>
      </c>
      <c r="E2848" s="38" t="s">
        <v>6707</v>
      </c>
      <c r="F2848" s="38" t="s">
        <v>6299</v>
      </c>
      <c r="G2848" s="38" t="s">
        <v>111</v>
      </c>
      <c r="H2848" s="44">
        <v>44167</v>
      </c>
      <c r="I2848" s="44">
        <v>44174</v>
      </c>
      <c r="J2848">
        <v>131.22999999999999</v>
      </c>
      <c r="K2848" s="22">
        <v>6.68</v>
      </c>
      <c r="L2848" s="22" t="s">
        <v>6708</v>
      </c>
      <c r="M2848" s="45" t="s">
        <v>98</v>
      </c>
      <c r="N2848" s="13" t="s">
        <v>230</v>
      </c>
      <c r="O2848" s="13" t="s">
        <v>320</v>
      </c>
      <c r="P2848" s="13" t="s">
        <v>60</v>
      </c>
      <c r="Q2848" s="13" t="s">
        <v>73</v>
      </c>
      <c r="R2848" s="38" t="s">
        <v>270</v>
      </c>
      <c r="S2848" s="38" t="s">
        <v>6709</v>
      </c>
      <c r="T2848" s="38" t="s">
        <v>6713</v>
      </c>
      <c r="U2848" s="38"/>
      <c r="V2848" s="38"/>
      <c r="W2848" s="38"/>
      <c r="X2848" s="14"/>
      <c r="AM2848" s="1"/>
      <c r="AN2848" s="7" t="s">
        <v>70</v>
      </c>
      <c r="AO2848" s="21">
        <f t="shared" si="140"/>
        <v>0</v>
      </c>
      <c r="AP2848" s="7">
        <f t="shared" si="141"/>
        <v>6.68</v>
      </c>
      <c r="AQ2848" s="31" t="str">
        <f t="shared" si="142"/>
        <v>Complete - No Adjustment</v>
      </c>
    </row>
    <row r="2849" spans="1:43" x14ac:dyDescent="0.2">
      <c r="A2849" s="46">
        <v>2839</v>
      </c>
      <c r="B2849" s="38" t="s">
        <v>266</v>
      </c>
      <c r="C2849" s="38" t="s">
        <v>496</v>
      </c>
      <c r="D2849" s="38" t="s">
        <v>495</v>
      </c>
      <c r="E2849" s="38" t="s">
        <v>6707</v>
      </c>
      <c r="F2849" s="38" t="s">
        <v>6299</v>
      </c>
      <c r="G2849" s="38" t="s">
        <v>111</v>
      </c>
      <c r="H2849" s="44">
        <v>44167</v>
      </c>
      <c r="I2849" s="44">
        <v>44174</v>
      </c>
      <c r="J2849">
        <v>131.22999999999999</v>
      </c>
      <c r="K2849" s="22">
        <v>6.68</v>
      </c>
      <c r="L2849" s="22" t="s">
        <v>6708</v>
      </c>
      <c r="M2849" s="45" t="s">
        <v>98</v>
      </c>
      <c r="N2849" s="13" t="s">
        <v>230</v>
      </c>
      <c r="O2849" s="13" t="s">
        <v>320</v>
      </c>
      <c r="P2849" s="13" t="s">
        <v>60</v>
      </c>
      <c r="Q2849" s="13" t="s">
        <v>73</v>
      </c>
      <c r="R2849" s="38" t="s">
        <v>270</v>
      </c>
      <c r="S2849" s="38" t="s">
        <v>6709</v>
      </c>
      <c r="T2849" s="38" t="s">
        <v>6710</v>
      </c>
      <c r="U2849" s="38"/>
      <c r="V2849" s="38"/>
      <c r="W2849" s="38"/>
      <c r="X2849" s="14"/>
      <c r="AM2849" s="1"/>
      <c r="AN2849" s="7" t="s">
        <v>70</v>
      </c>
      <c r="AO2849" s="21">
        <f t="shared" si="140"/>
        <v>0</v>
      </c>
      <c r="AP2849" s="7">
        <f t="shared" si="141"/>
        <v>6.68</v>
      </c>
      <c r="AQ2849" s="31" t="str">
        <f t="shared" si="142"/>
        <v>Complete - No Adjustment</v>
      </c>
    </row>
    <row r="2850" spans="1:43" x14ac:dyDescent="0.2">
      <c r="A2850" s="46">
        <v>2840</v>
      </c>
      <c r="B2850" s="38" t="s">
        <v>266</v>
      </c>
      <c r="C2850" s="38" t="s">
        <v>496</v>
      </c>
      <c r="D2850" s="38" t="s">
        <v>495</v>
      </c>
      <c r="E2850" s="38" t="s">
        <v>6707</v>
      </c>
      <c r="F2850" s="38" t="s">
        <v>6299</v>
      </c>
      <c r="G2850" s="38" t="s">
        <v>111</v>
      </c>
      <c r="H2850" s="44">
        <v>44167</v>
      </c>
      <c r="I2850" s="44">
        <v>44174</v>
      </c>
      <c r="J2850">
        <v>131.22999999999999</v>
      </c>
      <c r="K2850" s="22">
        <v>6.66</v>
      </c>
      <c r="L2850" s="22" t="s">
        <v>6708</v>
      </c>
      <c r="M2850" s="45" t="s">
        <v>98</v>
      </c>
      <c r="N2850" s="13" t="s">
        <v>230</v>
      </c>
      <c r="O2850" s="13" t="s">
        <v>444</v>
      </c>
      <c r="P2850" s="13" t="s">
        <v>60</v>
      </c>
      <c r="Q2850" s="13" t="s">
        <v>73</v>
      </c>
      <c r="R2850" s="38" t="s">
        <v>270</v>
      </c>
      <c r="S2850" s="38" t="s">
        <v>6709</v>
      </c>
      <c r="T2850" s="38" t="s">
        <v>6710</v>
      </c>
      <c r="U2850" s="38"/>
      <c r="V2850" s="38"/>
      <c r="W2850" s="38"/>
      <c r="X2850" s="14"/>
      <c r="AM2850" s="1"/>
      <c r="AN2850" s="7" t="s">
        <v>70</v>
      </c>
      <c r="AO2850" s="21">
        <f t="shared" si="140"/>
        <v>0</v>
      </c>
      <c r="AP2850" s="7">
        <f t="shared" si="141"/>
        <v>6.66</v>
      </c>
      <c r="AQ2850" s="31" t="str">
        <f t="shared" si="142"/>
        <v>Complete - No Adjustment</v>
      </c>
    </row>
    <row r="2851" spans="1:43" x14ac:dyDescent="0.2">
      <c r="A2851" s="46">
        <v>2841</v>
      </c>
      <c r="B2851" s="38" t="s">
        <v>266</v>
      </c>
      <c r="C2851" s="38" t="s">
        <v>577</v>
      </c>
      <c r="D2851" s="38" t="s">
        <v>576</v>
      </c>
      <c r="E2851" s="38" t="s">
        <v>6716</v>
      </c>
      <c r="F2851" s="38" t="s">
        <v>6284</v>
      </c>
      <c r="G2851" s="38" t="s">
        <v>111</v>
      </c>
      <c r="H2851" s="44">
        <v>44181</v>
      </c>
      <c r="I2851" s="44">
        <v>44183</v>
      </c>
      <c r="J2851">
        <v>374.39</v>
      </c>
      <c r="K2851" s="22">
        <v>61.55</v>
      </c>
      <c r="L2851" s="22" t="s">
        <v>6717</v>
      </c>
      <c r="M2851" s="45" t="s">
        <v>98</v>
      </c>
      <c r="N2851" s="13" t="s">
        <v>230</v>
      </c>
      <c r="O2851" s="13" t="s">
        <v>78</v>
      </c>
      <c r="P2851" s="13" t="s">
        <v>60</v>
      </c>
      <c r="Q2851" s="13" t="s">
        <v>62</v>
      </c>
      <c r="R2851" s="38" t="s">
        <v>270</v>
      </c>
      <c r="S2851" s="38" t="s">
        <v>6718</v>
      </c>
      <c r="T2851" s="38" t="s">
        <v>6719</v>
      </c>
      <c r="U2851" s="38"/>
      <c r="V2851" s="38"/>
      <c r="W2851" s="38"/>
      <c r="X2851" s="14"/>
      <c r="AM2851" s="1"/>
      <c r="AN2851" s="7" t="s">
        <v>70</v>
      </c>
      <c r="AO2851" s="21">
        <f t="shared" si="140"/>
        <v>0</v>
      </c>
      <c r="AP2851" s="7">
        <f t="shared" si="141"/>
        <v>61.55</v>
      </c>
      <c r="AQ2851" s="31" t="str">
        <f t="shared" si="142"/>
        <v>Complete - No Adjustment</v>
      </c>
    </row>
    <row r="2852" spans="1:43" x14ac:dyDescent="0.2">
      <c r="A2852" s="46">
        <v>2842</v>
      </c>
      <c r="B2852" s="38" t="s">
        <v>266</v>
      </c>
      <c r="C2852" s="38" t="s">
        <v>577</v>
      </c>
      <c r="D2852" s="38" t="s">
        <v>576</v>
      </c>
      <c r="E2852" s="38" t="s">
        <v>6716</v>
      </c>
      <c r="F2852" s="38" t="s">
        <v>6284</v>
      </c>
      <c r="G2852" s="38" t="s">
        <v>111</v>
      </c>
      <c r="H2852" s="44">
        <v>44181</v>
      </c>
      <c r="I2852" s="44">
        <v>44183</v>
      </c>
      <c r="J2852">
        <v>374.39</v>
      </c>
      <c r="K2852" s="22">
        <v>292.37</v>
      </c>
      <c r="L2852" s="22" t="s">
        <v>6717</v>
      </c>
      <c r="M2852" s="45" t="s">
        <v>98</v>
      </c>
      <c r="N2852" s="13" t="s">
        <v>230</v>
      </c>
      <c r="O2852" s="13" t="s">
        <v>78</v>
      </c>
      <c r="P2852" s="13" t="s">
        <v>60</v>
      </c>
      <c r="Q2852" s="13" t="s">
        <v>62</v>
      </c>
      <c r="R2852" s="38" t="s">
        <v>270</v>
      </c>
      <c r="S2852" s="38" t="s">
        <v>6718</v>
      </c>
      <c r="T2852" s="38" t="s">
        <v>6719</v>
      </c>
      <c r="U2852" s="38"/>
      <c r="V2852" s="38"/>
      <c r="W2852" s="38"/>
      <c r="X2852" s="14"/>
      <c r="AM2852" s="1"/>
      <c r="AN2852" s="7" t="s">
        <v>70</v>
      </c>
      <c r="AO2852" s="21">
        <f t="shared" si="140"/>
        <v>0</v>
      </c>
      <c r="AP2852" s="7">
        <f t="shared" si="141"/>
        <v>292.37</v>
      </c>
      <c r="AQ2852" s="31" t="str">
        <f t="shared" si="142"/>
        <v>Complete - No Adjustment</v>
      </c>
    </row>
    <row r="2853" spans="1:43" x14ac:dyDescent="0.2">
      <c r="A2853" s="46">
        <v>2843</v>
      </c>
      <c r="B2853" s="38" t="s">
        <v>266</v>
      </c>
      <c r="C2853" s="38" t="s">
        <v>577</v>
      </c>
      <c r="D2853" s="38" t="s">
        <v>576</v>
      </c>
      <c r="E2853" s="38" t="s">
        <v>6716</v>
      </c>
      <c r="F2853" s="38" t="s">
        <v>6284</v>
      </c>
      <c r="G2853" s="38" t="s">
        <v>111</v>
      </c>
      <c r="H2853" s="44">
        <v>44181</v>
      </c>
      <c r="I2853" s="44">
        <v>44183</v>
      </c>
      <c r="J2853">
        <v>374.39</v>
      </c>
      <c r="K2853" s="22">
        <v>20.47</v>
      </c>
      <c r="L2853" s="22" t="s">
        <v>6717</v>
      </c>
      <c r="M2853" s="45" t="s">
        <v>98</v>
      </c>
      <c r="N2853" s="13" t="s">
        <v>230</v>
      </c>
      <c r="O2853" s="13" t="s">
        <v>78</v>
      </c>
      <c r="P2853" s="13" t="s">
        <v>60</v>
      </c>
      <c r="Q2853" s="13" t="s">
        <v>62</v>
      </c>
      <c r="R2853" s="38" t="s">
        <v>270</v>
      </c>
      <c r="S2853" s="38" t="s">
        <v>6718</v>
      </c>
      <c r="T2853" s="38" t="s">
        <v>6720</v>
      </c>
      <c r="U2853" s="38"/>
      <c r="V2853" s="38"/>
      <c r="W2853" s="38"/>
      <c r="X2853" s="14"/>
      <c r="AM2853" s="1"/>
      <c r="AN2853" s="7" t="s">
        <v>70</v>
      </c>
      <c r="AO2853" s="21">
        <f t="shared" si="140"/>
        <v>0</v>
      </c>
      <c r="AP2853" s="7">
        <f t="shared" si="141"/>
        <v>20.47</v>
      </c>
      <c r="AQ2853" s="31" t="str">
        <f t="shared" si="142"/>
        <v>Complete - No Adjustment</v>
      </c>
    </row>
    <row r="2854" spans="1:43" x14ac:dyDescent="0.2">
      <c r="A2854" s="46">
        <v>2844</v>
      </c>
      <c r="B2854" s="38" t="s">
        <v>266</v>
      </c>
      <c r="C2854" s="38" t="s">
        <v>504</v>
      </c>
      <c r="D2854" s="38" t="s">
        <v>805</v>
      </c>
      <c r="E2854" s="38" t="s">
        <v>6721</v>
      </c>
      <c r="F2854" s="38" t="s">
        <v>6314</v>
      </c>
      <c r="G2854" s="38" t="s">
        <v>111</v>
      </c>
      <c r="H2854" s="44">
        <v>44158</v>
      </c>
      <c r="I2854" s="44">
        <v>44167</v>
      </c>
      <c r="J2854">
        <v>411.42</v>
      </c>
      <c r="K2854" s="22">
        <v>95.14</v>
      </c>
      <c r="L2854" s="22" t="s">
        <v>6722</v>
      </c>
      <c r="M2854" s="45" t="s">
        <v>98</v>
      </c>
      <c r="N2854" s="13" t="s">
        <v>230</v>
      </c>
      <c r="O2854" s="13" t="s">
        <v>465</v>
      </c>
      <c r="P2854" s="13" t="s">
        <v>60</v>
      </c>
      <c r="Q2854" s="13" t="s">
        <v>46</v>
      </c>
      <c r="R2854" s="38" t="s">
        <v>270</v>
      </c>
      <c r="S2854" s="38" t="s">
        <v>6723</v>
      </c>
      <c r="T2854" s="38" t="s">
        <v>6724</v>
      </c>
      <c r="U2854" s="38"/>
      <c r="V2854" s="38"/>
      <c r="W2854" s="38"/>
      <c r="X2854" s="14"/>
      <c r="AI2854" s="53">
        <v>95.14</v>
      </c>
      <c r="AM2854" s="1"/>
      <c r="AN2854" s="7" t="s">
        <v>145</v>
      </c>
      <c r="AO2854" s="21">
        <f t="shared" si="140"/>
        <v>95.14</v>
      </c>
      <c r="AP2854" s="7">
        <f t="shared" si="141"/>
        <v>0</v>
      </c>
      <c r="AQ2854" s="31" t="str">
        <f t="shared" si="142"/>
        <v>Complete - With Adjustment</v>
      </c>
    </row>
    <row r="2855" spans="1:43" x14ac:dyDescent="0.2">
      <c r="A2855" s="46">
        <v>2845</v>
      </c>
      <c r="B2855" s="38" t="s">
        <v>266</v>
      </c>
      <c r="C2855" s="38" t="s">
        <v>504</v>
      </c>
      <c r="D2855" s="38" t="s">
        <v>805</v>
      </c>
      <c r="E2855" s="38" t="s">
        <v>6721</v>
      </c>
      <c r="F2855" s="38" t="s">
        <v>6314</v>
      </c>
      <c r="G2855" s="38" t="s">
        <v>111</v>
      </c>
      <c r="H2855" s="44">
        <v>44158</v>
      </c>
      <c r="I2855" s="44">
        <v>44167</v>
      </c>
      <c r="J2855">
        <v>411.42</v>
      </c>
      <c r="K2855" s="22">
        <v>21.28</v>
      </c>
      <c r="L2855" s="22" t="s">
        <v>6722</v>
      </c>
      <c r="M2855" s="45" t="s">
        <v>98</v>
      </c>
      <c r="N2855" s="13" t="s">
        <v>230</v>
      </c>
      <c r="O2855" s="13" t="s">
        <v>484</v>
      </c>
      <c r="P2855" s="13" t="s">
        <v>60</v>
      </c>
      <c r="Q2855" s="13" t="s">
        <v>46</v>
      </c>
      <c r="R2855" s="38" t="s">
        <v>270</v>
      </c>
      <c r="S2855" s="38" t="s">
        <v>6723</v>
      </c>
      <c r="T2855" s="38" t="s">
        <v>6725</v>
      </c>
      <c r="U2855" s="38"/>
      <c r="V2855" s="38"/>
      <c r="W2855" s="38"/>
      <c r="X2855" s="14"/>
      <c r="AI2855" s="53">
        <v>21.28</v>
      </c>
      <c r="AM2855" s="1"/>
      <c r="AN2855" s="7" t="s">
        <v>145</v>
      </c>
      <c r="AO2855" s="21">
        <f t="shared" si="140"/>
        <v>21.28</v>
      </c>
      <c r="AP2855" s="7">
        <f t="shared" si="141"/>
        <v>0</v>
      </c>
      <c r="AQ2855" s="31" t="str">
        <f t="shared" si="142"/>
        <v>Complete - With Adjustment</v>
      </c>
    </row>
    <row r="2856" spans="1:43" x14ac:dyDescent="0.2">
      <c r="A2856" s="46">
        <v>2846</v>
      </c>
      <c r="B2856" s="38" t="s">
        <v>266</v>
      </c>
      <c r="C2856" s="38" t="s">
        <v>504</v>
      </c>
      <c r="D2856" s="38" t="s">
        <v>805</v>
      </c>
      <c r="E2856" s="38" t="s">
        <v>6721</v>
      </c>
      <c r="F2856" s="38" t="s">
        <v>6314</v>
      </c>
      <c r="G2856" s="38" t="s">
        <v>111</v>
      </c>
      <c r="H2856" s="44">
        <v>44158</v>
      </c>
      <c r="I2856" s="44">
        <v>44167</v>
      </c>
      <c r="J2856">
        <v>411.42</v>
      </c>
      <c r="K2856" s="22">
        <v>18.2</v>
      </c>
      <c r="L2856" s="22" t="s">
        <v>6722</v>
      </c>
      <c r="M2856" s="45" t="s">
        <v>98</v>
      </c>
      <c r="N2856" s="13" t="s">
        <v>230</v>
      </c>
      <c r="O2856" s="13" t="s">
        <v>484</v>
      </c>
      <c r="P2856" s="13" t="s">
        <v>60</v>
      </c>
      <c r="Q2856" s="13" t="s">
        <v>46</v>
      </c>
      <c r="R2856" s="38" t="s">
        <v>270</v>
      </c>
      <c r="S2856" s="38" t="s">
        <v>6723</v>
      </c>
      <c r="T2856" s="38" t="s">
        <v>6725</v>
      </c>
      <c r="U2856" s="38"/>
      <c r="V2856" s="38"/>
      <c r="W2856" s="38"/>
      <c r="X2856" s="14"/>
      <c r="AI2856" s="53">
        <v>18.2</v>
      </c>
      <c r="AM2856" s="1"/>
      <c r="AN2856" s="7" t="s">
        <v>145</v>
      </c>
      <c r="AO2856" s="21">
        <f t="shared" si="140"/>
        <v>18.2</v>
      </c>
      <c r="AP2856" s="7">
        <f t="shared" si="141"/>
        <v>0</v>
      </c>
      <c r="AQ2856" s="31" t="str">
        <f t="shared" si="142"/>
        <v>Complete - With Adjustment</v>
      </c>
    </row>
    <row r="2857" spans="1:43" x14ac:dyDescent="0.2">
      <c r="A2857" s="46">
        <v>2847</v>
      </c>
      <c r="B2857" s="38" t="s">
        <v>266</v>
      </c>
      <c r="C2857" s="38" t="s">
        <v>504</v>
      </c>
      <c r="D2857" s="38" t="s">
        <v>805</v>
      </c>
      <c r="E2857" s="38" t="s">
        <v>6721</v>
      </c>
      <c r="F2857" s="38" t="s">
        <v>6314</v>
      </c>
      <c r="G2857" s="38" t="s">
        <v>111</v>
      </c>
      <c r="H2857" s="44">
        <v>44158</v>
      </c>
      <c r="I2857" s="44">
        <v>44167</v>
      </c>
      <c r="J2857">
        <v>411.42</v>
      </c>
      <c r="K2857" s="22">
        <v>16.72</v>
      </c>
      <c r="L2857" s="22" t="s">
        <v>6722</v>
      </c>
      <c r="M2857" s="45" t="s">
        <v>98</v>
      </c>
      <c r="N2857" s="13" t="s">
        <v>230</v>
      </c>
      <c r="O2857" s="13" t="s">
        <v>484</v>
      </c>
      <c r="P2857" s="13" t="s">
        <v>60</v>
      </c>
      <c r="Q2857" s="13" t="s">
        <v>46</v>
      </c>
      <c r="R2857" s="38" t="s">
        <v>270</v>
      </c>
      <c r="S2857" s="38" t="s">
        <v>6723</v>
      </c>
      <c r="T2857" s="38" t="s">
        <v>6725</v>
      </c>
      <c r="U2857" s="38"/>
      <c r="V2857" s="38"/>
      <c r="W2857" s="38"/>
      <c r="X2857" s="14"/>
      <c r="AI2857" s="53">
        <v>16.72</v>
      </c>
      <c r="AM2857" s="1"/>
      <c r="AN2857" s="7" t="s">
        <v>145</v>
      </c>
      <c r="AO2857" s="21">
        <f t="shared" si="140"/>
        <v>16.72</v>
      </c>
      <c r="AP2857" s="7">
        <f t="shared" si="141"/>
        <v>0</v>
      </c>
      <c r="AQ2857" s="31" t="str">
        <f t="shared" si="142"/>
        <v>Complete - With Adjustment</v>
      </c>
    </row>
    <row r="2858" spans="1:43" x14ac:dyDescent="0.2">
      <c r="A2858" s="46">
        <v>2848</v>
      </c>
      <c r="B2858" s="38" t="s">
        <v>266</v>
      </c>
      <c r="C2858" s="38" t="s">
        <v>504</v>
      </c>
      <c r="D2858" s="38" t="s">
        <v>805</v>
      </c>
      <c r="E2858" s="38" t="s">
        <v>6721</v>
      </c>
      <c r="F2858" s="38" t="s">
        <v>6314</v>
      </c>
      <c r="G2858" s="38" t="s">
        <v>111</v>
      </c>
      <c r="H2858" s="44">
        <v>44158</v>
      </c>
      <c r="I2858" s="44">
        <v>44167</v>
      </c>
      <c r="J2858">
        <v>411.42</v>
      </c>
      <c r="K2858" s="22">
        <v>57.15</v>
      </c>
      <c r="L2858" s="22" t="s">
        <v>6722</v>
      </c>
      <c r="M2858" s="45" t="s">
        <v>98</v>
      </c>
      <c r="N2858" s="13" t="s">
        <v>230</v>
      </c>
      <c r="O2858" s="13" t="s">
        <v>386</v>
      </c>
      <c r="P2858" s="13" t="s">
        <v>406</v>
      </c>
      <c r="Q2858" s="13" t="s">
        <v>57</v>
      </c>
      <c r="R2858" s="38" t="s">
        <v>270</v>
      </c>
      <c r="S2858" s="38" t="s">
        <v>6723</v>
      </c>
      <c r="T2858" s="38" t="s">
        <v>6726</v>
      </c>
      <c r="U2858" s="38" t="s">
        <v>986</v>
      </c>
      <c r="V2858" s="38" t="s">
        <v>406</v>
      </c>
      <c r="W2858" s="38" t="s">
        <v>58</v>
      </c>
      <c r="X2858" s="14"/>
      <c r="AM2858" s="1"/>
      <c r="AN2858" s="7" t="s">
        <v>70</v>
      </c>
      <c r="AO2858" s="21">
        <f t="shared" si="140"/>
        <v>0</v>
      </c>
      <c r="AP2858" s="7">
        <f t="shared" si="141"/>
        <v>57.15</v>
      </c>
      <c r="AQ2858" s="31" t="str">
        <f t="shared" si="142"/>
        <v>Complete - No Adjustment</v>
      </c>
    </row>
    <row r="2859" spans="1:43" x14ac:dyDescent="0.2">
      <c r="A2859" s="46">
        <v>2849</v>
      </c>
      <c r="B2859" s="38" t="s">
        <v>266</v>
      </c>
      <c r="C2859" s="38" t="s">
        <v>504</v>
      </c>
      <c r="D2859" s="38" t="s">
        <v>805</v>
      </c>
      <c r="E2859" s="38" t="s">
        <v>6721</v>
      </c>
      <c r="F2859" s="38" t="s">
        <v>6314</v>
      </c>
      <c r="G2859" s="38" t="s">
        <v>111</v>
      </c>
      <c r="H2859" s="44">
        <v>44158</v>
      </c>
      <c r="I2859" s="44">
        <v>44167</v>
      </c>
      <c r="J2859">
        <v>411.42</v>
      </c>
      <c r="K2859" s="22">
        <v>20.27</v>
      </c>
      <c r="L2859" s="22" t="s">
        <v>6722</v>
      </c>
      <c r="M2859" s="45" t="s">
        <v>98</v>
      </c>
      <c r="N2859" s="13" t="s">
        <v>230</v>
      </c>
      <c r="O2859" s="13" t="s">
        <v>484</v>
      </c>
      <c r="P2859" s="13" t="s">
        <v>60</v>
      </c>
      <c r="Q2859" s="13" t="s">
        <v>46</v>
      </c>
      <c r="R2859" s="38" t="s">
        <v>270</v>
      </c>
      <c r="S2859" s="38" t="s">
        <v>6723</v>
      </c>
      <c r="T2859" s="38" t="s">
        <v>6725</v>
      </c>
      <c r="U2859" s="38"/>
      <c r="V2859" s="38"/>
      <c r="W2859" s="38"/>
      <c r="X2859" s="14"/>
      <c r="AI2859" s="53">
        <v>20.27</v>
      </c>
      <c r="AM2859" s="1"/>
      <c r="AN2859" s="7" t="s">
        <v>145</v>
      </c>
      <c r="AO2859" s="21">
        <f t="shared" si="140"/>
        <v>20.27</v>
      </c>
      <c r="AP2859" s="7">
        <f t="shared" si="141"/>
        <v>0</v>
      </c>
      <c r="AQ2859" s="31" t="str">
        <f t="shared" si="142"/>
        <v>Complete - With Adjustment</v>
      </c>
    </row>
    <row r="2860" spans="1:43" x14ac:dyDescent="0.2">
      <c r="A2860" s="46">
        <v>2850</v>
      </c>
      <c r="B2860" s="38" t="s">
        <v>266</v>
      </c>
      <c r="C2860" s="38" t="s">
        <v>504</v>
      </c>
      <c r="D2860" s="38" t="s">
        <v>805</v>
      </c>
      <c r="E2860" s="38" t="s">
        <v>6721</v>
      </c>
      <c r="F2860" s="38" t="s">
        <v>6314</v>
      </c>
      <c r="G2860" s="38" t="s">
        <v>111</v>
      </c>
      <c r="H2860" s="44">
        <v>44158</v>
      </c>
      <c r="I2860" s="44">
        <v>44167</v>
      </c>
      <c r="J2860">
        <v>411.42</v>
      </c>
      <c r="K2860" s="22">
        <v>29.19</v>
      </c>
      <c r="L2860" s="22" t="s">
        <v>6722</v>
      </c>
      <c r="M2860" s="45" t="s">
        <v>98</v>
      </c>
      <c r="N2860" s="13" t="s">
        <v>230</v>
      </c>
      <c r="O2860" s="13" t="s">
        <v>484</v>
      </c>
      <c r="P2860" s="13" t="s">
        <v>60</v>
      </c>
      <c r="Q2860" s="13" t="s">
        <v>46</v>
      </c>
      <c r="R2860" s="38" t="s">
        <v>270</v>
      </c>
      <c r="S2860" s="38" t="s">
        <v>6723</v>
      </c>
      <c r="T2860" s="38" t="s">
        <v>6725</v>
      </c>
      <c r="U2860" s="38"/>
      <c r="V2860" s="38"/>
      <c r="W2860" s="38"/>
      <c r="X2860" s="14"/>
      <c r="AI2860" s="53">
        <v>29.19</v>
      </c>
      <c r="AM2860" s="1"/>
      <c r="AN2860" s="7" t="s">
        <v>145</v>
      </c>
      <c r="AO2860" s="21">
        <f t="shared" si="140"/>
        <v>29.19</v>
      </c>
      <c r="AP2860" s="7">
        <f t="shared" si="141"/>
        <v>0</v>
      </c>
      <c r="AQ2860" s="31" t="str">
        <f t="shared" si="142"/>
        <v>Complete - With Adjustment</v>
      </c>
    </row>
    <row r="2861" spans="1:43" x14ac:dyDescent="0.2">
      <c r="A2861" s="46">
        <v>2851</v>
      </c>
      <c r="B2861" s="38" t="s">
        <v>266</v>
      </c>
      <c r="C2861" s="38" t="s">
        <v>504</v>
      </c>
      <c r="D2861" s="38" t="s">
        <v>805</v>
      </c>
      <c r="E2861" s="38" t="s">
        <v>6721</v>
      </c>
      <c r="F2861" s="38" t="s">
        <v>6314</v>
      </c>
      <c r="G2861" s="38" t="s">
        <v>111</v>
      </c>
      <c r="H2861" s="44">
        <v>44158</v>
      </c>
      <c r="I2861" s="44">
        <v>44167</v>
      </c>
      <c r="J2861">
        <v>411.42</v>
      </c>
      <c r="K2861" s="22">
        <v>18.55</v>
      </c>
      <c r="L2861" s="22" t="s">
        <v>6722</v>
      </c>
      <c r="M2861" s="45" t="s">
        <v>98</v>
      </c>
      <c r="N2861" s="13" t="s">
        <v>230</v>
      </c>
      <c r="O2861" s="13" t="s">
        <v>484</v>
      </c>
      <c r="P2861" s="13" t="s">
        <v>60</v>
      </c>
      <c r="Q2861" s="13" t="s">
        <v>46</v>
      </c>
      <c r="R2861" s="38" t="s">
        <v>270</v>
      </c>
      <c r="S2861" s="38" t="s">
        <v>6723</v>
      </c>
      <c r="T2861" s="38" t="s">
        <v>6725</v>
      </c>
      <c r="U2861" s="38"/>
      <c r="V2861" s="38"/>
      <c r="W2861" s="38"/>
      <c r="X2861" s="14"/>
      <c r="AI2861" s="53">
        <v>18.55</v>
      </c>
      <c r="AM2861" s="1"/>
      <c r="AN2861" s="7" t="s">
        <v>145</v>
      </c>
      <c r="AO2861" s="21">
        <f t="shared" si="140"/>
        <v>18.55</v>
      </c>
      <c r="AP2861" s="7">
        <f t="shared" si="141"/>
        <v>0</v>
      </c>
      <c r="AQ2861" s="31" t="str">
        <f t="shared" si="142"/>
        <v>Complete - With Adjustment</v>
      </c>
    </row>
    <row r="2862" spans="1:43" x14ac:dyDescent="0.2">
      <c r="A2862" s="46">
        <v>2852</v>
      </c>
      <c r="B2862" s="38" t="s">
        <v>266</v>
      </c>
      <c r="C2862" s="38" t="s">
        <v>504</v>
      </c>
      <c r="D2862" s="38" t="s">
        <v>805</v>
      </c>
      <c r="E2862" s="38" t="s">
        <v>6721</v>
      </c>
      <c r="F2862" s="38" t="s">
        <v>6314</v>
      </c>
      <c r="G2862" s="38" t="s">
        <v>111</v>
      </c>
      <c r="H2862" s="44">
        <v>44158</v>
      </c>
      <c r="I2862" s="44">
        <v>44167</v>
      </c>
      <c r="J2862">
        <v>411.42</v>
      </c>
      <c r="K2862" s="22">
        <v>25.21</v>
      </c>
      <c r="L2862" s="22" t="s">
        <v>6722</v>
      </c>
      <c r="M2862" s="45" t="s">
        <v>98</v>
      </c>
      <c r="N2862" s="13" t="s">
        <v>230</v>
      </c>
      <c r="O2862" s="13" t="s">
        <v>484</v>
      </c>
      <c r="P2862" s="13" t="s">
        <v>60</v>
      </c>
      <c r="Q2862" s="13" t="s">
        <v>46</v>
      </c>
      <c r="R2862" s="38" t="s">
        <v>270</v>
      </c>
      <c r="S2862" s="38" t="s">
        <v>6723</v>
      </c>
      <c r="T2862" s="38" t="s">
        <v>6725</v>
      </c>
      <c r="U2862" s="38"/>
      <c r="V2862" s="38"/>
      <c r="W2862" s="38"/>
      <c r="X2862" s="14"/>
      <c r="AI2862" s="53">
        <v>25.2</v>
      </c>
      <c r="AM2862" s="1"/>
      <c r="AN2862" s="7" t="s">
        <v>145</v>
      </c>
      <c r="AO2862" s="21">
        <f t="shared" si="140"/>
        <v>25.2</v>
      </c>
      <c r="AP2862" s="7">
        <f t="shared" si="141"/>
        <v>1.0000000000001563E-2</v>
      </c>
      <c r="AQ2862" s="31" t="str">
        <f t="shared" si="142"/>
        <v>Complete - With Adjustment</v>
      </c>
    </row>
    <row r="2863" spans="1:43" x14ac:dyDescent="0.2">
      <c r="A2863" s="46">
        <v>2853</v>
      </c>
      <c r="B2863" s="38" t="s">
        <v>266</v>
      </c>
      <c r="C2863" s="38" t="s">
        <v>504</v>
      </c>
      <c r="D2863" s="38" t="s">
        <v>805</v>
      </c>
      <c r="E2863" s="38" t="s">
        <v>6721</v>
      </c>
      <c r="F2863" s="38" t="s">
        <v>6314</v>
      </c>
      <c r="G2863" s="38" t="s">
        <v>111</v>
      </c>
      <c r="H2863" s="44">
        <v>44158</v>
      </c>
      <c r="I2863" s="44">
        <v>44167</v>
      </c>
      <c r="J2863">
        <v>411.42</v>
      </c>
      <c r="K2863" s="22">
        <v>19.079999999999998</v>
      </c>
      <c r="L2863" s="22" t="s">
        <v>6722</v>
      </c>
      <c r="M2863" s="45" t="s">
        <v>98</v>
      </c>
      <c r="N2863" s="13" t="s">
        <v>230</v>
      </c>
      <c r="O2863" s="13" t="s">
        <v>484</v>
      </c>
      <c r="P2863" s="13" t="s">
        <v>60</v>
      </c>
      <c r="Q2863" s="13" t="s">
        <v>46</v>
      </c>
      <c r="R2863" s="38" t="s">
        <v>270</v>
      </c>
      <c r="S2863" s="38" t="s">
        <v>6723</v>
      </c>
      <c r="T2863" s="38" t="s">
        <v>6725</v>
      </c>
      <c r="U2863" s="38"/>
      <c r="V2863" s="38"/>
      <c r="W2863" s="38"/>
      <c r="X2863" s="14"/>
      <c r="AI2863" s="53">
        <v>19.079999999999998</v>
      </c>
      <c r="AM2863" s="1"/>
      <c r="AN2863" s="7" t="s">
        <v>145</v>
      </c>
      <c r="AO2863" s="21">
        <f t="shared" si="140"/>
        <v>19.079999999999998</v>
      </c>
      <c r="AP2863" s="7">
        <f t="shared" si="141"/>
        <v>0</v>
      </c>
      <c r="AQ2863" s="31" t="str">
        <f t="shared" si="142"/>
        <v>Complete - With Adjustment</v>
      </c>
    </row>
    <row r="2864" spans="1:43" x14ac:dyDescent="0.2">
      <c r="A2864" s="46">
        <v>2854</v>
      </c>
      <c r="B2864" s="38" t="s">
        <v>266</v>
      </c>
      <c r="C2864" s="38" t="s">
        <v>504</v>
      </c>
      <c r="D2864" s="38" t="s">
        <v>805</v>
      </c>
      <c r="E2864" s="38" t="s">
        <v>6721</v>
      </c>
      <c r="F2864" s="38" t="s">
        <v>6314</v>
      </c>
      <c r="G2864" s="38" t="s">
        <v>111</v>
      </c>
      <c r="H2864" s="44">
        <v>44158</v>
      </c>
      <c r="I2864" s="44">
        <v>44167</v>
      </c>
      <c r="J2864">
        <v>411.42</v>
      </c>
      <c r="K2864" s="22">
        <v>27.45</v>
      </c>
      <c r="L2864" s="22" t="s">
        <v>6722</v>
      </c>
      <c r="M2864" s="45" t="s">
        <v>98</v>
      </c>
      <c r="N2864" s="13" t="s">
        <v>230</v>
      </c>
      <c r="O2864" s="13" t="s">
        <v>484</v>
      </c>
      <c r="P2864" s="13" t="s">
        <v>60</v>
      </c>
      <c r="Q2864" s="13" t="s">
        <v>46</v>
      </c>
      <c r="R2864" s="38" t="s">
        <v>270</v>
      </c>
      <c r="S2864" s="38" t="s">
        <v>6723</v>
      </c>
      <c r="T2864" s="38" t="s">
        <v>6725</v>
      </c>
      <c r="U2864" s="38"/>
      <c r="V2864" s="38"/>
      <c r="W2864" s="38"/>
      <c r="X2864" s="14"/>
      <c r="AI2864" s="53">
        <v>27.45</v>
      </c>
      <c r="AM2864" s="1"/>
      <c r="AN2864" s="7" t="s">
        <v>145</v>
      </c>
      <c r="AO2864" s="21">
        <f t="shared" si="140"/>
        <v>27.45</v>
      </c>
      <c r="AP2864" s="7">
        <f t="shared" si="141"/>
        <v>0</v>
      </c>
      <c r="AQ2864" s="31" t="str">
        <f t="shared" si="142"/>
        <v>Complete - With Adjustment</v>
      </c>
    </row>
    <row r="2865" spans="1:43" x14ac:dyDescent="0.2">
      <c r="A2865" s="46">
        <v>2855</v>
      </c>
      <c r="B2865" s="38" t="s">
        <v>266</v>
      </c>
      <c r="C2865" s="38" t="s">
        <v>504</v>
      </c>
      <c r="D2865" s="38" t="s">
        <v>805</v>
      </c>
      <c r="E2865" s="38" t="s">
        <v>6721</v>
      </c>
      <c r="F2865" s="38" t="s">
        <v>6314</v>
      </c>
      <c r="G2865" s="38" t="s">
        <v>111</v>
      </c>
      <c r="H2865" s="44">
        <v>44158</v>
      </c>
      <c r="I2865" s="44">
        <v>44167</v>
      </c>
      <c r="J2865">
        <v>411.42</v>
      </c>
      <c r="K2865" s="22">
        <v>18.66</v>
      </c>
      <c r="L2865" s="22" t="s">
        <v>6722</v>
      </c>
      <c r="M2865" s="45" t="s">
        <v>98</v>
      </c>
      <c r="N2865" s="13" t="s">
        <v>230</v>
      </c>
      <c r="O2865" s="13" t="s">
        <v>507</v>
      </c>
      <c r="P2865" s="13" t="s">
        <v>60</v>
      </c>
      <c r="Q2865" s="13" t="s">
        <v>46</v>
      </c>
      <c r="R2865" s="38" t="s">
        <v>270</v>
      </c>
      <c r="S2865" s="38" t="s">
        <v>6723</v>
      </c>
      <c r="T2865" s="38" t="s">
        <v>6727</v>
      </c>
      <c r="U2865" s="38"/>
      <c r="V2865" s="38"/>
      <c r="W2865" s="38"/>
      <c r="X2865" s="14"/>
      <c r="AI2865" s="53">
        <v>18.66</v>
      </c>
      <c r="AM2865" s="1"/>
      <c r="AN2865" s="7" t="s">
        <v>145</v>
      </c>
      <c r="AO2865" s="21">
        <f t="shared" si="140"/>
        <v>18.66</v>
      </c>
      <c r="AP2865" s="7">
        <f t="shared" si="141"/>
        <v>0</v>
      </c>
      <c r="AQ2865" s="31" t="str">
        <f t="shared" si="142"/>
        <v>Complete - With Adjustment</v>
      </c>
    </row>
    <row r="2866" spans="1:43" x14ac:dyDescent="0.2">
      <c r="A2866" s="46">
        <v>2856</v>
      </c>
      <c r="B2866" s="38" t="s">
        <v>266</v>
      </c>
      <c r="C2866" s="38" t="s">
        <v>504</v>
      </c>
      <c r="D2866" s="38" t="s">
        <v>805</v>
      </c>
      <c r="E2866" s="38" t="s">
        <v>6721</v>
      </c>
      <c r="F2866" s="38" t="s">
        <v>6314</v>
      </c>
      <c r="G2866" s="38" t="s">
        <v>111</v>
      </c>
      <c r="H2866" s="44">
        <v>44158</v>
      </c>
      <c r="I2866" s="44">
        <v>44167</v>
      </c>
      <c r="J2866">
        <v>411.42</v>
      </c>
      <c r="K2866" s="22">
        <v>22.69</v>
      </c>
      <c r="L2866" s="22" t="s">
        <v>6722</v>
      </c>
      <c r="M2866" s="45" t="s">
        <v>98</v>
      </c>
      <c r="N2866" s="13" t="s">
        <v>230</v>
      </c>
      <c r="O2866" s="13" t="s">
        <v>507</v>
      </c>
      <c r="P2866" s="13" t="s">
        <v>60</v>
      </c>
      <c r="Q2866" s="13" t="s">
        <v>46</v>
      </c>
      <c r="R2866" s="38" t="s">
        <v>270</v>
      </c>
      <c r="S2866" s="38" t="s">
        <v>6723</v>
      </c>
      <c r="T2866" s="38" t="s">
        <v>6727</v>
      </c>
      <c r="U2866" s="38"/>
      <c r="V2866" s="38"/>
      <c r="W2866" s="38"/>
      <c r="X2866" s="14"/>
      <c r="AM2866" s="1"/>
      <c r="AN2866" s="7" t="s">
        <v>70</v>
      </c>
      <c r="AO2866" s="21">
        <f t="shared" si="140"/>
        <v>0</v>
      </c>
      <c r="AP2866" s="7">
        <f t="shared" si="141"/>
        <v>22.69</v>
      </c>
      <c r="AQ2866" s="31" t="str">
        <f t="shared" si="142"/>
        <v>Complete - No Adjustment</v>
      </c>
    </row>
    <row r="2867" spans="1:43" x14ac:dyDescent="0.2">
      <c r="A2867" s="46">
        <v>2857</v>
      </c>
      <c r="B2867" s="38" t="s">
        <v>266</v>
      </c>
      <c r="C2867" s="38" t="s">
        <v>504</v>
      </c>
      <c r="D2867" s="38" t="s">
        <v>805</v>
      </c>
      <c r="E2867" s="38" t="s">
        <v>6721</v>
      </c>
      <c r="F2867" s="38" t="s">
        <v>6314</v>
      </c>
      <c r="G2867" s="38" t="s">
        <v>111</v>
      </c>
      <c r="H2867" s="44">
        <v>44158</v>
      </c>
      <c r="I2867" s="44">
        <v>44167</v>
      </c>
      <c r="J2867">
        <v>411.42</v>
      </c>
      <c r="K2867" s="22">
        <v>21.83</v>
      </c>
      <c r="L2867" s="22" t="s">
        <v>6722</v>
      </c>
      <c r="M2867" s="45" t="s">
        <v>98</v>
      </c>
      <c r="N2867" s="13" t="s">
        <v>230</v>
      </c>
      <c r="O2867" s="13" t="s">
        <v>484</v>
      </c>
      <c r="P2867" s="13" t="s">
        <v>60</v>
      </c>
      <c r="Q2867" s="13" t="s">
        <v>41</v>
      </c>
      <c r="R2867" s="38" t="s">
        <v>270</v>
      </c>
      <c r="S2867" s="38" t="s">
        <v>6723</v>
      </c>
      <c r="T2867" s="38" t="s">
        <v>6728</v>
      </c>
      <c r="U2867" s="38"/>
      <c r="V2867" s="38"/>
      <c r="W2867" s="38"/>
      <c r="X2867" s="14"/>
      <c r="AM2867" s="1"/>
      <c r="AN2867" s="7" t="s">
        <v>70</v>
      </c>
      <c r="AO2867" s="21">
        <f t="shared" si="140"/>
        <v>0</v>
      </c>
      <c r="AP2867" s="7">
        <f t="shared" si="141"/>
        <v>21.83</v>
      </c>
      <c r="AQ2867" s="31" t="str">
        <f t="shared" si="142"/>
        <v>Complete - No Adjustment</v>
      </c>
    </row>
    <row r="2868" spans="1:43" x14ac:dyDescent="0.2">
      <c r="A2868" s="46">
        <v>2858</v>
      </c>
      <c r="B2868" s="38" t="s">
        <v>266</v>
      </c>
      <c r="C2868" s="38" t="s">
        <v>504</v>
      </c>
      <c r="D2868" s="38" t="s">
        <v>805</v>
      </c>
      <c r="E2868" s="38" t="s">
        <v>6729</v>
      </c>
      <c r="F2868" s="38" t="s">
        <v>6359</v>
      </c>
      <c r="G2868" s="38" t="s">
        <v>111</v>
      </c>
      <c r="H2868" s="44">
        <v>44182</v>
      </c>
      <c r="I2868" s="44">
        <v>44186</v>
      </c>
      <c r="J2868">
        <v>503.75</v>
      </c>
      <c r="K2868" s="22">
        <v>330.6</v>
      </c>
      <c r="L2868" s="22" t="s">
        <v>6730</v>
      </c>
      <c r="M2868" s="45" t="s">
        <v>98</v>
      </c>
      <c r="N2868" s="13" t="s">
        <v>230</v>
      </c>
      <c r="O2868" s="13" t="s">
        <v>484</v>
      </c>
      <c r="P2868" s="13" t="s">
        <v>60</v>
      </c>
      <c r="Q2868" s="13" t="s">
        <v>46</v>
      </c>
      <c r="R2868" s="38" t="s">
        <v>270</v>
      </c>
      <c r="S2868" s="38" t="s">
        <v>6731</v>
      </c>
      <c r="T2868" s="38" t="s">
        <v>6732</v>
      </c>
      <c r="U2868" s="38"/>
      <c r="V2868" s="38"/>
      <c r="W2868" s="38"/>
      <c r="X2868" s="14"/>
      <c r="AM2868" s="1"/>
      <c r="AN2868" s="7" t="s">
        <v>70</v>
      </c>
      <c r="AO2868" s="21">
        <f t="shared" si="140"/>
        <v>0</v>
      </c>
      <c r="AP2868" s="7">
        <f t="shared" si="141"/>
        <v>330.6</v>
      </c>
      <c r="AQ2868" s="31" t="str">
        <f t="shared" si="142"/>
        <v>Complete - No Adjustment</v>
      </c>
    </row>
    <row r="2869" spans="1:43" x14ac:dyDescent="0.2">
      <c r="A2869" s="46">
        <v>2859</v>
      </c>
      <c r="B2869" s="38" t="s">
        <v>266</v>
      </c>
      <c r="C2869" s="38" t="s">
        <v>504</v>
      </c>
      <c r="D2869" s="38" t="s">
        <v>805</v>
      </c>
      <c r="E2869" s="38" t="s">
        <v>6729</v>
      </c>
      <c r="F2869" s="38" t="s">
        <v>6359</v>
      </c>
      <c r="G2869" s="38" t="s">
        <v>111</v>
      </c>
      <c r="H2869" s="44">
        <v>44182</v>
      </c>
      <c r="I2869" s="44">
        <v>44186</v>
      </c>
      <c r="J2869">
        <v>503.75</v>
      </c>
      <c r="K2869" s="22">
        <v>20.7</v>
      </c>
      <c r="L2869" s="22" t="s">
        <v>6730</v>
      </c>
      <c r="M2869" s="45" t="s">
        <v>98</v>
      </c>
      <c r="N2869" s="13" t="s">
        <v>230</v>
      </c>
      <c r="O2869" s="13" t="s">
        <v>505</v>
      </c>
      <c r="P2869" s="13" t="s">
        <v>60</v>
      </c>
      <c r="Q2869" s="13" t="s">
        <v>54</v>
      </c>
      <c r="R2869" s="38" t="s">
        <v>270</v>
      </c>
      <c r="S2869" s="38" t="s">
        <v>6731</v>
      </c>
      <c r="T2869" s="38" t="s">
        <v>6733</v>
      </c>
      <c r="U2869" s="38"/>
      <c r="V2869" s="38"/>
      <c r="W2869" s="38"/>
      <c r="X2869" s="14"/>
      <c r="AA2869" s="54">
        <v>20.7</v>
      </c>
      <c r="AM2869" s="1"/>
      <c r="AN2869" s="7" t="s">
        <v>15</v>
      </c>
      <c r="AO2869" s="21">
        <f t="shared" si="140"/>
        <v>20.7</v>
      </c>
      <c r="AP2869" s="7">
        <f t="shared" si="141"/>
        <v>0</v>
      </c>
      <c r="AQ2869" s="31" t="str">
        <f t="shared" si="142"/>
        <v>Complete - With Adjustment</v>
      </c>
    </row>
    <row r="2870" spans="1:43" x14ac:dyDescent="0.2">
      <c r="A2870" s="46">
        <v>2860</v>
      </c>
      <c r="B2870" s="38" t="s">
        <v>266</v>
      </c>
      <c r="C2870" s="38" t="s">
        <v>504</v>
      </c>
      <c r="D2870" s="38" t="s">
        <v>805</v>
      </c>
      <c r="E2870" s="38" t="s">
        <v>6729</v>
      </c>
      <c r="F2870" s="38" t="s">
        <v>6359</v>
      </c>
      <c r="G2870" s="38" t="s">
        <v>111</v>
      </c>
      <c r="H2870" s="44">
        <v>44182</v>
      </c>
      <c r="I2870" s="44">
        <v>44186</v>
      </c>
      <c r="J2870">
        <v>503.75</v>
      </c>
      <c r="K2870" s="22">
        <v>21.68</v>
      </c>
      <c r="L2870" s="22" t="s">
        <v>6730</v>
      </c>
      <c r="M2870" s="45" t="s">
        <v>98</v>
      </c>
      <c r="N2870" s="13" t="s">
        <v>230</v>
      </c>
      <c r="O2870" s="13" t="s">
        <v>505</v>
      </c>
      <c r="P2870" s="13" t="s">
        <v>60</v>
      </c>
      <c r="Q2870" s="13" t="s">
        <v>54</v>
      </c>
      <c r="R2870" s="38" t="s">
        <v>270</v>
      </c>
      <c r="S2870" s="38" t="s">
        <v>6731</v>
      </c>
      <c r="T2870" s="38" t="s">
        <v>6733</v>
      </c>
      <c r="U2870" s="38"/>
      <c r="V2870" s="38"/>
      <c r="W2870" s="38"/>
      <c r="X2870" s="14"/>
      <c r="AA2870" s="54">
        <v>21.68</v>
      </c>
      <c r="AM2870" s="1"/>
      <c r="AN2870" s="7" t="s">
        <v>15</v>
      </c>
      <c r="AO2870" s="21">
        <f t="shared" si="140"/>
        <v>21.68</v>
      </c>
      <c r="AP2870" s="7">
        <f t="shared" si="141"/>
        <v>0</v>
      </c>
      <c r="AQ2870" s="31" t="str">
        <f t="shared" si="142"/>
        <v>Complete - With Adjustment</v>
      </c>
    </row>
    <row r="2871" spans="1:43" x14ac:dyDescent="0.2">
      <c r="A2871" s="46">
        <v>2861</v>
      </c>
      <c r="B2871" s="38" t="s">
        <v>266</v>
      </c>
      <c r="C2871" s="38" t="s">
        <v>504</v>
      </c>
      <c r="D2871" s="38" t="s">
        <v>805</v>
      </c>
      <c r="E2871" s="38" t="s">
        <v>6729</v>
      </c>
      <c r="F2871" s="38" t="s">
        <v>6359</v>
      </c>
      <c r="G2871" s="38" t="s">
        <v>111</v>
      </c>
      <c r="H2871" s="44">
        <v>44182</v>
      </c>
      <c r="I2871" s="44">
        <v>44186</v>
      </c>
      <c r="J2871">
        <v>503.75</v>
      </c>
      <c r="K2871" s="22">
        <v>17.690000000000001</v>
      </c>
      <c r="L2871" s="22" t="s">
        <v>6730</v>
      </c>
      <c r="M2871" s="45" t="s">
        <v>98</v>
      </c>
      <c r="N2871" s="13" t="s">
        <v>230</v>
      </c>
      <c r="O2871" s="13" t="s">
        <v>505</v>
      </c>
      <c r="P2871" s="13" t="s">
        <v>60</v>
      </c>
      <c r="Q2871" s="13" t="s">
        <v>54</v>
      </c>
      <c r="R2871" s="38" t="s">
        <v>270</v>
      </c>
      <c r="S2871" s="38" t="s">
        <v>6731</v>
      </c>
      <c r="T2871" s="38" t="s">
        <v>6734</v>
      </c>
      <c r="U2871" s="38"/>
      <c r="V2871" s="38"/>
      <c r="W2871" s="38"/>
      <c r="X2871" s="14"/>
      <c r="AA2871" s="54">
        <v>17.690000000000001</v>
      </c>
      <c r="AM2871" s="1"/>
      <c r="AN2871" s="7" t="s">
        <v>15</v>
      </c>
      <c r="AO2871" s="21">
        <f t="shared" si="140"/>
        <v>17.690000000000001</v>
      </c>
      <c r="AP2871" s="7">
        <f t="shared" si="141"/>
        <v>0</v>
      </c>
      <c r="AQ2871" s="31" t="str">
        <f t="shared" si="142"/>
        <v>Complete - With Adjustment</v>
      </c>
    </row>
    <row r="2872" spans="1:43" x14ac:dyDescent="0.2">
      <c r="A2872" s="46">
        <v>2862</v>
      </c>
      <c r="B2872" s="38" t="s">
        <v>266</v>
      </c>
      <c r="C2872" s="38" t="s">
        <v>504</v>
      </c>
      <c r="D2872" s="38" t="s">
        <v>805</v>
      </c>
      <c r="E2872" s="38" t="s">
        <v>6729</v>
      </c>
      <c r="F2872" s="38" t="s">
        <v>6359</v>
      </c>
      <c r="G2872" s="38" t="s">
        <v>111</v>
      </c>
      <c r="H2872" s="44">
        <v>44182</v>
      </c>
      <c r="I2872" s="44">
        <v>44186</v>
      </c>
      <c r="J2872">
        <v>503.75</v>
      </c>
      <c r="K2872" s="22">
        <v>23.24</v>
      </c>
      <c r="L2872" s="22" t="s">
        <v>6730</v>
      </c>
      <c r="M2872" s="45" t="s">
        <v>98</v>
      </c>
      <c r="N2872" s="13" t="s">
        <v>230</v>
      </c>
      <c r="O2872" s="13" t="s">
        <v>505</v>
      </c>
      <c r="P2872" s="13" t="s">
        <v>60</v>
      </c>
      <c r="Q2872" s="13" t="s">
        <v>54</v>
      </c>
      <c r="R2872" s="38" t="s">
        <v>270</v>
      </c>
      <c r="S2872" s="38" t="s">
        <v>6731</v>
      </c>
      <c r="T2872" s="38" t="s">
        <v>6733</v>
      </c>
      <c r="U2872" s="38"/>
      <c r="V2872" s="38"/>
      <c r="W2872" s="38"/>
      <c r="X2872" s="14"/>
      <c r="AA2872" s="54">
        <v>23.24</v>
      </c>
      <c r="AM2872" s="1"/>
      <c r="AN2872" s="7" t="s">
        <v>15</v>
      </c>
      <c r="AO2872" s="21">
        <f t="shared" si="140"/>
        <v>23.24</v>
      </c>
      <c r="AP2872" s="7">
        <f t="shared" si="141"/>
        <v>0</v>
      </c>
      <c r="AQ2872" s="31" t="str">
        <f t="shared" si="142"/>
        <v>Complete - With Adjustment</v>
      </c>
    </row>
    <row r="2873" spans="1:43" x14ac:dyDescent="0.2">
      <c r="A2873" s="46">
        <v>2863</v>
      </c>
      <c r="B2873" s="38" t="s">
        <v>266</v>
      </c>
      <c r="C2873" s="38" t="s">
        <v>504</v>
      </c>
      <c r="D2873" s="38" t="s">
        <v>805</v>
      </c>
      <c r="E2873" s="38" t="s">
        <v>6729</v>
      </c>
      <c r="F2873" s="38" t="s">
        <v>6359</v>
      </c>
      <c r="G2873" s="38" t="s">
        <v>111</v>
      </c>
      <c r="H2873" s="44">
        <v>44182</v>
      </c>
      <c r="I2873" s="44">
        <v>44186</v>
      </c>
      <c r="J2873">
        <v>503.75</v>
      </c>
      <c r="K2873" s="22">
        <v>27.88</v>
      </c>
      <c r="L2873" s="22" t="s">
        <v>6730</v>
      </c>
      <c r="M2873" s="45" t="s">
        <v>98</v>
      </c>
      <c r="N2873" s="13" t="s">
        <v>230</v>
      </c>
      <c r="O2873" s="13" t="s">
        <v>505</v>
      </c>
      <c r="P2873" s="13" t="s">
        <v>60</v>
      </c>
      <c r="Q2873" s="13" t="s">
        <v>54</v>
      </c>
      <c r="R2873" s="38" t="s">
        <v>270</v>
      </c>
      <c r="S2873" s="38" t="s">
        <v>6731</v>
      </c>
      <c r="T2873" s="38" t="s">
        <v>6734</v>
      </c>
      <c r="U2873" s="38"/>
      <c r="V2873" s="38"/>
      <c r="W2873" s="38"/>
      <c r="X2873" s="14"/>
      <c r="AA2873" s="54">
        <v>27.88</v>
      </c>
      <c r="AM2873" s="1"/>
      <c r="AN2873" s="7" t="s">
        <v>15</v>
      </c>
      <c r="AO2873" s="21">
        <f t="shared" si="140"/>
        <v>27.88</v>
      </c>
      <c r="AP2873" s="7">
        <f t="shared" si="141"/>
        <v>0</v>
      </c>
      <c r="AQ2873" s="31" t="str">
        <f t="shared" si="142"/>
        <v>Complete - With Adjustment</v>
      </c>
    </row>
    <row r="2874" spans="1:43" x14ac:dyDescent="0.2">
      <c r="A2874" s="46">
        <v>2864</v>
      </c>
      <c r="B2874" s="38" t="s">
        <v>266</v>
      </c>
      <c r="C2874" s="38" t="s">
        <v>504</v>
      </c>
      <c r="D2874" s="38" t="s">
        <v>805</v>
      </c>
      <c r="E2874" s="38" t="s">
        <v>6729</v>
      </c>
      <c r="F2874" s="38" t="s">
        <v>6359</v>
      </c>
      <c r="G2874" s="38" t="s">
        <v>111</v>
      </c>
      <c r="H2874" s="44">
        <v>44182</v>
      </c>
      <c r="I2874" s="44">
        <v>44186</v>
      </c>
      <c r="J2874">
        <v>503.75</v>
      </c>
      <c r="K2874" s="22">
        <v>21.1</v>
      </c>
      <c r="L2874" s="22" t="s">
        <v>6730</v>
      </c>
      <c r="M2874" s="45" t="s">
        <v>98</v>
      </c>
      <c r="N2874" s="13" t="s">
        <v>230</v>
      </c>
      <c r="O2874" s="13" t="s">
        <v>505</v>
      </c>
      <c r="P2874" s="13" t="s">
        <v>60</v>
      </c>
      <c r="Q2874" s="13" t="s">
        <v>54</v>
      </c>
      <c r="R2874" s="38" t="s">
        <v>270</v>
      </c>
      <c r="S2874" s="38" t="s">
        <v>6731</v>
      </c>
      <c r="T2874" s="38" t="s">
        <v>6733</v>
      </c>
      <c r="U2874" s="38"/>
      <c r="V2874" s="38"/>
      <c r="W2874" s="38"/>
      <c r="X2874" s="14"/>
      <c r="AA2874" s="54">
        <v>21.1</v>
      </c>
      <c r="AM2874" s="1"/>
      <c r="AN2874" s="7" t="s">
        <v>15</v>
      </c>
      <c r="AO2874" s="21">
        <f t="shared" si="140"/>
        <v>21.1</v>
      </c>
      <c r="AP2874" s="7">
        <f t="shared" si="141"/>
        <v>0</v>
      </c>
      <c r="AQ2874" s="31" t="str">
        <f t="shared" si="142"/>
        <v>Complete - With Adjustment</v>
      </c>
    </row>
    <row r="2875" spans="1:43" x14ac:dyDescent="0.2">
      <c r="A2875" s="46">
        <v>2865</v>
      </c>
      <c r="B2875" s="38" t="s">
        <v>266</v>
      </c>
      <c r="C2875" s="38" t="s">
        <v>504</v>
      </c>
      <c r="D2875" s="38" t="s">
        <v>805</v>
      </c>
      <c r="E2875" s="38" t="s">
        <v>6729</v>
      </c>
      <c r="F2875" s="38" t="s">
        <v>6359</v>
      </c>
      <c r="G2875" s="38" t="s">
        <v>111</v>
      </c>
      <c r="H2875" s="44">
        <v>44182</v>
      </c>
      <c r="I2875" s="44">
        <v>44186</v>
      </c>
      <c r="J2875">
        <v>503.75</v>
      </c>
      <c r="K2875" s="22">
        <v>21.56</v>
      </c>
      <c r="L2875" s="22" t="s">
        <v>6730</v>
      </c>
      <c r="M2875" s="45" t="s">
        <v>98</v>
      </c>
      <c r="N2875" s="13" t="s">
        <v>230</v>
      </c>
      <c r="O2875" s="13" t="s">
        <v>505</v>
      </c>
      <c r="P2875" s="13" t="s">
        <v>60</v>
      </c>
      <c r="Q2875" s="13" t="s">
        <v>54</v>
      </c>
      <c r="R2875" s="38" t="s">
        <v>270</v>
      </c>
      <c r="S2875" s="38" t="s">
        <v>6731</v>
      </c>
      <c r="T2875" s="38" t="s">
        <v>6734</v>
      </c>
      <c r="U2875" s="38"/>
      <c r="V2875" s="38"/>
      <c r="W2875" s="38"/>
      <c r="X2875" s="14"/>
      <c r="AA2875" s="54">
        <v>21.56</v>
      </c>
      <c r="AM2875" s="1"/>
      <c r="AN2875" s="7" t="s">
        <v>15</v>
      </c>
      <c r="AO2875" s="21">
        <f t="shared" si="140"/>
        <v>21.56</v>
      </c>
      <c r="AP2875" s="7">
        <f t="shared" si="141"/>
        <v>0</v>
      </c>
      <c r="AQ2875" s="31" t="str">
        <f t="shared" si="142"/>
        <v>Complete - With Adjustment</v>
      </c>
    </row>
    <row r="2876" spans="1:43" x14ac:dyDescent="0.2">
      <c r="A2876" s="46">
        <v>2866</v>
      </c>
      <c r="B2876" s="38" t="s">
        <v>266</v>
      </c>
      <c r="C2876" s="38" t="s">
        <v>504</v>
      </c>
      <c r="D2876" s="38" t="s">
        <v>805</v>
      </c>
      <c r="E2876" s="38" t="s">
        <v>6729</v>
      </c>
      <c r="F2876" s="38" t="s">
        <v>6359</v>
      </c>
      <c r="G2876" s="38" t="s">
        <v>111</v>
      </c>
      <c r="H2876" s="44">
        <v>44182</v>
      </c>
      <c r="I2876" s="44">
        <v>44186</v>
      </c>
      <c r="J2876">
        <v>503.75</v>
      </c>
      <c r="K2876" s="22">
        <v>19.3</v>
      </c>
      <c r="L2876" s="22" t="s">
        <v>6730</v>
      </c>
      <c r="M2876" s="45" t="s">
        <v>98</v>
      </c>
      <c r="N2876" s="13" t="s">
        <v>230</v>
      </c>
      <c r="O2876" s="13" t="s">
        <v>505</v>
      </c>
      <c r="P2876" s="13" t="s">
        <v>60</v>
      </c>
      <c r="Q2876" s="13" t="s">
        <v>54</v>
      </c>
      <c r="R2876" s="38" t="s">
        <v>270</v>
      </c>
      <c r="S2876" s="38" t="s">
        <v>6731</v>
      </c>
      <c r="T2876" s="38" t="s">
        <v>6733</v>
      </c>
      <c r="U2876" s="38"/>
      <c r="V2876" s="38"/>
      <c r="W2876" s="38"/>
      <c r="X2876" s="14"/>
      <c r="AA2876" s="54">
        <v>19.3</v>
      </c>
      <c r="AM2876" s="1"/>
      <c r="AN2876" s="7" t="s">
        <v>15</v>
      </c>
      <c r="AO2876" s="21">
        <f t="shared" si="140"/>
        <v>19.3</v>
      </c>
      <c r="AP2876" s="7">
        <f t="shared" si="141"/>
        <v>0</v>
      </c>
      <c r="AQ2876" s="31" t="str">
        <f t="shared" si="142"/>
        <v>Complete - With Adjustment</v>
      </c>
    </row>
    <row r="2877" spans="1:43" x14ac:dyDescent="0.2">
      <c r="A2877" s="46">
        <v>2867</v>
      </c>
      <c r="B2877" s="38" t="s">
        <v>266</v>
      </c>
      <c r="C2877" s="38" t="s">
        <v>509</v>
      </c>
      <c r="D2877" s="38" t="s">
        <v>508</v>
      </c>
      <c r="E2877" s="38" t="s">
        <v>6735</v>
      </c>
      <c r="F2877" s="38" t="s">
        <v>6288</v>
      </c>
      <c r="G2877" s="38" t="s">
        <v>111</v>
      </c>
      <c r="H2877" s="44">
        <v>44174</v>
      </c>
      <c r="I2877" s="44">
        <v>44181</v>
      </c>
      <c r="J2877">
        <v>15</v>
      </c>
      <c r="K2877" s="22">
        <v>15</v>
      </c>
      <c r="L2877" s="22" t="s">
        <v>6736</v>
      </c>
      <c r="M2877" s="45" t="s">
        <v>98</v>
      </c>
      <c r="N2877" s="13" t="s">
        <v>230</v>
      </c>
      <c r="O2877" s="13" t="s">
        <v>472</v>
      </c>
      <c r="P2877" s="13" t="s">
        <v>60</v>
      </c>
      <c r="Q2877" s="13" t="s">
        <v>41</v>
      </c>
      <c r="R2877" s="38" t="s">
        <v>270</v>
      </c>
      <c r="S2877" s="38" t="s">
        <v>6737</v>
      </c>
      <c r="T2877" s="38" t="s">
        <v>6738</v>
      </c>
      <c r="U2877" s="38"/>
      <c r="V2877" s="38"/>
      <c r="W2877" s="38"/>
      <c r="X2877" s="14"/>
      <c r="AI2877" s="53">
        <v>15</v>
      </c>
      <c r="AM2877" s="1"/>
      <c r="AN2877" s="7" t="s">
        <v>145</v>
      </c>
      <c r="AO2877" s="21">
        <f t="shared" si="140"/>
        <v>15</v>
      </c>
      <c r="AP2877" s="7">
        <f t="shared" si="141"/>
        <v>0</v>
      </c>
      <c r="AQ2877" s="31" t="str">
        <f t="shared" si="142"/>
        <v>Complete - With Adjustment</v>
      </c>
    </row>
    <row r="2878" spans="1:43" x14ac:dyDescent="0.2">
      <c r="A2878" s="46">
        <v>2868</v>
      </c>
      <c r="B2878" s="38" t="s">
        <v>266</v>
      </c>
      <c r="C2878" s="38" t="s">
        <v>511</v>
      </c>
      <c r="D2878" s="38" t="s">
        <v>510</v>
      </c>
      <c r="E2878" s="38" t="s">
        <v>6739</v>
      </c>
      <c r="F2878" s="38" t="s">
        <v>6284</v>
      </c>
      <c r="G2878" s="38" t="s">
        <v>111</v>
      </c>
      <c r="H2878" s="44">
        <v>44180</v>
      </c>
      <c r="I2878" s="44">
        <v>44183</v>
      </c>
      <c r="J2878">
        <v>20</v>
      </c>
      <c r="K2878" s="22">
        <v>20</v>
      </c>
      <c r="L2878" s="22" t="s">
        <v>6740</v>
      </c>
      <c r="M2878" s="45" t="s">
        <v>98</v>
      </c>
      <c r="N2878" s="13" t="s">
        <v>230</v>
      </c>
      <c r="O2878" s="13" t="s">
        <v>320</v>
      </c>
      <c r="P2878" s="13" t="s">
        <v>60</v>
      </c>
      <c r="Q2878" s="13" t="s">
        <v>41</v>
      </c>
      <c r="R2878" s="38" t="s">
        <v>270</v>
      </c>
      <c r="S2878" s="38" t="s">
        <v>6741</v>
      </c>
      <c r="T2878" s="38" t="s">
        <v>6742</v>
      </c>
      <c r="U2878" s="38"/>
      <c r="V2878" s="38"/>
      <c r="W2878" s="38"/>
      <c r="X2878" s="14"/>
      <c r="AI2878" s="53">
        <v>20</v>
      </c>
      <c r="AM2878" s="1"/>
      <c r="AN2878" s="7" t="s">
        <v>145</v>
      </c>
      <c r="AO2878" s="21">
        <f t="shared" si="140"/>
        <v>20</v>
      </c>
      <c r="AP2878" s="7">
        <f t="shared" si="141"/>
        <v>0</v>
      </c>
      <c r="AQ2878" s="31" t="str">
        <f t="shared" si="142"/>
        <v>Complete - With Adjustment</v>
      </c>
    </row>
    <row r="2879" spans="1:43" x14ac:dyDescent="0.2">
      <c r="A2879" s="46">
        <v>2869</v>
      </c>
      <c r="B2879" s="38" t="s">
        <v>266</v>
      </c>
      <c r="C2879" s="38" t="s">
        <v>511</v>
      </c>
      <c r="D2879" s="38" t="s">
        <v>510</v>
      </c>
      <c r="E2879" s="38" t="s">
        <v>6743</v>
      </c>
      <c r="F2879" s="38" t="s">
        <v>6284</v>
      </c>
      <c r="G2879" s="38" t="s">
        <v>111</v>
      </c>
      <c r="H2879" s="44">
        <v>44166</v>
      </c>
      <c r="I2879" s="44">
        <v>44183</v>
      </c>
      <c r="J2879">
        <v>25</v>
      </c>
      <c r="K2879" s="22">
        <v>25</v>
      </c>
      <c r="L2879" s="22" t="s">
        <v>6744</v>
      </c>
      <c r="M2879" s="45" t="s">
        <v>98</v>
      </c>
      <c r="N2879" s="13" t="s">
        <v>230</v>
      </c>
      <c r="O2879" s="13" t="s">
        <v>320</v>
      </c>
      <c r="P2879" s="13" t="s">
        <v>60</v>
      </c>
      <c r="Q2879" s="13" t="s">
        <v>41</v>
      </c>
      <c r="R2879" s="38" t="s">
        <v>270</v>
      </c>
      <c r="S2879" s="38" t="s">
        <v>6745</v>
      </c>
      <c r="T2879" s="38" t="s">
        <v>6746</v>
      </c>
      <c r="U2879" s="38"/>
      <c r="V2879" s="38"/>
      <c r="W2879" s="38"/>
      <c r="X2879" s="14"/>
      <c r="AM2879" s="1"/>
      <c r="AN2879" s="7" t="s">
        <v>70</v>
      </c>
      <c r="AO2879" s="21">
        <f t="shared" si="140"/>
        <v>0</v>
      </c>
      <c r="AP2879" s="7">
        <f t="shared" si="141"/>
        <v>25</v>
      </c>
      <c r="AQ2879" s="31" t="str">
        <f t="shared" si="142"/>
        <v>Complete - No Adjustment</v>
      </c>
    </row>
    <row r="2880" spans="1:43" x14ac:dyDescent="0.2">
      <c r="A2880" s="46">
        <v>2870</v>
      </c>
      <c r="B2880" s="38" t="s">
        <v>266</v>
      </c>
      <c r="C2880" s="38" t="s">
        <v>274</v>
      </c>
      <c r="D2880" s="38" t="s">
        <v>273</v>
      </c>
      <c r="E2880" s="38" t="s">
        <v>6748</v>
      </c>
      <c r="F2880" s="38" t="s">
        <v>6749</v>
      </c>
      <c r="G2880" s="38" t="s">
        <v>111</v>
      </c>
      <c r="H2880" s="44">
        <v>44187</v>
      </c>
      <c r="I2880" s="44">
        <v>44201</v>
      </c>
      <c r="J2880">
        <v>770</v>
      </c>
      <c r="K2880">
        <v>770</v>
      </c>
      <c r="L2880" t="s">
        <v>6750</v>
      </c>
      <c r="M2880" s="45" t="s">
        <v>98</v>
      </c>
      <c r="N2880" s="38" t="s">
        <v>230</v>
      </c>
      <c r="O2880" s="38" t="s">
        <v>103</v>
      </c>
      <c r="P2880" s="38" t="s">
        <v>60</v>
      </c>
      <c r="Q2880" s="38" t="s">
        <v>59</v>
      </c>
      <c r="R2880" s="38" t="s">
        <v>270</v>
      </c>
      <c r="S2880" s="38" t="s">
        <v>6751</v>
      </c>
      <c r="T2880" s="38" t="s">
        <v>6752</v>
      </c>
      <c r="U2880" s="38"/>
      <c r="V2880" s="38"/>
      <c r="W2880" s="38"/>
      <c r="X2880" s="7"/>
      <c r="Y2880" s="57"/>
      <c r="Z2880" s="7"/>
      <c r="AA2880" s="57"/>
      <c r="AB2880" s="7"/>
      <c r="AC2880" s="57"/>
      <c r="AD2880" s="7"/>
      <c r="AE2880" s="57"/>
      <c r="AF2880" s="7"/>
      <c r="AG2880" s="57"/>
      <c r="AH2880" s="7"/>
      <c r="AI2880" s="57"/>
      <c r="AJ2880" s="7"/>
      <c r="AK2880" s="57"/>
      <c r="AL2880" s="7"/>
      <c r="AN2880" s="7" t="s">
        <v>70</v>
      </c>
      <c r="AO2880" s="21">
        <f t="shared" ref="AO2880:AO2943" si="143">SUM(Y2880:AL2880)</f>
        <v>0</v>
      </c>
      <c r="AP2880" s="7">
        <f t="shared" ref="AP2880:AP2943" si="144">K2880-AO2880</f>
        <v>770</v>
      </c>
      <c r="AQ2880" s="31" t="str">
        <f t="shared" ref="AQ2880:AQ2943" si="145">IF(AO2880&lt;&gt;0,"Complete - With Adjustment","Complete - No Adjustment")</f>
        <v>Complete - No Adjustment</v>
      </c>
    </row>
    <row r="2881" spans="1:43" x14ac:dyDescent="0.2">
      <c r="A2881" s="46">
        <v>2871</v>
      </c>
      <c r="B2881" s="38" t="s">
        <v>266</v>
      </c>
      <c r="C2881" s="38" t="s">
        <v>833</v>
      </c>
      <c r="D2881" s="38" t="s">
        <v>834</v>
      </c>
      <c r="E2881" s="38" t="s">
        <v>6753</v>
      </c>
      <c r="F2881" s="38" t="s">
        <v>6754</v>
      </c>
      <c r="G2881" s="38" t="s">
        <v>111</v>
      </c>
      <c r="H2881" s="44">
        <v>44216</v>
      </c>
      <c r="I2881" s="44">
        <v>44218</v>
      </c>
      <c r="J2881">
        <v>13.94</v>
      </c>
      <c r="K2881">
        <v>13.94</v>
      </c>
      <c r="L2881" t="s">
        <v>6755</v>
      </c>
      <c r="M2881" s="45" t="s">
        <v>98</v>
      </c>
      <c r="N2881" s="38" t="s">
        <v>230</v>
      </c>
      <c r="O2881" s="38" t="s">
        <v>323</v>
      </c>
      <c r="P2881" s="38" t="s">
        <v>60</v>
      </c>
      <c r="Q2881" s="38" t="s">
        <v>41</v>
      </c>
      <c r="R2881" s="38" t="s">
        <v>270</v>
      </c>
      <c r="S2881" s="38" t="s">
        <v>6756</v>
      </c>
      <c r="T2881" s="38" t="s">
        <v>6757</v>
      </c>
      <c r="U2881" s="38"/>
      <c r="V2881" s="38"/>
      <c r="W2881" s="38"/>
      <c r="X2881" s="7"/>
      <c r="Y2881" s="57"/>
      <c r="Z2881" s="7"/>
      <c r="AA2881" s="57"/>
      <c r="AB2881" s="7"/>
      <c r="AC2881" s="57"/>
      <c r="AD2881" s="7"/>
      <c r="AE2881" s="57"/>
      <c r="AF2881" s="7"/>
      <c r="AG2881" s="57"/>
      <c r="AH2881" s="7"/>
      <c r="AI2881" s="57"/>
      <c r="AJ2881" s="7"/>
      <c r="AK2881" s="57"/>
      <c r="AL2881" s="7"/>
      <c r="AN2881" s="7" t="s">
        <v>70</v>
      </c>
      <c r="AO2881" s="21">
        <f t="shared" si="143"/>
        <v>0</v>
      </c>
      <c r="AP2881" s="7">
        <f t="shared" si="144"/>
        <v>13.94</v>
      </c>
      <c r="AQ2881" s="31" t="str">
        <f t="shared" si="145"/>
        <v>Complete - No Adjustment</v>
      </c>
    </row>
    <row r="2882" spans="1:43" x14ac:dyDescent="0.2">
      <c r="A2882" s="46">
        <v>2872</v>
      </c>
      <c r="B2882" s="38" t="s">
        <v>266</v>
      </c>
      <c r="C2882" s="38" t="s">
        <v>833</v>
      </c>
      <c r="D2882" s="38" t="s">
        <v>834</v>
      </c>
      <c r="E2882" s="38" t="s">
        <v>6758</v>
      </c>
      <c r="F2882" s="38" t="s">
        <v>6759</v>
      </c>
      <c r="G2882" s="38" t="s">
        <v>111</v>
      </c>
      <c r="H2882" s="44">
        <v>44216</v>
      </c>
      <c r="I2882" s="44">
        <v>44223</v>
      </c>
      <c r="J2882">
        <v>15.53</v>
      </c>
      <c r="K2882">
        <v>15.53</v>
      </c>
      <c r="L2882" t="s">
        <v>6760</v>
      </c>
      <c r="M2882" s="45" t="s">
        <v>98</v>
      </c>
      <c r="N2882" s="38" t="s">
        <v>230</v>
      </c>
      <c r="O2882" s="38" t="s">
        <v>323</v>
      </c>
      <c r="P2882" s="38" t="s">
        <v>60</v>
      </c>
      <c r="Q2882" s="38" t="s">
        <v>41</v>
      </c>
      <c r="R2882" s="38" t="s">
        <v>270</v>
      </c>
      <c r="S2882" s="38" t="s">
        <v>6761</v>
      </c>
      <c r="T2882" s="38" t="s">
        <v>6762</v>
      </c>
      <c r="U2882" s="38"/>
      <c r="V2882" s="38"/>
      <c r="W2882" s="38"/>
      <c r="X2882" s="7"/>
      <c r="Y2882" s="57"/>
      <c r="Z2882" s="7"/>
      <c r="AA2882" s="57"/>
      <c r="AB2882" s="7"/>
      <c r="AC2882" s="57"/>
      <c r="AD2882" s="7"/>
      <c r="AE2882" s="57"/>
      <c r="AF2882" s="7"/>
      <c r="AG2882" s="57"/>
      <c r="AH2882" s="7"/>
      <c r="AI2882" s="57"/>
      <c r="AJ2882" s="7"/>
      <c r="AK2882" s="57"/>
      <c r="AL2882" s="7"/>
      <c r="AN2882" s="7" t="s">
        <v>70</v>
      </c>
      <c r="AO2882" s="21">
        <f t="shared" si="143"/>
        <v>0</v>
      </c>
      <c r="AP2882" s="7">
        <f t="shared" si="144"/>
        <v>15.53</v>
      </c>
      <c r="AQ2882" s="31" t="str">
        <f t="shared" si="145"/>
        <v>Complete - No Adjustment</v>
      </c>
    </row>
    <row r="2883" spans="1:43" x14ac:dyDescent="0.2">
      <c r="A2883" s="46">
        <v>2873</v>
      </c>
      <c r="B2883" s="38" t="s">
        <v>266</v>
      </c>
      <c r="C2883" s="38" t="s">
        <v>833</v>
      </c>
      <c r="D2883" s="38" t="s">
        <v>834</v>
      </c>
      <c r="E2883" s="38" t="s">
        <v>6763</v>
      </c>
      <c r="F2883" s="38" t="s">
        <v>6754</v>
      </c>
      <c r="G2883" s="38" t="s">
        <v>111</v>
      </c>
      <c r="H2883" s="44">
        <v>44216</v>
      </c>
      <c r="I2883" s="44">
        <v>44218</v>
      </c>
      <c r="J2883">
        <v>16.7</v>
      </c>
      <c r="K2883">
        <v>16.7</v>
      </c>
      <c r="L2883" t="s">
        <v>6764</v>
      </c>
      <c r="M2883" s="45" t="s">
        <v>98</v>
      </c>
      <c r="N2883" s="38" t="s">
        <v>230</v>
      </c>
      <c r="O2883" s="38" t="s">
        <v>323</v>
      </c>
      <c r="P2883" s="38" t="s">
        <v>60</v>
      </c>
      <c r="Q2883" s="38" t="s">
        <v>41</v>
      </c>
      <c r="R2883" s="38" t="s">
        <v>270</v>
      </c>
      <c r="S2883" s="38" t="s">
        <v>6765</v>
      </c>
      <c r="T2883" s="38" t="s">
        <v>6766</v>
      </c>
      <c r="U2883" s="38"/>
      <c r="V2883" s="38"/>
      <c r="W2883" s="38"/>
      <c r="X2883" s="7"/>
      <c r="Y2883" s="57"/>
      <c r="Z2883" s="7"/>
      <c r="AA2883" s="57"/>
      <c r="AB2883" s="7"/>
      <c r="AC2883" s="57"/>
      <c r="AD2883" s="7"/>
      <c r="AE2883" s="57"/>
      <c r="AF2883" s="7"/>
      <c r="AG2883" s="57"/>
      <c r="AH2883" s="7"/>
      <c r="AI2883" s="57"/>
      <c r="AJ2883" s="7"/>
      <c r="AK2883" s="57"/>
      <c r="AL2883" s="7"/>
      <c r="AN2883" s="7" t="s">
        <v>70</v>
      </c>
      <c r="AO2883" s="21">
        <f t="shared" si="143"/>
        <v>0</v>
      </c>
      <c r="AP2883" s="7">
        <f t="shared" si="144"/>
        <v>16.7</v>
      </c>
      <c r="AQ2883" s="31" t="str">
        <f t="shared" si="145"/>
        <v>Complete - No Adjustment</v>
      </c>
    </row>
    <row r="2884" spans="1:43" x14ac:dyDescent="0.2">
      <c r="A2884" s="46">
        <v>2874</v>
      </c>
      <c r="B2884" s="38" t="s">
        <v>266</v>
      </c>
      <c r="C2884" s="38" t="s">
        <v>833</v>
      </c>
      <c r="D2884" s="38" t="s">
        <v>834</v>
      </c>
      <c r="E2884" s="38" t="s">
        <v>6767</v>
      </c>
      <c r="F2884" s="38" t="s">
        <v>6759</v>
      </c>
      <c r="G2884" s="38" t="s">
        <v>111</v>
      </c>
      <c r="H2884" s="44">
        <v>44216</v>
      </c>
      <c r="I2884" s="44">
        <v>44223</v>
      </c>
      <c r="J2884">
        <v>16.829999999999998</v>
      </c>
      <c r="K2884">
        <v>16.829999999999998</v>
      </c>
      <c r="L2884" t="s">
        <v>6768</v>
      </c>
      <c r="M2884" s="45" t="s">
        <v>98</v>
      </c>
      <c r="N2884" s="38" t="s">
        <v>230</v>
      </c>
      <c r="O2884" s="38" t="s">
        <v>323</v>
      </c>
      <c r="P2884" s="38" t="s">
        <v>60</v>
      </c>
      <c r="Q2884" s="38" t="s">
        <v>41</v>
      </c>
      <c r="R2884" s="38" t="s">
        <v>270</v>
      </c>
      <c r="S2884" s="38" t="s">
        <v>6769</v>
      </c>
      <c r="T2884" s="38" t="s">
        <v>6770</v>
      </c>
      <c r="U2884" s="38"/>
      <c r="V2884" s="38"/>
      <c r="W2884" s="38"/>
      <c r="X2884" s="7"/>
      <c r="Y2884" s="57"/>
      <c r="Z2884" s="7"/>
      <c r="AA2884" s="57"/>
      <c r="AB2884" s="7"/>
      <c r="AC2884" s="57"/>
      <c r="AD2884" s="7"/>
      <c r="AE2884" s="57"/>
      <c r="AF2884" s="7"/>
      <c r="AG2884" s="57"/>
      <c r="AH2884" s="7"/>
      <c r="AI2884" s="57"/>
      <c r="AJ2884" s="7"/>
      <c r="AK2884" s="57"/>
      <c r="AL2884" s="7"/>
      <c r="AN2884" s="7" t="s">
        <v>70</v>
      </c>
      <c r="AO2884" s="21">
        <f t="shared" si="143"/>
        <v>0</v>
      </c>
      <c r="AP2884" s="7">
        <f t="shared" si="144"/>
        <v>16.829999999999998</v>
      </c>
      <c r="AQ2884" s="31" t="str">
        <f t="shared" si="145"/>
        <v>Complete - No Adjustment</v>
      </c>
    </row>
    <row r="2885" spans="1:43" x14ac:dyDescent="0.2">
      <c r="A2885" s="46">
        <v>2875</v>
      </c>
      <c r="B2885" s="38" t="s">
        <v>266</v>
      </c>
      <c r="C2885" s="38" t="s">
        <v>795</v>
      </c>
      <c r="D2885" s="38" t="s">
        <v>794</v>
      </c>
      <c r="E2885" s="38" t="s">
        <v>6771</v>
      </c>
      <c r="F2885" s="38" t="s">
        <v>6759</v>
      </c>
      <c r="G2885" s="38" t="s">
        <v>111</v>
      </c>
      <c r="H2885" s="44">
        <v>44222</v>
      </c>
      <c r="I2885" s="44">
        <v>44223</v>
      </c>
      <c r="J2885">
        <v>10.55</v>
      </c>
      <c r="K2885">
        <v>10.55</v>
      </c>
      <c r="L2885" t="s">
        <v>6772</v>
      </c>
      <c r="M2885" s="45" t="s">
        <v>98</v>
      </c>
      <c r="N2885" s="38" t="s">
        <v>230</v>
      </c>
      <c r="O2885" s="38" t="s">
        <v>289</v>
      </c>
      <c r="P2885" s="38" t="s">
        <v>60</v>
      </c>
      <c r="Q2885" s="38" t="s">
        <v>41</v>
      </c>
      <c r="R2885" s="38" t="s">
        <v>270</v>
      </c>
      <c r="S2885" s="38" t="s">
        <v>6773</v>
      </c>
      <c r="T2885" s="38" t="s">
        <v>6774</v>
      </c>
      <c r="U2885" s="38"/>
      <c r="V2885" s="38"/>
      <c r="W2885" s="38"/>
      <c r="X2885" s="7"/>
      <c r="Y2885" s="57"/>
      <c r="Z2885" s="7"/>
      <c r="AA2885" s="57"/>
      <c r="AB2885" s="7"/>
      <c r="AC2885" s="57"/>
      <c r="AD2885" s="7"/>
      <c r="AE2885" s="57"/>
      <c r="AF2885" s="7"/>
      <c r="AG2885" s="57"/>
      <c r="AH2885" s="7"/>
      <c r="AI2885" s="57"/>
      <c r="AJ2885" s="7"/>
      <c r="AK2885" s="57"/>
      <c r="AL2885" s="7"/>
      <c r="AN2885" s="7" t="s">
        <v>155</v>
      </c>
      <c r="AO2885" s="21">
        <f t="shared" si="143"/>
        <v>0</v>
      </c>
      <c r="AP2885" s="7">
        <f t="shared" si="144"/>
        <v>10.55</v>
      </c>
      <c r="AQ2885" s="31" t="str">
        <f t="shared" si="145"/>
        <v>Complete - No Adjustment</v>
      </c>
    </row>
    <row r="2886" spans="1:43" x14ac:dyDescent="0.2">
      <c r="A2886" s="46">
        <v>2876</v>
      </c>
      <c r="B2886" s="38" t="s">
        <v>266</v>
      </c>
      <c r="C2886" s="38" t="s">
        <v>276</v>
      </c>
      <c r="D2886" s="38" t="s">
        <v>275</v>
      </c>
      <c r="E2886" s="38" t="s">
        <v>6775</v>
      </c>
      <c r="F2886" s="38" t="s">
        <v>6776</v>
      </c>
      <c r="G2886" s="38" t="s">
        <v>111</v>
      </c>
      <c r="H2886" s="44">
        <v>44184</v>
      </c>
      <c r="I2886" s="44">
        <v>44207</v>
      </c>
      <c r="J2886">
        <v>88.75</v>
      </c>
      <c r="K2886">
        <v>88.75</v>
      </c>
      <c r="L2886" t="s">
        <v>6777</v>
      </c>
      <c r="M2886" s="45" t="s">
        <v>98</v>
      </c>
      <c r="N2886" s="38" t="s">
        <v>230</v>
      </c>
      <c r="O2886" s="38" t="s">
        <v>277</v>
      </c>
      <c r="P2886" s="38" t="s">
        <v>60</v>
      </c>
      <c r="Q2886" s="38" t="s">
        <v>62</v>
      </c>
      <c r="R2886" s="38" t="s">
        <v>270</v>
      </c>
      <c r="S2886" s="38" t="s">
        <v>6778</v>
      </c>
      <c r="T2886" s="38" t="s">
        <v>6779</v>
      </c>
      <c r="U2886" s="38"/>
      <c r="V2886" s="38"/>
      <c r="W2886" s="38"/>
      <c r="X2886" s="7"/>
      <c r="Y2886" s="57"/>
      <c r="Z2886" s="7"/>
      <c r="AA2886" s="57"/>
      <c r="AB2886" s="7"/>
      <c r="AC2886" s="57"/>
      <c r="AD2886" s="7"/>
      <c r="AE2886" s="57"/>
      <c r="AF2886" s="7"/>
      <c r="AG2886" s="57"/>
      <c r="AH2886" s="7"/>
      <c r="AI2886" s="57"/>
      <c r="AJ2886" s="7"/>
      <c r="AK2886" s="57"/>
      <c r="AL2886" s="7"/>
      <c r="AN2886" s="7" t="s">
        <v>155</v>
      </c>
      <c r="AO2886" s="21">
        <f t="shared" si="143"/>
        <v>0</v>
      </c>
      <c r="AP2886" s="7">
        <f t="shared" si="144"/>
        <v>88.75</v>
      </c>
      <c r="AQ2886" s="31" t="str">
        <f t="shared" si="145"/>
        <v>Complete - No Adjustment</v>
      </c>
    </row>
    <row r="2887" spans="1:43" x14ac:dyDescent="0.2">
      <c r="A2887" s="46">
        <v>2877</v>
      </c>
      <c r="B2887" s="38" t="s">
        <v>266</v>
      </c>
      <c r="C2887" s="38" t="s">
        <v>276</v>
      </c>
      <c r="D2887" s="38" t="s">
        <v>275</v>
      </c>
      <c r="E2887" s="38" t="s">
        <v>6780</v>
      </c>
      <c r="F2887" s="38" t="s">
        <v>6749</v>
      </c>
      <c r="G2887" s="38" t="s">
        <v>111</v>
      </c>
      <c r="H2887" s="44">
        <v>44179</v>
      </c>
      <c r="I2887" s="44">
        <v>44201</v>
      </c>
      <c r="J2887">
        <v>221.58</v>
      </c>
      <c r="K2887">
        <v>37.57</v>
      </c>
      <c r="L2887" t="s">
        <v>6781</v>
      </c>
      <c r="M2887" s="45" t="s">
        <v>98</v>
      </c>
      <c r="N2887" s="38" t="s">
        <v>230</v>
      </c>
      <c r="O2887" s="38" t="s">
        <v>277</v>
      </c>
      <c r="P2887" s="38" t="s">
        <v>60</v>
      </c>
      <c r="Q2887" s="38" t="s">
        <v>62</v>
      </c>
      <c r="R2887" s="38" t="s">
        <v>270</v>
      </c>
      <c r="S2887" s="38" t="s">
        <v>6782</v>
      </c>
      <c r="T2887" s="38" t="s">
        <v>6783</v>
      </c>
      <c r="U2887" s="38"/>
      <c r="V2887" s="38"/>
      <c r="W2887" s="38"/>
      <c r="X2887" s="7"/>
      <c r="Y2887" s="57"/>
      <c r="Z2887" s="7"/>
      <c r="AA2887" s="57"/>
      <c r="AB2887" s="7"/>
      <c r="AC2887" s="57"/>
      <c r="AD2887" s="7"/>
      <c r="AE2887" s="57"/>
      <c r="AF2887" s="7"/>
      <c r="AG2887" s="57"/>
      <c r="AH2887" s="7"/>
      <c r="AI2887" s="57"/>
      <c r="AJ2887" s="7"/>
      <c r="AK2887" s="57"/>
      <c r="AL2887" s="7"/>
      <c r="AN2887" s="7" t="s">
        <v>70</v>
      </c>
      <c r="AO2887" s="21">
        <f t="shared" si="143"/>
        <v>0</v>
      </c>
      <c r="AP2887" s="7">
        <f t="shared" si="144"/>
        <v>37.57</v>
      </c>
      <c r="AQ2887" s="31" t="str">
        <f t="shared" si="145"/>
        <v>Complete - No Adjustment</v>
      </c>
    </row>
    <row r="2888" spans="1:43" x14ac:dyDescent="0.2">
      <c r="A2888" s="46">
        <v>2878</v>
      </c>
      <c r="B2888" s="38" t="s">
        <v>266</v>
      </c>
      <c r="C2888" s="38" t="s">
        <v>276</v>
      </c>
      <c r="D2888" s="38" t="s">
        <v>275</v>
      </c>
      <c r="E2888" s="38" t="s">
        <v>6780</v>
      </c>
      <c r="F2888" s="38" t="s">
        <v>6749</v>
      </c>
      <c r="G2888" s="38" t="s">
        <v>111</v>
      </c>
      <c r="H2888" s="44">
        <v>44179</v>
      </c>
      <c r="I2888" s="44">
        <v>44201</v>
      </c>
      <c r="J2888">
        <v>221.58</v>
      </c>
      <c r="K2888">
        <v>184.01</v>
      </c>
      <c r="L2888" t="s">
        <v>6781</v>
      </c>
      <c r="M2888" s="45" t="s">
        <v>98</v>
      </c>
      <c r="N2888" s="38" t="s">
        <v>230</v>
      </c>
      <c r="O2888" s="38" t="s">
        <v>277</v>
      </c>
      <c r="P2888" s="38" t="s">
        <v>60</v>
      </c>
      <c r="Q2888" s="38" t="s">
        <v>104</v>
      </c>
      <c r="R2888" s="38" t="s">
        <v>270</v>
      </c>
      <c r="S2888" s="38" t="s">
        <v>6782</v>
      </c>
      <c r="T2888" s="38" t="s">
        <v>6784</v>
      </c>
      <c r="U2888" s="38"/>
      <c r="V2888" s="38"/>
      <c r="W2888" s="38"/>
      <c r="X2888" s="7"/>
      <c r="Y2888" s="57"/>
      <c r="Z2888" s="7"/>
      <c r="AA2888" s="57"/>
      <c r="AB2888" s="7"/>
      <c r="AC2888" s="57"/>
      <c r="AD2888" s="7"/>
      <c r="AE2888" s="57"/>
      <c r="AF2888" s="7"/>
      <c r="AG2888" s="57"/>
      <c r="AH2888" s="7"/>
      <c r="AI2888" s="57"/>
      <c r="AJ2888" s="7"/>
      <c r="AK2888" s="57"/>
      <c r="AL2888" s="7"/>
      <c r="AN2888" s="7" t="s">
        <v>155</v>
      </c>
      <c r="AO2888" s="21">
        <f t="shared" si="143"/>
        <v>0</v>
      </c>
      <c r="AP2888" s="7">
        <f t="shared" si="144"/>
        <v>184.01</v>
      </c>
      <c r="AQ2888" s="31" t="str">
        <f t="shared" si="145"/>
        <v>Complete - No Adjustment</v>
      </c>
    </row>
    <row r="2889" spans="1:43" x14ac:dyDescent="0.2">
      <c r="A2889" s="46">
        <v>2879</v>
      </c>
      <c r="B2889" s="38" t="s">
        <v>266</v>
      </c>
      <c r="C2889" s="38" t="s">
        <v>283</v>
      </c>
      <c r="D2889" s="38" t="s">
        <v>282</v>
      </c>
      <c r="E2889" s="38" t="s">
        <v>6785</v>
      </c>
      <c r="F2889" s="38" t="s">
        <v>6776</v>
      </c>
      <c r="G2889" s="38" t="s">
        <v>111</v>
      </c>
      <c r="H2889" s="44">
        <v>44202</v>
      </c>
      <c r="I2889" s="44">
        <v>44207</v>
      </c>
      <c r="J2889">
        <v>12949.27</v>
      </c>
      <c r="K2889">
        <v>10000</v>
      </c>
      <c r="L2889" t="s">
        <v>6786</v>
      </c>
      <c r="M2889" s="45" t="s">
        <v>97</v>
      </c>
      <c r="N2889" s="38" t="s">
        <v>230</v>
      </c>
      <c r="O2889" s="38" t="s">
        <v>284</v>
      </c>
      <c r="P2889" s="38" t="s">
        <v>80</v>
      </c>
      <c r="Q2889" s="38" t="s">
        <v>118</v>
      </c>
      <c r="R2889" s="38" t="s">
        <v>270</v>
      </c>
      <c r="S2889" s="38" t="s">
        <v>6787</v>
      </c>
      <c r="T2889" s="38" t="s">
        <v>6788</v>
      </c>
      <c r="U2889" s="38"/>
      <c r="V2889" s="38"/>
      <c r="W2889" s="38"/>
      <c r="X2889" s="7"/>
      <c r="Y2889" s="57"/>
      <c r="Z2889" s="7"/>
      <c r="AA2889" s="57"/>
      <c r="AB2889" s="7"/>
      <c r="AC2889" s="57"/>
      <c r="AD2889" s="7"/>
      <c r="AE2889" s="57"/>
      <c r="AF2889" s="7"/>
      <c r="AG2889" s="57"/>
      <c r="AH2889" s="7"/>
      <c r="AI2889" s="57"/>
      <c r="AJ2889" s="7"/>
      <c r="AK2889" s="57"/>
      <c r="AL2889" s="7">
        <f>10000</f>
        <v>10000</v>
      </c>
      <c r="AN2889" s="7" t="s">
        <v>6789</v>
      </c>
      <c r="AO2889" s="21">
        <f t="shared" si="143"/>
        <v>10000</v>
      </c>
      <c r="AP2889" s="7">
        <f t="shared" si="144"/>
        <v>0</v>
      </c>
      <c r="AQ2889" s="31" t="str">
        <f t="shared" si="145"/>
        <v>Complete - With Adjustment</v>
      </c>
    </row>
    <row r="2890" spans="1:43" x14ac:dyDescent="0.2">
      <c r="A2890" s="46">
        <v>2880</v>
      </c>
      <c r="B2890" s="38" t="s">
        <v>266</v>
      </c>
      <c r="C2890" s="38" t="s">
        <v>283</v>
      </c>
      <c r="D2890" s="38" t="s">
        <v>282</v>
      </c>
      <c r="E2890" s="38" t="s">
        <v>6785</v>
      </c>
      <c r="F2890" s="38" t="s">
        <v>6776</v>
      </c>
      <c r="G2890" s="38" t="s">
        <v>111</v>
      </c>
      <c r="H2890" s="44">
        <v>44202</v>
      </c>
      <c r="I2890" s="44">
        <v>44207</v>
      </c>
      <c r="J2890">
        <v>12949.27</v>
      </c>
      <c r="K2890">
        <v>3.34</v>
      </c>
      <c r="L2890" t="s">
        <v>6786</v>
      </c>
      <c r="M2890" s="45" t="s">
        <v>97</v>
      </c>
      <c r="N2890" s="38" t="s">
        <v>230</v>
      </c>
      <c r="O2890" s="38" t="s">
        <v>284</v>
      </c>
      <c r="P2890" s="38" t="s">
        <v>64</v>
      </c>
      <c r="Q2890" s="38" t="s">
        <v>46</v>
      </c>
      <c r="R2890" s="38" t="s">
        <v>270</v>
      </c>
      <c r="S2890" s="38" t="s">
        <v>6787</v>
      </c>
      <c r="T2890" s="38" t="s">
        <v>6790</v>
      </c>
      <c r="U2890" s="38"/>
      <c r="V2890" s="38"/>
      <c r="W2890" s="38"/>
      <c r="X2890" s="7"/>
      <c r="Y2890" s="57"/>
      <c r="Z2890" s="7"/>
      <c r="AA2890" s="57"/>
      <c r="AB2890" s="7"/>
      <c r="AC2890" s="57"/>
      <c r="AD2890" s="7"/>
      <c r="AE2890" s="57"/>
      <c r="AF2890" s="7"/>
      <c r="AG2890" s="57">
        <f>3.34</f>
        <v>3.34</v>
      </c>
      <c r="AH2890" s="7"/>
      <c r="AI2890" s="57"/>
      <c r="AJ2890" s="7"/>
      <c r="AK2890" s="57"/>
      <c r="AL2890" s="7"/>
      <c r="AN2890" s="7" t="s">
        <v>69</v>
      </c>
      <c r="AO2890" s="21">
        <f t="shared" si="143"/>
        <v>3.34</v>
      </c>
      <c r="AP2890" s="7">
        <f t="shared" si="144"/>
        <v>0</v>
      </c>
      <c r="AQ2890" s="31" t="str">
        <f t="shared" si="145"/>
        <v>Complete - With Adjustment</v>
      </c>
    </row>
    <row r="2891" spans="1:43" x14ac:dyDescent="0.2">
      <c r="A2891" s="46">
        <v>2881</v>
      </c>
      <c r="B2891" s="38" t="s">
        <v>266</v>
      </c>
      <c r="C2891" s="38" t="s">
        <v>283</v>
      </c>
      <c r="D2891" s="38" t="s">
        <v>282</v>
      </c>
      <c r="E2891" s="38" t="s">
        <v>6785</v>
      </c>
      <c r="F2891" s="38" t="s">
        <v>6776</v>
      </c>
      <c r="G2891" s="38" t="s">
        <v>111</v>
      </c>
      <c r="H2891" s="44">
        <v>44202</v>
      </c>
      <c r="I2891" s="44">
        <v>44207</v>
      </c>
      <c r="J2891">
        <v>12949.27</v>
      </c>
      <c r="K2891">
        <v>125.89</v>
      </c>
      <c r="L2891" t="s">
        <v>6786</v>
      </c>
      <c r="M2891" s="45" t="s">
        <v>98</v>
      </c>
      <c r="N2891" s="38" t="s">
        <v>230</v>
      </c>
      <c r="O2891" s="38" t="s">
        <v>284</v>
      </c>
      <c r="P2891" s="38" t="s">
        <v>60</v>
      </c>
      <c r="Q2891" s="38" t="s">
        <v>62</v>
      </c>
      <c r="R2891" s="38" t="s">
        <v>270</v>
      </c>
      <c r="S2891" s="38" t="s">
        <v>6787</v>
      </c>
      <c r="T2891" s="38" t="s">
        <v>6791</v>
      </c>
      <c r="U2891" s="38"/>
      <c r="V2891" s="38"/>
      <c r="W2891" s="38"/>
      <c r="X2891" s="7"/>
      <c r="Y2891" s="57"/>
      <c r="Z2891" s="7"/>
      <c r="AA2891" s="57"/>
      <c r="AB2891" s="7"/>
      <c r="AC2891" s="57"/>
      <c r="AD2891" s="7"/>
      <c r="AE2891" s="57"/>
      <c r="AF2891" s="7"/>
      <c r="AG2891" s="57"/>
      <c r="AH2891" s="7"/>
      <c r="AI2891" s="57"/>
      <c r="AJ2891" s="7"/>
      <c r="AK2891" s="57"/>
      <c r="AL2891" s="7"/>
      <c r="AN2891" s="7" t="s">
        <v>155</v>
      </c>
      <c r="AO2891" s="21">
        <f t="shared" si="143"/>
        <v>0</v>
      </c>
      <c r="AP2891" s="7">
        <f t="shared" si="144"/>
        <v>125.89</v>
      </c>
      <c r="AQ2891" s="31" t="str">
        <f t="shared" si="145"/>
        <v>Complete - No Adjustment</v>
      </c>
    </row>
    <row r="2892" spans="1:43" x14ac:dyDescent="0.2">
      <c r="A2892" s="46">
        <v>2882</v>
      </c>
      <c r="B2892" s="38" t="s">
        <v>266</v>
      </c>
      <c r="C2892" s="38" t="s">
        <v>283</v>
      </c>
      <c r="D2892" s="38" t="s">
        <v>282</v>
      </c>
      <c r="E2892" s="38" t="s">
        <v>6785</v>
      </c>
      <c r="F2892" s="38" t="s">
        <v>6776</v>
      </c>
      <c r="G2892" s="38" t="s">
        <v>111</v>
      </c>
      <c r="H2892" s="44">
        <v>44202</v>
      </c>
      <c r="I2892" s="44">
        <v>44207</v>
      </c>
      <c r="J2892">
        <v>12949.27</v>
      </c>
      <c r="K2892">
        <v>6.63</v>
      </c>
      <c r="L2892" t="s">
        <v>6786</v>
      </c>
      <c r="M2892" s="45" t="s">
        <v>97</v>
      </c>
      <c r="N2892" s="38" t="s">
        <v>230</v>
      </c>
      <c r="O2892" s="38" t="s">
        <v>284</v>
      </c>
      <c r="P2892" s="38" t="s">
        <v>64</v>
      </c>
      <c r="Q2892" s="38" t="s">
        <v>62</v>
      </c>
      <c r="R2892" s="38" t="s">
        <v>270</v>
      </c>
      <c r="S2892" s="38" t="s">
        <v>6787</v>
      </c>
      <c r="T2892" s="38" t="s">
        <v>6791</v>
      </c>
      <c r="U2892" s="38"/>
      <c r="V2892" s="38"/>
      <c r="W2892" s="38"/>
      <c r="X2892" s="7"/>
      <c r="Y2892" s="57"/>
      <c r="Z2892" s="7"/>
      <c r="AA2892" s="57"/>
      <c r="AB2892" s="7"/>
      <c r="AC2892" s="57"/>
      <c r="AD2892" s="7"/>
      <c r="AE2892" s="57"/>
      <c r="AF2892" s="7"/>
      <c r="AG2892" s="57">
        <f>6.63</f>
        <v>6.63</v>
      </c>
      <c r="AH2892" s="7"/>
      <c r="AI2892" s="57"/>
      <c r="AJ2892" s="7"/>
      <c r="AK2892" s="57"/>
      <c r="AL2892" s="7"/>
      <c r="AN2892" s="7" t="s">
        <v>69</v>
      </c>
      <c r="AO2892" s="21">
        <f t="shared" si="143"/>
        <v>6.63</v>
      </c>
      <c r="AP2892" s="7">
        <f t="shared" si="144"/>
        <v>0</v>
      </c>
      <c r="AQ2892" s="31" t="str">
        <f t="shared" si="145"/>
        <v>Complete - With Adjustment</v>
      </c>
    </row>
    <row r="2893" spans="1:43" x14ac:dyDescent="0.2">
      <c r="A2893" s="46">
        <v>2883</v>
      </c>
      <c r="B2893" s="38" t="s">
        <v>266</v>
      </c>
      <c r="C2893" s="38" t="s">
        <v>283</v>
      </c>
      <c r="D2893" s="38" t="s">
        <v>282</v>
      </c>
      <c r="E2893" s="38" t="s">
        <v>6785</v>
      </c>
      <c r="F2893" s="38" t="s">
        <v>6776</v>
      </c>
      <c r="G2893" s="38" t="s">
        <v>111</v>
      </c>
      <c r="H2893" s="44">
        <v>44202</v>
      </c>
      <c r="I2893" s="44">
        <v>44207</v>
      </c>
      <c r="J2893">
        <v>12949.27</v>
      </c>
      <c r="K2893">
        <v>1187.5</v>
      </c>
      <c r="L2893" t="s">
        <v>6786</v>
      </c>
      <c r="M2893" s="45" t="s">
        <v>98</v>
      </c>
      <c r="N2893" s="38" t="s">
        <v>230</v>
      </c>
      <c r="O2893" s="38" t="s">
        <v>284</v>
      </c>
      <c r="P2893" s="38" t="s">
        <v>60</v>
      </c>
      <c r="Q2893" s="38" t="s">
        <v>124</v>
      </c>
      <c r="R2893" s="38" t="s">
        <v>270</v>
      </c>
      <c r="S2893" s="38" t="s">
        <v>6787</v>
      </c>
      <c r="T2893" s="38" t="s">
        <v>6792</v>
      </c>
      <c r="U2893" s="38"/>
      <c r="V2893" s="38"/>
      <c r="W2893" s="38"/>
      <c r="X2893" s="7"/>
      <c r="Y2893" s="57"/>
      <c r="Z2893" s="7"/>
      <c r="AA2893" s="57"/>
      <c r="AB2893" s="7"/>
      <c r="AC2893" s="57"/>
      <c r="AD2893" s="7"/>
      <c r="AE2893" s="57"/>
      <c r="AF2893" s="7"/>
      <c r="AG2893" s="57"/>
      <c r="AH2893" s="7"/>
      <c r="AI2893" s="57"/>
      <c r="AJ2893" s="7"/>
      <c r="AK2893" s="57"/>
      <c r="AL2893" s="7"/>
      <c r="AN2893" s="7" t="s">
        <v>70</v>
      </c>
      <c r="AO2893" s="21">
        <f t="shared" si="143"/>
        <v>0</v>
      </c>
      <c r="AP2893" s="7">
        <f t="shared" si="144"/>
        <v>1187.5</v>
      </c>
      <c r="AQ2893" s="31" t="str">
        <f t="shared" si="145"/>
        <v>Complete - No Adjustment</v>
      </c>
    </row>
    <row r="2894" spans="1:43" x14ac:dyDescent="0.2">
      <c r="A2894" s="46">
        <v>2884</v>
      </c>
      <c r="B2894" s="38" t="s">
        <v>266</v>
      </c>
      <c r="C2894" s="38" t="s">
        <v>283</v>
      </c>
      <c r="D2894" s="38" t="s">
        <v>282</v>
      </c>
      <c r="E2894" s="38" t="s">
        <v>6785</v>
      </c>
      <c r="F2894" s="38" t="s">
        <v>6776</v>
      </c>
      <c r="G2894" s="38" t="s">
        <v>111</v>
      </c>
      <c r="H2894" s="44">
        <v>44202</v>
      </c>
      <c r="I2894" s="44">
        <v>44207</v>
      </c>
      <c r="J2894">
        <v>12949.27</v>
      </c>
      <c r="K2894">
        <v>62.5</v>
      </c>
      <c r="L2894" t="s">
        <v>6786</v>
      </c>
      <c r="M2894" s="45" t="s">
        <v>97</v>
      </c>
      <c r="N2894" s="38" t="s">
        <v>230</v>
      </c>
      <c r="O2894" s="38" t="s">
        <v>284</v>
      </c>
      <c r="P2894" s="38" t="s">
        <v>64</v>
      </c>
      <c r="Q2894" s="38" t="s">
        <v>124</v>
      </c>
      <c r="R2894" s="38" t="s">
        <v>270</v>
      </c>
      <c r="S2894" s="38" t="s">
        <v>6787</v>
      </c>
      <c r="T2894" s="38" t="s">
        <v>6792</v>
      </c>
      <c r="U2894" s="38"/>
      <c r="V2894" s="38"/>
      <c r="W2894" s="38"/>
      <c r="X2894" s="7"/>
      <c r="Y2894" s="57"/>
      <c r="Z2894" s="7"/>
      <c r="AA2894" s="57"/>
      <c r="AB2894" s="7"/>
      <c r="AC2894" s="57"/>
      <c r="AD2894" s="7"/>
      <c r="AE2894" s="57"/>
      <c r="AF2894" s="7"/>
      <c r="AG2894" s="57">
        <f>62.5</f>
        <v>62.5</v>
      </c>
      <c r="AH2894" s="7"/>
      <c r="AI2894" s="57"/>
      <c r="AJ2894" s="7"/>
      <c r="AK2894" s="57"/>
      <c r="AL2894" s="7"/>
      <c r="AN2894" s="7" t="s">
        <v>69</v>
      </c>
      <c r="AO2894" s="21">
        <f t="shared" si="143"/>
        <v>62.5</v>
      </c>
      <c r="AP2894" s="7">
        <f t="shared" si="144"/>
        <v>0</v>
      </c>
      <c r="AQ2894" s="31" t="str">
        <f t="shared" si="145"/>
        <v>Complete - With Adjustment</v>
      </c>
    </row>
    <row r="2895" spans="1:43" x14ac:dyDescent="0.2">
      <c r="A2895" s="46">
        <v>2885</v>
      </c>
      <c r="B2895" s="38" t="s">
        <v>266</v>
      </c>
      <c r="C2895" s="38" t="s">
        <v>283</v>
      </c>
      <c r="D2895" s="38" t="s">
        <v>282</v>
      </c>
      <c r="E2895" s="38" t="s">
        <v>6785</v>
      </c>
      <c r="F2895" s="38" t="s">
        <v>6776</v>
      </c>
      <c r="G2895" s="38" t="s">
        <v>111</v>
      </c>
      <c r="H2895" s="44">
        <v>44202</v>
      </c>
      <c r="I2895" s="44">
        <v>44207</v>
      </c>
      <c r="J2895">
        <v>12949.27</v>
      </c>
      <c r="K2895">
        <v>63.41</v>
      </c>
      <c r="L2895" t="s">
        <v>6786</v>
      </c>
      <c r="M2895" s="45" t="s">
        <v>98</v>
      </c>
      <c r="N2895" s="38" t="s">
        <v>230</v>
      </c>
      <c r="O2895" s="38" t="s">
        <v>284</v>
      </c>
      <c r="P2895" s="38" t="s">
        <v>60</v>
      </c>
      <c r="Q2895" s="38" t="s">
        <v>46</v>
      </c>
      <c r="R2895" s="38" t="s">
        <v>270</v>
      </c>
      <c r="S2895" s="38" t="s">
        <v>6787</v>
      </c>
      <c r="T2895" s="38" t="s">
        <v>6790</v>
      </c>
      <c r="U2895" s="38"/>
      <c r="V2895" s="38"/>
      <c r="W2895" s="38"/>
      <c r="X2895" s="7"/>
      <c r="Y2895" s="57"/>
      <c r="Z2895" s="7"/>
      <c r="AA2895" s="57"/>
      <c r="AB2895" s="7"/>
      <c r="AC2895" s="57"/>
      <c r="AD2895" s="7"/>
      <c r="AE2895" s="57"/>
      <c r="AF2895" s="7"/>
      <c r="AG2895" s="57"/>
      <c r="AH2895" s="7"/>
      <c r="AI2895" s="57">
        <f>63.41</f>
        <v>63.41</v>
      </c>
      <c r="AJ2895" s="7"/>
      <c r="AK2895" s="57"/>
      <c r="AL2895" s="7"/>
      <c r="AN2895" s="7" t="s">
        <v>145</v>
      </c>
      <c r="AO2895" s="21">
        <f t="shared" si="143"/>
        <v>63.41</v>
      </c>
      <c r="AP2895" s="7">
        <f t="shared" si="144"/>
        <v>0</v>
      </c>
      <c r="AQ2895" s="31" t="str">
        <f t="shared" si="145"/>
        <v>Complete - With Adjustment</v>
      </c>
    </row>
    <row r="2896" spans="1:43" x14ac:dyDescent="0.2">
      <c r="A2896" s="46">
        <v>2886</v>
      </c>
      <c r="B2896" s="38" t="s">
        <v>266</v>
      </c>
      <c r="C2896" s="38" t="s">
        <v>286</v>
      </c>
      <c r="D2896" s="38" t="s">
        <v>285</v>
      </c>
      <c r="E2896" s="38" t="s">
        <v>6793</v>
      </c>
      <c r="F2896" s="38" t="s">
        <v>6754</v>
      </c>
      <c r="G2896" s="38" t="s">
        <v>111</v>
      </c>
      <c r="H2896" s="44">
        <v>44211</v>
      </c>
      <c r="I2896" s="44">
        <v>44218</v>
      </c>
      <c r="J2896">
        <v>409.68</v>
      </c>
      <c r="K2896">
        <v>121.23</v>
      </c>
      <c r="L2896" t="s">
        <v>6794</v>
      </c>
      <c r="M2896" s="45" t="s">
        <v>98</v>
      </c>
      <c r="N2896" s="38" t="s">
        <v>230</v>
      </c>
      <c r="O2896" s="38" t="s">
        <v>287</v>
      </c>
      <c r="P2896" s="38" t="s">
        <v>60</v>
      </c>
      <c r="Q2896" s="38" t="s">
        <v>104</v>
      </c>
      <c r="R2896" s="38" t="s">
        <v>270</v>
      </c>
      <c r="S2896" s="38" t="s">
        <v>6795</v>
      </c>
      <c r="T2896" s="38" t="s">
        <v>6796</v>
      </c>
      <c r="U2896" s="38"/>
      <c r="V2896" s="38"/>
      <c r="W2896" s="38"/>
      <c r="X2896" s="7"/>
      <c r="Y2896" s="57"/>
      <c r="Z2896" s="7"/>
      <c r="AA2896" s="57"/>
      <c r="AB2896" s="7"/>
      <c r="AC2896" s="57"/>
      <c r="AD2896" s="7"/>
      <c r="AE2896" s="57"/>
      <c r="AF2896" s="7"/>
      <c r="AG2896" s="57"/>
      <c r="AH2896" s="7"/>
      <c r="AI2896" s="57"/>
      <c r="AJ2896" s="7"/>
      <c r="AK2896" s="57"/>
      <c r="AL2896" s="7"/>
      <c r="AN2896" s="7" t="s">
        <v>70</v>
      </c>
      <c r="AO2896" s="21">
        <f t="shared" si="143"/>
        <v>0</v>
      </c>
      <c r="AP2896" s="7">
        <f t="shared" si="144"/>
        <v>121.23</v>
      </c>
      <c r="AQ2896" s="31" t="str">
        <f t="shared" si="145"/>
        <v>Complete - No Adjustment</v>
      </c>
    </row>
    <row r="2897" spans="1:43" x14ac:dyDescent="0.2">
      <c r="A2897" s="46">
        <v>2887</v>
      </c>
      <c r="B2897" s="38" t="s">
        <v>266</v>
      </c>
      <c r="C2897" s="38" t="s">
        <v>286</v>
      </c>
      <c r="D2897" s="38" t="s">
        <v>285</v>
      </c>
      <c r="E2897" s="38" t="s">
        <v>6793</v>
      </c>
      <c r="F2897" s="38" t="s">
        <v>6754</v>
      </c>
      <c r="G2897" s="38" t="s">
        <v>111</v>
      </c>
      <c r="H2897" s="44">
        <v>44211</v>
      </c>
      <c r="I2897" s="44">
        <v>44218</v>
      </c>
      <c r="J2897">
        <v>409.68</v>
      </c>
      <c r="K2897">
        <v>288.45</v>
      </c>
      <c r="L2897" t="s">
        <v>6794</v>
      </c>
      <c r="M2897" s="45" t="s">
        <v>98</v>
      </c>
      <c r="N2897" s="38" t="s">
        <v>230</v>
      </c>
      <c r="O2897" s="38" t="s">
        <v>287</v>
      </c>
      <c r="P2897" s="38" t="s">
        <v>60</v>
      </c>
      <c r="Q2897" s="38" t="s">
        <v>104</v>
      </c>
      <c r="R2897" s="38" t="s">
        <v>270</v>
      </c>
      <c r="S2897" s="38" t="s">
        <v>6795</v>
      </c>
      <c r="T2897" s="38" t="s">
        <v>6797</v>
      </c>
      <c r="U2897" s="38"/>
      <c r="V2897" s="38"/>
      <c r="W2897" s="38"/>
      <c r="X2897" s="7"/>
      <c r="Y2897" s="57"/>
      <c r="Z2897" s="7"/>
      <c r="AA2897" s="57"/>
      <c r="AB2897" s="7"/>
      <c r="AC2897" s="57"/>
      <c r="AD2897" s="7"/>
      <c r="AE2897" s="57"/>
      <c r="AF2897" s="7"/>
      <c r="AG2897" s="57"/>
      <c r="AH2897" s="7"/>
      <c r="AI2897" s="57"/>
      <c r="AJ2897" s="7"/>
      <c r="AK2897" s="57"/>
      <c r="AL2897" s="7"/>
      <c r="AN2897" s="7" t="s">
        <v>70</v>
      </c>
      <c r="AO2897" s="21">
        <f t="shared" si="143"/>
        <v>0</v>
      </c>
      <c r="AP2897" s="7">
        <f t="shared" si="144"/>
        <v>288.45</v>
      </c>
      <c r="AQ2897" s="31" t="str">
        <f t="shared" si="145"/>
        <v>Complete - No Adjustment</v>
      </c>
    </row>
    <row r="2898" spans="1:43" x14ac:dyDescent="0.2">
      <c r="A2898" s="46">
        <v>2888</v>
      </c>
      <c r="B2898" s="38" t="s">
        <v>266</v>
      </c>
      <c r="C2898" s="38" t="s">
        <v>286</v>
      </c>
      <c r="D2898" s="38" t="s">
        <v>285</v>
      </c>
      <c r="E2898" s="38" t="s">
        <v>6798</v>
      </c>
      <c r="F2898" s="38" t="s">
        <v>6799</v>
      </c>
      <c r="G2898" s="38" t="s">
        <v>111</v>
      </c>
      <c r="H2898" s="44">
        <v>44217</v>
      </c>
      <c r="I2898" s="44">
        <v>44221</v>
      </c>
      <c r="J2898">
        <v>1839.17</v>
      </c>
      <c r="K2898">
        <v>1839.17</v>
      </c>
      <c r="L2898" t="s">
        <v>6800</v>
      </c>
      <c r="M2898" s="45" t="s">
        <v>97</v>
      </c>
      <c r="N2898" s="38" t="s">
        <v>230</v>
      </c>
      <c r="O2898" s="38" t="s">
        <v>50</v>
      </c>
      <c r="P2898" s="38" t="s">
        <v>51</v>
      </c>
      <c r="Q2898" s="38" t="s">
        <v>57</v>
      </c>
      <c r="R2898" s="38" t="s">
        <v>270</v>
      </c>
      <c r="S2898" s="38" t="s">
        <v>6801</v>
      </c>
      <c r="T2898" s="38" t="s">
        <v>6802</v>
      </c>
      <c r="U2898" s="38" t="s">
        <v>6803</v>
      </c>
      <c r="V2898" s="38" t="s">
        <v>112</v>
      </c>
      <c r="W2898" s="38" t="s">
        <v>58</v>
      </c>
      <c r="X2898" s="7"/>
      <c r="Y2898" s="57"/>
      <c r="Z2898" s="7"/>
      <c r="AA2898" s="57"/>
      <c r="AB2898" s="7"/>
      <c r="AC2898" s="57"/>
      <c r="AD2898" s="7"/>
      <c r="AE2898" s="57"/>
      <c r="AF2898" s="7"/>
      <c r="AG2898" s="57"/>
      <c r="AH2898" s="7"/>
      <c r="AI2898" s="57"/>
      <c r="AJ2898" s="7"/>
      <c r="AK2898" s="57"/>
      <c r="AL2898" s="7"/>
      <c r="AN2898" s="7" t="s">
        <v>70</v>
      </c>
      <c r="AO2898" s="21">
        <f t="shared" si="143"/>
        <v>0</v>
      </c>
      <c r="AP2898" s="7">
        <f t="shared" si="144"/>
        <v>1839.17</v>
      </c>
      <c r="AQ2898" s="31" t="str">
        <f t="shared" si="145"/>
        <v>Complete - No Adjustment</v>
      </c>
    </row>
    <row r="2899" spans="1:43" x14ac:dyDescent="0.2">
      <c r="A2899" s="46">
        <v>2889</v>
      </c>
      <c r="B2899" s="38" t="s">
        <v>266</v>
      </c>
      <c r="C2899" s="38" t="s">
        <v>740</v>
      </c>
      <c r="D2899" s="38" t="s">
        <v>739</v>
      </c>
      <c r="E2899" s="38" t="s">
        <v>6804</v>
      </c>
      <c r="F2899" s="38" t="s">
        <v>6805</v>
      </c>
      <c r="G2899" s="38" t="s">
        <v>111</v>
      </c>
      <c r="H2899" s="44">
        <v>44189</v>
      </c>
      <c r="I2899" s="44">
        <v>44216</v>
      </c>
      <c r="J2899">
        <v>200</v>
      </c>
      <c r="K2899">
        <v>50</v>
      </c>
      <c r="L2899" t="s">
        <v>6806</v>
      </c>
      <c r="M2899" s="45" t="s">
        <v>97</v>
      </c>
      <c r="N2899" s="38" t="s">
        <v>230</v>
      </c>
      <c r="O2899" s="38" t="s">
        <v>365</v>
      </c>
      <c r="P2899" s="38" t="s">
        <v>42</v>
      </c>
      <c r="Q2899" s="38" t="s">
        <v>55</v>
      </c>
      <c r="R2899" s="38" t="s">
        <v>270</v>
      </c>
      <c r="S2899" s="38" t="s">
        <v>6807</v>
      </c>
      <c r="T2899" s="38" t="s">
        <v>6808</v>
      </c>
      <c r="U2899" s="38"/>
      <c r="V2899" s="38"/>
      <c r="W2899" s="38"/>
      <c r="X2899" s="7"/>
      <c r="Y2899" s="57"/>
      <c r="Z2899" s="7"/>
      <c r="AA2899" s="57"/>
      <c r="AB2899" s="7"/>
      <c r="AC2899" s="57"/>
      <c r="AD2899" s="7"/>
      <c r="AE2899" s="57"/>
      <c r="AF2899" s="7"/>
      <c r="AG2899" s="57"/>
      <c r="AH2899" s="7"/>
      <c r="AI2899" s="57">
        <f>50</f>
        <v>50</v>
      </c>
      <c r="AJ2899" s="7"/>
      <c r="AK2899" s="57"/>
      <c r="AL2899" s="7"/>
      <c r="AN2899" s="7" t="s">
        <v>145</v>
      </c>
      <c r="AO2899" s="21">
        <f t="shared" si="143"/>
        <v>50</v>
      </c>
      <c r="AP2899" s="7">
        <f t="shared" si="144"/>
        <v>0</v>
      </c>
      <c r="AQ2899" s="31" t="str">
        <f t="shared" si="145"/>
        <v>Complete - With Adjustment</v>
      </c>
    </row>
    <row r="2900" spans="1:43" x14ac:dyDescent="0.2">
      <c r="A2900" s="46">
        <v>2890</v>
      </c>
      <c r="B2900" s="38" t="s">
        <v>266</v>
      </c>
      <c r="C2900" s="38" t="s">
        <v>740</v>
      </c>
      <c r="D2900" s="38" t="s">
        <v>739</v>
      </c>
      <c r="E2900" s="38" t="s">
        <v>6804</v>
      </c>
      <c r="F2900" s="38" t="s">
        <v>6805</v>
      </c>
      <c r="G2900" s="38" t="s">
        <v>111</v>
      </c>
      <c r="H2900" s="44">
        <v>44189</v>
      </c>
      <c r="I2900" s="44">
        <v>44216</v>
      </c>
      <c r="J2900">
        <v>200</v>
      </c>
      <c r="K2900">
        <v>50</v>
      </c>
      <c r="L2900" t="s">
        <v>6806</v>
      </c>
      <c r="M2900" s="45" t="s">
        <v>97</v>
      </c>
      <c r="N2900" s="38" t="s">
        <v>230</v>
      </c>
      <c r="O2900" s="38" t="s">
        <v>365</v>
      </c>
      <c r="P2900" s="38" t="s">
        <v>42</v>
      </c>
      <c r="Q2900" s="38" t="s">
        <v>55</v>
      </c>
      <c r="R2900" s="38" t="s">
        <v>270</v>
      </c>
      <c r="S2900" s="38" t="s">
        <v>6807</v>
      </c>
      <c r="T2900" s="38" t="s">
        <v>6808</v>
      </c>
      <c r="U2900" s="38"/>
      <c r="V2900" s="38"/>
      <c r="W2900" s="38"/>
      <c r="X2900" s="7"/>
      <c r="Y2900" s="57"/>
      <c r="Z2900" s="7"/>
      <c r="AA2900" s="57"/>
      <c r="AB2900" s="7"/>
      <c r="AC2900" s="57"/>
      <c r="AD2900" s="7"/>
      <c r="AE2900" s="57"/>
      <c r="AF2900" s="7"/>
      <c r="AG2900" s="57"/>
      <c r="AH2900" s="7"/>
      <c r="AI2900" s="57">
        <f>50</f>
        <v>50</v>
      </c>
      <c r="AJ2900" s="7"/>
      <c r="AK2900" s="57"/>
      <c r="AL2900" s="7"/>
      <c r="AN2900" s="7" t="s">
        <v>145</v>
      </c>
      <c r="AO2900" s="21">
        <f t="shared" si="143"/>
        <v>50</v>
      </c>
      <c r="AP2900" s="7">
        <f t="shared" si="144"/>
        <v>0</v>
      </c>
      <c r="AQ2900" s="31" t="str">
        <f t="shared" si="145"/>
        <v>Complete - With Adjustment</v>
      </c>
    </row>
    <row r="2901" spans="1:43" x14ac:dyDescent="0.2">
      <c r="A2901" s="46">
        <v>2891</v>
      </c>
      <c r="B2901" s="38" t="s">
        <v>266</v>
      </c>
      <c r="C2901" s="38" t="s">
        <v>740</v>
      </c>
      <c r="D2901" s="38" t="s">
        <v>739</v>
      </c>
      <c r="E2901" s="38" t="s">
        <v>6804</v>
      </c>
      <c r="F2901" s="38" t="s">
        <v>6805</v>
      </c>
      <c r="G2901" s="38" t="s">
        <v>111</v>
      </c>
      <c r="H2901" s="44">
        <v>44189</v>
      </c>
      <c r="I2901" s="44">
        <v>44216</v>
      </c>
      <c r="J2901">
        <v>200</v>
      </c>
      <c r="K2901">
        <v>50</v>
      </c>
      <c r="L2901" t="s">
        <v>6806</v>
      </c>
      <c r="M2901" s="45" t="s">
        <v>97</v>
      </c>
      <c r="N2901" s="38" t="s">
        <v>230</v>
      </c>
      <c r="O2901" s="38" t="s">
        <v>365</v>
      </c>
      <c r="P2901" s="38" t="s">
        <v>42</v>
      </c>
      <c r="Q2901" s="38" t="s">
        <v>55</v>
      </c>
      <c r="R2901" s="38" t="s">
        <v>270</v>
      </c>
      <c r="S2901" s="38" t="s">
        <v>6807</v>
      </c>
      <c r="T2901" s="38" t="s">
        <v>6808</v>
      </c>
      <c r="U2901" s="38"/>
      <c r="V2901" s="38"/>
      <c r="W2901" s="38"/>
      <c r="X2901" s="7"/>
      <c r="Y2901" s="57"/>
      <c r="Z2901" s="7"/>
      <c r="AA2901" s="57"/>
      <c r="AB2901" s="7"/>
      <c r="AC2901" s="57"/>
      <c r="AD2901" s="7"/>
      <c r="AE2901" s="57"/>
      <c r="AF2901" s="7"/>
      <c r="AG2901" s="57"/>
      <c r="AH2901" s="7"/>
      <c r="AI2901" s="57">
        <f>50</f>
        <v>50</v>
      </c>
      <c r="AJ2901" s="7"/>
      <c r="AK2901" s="57"/>
      <c r="AL2901" s="7"/>
      <c r="AN2901" s="7" t="s">
        <v>145</v>
      </c>
      <c r="AO2901" s="21">
        <f t="shared" si="143"/>
        <v>50</v>
      </c>
      <c r="AP2901" s="7">
        <f t="shared" si="144"/>
        <v>0</v>
      </c>
      <c r="AQ2901" s="31" t="str">
        <f t="shared" si="145"/>
        <v>Complete - With Adjustment</v>
      </c>
    </row>
    <row r="2902" spans="1:43" x14ac:dyDescent="0.2">
      <c r="A2902" s="46">
        <v>2892</v>
      </c>
      <c r="B2902" s="38" t="s">
        <v>266</v>
      </c>
      <c r="C2902" s="38" t="s">
        <v>740</v>
      </c>
      <c r="D2902" s="38" t="s">
        <v>739</v>
      </c>
      <c r="E2902" s="38" t="s">
        <v>6804</v>
      </c>
      <c r="F2902" s="38" t="s">
        <v>6805</v>
      </c>
      <c r="G2902" s="38" t="s">
        <v>111</v>
      </c>
      <c r="H2902" s="44">
        <v>44189</v>
      </c>
      <c r="I2902" s="44">
        <v>44216</v>
      </c>
      <c r="J2902">
        <v>200</v>
      </c>
      <c r="K2902">
        <v>50</v>
      </c>
      <c r="L2902" t="s">
        <v>6806</v>
      </c>
      <c r="M2902" s="45" t="s">
        <v>97</v>
      </c>
      <c r="N2902" s="38" t="s">
        <v>230</v>
      </c>
      <c r="O2902" s="38" t="s">
        <v>365</v>
      </c>
      <c r="P2902" s="38" t="s">
        <v>42</v>
      </c>
      <c r="Q2902" s="38" t="s">
        <v>55</v>
      </c>
      <c r="R2902" s="38" t="s">
        <v>270</v>
      </c>
      <c r="S2902" s="38" t="s">
        <v>6807</v>
      </c>
      <c r="T2902" s="38" t="s">
        <v>6808</v>
      </c>
      <c r="U2902" s="38"/>
      <c r="V2902" s="38"/>
      <c r="W2902" s="38"/>
      <c r="X2902" s="7"/>
      <c r="Y2902" s="57"/>
      <c r="Z2902" s="7"/>
      <c r="AA2902" s="57"/>
      <c r="AB2902" s="7"/>
      <c r="AC2902" s="57"/>
      <c r="AD2902" s="7"/>
      <c r="AE2902" s="57"/>
      <c r="AF2902" s="7"/>
      <c r="AG2902" s="57"/>
      <c r="AH2902" s="7"/>
      <c r="AI2902" s="57">
        <f>50</f>
        <v>50</v>
      </c>
      <c r="AJ2902" s="7"/>
      <c r="AK2902" s="57"/>
      <c r="AL2902" s="7"/>
      <c r="AN2902" s="7" t="s">
        <v>145</v>
      </c>
      <c r="AO2902" s="21">
        <f t="shared" si="143"/>
        <v>50</v>
      </c>
      <c r="AP2902" s="7">
        <f t="shared" si="144"/>
        <v>0</v>
      </c>
      <c r="AQ2902" s="31" t="str">
        <f t="shared" si="145"/>
        <v>Complete - With Adjustment</v>
      </c>
    </row>
    <row r="2903" spans="1:43" x14ac:dyDescent="0.2">
      <c r="A2903" s="46">
        <v>2893</v>
      </c>
      <c r="B2903" s="38" t="s">
        <v>266</v>
      </c>
      <c r="C2903" s="38" t="s">
        <v>681</v>
      </c>
      <c r="D2903" s="38" t="s">
        <v>3014</v>
      </c>
      <c r="E2903" s="38" t="s">
        <v>6809</v>
      </c>
      <c r="F2903" s="38" t="s">
        <v>6810</v>
      </c>
      <c r="G2903" s="38" t="s">
        <v>111</v>
      </c>
      <c r="H2903" s="44">
        <v>44209</v>
      </c>
      <c r="I2903" s="44">
        <v>44214</v>
      </c>
      <c r="J2903">
        <v>30.28</v>
      </c>
      <c r="K2903">
        <v>30.28</v>
      </c>
      <c r="L2903" t="s">
        <v>6811</v>
      </c>
      <c r="M2903" s="45" t="s">
        <v>98</v>
      </c>
      <c r="N2903" s="38" t="s">
        <v>230</v>
      </c>
      <c r="O2903" s="38" t="s">
        <v>78</v>
      </c>
      <c r="P2903" s="38" t="s">
        <v>60</v>
      </c>
      <c r="Q2903" s="38" t="s">
        <v>65</v>
      </c>
      <c r="R2903" s="38" t="s">
        <v>270</v>
      </c>
      <c r="S2903" s="38" t="s">
        <v>6812</v>
      </c>
      <c r="T2903" s="38" t="s">
        <v>6813</v>
      </c>
      <c r="U2903" s="38"/>
      <c r="V2903" s="38"/>
      <c r="W2903" s="38"/>
      <c r="X2903" s="7"/>
      <c r="Y2903" s="57"/>
      <c r="Z2903" s="7"/>
      <c r="AA2903" s="57"/>
      <c r="AB2903" s="7"/>
      <c r="AC2903" s="57"/>
      <c r="AD2903" s="7"/>
      <c r="AE2903" s="57"/>
      <c r="AF2903" s="7"/>
      <c r="AG2903" s="57"/>
      <c r="AH2903" s="7"/>
      <c r="AI2903" s="57"/>
      <c r="AJ2903" s="7"/>
      <c r="AK2903" s="57"/>
      <c r="AL2903" s="7"/>
      <c r="AN2903" s="7" t="s">
        <v>70</v>
      </c>
      <c r="AO2903" s="21">
        <f t="shared" si="143"/>
        <v>0</v>
      </c>
      <c r="AP2903" s="7">
        <f t="shared" si="144"/>
        <v>30.28</v>
      </c>
      <c r="AQ2903" s="31" t="str">
        <f t="shared" si="145"/>
        <v>Complete - No Adjustment</v>
      </c>
    </row>
    <row r="2904" spans="1:43" x14ac:dyDescent="0.2">
      <c r="A2904" s="46">
        <v>2894</v>
      </c>
      <c r="B2904" s="38" t="s">
        <v>266</v>
      </c>
      <c r="C2904" s="38" t="s">
        <v>313</v>
      </c>
      <c r="D2904" s="38" t="s">
        <v>312</v>
      </c>
      <c r="E2904" s="38" t="s">
        <v>6814</v>
      </c>
      <c r="F2904" s="38" t="s">
        <v>6810</v>
      </c>
      <c r="G2904" s="38" t="s">
        <v>111</v>
      </c>
      <c r="H2904" s="44">
        <v>44207</v>
      </c>
      <c r="I2904" s="44">
        <v>44214</v>
      </c>
      <c r="J2904">
        <v>1768.59</v>
      </c>
      <c r="K2904">
        <v>679.69</v>
      </c>
      <c r="L2904" t="s">
        <v>6815</v>
      </c>
      <c r="M2904" s="45" t="s">
        <v>98</v>
      </c>
      <c r="N2904" s="38" t="s">
        <v>230</v>
      </c>
      <c r="O2904" s="38" t="s">
        <v>314</v>
      </c>
      <c r="P2904" s="38" t="s">
        <v>60</v>
      </c>
      <c r="Q2904" s="38" t="s">
        <v>73</v>
      </c>
      <c r="R2904" s="38" t="s">
        <v>270</v>
      </c>
      <c r="S2904" s="38" t="s">
        <v>6816</v>
      </c>
      <c r="T2904" s="38" t="s">
        <v>6817</v>
      </c>
      <c r="U2904" s="38"/>
      <c r="V2904" s="38"/>
      <c r="W2904" s="38"/>
      <c r="X2904" s="7"/>
      <c r="Y2904" s="57"/>
      <c r="Z2904" s="7"/>
      <c r="AA2904" s="57"/>
      <c r="AB2904" s="7"/>
      <c r="AC2904" s="57"/>
      <c r="AD2904" s="7"/>
      <c r="AE2904" s="57"/>
      <c r="AF2904" s="7"/>
      <c r="AG2904" s="57"/>
      <c r="AH2904" s="7"/>
      <c r="AI2904" s="57"/>
      <c r="AJ2904" s="7"/>
      <c r="AK2904" s="57"/>
      <c r="AL2904" s="7"/>
      <c r="AN2904" s="7" t="s">
        <v>70</v>
      </c>
      <c r="AO2904" s="21">
        <f t="shared" si="143"/>
        <v>0</v>
      </c>
      <c r="AP2904" s="7">
        <f t="shared" si="144"/>
        <v>679.69</v>
      </c>
      <c r="AQ2904" s="31" t="str">
        <f t="shared" si="145"/>
        <v>Complete - No Adjustment</v>
      </c>
    </row>
    <row r="2905" spans="1:43" x14ac:dyDescent="0.2">
      <c r="A2905" s="46">
        <v>2895</v>
      </c>
      <c r="B2905" s="38" t="s">
        <v>266</v>
      </c>
      <c r="C2905" s="38" t="s">
        <v>313</v>
      </c>
      <c r="D2905" s="38" t="s">
        <v>312</v>
      </c>
      <c r="E2905" s="38" t="s">
        <v>6814</v>
      </c>
      <c r="F2905" s="38" t="s">
        <v>6810</v>
      </c>
      <c r="G2905" s="38" t="s">
        <v>111</v>
      </c>
      <c r="H2905" s="44">
        <v>44207</v>
      </c>
      <c r="I2905" s="44">
        <v>44214</v>
      </c>
      <c r="J2905">
        <v>1768.59</v>
      </c>
      <c r="K2905">
        <v>150.77000000000001</v>
      </c>
      <c r="L2905" t="s">
        <v>6815</v>
      </c>
      <c r="M2905" s="45" t="s">
        <v>98</v>
      </c>
      <c r="N2905" s="38" t="s">
        <v>230</v>
      </c>
      <c r="O2905" s="38" t="s">
        <v>314</v>
      </c>
      <c r="P2905" s="38" t="s">
        <v>60</v>
      </c>
      <c r="Q2905" s="38" t="s">
        <v>62</v>
      </c>
      <c r="R2905" s="38" t="s">
        <v>270</v>
      </c>
      <c r="S2905" s="38" t="s">
        <v>6816</v>
      </c>
      <c r="T2905" s="38" t="s">
        <v>6818</v>
      </c>
      <c r="U2905" s="38"/>
      <c r="V2905" s="38"/>
      <c r="W2905" s="38"/>
      <c r="X2905" s="7"/>
      <c r="Y2905" s="57"/>
      <c r="Z2905" s="7"/>
      <c r="AA2905" s="57"/>
      <c r="AB2905" s="7"/>
      <c r="AC2905" s="57"/>
      <c r="AD2905" s="7"/>
      <c r="AE2905" s="57"/>
      <c r="AF2905" s="7"/>
      <c r="AG2905" s="57"/>
      <c r="AH2905" s="7"/>
      <c r="AI2905" s="57"/>
      <c r="AJ2905" s="7"/>
      <c r="AK2905" s="57"/>
      <c r="AL2905" s="7"/>
      <c r="AN2905" s="7" t="s">
        <v>70</v>
      </c>
      <c r="AO2905" s="21">
        <f t="shared" si="143"/>
        <v>0</v>
      </c>
      <c r="AP2905" s="7">
        <f t="shared" si="144"/>
        <v>150.77000000000001</v>
      </c>
      <c r="AQ2905" s="31" t="str">
        <f t="shared" si="145"/>
        <v>Complete - No Adjustment</v>
      </c>
    </row>
    <row r="2906" spans="1:43" x14ac:dyDescent="0.2">
      <c r="A2906" s="46">
        <v>2896</v>
      </c>
      <c r="B2906" s="38" t="s">
        <v>266</v>
      </c>
      <c r="C2906" s="38" t="s">
        <v>313</v>
      </c>
      <c r="D2906" s="38" t="s">
        <v>312</v>
      </c>
      <c r="E2906" s="38" t="s">
        <v>6814</v>
      </c>
      <c r="F2906" s="38" t="s">
        <v>6810</v>
      </c>
      <c r="G2906" s="38" t="s">
        <v>111</v>
      </c>
      <c r="H2906" s="44">
        <v>44207</v>
      </c>
      <c r="I2906" s="44">
        <v>44214</v>
      </c>
      <c r="J2906">
        <v>1768.59</v>
      </c>
      <c r="K2906">
        <v>10.65</v>
      </c>
      <c r="L2906" t="s">
        <v>6815</v>
      </c>
      <c r="M2906" s="45" t="s">
        <v>98</v>
      </c>
      <c r="N2906" s="38" t="s">
        <v>230</v>
      </c>
      <c r="O2906" s="38" t="s">
        <v>314</v>
      </c>
      <c r="P2906" s="38" t="s">
        <v>60</v>
      </c>
      <c r="Q2906" s="38" t="s">
        <v>62</v>
      </c>
      <c r="R2906" s="38" t="s">
        <v>270</v>
      </c>
      <c r="S2906" s="38" t="s">
        <v>6816</v>
      </c>
      <c r="T2906" s="38" t="s">
        <v>6819</v>
      </c>
      <c r="U2906" s="38"/>
      <c r="V2906" s="38"/>
      <c r="W2906" s="38"/>
      <c r="X2906" s="7"/>
      <c r="Y2906" s="57"/>
      <c r="Z2906" s="7"/>
      <c r="AA2906" s="57"/>
      <c r="AB2906" s="7"/>
      <c r="AC2906" s="57"/>
      <c r="AD2906" s="7"/>
      <c r="AE2906" s="57"/>
      <c r="AF2906" s="7"/>
      <c r="AG2906" s="57"/>
      <c r="AH2906" s="7"/>
      <c r="AI2906" s="57"/>
      <c r="AJ2906" s="7"/>
      <c r="AK2906" s="57"/>
      <c r="AL2906" s="7"/>
      <c r="AN2906" s="7" t="s">
        <v>70</v>
      </c>
      <c r="AO2906" s="21">
        <f t="shared" si="143"/>
        <v>0</v>
      </c>
      <c r="AP2906" s="7">
        <f t="shared" si="144"/>
        <v>10.65</v>
      </c>
      <c r="AQ2906" s="31" t="str">
        <f t="shared" si="145"/>
        <v>Complete - No Adjustment</v>
      </c>
    </row>
    <row r="2907" spans="1:43" x14ac:dyDescent="0.2">
      <c r="A2907" s="46">
        <v>2897</v>
      </c>
      <c r="B2907" s="38" t="s">
        <v>266</v>
      </c>
      <c r="C2907" s="38" t="s">
        <v>313</v>
      </c>
      <c r="D2907" s="38" t="s">
        <v>312</v>
      </c>
      <c r="E2907" s="38" t="s">
        <v>6814</v>
      </c>
      <c r="F2907" s="38" t="s">
        <v>6810</v>
      </c>
      <c r="G2907" s="38" t="s">
        <v>111</v>
      </c>
      <c r="H2907" s="44">
        <v>44207</v>
      </c>
      <c r="I2907" s="44">
        <v>44214</v>
      </c>
      <c r="J2907">
        <v>1768.59</v>
      </c>
      <c r="K2907">
        <v>271.08999999999997</v>
      </c>
      <c r="L2907" t="s">
        <v>6815</v>
      </c>
      <c r="M2907" s="45" t="s">
        <v>98</v>
      </c>
      <c r="N2907" s="38" t="s">
        <v>230</v>
      </c>
      <c r="O2907" s="38" t="s">
        <v>314</v>
      </c>
      <c r="P2907" s="38" t="s">
        <v>60</v>
      </c>
      <c r="Q2907" s="38" t="s">
        <v>41</v>
      </c>
      <c r="R2907" s="38" t="s">
        <v>270</v>
      </c>
      <c r="S2907" s="38" t="s">
        <v>6816</v>
      </c>
      <c r="T2907" s="38" t="s">
        <v>6820</v>
      </c>
      <c r="U2907" s="38"/>
      <c r="V2907" s="38"/>
      <c r="W2907" s="38"/>
      <c r="X2907" s="7"/>
      <c r="Y2907" s="57"/>
      <c r="Z2907" s="7"/>
      <c r="AA2907" s="57"/>
      <c r="AB2907" s="7"/>
      <c r="AC2907" s="57"/>
      <c r="AD2907" s="7"/>
      <c r="AE2907" s="57"/>
      <c r="AF2907" s="7"/>
      <c r="AG2907" s="57"/>
      <c r="AH2907" s="7"/>
      <c r="AI2907" s="57"/>
      <c r="AJ2907" s="7"/>
      <c r="AK2907" s="57"/>
      <c r="AL2907" s="7"/>
      <c r="AN2907" s="7" t="s">
        <v>70</v>
      </c>
      <c r="AO2907" s="21">
        <f t="shared" si="143"/>
        <v>0</v>
      </c>
      <c r="AP2907" s="7">
        <f t="shared" si="144"/>
        <v>271.08999999999997</v>
      </c>
      <c r="AQ2907" s="31" t="str">
        <f t="shared" si="145"/>
        <v>Complete - No Adjustment</v>
      </c>
    </row>
    <row r="2908" spans="1:43" x14ac:dyDescent="0.2">
      <c r="A2908" s="46">
        <v>2898</v>
      </c>
      <c r="B2908" s="38" t="s">
        <v>266</v>
      </c>
      <c r="C2908" s="38" t="s">
        <v>313</v>
      </c>
      <c r="D2908" s="38" t="s">
        <v>312</v>
      </c>
      <c r="E2908" s="38" t="s">
        <v>6814</v>
      </c>
      <c r="F2908" s="38" t="s">
        <v>6810</v>
      </c>
      <c r="G2908" s="38" t="s">
        <v>111</v>
      </c>
      <c r="H2908" s="44">
        <v>44207</v>
      </c>
      <c r="I2908" s="44">
        <v>44214</v>
      </c>
      <c r="J2908">
        <v>1768.59</v>
      </c>
      <c r="K2908">
        <v>13.14</v>
      </c>
      <c r="L2908" t="s">
        <v>6815</v>
      </c>
      <c r="M2908" s="45" t="s">
        <v>98</v>
      </c>
      <c r="N2908" s="38" t="s">
        <v>230</v>
      </c>
      <c r="O2908" s="38" t="s">
        <v>314</v>
      </c>
      <c r="P2908" s="38" t="s">
        <v>60</v>
      </c>
      <c r="Q2908" s="38" t="s">
        <v>41</v>
      </c>
      <c r="R2908" s="38" t="s">
        <v>270</v>
      </c>
      <c r="S2908" s="38" t="s">
        <v>6816</v>
      </c>
      <c r="T2908" s="38" t="s">
        <v>6821</v>
      </c>
      <c r="U2908" s="38"/>
      <c r="V2908" s="38"/>
      <c r="W2908" s="38"/>
      <c r="X2908" s="7"/>
      <c r="Y2908" s="57"/>
      <c r="Z2908" s="7"/>
      <c r="AA2908" s="57"/>
      <c r="AB2908" s="7"/>
      <c r="AC2908" s="57"/>
      <c r="AD2908" s="7"/>
      <c r="AE2908" s="57"/>
      <c r="AF2908" s="7"/>
      <c r="AG2908" s="57"/>
      <c r="AH2908" s="7"/>
      <c r="AI2908" s="57"/>
      <c r="AJ2908" s="7"/>
      <c r="AK2908" s="57"/>
      <c r="AL2908" s="7"/>
      <c r="AN2908" s="7" t="s">
        <v>70</v>
      </c>
      <c r="AO2908" s="21">
        <f t="shared" si="143"/>
        <v>0</v>
      </c>
      <c r="AP2908" s="7">
        <f t="shared" si="144"/>
        <v>13.14</v>
      </c>
      <c r="AQ2908" s="31" t="str">
        <f t="shared" si="145"/>
        <v>Complete - No Adjustment</v>
      </c>
    </row>
    <row r="2909" spans="1:43" x14ac:dyDescent="0.2">
      <c r="A2909" s="46">
        <v>2899</v>
      </c>
      <c r="B2909" s="38" t="s">
        <v>266</v>
      </c>
      <c r="C2909" s="38" t="s">
        <v>313</v>
      </c>
      <c r="D2909" s="38" t="s">
        <v>312</v>
      </c>
      <c r="E2909" s="38" t="s">
        <v>6814</v>
      </c>
      <c r="F2909" s="38" t="s">
        <v>6810</v>
      </c>
      <c r="G2909" s="38" t="s">
        <v>111</v>
      </c>
      <c r="H2909" s="44">
        <v>44207</v>
      </c>
      <c r="I2909" s="44">
        <v>44214</v>
      </c>
      <c r="J2909">
        <v>1768.59</v>
      </c>
      <c r="K2909">
        <v>178.48</v>
      </c>
      <c r="L2909" t="s">
        <v>6815</v>
      </c>
      <c r="M2909" s="45" t="s">
        <v>98</v>
      </c>
      <c r="N2909" s="38" t="s">
        <v>230</v>
      </c>
      <c r="O2909" s="38" t="s">
        <v>314</v>
      </c>
      <c r="P2909" s="38" t="s">
        <v>60</v>
      </c>
      <c r="Q2909" s="38" t="s">
        <v>46</v>
      </c>
      <c r="R2909" s="38" t="s">
        <v>270</v>
      </c>
      <c r="S2909" s="38" t="s">
        <v>6816</v>
      </c>
      <c r="T2909" s="38" t="s">
        <v>6822</v>
      </c>
      <c r="U2909" s="38"/>
      <c r="V2909" s="38"/>
      <c r="W2909" s="38"/>
      <c r="X2909" s="7"/>
      <c r="Y2909" s="57"/>
      <c r="Z2909" s="7"/>
      <c r="AA2909" s="57"/>
      <c r="AB2909" s="7"/>
      <c r="AC2909" s="57"/>
      <c r="AD2909" s="7"/>
      <c r="AE2909" s="57"/>
      <c r="AF2909" s="7"/>
      <c r="AG2909" s="57"/>
      <c r="AH2909" s="7"/>
      <c r="AI2909" s="57">
        <f>178.48</f>
        <v>178.48</v>
      </c>
      <c r="AJ2909" s="7"/>
      <c r="AK2909" s="57"/>
      <c r="AL2909" s="7"/>
      <c r="AN2909" s="7" t="s">
        <v>145</v>
      </c>
      <c r="AO2909" s="21">
        <f t="shared" si="143"/>
        <v>178.48</v>
      </c>
      <c r="AP2909" s="7">
        <f t="shared" si="144"/>
        <v>0</v>
      </c>
      <c r="AQ2909" s="31" t="str">
        <f t="shared" si="145"/>
        <v>Complete - With Adjustment</v>
      </c>
    </row>
    <row r="2910" spans="1:43" x14ac:dyDescent="0.2">
      <c r="A2910" s="46">
        <v>2900</v>
      </c>
      <c r="B2910" s="38" t="s">
        <v>266</v>
      </c>
      <c r="C2910" s="38" t="s">
        <v>313</v>
      </c>
      <c r="D2910" s="38" t="s">
        <v>312</v>
      </c>
      <c r="E2910" s="38" t="s">
        <v>6814</v>
      </c>
      <c r="F2910" s="38" t="s">
        <v>6810</v>
      </c>
      <c r="G2910" s="38" t="s">
        <v>111</v>
      </c>
      <c r="H2910" s="44">
        <v>44207</v>
      </c>
      <c r="I2910" s="44">
        <v>44214</v>
      </c>
      <c r="J2910">
        <v>1768.59</v>
      </c>
      <c r="K2910">
        <v>296.7</v>
      </c>
      <c r="L2910" t="s">
        <v>6815</v>
      </c>
      <c r="M2910" s="45" t="s">
        <v>98</v>
      </c>
      <c r="N2910" s="38" t="s">
        <v>230</v>
      </c>
      <c r="O2910" s="38" t="s">
        <v>314</v>
      </c>
      <c r="P2910" s="38" t="s">
        <v>60</v>
      </c>
      <c r="Q2910" s="38" t="s">
        <v>44</v>
      </c>
      <c r="R2910" s="38" t="s">
        <v>270</v>
      </c>
      <c r="S2910" s="38" t="s">
        <v>6816</v>
      </c>
      <c r="T2910" s="38" t="s">
        <v>6823</v>
      </c>
      <c r="U2910" s="38"/>
      <c r="V2910" s="38"/>
      <c r="W2910" s="38"/>
      <c r="X2910" s="7"/>
      <c r="Y2910" s="57"/>
      <c r="Z2910" s="7"/>
      <c r="AA2910" s="57"/>
      <c r="AB2910" s="7"/>
      <c r="AC2910" s="57"/>
      <c r="AD2910" s="7"/>
      <c r="AE2910" s="57"/>
      <c r="AF2910" s="7"/>
      <c r="AG2910" s="57"/>
      <c r="AH2910" s="7"/>
      <c r="AI2910" s="57"/>
      <c r="AJ2910" s="7"/>
      <c r="AK2910" s="57">
        <f>(56+56)*0.575</f>
        <v>64.399999999999991</v>
      </c>
      <c r="AL2910" s="7"/>
      <c r="AN2910" s="7" t="s">
        <v>148</v>
      </c>
      <c r="AO2910" s="21">
        <f t="shared" si="143"/>
        <v>64.399999999999991</v>
      </c>
      <c r="AP2910" s="7">
        <f t="shared" si="144"/>
        <v>232.3</v>
      </c>
      <c r="AQ2910" s="31" t="str">
        <f t="shared" si="145"/>
        <v>Complete - With Adjustment</v>
      </c>
    </row>
    <row r="2911" spans="1:43" x14ac:dyDescent="0.2">
      <c r="A2911" s="46">
        <v>2901</v>
      </c>
      <c r="B2911" s="38" t="s">
        <v>266</v>
      </c>
      <c r="C2911" s="38" t="s">
        <v>313</v>
      </c>
      <c r="D2911" s="38" t="s">
        <v>312</v>
      </c>
      <c r="E2911" s="38" t="s">
        <v>6814</v>
      </c>
      <c r="F2911" s="38" t="s">
        <v>6810</v>
      </c>
      <c r="G2911" s="38" t="s">
        <v>111</v>
      </c>
      <c r="H2911" s="44">
        <v>44207</v>
      </c>
      <c r="I2911" s="44">
        <v>44214</v>
      </c>
      <c r="J2911">
        <v>1768.59</v>
      </c>
      <c r="K2911">
        <v>168.07</v>
      </c>
      <c r="L2911" t="s">
        <v>6815</v>
      </c>
      <c r="M2911" s="45" t="s">
        <v>98</v>
      </c>
      <c r="N2911" s="38" t="s">
        <v>230</v>
      </c>
      <c r="O2911" s="38" t="s">
        <v>314</v>
      </c>
      <c r="P2911" s="38" t="s">
        <v>60</v>
      </c>
      <c r="Q2911" s="38" t="s">
        <v>46</v>
      </c>
      <c r="R2911" s="38" t="s">
        <v>270</v>
      </c>
      <c r="S2911" s="38" t="s">
        <v>6816</v>
      </c>
      <c r="T2911" s="38" t="s">
        <v>6824</v>
      </c>
      <c r="U2911" s="38"/>
      <c r="V2911" s="38"/>
      <c r="W2911" s="38"/>
      <c r="X2911" s="7"/>
      <c r="Y2911" s="57"/>
      <c r="Z2911" s="7"/>
      <c r="AA2911" s="57"/>
      <c r="AB2911" s="7"/>
      <c r="AC2911" s="57"/>
      <c r="AD2911" s="7"/>
      <c r="AE2911" s="57"/>
      <c r="AF2911" s="7"/>
      <c r="AG2911" s="57"/>
      <c r="AH2911" s="7"/>
      <c r="AI2911" s="57">
        <f>168.07</f>
        <v>168.07</v>
      </c>
      <c r="AJ2911" s="7"/>
      <c r="AK2911" s="57"/>
      <c r="AL2911" s="7"/>
      <c r="AN2911" s="7" t="s">
        <v>145</v>
      </c>
      <c r="AO2911" s="21">
        <f t="shared" si="143"/>
        <v>168.07</v>
      </c>
      <c r="AP2911" s="7">
        <f t="shared" si="144"/>
        <v>0</v>
      </c>
      <c r="AQ2911" s="31" t="str">
        <f t="shared" si="145"/>
        <v>Complete - With Adjustment</v>
      </c>
    </row>
    <row r="2912" spans="1:43" x14ac:dyDescent="0.2">
      <c r="A2912" s="46">
        <v>2902</v>
      </c>
      <c r="B2912" s="38" t="s">
        <v>266</v>
      </c>
      <c r="C2912" s="38" t="s">
        <v>6825</v>
      </c>
      <c r="D2912" s="38" t="s">
        <v>6826</v>
      </c>
      <c r="E2912" s="38" t="s">
        <v>6827</v>
      </c>
      <c r="F2912" s="38" t="s">
        <v>6828</v>
      </c>
      <c r="G2912" s="38" t="s">
        <v>111</v>
      </c>
      <c r="H2912" s="44">
        <v>44208</v>
      </c>
      <c r="I2912" s="44">
        <v>44210</v>
      </c>
      <c r="J2912">
        <v>194.84</v>
      </c>
      <c r="K2912">
        <v>194.84</v>
      </c>
      <c r="L2912" t="s">
        <v>6829</v>
      </c>
      <c r="M2912" s="45" t="s">
        <v>98</v>
      </c>
      <c r="N2912" s="38" t="s">
        <v>230</v>
      </c>
      <c r="O2912" s="38" t="s">
        <v>294</v>
      </c>
      <c r="P2912" s="38" t="s">
        <v>60</v>
      </c>
      <c r="Q2912" s="38" t="s">
        <v>104</v>
      </c>
      <c r="R2912" s="38" t="s">
        <v>270</v>
      </c>
      <c r="S2912" s="38" t="s">
        <v>6830</v>
      </c>
      <c r="T2912" s="38" t="s">
        <v>6831</v>
      </c>
      <c r="U2912" s="38"/>
      <c r="V2912" s="38"/>
      <c r="W2912" s="38"/>
      <c r="X2912" s="7"/>
      <c r="Y2912" s="57"/>
      <c r="Z2912" s="7"/>
      <c r="AA2912" s="57"/>
      <c r="AB2912" s="7"/>
      <c r="AC2912" s="57"/>
      <c r="AD2912" s="7"/>
      <c r="AE2912" s="57"/>
      <c r="AF2912" s="7"/>
      <c r="AG2912" s="57"/>
      <c r="AH2912" s="7"/>
      <c r="AI2912" s="57"/>
      <c r="AJ2912" s="7"/>
      <c r="AK2912" s="57"/>
      <c r="AL2912" s="7"/>
      <c r="AN2912" s="7" t="s">
        <v>70</v>
      </c>
      <c r="AO2912" s="21">
        <f t="shared" si="143"/>
        <v>0</v>
      </c>
      <c r="AP2912" s="7">
        <f t="shared" si="144"/>
        <v>194.84</v>
      </c>
      <c r="AQ2912" s="31" t="str">
        <f t="shared" si="145"/>
        <v>Complete - No Adjustment</v>
      </c>
    </row>
    <row r="2913" spans="1:43" x14ac:dyDescent="0.2">
      <c r="A2913" s="46">
        <v>2903</v>
      </c>
      <c r="B2913" s="38" t="s">
        <v>266</v>
      </c>
      <c r="C2913" s="38" t="s">
        <v>742</v>
      </c>
      <c r="D2913" s="38" t="s">
        <v>741</v>
      </c>
      <c r="E2913" s="38" t="s">
        <v>6832</v>
      </c>
      <c r="F2913" s="38" t="s">
        <v>6833</v>
      </c>
      <c r="G2913" s="38" t="s">
        <v>111</v>
      </c>
      <c r="H2913" s="44">
        <v>44216</v>
      </c>
      <c r="I2913" s="44">
        <v>44222</v>
      </c>
      <c r="J2913">
        <v>10.7</v>
      </c>
      <c r="K2913">
        <v>10.7</v>
      </c>
      <c r="L2913" t="s">
        <v>6834</v>
      </c>
      <c r="M2913" s="45" t="s">
        <v>98</v>
      </c>
      <c r="N2913" s="38" t="s">
        <v>230</v>
      </c>
      <c r="O2913" s="38" t="s">
        <v>288</v>
      </c>
      <c r="P2913" s="38" t="s">
        <v>60</v>
      </c>
      <c r="Q2913" s="38" t="s">
        <v>41</v>
      </c>
      <c r="R2913" s="38" t="s">
        <v>270</v>
      </c>
      <c r="S2913" s="38" t="s">
        <v>3063</v>
      </c>
      <c r="T2913" s="38" t="s">
        <v>3064</v>
      </c>
      <c r="U2913" s="38"/>
      <c r="V2913" s="38"/>
      <c r="W2913" s="38"/>
      <c r="X2913" s="7"/>
      <c r="Y2913" s="57"/>
      <c r="Z2913" s="7"/>
      <c r="AA2913" s="57"/>
      <c r="AB2913" s="7"/>
      <c r="AC2913" s="57"/>
      <c r="AD2913" s="7"/>
      <c r="AE2913" s="57"/>
      <c r="AF2913" s="7"/>
      <c r="AG2913" s="57"/>
      <c r="AH2913" s="7"/>
      <c r="AI2913" s="57">
        <f>10.7</f>
        <v>10.7</v>
      </c>
      <c r="AJ2913" s="7"/>
      <c r="AK2913" s="57"/>
      <c r="AL2913" s="7"/>
      <c r="AN2913" s="7" t="s">
        <v>145</v>
      </c>
      <c r="AO2913" s="21">
        <f t="shared" si="143"/>
        <v>10.7</v>
      </c>
      <c r="AP2913" s="7">
        <f t="shared" si="144"/>
        <v>0</v>
      </c>
      <c r="AQ2913" s="31" t="str">
        <f t="shared" si="145"/>
        <v>Complete - With Adjustment</v>
      </c>
    </row>
    <row r="2914" spans="1:43" x14ac:dyDescent="0.2">
      <c r="A2914" s="46">
        <v>2904</v>
      </c>
      <c r="B2914" s="38" t="s">
        <v>266</v>
      </c>
      <c r="C2914" s="38" t="s">
        <v>742</v>
      </c>
      <c r="D2914" s="38" t="s">
        <v>741</v>
      </c>
      <c r="E2914" s="38" t="s">
        <v>6835</v>
      </c>
      <c r="F2914" s="38" t="s">
        <v>6836</v>
      </c>
      <c r="G2914" s="38" t="s">
        <v>111</v>
      </c>
      <c r="H2914" s="44">
        <v>44201</v>
      </c>
      <c r="I2914" s="44">
        <v>44203</v>
      </c>
      <c r="J2914">
        <v>14.27</v>
      </c>
      <c r="K2914">
        <v>14.27</v>
      </c>
      <c r="L2914" t="s">
        <v>6837</v>
      </c>
      <c r="M2914" s="45" t="s">
        <v>98</v>
      </c>
      <c r="N2914" s="38" t="s">
        <v>230</v>
      </c>
      <c r="O2914" s="38" t="s">
        <v>288</v>
      </c>
      <c r="P2914" s="38" t="s">
        <v>60</v>
      </c>
      <c r="Q2914" s="38" t="s">
        <v>41</v>
      </c>
      <c r="R2914" s="38" t="s">
        <v>270</v>
      </c>
      <c r="S2914" s="38" t="s">
        <v>3063</v>
      </c>
      <c r="T2914" s="38" t="s">
        <v>3064</v>
      </c>
      <c r="U2914" s="38"/>
      <c r="V2914" s="38"/>
      <c r="W2914" s="38"/>
      <c r="X2914" s="7"/>
      <c r="Y2914" s="57"/>
      <c r="Z2914" s="7"/>
      <c r="AA2914" s="57"/>
      <c r="AB2914" s="7"/>
      <c r="AC2914" s="57"/>
      <c r="AD2914" s="7"/>
      <c r="AE2914" s="57"/>
      <c r="AF2914" s="7"/>
      <c r="AG2914" s="57"/>
      <c r="AH2914" s="7"/>
      <c r="AI2914" s="57">
        <f>14.27</f>
        <v>14.27</v>
      </c>
      <c r="AJ2914" s="7"/>
      <c r="AK2914" s="57"/>
      <c r="AL2914" s="7"/>
      <c r="AN2914" s="7" t="s">
        <v>145</v>
      </c>
      <c r="AO2914" s="21">
        <f t="shared" si="143"/>
        <v>14.27</v>
      </c>
      <c r="AP2914" s="7">
        <f t="shared" si="144"/>
        <v>0</v>
      </c>
      <c r="AQ2914" s="31" t="str">
        <f t="shared" si="145"/>
        <v>Complete - With Adjustment</v>
      </c>
    </row>
    <row r="2915" spans="1:43" x14ac:dyDescent="0.2">
      <c r="A2915" s="46">
        <v>2905</v>
      </c>
      <c r="B2915" s="38" t="s">
        <v>266</v>
      </c>
      <c r="C2915" s="38" t="s">
        <v>742</v>
      </c>
      <c r="D2915" s="38" t="s">
        <v>741</v>
      </c>
      <c r="E2915" s="38" t="s">
        <v>6838</v>
      </c>
      <c r="F2915" s="38" t="s">
        <v>6810</v>
      </c>
      <c r="G2915" s="38" t="s">
        <v>111</v>
      </c>
      <c r="H2915" s="44">
        <v>44209</v>
      </c>
      <c r="I2915" s="44">
        <v>44214</v>
      </c>
      <c r="J2915">
        <v>14.61</v>
      </c>
      <c r="K2915">
        <v>14.61</v>
      </c>
      <c r="L2915" t="s">
        <v>6839</v>
      </c>
      <c r="M2915" s="45" t="s">
        <v>98</v>
      </c>
      <c r="N2915" s="38" t="s">
        <v>230</v>
      </c>
      <c r="O2915" s="38" t="s">
        <v>288</v>
      </c>
      <c r="P2915" s="38" t="s">
        <v>60</v>
      </c>
      <c r="Q2915" s="38" t="s">
        <v>41</v>
      </c>
      <c r="R2915" s="38" t="s">
        <v>270</v>
      </c>
      <c r="S2915" s="38" t="s">
        <v>3067</v>
      </c>
      <c r="T2915" s="38" t="s">
        <v>3068</v>
      </c>
      <c r="U2915" s="38"/>
      <c r="V2915" s="38"/>
      <c r="W2915" s="38"/>
      <c r="X2915" s="7"/>
      <c r="Y2915" s="57"/>
      <c r="Z2915" s="7"/>
      <c r="AA2915" s="57"/>
      <c r="AB2915" s="7"/>
      <c r="AC2915" s="57"/>
      <c r="AD2915" s="7"/>
      <c r="AE2915" s="57"/>
      <c r="AF2915" s="7"/>
      <c r="AG2915" s="57"/>
      <c r="AH2915" s="7"/>
      <c r="AI2915" s="57"/>
      <c r="AJ2915" s="7"/>
      <c r="AK2915" s="57"/>
      <c r="AL2915" s="7">
        <v>14.61</v>
      </c>
      <c r="AN2915" s="7" t="s">
        <v>146</v>
      </c>
      <c r="AO2915" s="21">
        <f t="shared" si="143"/>
        <v>14.61</v>
      </c>
      <c r="AP2915" s="7">
        <f t="shared" si="144"/>
        <v>0</v>
      </c>
      <c r="AQ2915" s="31" t="str">
        <f t="shared" si="145"/>
        <v>Complete - With Adjustment</v>
      </c>
    </row>
    <row r="2916" spans="1:43" x14ac:dyDescent="0.2">
      <c r="A2916" s="46">
        <v>2906</v>
      </c>
      <c r="B2916" s="38" t="s">
        <v>266</v>
      </c>
      <c r="C2916" s="38" t="s">
        <v>316</v>
      </c>
      <c r="D2916" s="38" t="s">
        <v>315</v>
      </c>
      <c r="E2916" s="38" t="s">
        <v>6840</v>
      </c>
      <c r="F2916" s="38" t="s">
        <v>6805</v>
      </c>
      <c r="G2916" s="38" t="s">
        <v>111</v>
      </c>
      <c r="H2916" s="44">
        <v>44139</v>
      </c>
      <c r="I2916" s="44">
        <v>44216</v>
      </c>
      <c r="J2916">
        <v>472.25</v>
      </c>
      <c r="K2916">
        <v>24.53</v>
      </c>
      <c r="L2916" t="s">
        <v>6841</v>
      </c>
      <c r="M2916" s="45" t="s">
        <v>98</v>
      </c>
      <c r="N2916" s="38" t="s">
        <v>230</v>
      </c>
      <c r="O2916" s="38" t="s">
        <v>317</v>
      </c>
      <c r="P2916" s="38" t="s">
        <v>60</v>
      </c>
      <c r="Q2916" s="38" t="s">
        <v>56</v>
      </c>
      <c r="R2916" s="38" t="s">
        <v>270</v>
      </c>
      <c r="S2916" s="38" t="s">
        <v>6842</v>
      </c>
      <c r="T2916" s="38" t="s">
        <v>6843</v>
      </c>
      <c r="U2916" s="38"/>
      <c r="V2916" s="38"/>
      <c r="W2916" s="38"/>
      <c r="X2916" s="7"/>
      <c r="Y2916" s="57"/>
      <c r="Z2916" s="7"/>
      <c r="AA2916" s="57"/>
      <c r="AB2916" s="7"/>
      <c r="AC2916" s="57"/>
      <c r="AD2916" s="7"/>
      <c r="AE2916" s="57"/>
      <c r="AF2916" s="7"/>
      <c r="AG2916" s="57"/>
      <c r="AH2916" s="7"/>
      <c r="AI2916" s="57"/>
      <c r="AJ2916" s="7"/>
      <c r="AK2916" s="57"/>
      <c r="AL2916" s="7"/>
      <c r="AN2916" s="7" t="s">
        <v>70</v>
      </c>
      <c r="AO2916" s="21">
        <f t="shared" si="143"/>
        <v>0</v>
      </c>
      <c r="AP2916" s="7">
        <f t="shared" si="144"/>
        <v>24.53</v>
      </c>
      <c r="AQ2916" s="31" t="str">
        <f t="shared" si="145"/>
        <v>Complete - No Adjustment</v>
      </c>
    </row>
    <row r="2917" spans="1:43" x14ac:dyDescent="0.2">
      <c r="A2917" s="46">
        <v>2907</v>
      </c>
      <c r="B2917" s="38" t="s">
        <v>266</v>
      </c>
      <c r="C2917" s="38" t="s">
        <v>316</v>
      </c>
      <c r="D2917" s="38" t="s">
        <v>315</v>
      </c>
      <c r="E2917" s="38" t="s">
        <v>6840</v>
      </c>
      <c r="F2917" s="38" t="s">
        <v>6805</v>
      </c>
      <c r="G2917" s="38" t="s">
        <v>111</v>
      </c>
      <c r="H2917" s="44">
        <v>44139</v>
      </c>
      <c r="I2917" s="44">
        <v>44216</v>
      </c>
      <c r="J2917">
        <v>472.25</v>
      </c>
      <c r="K2917">
        <v>75</v>
      </c>
      <c r="L2917" t="s">
        <v>6841</v>
      </c>
      <c r="M2917" s="45" t="s">
        <v>98</v>
      </c>
      <c r="N2917" s="38" t="s">
        <v>230</v>
      </c>
      <c r="O2917" s="38" t="s">
        <v>317</v>
      </c>
      <c r="P2917" s="38" t="s">
        <v>60</v>
      </c>
      <c r="Q2917" s="38" t="s">
        <v>59</v>
      </c>
      <c r="R2917" s="38" t="s">
        <v>270</v>
      </c>
      <c r="S2917" s="38" t="s">
        <v>6842</v>
      </c>
      <c r="T2917" s="38" t="s">
        <v>6844</v>
      </c>
      <c r="U2917" s="38"/>
      <c r="V2917" s="38"/>
      <c r="W2917" s="38"/>
      <c r="X2917" s="7"/>
      <c r="Y2917" s="57"/>
      <c r="Z2917" s="7"/>
      <c r="AA2917" s="57"/>
      <c r="AB2917" s="7"/>
      <c r="AC2917" s="57"/>
      <c r="AD2917" s="7"/>
      <c r="AE2917" s="57"/>
      <c r="AF2917" s="7"/>
      <c r="AG2917" s="57"/>
      <c r="AH2917" s="7"/>
      <c r="AI2917" s="57"/>
      <c r="AJ2917" s="7"/>
      <c r="AK2917" s="57"/>
      <c r="AL2917" s="7"/>
      <c r="AN2917" s="7" t="s">
        <v>70</v>
      </c>
      <c r="AO2917" s="21">
        <f t="shared" si="143"/>
        <v>0</v>
      </c>
      <c r="AP2917" s="7">
        <f t="shared" si="144"/>
        <v>75</v>
      </c>
      <c r="AQ2917" s="31" t="str">
        <f t="shared" si="145"/>
        <v>Complete - No Adjustment</v>
      </c>
    </row>
    <row r="2918" spans="1:43" x14ac:dyDescent="0.2">
      <c r="A2918" s="46">
        <v>2908</v>
      </c>
      <c r="B2918" s="38" t="s">
        <v>266</v>
      </c>
      <c r="C2918" s="38" t="s">
        <v>316</v>
      </c>
      <c r="D2918" s="38" t="s">
        <v>315</v>
      </c>
      <c r="E2918" s="38" t="s">
        <v>6840</v>
      </c>
      <c r="F2918" s="38" t="s">
        <v>6805</v>
      </c>
      <c r="G2918" s="38" t="s">
        <v>111</v>
      </c>
      <c r="H2918" s="44">
        <v>44139</v>
      </c>
      <c r="I2918" s="44">
        <v>44216</v>
      </c>
      <c r="J2918">
        <v>472.25</v>
      </c>
      <c r="K2918">
        <v>133.25</v>
      </c>
      <c r="L2918" t="s">
        <v>6841</v>
      </c>
      <c r="M2918" s="45" t="s">
        <v>98</v>
      </c>
      <c r="N2918" s="38" t="s">
        <v>230</v>
      </c>
      <c r="O2918" s="38" t="s">
        <v>317</v>
      </c>
      <c r="P2918" s="38" t="s">
        <v>60</v>
      </c>
      <c r="Q2918" s="38" t="s">
        <v>59</v>
      </c>
      <c r="R2918" s="38" t="s">
        <v>270</v>
      </c>
      <c r="S2918" s="38" t="s">
        <v>6842</v>
      </c>
      <c r="T2918" s="38" t="s">
        <v>6845</v>
      </c>
      <c r="U2918" s="38"/>
      <c r="V2918" s="38"/>
      <c r="W2918" s="38"/>
      <c r="X2918" s="7"/>
      <c r="Y2918" s="57"/>
      <c r="Z2918" s="7"/>
      <c r="AA2918" s="57"/>
      <c r="AB2918" s="7"/>
      <c r="AC2918" s="57"/>
      <c r="AD2918" s="7"/>
      <c r="AE2918" s="57"/>
      <c r="AF2918" s="7"/>
      <c r="AG2918" s="57"/>
      <c r="AH2918" s="7"/>
      <c r="AI2918" s="57"/>
      <c r="AJ2918" s="7"/>
      <c r="AK2918" s="57"/>
      <c r="AL2918" s="7"/>
      <c r="AN2918" s="7" t="s">
        <v>70</v>
      </c>
      <c r="AO2918" s="21">
        <f t="shared" si="143"/>
        <v>0</v>
      </c>
      <c r="AP2918" s="7">
        <f t="shared" si="144"/>
        <v>133.25</v>
      </c>
      <c r="AQ2918" s="31" t="str">
        <f t="shared" si="145"/>
        <v>Complete - No Adjustment</v>
      </c>
    </row>
    <row r="2919" spans="1:43" x14ac:dyDescent="0.2">
      <c r="A2919" s="46">
        <v>2909</v>
      </c>
      <c r="B2919" s="38" t="s">
        <v>266</v>
      </c>
      <c r="C2919" s="38" t="s">
        <v>316</v>
      </c>
      <c r="D2919" s="38" t="s">
        <v>315</v>
      </c>
      <c r="E2919" s="38" t="s">
        <v>6840</v>
      </c>
      <c r="F2919" s="38" t="s">
        <v>6805</v>
      </c>
      <c r="G2919" s="38" t="s">
        <v>111</v>
      </c>
      <c r="H2919" s="44">
        <v>44139</v>
      </c>
      <c r="I2919" s="44">
        <v>44216</v>
      </c>
      <c r="J2919">
        <v>472.25</v>
      </c>
      <c r="K2919">
        <v>17.21</v>
      </c>
      <c r="L2919" t="s">
        <v>6841</v>
      </c>
      <c r="M2919" s="45" t="s">
        <v>98</v>
      </c>
      <c r="N2919" s="38" t="s">
        <v>230</v>
      </c>
      <c r="O2919" s="38" t="s">
        <v>317</v>
      </c>
      <c r="P2919" s="38" t="s">
        <v>60</v>
      </c>
      <c r="Q2919" s="38" t="s">
        <v>41</v>
      </c>
      <c r="R2919" s="38" t="s">
        <v>270</v>
      </c>
      <c r="S2919" s="38" t="s">
        <v>6842</v>
      </c>
      <c r="T2919" s="38" t="s">
        <v>3077</v>
      </c>
      <c r="U2919" s="38"/>
      <c r="V2919" s="38"/>
      <c r="W2919" s="38"/>
      <c r="X2919" s="7"/>
      <c r="Y2919" s="57"/>
      <c r="Z2919" s="7"/>
      <c r="AA2919" s="57"/>
      <c r="AB2919" s="7"/>
      <c r="AC2919" s="57"/>
      <c r="AD2919" s="7"/>
      <c r="AE2919" s="57"/>
      <c r="AF2919" s="7"/>
      <c r="AG2919" s="57"/>
      <c r="AH2919" s="7"/>
      <c r="AI2919" s="57"/>
      <c r="AJ2919" s="7"/>
      <c r="AK2919" s="57"/>
      <c r="AL2919" s="7"/>
      <c r="AN2919" s="7" t="s">
        <v>70</v>
      </c>
      <c r="AO2919" s="21">
        <f t="shared" si="143"/>
        <v>0</v>
      </c>
      <c r="AP2919" s="7">
        <f t="shared" si="144"/>
        <v>17.21</v>
      </c>
      <c r="AQ2919" s="31" t="str">
        <f t="shared" si="145"/>
        <v>Complete - No Adjustment</v>
      </c>
    </row>
    <row r="2920" spans="1:43" x14ac:dyDescent="0.2">
      <c r="A2920" s="46">
        <v>2910</v>
      </c>
      <c r="B2920" s="38" t="s">
        <v>266</v>
      </c>
      <c r="C2920" s="38" t="s">
        <v>316</v>
      </c>
      <c r="D2920" s="38" t="s">
        <v>315</v>
      </c>
      <c r="E2920" s="38" t="s">
        <v>6840</v>
      </c>
      <c r="F2920" s="38" t="s">
        <v>6805</v>
      </c>
      <c r="G2920" s="38" t="s">
        <v>111</v>
      </c>
      <c r="H2920" s="44">
        <v>44139</v>
      </c>
      <c r="I2920" s="44">
        <v>44216</v>
      </c>
      <c r="J2920">
        <v>472.25</v>
      </c>
      <c r="K2920">
        <v>120</v>
      </c>
      <c r="L2920" t="s">
        <v>6841</v>
      </c>
      <c r="M2920" s="45" t="s">
        <v>98</v>
      </c>
      <c r="N2920" s="38" t="s">
        <v>230</v>
      </c>
      <c r="O2920" s="38" t="s">
        <v>317</v>
      </c>
      <c r="P2920" s="38" t="s">
        <v>60</v>
      </c>
      <c r="Q2920" s="38" t="s">
        <v>59</v>
      </c>
      <c r="R2920" s="38" t="s">
        <v>270</v>
      </c>
      <c r="S2920" s="38" t="s">
        <v>6842</v>
      </c>
      <c r="T2920" s="38" t="s">
        <v>6846</v>
      </c>
      <c r="U2920" s="38"/>
      <c r="V2920" s="38"/>
      <c r="W2920" s="38"/>
      <c r="X2920" s="7"/>
      <c r="Y2920" s="57"/>
      <c r="Z2920" s="7"/>
      <c r="AA2920" s="57"/>
      <c r="AB2920" s="7"/>
      <c r="AC2920" s="57"/>
      <c r="AD2920" s="7"/>
      <c r="AE2920" s="57"/>
      <c r="AF2920" s="7"/>
      <c r="AG2920" s="57"/>
      <c r="AH2920" s="7"/>
      <c r="AI2920" s="57"/>
      <c r="AJ2920" s="7"/>
      <c r="AK2920" s="57"/>
      <c r="AL2920" s="7"/>
      <c r="AN2920" s="7" t="s">
        <v>70</v>
      </c>
      <c r="AO2920" s="21">
        <f t="shared" si="143"/>
        <v>0</v>
      </c>
      <c r="AP2920" s="7">
        <f t="shared" si="144"/>
        <v>120</v>
      </c>
      <c r="AQ2920" s="31" t="str">
        <f t="shared" si="145"/>
        <v>Complete - No Adjustment</v>
      </c>
    </row>
    <row r="2921" spans="1:43" x14ac:dyDescent="0.2">
      <c r="A2921" s="46">
        <v>2911</v>
      </c>
      <c r="B2921" s="38" t="s">
        <v>266</v>
      </c>
      <c r="C2921" s="38" t="s">
        <v>316</v>
      </c>
      <c r="D2921" s="38" t="s">
        <v>315</v>
      </c>
      <c r="E2921" s="38" t="s">
        <v>6840</v>
      </c>
      <c r="F2921" s="38" t="s">
        <v>6805</v>
      </c>
      <c r="G2921" s="38" t="s">
        <v>111</v>
      </c>
      <c r="H2921" s="44">
        <v>44139</v>
      </c>
      <c r="I2921" s="44">
        <v>44216</v>
      </c>
      <c r="J2921">
        <v>472.25</v>
      </c>
      <c r="K2921">
        <v>17.86</v>
      </c>
      <c r="L2921" t="s">
        <v>6841</v>
      </c>
      <c r="M2921" s="45" t="s">
        <v>98</v>
      </c>
      <c r="N2921" s="38" t="s">
        <v>230</v>
      </c>
      <c r="O2921" s="38" t="s">
        <v>317</v>
      </c>
      <c r="P2921" s="38" t="s">
        <v>60</v>
      </c>
      <c r="Q2921" s="38" t="s">
        <v>41</v>
      </c>
      <c r="R2921" s="38" t="s">
        <v>270</v>
      </c>
      <c r="S2921" s="38" t="s">
        <v>6842</v>
      </c>
      <c r="T2921" s="38" t="s">
        <v>3077</v>
      </c>
      <c r="U2921" s="38"/>
      <c r="V2921" s="38"/>
      <c r="W2921" s="38"/>
      <c r="X2921" s="7"/>
      <c r="Y2921" s="57"/>
      <c r="Z2921" s="7"/>
      <c r="AA2921" s="57"/>
      <c r="AB2921" s="7"/>
      <c r="AC2921" s="57"/>
      <c r="AD2921" s="7"/>
      <c r="AE2921" s="57"/>
      <c r="AF2921" s="7"/>
      <c r="AG2921" s="57"/>
      <c r="AH2921" s="7"/>
      <c r="AI2921" s="57"/>
      <c r="AJ2921" s="7"/>
      <c r="AK2921" s="57"/>
      <c r="AL2921" s="7"/>
      <c r="AN2921" s="7" t="s">
        <v>70</v>
      </c>
      <c r="AO2921" s="21">
        <f t="shared" si="143"/>
        <v>0</v>
      </c>
      <c r="AP2921" s="7">
        <f t="shared" si="144"/>
        <v>17.86</v>
      </c>
      <c r="AQ2921" s="31" t="str">
        <f t="shared" si="145"/>
        <v>Complete - No Adjustment</v>
      </c>
    </row>
    <row r="2922" spans="1:43" x14ac:dyDescent="0.2">
      <c r="A2922" s="46">
        <v>2912</v>
      </c>
      <c r="B2922" s="38" t="s">
        <v>266</v>
      </c>
      <c r="C2922" s="38" t="s">
        <v>316</v>
      </c>
      <c r="D2922" s="38" t="s">
        <v>315</v>
      </c>
      <c r="E2922" s="38" t="s">
        <v>6840</v>
      </c>
      <c r="F2922" s="38" t="s">
        <v>6805</v>
      </c>
      <c r="G2922" s="38" t="s">
        <v>111</v>
      </c>
      <c r="H2922" s="44">
        <v>44139</v>
      </c>
      <c r="I2922" s="44">
        <v>44216</v>
      </c>
      <c r="J2922">
        <v>472.25</v>
      </c>
      <c r="K2922">
        <v>17.86</v>
      </c>
      <c r="L2922" t="s">
        <v>6841</v>
      </c>
      <c r="M2922" s="45" t="s">
        <v>98</v>
      </c>
      <c r="N2922" s="38" t="s">
        <v>230</v>
      </c>
      <c r="O2922" s="38" t="s">
        <v>317</v>
      </c>
      <c r="P2922" s="38" t="s">
        <v>60</v>
      </c>
      <c r="Q2922" s="38" t="s">
        <v>41</v>
      </c>
      <c r="R2922" s="38" t="s">
        <v>270</v>
      </c>
      <c r="S2922" s="38" t="s">
        <v>6842</v>
      </c>
      <c r="T2922" s="38" t="s">
        <v>3077</v>
      </c>
      <c r="U2922" s="38"/>
      <c r="V2922" s="38"/>
      <c r="W2922" s="38"/>
      <c r="X2922" s="7"/>
      <c r="Y2922" s="57"/>
      <c r="Z2922" s="7"/>
      <c r="AA2922" s="57"/>
      <c r="AB2922" s="7"/>
      <c r="AC2922" s="57"/>
      <c r="AD2922" s="7"/>
      <c r="AE2922" s="57"/>
      <c r="AF2922" s="7"/>
      <c r="AG2922" s="57"/>
      <c r="AH2922" s="7"/>
      <c r="AI2922" s="57"/>
      <c r="AJ2922" s="7"/>
      <c r="AK2922" s="57"/>
      <c r="AL2922" s="7"/>
      <c r="AN2922" s="7" t="s">
        <v>70</v>
      </c>
      <c r="AO2922" s="21">
        <f t="shared" si="143"/>
        <v>0</v>
      </c>
      <c r="AP2922" s="7">
        <f t="shared" si="144"/>
        <v>17.86</v>
      </c>
      <c r="AQ2922" s="31" t="str">
        <f t="shared" si="145"/>
        <v>Complete - No Adjustment</v>
      </c>
    </row>
    <row r="2923" spans="1:43" x14ac:dyDescent="0.2">
      <c r="A2923" s="46">
        <v>2913</v>
      </c>
      <c r="B2923" s="38" t="s">
        <v>266</v>
      </c>
      <c r="C2923" s="38" t="s">
        <v>316</v>
      </c>
      <c r="D2923" s="38" t="s">
        <v>315</v>
      </c>
      <c r="E2923" s="38" t="s">
        <v>6840</v>
      </c>
      <c r="F2923" s="38" t="s">
        <v>6805</v>
      </c>
      <c r="G2923" s="38" t="s">
        <v>111</v>
      </c>
      <c r="H2923" s="44">
        <v>44139</v>
      </c>
      <c r="I2923" s="44">
        <v>44216</v>
      </c>
      <c r="J2923">
        <v>472.25</v>
      </c>
      <c r="K2923">
        <v>48.68</v>
      </c>
      <c r="L2923" t="s">
        <v>6841</v>
      </c>
      <c r="M2923" s="45" t="s">
        <v>98</v>
      </c>
      <c r="N2923" s="38" t="s">
        <v>230</v>
      </c>
      <c r="O2923" s="38" t="s">
        <v>317</v>
      </c>
      <c r="P2923" s="38" t="s">
        <v>60</v>
      </c>
      <c r="Q2923" s="38" t="s">
        <v>41</v>
      </c>
      <c r="R2923" s="38" t="s">
        <v>270</v>
      </c>
      <c r="S2923" s="38" t="s">
        <v>6842</v>
      </c>
      <c r="T2923" s="38" t="s">
        <v>6847</v>
      </c>
      <c r="U2923" s="38"/>
      <c r="V2923" s="38"/>
      <c r="W2923" s="38"/>
      <c r="X2923" s="7"/>
      <c r="Y2923" s="57"/>
      <c r="Z2923" s="7"/>
      <c r="AA2923" s="57"/>
      <c r="AB2923" s="7"/>
      <c r="AC2923" s="57"/>
      <c r="AD2923" s="7"/>
      <c r="AE2923" s="57"/>
      <c r="AF2923" s="7"/>
      <c r="AG2923" s="57"/>
      <c r="AH2923" s="7"/>
      <c r="AI2923" s="57">
        <f>48.68</f>
        <v>48.68</v>
      </c>
      <c r="AJ2923" s="7"/>
      <c r="AK2923" s="57"/>
      <c r="AL2923" s="7"/>
      <c r="AN2923" s="7" t="s">
        <v>145</v>
      </c>
      <c r="AO2923" s="21">
        <f t="shared" si="143"/>
        <v>48.68</v>
      </c>
      <c r="AP2923" s="7">
        <f t="shared" si="144"/>
        <v>0</v>
      </c>
      <c r="AQ2923" s="31" t="str">
        <f t="shared" si="145"/>
        <v>Complete - With Adjustment</v>
      </c>
    </row>
    <row r="2924" spans="1:43" x14ac:dyDescent="0.2">
      <c r="A2924" s="46">
        <v>2914</v>
      </c>
      <c r="B2924" s="38" t="s">
        <v>266</v>
      </c>
      <c r="C2924" s="38" t="s">
        <v>316</v>
      </c>
      <c r="D2924" s="38" t="s">
        <v>315</v>
      </c>
      <c r="E2924" s="38" t="s">
        <v>6840</v>
      </c>
      <c r="F2924" s="38" t="s">
        <v>6805</v>
      </c>
      <c r="G2924" s="38" t="s">
        <v>111</v>
      </c>
      <c r="H2924" s="44">
        <v>44139</v>
      </c>
      <c r="I2924" s="44">
        <v>44216</v>
      </c>
      <c r="J2924">
        <v>472.25</v>
      </c>
      <c r="K2924">
        <v>17.86</v>
      </c>
      <c r="L2924" t="s">
        <v>6841</v>
      </c>
      <c r="M2924" s="45" t="s">
        <v>98</v>
      </c>
      <c r="N2924" s="38" t="s">
        <v>230</v>
      </c>
      <c r="O2924" s="38" t="s">
        <v>317</v>
      </c>
      <c r="P2924" s="38" t="s">
        <v>60</v>
      </c>
      <c r="Q2924" s="38" t="s">
        <v>41</v>
      </c>
      <c r="R2924" s="38" t="s">
        <v>270</v>
      </c>
      <c r="S2924" s="38" t="s">
        <v>6842</v>
      </c>
      <c r="T2924" s="38" t="s">
        <v>3077</v>
      </c>
      <c r="U2924" s="38"/>
      <c r="V2924" s="38"/>
      <c r="W2924" s="38"/>
      <c r="X2924" s="7"/>
      <c r="Y2924" s="57"/>
      <c r="Z2924" s="7"/>
      <c r="AA2924" s="57"/>
      <c r="AB2924" s="7"/>
      <c r="AC2924" s="57"/>
      <c r="AD2924" s="7"/>
      <c r="AE2924" s="57"/>
      <c r="AF2924" s="7"/>
      <c r="AG2924" s="57"/>
      <c r="AH2924" s="7"/>
      <c r="AI2924" s="57"/>
      <c r="AJ2924" s="7"/>
      <c r="AK2924" s="57"/>
      <c r="AL2924" s="7"/>
      <c r="AN2924" s="7" t="s">
        <v>70</v>
      </c>
      <c r="AO2924" s="21">
        <f t="shared" si="143"/>
        <v>0</v>
      </c>
      <c r="AP2924" s="7">
        <f t="shared" si="144"/>
        <v>17.86</v>
      </c>
      <c r="AQ2924" s="31" t="str">
        <f t="shared" si="145"/>
        <v>Complete - No Adjustment</v>
      </c>
    </row>
    <row r="2925" spans="1:43" x14ac:dyDescent="0.2">
      <c r="A2925" s="46">
        <v>2915</v>
      </c>
      <c r="B2925" s="38" t="s">
        <v>266</v>
      </c>
      <c r="C2925" s="38" t="s">
        <v>77</v>
      </c>
      <c r="D2925" s="38" t="s">
        <v>100</v>
      </c>
      <c r="E2925" s="38" t="s">
        <v>6848</v>
      </c>
      <c r="F2925" s="38" t="s">
        <v>6749</v>
      </c>
      <c r="G2925" s="38" t="s">
        <v>111</v>
      </c>
      <c r="H2925" s="44">
        <v>44183</v>
      </c>
      <c r="I2925" s="44">
        <v>44201</v>
      </c>
      <c r="J2925">
        <v>145</v>
      </c>
      <c r="K2925">
        <v>75</v>
      </c>
      <c r="L2925" t="s">
        <v>6849</v>
      </c>
      <c r="M2925" s="45" t="s">
        <v>98</v>
      </c>
      <c r="N2925" s="38" t="s">
        <v>230</v>
      </c>
      <c r="O2925" s="38" t="s">
        <v>78</v>
      </c>
      <c r="P2925" s="38" t="s">
        <v>60</v>
      </c>
      <c r="Q2925" s="38" t="s">
        <v>59</v>
      </c>
      <c r="R2925" s="38" t="s">
        <v>270</v>
      </c>
      <c r="S2925" s="38" t="s">
        <v>6850</v>
      </c>
      <c r="T2925" s="38" t="s">
        <v>6851</v>
      </c>
      <c r="U2925" s="38"/>
      <c r="V2925" s="38"/>
      <c r="W2925" s="38"/>
      <c r="X2925" s="7"/>
      <c r="Y2925" s="57"/>
      <c r="Z2925" s="7"/>
      <c r="AA2925" s="57"/>
      <c r="AB2925" s="7"/>
      <c r="AC2925" s="57"/>
      <c r="AD2925" s="7"/>
      <c r="AE2925" s="57"/>
      <c r="AF2925" s="7"/>
      <c r="AG2925" s="57"/>
      <c r="AH2925" s="7"/>
      <c r="AI2925" s="57"/>
      <c r="AJ2925" s="7"/>
      <c r="AK2925" s="57"/>
      <c r="AL2925" s="7"/>
      <c r="AN2925" s="7" t="s">
        <v>70</v>
      </c>
      <c r="AO2925" s="21">
        <f t="shared" si="143"/>
        <v>0</v>
      </c>
      <c r="AP2925" s="7">
        <f t="shared" si="144"/>
        <v>75</v>
      </c>
      <c r="AQ2925" s="31" t="str">
        <f t="shared" si="145"/>
        <v>Complete - No Adjustment</v>
      </c>
    </row>
    <row r="2926" spans="1:43" x14ac:dyDescent="0.2">
      <c r="A2926" s="46">
        <v>2916</v>
      </c>
      <c r="B2926" s="38" t="s">
        <v>266</v>
      </c>
      <c r="C2926" s="38" t="s">
        <v>77</v>
      </c>
      <c r="D2926" s="38" t="s">
        <v>100</v>
      </c>
      <c r="E2926" s="38" t="s">
        <v>6848</v>
      </c>
      <c r="F2926" s="38" t="s">
        <v>6749</v>
      </c>
      <c r="G2926" s="38" t="s">
        <v>111</v>
      </c>
      <c r="H2926" s="44">
        <v>44183</v>
      </c>
      <c r="I2926" s="44">
        <v>44201</v>
      </c>
      <c r="J2926">
        <v>145</v>
      </c>
      <c r="K2926">
        <v>70</v>
      </c>
      <c r="L2926" t="s">
        <v>6849</v>
      </c>
      <c r="M2926" s="45" t="s">
        <v>98</v>
      </c>
      <c r="N2926" s="38" t="s">
        <v>230</v>
      </c>
      <c r="O2926" s="38" t="s">
        <v>78</v>
      </c>
      <c r="P2926" s="38" t="s">
        <v>60</v>
      </c>
      <c r="Q2926" s="38" t="s">
        <v>41</v>
      </c>
      <c r="R2926" s="38" t="s">
        <v>270</v>
      </c>
      <c r="S2926" s="38" t="s">
        <v>6850</v>
      </c>
      <c r="T2926" s="38" t="s">
        <v>6852</v>
      </c>
      <c r="U2926" s="38"/>
      <c r="V2926" s="38"/>
      <c r="W2926" s="38"/>
      <c r="X2926" s="7"/>
      <c r="Y2926" s="57"/>
      <c r="Z2926" s="7"/>
      <c r="AA2926" s="57"/>
      <c r="AB2926" s="7"/>
      <c r="AC2926" s="57"/>
      <c r="AD2926" s="7"/>
      <c r="AE2926" s="57"/>
      <c r="AF2926" s="7"/>
      <c r="AG2926" s="57"/>
      <c r="AH2926" s="7"/>
      <c r="AI2926" s="57">
        <f>70</f>
        <v>70</v>
      </c>
      <c r="AJ2926" s="7"/>
      <c r="AK2926" s="57"/>
      <c r="AL2926" s="7"/>
      <c r="AN2926" s="7" t="s">
        <v>145</v>
      </c>
      <c r="AO2926" s="21">
        <f t="shared" si="143"/>
        <v>70</v>
      </c>
      <c r="AP2926" s="7">
        <f t="shared" si="144"/>
        <v>0</v>
      </c>
      <c r="AQ2926" s="31" t="str">
        <f t="shared" si="145"/>
        <v>Complete - With Adjustment</v>
      </c>
    </row>
    <row r="2927" spans="1:43" x14ac:dyDescent="0.2">
      <c r="A2927" s="46">
        <v>2917</v>
      </c>
      <c r="B2927" s="38" t="s">
        <v>266</v>
      </c>
      <c r="C2927" s="38" t="s">
        <v>77</v>
      </c>
      <c r="D2927" s="38" t="s">
        <v>100</v>
      </c>
      <c r="E2927" s="38" t="s">
        <v>6853</v>
      </c>
      <c r="F2927" s="38" t="s">
        <v>6799</v>
      </c>
      <c r="G2927" s="38" t="s">
        <v>111</v>
      </c>
      <c r="H2927" s="44">
        <v>44215</v>
      </c>
      <c r="I2927" s="44">
        <v>44221</v>
      </c>
      <c r="J2927">
        <v>764.17</v>
      </c>
      <c r="K2927">
        <v>550</v>
      </c>
      <c r="L2927" t="s">
        <v>6854</v>
      </c>
      <c r="M2927" s="45" t="s">
        <v>98</v>
      </c>
      <c r="N2927" s="38" t="s">
        <v>230</v>
      </c>
      <c r="O2927" s="38" t="s">
        <v>78</v>
      </c>
      <c r="P2927" s="38" t="s">
        <v>60</v>
      </c>
      <c r="Q2927" s="38" t="s">
        <v>56</v>
      </c>
      <c r="R2927" s="38" t="s">
        <v>270</v>
      </c>
      <c r="S2927" s="38" t="s">
        <v>6855</v>
      </c>
      <c r="T2927" s="38" t="s">
        <v>6856</v>
      </c>
      <c r="U2927" s="38"/>
      <c r="V2927" s="38"/>
      <c r="W2927" s="38"/>
      <c r="X2927" s="7"/>
      <c r="Y2927" s="57"/>
      <c r="Z2927" s="7"/>
      <c r="AA2927" s="57"/>
      <c r="AB2927" s="7"/>
      <c r="AC2927" s="57"/>
      <c r="AD2927" s="7"/>
      <c r="AE2927" s="57"/>
      <c r="AF2927" s="7"/>
      <c r="AG2927" s="57"/>
      <c r="AH2927" s="7"/>
      <c r="AI2927" s="57"/>
      <c r="AJ2927" s="7"/>
      <c r="AK2927" s="57"/>
      <c r="AL2927" s="7"/>
      <c r="AN2927" s="7" t="s">
        <v>70</v>
      </c>
      <c r="AO2927" s="21">
        <f t="shared" si="143"/>
        <v>0</v>
      </c>
      <c r="AP2927" s="7">
        <f t="shared" si="144"/>
        <v>550</v>
      </c>
      <c r="AQ2927" s="31" t="str">
        <f t="shared" si="145"/>
        <v>Complete - No Adjustment</v>
      </c>
    </row>
    <row r="2928" spans="1:43" x14ac:dyDescent="0.2">
      <c r="A2928" s="46">
        <v>2918</v>
      </c>
      <c r="B2928" s="38" t="s">
        <v>266</v>
      </c>
      <c r="C2928" s="38" t="s">
        <v>77</v>
      </c>
      <c r="D2928" s="38" t="s">
        <v>100</v>
      </c>
      <c r="E2928" s="38" t="s">
        <v>6853</v>
      </c>
      <c r="F2928" s="38" t="s">
        <v>6799</v>
      </c>
      <c r="G2928" s="38" t="s">
        <v>111</v>
      </c>
      <c r="H2928" s="44">
        <v>44215</v>
      </c>
      <c r="I2928" s="44">
        <v>44221</v>
      </c>
      <c r="J2928">
        <v>764.17</v>
      </c>
      <c r="K2928">
        <v>114.17</v>
      </c>
      <c r="L2928" t="s">
        <v>6854</v>
      </c>
      <c r="M2928" s="45" t="s">
        <v>98</v>
      </c>
      <c r="N2928" s="38" t="s">
        <v>230</v>
      </c>
      <c r="O2928" s="38" t="s">
        <v>78</v>
      </c>
      <c r="P2928" s="38" t="s">
        <v>60</v>
      </c>
      <c r="Q2928" s="38" t="s">
        <v>41</v>
      </c>
      <c r="R2928" s="38" t="s">
        <v>270</v>
      </c>
      <c r="S2928" s="38" t="s">
        <v>6855</v>
      </c>
      <c r="T2928" s="38" t="s">
        <v>6857</v>
      </c>
      <c r="U2928" s="38"/>
      <c r="V2928" s="38"/>
      <c r="W2928" s="38"/>
      <c r="X2928" s="7"/>
      <c r="Y2928" s="57"/>
      <c r="Z2928" s="7"/>
      <c r="AA2928" s="57"/>
      <c r="AB2928" s="7"/>
      <c r="AC2928" s="57"/>
      <c r="AD2928" s="7"/>
      <c r="AE2928" s="57"/>
      <c r="AF2928" s="7"/>
      <c r="AG2928" s="57"/>
      <c r="AH2928" s="7"/>
      <c r="AI2928" s="57">
        <f>114.17</f>
        <v>114.17</v>
      </c>
      <c r="AJ2928" s="7"/>
      <c r="AK2928" s="57"/>
      <c r="AL2928" s="7"/>
      <c r="AN2928" s="7" t="s">
        <v>145</v>
      </c>
      <c r="AO2928" s="21">
        <f t="shared" si="143"/>
        <v>114.17</v>
      </c>
      <c r="AP2928" s="7">
        <f t="shared" si="144"/>
        <v>0</v>
      </c>
      <c r="AQ2928" s="31" t="str">
        <f t="shared" si="145"/>
        <v>Complete - With Adjustment</v>
      </c>
    </row>
    <row r="2929" spans="1:43" x14ac:dyDescent="0.2">
      <c r="A2929" s="46">
        <v>2919</v>
      </c>
      <c r="B2929" s="38" t="s">
        <v>266</v>
      </c>
      <c r="C2929" s="38" t="s">
        <v>77</v>
      </c>
      <c r="D2929" s="38" t="s">
        <v>100</v>
      </c>
      <c r="E2929" s="38" t="s">
        <v>6853</v>
      </c>
      <c r="F2929" s="38" t="s">
        <v>6799</v>
      </c>
      <c r="G2929" s="38" t="s">
        <v>111</v>
      </c>
      <c r="H2929" s="44">
        <v>44215</v>
      </c>
      <c r="I2929" s="44">
        <v>44221</v>
      </c>
      <c r="J2929">
        <v>764.17</v>
      </c>
      <c r="K2929">
        <v>100</v>
      </c>
      <c r="L2929" t="s">
        <v>6854</v>
      </c>
      <c r="M2929" s="45" t="s">
        <v>98</v>
      </c>
      <c r="N2929" s="38" t="s">
        <v>230</v>
      </c>
      <c r="O2929" s="38" t="s">
        <v>78</v>
      </c>
      <c r="P2929" s="38" t="s">
        <v>60</v>
      </c>
      <c r="Q2929" s="38" t="s">
        <v>59</v>
      </c>
      <c r="R2929" s="38" t="s">
        <v>270</v>
      </c>
      <c r="S2929" s="38" t="s">
        <v>6855</v>
      </c>
      <c r="T2929" s="38" t="s">
        <v>6858</v>
      </c>
      <c r="U2929" s="38"/>
      <c r="V2929" s="38"/>
      <c r="W2929" s="38"/>
      <c r="X2929" s="7"/>
      <c r="Y2929" s="57"/>
      <c r="Z2929" s="7"/>
      <c r="AA2929" s="57"/>
      <c r="AB2929" s="7"/>
      <c r="AC2929" s="57"/>
      <c r="AD2929" s="7"/>
      <c r="AE2929" s="57"/>
      <c r="AF2929" s="7"/>
      <c r="AG2929" s="57"/>
      <c r="AH2929" s="7"/>
      <c r="AI2929" s="57"/>
      <c r="AJ2929" s="7"/>
      <c r="AK2929" s="57"/>
      <c r="AL2929" s="7"/>
      <c r="AN2929" s="7" t="s">
        <v>70</v>
      </c>
      <c r="AO2929" s="21">
        <f t="shared" si="143"/>
        <v>0</v>
      </c>
      <c r="AP2929" s="7">
        <f t="shared" si="144"/>
        <v>100</v>
      </c>
      <c r="AQ2929" s="31" t="str">
        <f t="shared" si="145"/>
        <v>Complete - No Adjustment</v>
      </c>
    </row>
    <row r="2930" spans="1:43" x14ac:dyDescent="0.2">
      <c r="A2930" s="46">
        <v>2920</v>
      </c>
      <c r="B2930" s="38" t="s">
        <v>266</v>
      </c>
      <c r="C2930" s="38" t="s">
        <v>4447</v>
      </c>
      <c r="D2930" s="38" t="s">
        <v>4448</v>
      </c>
      <c r="E2930" s="38" t="s">
        <v>6859</v>
      </c>
      <c r="F2930" s="38" t="s">
        <v>6860</v>
      </c>
      <c r="G2930" s="38" t="s">
        <v>111</v>
      </c>
      <c r="H2930" s="44">
        <v>44187</v>
      </c>
      <c r="I2930" s="44">
        <v>44204</v>
      </c>
      <c r="J2930">
        <v>74.17</v>
      </c>
      <c r="K2930">
        <v>74.17</v>
      </c>
      <c r="L2930" t="s">
        <v>6861</v>
      </c>
      <c r="M2930" s="45" t="s">
        <v>98</v>
      </c>
      <c r="N2930" s="38" t="s">
        <v>230</v>
      </c>
      <c r="O2930" s="38" t="s">
        <v>673</v>
      </c>
      <c r="P2930" s="38" t="s">
        <v>60</v>
      </c>
      <c r="Q2930" s="38" t="s">
        <v>62</v>
      </c>
      <c r="R2930" s="38" t="s">
        <v>270</v>
      </c>
      <c r="S2930" s="38" t="s">
        <v>6862</v>
      </c>
      <c r="T2930" s="38" t="s">
        <v>6863</v>
      </c>
      <c r="U2930" s="38"/>
      <c r="V2930" s="38"/>
      <c r="W2930" s="38"/>
      <c r="X2930" s="7"/>
      <c r="Y2930" s="57"/>
      <c r="Z2930" s="7"/>
      <c r="AA2930" s="57"/>
      <c r="AB2930" s="7"/>
      <c r="AC2930" s="57"/>
      <c r="AD2930" s="7"/>
      <c r="AE2930" s="57"/>
      <c r="AF2930" s="7"/>
      <c r="AG2930" s="57"/>
      <c r="AH2930" s="7"/>
      <c r="AI2930" s="57"/>
      <c r="AJ2930" s="7"/>
      <c r="AK2930" s="57"/>
      <c r="AL2930" s="7"/>
      <c r="AN2930" s="7" t="s">
        <v>155</v>
      </c>
      <c r="AO2930" s="21">
        <f t="shared" si="143"/>
        <v>0</v>
      </c>
      <c r="AP2930" s="7">
        <f t="shared" si="144"/>
        <v>74.17</v>
      </c>
      <c r="AQ2930" s="31" t="str">
        <f t="shared" si="145"/>
        <v>Complete - No Adjustment</v>
      </c>
    </row>
    <row r="2931" spans="1:43" x14ac:dyDescent="0.2">
      <c r="A2931" s="46">
        <v>2921</v>
      </c>
      <c r="B2931" s="38" t="s">
        <v>266</v>
      </c>
      <c r="C2931" s="38" t="s">
        <v>319</v>
      </c>
      <c r="D2931" s="38" t="s">
        <v>318</v>
      </c>
      <c r="E2931" s="38" t="s">
        <v>6864</v>
      </c>
      <c r="F2931" s="38" t="s">
        <v>6836</v>
      </c>
      <c r="G2931" s="38" t="s">
        <v>111</v>
      </c>
      <c r="H2931" s="44">
        <v>44201</v>
      </c>
      <c r="I2931" s="44">
        <v>44203</v>
      </c>
      <c r="J2931">
        <v>25.26</v>
      </c>
      <c r="K2931">
        <v>12.52</v>
      </c>
      <c r="L2931" t="s">
        <v>6865</v>
      </c>
      <c r="M2931" s="45" t="s">
        <v>98</v>
      </c>
      <c r="N2931" s="38" t="s">
        <v>230</v>
      </c>
      <c r="O2931" s="38" t="s">
        <v>320</v>
      </c>
      <c r="P2931" s="38" t="s">
        <v>60</v>
      </c>
      <c r="Q2931" s="38" t="s">
        <v>46</v>
      </c>
      <c r="R2931" s="38" t="s">
        <v>270</v>
      </c>
      <c r="S2931" s="38" t="s">
        <v>6866</v>
      </c>
      <c r="T2931" s="38" t="s">
        <v>6867</v>
      </c>
      <c r="U2931" s="38"/>
      <c r="V2931" s="38"/>
      <c r="W2931" s="38"/>
      <c r="X2931" s="7"/>
      <c r="Y2931" s="57"/>
      <c r="Z2931" s="7"/>
      <c r="AA2931" s="57"/>
      <c r="AB2931" s="7"/>
      <c r="AC2931" s="57"/>
      <c r="AD2931" s="7"/>
      <c r="AE2931" s="57"/>
      <c r="AF2931" s="7"/>
      <c r="AG2931" s="57"/>
      <c r="AH2931" s="7"/>
      <c r="AI2931" s="57">
        <f>12.52</f>
        <v>12.52</v>
      </c>
      <c r="AJ2931" s="7"/>
      <c r="AK2931" s="57"/>
      <c r="AL2931" s="7"/>
      <c r="AN2931" s="7" t="s">
        <v>145</v>
      </c>
      <c r="AO2931" s="21">
        <f t="shared" si="143"/>
        <v>12.52</v>
      </c>
      <c r="AP2931" s="7">
        <f t="shared" si="144"/>
        <v>0</v>
      </c>
      <c r="AQ2931" s="31" t="str">
        <f t="shared" si="145"/>
        <v>Complete - With Adjustment</v>
      </c>
    </row>
    <row r="2932" spans="1:43" x14ac:dyDescent="0.2">
      <c r="A2932" s="46">
        <v>2922</v>
      </c>
      <c r="B2932" s="38" t="s">
        <v>266</v>
      </c>
      <c r="C2932" s="38" t="s">
        <v>319</v>
      </c>
      <c r="D2932" s="38" t="s">
        <v>318</v>
      </c>
      <c r="E2932" s="38" t="s">
        <v>6864</v>
      </c>
      <c r="F2932" s="38" t="s">
        <v>6836</v>
      </c>
      <c r="G2932" s="38" t="s">
        <v>111</v>
      </c>
      <c r="H2932" s="44">
        <v>44201</v>
      </c>
      <c r="I2932" s="44">
        <v>44203</v>
      </c>
      <c r="J2932">
        <v>25.26</v>
      </c>
      <c r="K2932">
        <v>12.74</v>
      </c>
      <c r="L2932" t="s">
        <v>6865</v>
      </c>
      <c r="M2932" s="45" t="s">
        <v>98</v>
      </c>
      <c r="N2932" s="38" t="s">
        <v>230</v>
      </c>
      <c r="O2932" s="38" t="s">
        <v>320</v>
      </c>
      <c r="P2932" s="38" t="s">
        <v>60</v>
      </c>
      <c r="Q2932" s="38" t="s">
        <v>46</v>
      </c>
      <c r="R2932" s="38" t="s">
        <v>270</v>
      </c>
      <c r="S2932" s="38" t="s">
        <v>6866</v>
      </c>
      <c r="T2932" s="38" t="s">
        <v>6868</v>
      </c>
      <c r="U2932" s="38"/>
      <c r="V2932" s="38"/>
      <c r="W2932" s="38"/>
      <c r="X2932" s="7"/>
      <c r="Y2932" s="57"/>
      <c r="Z2932" s="7"/>
      <c r="AA2932" s="57"/>
      <c r="AB2932" s="7"/>
      <c r="AC2932" s="57"/>
      <c r="AD2932" s="7"/>
      <c r="AE2932" s="57"/>
      <c r="AF2932" s="7"/>
      <c r="AG2932" s="57"/>
      <c r="AH2932" s="7"/>
      <c r="AI2932" s="57">
        <f>12.74</f>
        <v>12.74</v>
      </c>
      <c r="AJ2932" s="7"/>
      <c r="AK2932" s="57"/>
      <c r="AL2932" s="7"/>
      <c r="AN2932" s="7" t="s">
        <v>145</v>
      </c>
      <c r="AO2932" s="21">
        <f t="shared" si="143"/>
        <v>12.74</v>
      </c>
      <c r="AP2932" s="7">
        <f t="shared" si="144"/>
        <v>0</v>
      </c>
      <c r="AQ2932" s="31" t="str">
        <f t="shared" si="145"/>
        <v>Complete - With Adjustment</v>
      </c>
    </row>
    <row r="2933" spans="1:43" x14ac:dyDescent="0.2">
      <c r="A2933" s="46">
        <v>2923</v>
      </c>
      <c r="B2933" s="38" t="s">
        <v>266</v>
      </c>
      <c r="C2933" s="38" t="s">
        <v>325</v>
      </c>
      <c r="D2933" s="38" t="s">
        <v>324</v>
      </c>
      <c r="E2933" s="38" t="s">
        <v>6869</v>
      </c>
      <c r="F2933" s="38" t="s">
        <v>6759</v>
      </c>
      <c r="G2933" s="38" t="s">
        <v>111</v>
      </c>
      <c r="H2933" s="44">
        <v>44218</v>
      </c>
      <c r="I2933" s="44">
        <v>44223</v>
      </c>
      <c r="J2933">
        <v>54.55</v>
      </c>
      <c r="K2933">
        <v>18.22</v>
      </c>
      <c r="L2933" t="s">
        <v>6870</v>
      </c>
      <c r="M2933" s="45" t="s">
        <v>98</v>
      </c>
      <c r="N2933" s="38" t="s">
        <v>230</v>
      </c>
      <c r="O2933" s="38" t="s">
        <v>288</v>
      </c>
      <c r="P2933" s="38" t="s">
        <v>60</v>
      </c>
      <c r="Q2933" s="38" t="s">
        <v>41</v>
      </c>
      <c r="R2933" s="38" t="s">
        <v>270</v>
      </c>
      <c r="S2933" s="38" t="s">
        <v>6871</v>
      </c>
      <c r="T2933" s="38" t="s">
        <v>6872</v>
      </c>
      <c r="U2933" s="38"/>
      <c r="V2933" s="38"/>
      <c r="W2933" s="38"/>
      <c r="X2933" s="7"/>
      <c r="Y2933" s="57"/>
      <c r="Z2933" s="7"/>
      <c r="AA2933" s="57"/>
      <c r="AB2933" s="7"/>
      <c r="AC2933" s="57"/>
      <c r="AD2933" s="7"/>
      <c r="AE2933" s="57"/>
      <c r="AF2933" s="7"/>
      <c r="AG2933" s="57"/>
      <c r="AH2933" s="7"/>
      <c r="AI2933" s="57"/>
      <c r="AJ2933" s="7"/>
      <c r="AK2933" s="57"/>
      <c r="AL2933" s="7">
        <f>18.22</f>
        <v>18.22</v>
      </c>
      <c r="AN2933" s="7" t="s">
        <v>2957</v>
      </c>
      <c r="AO2933" s="21">
        <f t="shared" si="143"/>
        <v>18.22</v>
      </c>
      <c r="AP2933" s="7">
        <f t="shared" si="144"/>
        <v>0</v>
      </c>
      <c r="AQ2933" s="31" t="str">
        <f t="shared" si="145"/>
        <v>Complete - With Adjustment</v>
      </c>
    </row>
    <row r="2934" spans="1:43" x14ac:dyDescent="0.2">
      <c r="A2934" s="46">
        <v>2924</v>
      </c>
      <c r="B2934" s="38" t="s">
        <v>266</v>
      </c>
      <c r="C2934" s="38" t="s">
        <v>325</v>
      </c>
      <c r="D2934" s="38" t="s">
        <v>324</v>
      </c>
      <c r="E2934" s="38" t="s">
        <v>6869</v>
      </c>
      <c r="F2934" s="38" t="s">
        <v>6759</v>
      </c>
      <c r="G2934" s="38" t="s">
        <v>111</v>
      </c>
      <c r="H2934" s="44">
        <v>44218</v>
      </c>
      <c r="I2934" s="44">
        <v>44223</v>
      </c>
      <c r="J2934">
        <v>54.55</v>
      </c>
      <c r="K2934">
        <v>21.63</v>
      </c>
      <c r="L2934" t="s">
        <v>6870</v>
      </c>
      <c r="M2934" s="45" t="s">
        <v>98</v>
      </c>
      <c r="N2934" s="38" t="s">
        <v>230</v>
      </c>
      <c r="O2934" s="38" t="s">
        <v>288</v>
      </c>
      <c r="P2934" s="38" t="s">
        <v>60</v>
      </c>
      <c r="Q2934" s="38" t="s">
        <v>104</v>
      </c>
      <c r="R2934" s="38" t="s">
        <v>270</v>
      </c>
      <c r="S2934" s="38" t="s">
        <v>6871</v>
      </c>
      <c r="T2934" s="38" t="s">
        <v>6873</v>
      </c>
      <c r="U2934" s="38"/>
      <c r="V2934" s="38"/>
      <c r="W2934" s="38"/>
      <c r="X2934" s="7"/>
      <c r="Y2934" s="57"/>
      <c r="Z2934" s="7"/>
      <c r="AA2934" s="57"/>
      <c r="AB2934" s="7"/>
      <c r="AC2934" s="57"/>
      <c r="AD2934" s="7"/>
      <c r="AE2934" s="57"/>
      <c r="AF2934" s="7"/>
      <c r="AG2934" s="57"/>
      <c r="AH2934" s="7"/>
      <c r="AI2934" s="57"/>
      <c r="AJ2934" s="7"/>
      <c r="AK2934" s="57"/>
      <c r="AL2934" s="7"/>
      <c r="AN2934" s="7" t="s">
        <v>70</v>
      </c>
      <c r="AO2934" s="21">
        <f t="shared" si="143"/>
        <v>0</v>
      </c>
      <c r="AP2934" s="7">
        <f t="shared" si="144"/>
        <v>21.63</v>
      </c>
      <c r="AQ2934" s="31" t="str">
        <f t="shared" si="145"/>
        <v>Complete - No Adjustment</v>
      </c>
    </row>
    <row r="2935" spans="1:43" x14ac:dyDescent="0.2">
      <c r="A2935" s="46">
        <v>2925</v>
      </c>
      <c r="B2935" s="38" t="s">
        <v>266</v>
      </c>
      <c r="C2935" s="38" t="s">
        <v>325</v>
      </c>
      <c r="D2935" s="38" t="s">
        <v>324</v>
      </c>
      <c r="E2935" s="38" t="s">
        <v>6869</v>
      </c>
      <c r="F2935" s="38" t="s">
        <v>6759</v>
      </c>
      <c r="G2935" s="38" t="s">
        <v>111</v>
      </c>
      <c r="H2935" s="44">
        <v>44218</v>
      </c>
      <c r="I2935" s="44">
        <v>44223</v>
      </c>
      <c r="J2935">
        <v>54.55</v>
      </c>
      <c r="K2935">
        <v>14.7</v>
      </c>
      <c r="L2935" t="s">
        <v>6870</v>
      </c>
      <c r="M2935" s="45" t="s">
        <v>98</v>
      </c>
      <c r="N2935" s="38" t="s">
        <v>230</v>
      </c>
      <c r="O2935" s="38" t="s">
        <v>288</v>
      </c>
      <c r="P2935" s="38" t="s">
        <v>60</v>
      </c>
      <c r="Q2935" s="38" t="s">
        <v>41</v>
      </c>
      <c r="R2935" s="38" t="s">
        <v>270</v>
      </c>
      <c r="S2935" s="38" t="s">
        <v>6871</v>
      </c>
      <c r="T2935" s="38" t="s">
        <v>6874</v>
      </c>
      <c r="U2935" s="38"/>
      <c r="V2935" s="38"/>
      <c r="W2935" s="38"/>
      <c r="X2935" s="7"/>
      <c r="Y2935" s="57"/>
      <c r="Z2935" s="7"/>
      <c r="AA2935" s="57"/>
      <c r="AB2935" s="7"/>
      <c r="AC2935" s="57"/>
      <c r="AD2935" s="7"/>
      <c r="AE2935" s="57"/>
      <c r="AF2935" s="7"/>
      <c r="AG2935" s="57"/>
      <c r="AH2935" s="7"/>
      <c r="AI2935" s="57"/>
      <c r="AJ2935" s="7"/>
      <c r="AK2935" s="57"/>
      <c r="AL2935" s="7"/>
      <c r="AN2935" s="7" t="s">
        <v>155</v>
      </c>
      <c r="AO2935" s="21">
        <f t="shared" si="143"/>
        <v>0</v>
      </c>
      <c r="AP2935" s="7">
        <f t="shared" si="144"/>
        <v>14.7</v>
      </c>
      <c r="AQ2935" s="31" t="str">
        <f t="shared" si="145"/>
        <v>Complete - No Adjustment</v>
      </c>
    </row>
    <row r="2936" spans="1:43" x14ac:dyDescent="0.2">
      <c r="A2936" s="46">
        <v>2926</v>
      </c>
      <c r="B2936" s="38" t="s">
        <v>266</v>
      </c>
      <c r="C2936" s="38" t="s">
        <v>325</v>
      </c>
      <c r="D2936" s="38" t="s">
        <v>324</v>
      </c>
      <c r="E2936" s="38" t="s">
        <v>6875</v>
      </c>
      <c r="F2936" s="38" t="s">
        <v>6759</v>
      </c>
      <c r="G2936" s="38" t="s">
        <v>111</v>
      </c>
      <c r="H2936" s="44">
        <v>44218</v>
      </c>
      <c r="I2936" s="44">
        <v>44223</v>
      </c>
      <c r="J2936">
        <v>228.79</v>
      </c>
      <c r="K2936">
        <v>211.08</v>
      </c>
      <c r="L2936" t="s">
        <v>6876</v>
      </c>
      <c r="M2936" s="45" t="s">
        <v>98</v>
      </c>
      <c r="N2936" s="38" t="s">
        <v>230</v>
      </c>
      <c r="O2936" s="38" t="s">
        <v>288</v>
      </c>
      <c r="P2936" s="38" t="s">
        <v>60</v>
      </c>
      <c r="Q2936" s="38" t="s">
        <v>62</v>
      </c>
      <c r="R2936" s="38" t="s">
        <v>270</v>
      </c>
      <c r="S2936" s="38" t="s">
        <v>6877</v>
      </c>
      <c r="T2936" s="38" t="s">
        <v>6878</v>
      </c>
      <c r="U2936" s="38"/>
      <c r="V2936" s="38"/>
      <c r="W2936" s="38"/>
      <c r="X2936" s="7"/>
      <c r="Y2936" s="57"/>
      <c r="Z2936" s="7"/>
      <c r="AA2936" s="57"/>
      <c r="AB2936" s="7"/>
      <c r="AC2936" s="57"/>
      <c r="AD2936" s="7"/>
      <c r="AE2936" s="57"/>
      <c r="AF2936" s="7"/>
      <c r="AG2936" s="57"/>
      <c r="AH2936" s="7"/>
      <c r="AI2936" s="57"/>
      <c r="AJ2936" s="7"/>
      <c r="AK2936" s="57"/>
      <c r="AL2936" s="7"/>
      <c r="AN2936" s="7" t="s">
        <v>155</v>
      </c>
      <c r="AO2936" s="21">
        <f t="shared" si="143"/>
        <v>0</v>
      </c>
      <c r="AP2936" s="7">
        <f t="shared" si="144"/>
        <v>211.08</v>
      </c>
      <c r="AQ2936" s="31" t="str">
        <f t="shared" si="145"/>
        <v>Complete - No Adjustment</v>
      </c>
    </row>
    <row r="2937" spans="1:43" x14ac:dyDescent="0.2">
      <c r="A2937" s="46">
        <v>2927</v>
      </c>
      <c r="B2937" s="38" t="s">
        <v>266</v>
      </c>
      <c r="C2937" s="38" t="s">
        <v>325</v>
      </c>
      <c r="D2937" s="38" t="s">
        <v>324</v>
      </c>
      <c r="E2937" s="38" t="s">
        <v>6875</v>
      </c>
      <c r="F2937" s="38" t="s">
        <v>6759</v>
      </c>
      <c r="G2937" s="38" t="s">
        <v>111</v>
      </c>
      <c r="H2937" s="44">
        <v>44218</v>
      </c>
      <c r="I2937" s="44">
        <v>44223</v>
      </c>
      <c r="J2937">
        <v>228.79</v>
      </c>
      <c r="K2937">
        <v>17.71</v>
      </c>
      <c r="L2937" t="s">
        <v>6876</v>
      </c>
      <c r="M2937" s="45" t="s">
        <v>98</v>
      </c>
      <c r="N2937" s="38" t="s">
        <v>230</v>
      </c>
      <c r="O2937" s="38" t="s">
        <v>288</v>
      </c>
      <c r="P2937" s="38" t="s">
        <v>60</v>
      </c>
      <c r="Q2937" s="38" t="s">
        <v>41</v>
      </c>
      <c r="R2937" s="38" t="s">
        <v>270</v>
      </c>
      <c r="S2937" s="38" t="s">
        <v>6877</v>
      </c>
      <c r="T2937" s="38" t="s">
        <v>6879</v>
      </c>
      <c r="U2937" s="38"/>
      <c r="V2937" s="38"/>
      <c r="W2937" s="38"/>
      <c r="X2937" s="7"/>
      <c r="Y2937" s="57"/>
      <c r="Z2937" s="7"/>
      <c r="AA2937" s="57"/>
      <c r="AB2937" s="7"/>
      <c r="AC2937" s="57"/>
      <c r="AD2937" s="7"/>
      <c r="AE2937" s="57"/>
      <c r="AF2937" s="7"/>
      <c r="AG2937" s="57"/>
      <c r="AH2937" s="7"/>
      <c r="AI2937" s="57"/>
      <c r="AJ2937" s="7"/>
      <c r="AK2937" s="57"/>
      <c r="AL2937" s="7"/>
      <c r="AN2937" s="7" t="s">
        <v>155</v>
      </c>
      <c r="AO2937" s="21">
        <f t="shared" si="143"/>
        <v>0</v>
      </c>
      <c r="AP2937" s="7">
        <f t="shared" si="144"/>
        <v>17.71</v>
      </c>
      <c r="AQ2937" s="31" t="str">
        <f t="shared" si="145"/>
        <v>Complete - No Adjustment</v>
      </c>
    </row>
    <row r="2938" spans="1:43" x14ac:dyDescent="0.2">
      <c r="A2938" s="46">
        <v>2928</v>
      </c>
      <c r="B2938" s="38" t="s">
        <v>266</v>
      </c>
      <c r="C2938" s="38" t="s">
        <v>639</v>
      </c>
      <c r="D2938" s="38" t="s">
        <v>638</v>
      </c>
      <c r="E2938" s="38" t="s">
        <v>6880</v>
      </c>
      <c r="F2938" s="38" t="s">
        <v>6749</v>
      </c>
      <c r="G2938" s="38" t="s">
        <v>111</v>
      </c>
      <c r="H2938" s="44">
        <v>44187</v>
      </c>
      <c r="I2938" s="44">
        <v>44201</v>
      </c>
      <c r="J2938">
        <v>240</v>
      </c>
      <c r="K2938">
        <v>40</v>
      </c>
      <c r="L2938" t="s">
        <v>6881</v>
      </c>
      <c r="M2938" s="45" t="s">
        <v>97</v>
      </c>
      <c r="N2938" s="38" t="s">
        <v>230</v>
      </c>
      <c r="O2938" s="38" t="s">
        <v>592</v>
      </c>
      <c r="P2938" s="38" t="s">
        <v>42</v>
      </c>
      <c r="Q2938" s="38" t="s">
        <v>55</v>
      </c>
      <c r="R2938" s="38" t="s">
        <v>270</v>
      </c>
      <c r="S2938" s="38" t="s">
        <v>6882</v>
      </c>
      <c r="T2938" s="38" t="s">
        <v>6883</v>
      </c>
      <c r="U2938" s="38"/>
      <c r="V2938" s="38"/>
      <c r="W2938" s="38"/>
      <c r="X2938" s="7"/>
      <c r="Y2938" s="57"/>
      <c r="Z2938" s="7"/>
      <c r="AA2938" s="57"/>
      <c r="AB2938" s="7"/>
      <c r="AC2938" s="57"/>
      <c r="AD2938" s="7"/>
      <c r="AE2938" s="57"/>
      <c r="AF2938" s="7"/>
      <c r="AG2938" s="57"/>
      <c r="AH2938" s="7"/>
      <c r="AI2938" s="57">
        <f>40</f>
        <v>40</v>
      </c>
      <c r="AJ2938" s="7"/>
      <c r="AK2938" s="57"/>
      <c r="AL2938" s="7"/>
      <c r="AN2938" s="7" t="s">
        <v>145</v>
      </c>
      <c r="AO2938" s="21">
        <f t="shared" si="143"/>
        <v>40</v>
      </c>
      <c r="AP2938" s="7">
        <f t="shared" si="144"/>
        <v>0</v>
      </c>
      <c r="AQ2938" s="31" t="str">
        <f t="shared" si="145"/>
        <v>Complete - With Adjustment</v>
      </c>
    </row>
    <row r="2939" spans="1:43" x14ac:dyDescent="0.2">
      <c r="A2939" s="46">
        <v>2929</v>
      </c>
      <c r="B2939" s="38" t="s">
        <v>266</v>
      </c>
      <c r="C2939" s="38" t="s">
        <v>639</v>
      </c>
      <c r="D2939" s="38" t="s">
        <v>638</v>
      </c>
      <c r="E2939" s="38" t="s">
        <v>6880</v>
      </c>
      <c r="F2939" s="38" t="s">
        <v>6749</v>
      </c>
      <c r="G2939" s="38" t="s">
        <v>111</v>
      </c>
      <c r="H2939" s="44">
        <v>44187</v>
      </c>
      <c r="I2939" s="44">
        <v>44201</v>
      </c>
      <c r="J2939">
        <v>240</v>
      </c>
      <c r="K2939">
        <v>200</v>
      </c>
      <c r="L2939" t="s">
        <v>6881</v>
      </c>
      <c r="M2939" s="45" t="s">
        <v>98</v>
      </c>
      <c r="N2939" s="38" t="s">
        <v>230</v>
      </c>
      <c r="O2939" s="38" t="s">
        <v>592</v>
      </c>
      <c r="P2939" s="38" t="s">
        <v>60</v>
      </c>
      <c r="Q2939" s="38" t="s">
        <v>48</v>
      </c>
      <c r="R2939" s="38" t="s">
        <v>270</v>
      </c>
      <c r="S2939" s="38" t="s">
        <v>6882</v>
      </c>
      <c r="T2939" s="38" t="s">
        <v>6884</v>
      </c>
      <c r="U2939" s="38"/>
      <c r="V2939" s="38"/>
      <c r="W2939" s="38"/>
      <c r="X2939" s="7"/>
      <c r="Y2939" s="57"/>
      <c r="Z2939" s="7"/>
      <c r="AA2939" s="57"/>
      <c r="AB2939" s="7"/>
      <c r="AC2939" s="57"/>
      <c r="AD2939" s="7"/>
      <c r="AE2939" s="57"/>
      <c r="AF2939" s="7"/>
      <c r="AG2939" s="57"/>
      <c r="AH2939" s="7"/>
      <c r="AI2939" s="57"/>
      <c r="AJ2939" s="7"/>
      <c r="AK2939" s="57"/>
      <c r="AL2939" s="7"/>
      <c r="AN2939" s="7" t="s">
        <v>70</v>
      </c>
      <c r="AO2939" s="21">
        <f t="shared" si="143"/>
        <v>0</v>
      </c>
      <c r="AP2939" s="7">
        <f t="shared" si="144"/>
        <v>200</v>
      </c>
      <c r="AQ2939" s="31" t="str">
        <f t="shared" si="145"/>
        <v>Complete - No Adjustment</v>
      </c>
    </row>
    <row r="2940" spans="1:43" x14ac:dyDescent="0.2">
      <c r="A2940" s="46">
        <v>2930</v>
      </c>
      <c r="B2940" s="38" t="s">
        <v>266</v>
      </c>
      <c r="C2940" s="38" t="s">
        <v>639</v>
      </c>
      <c r="D2940" s="38" t="s">
        <v>638</v>
      </c>
      <c r="E2940" s="38" t="s">
        <v>6885</v>
      </c>
      <c r="F2940" s="38" t="s">
        <v>6833</v>
      </c>
      <c r="G2940" s="38" t="s">
        <v>111</v>
      </c>
      <c r="H2940" s="44">
        <v>44218</v>
      </c>
      <c r="I2940" s="44">
        <v>44222</v>
      </c>
      <c r="J2940">
        <v>506.52</v>
      </c>
      <c r="K2940">
        <v>506.52</v>
      </c>
      <c r="L2940" t="s">
        <v>6886</v>
      </c>
      <c r="M2940" s="45" t="s">
        <v>98</v>
      </c>
      <c r="N2940" s="38" t="s">
        <v>230</v>
      </c>
      <c r="O2940" s="38" t="s">
        <v>592</v>
      </c>
      <c r="P2940" s="38" t="s">
        <v>60</v>
      </c>
      <c r="Q2940" s="38" t="s">
        <v>59</v>
      </c>
      <c r="R2940" s="38" t="s">
        <v>270</v>
      </c>
      <c r="S2940" s="38" t="s">
        <v>6887</v>
      </c>
      <c r="T2940" s="38" t="s">
        <v>6888</v>
      </c>
      <c r="U2940" s="38"/>
      <c r="V2940" s="38"/>
      <c r="W2940" s="38"/>
      <c r="X2940" s="7"/>
      <c r="Y2940" s="57"/>
      <c r="Z2940" s="7"/>
      <c r="AA2940" s="57"/>
      <c r="AB2940" s="7"/>
      <c r="AC2940" s="57"/>
      <c r="AD2940" s="7"/>
      <c r="AE2940" s="57"/>
      <c r="AF2940" s="7"/>
      <c r="AG2940" s="57"/>
      <c r="AH2940" s="7"/>
      <c r="AI2940" s="57"/>
      <c r="AJ2940" s="7"/>
      <c r="AK2940" s="57"/>
      <c r="AL2940" s="7"/>
      <c r="AN2940" s="7" t="s">
        <v>70</v>
      </c>
      <c r="AO2940" s="21">
        <f t="shared" si="143"/>
        <v>0</v>
      </c>
      <c r="AP2940" s="7">
        <f t="shared" si="144"/>
        <v>506.52</v>
      </c>
      <c r="AQ2940" s="31" t="str">
        <f t="shared" si="145"/>
        <v>Complete - No Adjustment</v>
      </c>
    </row>
    <row r="2941" spans="1:43" x14ac:dyDescent="0.2">
      <c r="A2941" s="46">
        <v>2931</v>
      </c>
      <c r="B2941" s="38" t="s">
        <v>266</v>
      </c>
      <c r="C2941" s="38" t="s">
        <v>328</v>
      </c>
      <c r="D2941" s="38" t="s">
        <v>327</v>
      </c>
      <c r="E2941" s="38" t="s">
        <v>6889</v>
      </c>
      <c r="F2941" s="38" t="s">
        <v>6890</v>
      </c>
      <c r="G2941" s="38" t="s">
        <v>111</v>
      </c>
      <c r="H2941" s="44">
        <v>44206</v>
      </c>
      <c r="I2941" s="44">
        <v>44208</v>
      </c>
      <c r="J2941">
        <v>172.29</v>
      </c>
      <c r="K2941">
        <v>129</v>
      </c>
      <c r="L2941" t="s">
        <v>6891</v>
      </c>
      <c r="M2941" s="45" t="s">
        <v>98</v>
      </c>
      <c r="N2941" s="38" t="s">
        <v>230</v>
      </c>
      <c r="O2941" s="38" t="s">
        <v>281</v>
      </c>
      <c r="P2941" s="38" t="s">
        <v>60</v>
      </c>
      <c r="Q2941" s="38" t="s">
        <v>119</v>
      </c>
      <c r="R2941" s="38" t="s">
        <v>270</v>
      </c>
      <c r="S2941" s="38" t="s">
        <v>6892</v>
      </c>
      <c r="T2941" s="38" t="s">
        <v>6893</v>
      </c>
      <c r="U2941" s="38"/>
      <c r="V2941" s="38"/>
      <c r="W2941" s="38"/>
      <c r="X2941" s="7"/>
      <c r="Y2941" s="57"/>
      <c r="Z2941" s="7"/>
      <c r="AA2941" s="57"/>
      <c r="AB2941" s="7"/>
      <c r="AC2941" s="57"/>
      <c r="AD2941" s="7"/>
      <c r="AE2941" s="57"/>
      <c r="AF2941" s="7"/>
      <c r="AG2941" s="57"/>
      <c r="AH2941" s="7"/>
      <c r="AI2941" s="57"/>
      <c r="AJ2941" s="7"/>
      <c r="AK2941" s="57"/>
      <c r="AL2941" s="7"/>
      <c r="AN2941" s="7" t="s">
        <v>70</v>
      </c>
      <c r="AO2941" s="21">
        <f t="shared" si="143"/>
        <v>0</v>
      </c>
      <c r="AP2941" s="7">
        <f t="shared" si="144"/>
        <v>129</v>
      </c>
      <c r="AQ2941" s="31" t="str">
        <f t="shared" si="145"/>
        <v>Complete - No Adjustment</v>
      </c>
    </row>
    <row r="2942" spans="1:43" x14ac:dyDescent="0.2">
      <c r="A2942" s="46">
        <v>2932</v>
      </c>
      <c r="B2942" s="38" t="s">
        <v>266</v>
      </c>
      <c r="C2942" s="38" t="s">
        <v>328</v>
      </c>
      <c r="D2942" s="38" t="s">
        <v>327</v>
      </c>
      <c r="E2942" s="38" t="s">
        <v>6889</v>
      </c>
      <c r="F2942" s="38" t="s">
        <v>6890</v>
      </c>
      <c r="G2942" s="38" t="s">
        <v>111</v>
      </c>
      <c r="H2942" s="44">
        <v>44206</v>
      </c>
      <c r="I2942" s="44">
        <v>44208</v>
      </c>
      <c r="J2942">
        <v>172.29</v>
      </c>
      <c r="K2942">
        <v>43.29</v>
      </c>
      <c r="L2942" t="s">
        <v>6891</v>
      </c>
      <c r="M2942" s="45" t="s">
        <v>98</v>
      </c>
      <c r="N2942" s="38" t="s">
        <v>230</v>
      </c>
      <c r="O2942" s="38" t="s">
        <v>281</v>
      </c>
      <c r="P2942" s="38" t="s">
        <v>60</v>
      </c>
      <c r="Q2942" s="38" t="s">
        <v>56</v>
      </c>
      <c r="R2942" s="38" t="s">
        <v>270</v>
      </c>
      <c r="S2942" s="38" t="s">
        <v>6892</v>
      </c>
      <c r="T2942" s="38" t="s">
        <v>6894</v>
      </c>
      <c r="U2942" s="38"/>
      <c r="V2942" s="38"/>
      <c r="W2942" s="38"/>
      <c r="X2942" s="7"/>
      <c r="Y2942" s="57"/>
      <c r="Z2942" s="7"/>
      <c r="AA2942" s="57"/>
      <c r="AB2942" s="7"/>
      <c r="AC2942" s="57"/>
      <c r="AD2942" s="7"/>
      <c r="AE2942" s="57"/>
      <c r="AF2942" s="7"/>
      <c r="AG2942" s="57"/>
      <c r="AH2942" s="7"/>
      <c r="AI2942" s="57"/>
      <c r="AJ2942" s="7"/>
      <c r="AK2942" s="57"/>
      <c r="AL2942" s="7"/>
      <c r="AN2942" s="7" t="s">
        <v>70</v>
      </c>
      <c r="AO2942" s="21">
        <f t="shared" si="143"/>
        <v>0</v>
      </c>
      <c r="AP2942" s="7">
        <f t="shared" si="144"/>
        <v>43.29</v>
      </c>
      <c r="AQ2942" s="31" t="str">
        <f t="shared" si="145"/>
        <v>Complete - No Adjustment</v>
      </c>
    </row>
    <row r="2943" spans="1:43" x14ac:dyDescent="0.2">
      <c r="A2943" s="46">
        <v>2933</v>
      </c>
      <c r="B2943" s="38" t="s">
        <v>266</v>
      </c>
      <c r="C2943" s="38" t="s">
        <v>336</v>
      </c>
      <c r="D2943" s="38" t="s">
        <v>335</v>
      </c>
      <c r="E2943" s="38" t="s">
        <v>6895</v>
      </c>
      <c r="F2943" s="38" t="s">
        <v>6776</v>
      </c>
      <c r="G2943" s="38" t="s">
        <v>111</v>
      </c>
      <c r="H2943" s="44">
        <v>44204</v>
      </c>
      <c r="I2943" s="44">
        <v>44207</v>
      </c>
      <c r="J2943">
        <v>249.99</v>
      </c>
      <c r="K2943">
        <v>249.99</v>
      </c>
      <c r="L2943" t="s">
        <v>6896</v>
      </c>
      <c r="M2943" s="45" t="s">
        <v>98</v>
      </c>
      <c r="N2943" s="38" t="s">
        <v>230</v>
      </c>
      <c r="O2943" s="38" t="s">
        <v>271</v>
      </c>
      <c r="P2943" s="38" t="s">
        <v>60</v>
      </c>
      <c r="Q2943" s="38" t="s">
        <v>75</v>
      </c>
      <c r="R2943" s="38" t="s">
        <v>270</v>
      </c>
      <c r="S2943" s="38" t="s">
        <v>6897</v>
      </c>
      <c r="T2943" s="38" t="s">
        <v>6898</v>
      </c>
      <c r="U2943" s="38"/>
      <c r="V2943" s="38"/>
      <c r="W2943" s="38"/>
      <c r="X2943" s="7"/>
      <c r="Y2943" s="57"/>
      <c r="Z2943" s="7"/>
      <c r="AA2943" s="57"/>
      <c r="AB2943" s="7"/>
      <c r="AC2943" s="57"/>
      <c r="AD2943" s="7"/>
      <c r="AE2943" s="57"/>
      <c r="AF2943" s="7"/>
      <c r="AG2943" s="57"/>
      <c r="AH2943" s="7"/>
      <c r="AI2943" s="57"/>
      <c r="AJ2943" s="7"/>
      <c r="AK2943" s="57"/>
      <c r="AL2943" s="7"/>
      <c r="AN2943" s="7" t="s">
        <v>70</v>
      </c>
      <c r="AO2943" s="21">
        <f t="shared" si="143"/>
        <v>0</v>
      </c>
      <c r="AP2943" s="7">
        <f t="shared" si="144"/>
        <v>249.99</v>
      </c>
      <c r="AQ2943" s="31" t="str">
        <f t="shared" si="145"/>
        <v>Complete - No Adjustment</v>
      </c>
    </row>
    <row r="2944" spans="1:43" x14ac:dyDescent="0.2">
      <c r="A2944" s="46">
        <v>2934</v>
      </c>
      <c r="B2944" s="38" t="s">
        <v>266</v>
      </c>
      <c r="C2944" s="38" t="s">
        <v>780</v>
      </c>
      <c r="D2944" s="38" t="s">
        <v>798</v>
      </c>
      <c r="E2944" s="38" t="s">
        <v>6899</v>
      </c>
      <c r="F2944" s="38" t="s">
        <v>6810</v>
      </c>
      <c r="G2944" s="38" t="s">
        <v>111</v>
      </c>
      <c r="H2944" s="44">
        <v>44209</v>
      </c>
      <c r="I2944" s="44">
        <v>44214</v>
      </c>
      <c r="J2944">
        <v>20.6</v>
      </c>
      <c r="K2944">
        <v>20.6</v>
      </c>
      <c r="L2944" t="s">
        <v>6900</v>
      </c>
      <c r="M2944" s="45" t="s">
        <v>98</v>
      </c>
      <c r="N2944" s="38" t="s">
        <v>230</v>
      </c>
      <c r="O2944" s="38" t="s">
        <v>288</v>
      </c>
      <c r="P2944" s="38" t="s">
        <v>60</v>
      </c>
      <c r="Q2944" s="38" t="s">
        <v>41</v>
      </c>
      <c r="R2944" s="38" t="s">
        <v>270</v>
      </c>
      <c r="S2944" s="38" t="s">
        <v>6901</v>
      </c>
      <c r="T2944" s="38" t="s">
        <v>6902</v>
      </c>
      <c r="U2944" s="38"/>
      <c r="V2944" s="38"/>
      <c r="W2944" s="38"/>
      <c r="X2944" s="7"/>
      <c r="Y2944" s="57"/>
      <c r="Z2944" s="7"/>
      <c r="AA2944" s="57"/>
      <c r="AB2944" s="7"/>
      <c r="AC2944" s="57"/>
      <c r="AD2944" s="7"/>
      <c r="AE2944" s="57"/>
      <c r="AF2944" s="7"/>
      <c r="AG2944" s="57"/>
      <c r="AH2944" s="7"/>
      <c r="AI2944" s="57"/>
      <c r="AJ2944" s="7"/>
      <c r="AK2944" s="57"/>
      <c r="AL2944" s="7"/>
      <c r="AN2944" s="7" t="s">
        <v>155</v>
      </c>
      <c r="AO2944" s="21">
        <f t="shared" ref="AO2944:AO3010" si="146">SUM(Y2944:AL2944)</f>
        <v>0</v>
      </c>
      <c r="AP2944" s="7">
        <f t="shared" ref="AP2944:AP3007" si="147">K2944-AO2944</f>
        <v>20.6</v>
      </c>
      <c r="AQ2944" s="31" t="str">
        <f t="shared" ref="AQ2944:AQ3010" si="148">IF(AO2944&lt;&gt;0,"Complete - With Adjustment","Complete - No Adjustment")</f>
        <v>Complete - No Adjustment</v>
      </c>
    </row>
    <row r="2945" spans="1:45" x14ac:dyDescent="0.2">
      <c r="A2945" s="46">
        <v>2935</v>
      </c>
      <c r="B2945" s="38" t="s">
        <v>266</v>
      </c>
      <c r="C2945" s="38" t="s">
        <v>780</v>
      </c>
      <c r="D2945" s="38" t="s">
        <v>798</v>
      </c>
      <c r="E2945" s="38" t="s">
        <v>6903</v>
      </c>
      <c r="F2945" s="38" t="s">
        <v>6776</v>
      </c>
      <c r="G2945" s="38" t="s">
        <v>111</v>
      </c>
      <c r="H2945" s="44">
        <v>44204</v>
      </c>
      <c r="I2945" s="44">
        <v>44207</v>
      </c>
      <c r="J2945">
        <v>21.89</v>
      </c>
      <c r="K2945">
        <v>21.89</v>
      </c>
      <c r="L2945" t="s">
        <v>6904</v>
      </c>
      <c r="M2945" s="45" t="s">
        <v>98</v>
      </c>
      <c r="N2945" s="38" t="s">
        <v>230</v>
      </c>
      <c r="O2945" s="38" t="s">
        <v>288</v>
      </c>
      <c r="P2945" s="38" t="s">
        <v>60</v>
      </c>
      <c r="Q2945" s="38" t="s">
        <v>41</v>
      </c>
      <c r="R2945" s="38" t="s">
        <v>270</v>
      </c>
      <c r="S2945" s="38" t="s">
        <v>6008</v>
      </c>
      <c r="T2945" s="38" t="s">
        <v>6009</v>
      </c>
      <c r="U2945" s="38"/>
      <c r="V2945" s="38"/>
      <c r="W2945" s="38"/>
      <c r="X2945" s="7"/>
      <c r="Y2945" s="57"/>
      <c r="Z2945" s="7"/>
      <c r="AA2945" s="57"/>
      <c r="AB2945" s="7"/>
      <c r="AC2945" s="57"/>
      <c r="AD2945" s="7"/>
      <c r="AE2945" s="57"/>
      <c r="AF2945" s="7"/>
      <c r="AG2945" s="57"/>
      <c r="AH2945" s="7"/>
      <c r="AI2945" s="57"/>
      <c r="AJ2945" s="7"/>
      <c r="AK2945" s="57"/>
      <c r="AL2945" s="7"/>
      <c r="AN2945" s="7" t="s">
        <v>70</v>
      </c>
      <c r="AO2945" s="21">
        <f t="shared" si="146"/>
        <v>0</v>
      </c>
      <c r="AP2945" s="7">
        <f t="shared" si="147"/>
        <v>21.89</v>
      </c>
      <c r="AQ2945" s="31" t="str">
        <f t="shared" si="148"/>
        <v>Complete - No Adjustment</v>
      </c>
    </row>
    <row r="2946" spans="1:45" x14ac:dyDescent="0.2">
      <c r="A2946" s="46">
        <v>2936</v>
      </c>
      <c r="B2946" s="38" t="s">
        <v>266</v>
      </c>
      <c r="C2946" s="38" t="s">
        <v>780</v>
      </c>
      <c r="D2946" s="38" t="s">
        <v>798</v>
      </c>
      <c r="E2946" s="38" t="s">
        <v>6905</v>
      </c>
      <c r="F2946" s="38" t="s">
        <v>6906</v>
      </c>
      <c r="G2946" s="38" t="s">
        <v>111</v>
      </c>
      <c r="H2946" s="44">
        <v>44223</v>
      </c>
      <c r="I2946" s="44">
        <v>44225</v>
      </c>
      <c r="J2946">
        <v>25</v>
      </c>
      <c r="K2946">
        <v>25</v>
      </c>
      <c r="L2946" t="s">
        <v>6907</v>
      </c>
      <c r="M2946" s="45" t="s">
        <v>98</v>
      </c>
      <c r="N2946" s="38" t="s">
        <v>230</v>
      </c>
      <c r="O2946" s="38" t="s">
        <v>288</v>
      </c>
      <c r="P2946" s="38" t="s">
        <v>60</v>
      </c>
      <c r="Q2946" s="38" t="s">
        <v>41</v>
      </c>
      <c r="R2946" s="38" t="s">
        <v>270</v>
      </c>
      <c r="S2946" s="38" t="s">
        <v>6908</v>
      </c>
      <c r="T2946" s="38" t="s">
        <v>6909</v>
      </c>
      <c r="U2946" s="38"/>
      <c r="V2946" s="38"/>
      <c r="W2946" s="38"/>
      <c r="X2946" s="7"/>
      <c r="Y2946" s="57"/>
      <c r="Z2946" s="7"/>
      <c r="AA2946" s="57"/>
      <c r="AB2946" s="7"/>
      <c r="AC2946" s="57"/>
      <c r="AD2946" s="7"/>
      <c r="AE2946" s="57"/>
      <c r="AF2946" s="7"/>
      <c r="AG2946" s="57"/>
      <c r="AH2946" s="7"/>
      <c r="AI2946" s="57"/>
      <c r="AJ2946" s="7"/>
      <c r="AK2946" s="57"/>
      <c r="AL2946" s="7"/>
      <c r="AN2946" s="7" t="s">
        <v>155</v>
      </c>
      <c r="AO2946" s="21">
        <f t="shared" si="146"/>
        <v>0</v>
      </c>
      <c r="AP2946" s="7">
        <f t="shared" si="147"/>
        <v>25</v>
      </c>
      <c r="AQ2946" s="31" t="str">
        <f t="shared" si="148"/>
        <v>Complete - No Adjustment</v>
      </c>
    </row>
    <row r="2947" spans="1:45" x14ac:dyDescent="0.2">
      <c r="A2947" s="46">
        <v>2937</v>
      </c>
      <c r="B2947" s="38" t="s">
        <v>266</v>
      </c>
      <c r="C2947" s="38" t="s">
        <v>780</v>
      </c>
      <c r="D2947" s="38" t="s">
        <v>798</v>
      </c>
      <c r="E2947" s="38" t="s">
        <v>6910</v>
      </c>
      <c r="F2947" s="38" t="s">
        <v>6833</v>
      </c>
      <c r="G2947" s="38" t="s">
        <v>111</v>
      </c>
      <c r="H2947" s="44">
        <v>44216</v>
      </c>
      <c r="I2947" s="44">
        <v>44222</v>
      </c>
      <c r="J2947">
        <v>26.3</v>
      </c>
      <c r="K2947">
        <v>26.3</v>
      </c>
      <c r="L2947" t="s">
        <v>6911</v>
      </c>
      <c r="M2947" s="45" t="s">
        <v>98</v>
      </c>
      <c r="N2947" s="38" t="s">
        <v>230</v>
      </c>
      <c r="O2947" s="38" t="s">
        <v>288</v>
      </c>
      <c r="P2947" s="38" t="s">
        <v>60</v>
      </c>
      <c r="Q2947" s="38" t="s">
        <v>41</v>
      </c>
      <c r="R2947" s="38" t="s">
        <v>270</v>
      </c>
      <c r="S2947" s="38" t="s">
        <v>6912</v>
      </c>
      <c r="T2947" s="38" t="s">
        <v>6913</v>
      </c>
      <c r="U2947" s="38"/>
      <c r="V2947" s="38"/>
      <c r="W2947" s="38"/>
      <c r="X2947" s="7"/>
      <c r="Y2947" s="57"/>
      <c r="Z2947" s="7"/>
      <c r="AA2947" s="57"/>
      <c r="AB2947" s="7"/>
      <c r="AC2947" s="57"/>
      <c r="AD2947" s="7"/>
      <c r="AE2947" s="57"/>
      <c r="AF2947" s="7"/>
      <c r="AG2947" s="57"/>
      <c r="AH2947" s="7"/>
      <c r="AI2947" s="57"/>
      <c r="AJ2947" s="7"/>
      <c r="AK2947" s="57"/>
      <c r="AL2947" s="7"/>
      <c r="AN2947" s="7" t="s">
        <v>155</v>
      </c>
      <c r="AO2947" s="21">
        <f t="shared" si="146"/>
        <v>0</v>
      </c>
      <c r="AP2947" s="7">
        <f t="shared" si="147"/>
        <v>26.3</v>
      </c>
      <c r="AQ2947" s="31" t="str">
        <f t="shared" si="148"/>
        <v>Complete - No Adjustment</v>
      </c>
    </row>
    <row r="2948" spans="1:45" x14ac:dyDescent="0.2">
      <c r="A2948" s="46">
        <v>2938</v>
      </c>
      <c r="B2948" s="38" t="s">
        <v>266</v>
      </c>
      <c r="C2948" s="38" t="s">
        <v>349</v>
      </c>
      <c r="D2948" s="38" t="s">
        <v>348</v>
      </c>
      <c r="E2948" s="38" t="s">
        <v>6914</v>
      </c>
      <c r="F2948" s="38" t="s">
        <v>6833</v>
      </c>
      <c r="G2948" s="38" t="s">
        <v>111</v>
      </c>
      <c r="H2948" s="44">
        <v>44218</v>
      </c>
      <c r="I2948" s="44">
        <v>44222</v>
      </c>
      <c r="J2948">
        <v>255</v>
      </c>
      <c r="K2948">
        <v>250</v>
      </c>
      <c r="L2948" t="s">
        <v>6915</v>
      </c>
      <c r="M2948" s="45" t="s">
        <v>98</v>
      </c>
      <c r="N2948" s="38" t="s">
        <v>230</v>
      </c>
      <c r="O2948" s="38" t="s">
        <v>334</v>
      </c>
      <c r="P2948" s="38" t="s">
        <v>60</v>
      </c>
      <c r="Q2948" s="38" t="s">
        <v>119</v>
      </c>
      <c r="R2948" s="38" t="s">
        <v>270</v>
      </c>
      <c r="S2948" s="38" t="s">
        <v>6916</v>
      </c>
      <c r="T2948" s="38" t="s">
        <v>6917</v>
      </c>
      <c r="U2948" s="38"/>
      <c r="V2948" s="38"/>
      <c r="W2948" s="38"/>
      <c r="X2948" s="7"/>
      <c r="Y2948" s="57"/>
      <c r="Z2948" s="7"/>
      <c r="AA2948" s="57"/>
      <c r="AB2948" s="7"/>
      <c r="AC2948" s="57"/>
      <c r="AD2948" s="7"/>
      <c r="AE2948" s="57"/>
      <c r="AF2948" s="7"/>
      <c r="AG2948" s="57"/>
      <c r="AH2948" s="7"/>
      <c r="AI2948" s="57"/>
      <c r="AJ2948" s="7"/>
      <c r="AK2948" s="57"/>
      <c r="AL2948" s="7"/>
      <c r="AN2948" s="7" t="s">
        <v>70</v>
      </c>
      <c r="AO2948" s="21">
        <f t="shared" si="146"/>
        <v>0</v>
      </c>
      <c r="AP2948" s="7">
        <f t="shared" si="147"/>
        <v>250</v>
      </c>
      <c r="AQ2948" s="31" t="str">
        <f t="shared" si="148"/>
        <v>Complete - No Adjustment</v>
      </c>
    </row>
    <row r="2949" spans="1:45" x14ac:dyDescent="0.2">
      <c r="A2949" s="46">
        <v>2939</v>
      </c>
      <c r="B2949" s="38" t="s">
        <v>266</v>
      </c>
      <c r="C2949" s="38" t="s">
        <v>349</v>
      </c>
      <c r="D2949" s="38" t="s">
        <v>348</v>
      </c>
      <c r="E2949" s="38" t="s">
        <v>6914</v>
      </c>
      <c r="F2949" s="38" t="s">
        <v>6833</v>
      </c>
      <c r="G2949" s="38" t="s">
        <v>111</v>
      </c>
      <c r="H2949" s="44">
        <v>44218</v>
      </c>
      <c r="I2949" s="44">
        <v>44222</v>
      </c>
      <c r="J2949">
        <v>255</v>
      </c>
      <c r="K2949">
        <v>5</v>
      </c>
      <c r="L2949" t="s">
        <v>6915</v>
      </c>
      <c r="M2949" s="45" t="s">
        <v>97</v>
      </c>
      <c r="N2949" s="38" t="s">
        <v>230</v>
      </c>
      <c r="O2949" s="38" t="s">
        <v>334</v>
      </c>
      <c r="P2949" s="38" t="s">
        <v>42</v>
      </c>
      <c r="Q2949" s="38" t="s">
        <v>114</v>
      </c>
      <c r="R2949" s="38" t="s">
        <v>270</v>
      </c>
      <c r="S2949" s="38" t="s">
        <v>6916</v>
      </c>
      <c r="T2949" s="38" t="s">
        <v>6918</v>
      </c>
      <c r="U2949" s="38"/>
      <c r="V2949" s="38"/>
      <c r="W2949" s="38"/>
      <c r="X2949" s="7"/>
      <c r="Y2949" s="57"/>
      <c r="Z2949" s="7"/>
      <c r="AA2949" s="57"/>
      <c r="AB2949" s="7"/>
      <c r="AC2949" s="57"/>
      <c r="AD2949" s="7"/>
      <c r="AE2949" s="57"/>
      <c r="AF2949" s="7"/>
      <c r="AG2949" s="57"/>
      <c r="AH2949" s="7"/>
      <c r="AI2949" s="57"/>
      <c r="AJ2949" s="7"/>
      <c r="AK2949" s="57"/>
      <c r="AL2949" s="7">
        <f>5</f>
        <v>5</v>
      </c>
      <c r="AN2949" s="7" t="s">
        <v>6789</v>
      </c>
      <c r="AO2949" s="21">
        <f t="shared" si="146"/>
        <v>5</v>
      </c>
      <c r="AP2949" s="7">
        <f t="shared" si="147"/>
        <v>0</v>
      </c>
      <c r="AQ2949" s="31" t="str">
        <f t="shared" si="148"/>
        <v>Complete - With Adjustment</v>
      </c>
    </row>
    <row r="2950" spans="1:45" x14ac:dyDescent="0.2">
      <c r="A2950" s="46">
        <v>2940</v>
      </c>
      <c r="B2950" s="38" t="s">
        <v>266</v>
      </c>
      <c r="C2950" s="38" t="s">
        <v>354</v>
      </c>
      <c r="D2950" s="38" t="s">
        <v>353</v>
      </c>
      <c r="E2950" s="38" t="s">
        <v>7148</v>
      </c>
      <c r="F2950" s="38" t="s">
        <v>6890</v>
      </c>
      <c r="G2950" s="38" t="s">
        <v>111</v>
      </c>
      <c r="H2950" s="44">
        <v>44201</v>
      </c>
      <c r="I2950" s="44">
        <v>44208</v>
      </c>
      <c r="J2950">
        <v>393</v>
      </c>
      <c r="K2950">
        <v>124.5</v>
      </c>
      <c r="L2950"/>
      <c r="M2950" s="45" t="s">
        <v>97</v>
      </c>
      <c r="N2950" s="38" t="s">
        <v>230</v>
      </c>
      <c r="O2950" s="38" t="s">
        <v>355</v>
      </c>
      <c r="P2950" s="38" t="s">
        <v>42</v>
      </c>
      <c r="Q2950" s="38" t="s">
        <v>56</v>
      </c>
      <c r="R2950" s="38" t="s">
        <v>270</v>
      </c>
      <c r="S2950" s="38" t="s">
        <v>7149</v>
      </c>
      <c r="T2950" s="38" t="s">
        <v>7150</v>
      </c>
      <c r="U2950" s="38"/>
      <c r="V2950" s="38"/>
      <c r="W2950" s="38"/>
      <c r="X2950" s="7"/>
      <c r="Y2950" s="57"/>
      <c r="Z2950" s="7"/>
      <c r="AA2950" s="57"/>
      <c r="AB2950" s="7"/>
      <c r="AC2950" s="57"/>
      <c r="AD2950" s="7"/>
      <c r="AE2950" s="57"/>
      <c r="AF2950" s="7"/>
      <c r="AG2950" s="57"/>
      <c r="AH2950" s="7"/>
      <c r="AI2950" s="57"/>
      <c r="AJ2950" s="7"/>
      <c r="AK2950" s="57"/>
      <c r="AL2950" s="7">
        <v>124.5</v>
      </c>
      <c r="AN2950" s="7" t="s">
        <v>70</v>
      </c>
      <c r="AO2950" s="21">
        <f>SUM(Y2950:AL2950)</f>
        <v>124.5</v>
      </c>
      <c r="AP2950" s="7">
        <f t="shared" si="147"/>
        <v>0</v>
      </c>
      <c r="AQ2950" s="31" t="str">
        <f t="shared" si="148"/>
        <v>Complete - With Adjustment</v>
      </c>
      <c r="AS2950" s="12"/>
    </row>
    <row r="2951" spans="1:45" x14ac:dyDescent="0.2">
      <c r="A2951" s="46">
        <v>2941</v>
      </c>
      <c r="B2951" s="38" t="s">
        <v>266</v>
      </c>
      <c r="C2951" s="38" t="s">
        <v>354</v>
      </c>
      <c r="D2951" s="38" t="s">
        <v>353</v>
      </c>
      <c r="E2951" s="38" t="s">
        <v>7148</v>
      </c>
      <c r="F2951" s="38" t="s">
        <v>6890</v>
      </c>
      <c r="G2951" s="38" t="s">
        <v>111</v>
      </c>
      <c r="H2951" s="44">
        <v>44201</v>
      </c>
      <c r="I2951" s="44">
        <v>44208</v>
      </c>
      <c r="J2951">
        <v>393</v>
      </c>
      <c r="K2951">
        <v>119.5</v>
      </c>
      <c r="L2951"/>
      <c r="M2951" s="45" t="s">
        <v>97</v>
      </c>
      <c r="N2951" s="38" t="s">
        <v>230</v>
      </c>
      <c r="O2951" s="38" t="s">
        <v>355</v>
      </c>
      <c r="P2951" s="38" t="s">
        <v>42</v>
      </c>
      <c r="Q2951" s="38" t="s">
        <v>56</v>
      </c>
      <c r="R2951" s="38" t="s">
        <v>270</v>
      </c>
      <c r="S2951" s="38" t="s">
        <v>7149</v>
      </c>
      <c r="T2951" s="38" t="s">
        <v>7151</v>
      </c>
      <c r="U2951" s="38"/>
      <c r="V2951" s="38"/>
      <c r="W2951" s="38"/>
      <c r="X2951" s="7"/>
      <c r="Y2951" s="57"/>
      <c r="Z2951" s="7"/>
      <c r="AA2951" s="57"/>
      <c r="AB2951" s="7"/>
      <c r="AC2951" s="57"/>
      <c r="AD2951" s="7"/>
      <c r="AE2951" s="57"/>
      <c r="AF2951" s="7"/>
      <c r="AG2951" s="57"/>
      <c r="AH2951" s="7"/>
      <c r="AI2951" s="57"/>
      <c r="AJ2951" s="7"/>
      <c r="AK2951" s="57"/>
      <c r="AL2951" s="7">
        <v>119.5</v>
      </c>
      <c r="AN2951" s="7" t="s">
        <v>70</v>
      </c>
      <c r="AO2951" s="21">
        <f t="shared" ref="AO2951:AO2952" si="149">SUM(Y2951:AL2951)</f>
        <v>119.5</v>
      </c>
      <c r="AP2951" s="7">
        <f t="shared" si="147"/>
        <v>0</v>
      </c>
      <c r="AQ2951" s="31" t="str">
        <f t="shared" si="148"/>
        <v>Complete - With Adjustment</v>
      </c>
      <c r="AS2951" s="12"/>
    </row>
    <row r="2952" spans="1:45" x14ac:dyDescent="0.2">
      <c r="A2952" s="46">
        <v>2942</v>
      </c>
      <c r="B2952" s="38" t="s">
        <v>266</v>
      </c>
      <c r="C2952" s="38" t="s">
        <v>354</v>
      </c>
      <c r="D2952" s="38" t="s">
        <v>353</v>
      </c>
      <c r="E2952" s="38" t="s">
        <v>7148</v>
      </c>
      <c r="F2952" s="38" t="s">
        <v>6890</v>
      </c>
      <c r="G2952" s="38" t="s">
        <v>111</v>
      </c>
      <c r="H2952" s="44">
        <v>44201</v>
      </c>
      <c r="I2952" s="44">
        <v>44208</v>
      </c>
      <c r="J2952">
        <v>393</v>
      </c>
      <c r="K2952">
        <v>149</v>
      </c>
      <c r="L2952"/>
      <c r="M2952" s="45" t="s">
        <v>97</v>
      </c>
      <c r="N2952" s="38" t="s">
        <v>230</v>
      </c>
      <c r="O2952" s="38" t="s">
        <v>355</v>
      </c>
      <c r="P2952" s="38" t="s">
        <v>42</v>
      </c>
      <c r="Q2952" s="38" t="s">
        <v>56</v>
      </c>
      <c r="R2952" s="38" t="s">
        <v>270</v>
      </c>
      <c r="S2952" s="38" t="s">
        <v>7149</v>
      </c>
      <c r="T2952" s="38" t="s">
        <v>7152</v>
      </c>
      <c r="U2952" s="38"/>
      <c r="V2952" s="38"/>
      <c r="W2952" s="38"/>
      <c r="X2952" s="7"/>
      <c r="Y2952" s="57"/>
      <c r="Z2952" s="7"/>
      <c r="AA2952" s="57"/>
      <c r="AB2952" s="7"/>
      <c r="AC2952" s="57"/>
      <c r="AD2952" s="7"/>
      <c r="AE2952" s="57"/>
      <c r="AF2952" s="7"/>
      <c r="AG2952" s="57"/>
      <c r="AH2952" s="7"/>
      <c r="AI2952" s="57"/>
      <c r="AJ2952" s="7"/>
      <c r="AK2952" s="57"/>
      <c r="AL2952" s="7">
        <v>149</v>
      </c>
      <c r="AN2952" s="7" t="s">
        <v>70</v>
      </c>
      <c r="AO2952" s="21">
        <f t="shared" si="149"/>
        <v>149</v>
      </c>
      <c r="AP2952" s="7">
        <f t="shared" si="147"/>
        <v>0</v>
      </c>
      <c r="AQ2952" s="31" t="str">
        <f t="shared" si="148"/>
        <v>Complete - With Adjustment</v>
      </c>
      <c r="AS2952" s="12"/>
    </row>
    <row r="2953" spans="1:45" x14ac:dyDescent="0.2">
      <c r="A2953" s="46">
        <v>2943</v>
      </c>
      <c r="B2953" s="38" t="s">
        <v>266</v>
      </c>
      <c r="C2953" s="38" t="s">
        <v>359</v>
      </c>
      <c r="D2953" s="38" t="s">
        <v>358</v>
      </c>
      <c r="E2953" s="38" t="s">
        <v>6919</v>
      </c>
      <c r="F2953" s="38" t="s">
        <v>6810</v>
      </c>
      <c r="G2953" s="38" t="s">
        <v>111</v>
      </c>
      <c r="H2953" s="44">
        <v>44209</v>
      </c>
      <c r="I2953" s="44">
        <v>44214</v>
      </c>
      <c r="J2953">
        <v>225</v>
      </c>
      <c r="K2953">
        <v>225</v>
      </c>
      <c r="L2953" t="s">
        <v>6920</v>
      </c>
      <c r="M2953" s="45" t="s">
        <v>98</v>
      </c>
      <c r="N2953" s="38" t="s">
        <v>230</v>
      </c>
      <c r="O2953" s="38" t="s">
        <v>277</v>
      </c>
      <c r="P2953" s="38" t="s">
        <v>60</v>
      </c>
      <c r="Q2953" s="38" t="s">
        <v>59</v>
      </c>
      <c r="R2953" s="38" t="s">
        <v>270</v>
      </c>
      <c r="S2953" s="38" t="s">
        <v>6921</v>
      </c>
      <c r="T2953" s="38" t="s">
        <v>6922</v>
      </c>
      <c r="U2953" s="38"/>
      <c r="V2953" s="38"/>
      <c r="W2953" s="38"/>
      <c r="X2953" s="7"/>
      <c r="Y2953" s="57"/>
      <c r="Z2953" s="7"/>
      <c r="AA2953" s="57"/>
      <c r="AB2953" s="7"/>
      <c r="AC2953" s="57"/>
      <c r="AD2953" s="7"/>
      <c r="AE2953" s="57"/>
      <c r="AF2953" s="7"/>
      <c r="AG2953" s="57"/>
      <c r="AH2953" s="7"/>
      <c r="AI2953" s="57"/>
      <c r="AJ2953" s="7"/>
      <c r="AK2953" s="57"/>
      <c r="AL2953" s="7"/>
      <c r="AN2953" s="7" t="s">
        <v>70</v>
      </c>
      <c r="AO2953" s="21">
        <f t="shared" si="146"/>
        <v>0</v>
      </c>
      <c r="AP2953" s="7">
        <f t="shared" si="147"/>
        <v>225</v>
      </c>
      <c r="AQ2953" s="31" t="str">
        <f t="shared" si="148"/>
        <v>Complete - No Adjustment</v>
      </c>
    </row>
    <row r="2954" spans="1:45" x14ac:dyDescent="0.2">
      <c r="A2954" s="46">
        <v>2944</v>
      </c>
      <c r="B2954" s="38" t="s">
        <v>266</v>
      </c>
      <c r="C2954" s="38" t="s">
        <v>364</v>
      </c>
      <c r="D2954" s="38" t="s">
        <v>363</v>
      </c>
      <c r="E2954" s="38" t="s">
        <v>6923</v>
      </c>
      <c r="F2954" s="38" t="s">
        <v>6805</v>
      </c>
      <c r="G2954" s="38" t="s">
        <v>111</v>
      </c>
      <c r="H2954" s="44">
        <v>44211</v>
      </c>
      <c r="I2954" s="44">
        <v>44216</v>
      </c>
      <c r="J2954">
        <v>1185.42</v>
      </c>
      <c r="K2954">
        <v>10</v>
      </c>
      <c r="L2954" t="s">
        <v>6924</v>
      </c>
      <c r="M2954" s="45" t="s">
        <v>97</v>
      </c>
      <c r="N2954" s="38" t="s">
        <v>230</v>
      </c>
      <c r="O2954" s="38" t="s">
        <v>365</v>
      </c>
      <c r="P2954" s="38" t="s">
        <v>42</v>
      </c>
      <c r="Q2954" s="38" t="s">
        <v>55</v>
      </c>
      <c r="R2954" s="38" t="s">
        <v>270</v>
      </c>
      <c r="S2954" s="38" t="s">
        <v>6925</v>
      </c>
      <c r="T2954" s="38" t="s">
        <v>6926</v>
      </c>
      <c r="U2954" s="38"/>
      <c r="V2954" s="38"/>
      <c r="W2954" s="38"/>
      <c r="X2954" s="7"/>
      <c r="Y2954" s="57"/>
      <c r="Z2954" s="7"/>
      <c r="AA2954" s="57"/>
      <c r="AB2954" s="7"/>
      <c r="AC2954" s="57"/>
      <c r="AD2954" s="7"/>
      <c r="AE2954" s="57"/>
      <c r="AF2954" s="7"/>
      <c r="AG2954" s="57"/>
      <c r="AH2954" s="7"/>
      <c r="AI2954" s="57">
        <f>10</f>
        <v>10</v>
      </c>
      <c r="AJ2954" s="7"/>
      <c r="AK2954" s="57"/>
      <c r="AL2954" s="7"/>
      <c r="AN2954" s="7" t="s">
        <v>145</v>
      </c>
      <c r="AO2954" s="21">
        <f t="shared" si="146"/>
        <v>10</v>
      </c>
      <c r="AP2954" s="7">
        <f t="shared" si="147"/>
        <v>0</v>
      </c>
      <c r="AQ2954" s="31" t="str">
        <f t="shared" si="148"/>
        <v>Complete - With Adjustment</v>
      </c>
    </row>
    <row r="2955" spans="1:45" x14ac:dyDescent="0.2">
      <c r="A2955" s="46">
        <v>2945</v>
      </c>
      <c r="B2955" s="38" t="s">
        <v>266</v>
      </c>
      <c r="C2955" s="38" t="s">
        <v>364</v>
      </c>
      <c r="D2955" s="38" t="s">
        <v>363</v>
      </c>
      <c r="E2955" s="38" t="s">
        <v>6923</v>
      </c>
      <c r="F2955" s="38" t="s">
        <v>6805</v>
      </c>
      <c r="G2955" s="38" t="s">
        <v>111</v>
      </c>
      <c r="H2955" s="44">
        <v>44211</v>
      </c>
      <c r="I2955" s="44">
        <v>44216</v>
      </c>
      <c r="J2955">
        <v>1185.42</v>
      </c>
      <c r="K2955">
        <v>15</v>
      </c>
      <c r="L2955" t="s">
        <v>6924</v>
      </c>
      <c r="M2955" s="45" t="s">
        <v>97</v>
      </c>
      <c r="N2955" s="38" t="s">
        <v>230</v>
      </c>
      <c r="O2955" s="38" t="s">
        <v>365</v>
      </c>
      <c r="P2955" s="38" t="s">
        <v>42</v>
      </c>
      <c r="Q2955" s="38" t="s">
        <v>55</v>
      </c>
      <c r="R2955" s="38" t="s">
        <v>270</v>
      </c>
      <c r="S2955" s="38" t="s">
        <v>6925</v>
      </c>
      <c r="T2955" s="38" t="s">
        <v>6926</v>
      </c>
      <c r="U2955" s="38"/>
      <c r="V2955" s="38"/>
      <c r="W2955" s="38"/>
      <c r="X2955" s="7"/>
      <c r="Y2955" s="57"/>
      <c r="Z2955" s="7"/>
      <c r="AA2955" s="57"/>
      <c r="AB2955" s="7"/>
      <c r="AC2955" s="57"/>
      <c r="AD2955" s="7"/>
      <c r="AE2955" s="57"/>
      <c r="AF2955" s="7"/>
      <c r="AG2955" s="57"/>
      <c r="AH2955" s="7"/>
      <c r="AI2955" s="57">
        <f>15</f>
        <v>15</v>
      </c>
      <c r="AJ2955" s="7"/>
      <c r="AK2955" s="57"/>
      <c r="AL2955" s="7"/>
      <c r="AN2955" s="7" t="s">
        <v>145</v>
      </c>
      <c r="AO2955" s="21">
        <f t="shared" si="146"/>
        <v>15</v>
      </c>
      <c r="AP2955" s="7">
        <f t="shared" si="147"/>
        <v>0</v>
      </c>
      <c r="AQ2955" s="31" t="str">
        <f t="shared" si="148"/>
        <v>Complete - With Adjustment</v>
      </c>
    </row>
    <row r="2956" spans="1:45" x14ac:dyDescent="0.2">
      <c r="A2956" s="46">
        <v>2946</v>
      </c>
      <c r="B2956" s="38" t="s">
        <v>266</v>
      </c>
      <c r="C2956" s="38" t="s">
        <v>364</v>
      </c>
      <c r="D2956" s="38" t="s">
        <v>363</v>
      </c>
      <c r="E2956" s="38" t="s">
        <v>6923</v>
      </c>
      <c r="F2956" s="38" t="s">
        <v>6805</v>
      </c>
      <c r="G2956" s="38" t="s">
        <v>111</v>
      </c>
      <c r="H2956" s="44">
        <v>44211</v>
      </c>
      <c r="I2956" s="44">
        <v>44216</v>
      </c>
      <c r="J2956">
        <v>1185.42</v>
      </c>
      <c r="K2956">
        <v>10</v>
      </c>
      <c r="L2956" t="s">
        <v>6924</v>
      </c>
      <c r="M2956" s="45" t="s">
        <v>97</v>
      </c>
      <c r="N2956" s="38" t="s">
        <v>230</v>
      </c>
      <c r="O2956" s="38" t="s">
        <v>365</v>
      </c>
      <c r="P2956" s="38" t="s">
        <v>42</v>
      </c>
      <c r="Q2956" s="38" t="s">
        <v>55</v>
      </c>
      <c r="R2956" s="38" t="s">
        <v>270</v>
      </c>
      <c r="S2956" s="38" t="s">
        <v>6925</v>
      </c>
      <c r="T2956" s="38" t="s">
        <v>6926</v>
      </c>
      <c r="U2956" s="38"/>
      <c r="V2956" s="38"/>
      <c r="W2956" s="38"/>
      <c r="X2956" s="7"/>
      <c r="Y2956" s="57"/>
      <c r="Z2956" s="7"/>
      <c r="AA2956" s="57"/>
      <c r="AB2956" s="7"/>
      <c r="AC2956" s="57"/>
      <c r="AD2956" s="7"/>
      <c r="AE2956" s="57"/>
      <c r="AF2956" s="7"/>
      <c r="AG2956" s="57"/>
      <c r="AH2956" s="7"/>
      <c r="AI2956" s="57">
        <f>10</f>
        <v>10</v>
      </c>
      <c r="AJ2956" s="7"/>
      <c r="AK2956" s="57"/>
      <c r="AL2956" s="7"/>
      <c r="AN2956" s="7" t="s">
        <v>145</v>
      </c>
      <c r="AO2956" s="21">
        <f t="shared" si="146"/>
        <v>10</v>
      </c>
      <c r="AP2956" s="7">
        <f t="shared" si="147"/>
        <v>0</v>
      </c>
      <c r="AQ2956" s="31" t="str">
        <f t="shared" si="148"/>
        <v>Complete - With Adjustment</v>
      </c>
    </row>
    <row r="2957" spans="1:45" x14ac:dyDescent="0.2">
      <c r="A2957" s="46">
        <v>2947</v>
      </c>
      <c r="B2957" s="38" t="s">
        <v>266</v>
      </c>
      <c r="C2957" s="38" t="s">
        <v>364</v>
      </c>
      <c r="D2957" s="38" t="s">
        <v>363</v>
      </c>
      <c r="E2957" s="38" t="s">
        <v>6923</v>
      </c>
      <c r="F2957" s="38" t="s">
        <v>6805</v>
      </c>
      <c r="G2957" s="38" t="s">
        <v>111</v>
      </c>
      <c r="H2957" s="44">
        <v>44211</v>
      </c>
      <c r="I2957" s="44">
        <v>44216</v>
      </c>
      <c r="J2957">
        <v>1185.42</v>
      </c>
      <c r="K2957">
        <v>10</v>
      </c>
      <c r="L2957" t="s">
        <v>6924</v>
      </c>
      <c r="M2957" s="45" t="s">
        <v>97</v>
      </c>
      <c r="N2957" s="38" t="s">
        <v>230</v>
      </c>
      <c r="O2957" s="38" t="s">
        <v>365</v>
      </c>
      <c r="P2957" s="38" t="s">
        <v>42</v>
      </c>
      <c r="Q2957" s="38" t="s">
        <v>55</v>
      </c>
      <c r="R2957" s="38" t="s">
        <v>270</v>
      </c>
      <c r="S2957" s="38" t="s">
        <v>6925</v>
      </c>
      <c r="T2957" s="38" t="s">
        <v>6926</v>
      </c>
      <c r="U2957" s="38"/>
      <c r="V2957" s="38"/>
      <c r="W2957" s="38"/>
      <c r="X2957" s="7"/>
      <c r="Y2957" s="57"/>
      <c r="Z2957" s="7"/>
      <c r="AA2957" s="57"/>
      <c r="AB2957" s="7"/>
      <c r="AC2957" s="57"/>
      <c r="AD2957" s="7"/>
      <c r="AE2957" s="57"/>
      <c r="AF2957" s="7"/>
      <c r="AG2957" s="57"/>
      <c r="AH2957" s="7"/>
      <c r="AI2957" s="57">
        <f>10</f>
        <v>10</v>
      </c>
      <c r="AJ2957" s="7"/>
      <c r="AK2957" s="57"/>
      <c r="AL2957" s="7"/>
      <c r="AN2957" s="7" t="s">
        <v>145</v>
      </c>
      <c r="AO2957" s="21">
        <f t="shared" si="146"/>
        <v>10</v>
      </c>
      <c r="AP2957" s="7">
        <f t="shared" si="147"/>
        <v>0</v>
      </c>
      <c r="AQ2957" s="31" t="str">
        <f t="shared" si="148"/>
        <v>Complete - With Adjustment</v>
      </c>
    </row>
    <row r="2958" spans="1:45" x14ac:dyDescent="0.2">
      <c r="A2958" s="46">
        <v>2948</v>
      </c>
      <c r="B2958" s="38" t="s">
        <v>266</v>
      </c>
      <c r="C2958" s="38" t="s">
        <v>364</v>
      </c>
      <c r="D2958" s="38" t="s">
        <v>363</v>
      </c>
      <c r="E2958" s="38" t="s">
        <v>6923</v>
      </c>
      <c r="F2958" s="38" t="s">
        <v>6805</v>
      </c>
      <c r="G2958" s="38" t="s">
        <v>111</v>
      </c>
      <c r="H2958" s="44">
        <v>44211</v>
      </c>
      <c r="I2958" s="44">
        <v>44216</v>
      </c>
      <c r="J2958">
        <v>1185.42</v>
      </c>
      <c r="K2958">
        <v>15</v>
      </c>
      <c r="L2958" t="s">
        <v>6924</v>
      </c>
      <c r="M2958" s="45" t="s">
        <v>97</v>
      </c>
      <c r="N2958" s="38" t="s">
        <v>230</v>
      </c>
      <c r="O2958" s="38" t="s">
        <v>365</v>
      </c>
      <c r="P2958" s="38" t="s">
        <v>42</v>
      </c>
      <c r="Q2958" s="38" t="s">
        <v>55</v>
      </c>
      <c r="R2958" s="38" t="s">
        <v>270</v>
      </c>
      <c r="S2958" s="38" t="s">
        <v>6925</v>
      </c>
      <c r="T2958" s="38" t="s">
        <v>6926</v>
      </c>
      <c r="U2958" s="38"/>
      <c r="V2958" s="38"/>
      <c r="W2958" s="38"/>
      <c r="X2958" s="7"/>
      <c r="Y2958" s="57"/>
      <c r="Z2958" s="7"/>
      <c r="AA2958" s="57"/>
      <c r="AB2958" s="7"/>
      <c r="AC2958" s="57"/>
      <c r="AD2958" s="7"/>
      <c r="AE2958" s="57"/>
      <c r="AF2958" s="7"/>
      <c r="AG2958" s="57"/>
      <c r="AH2958" s="7"/>
      <c r="AI2958" s="57">
        <f>15</f>
        <v>15</v>
      </c>
      <c r="AJ2958" s="7"/>
      <c r="AK2958" s="57"/>
      <c r="AL2958" s="7"/>
      <c r="AN2958" s="7" t="s">
        <v>145</v>
      </c>
      <c r="AO2958" s="21">
        <f t="shared" si="146"/>
        <v>15</v>
      </c>
      <c r="AP2958" s="7">
        <f t="shared" si="147"/>
        <v>0</v>
      </c>
      <c r="AQ2958" s="31" t="str">
        <f t="shared" si="148"/>
        <v>Complete - With Adjustment</v>
      </c>
    </row>
    <row r="2959" spans="1:45" x14ac:dyDescent="0.2">
      <c r="A2959" s="46">
        <v>2949</v>
      </c>
      <c r="B2959" s="38" t="s">
        <v>266</v>
      </c>
      <c r="C2959" s="38" t="s">
        <v>364</v>
      </c>
      <c r="D2959" s="38" t="s">
        <v>363</v>
      </c>
      <c r="E2959" s="38" t="s">
        <v>6923</v>
      </c>
      <c r="F2959" s="38" t="s">
        <v>6805</v>
      </c>
      <c r="G2959" s="38" t="s">
        <v>111</v>
      </c>
      <c r="H2959" s="44">
        <v>44211</v>
      </c>
      <c r="I2959" s="44">
        <v>44216</v>
      </c>
      <c r="J2959">
        <v>1185.42</v>
      </c>
      <c r="K2959">
        <v>10</v>
      </c>
      <c r="L2959" t="s">
        <v>6924</v>
      </c>
      <c r="M2959" s="45" t="s">
        <v>97</v>
      </c>
      <c r="N2959" s="38" t="s">
        <v>230</v>
      </c>
      <c r="O2959" s="38" t="s">
        <v>365</v>
      </c>
      <c r="P2959" s="38" t="s">
        <v>42</v>
      </c>
      <c r="Q2959" s="38" t="s">
        <v>55</v>
      </c>
      <c r="R2959" s="38" t="s">
        <v>270</v>
      </c>
      <c r="S2959" s="38" t="s">
        <v>6925</v>
      </c>
      <c r="T2959" s="38" t="s">
        <v>6926</v>
      </c>
      <c r="U2959" s="38"/>
      <c r="V2959" s="38"/>
      <c r="W2959" s="38"/>
      <c r="X2959" s="7"/>
      <c r="Y2959" s="57"/>
      <c r="Z2959" s="7"/>
      <c r="AA2959" s="57"/>
      <c r="AB2959" s="7"/>
      <c r="AC2959" s="57"/>
      <c r="AD2959" s="7"/>
      <c r="AE2959" s="57"/>
      <c r="AF2959" s="7"/>
      <c r="AG2959" s="57"/>
      <c r="AH2959" s="7"/>
      <c r="AI2959" s="57">
        <f>10</f>
        <v>10</v>
      </c>
      <c r="AJ2959" s="7"/>
      <c r="AK2959" s="57"/>
      <c r="AL2959" s="7"/>
      <c r="AN2959" s="7" t="s">
        <v>145</v>
      </c>
      <c r="AO2959" s="21">
        <f t="shared" si="146"/>
        <v>10</v>
      </c>
      <c r="AP2959" s="7">
        <f t="shared" si="147"/>
        <v>0</v>
      </c>
      <c r="AQ2959" s="31" t="str">
        <f t="shared" si="148"/>
        <v>Complete - With Adjustment</v>
      </c>
    </row>
    <row r="2960" spans="1:45" x14ac:dyDescent="0.2">
      <c r="A2960" s="46">
        <v>2950</v>
      </c>
      <c r="B2960" s="38" t="s">
        <v>266</v>
      </c>
      <c r="C2960" s="38" t="s">
        <v>364</v>
      </c>
      <c r="D2960" s="38" t="s">
        <v>363</v>
      </c>
      <c r="E2960" s="38" t="s">
        <v>6923</v>
      </c>
      <c r="F2960" s="38" t="s">
        <v>6805</v>
      </c>
      <c r="G2960" s="38" t="s">
        <v>111</v>
      </c>
      <c r="H2960" s="44">
        <v>44211</v>
      </c>
      <c r="I2960" s="44">
        <v>44216</v>
      </c>
      <c r="J2960">
        <v>1185.42</v>
      </c>
      <c r="K2960">
        <v>10</v>
      </c>
      <c r="L2960" t="s">
        <v>6924</v>
      </c>
      <c r="M2960" s="45" t="s">
        <v>97</v>
      </c>
      <c r="N2960" s="38" t="s">
        <v>230</v>
      </c>
      <c r="O2960" s="38" t="s">
        <v>365</v>
      </c>
      <c r="P2960" s="38" t="s">
        <v>42</v>
      </c>
      <c r="Q2960" s="38" t="s">
        <v>55</v>
      </c>
      <c r="R2960" s="38" t="s">
        <v>270</v>
      </c>
      <c r="S2960" s="38" t="s">
        <v>6925</v>
      </c>
      <c r="T2960" s="38" t="s">
        <v>6926</v>
      </c>
      <c r="U2960" s="38"/>
      <c r="V2960" s="38"/>
      <c r="W2960" s="38"/>
      <c r="X2960" s="7"/>
      <c r="Y2960" s="57"/>
      <c r="Z2960" s="7"/>
      <c r="AA2960" s="57"/>
      <c r="AB2960" s="7"/>
      <c r="AC2960" s="57"/>
      <c r="AD2960" s="7"/>
      <c r="AE2960" s="57"/>
      <c r="AF2960" s="7"/>
      <c r="AG2960" s="57"/>
      <c r="AH2960" s="7"/>
      <c r="AI2960" s="57">
        <f>10</f>
        <v>10</v>
      </c>
      <c r="AJ2960" s="7"/>
      <c r="AK2960" s="57"/>
      <c r="AL2960" s="7"/>
      <c r="AN2960" s="7" t="s">
        <v>145</v>
      </c>
      <c r="AO2960" s="21">
        <f t="shared" si="146"/>
        <v>10</v>
      </c>
      <c r="AP2960" s="7">
        <f t="shared" si="147"/>
        <v>0</v>
      </c>
      <c r="AQ2960" s="31" t="str">
        <f t="shared" si="148"/>
        <v>Complete - With Adjustment</v>
      </c>
    </row>
    <row r="2961" spans="1:43" x14ac:dyDescent="0.2">
      <c r="A2961" s="46">
        <v>2951</v>
      </c>
      <c r="B2961" s="38" t="s">
        <v>266</v>
      </c>
      <c r="C2961" s="38" t="s">
        <v>364</v>
      </c>
      <c r="D2961" s="38" t="s">
        <v>363</v>
      </c>
      <c r="E2961" s="38" t="s">
        <v>6923</v>
      </c>
      <c r="F2961" s="38" t="s">
        <v>6805</v>
      </c>
      <c r="G2961" s="38" t="s">
        <v>111</v>
      </c>
      <c r="H2961" s="44">
        <v>44211</v>
      </c>
      <c r="I2961" s="44">
        <v>44216</v>
      </c>
      <c r="J2961">
        <v>1185.42</v>
      </c>
      <c r="K2961">
        <v>5</v>
      </c>
      <c r="L2961" t="s">
        <v>6924</v>
      </c>
      <c r="M2961" s="45" t="s">
        <v>97</v>
      </c>
      <c r="N2961" s="38" t="s">
        <v>230</v>
      </c>
      <c r="O2961" s="38" t="s">
        <v>365</v>
      </c>
      <c r="P2961" s="38" t="s">
        <v>42</v>
      </c>
      <c r="Q2961" s="38" t="s">
        <v>55</v>
      </c>
      <c r="R2961" s="38" t="s">
        <v>270</v>
      </c>
      <c r="S2961" s="38" t="s">
        <v>6925</v>
      </c>
      <c r="T2961" s="38" t="s">
        <v>6926</v>
      </c>
      <c r="U2961" s="38"/>
      <c r="V2961" s="38"/>
      <c r="W2961" s="38"/>
      <c r="X2961" s="7"/>
      <c r="Y2961" s="57"/>
      <c r="Z2961" s="7"/>
      <c r="AA2961" s="57"/>
      <c r="AB2961" s="7"/>
      <c r="AC2961" s="57"/>
      <c r="AD2961" s="7"/>
      <c r="AE2961" s="57"/>
      <c r="AF2961" s="7"/>
      <c r="AG2961" s="57"/>
      <c r="AH2961" s="7"/>
      <c r="AI2961" s="57">
        <f>5</f>
        <v>5</v>
      </c>
      <c r="AJ2961" s="7"/>
      <c r="AK2961" s="57"/>
      <c r="AL2961" s="7"/>
      <c r="AN2961" s="7" t="s">
        <v>145</v>
      </c>
      <c r="AO2961" s="21">
        <f t="shared" si="146"/>
        <v>5</v>
      </c>
      <c r="AP2961" s="7">
        <f t="shared" si="147"/>
        <v>0</v>
      </c>
      <c r="AQ2961" s="31" t="str">
        <f t="shared" si="148"/>
        <v>Complete - With Adjustment</v>
      </c>
    </row>
    <row r="2962" spans="1:43" x14ac:dyDescent="0.2">
      <c r="A2962" s="46">
        <v>2952</v>
      </c>
      <c r="B2962" s="38" t="s">
        <v>266</v>
      </c>
      <c r="C2962" s="38" t="s">
        <v>364</v>
      </c>
      <c r="D2962" s="38" t="s">
        <v>363</v>
      </c>
      <c r="E2962" s="38" t="s">
        <v>6923</v>
      </c>
      <c r="F2962" s="38" t="s">
        <v>6805</v>
      </c>
      <c r="G2962" s="38" t="s">
        <v>111</v>
      </c>
      <c r="H2962" s="44">
        <v>44211</v>
      </c>
      <c r="I2962" s="44">
        <v>44216</v>
      </c>
      <c r="J2962">
        <v>1185.42</v>
      </c>
      <c r="K2962">
        <v>10</v>
      </c>
      <c r="L2962" t="s">
        <v>6924</v>
      </c>
      <c r="M2962" s="45" t="s">
        <v>97</v>
      </c>
      <c r="N2962" s="38" t="s">
        <v>230</v>
      </c>
      <c r="O2962" s="38" t="s">
        <v>365</v>
      </c>
      <c r="P2962" s="38" t="s">
        <v>42</v>
      </c>
      <c r="Q2962" s="38" t="s">
        <v>55</v>
      </c>
      <c r="R2962" s="38" t="s">
        <v>270</v>
      </c>
      <c r="S2962" s="38" t="s">
        <v>6925</v>
      </c>
      <c r="T2962" s="38" t="s">
        <v>6926</v>
      </c>
      <c r="U2962" s="38"/>
      <c r="V2962" s="38"/>
      <c r="W2962" s="38"/>
      <c r="X2962" s="7"/>
      <c r="Y2962" s="57"/>
      <c r="Z2962" s="7"/>
      <c r="AA2962" s="57"/>
      <c r="AB2962" s="7"/>
      <c r="AC2962" s="57"/>
      <c r="AD2962" s="7"/>
      <c r="AE2962" s="57"/>
      <c r="AF2962" s="7"/>
      <c r="AG2962" s="57"/>
      <c r="AH2962" s="7"/>
      <c r="AI2962" s="57">
        <f>10</f>
        <v>10</v>
      </c>
      <c r="AJ2962" s="7"/>
      <c r="AK2962" s="57"/>
      <c r="AL2962" s="7"/>
      <c r="AN2962" s="7" t="s">
        <v>145</v>
      </c>
      <c r="AO2962" s="21">
        <f t="shared" si="146"/>
        <v>10</v>
      </c>
      <c r="AP2962" s="7">
        <f t="shared" si="147"/>
        <v>0</v>
      </c>
      <c r="AQ2962" s="31" t="str">
        <f t="shared" si="148"/>
        <v>Complete - With Adjustment</v>
      </c>
    </row>
    <row r="2963" spans="1:43" x14ac:dyDescent="0.2">
      <c r="A2963" s="46">
        <v>2953</v>
      </c>
      <c r="B2963" s="38" t="s">
        <v>266</v>
      </c>
      <c r="C2963" s="38" t="s">
        <v>364</v>
      </c>
      <c r="D2963" s="38" t="s">
        <v>363</v>
      </c>
      <c r="E2963" s="38" t="s">
        <v>6923</v>
      </c>
      <c r="F2963" s="38" t="s">
        <v>6805</v>
      </c>
      <c r="G2963" s="38" t="s">
        <v>111</v>
      </c>
      <c r="H2963" s="44">
        <v>44211</v>
      </c>
      <c r="I2963" s="44">
        <v>44216</v>
      </c>
      <c r="J2963">
        <v>1185.42</v>
      </c>
      <c r="K2963">
        <v>10</v>
      </c>
      <c r="L2963" t="s">
        <v>6924</v>
      </c>
      <c r="M2963" s="45" t="s">
        <v>97</v>
      </c>
      <c r="N2963" s="38" t="s">
        <v>230</v>
      </c>
      <c r="O2963" s="38" t="s">
        <v>365</v>
      </c>
      <c r="P2963" s="38" t="s">
        <v>42</v>
      </c>
      <c r="Q2963" s="38" t="s">
        <v>55</v>
      </c>
      <c r="R2963" s="38" t="s">
        <v>270</v>
      </c>
      <c r="S2963" s="38" t="s">
        <v>6925</v>
      </c>
      <c r="T2963" s="38" t="s">
        <v>6926</v>
      </c>
      <c r="U2963" s="38"/>
      <c r="V2963" s="38"/>
      <c r="W2963" s="38"/>
      <c r="X2963" s="7"/>
      <c r="Y2963" s="57"/>
      <c r="Z2963" s="7"/>
      <c r="AA2963" s="57"/>
      <c r="AB2963" s="7"/>
      <c r="AC2963" s="57"/>
      <c r="AD2963" s="7"/>
      <c r="AE2963" s="57"/>
      <c r="AF2963" s="7"/>
      <c r="AG2963" s="57"/>
      <c r="AH2963" s="7"/>
      <c r="AI2963" s="57">
        <f>10</f>
        <v>10</v>
      </c>
      <c r="AJ2963" s="7"/>
      <c r="AK2963" s="57"/>
      <c r="AL2963" s="7"/>
      <c r="AN2963" s="7" t="s">
        <v>145</v>
      </c>
      <c r="AO2963" s="21">
        <f t="shared" si="146"/>
        <v>10</v>
      </c>
      <c r="AP2963" s="7">
        <f t="shared" si="147"/>
        <v>0</v>
      </c>
      <c r="AQ2963" s="31" t="str">
        <f t="shared" si="148"/>
        <v>Complete - With Adjustment</v>
      </c>
    </row>
    <row r="2964" spans="1:43" x14ac:dyDescent="0.2">
      <c r="A2964" s="46">
        <v>2954</v>
      </c>
      <c r="B2964" s="38" t="s">
        <v>266</v>
      </c>
      <c r="C2964" s="38" t="s">
        <v>364</v>
      </c>
      <c r="D2964" s="38" t="s">
        <v>363</v>
      </c>
      <c r="E2964" s="38" t="s">
        <v>6923</v>
      </c>
      <c r="F2964" s="38" t="s">
        <v>6805</v>
      </c>
      <c r="G2964" s="38" t="s">
        <v>111</v>
      </c>
      <c r="H2964" s="44">
        <v>44211</v>
      </c>
      <c r="I2964" s="44">
        <v>44216</v>
      </c>
      <c r="J2964">
        <v>1185.42</v>
      </c>
      <c r="K2964">
        <v>10</v>
      </c>
      <c r="L2964" t="s">
        <v>6924</v>
      </c>
      <c r="M2964" s="45" t="s">
        <v>97</v>
      </c>
      <c r="N2964" s="38" t="s">
        <v>230</v>
      </c>
      <c r="O2964" s="38" t="s">
        <v>365</v>
      </c>
      <c r="P2964" s="38" t="s">
        <v>42</v>
      </c>
      <c r="Q2964" s="38" t="s">
        <v>55</v>
      </c>
      <c r="R2964" s="38" t="s">
        <v>270</v>
      </c>
      <c r="S2964" s="38" t="s">
        <v>6925</v>
      </c>
      <c r="T2964" s="38" t="s">
        <v>6926</v>
      </c>
      <c r="U2964" s="38"/>
      <c r="V2964" s="38"/>
      <c r="W2964" s="38"/>
      <c r="X2964" s="7"/>
      <c r="Y2964" s="57"/>
      <c r="Z2964" s="7"/>
      <c r="AA2964" s="57"/>
      <c r="AB2964" s="7"/>
      <c r="AC2964" s="57"/>
      <c r="AD2964" s="7"/>
      <c r="AE2964" s="57"/>
      <c r="AF2964" s="7"/>
      <c r="AG2964" s="57"/>
      <c r="AH2964" s="7"/>
      <c r="AI2964" s="57">
        <f>10</f>
        <v>10</v>
      </c>
      <c r="AJ2964" s="7"/>
      <c r="AK2964" s="57"/>
      <c r="AL2964" s="7"/>
      <c r="AN2964" s="7" t="s">
        <v>145</v>
      </c>
      <c r="AO2964" s="21">
        <f t="shared" si="146"/>
        <v>10</v>
      </c>
      <c r="AP2964" s="7">
        <f t="shared" si="147"/>
        <v>0</v>
      </c>
      <c r="AQ2964" s="31" t="str">
        <f t="shared" si="148"/>
        <v>Complete - With Adjustment</v>
      </c>
    </row>
    <row r="2965" spans="1:43" x14ac:dyDescent="0.2">
      <c r="A2965" s="46">
        <v>2955</v>
      </c>
      <c r="B2965" s="38" t="s">
        <v>266</v>
      </c>
      <c r="C2965" s="38" t="s">
        <v>364</v>
      </c>
      <c r="D2965" s="38" t="s">
        <v>363</v>
      </c>
      <c r="E2965" s="38" t="s">
        <v>6923</v>
      </c>
      <c r="F2965" s="38" t="s">
        <v>6805</v>
      </c>
      <c r="G2965" s="38" t="s">
        <v>111</v>
      </c>
      <c r="H2965" s="44">
        <v>44211</v>
      </c>
      <c r="I2965" s="44">
        <v>44216</v>
      </c>
      <c r="J2965">
        <v>1185.42</v>
      </c>
      <c r="K2965">
        <v>10</v>
      </c>
      <c r="L2965" t="s">
        <v>6924</v>
      </c>
      <c r="M2965" s="45" t="s">
        <v>97</v>
      </c>
      <c r="N2965" s="38" t="s">
        <v>230</v>
      </c>
      <c r="O2965" s="38" t="s">
        <v>365</v>
      </c>
      <c r="P2965" s="38" t="s">
        <v>42</v>
      </c>
      <c r="Q2965" s="38" t="s">
        <v>55</v>
      </c>
      <c r="R2965" s="38" t="s">
        <v>270</v>
      </c>
      <c r="S2965" s="38" t="s">
        <v>6925</v>
      </c>
      <c r="T2965" s="38" t="s">
        <v>6926</v>
      </c>
      <c r="U2965" s="38"/>
      <c r="V2965" s="38"/>
      <c r="W2965" s="38"/>
      <c r="X2965" s="7"/>
      <c r="Y2965" s="57"/>
      <c r="Z2965" s="7"/>
      <c r="AA2965" s="57"/>
      <c r="AB2965" s="7"/>
      <c r="AC2965" s="57"/>
      <c r="AD2965" s="7"/>
      <c r="AE2965" s="57"/>
      <c r="AF2965" s="7"/>
      <c r="AG2965" s="57"/>
      <c r="AH2965" s="7"/>
      <c r="AI2965" s="57">
        <f>10</f>
        <v>10</v>
      </c>
      <c r="AJ2965" s="7"/>
      <c r="AK2965" s="57"/>
      <c r="AL2965" s="7"/>
      <c r="AN2965" s="7" t="s">
        <v>145</v>
      </c>
      <c r="AO2965" s="21">
        <f t="shared" si="146"/>
        <v>10</v>
      </c>
      <c r="AP2965" s="7">
        <f t="shared" si="147"/>
        <v>0</v>
      </c>
      <c r="AQ2965" s="31" t="str">
        <f t="shared" si="148"/>
        <v>Complete - With Adjustment</v>
      </c>
    </row>
    <row r="2966" spans="1:43" x14ac:dyDescent="0.2">
      <c r="A2966" s="46">
        <v>2956</v>
      </c>
      <c r="B2966" s="38" t="s">
        <v>266</v>
      </c>
      <c r="C2966" s="38" t="s">
        <v>364</v>
      </c>
      <c r="D2966" s="38" t="s">
        <v>363</v>
      </c>
      <c r="E2966" s="38" t="s">
        <v>6923</v>
      </c>
      <c r="F2966" s="38" t="s">
        <v>6805</v>
      </c>
      <c r="G2966" s="38" t="s">
        <v>111</v>
      </c>
      <c r="H2966" s="44">
        <v>44211</v>
      </c>
      <c r="I2966" s="44">
        <v>44216</v>
      </c>
      <c r="J2966">
        <v>1185.42</v>
      </c>
      <c r="K2966">
        <v>10</v>
      </c>
      <c r="L2966" t="s">
        <v>6924</v>
      </c>
      <c r="M2966" s="45" t="s">
        <v>97</v>
      </c>
      <c r="N2966" s="38" t="s">
        <v>230</v>
      </c>
      <c r="O2966" s="38" t="s">
        <v>365</v>
      </c>
      <c r="P2966" s="38" t="s">
        <v>42</v>
      </c>
      <c r="Q2966" s="38" t="s">
        <v>55</v>
      </c>
      <c r="R2966" s="38" t="s">
        <v>270</v>
      </c>
      <c r="S2966" s="38" t="s">
        <v>6925</v>
      </c>
      <c r="T2966" s="38" t="s">
        <v>6926</v>
      </c>
      <c r="U2966" s="38"/>
      <c r="V2966" s="38"/>
      <c r="W2966" s="38"/>
      <c r="X2966" s="7"/>
      <c r="Y2966" s="57"/>
      <c r="Z2966" s="7"/>
      <c r="AA2966" s="57"/>
      <c r="AB2966" s="7"/>
      <c r="AC2966" s="57"/>
      <c r="AD2966" s="7"/>
      <c r="AE2966" s="57"/>
      <c r="AF2966" s="7"/>
      <c r="AG2966" s="57"/>
      <c r="AH2966" s="7"/>
      <c r="AI2966" s="57">
        <f>10</f>
        <v>10</v>
      </c>
      <c r="AJ2966" s="7"/>
      <c r="AK2966" s="57"/>
      <c r="AL2966" s="7"/>
      <c r="AN2966" s="7" t="s">
        <v>145</v>
      </c>
      <c r="AO2966" s="21">
        <f t="shared" si="146"/>
        <v>10</v>
      </c>
      <c r="AP2966" s="7">
        <f t="shared" si="147"/>
        <v>0</v>
      </c>
      <c r="AQ2966" s="31" t="str">
        <f t="shared" si="148"/>
        <v>Complete - With Adjustment</v>
      </c>
    </row>
    <row r="2967" spans="1:43" x14ac:dyDescent="0.2">
      <c r="A2967" s="46">
        <v>2957</v>
      </c>
      <c r="B2967" s="38" t="s">
        <v>266</v>
      </c>
      <c r="C2967" s="38" t="s">
        <v>364</v>
      </c>
      <c r="D2967" s="38" t="s">
        <v>363</v>
      </c>
      <c r="E2967" s="38" t="s">
        <v>6923</v>
      </c>
      <c r="F2967" s="38" t="s">
        <v>6805</v>
      </c>
      <c r="G2967" s="38" t="s">
        <v>111</v>
      </c>
      <c r="H2967" s="44">
        <v>44211</v>
      </c>
      <c r="I2967" s="44">
        <v>44216</v>
      </c>
      <c r="J2967">
        <v>1185.42</v>
      </c>
      <c r="K2967">
        <v>15</v>
      </c>
      <c r="L2967" t="s">
        <v>6924</v>
      </c>
      <c r="M2967" s="45" t="s">
        <v>97</v>
      </c>
      <c r="N2967" s="38" t="s">
        <v>230</v>
      </c>
      <c r="O2967" s="38" t="s">
        <v>365</v>
      </c>
      <c r="P2967" s="38" t="s">
        <v>42</v>
      </c>
      <c r="Q2967" s="38" t="s">
        <v>55</v>
      </c>
      <c r="R2967" s="38" t="s">
        <v>270</v>
      </c>
      <c r="S2967" s="38" t="s">
        <v>6925</v>
      </c>
      <c r="T2967" s="38" t="s">
        <v>6926</v>
      </c>
      <c r="U2967" s="38"/>
      <c r="V2967" s="38"/>
      <c r="W2967" s="38"/>
      <c r="X2967" s="7"/>
      <c r="Y2967" s="57"/>
      <c r="Z2967" s="7"/>
      <c r="AA2967" s="57"/>
      <c r="AB2967" s="7"/>
      <c r="AC2967" s="57"/>
      <c r="AD2967" s="7"/>
      <c r="AE2967" s="57"/>
      <c r="AF2967" s="7"/>
      <c r="AG2967" s="57"/>
      <c r="AH2967" s="7"/>
      <c r="AI2967" s="57">
        <f>15</f>
        <v>15</v>
      </c>
      <c r="AJ2967" s="7"/>
      <c r="AK2967" s="57"/>
      <c r="AL2967" s="7"/>
      <c r="AN2967" s="7" t="s">
        <v>145</v>
      </c>
      <c r="AO2967" s="21">
        <f t="shared" si="146"/>
        <v>15</v>
      </c>
      <c r="AP2967" s="7">
        <f t="shared" si="147"/>
        <v>0</v>
      </c>
      <c r="AQ2967" s="31" t="str">
        <f t="shared" si="148"/>
        <v>Complete - With Adjustment</v>
      </c>
    </row>
    <row r="2968" spans="1:43" x14ac:dyDescent="0.2">
      <c r="A2968" s="46">
        <v>2958</v>
      </c>
      <c r="B2968" s="38" t="s">
        <v>266</v>
      </c>
      <c r="C2968" s="38" t="s">
        <v>364</v>
      </c>
      <c r="D2968" s="38" t="s">
        <v>363</v>
      </c>
      <c r="E2968" s="38" t="s">
        <v>6923</v>
      </c>
      <c r="F2968" s="38" t="s">
        <v>6805</v>
      </c>
      <c r="G2968" s="38" t="s">
        <v>111</v>
      </c>
      <c r="H2968" s="44">
        <v>44211</v>
      </c>
      <c r="I2968" s="44">
        <v>44216</v>
      </c>
      <c r="J2968">
        <v>1185.42</v>
      </c>
      <c r="K2968">
        <v>15</v>
      </c>
      <c r="L2968" t="s">
        <v>6924</v>
      </c>
      <c r="M2968" s="45" t="s">
        <v>97</v>
      </c>
      <c r="N2968" s="38" t="s">
        <v>230</v>
      </c>
      <c r="O2968" s="38" t="s">
        <v>365</v>
      </c>
      <c r="P2968" s="38" t="s">
        <v>42</v>
      </c>
      <c r="Q2968" s="38" t="s">
        <v>55</v>
      </c>
      <c r="R2968" s="38" t="s">
        <v>270</v>
      </c>
      <c r="S2968" s="38" t="s">
        <v>6925</v>
      </c>
      <c r="T2968" s="38" t="s">
        <v>6926</v>
      </c>
      <c r="U2968" s="38"/>
      <c r="V2968" s="38"/>
      <c r="W2968" s="38"/>
      <c r="X2968" s="7"/>
      <c r="Y2968" s="57"/>
      <c r="Z2968" s="7"/>
      <c r="AA2968" s="57"/>
      <c r="AB2968" s="7"/>
      <c r="AC2968" s="57"/>
      <c r="AD2968" s="7"/>
      <c r="AE2968" s="57"/>
      <c r="AF2968" s="7"/>
      <c r="AG2968" s="57"/>
      <c r="AH2968" s="7"/>
      <c r="AI2968" s="57">
        <f>15</f>
        <v>15</v>
      </c>
      <c r="AJ2968" s="7"/>
      <c r="AK2968" s="57"/>
      <c r="AL2968" s="7"/>
      <c r="AN2968" s="7" t="s">
        <v>145</v>
      </c>
      <c r="AO2968" s="21">
        <f t="shared" si="146"/>
        <v>15</v>
      </c>
      <c r="AP2968" s="7">
        <f t="shared" si="147"/>
        <v>0</v>
      </c>
      <c r="AQ2968" s="31" t="str">
        <f t="shared" si="148"/>
        <v>Complete - With Adjustment</v>
      </c>
    </row>
    <row r="2969" spans="1:43" x14ac:dyDescent="0.2">
      <c r="A2969" s="46">
        <v>2959</v>
      </c>
      <c r="B2969" s="38" t="s">
        <v>266</v>
      </c>
      <c r="C2969" s="38" t="s">
        <v>364</v>
      </c>
      <c r="D2969" s="38" t="s">
        <v>363</v>
      </c>
      <c r="E2969" s="38" t="s">
        <v>6923</v>
      </c>
      <c r="F2969" s="38" t="s">
        <v>6805</v>
      </c>
      <c r="G2969" s="38" t="s">
        <v>111</v>
      </c>
      <c r="H2969" s="44">
        <v>44211</v>
      </c>
      <c r="I2969" s="44">
        <v>44216</v>
      </c>
      <c r="J2969">
        <v>1185.42</v>
      </c>
      <c r="K2969">
        <v>15</v>
      </c>
      <c r="L2969" t="s">
        <v>6924</v>
      </c>
      <c r="M2969" s="45" t="s">
        <v>97</v>
      </c>
      <c r="N2969" s="38" t="s">
        <v>230</v>
      </c>
      <c r="O2969" s="38" t="s">
        <v>365</v>
      </c>
      <c r="P2969" s="38" t="s">
        <v>42</v>
      </c>
      <c r="Q2969" s="38" t="s">
        <v>55</v>
      </c>
      <c r="R2969" s="38" t="s">
        <v>270</v>
      </c>
      <c r="S2969" s="38" t="s">
        <v>6925</v>
      </c>
      <c r="T2969" s="38" t="s">
        <v>6926</v>
      </c>
      <c r="U2969" s="38"/>
      <c r="V2969" s="38"/>
      <c r="W2969" s="38"/>
      <c r="X2969" s="7"/>
      <c r="Y2969" s="57"/>
      <c r="Z2969" s="7"/>
      <c r="AA2969" s="57"/>
      <c r="AB2969" s="7"/>
      <c r="AC2969" s="57"/>
      <c r="AD2969" s="7"/>
      <c r="AE2969" s="57"/>
      <c r="AF2969" s="7"/>
      <c r="AG2969" s="57"/>
      <c r="AH2969" s="7"/>
      <c r="AI2969" s="57">
        <f>15</f>
        <v>15</v>
      </c>
      <c r="AJ2969" s="7"/>
      <c r="AK2969" s="57"/>
      <c r="AL2969" s="7"/>
      <c r="AN2969" s="7" t="s">
        <v>145</v>
      </c>
      <c r="AO2969" s="21">
        <f t="shared" si="146"/>
        <v>15</v>
      </c>
      <c r="AP2969" s="7">
        <f t="shared" si="147"/>
        <v>0</v>
      </c>
      <c r="AQ2969" s="31" t="str">
        <f t="shared" si="148"/>
        <v>Complete - With Adjustment</v>
      </c>
    </row>
    <row r="2970" spans="1:43" x14ac:dyDescent="0.2">
      <c r="A2970" s="46">
        <v>2960</v>
      </c>
      <c r="B2970" s="38" t="s">
        <v>266</v>
      </c>
      <c r="C2970" s="38" t="s">
        <v>364</v>
      </c>
      <c r="D2970" s="38" t="s">
        <v>363</v>
      </c>
      <c r="E2970" s="38" t="s">
        <v>6923</v>
      </c>
      <c r="F2970" s="38" t="s">
        <v>6805</v>
      </c>
      <c r="G2970" s="38" t="s">
        <v>111</v>
      </c>
      <c r="H2970" s="44">
        <v>44211</v>
      </c>
      <c r="I2970" s="44">
        <v>44216</v>
      </c>
      <c r="J2970">
        <v>1185.42</v>
      </c>
      <c r="K2970">
        <v>15</v>
      </c>
      <c r="L2970" t="s">
        <v>6924</v>
      </c>
      <c r="M2970" s="45" t="s">
        <v>97</v>
      </c>
      <c r="N2970" s="38" t="s">
        <v>230</v>
      </c>
      <c r="O2970" s="38" t="s">
        <v>365</v>
      </c>
      <c r="P2970" s="38" t="s">
        <v>42</v>
      </c>
      <c r="Q2970" s="38" t="s">
        <v>55</v>
      </c>
      <c r="R2970" s="38" t="s">
        <v>270</v>
      </c>
      <c r="S2970" s="38" t="s">
        <v>6925</v>
      </c>
      <c r="T2970" s="38" t="s">
        <v>6926</v>
      </c>
      <c r="U2970" s="38"/>
      <c r="V2970" s="38"/>
      <c r="W2970" s="38"/>
      <c r="X2970" s="7"/>
      <c r="Y2970" s="57"/>
      <c r="Z2970" s="7"/>
      <c r="AA2970" s="57"/>
      <c r="AB2970" s="7"/>
      <c r="AC2970" s="57"/>
      <c r="AD2970" s="7"/>
      <c r="AE2970" s="57"/>
      <c r="AF2970" s="7"/>
      <c r="AG2970" s="57"/>
      <c r="AH2970" s="7"/>
      <c r="AI2970" s="57">
        <f>15</f>
        <v>15</v>
      </c>
      <c r="AJ2970" s="7"/>
      <c r="AK2970" s="57"/>
      <c r="AL2970" s="7"/>
      <c r="AN2970" s="7" t="s">
        <v>145</v>
      </c>
      <c r="AO2970" s="21">
        <f t="shared" si="146"/>
        <v>15</v>
      </c>
      <c r="AP2970" s="7">
        <f t="shared" si="147"/>
        <v>0</v>
      </c>
      <c r="AQ2970" s="31" t="str">
        <f t="shared" si="148"/>
        <v>Complete - With Adjustment</v>
      </c>
    </row>
    <row r="2971" spans="1:43" x14ac:dyDescent="0.2">
      <c r="A2971" s="46">
        <v>2961</v>
      </c>
      <c r="B2971" s="38" t="s">
        <v>266</v>
      </c>
      <c r="C2971" s="38" t="s">
        <v>364</v>
      </c>
      <c r="D2971" s="38" t="s">
        <v>363</v>
      </c>
      <c r="E2971" s="38" t="s">
        <v>6923</v>
      </c>
      <c r="F2971" s="38" t="s">
        <v>6805</v>
      </c>
      <c r="G2971" s="38" t="s">
        <v>111</v>
      </c>
      <c r="H2971" s="44">
        <v>44211</v>
      </c>
      <c r="I2971" s="44">
        <v>44216</v>
      </c>
      <c r="J2971">
        <v>1185.42</v>
      </c>
      <c r="K2971">
        <v>10</v>
      </c>
      <c r="L2971" t="s">
        <v>6924</v>
      </c>
      <c r="M2971" s="45" t="s">
        <v>97</v>
      </c>
      <c r="N2971" s="38" t="s">
        <v>230</v>
      </c>
      <c r="O2971" s="38" t="s">
        <v>365</v>
      </c>
      <c r="P2971" s="38" t="s">
        <v>42</v>
      </c>
      <c r="Q2971" s="38" t="s">
        <v>55</v>
      </c>
      <c r="R2971" s="38" t="s">
        <v>270</v>
      </c>
      <c r="S2971" s="38" t="s">
        <v>6925</v>
      </c>
      <c r="T2971" s="38" t="s">
        <v>6926</v>
      </c>
      <c r="U2971" s="38"/>
      <c r="V2971" s="38"/>
      <c r="W2971" s="38"/>
      <c r="X2971" s="7"/>
      <c r="Y2971" s="57"/>
      <c r="Z2971" s="7"/>
      <c r="AA2971" s="57"/>
      <c r="AB2971" s="7"/>
      <c r="AC2971" s="57"/>
      <c r="AD2971" s="7"/>
      <c r="AE2971" s="57"/>
      <c r="AF2971" s="7"/>
      <c r="AG2971" s="57"/>
      <c r="AH2971" s="7"/>
      <c r="AI2971" s="57">
        <f>10</f>
        <v>10</v>
      </c>
      <c r="AJ2971" s="7"/>
      <c r="AK2971" s="57"/>
      <c r="AL2971" s="7"/>
      <c r="AN2971" s="7" t="s">
        <v>145</v>
      </c>
      <c r="AO2971" s="21">
        <f t="shared" si="146"/>
        <v>10</v>
      </c>
      <c r="AP2971" s="7">
        <f t="shared" si="147"/>
        <v>0</v>
      </c>
      <c r="AQ2971" s="31" t="str">
        <f t="shared" si="148"/>
        <v>Complete - With Adjustment</v>
      </c>
    </row>
    <row r="2972" spans="1:43" x14ac:dyDescent="0.2">
      <c r="A2972" s="46">
        <v>2962</v>
      </c>
      <c r="B2972" s="38" t="s">
        <v>266</v>
      </c>
      <c r="C2972" s="38" t="s">
        <v>364</v>
      </c>
      <c r="D2972" s="38" t="s">
        <v>363</v>
      </c>
      <c r="E2972" s="38" t="s">
        <v>6923</v>
      </c>
      <c r="F2972" s="38" t="s">
        <v>6805</v>
      </c>
      <c r="G2972" s="38" t="s">
        <v>111</v>
      </c>
      <c r="H2972" s="44">
        <v>44211</v>
      </c>
      <c r="I2972" s="44">
        <v>44216</v>
      </c>
      <c r="J2972">
        <v>1185.42</v>
      </c>
      <c r="K2972">
        <v>15</v>
      </c>
      <c r="L2972" t="s">
        <v>6924</v>
      </c>
      <c r="M2972" s="45" t="s">
        <v>97</v>
      </c>
      <c r="N2972" s="38" t="s">
        <v>230</v>
      </c>
      <c r="O2972" s="38" t="s">
        <v>365</v>
      </c>
      <c r="P2972" s="38" t="s">
        <v>42</v>
      </c>
      <c r="Q2972" s="38" t="s">
        <v>55</v>
      </c>
      <c r="R2972" s="38" t="s">
        <v>270</v>
      </c>
      <c r="S2972" s="38" t="s">
        <v>6925</v>
      </c>
      <c r="T2972" s="38" t="s">
        <v>6926</v>
      </c>
      <c r="U2972" s="38"/>
      <c r="V2972" s="38"/>
      <c r="W2972" s="38"/>
      <c r="X2972" s="7"/>
      <c r="Y2972" s="57"/>
      <c r="Z2972" s="7"/>
      <c r="AA2972" s="57"/>
      <c r="AB2972" s="7"/>
      <c r="AC2972" s="57"/>
      <c r="AD2972" s="7"/>
      <c r="AE2972" s="57"/>
      <c r="AF2972" s="7"/>
      <c r="AG2972" s="57"/>
      <c r="AH2972" s="7"/>
      <c r="AI2972" s="57">
        <f>15</f>
        <v>15</v>
      </c>
      <c r="AJ2972" s="7"/>
      <c r="AK2972" s="57"/>
      <c r="AL2972" s="7"/>
      <c r="AN2972" s="7" t="s">
        <v>145</v>
      </c>
      <c r="AO2972" s="21">
        <f t="shared" si="146"/>
        <v>15</v>
      </c>
      <c r="AP2972" s="7">
        <f t="shared" si="147"/>
        <v>0</v>
      </c>
      <c r="AQ2972" s="31" t="str">
        <f t="shared" si="148"/>
        <v>Complete - With Adjustment</v>
      </c>
    </row>
    <row r="2973" spans="1:43" x14ac:dyDescent="0.2">
      <c r="A2973" s="46">
        <v>2963</v>
      </c>
      <c r="B2973" s="38" t="s">
        <v>266</v>
      </c>
      <c r="C2973" s="38" t="s">
        <v>364</v>
      </c>
      <c r="D2973" s="38" t="s">
        <v>363</v>
      </c>
      <c r="E2973" s="38" t="s">
        <v>6923</v>
      </c>
      <c r="F2973" s="38" t="s">
        <v>6805</v>
      </c>
      <c r="G2973" s="38" t="s">
        <v>111</v>
      </c>
      <c r="H2973" s="44">
        <v>44211</v>
      </c>
      <c r="I2973" s="44">
        <v>44216</v>
      </c>
      <c r="J2973">
        <v>1185.42</v>
      </c>
      <c r="K2973">
        <v>40</v>
      </c>
      <c r="L2973" t="s">
        <v>6924</v>
      </c>
      <c r="M2973" s="45" t="s">
        <v>97</v>
      </c>
      <c r="N2973" s="38" t="s">
        <v>230</v>
      </c>
      <c r="O2973" s="38" t="s">
        <v>365</v>
      </c>
      <c r="P2973" s="38" t="s">
        <v>42</v>
      </c>
      <c r="Q2973" s="38" t="s">
        <v>55</v>
      </c>
      <c r="R2973" s="38" t="s">
        <v>270</v>
      </c>
      <c r="S2973" s="38" t="s">
        <v>6925</v>
      </c>
      <c r="T2973" s="38" t="s">
        <v>6926</v>
      </c>
      <c r="U2973" s="38"/>
      <c r="V2973" s="38"/>
      <c r="W2973" s="38"/>
      <c r="X2973" s="7"/>
      <c r="Y2973" s="57"/>
      <c r="Z2973" s="7"/>
      <c r="AA2973" s="57"/>
      <c r="AB2973" s="7"/>
      <c r="AC2973" s="57"/>
      <c r="AD2973" s="7"/>
      <c r="AE2973" s="57"/>
      <c r="AF2973" s="7"/>
      <c r="AG2973" s="57"/>
      <c r="AH2973" s="7"/>
      <c r="AI2973" s="57">
        <f>40</f>
        <v>40</v>
      </c>
      <c r="AJ2973" s="7"/>
      <c r="AK2973" s="57"/>
      <c r="AL2973" s="7"/>
      <c r="AN2973" s="7" t="s">
        <v>145</v>
      </c>
      <c r="AO2973" s="21">
        <f t="shared" si="146"/>
        <v>40</v>
      </c>
      <c r="AP2973" s="7">
        <f t="shared" si="147"/>
        <v>0</v>
      </c>
      <c r="AQ2973" s="31" t="str">
        <f t="shared" si="148"/>
        <v>Complete - With Adjustment</v>
      </c>
    </row>
    <row r="2974" spans="1:43" x14ac:dyDescent="0.2">
      <c r="A2974" s="46">
        <v>2964</v>
      </c>
      <c r="B2974" s="38" t="s">
        <v>266</v>
      </c>
      <c r="C2974" s="38" t="s">
        <v>364</v>
      </c>
      <c r="D2974" s="38" t="s">
        <v>363</v>
      </c>
      <c r="E2974" s="38" t="s">
        <v>6923</v>
      </c>
      <c r="F2974" s="38" t="s">
        <v>6805</v>
      </c>
      <c r="G2974" s="38" t="s">
        <v>111</v>
      </c>
      <c r="H2974" s="44">
        <v>44211</v>
      </c>
      <c r="I2974" s="44">
        <v>44216</v>
      </c>
      <c r="J2974">
        <v>1185.42</v>
      </c>
      <c r="K2974">
        <v>10</v>
      </c>
      <c r="L2974" t="s">
        <v>6924</v>
      </c>
      <c r="M2974" s="45" t="s">
        <v>97</v>
      </c>
      <c r="N2974" s="38" t="s">
        <v>230</v>
      </c>
      <c r="O2974" s="38" t="s">
        <v>365</v>
      </c>
      <c r="P2974" s="38" t="s">
        <v>42</v>
      </c>
      <c r="Q2974" s="38" t="s">
        <v>55</v>
      </c>
      <c r="R2974" s="38" t="s">
        <v>270</v>
      </c>
      <c r="S2974" s="38" t="s">
        <v>6925</v>
      </c>
      <c r="T2974" s="38" t="s">
        <v>6926</v>
      </c>
      <c r="U2974" s="38"/>
      <c r="V2974" s="38"/>
      <c r="W2974" s="38"/>
      <c r="X2974" s="7"/>
      <c r="Y2974" s="57"/>
      <c r="Z2974" s="7"/>
      <c r="AA2974" s="57"/>
      <c r="AB2974" s="7"/>
      <c r="AC2974" s="57"/>
      <c r="AD2974" s="7"/>
      <c r="AE2974" s="57"/>
      <c r="AF2974" s="7"/>
      <c r="AG2974" s="57"/>
      <c r="AH2974" s="7"/>
      <c r="AI2974" s="57">
        <f>10</f>
        <v>10</v>
      </c>
      <c r="AJ2974" s="7"/>
      <c r="AK2974" s="57"/>
      <c r="AL2974" s="7"/>
      <c r="AN2974" s="7" t="s">
        <v>145</v>
      </c>
      <c r="AO2974" s="21">
        <f t="shared" si="146"/>
        <v>10</v>
      </c>
      <c r="AP2974" s="7">
        <f t="shared" si="147"/>
        <v>0</v>
      </c>
      <c r="AQ2974" s="31" t="str">
        <f t="shared" si="148"/>
        <v>Complete - With Adjustment</v>
      </c>
    </row>
    <row r="2975" spans="1:43" x14ac:dyDescent="0.2">
      <c r="A2975" s="46">
        <v>2965</v>
      </c>
      <c r="B2975" s="38" t="s">
        <v>266</v>
      </c>
      <c r="C2975" s="38" t="s">
        <v>364</v>
      </c>
      <c r="D2975" s="38" t="s">
        <v>363</v>
      </c>
      <c r="E2975" s="38" t="s">
        <v>6923</v>
      </c>
      <c r="F2975" s="38" t="s">
        <v>6805</v>
      </c>
      <c r="G2975" s="38" t="s">
        <v>111</v>
      </c>
      <c r="H2975" s="44">
        <v>44211</v>
      </c>
      <c r="I2975" s="44">
        <v>44216</v>
      </c>
      <c r="J2975">
        <v>1185.42</v>
      </c>
      <c r="K2975">
        <v>15</v>
      </c>
      <c r="L2975" t="s">
        <v>6924</v>
      </c>
      <c r="M2975" s="45" t="s">
        <v>97</v>
      </c>
      <c r="N2975" s="38" t="s">
        <v>230</v>
      </c>
      <c r="O2975" s="38" t="s">
        <v>365</v>
      </c>
      <c r="P2975" s="38" t="s">
        <v>42</v>
      </c>
      <c r="Q2975" s="38" t="s">
        <v>55</v>
      </c>
      <c r="R2975" s="38" t="s">
        <v>270</v>
      </c>
      <c r="S2975" s="38" t="s">
        <v>6925</v>
      </c>
      <c r="T2975" s="38" t="s">
        <v>6926</v>
      </c>
      <c r="U2975" s="38"/>
      <c r="V2975" s="38"/>
      <c r="W2975" s="38"/>
      <c r="X2975" s="7"/>
      <c r="Y2975" s="57"/>
      <c r="Z2975" s="7"/>
      <c r="AA2975" s="57"/>
      <c r="AB2975" s="7"/>
      <c r="AC2975" s="57"/>
      <c r="AD2975" s="7"/>
      <c r="AE2975" s="57"/>
      <c r="AF2975" s="7"/>
      <c r="AG2975" s="57"/>
      <c r="AH2975" s="7"/>
      <c r="AI2975" s="57">
        <f>15</f>
        <v>15</v>
      </c>
      <c r="AJ2975" s="7"/>
      <c r="AK2975" s="57"/>
      <c r="AL2975" s="7"/>
      <c r="AN2975" s="7" t="s">
        <v>145</v>
      </c>
      <c r="AO2975" s="21">
        <f t="shared" si="146"/>
        <v>15</v>
      </c>
      <c r="AP2975" s="7">
        <f t="shared" si="147"/>
        <v>0</v>
      </c>
      <c r="AQ2975" s="31" t="str">
        <f t="shared" si="148"/>
        <v>Complete - With Adjustment</v>
      </c>
    </row>
    <row r="2976" spans="1:43" x14ac:dyDescent="0.2">
      <c r="A2976" s="46">
        <v>2966</v>
      </c>
      <c r="B2976" s="38" t="s">
        <v>266</v>
      </c>
      <c r="C2976" s="38" t="s">
        <v>364</v>
      </c>
      <c r="D2976" s="38" t="s">
        <v>363</v>
      </c>
      <c r="E2976" s="38" t="s">
        <v>6923</v>
      </c>
      <c r="F2976" s="38" t="s">
        <v>6805</v>
      </c>
      <c r="G2976" s="38" t="s">
        <v>111</v>
      </c>
      <c r="H2976" s="44">
        <v>44211</v>
      </c>
      <c r="I2976" s="44">
        <v>44216</v>
      </c>
      <c r="J2976">
        <v>1185.42</v>
      </c>
      <c r="K2976">
        <v>346.15</v>
      </c>
      <c r="L2976" t="s">
        <v>6924</v>
      </c>
      <c r="M2976" s="45" t="s">
        <v>97</v>
      </c>
      <c r="N2976" s="38" t="s">
        <v>230</v>
      </c>
      <c r="O2976" s="38" t="s">
        <v>365</v>
      </c>
      <c r="P2976" s="38" t="s">
        <v>42</v>
      </c>
      <c r="Q2976" s="38" t="s">
        <v>63</v>
      </c>
      <c r="R2976" s="38" t="s">
        <v>270</v>
      </c>
      <c r="S2976" s="38" t="s">
        <v>6925</v>
      </c>
      <c r="T2976" s="38" t="s">
        <v>6927</v>
      </c>
      <c r="U2976" s="38"/>
      <c r="V2976" s="38"/>
      <c r="W2976" s="38"/>
      <c r="X2976" s="7"/>
      <c r="Y2976" s="57"/>
      <c r="Z2976" s="7"/>
      <c r="AA2976" s="57"/>
      <c r="AB2976" s="7"/>
      <c r="AC2976" s="57"/>
      <c r="AD2976" s="7"/>
      <c r="AE2976" s="57"/>
      <c r="AF2976" s="7"/>
      <c r="AG2976" s="57"/>
      <c r="AH2976" s="7"/>
      <c r="AI2976" s="57">
        <f>346.15</f>
        <v>346.15</v>
      </c>
      <c r="AJ2976" s="7"/>
      <c r="AK2976" s="57"/>
      <c r="AL2976" s="7"/>
      <c r="AN2976" s="7" t="s">
        <v>145</v>
      </c>
      <c r="AO2976" s="21">
        <f t="shared" si="146"/>
        <v>346.15</v>
      </c>
      <c r="AP2976" s="7">
        <f t="shared" si="147"/>
        <v>0</v>
      </c>
      <c r="AQ2976" s="31" t="str">
        <f t="shared" si="148"/>
        <v>Complete - With Adjustment</v>
      </c>
    </row>
    <row r="2977" spans="1:43" x14ac:dyDescent="0.2">
      <c r="A2977" s="46">
        <v>2967</v>
      </c>
      <c r="B2977" s="38" t="s">
        <v>266</v>
      </c>
      <c r="C2977" s="38" t="s">
        <v>364</v>
      </c>
      <c r="D2977" s="38" t="s">
        <v>363</v>
      </c>
      <c r="E2977" s="38" t="s">
        <v>6923</v>
      </c>
      <c r="F2977" s="38" t="s">
        <v>6805</v>
      </c>
      <c r="G2977" s="38" t="s">
        <v>111</v>
      </c>
      <c r="H2977" s="44">
        <v>44211</v>
      </c>
      <c r="I2977" s="44">
        <v>44216</v>
      </c>
      <c r="J2977">
        <v>1185.42</v>
      </c>
      <c r="K2977">
        <v>9.2200000000000006</v>
      </c>
      <c r="L2977" t="s">
        <v>6924</v>
      </c>
      <c r="M2977" s="45" t="s">
        <v>97</v>
      </c>
      <c r="N2977" s="38" t="s">
        <v>230</v>
      </c>
      <c r="O2977" s="38" t="s">
        <v>365</v>
      </c>
      <c r="P2977" s="38" t="s">
        <v>42</v>
      </c>
      <c r="Q2977" s="38" t="s">
        <v>63</v>
      </c>
      <c r="R2977" s="38" t="s">
        <v>270</v>
      </c>
      <c r="S2977" s="38" t="s">
        <v>6925</v>
      </c>
      <c r="T2977" s="38" t="s">
        <v>6927</v>
      </c>
      <c r="U2977" s="38"/>
      <c r="V2977" s="38"/>
      <c r="W2977" s="38"/>
      <c r="X2977" s="7"/>
      <c r="Y2977" s="57"/>
      <c r="Z2977" s="7"/>
      <c r="AA2977" s="57"/>
      <c r="AB2977" s="7"/>
      <c r="AC2977" s="57"/>
      <c r="AD2977" s="7"/>
      <c r="AE2977" s="57"/>
      <c r="AF2977" s="7"/>
      <c r="AG2977" s="57"/>
      <c r="AH2977" s="7"/>
      <c r="AI2977" s="57">
        <f>9.22</f>
        <v>9.2200000000000006</v>
      </c>
      <c r="AJ2977" s="7"/>
      <c r="AK2977" s="57"/>
      <c r="AL2977" s="7"/>
      <c r="AN2977" s="7" t="s">
        <v>145</v>
      </c>
      <c r="AO2977" s="21">
        <f t="shared" si="146"/>
        <v>9.2200000000000006</v>
      </c>
      <c r="AP2977" s="7">
        <f t="shared" si="147"/>
        <v>0</v>
      </c>
      <c r="AQ2977" s="31" t="str">
        <f t="shared" si="148"/>
        <v>Complete - With Adjustment</v>
      </c>
    </row>
    <row r="2978" spans="1:43" x14ac:dyDescent="0.2">
      <c r="A2978" s="46">
        <v>2968</v>
      </c>
      <c r="B2978" s="38" t="s">
        <v>266</v>
      </c>
      <c r="C2978" s="38" t="s">
        <v>364</v>
      </c>
      <c r="D2978" s="38" t="s">
        <v>363</v>
      </c>
      <c r="E2978" s="38" t="s">
        <v>6923</v>
      </c>
      <c r="F2978" s="38" t="s">
        <v>6805</v>
      </c>
      <c r="G2978" s="38" t="s">
        <v>111</v>
      </c>
      <c r="H2978" s="44">
        <v>44211</v>
      </c>
      <c r="I2978" s="44">
        <v>44216</v>
      </c>
      <c r="J2978">
        <v>1185.42</v>
      </c>
      <c r="K2978">
        <v>61.5</v>
      </c>
      <c r="L2978" t="s">
        <v>6924</v>
      </c>
      <c r="M2978" s="45" t="s">
        <v>97</v>
      </c>
      <c r="N2978" s="38" t="s">
        <v>230</v>
      </c>
      <c r="O2978" s="38" t="s">
        <v>365</v>
      </c>
      <c r="P2978" s="38" t="s">
        <v>42</v>
      </c>
      <c r="Q2978" s="38" t="s">
        <v>63</v>
      </c>
      <c r="R2978" s="38" t="s">
        <v>270</v>
      </c>
      <c r="S2978" s="38" t="s">
        <v>6925</v>
      </c>
      <c r="T2978" s="38" t="s">
        <v>6927</v>
      </c>
      <c r="U2978" s="38"/>
      <c r="V2978" s="38"/>
      <c r="W2978" s="38"/>
      <c r="X2978" s="7"/>
      <c r="Y2978" s="57"/>
      <c r="Z2978" s="7"/>
      <c r="AA2978" s="57"/>
      <c r="AB2978" s="7"/>
      <c r="AC2978" s="57"/>
      <c r="AD2978" s="7"/>
      <c r="AE2978" s="57"/>
      <c r="AF2978" s="7"/>
      <c r="AG2978" s="57"/>
      <c r="AH2978" s="7"/>
      <c r="AI2978" s="57">
        <f>61.5</f>
        <v>61.5</v>
      </c>
      <c r="AJ2978" s="7"/>
      <c r="AK2978" s="57"/>
      <c r="AL2978" s="7"/>
      <c r="AN2978" s="7" t="s">
        <v>145</v>
      </c>
      <c r="AO2978" s="21">
        <f t="shared" si="146"/>
        <v>61.5</v>
      </c>
      <c r="AP2978" s="7">
        <f t="shared" si="147"/>
        <v>0</v>
      </c>
      <c r="AQ2978" s="31" t="str">
        <f t="shared" si="148"/>
        <v>Complete - With Adjustment</v>
      </c>
    </row>
    <row r="2979" spans="1:43" x14ac:dyDescent="0.2">
      <c r="A2979" s="46">
        <v>2969</v>
      </c>
      <c r="B2979" s="38" t="s">
        <v>266</v>
      </c>
      <c r="C2979" s="38" t="s">
        <v>364</v>
      </c>
      <c r="D2979" s="38" t="s">
        <v>363</v>
      </c>
      <c r="E2979" s="38" t="s">
        <v>6923</v>
      </c>
      <c r="F2979" s="38" t="s">
        <v>6805</v>
      </c>
      <c r="G2979" s="38" t="s">
        <v>111</v>
      </c>
      <c r="H2979" s="44">
        <v>44211</v>
      </c>
      <c r="I2979" s="44">
        <v>44216</v>
      </c>
      <c r="J2979">
        <v>1185.42</v>
      </c>
      <c r="K2979">
        <v>60.71</v>
      </c>
      <c r="L2979" t="s">
        <v>6924</v>
      </c>
      <c r="M2979" s="45" t="s">
        <v>97</v>
      </c>
      <c r="N2979" s="38" t="s">
        <v>230</v>
      </c>
      <c r="O2979" s="38" t="s">
        <v>365</v>
      </c>
      <c r="P2979" s="38" t="s">
        <v>42</v>
      </c>
      <c r="Q2979" s="38" t="s">
        <v>63</v>
      </c>
      <c r="R2979" s="38" t="s">
        <v>270</v>
      </c>
      <c r="S2979" s="38" t="s">
        <v>6925</v>
      </c>
      <c r="T2979" s="38" t="s">
        <v>6928</v>
      </c>
      <c r="U2979" s="38"/>
      <c r="V2979" s="38"/>
      <c r="W2979" s="38"/>
      <c r="X2979" s="7"/>
      <c r="Y2979" s="57"/>
      <c r="Z2979" s="7"/>
      <c r="AA2979" s="57"/>
      <c r="AB2979" s="7"/>
      <c r="AC2979" s="57"/>
      <c r="AD2979" s="7"/>
      <c r="AE2979" s="57"/>
      <c r="AF2979" s="7"/>
      <c r="AG2979" s="57"/>
      <c r="AH2979" s="7"/>
      <c r="AI2979" s="57">
        <f>60.71</f>
        <v>60.71</v>
      </c>
      <c r="AJ2979" s="7"/>
      <c r="AK2979" s="57"/>
      <c r="AL2979" s="7"/>
      <c r="AN2979" s="7" t="s">
        <v>145</v>
      </c>
      <c r="AO2979" s="21">
        <f t="shared" si="146"/>
        <v>60.71</v>
      </c>
      <c r="AP2979" s="7">
        <f t="shared" si="147"/>
        <v>0</v>
      </c>
      <c r="AQ2979" s="31" t="str">
        <f t="shared" si="148"/>
        <v>Complete - With Adjustment</v>
      </c>
    </row>
    <row r="2980" spans="1:43" x14ac:dyDescent="0.2">
      <c r="A2980" s="46">
        <v>2970</v>
      </c>
      <c r="B2980" s="38" t="s">
        <v>266</v>
      </c>
      <c r="C2980" s="38" t="s">
        <v>364</v>
      </c>
      <c r="D2980" s="38" t="s">
        <v>363</v>
      </c>
      <c r="E2980" s="38" t="s">
        <v>6923</v>
      </c>
      <c r="F2980" s="38" t="s">
        <v>6805</v>
      </c>
      <c r="G2980" s="38" t="s">
        <v>111</v>
      </c>
      <c r="H2980" s="44">
        <v>44211</v>
      </c>
      <c r="I2980" s="44">
        <v>44216</v>
      </c>
      <c r="J2980">
        <v>1185.42</v>
      </c>
      <c r="K2980">
        <v>124.49</v>
      </c>
      <c r="L2980" t="s">
        <v>6924</v>
      </c>
      <c r="M2980" s="45" t="s">
        <v>97</v>
      </c>
      <c r="N2980" s="38" t="s">
        <v>230</v>
      </c>
      <c r="O2980" s="38" t="s">
        <v>365</v>
      </c>
      <c r="P2980" s="38" t="s">
        <v>42</v>
      </c>
      <c r="Q2980" s="38" t="s">
        <v>63</v>
      </c>
      <c r="R2980" s="38" t="s">
        <v>270</v>
      </c>
      <c r="S2980" s="38" t="s">
        <v>6925</v>
      </c>
      <c r="T2980" s="38" t="s">
        <v>6927</v>
      </c>
      <c r="U2980" s="38"/>
      <c r="V2980" s="38"/>
      <c r="W2980" s="38"/>
      <c r="X2980" s="7"/>
      <c r="Y2980" s="57"/>
      <c r="Z2980" s="7"/>
      <c r="AA2980" s="57"/>
      <c r="AB2980" s="7"/>
      <c r="AC2980" s="57"/>
      <c r="AD2980" s="7"/>
      <c r="AE2980" s="57"/>
      <c r="AF2980" s="7"/>
      <c r="AG2980" s="57"/>
      <c r="AH2980" s="7"/>
      <c r="AI2980" s="57">
        <f>124.49</f>
        <v>124.49</v>
      </c>
      <c r="AJ2980" s="7"/>
      <c r="AK2980" s="57"/>
      <c r="AL2980" s="7"/>
      <c r="AN2980" s="7" t="s">
        <v>145</v>
      </c>
      <c r="AO2980" s="21">
        <f t="shared" si="146"/>
        <v>124.49</v>
      </c>
      <c r="AP2980" s="7">
        <f t="shared" si="147"/>
        <v>0</v>
      </c>
      <c r="AQ2980" s="31" t="str">
        <f t="shared" si="148"/>
        <v>Complete - With Adjustment</v>
      </c>
    </row>
    <row r="2981" spans="1:43" x14ac:dyDescent="0.2">
      <c r="A2981" s="46">
        <v>2971</v>
      </c>
      <c r="B2981" s="38" t="s">
        <v>266</v>
      </c>
      <c r="C2981" s="38" t="s">
        <v>364</v>
      </c>
      <c r="D2981" s="38" t="s">
        <v>363</v>
      </c>
      <c r="E2981" s="38" t="s">
        <v>6923</v>
      </c>
      <c r="F2981" s="38" t="s">
        <v>6805</v>
      </c>
      <c r="G2981" s="38" t="s">
        <v>111</v>
      </c>
      <c r="H2981" s="44">
        <v>44211</v>
      </c>
      <c r="I2981" s="44">
        <v>44216</v>
      </c>
      <c r="J2981">
        <v>1185.42</v>
      </c>
      <c r="K2981">
        <v>16.239999999999998</v>
      </c>
      <c r="L2981" t="s">
        <v>6924</v>
      </c>
      <c r="M2981" s="45" t="s">
        <v>97</v>
      </c>
      <c r="N2981" s="38" t="s">
        <v>230</v>
      </c>
      <c r="O2981" s="38" t="s">
        <v>365</v>
      </c>
      <c r="P2981" s="38" t="s">
        <v>42</v>
      </c>
      <c r="Q2981" s="38" t="s">
        <v>63</v>
      </c>
      <c r="R2981" s="38" t="s">
        <v>270</v>
      </c>
      <c r="S2981" s="38" t="s">
        <v>6925</v>
      </c>
      <c r="T2981" s="38" t="s">
        <v>6927</v>
      </c>
      <c r="U2981" s="38"/>
      <c r="V2981" s="38"/>
      <c r="W2981" s="38"/>
      <c r="X2981" s="7"/>
      <c r="Y2981" s="57"/>
      <c r="Z2981" s="7"/>
      <c r="AA2981" s="57"/>
      <c r="AB2981" s="7"/>
      <c r="AC2981" s="57"/>
      <c r="AD2981" s="7"/>
      <c r="AE2981" s="57"/>
      <c r="AF2981" s="7"/>
      <c r="AG2981" s="57"/>
      <c r="AH2981" s="7"/>
      <c r="AI2981" s="57">
        <f>16.24</f>
        <v>16.239999999999998</v>
      </c>
      <c r="AJ2981" s="7"/>
      <c r="AK2981" s="57"/>
      <c r="AL2981" s="7"/>
      <c r="AN2981" s="7" t="s">
        <v>145</v>
      </c>
      <c r="AO2981" s="21">
        <f t="shared" si="146"/>
        <v>16.239999999999998</v>
      </c>
      <c r="AP2981" s="7">
        <f t="shared" si="147"/>
        <v>0</v>
      </c>
      <c r="AQ2981" s="31" t="str">
        <f t="shared" si="148"/>
        <v>Complete - With Adjustment</v>
      </c>
    </row>
    <row r="2982" spans="1:43" x14ac:dyDescent="0.2">
      <c r="A2982" s="46">
        <v>2972</v>
      </c>
      <c r="B2982" s="38" t="s">
        <v>266</v>
      </c>
      <c r="C2982" s="38" t="s">
        <v>364</v>
      </c>
      <c r="D2982" s="38" t="s">
        <v>363</v>
      </c>
      <c r="E2982" s="38" t="s">
        <v>6923</v>
      </c>
      <c r="F2982" s="38" t="s">
        <v>6805</v>
      </c>
      <c r="G2982" s="38" t="s">
        <v>111</v>
      </c>
      <c r="H2982" s="44">
        <v>44211</v>
      </c>
      <c r="I2982" s="44">
        <v>44216</v>
      </c>
      <c r="J2982">
        <v>1185.42</v>
      </c>
      <c r="K2982">
        <v>58.46</v>
      </c>
      <c r="L2982" t="s">
        <v>6924</v>
      </c>
      <c r="M2982" s="45" t="s">
        <v>97</v>
      </c>
      <c r="N2982" s="38" t="s">
        <v>230</v>
      </c>
      <c r="O2982" s="38" t="s">
        <v>365</v>
      </c>
      <c r="P2982" s="38" t="s">
        <v>42</v>
      </c>
      <c r="Q2982" s="38" t="s">
        <v>63</v>
      </c>
      <c r="R2982" s="38" t="s">
        <v>270</v>
      </c>
      <c r="S2982" s="38" t="s">
        <v>6925</v>
      </c>
      <c r="T2982" s="38" t="s">
        <v>6927</v>
      </c>
      <c r="U2982" s="38"/>
      <c r="V2982" s="38"/>
      <c r="W2982" s="38"/>
      <c r="X2982" s="7"/>
      <c r="Y2982" s="57"/>
      <c r="Z2982" s="7"/>
      <c r="AA2982" s="57"/>
      <c r="AB2982" s="7"/>
      <c r="AC2982" s="57"/>
      <c r="AD2982" s="7"/>
      <c r="AE2982" s="57"/>
      <c r="AF2982" s="7"/>
      <c r="AG2982" s="57"/>
      <c r="AH2982" s="7"/>
      <c r="AI2982" s="57">
        <f>58.46</f>
        <v>58.46</v>
      </c>
      <c r="AJ2982" s="7"/>
      <c r="AK2982" s="57"/>
      <c r="AL2982" s="7"/>
      <c r="AN2982" s="7" t="s">
        <v>145</v>
      </c>
      <c r="AO2982" s="21">
        <f t="shared" si="146"/>
        <v>58.46</v>
      </c>
      <c r="AP2982" s="7">
        <f t="shared" si="147"/>
        <v>0</v>
      </c>
      <c r="AQ2982" s="31" t="str">
        <f t="shared" si="148"/>
        <v>Complete - With Adjustment</v>
      </c>
    </row>
    <row r="2983" spans="1:43" x14ac:dyDescent="0.2">
      <c r="A2983" s="46">
        <v>2973</v>
      </c>
      <c r="B2983" s="38" t="s">
        <v>266</v>
      </c>
      <c r="C2983" s="38" t="s">
        <v>364</v>
      </c>
      <c r="D2983" s="38" t="s">
        <v>363</v>
      </c>
      <c r="E2983" s="38" t="s">
        <v>6923</v>
      </c>
      <c r="F2983" s="38" t="s">
        <v>6805</v>
      </c>
      <c r="G2983" s="38" t="s">
        <v>111</v>
      </c>
      <c r="H2983" s="44">
        <v>44211</v>
      </c>
      <c r="I2983" s="44">
        <v>44216</v>
      </c>
      <c r="J2983">
        <v>1185.42</v>
      </c>
      <c r="K2983">
        <v>50</v>
      </c>
      <c r="L2983" t="s">
        <v>6924</v>
      </c>
      <c r="M2983" s="45" t="s">
        <v>97</v>
      </c>
      <c r="N2983" s="38" t="s">
        <v>230</v>
      </c>
      <c r="O2983" s="38" t="s">
        <v>365</v>
      </c>
      <c r="P2983" s="38" t="s">
        <v>42</v>
      </c>
      <c r="Q2983" s="38" t="s">
        <v>55</v>
      </c>
      <c r="R2983" s="38" t="s">
        <v>270</v>
      </c>
      <c r="S2983" s="38" t="s">
        <v>6925</v>
      </c>
      <c r="T2983" s="38" t="s">
        <v>6929</v>
      </c>
      <c r="U2983" s="38"/>
      <c r="V2983" s="38"/>
      <c r="W2983" s="38"/>
      <c r="X2983" s="7"/>
      <c r="Y2983" s="57"/>
      <c r="Z2983" s="7"/>
      <c r="AA2983" s="57"/>
      <c r="AB2983" s="7"/>
      <c r="AC2983" s="57"/>
      <c r="AD2983" s="7"/>
      <c r="AE2983" s="57"/>
      <c r="AF2983" s="7"/>
      <c r="AG2983" s="57"/>
      <c r="AH2983" s="7"/>
      <c r="AI2983" s="57">
        <f>50</f>
        <v>50</v>
      </c>
      <c r="AJ2983" s="7"/>
      <c r="AK2983" s="57"/>
      <c r="AL2983" s="7"/>
      <c r="AN2983" s="7" t="s">
        <v>145</v>
      </c>
      <c r="AO2983" s="21">
        <f t="shared" si="146"/>
        <v>50</v>
      </c>
      <c r="AP2983" s="7">
        <f t="shared" si="147"/>
        <v>0</v>
      </c>
      <c r="AQ2983" s="31" t="str">
        <f t="shared" si="148"/>
        <v>Complete - With Adjustment</v>
      </c>
    </row>
    <row r="2984" spans="1:43" x14ac:dyDescent="0.2">
      <c r="A2984" s="46">
        <v>2974</v>
      </c>
      <c r="B2984" s="38" t="s">
        <v>266</v>
      </c>
      <c r="C2984" s="38" t="s">
        <v>364</v>
      </c>
      <c r="D2984" s="38" t="s">
        <v>363</v>
      </c>
      <c r="E2984" s="38" t="s">
        <v>6923</v>
      </c>
      <c r="F2984" s="38" t="s">
        <v>6805</v>
      </c>
      <c r="G2984" s="38" t="s">
        <v>111</v>
      </c>
      <c r="H2984" s="44">
        <v>44211</v>
      </c>
      <c r="I2984" s="44">
        <v>44216</v>
      </c>
      <c r="J2984">
        <v>1185.42</v>
      </c>
      <c r="K2984">
        <v>173.65</v>
      </c>
      <c r="L2984" t="s">
        <v>6924</v>
      </c>
      <c r="M2984" s="45" t="s">
        <v>98</v>
      </c>
      <c r="N2984" s="38" t="s">
        <v>230</v>
      </c>
      <c r="O2984" s="38" t="s">
        <v>365</v>
      </c>
      <c r="P2984" s="38" t="s">
        <v>60</v>
      </c>
      <c r="Q2984" s="38" t="s">
        <v>44</v>
      </c>
      <c r="R2984" s="38" t="s">
        <v>270</v>
      </c>
      <c r="S2984" s="38" t="s">
        <v>6925</v>
      </c>
      <c r="T2984" s="38" t="s">
        <v>6930</v>
      </c>
      <c r="U2984" s="38"/>
      <c r="V2984" s="38"/>
      <c r="W2984" s="38"/>
      <c r="X2984" s="7"/>
      <c r="Y2984" s="57"/>
      <c r="Z2984" s="7"/>
      <c r="AA2984" s="57"/>
      <c r="AB2984" s="7"/>
      <c r="AC2984" s="57"/>
      <c r="AD2984" s="7"/>
      <c r="AE2984" s="57"/>
      <c r="AF2984" s="7"/>
      <c r="AG2984" s="57"/>
      <c r="AH2984" s="7"/>
      <c r="AI2984" s="57"/>
      <c r="AJ2984" s="7"/>
      <c r="AK2984" s="57"/>
      <c r="AL2984" s="7"/>
      <c r="AN2984" s="7" t="s">
        <v>70</v>
      </c>
      <c r="AO2984" s="21">
        <f t="shared" si="146"/>
        <v>0</v>
      </c>
      <c r="AP2984" s="7">
        <f t="shared" si="147"/>
        <v>173.65</v>
      </c>
      <c r="AQ2984" s="31" t="str">
        <f t="shared" si="148"/>
        <v>Complete - No Adjustment</v>
      </c>
    </row>
    <row r="2985" spans="1:43" x14ac:dyDescent="0.2">
      <c r="A2985" s="46">
        <v>2975</v>
      </c>
      <c r="B2985" s="38" t="s">
        <v>266</v>
      </c>
      <c r="C2985" s="38" t="s">
        <v>694</v>
      </c>
      <c r="D2985" s="38" t="s">
        <v>693</v>
      </c>
      <c r="E2985" s="38" t="s">
        <v>6931</v>
      </c>
      <c r="F2985" s="38" t="s">
        <v>6932</v>
      </c>
      <c r="G2985" s="38" t="s">
        <v>111</v>
      </c>
      <c r="H2985" s="44">
        <v>44194</v>
      </c>
      <c r="I2985" s="44">
        <v>44202</v>
      </c>
      <c r="J2985">
        <v>295.48</v>
      </c>
      <c r="K2985">
        <v>47.73</v>
      </c>
      <c r="L2985" t="s">
        <v>6933</v>
      </c>
      <c r="M2985" s="45" t="s">
        <v>98</v>
      </c>
      <c r="N2985" s="38" t="s">
        <v>230</v>
      </c>
      <c r="O2985" s="38" t="s">
        <v>277</v>
      </c>
      <c r="P2985" s="38" t="s">
        <v>60</v>
      </c>
      <c r="Q2985" s="38" t="s">
        <v>44</v>
      </c>
      <c r="R2985" s="38" t="s">
        <v>270</v>
      </c>
      <c r="S2985" s="38" t="s">
        <v>6934</v>
      </c>
      <c r="T2985" s="38" t="s">
        <v>6935</v>
      </c>
      <c r="U2985" s="38"/>
      <c r="V2985" s="38"/>
      <c r="W2985" s="38"/>
      <c r="X2985" s="7"/>
      <c r="Y2985" s="57"/>
      <c r="Z2985" s="7"/>
      <c r="AA2985" s="57"/>
      <c r="AB2985" s="7"/>
      <c r="AC2985" s="57"/>
      <c r="AD2985" s="7"/>
      <c r="AE2985" s="57"/>
      <c r="AF2985" s="7"/>
      <c r="AG2985" s="57"/>
      <c r="AH2985" s="7"/>
      <c r="AI2985" s="57"/>
      <c r="AJ2985" s="7"/>
      <c r="AK2985" s="57"/>
      <c r="AL2985" s="7"/>
      <c r="AN2985" s="7" t="s">
        <v>70</v>
      </c>
      <c r="AO2985" s="21">
        <f t="shared" si="146"/>
        <v>0</v>
      </c>
      <c r="AP2985" s="7">
        <f t="shared" si="147"/>
        <v>47.73</v>
      </c>
      <c r="AQ2985" s="31" t="str">
        <f t="shared" si="148"/>
        <v>Complete - No Adjustment</v>
      </c>
    </row>
    <row r="2986" spans="1:43" x14ac:dyDescent="0.2">
      <c r="A2986" s="46">
        <v>2976</v>
      </c>
      <c r="B2986" s="38" t="s">
        <v>266</v>
      </c>
      <c r="C2986" s="38" t="s">
        <v>694</v>
      </c>
      <c r="D2986" s="38" t="s">
        <v>693</v>
      </c>
      <c r="E2986" s="38" t="s">
        <v>6931</v>
      </c>
      <c r="F2986" s="38" t="s">
        <v>6932</v>
      </c>
      <c r="G2986" s="38" t="s">
        <v>111</v>
      </c>
      <c r="H2986" s="44">
        <v>44194</v>
      </c>
      <c r="I2986" s="44">
        <v>44202</v>
      </c>
      <c r="J2986">
        <v>295.48</v>
      </c>
      <c r="K2986">
        <v>7.08</v>
      </c>
      <c r="L2986" t="s">
        <v>6933</v>
      </c>
      <c r="M2986" s="45" t="s">
        <v>98</v>
      </c>
      <c r="N2986" s="38" t="s">
        <v>230</v>
      </c>
      <c r="O2986" s="38" t="s">
        <v>277</v>
      </c>
      <c r="P2986" s="38" t="s">
        <v>60</v>
      </c>
      <c r="Q2986" s="38" t="s">
        <v>44</v>
      </c>
      <c r="R2986" s="38" t="s">
        <v>270</v>
      </c>
      <c r="S2986" s="38" t="s">
        <v>6934</v>
      </c>
      <c r="T2986" s="38" t="s">
        <v>6936</v>
      </c>
      <c r="U2986" s="38"/>
      <c r="V2986" s="38"/>
      <c r="W2986" s="38"/>
      <c r="X2986" s="7"/>
      <c r="Y2986" s="57"/>
      <c r="Z2986" s="7"/>
      <c r="AA2986" s="57"/>
      <c r="AB2986" s="7"/>
      <c r="AC2986" s="57"/>
      <c r="AD2986" s="7"/>
      <c r="AE2986" s="57"/>
      <c r="AF2986" s="7"/>
      <c r="AG2986" s="57"/>
      <c r="AH2986" s="7"/>
      <c r="AI2986" s="57"/>
      <c r="AJ2986" s="7"/>
      <c r="AK2986" s="57"/>
      <c r="AL2986" s="7"/>
      <c r="AN2986" s="7" t="s">
        <v>70</v>
      </c>
      <c r="AO2986" s="21">
        <f t="shared" si="146"/>
        <v>0</v>
      </c>
      <c r="AP2986" s="7">
        <f t="shared" si="147"/>
        <v>7.08</v>
      </c>
      <c r="AQ2986" s="31" t="str">
        <f t="shared" si="148"/>
        <v>Complete - No Adjustment</v>
      </c>
    </row>
    <row r="2987" spans="1:43" x14ac:dyDescent="0.2">
      <c r="A2987" s="46">
        <v>2977</v>
      </c>
      <c r="B2987" s="38" t="s">
        <v>266</v>
      </c>
      <c r="C2987" s="38" t="s">
        <v>694</v>
      </c>
      <c r="D2987" s="38" t="s">
        <v>693</v>
      </c>
      <c r="E2987" s="38" t="s">
        <v>6931</v>
      </c>
      <c r="F2987" s="38" t="s">
        <v>6932</v>
      </c>
      <c r="G2987" s="38" t="s">
        <v>111</v>
      </c>
      <c r="H2987" s="44">
        <v>44194</v>
      </c>
      <c r="I2987" s="44">
        <v>44202</v>
      </c>
      <c r="J2987">
        <v>295.48</v>
      </c>
      <c r="K2987">
        <v>27.03</v>
      </c>
      <c r="L2987" t="s">
        <v>6933</v>
      </c>
      <c r="M2987" s="45" t="s">
        <v>98</v>
      </c>
      <c r="N2987" s="38" t="s">
        <v>230</v>
      </c>
      <c r="O2987" s="38" t="s">
        <v>277</v>
      </c>
      <c r="P2987" s="38" t="s">
        <v>60</v>
      </c>
      <c r="Q2987" s="38" t="s">
        <v>44</v>
      </c>
      <c r="R2987" s="38" t="s">
        <v>270</v>
      </c>
      <c r="S2987" s="38" t="s">
        <v>6934</v>
      </c>
      <c r="T2987" s="38" t="s">
        <v>6935</v>
      </c>
      <c r="U2987" s="38"/>
      <c r="V2987" s="38"/>
      <c r="W2987" s="38"/>
      <c r="X2987" s="7"/>
      <c r="Y2987" s="57"/>
      <c r="Z2987" s="7"/>
      <c r="AA2987" s="57"/>
      <c r="AB2987" s="7"/>
      <c r="AC2987" s="57"/>
      <c r="AD2987" s="7"/>
      <c r="AE2987" s="57"/>
      <c r="AF2987" s="7"/>
      <c r="AG2987" s="57"/>
      <c r="AH2987" s="7"/>
      <c r="AI2987" s="57"/>
      <c r="AJ2987" s="7"/>
      <c r="AK2987" s="57"/>
      <c r="AL2987" s="7"/>
      <c r="AN2987" s="7" t="s">
        <v>70</v>
      </c>
      <c r="AO2987" s="21">
        <f t="shared" si="146"/>
        <v>0</v>
      </c>
      <c r="AP2987" s="7">
        <f t="shared" si="147"/>
        <v>27.03</v>
      </c>
      <c r="AQ2987" s="31" t="str">
        <f t="shared" si="148"/>
        <v>Complete - No Adjustment</v>
      </c>
    </row>
    <row r="2988" spans="1:43" x14ac:dyDescent="0.2">
      <c r="A2988" s="46">
        <v>2978</v>
      </c>
      <c r="B2988" s="38" t="s">
        <v>266</v>
      </c>
      <c r="C2988" s="38" t="s">
        <v>694</v>
      </c>
      <c r="D2988" s="38" t="s">
        <v>693</v>
      </c>
      <c r="E2988" s="38" t="s">
        <v>6931</v>
      </c>
      <c r="F2988" s="38" t="s">
        <v>6932</v>
      </c>
      <c r="G2988" s="38" t="s">
        <v>111</v>
      </c>
      <c r="H2988" s="44">
        <v>44194</v>
      </c>
      <c r="I2988" s="44">
        <v>44202</v>
      </c>
      <c r="J2988">
        <v>295.48</v>
      </c>
      <c r="K2988">
        <v>27.03</v>
      </c>
      <c r="L2988" t="s">
        <v>6933</v>
      </c>
      <c r="M2988" s="45" t="s">
        <v>98</v>
      </c>
      <c r="N2988" s="38" t="s">
        <v>230</v>
      </c>
      <c r="O2988" s="38" t="s">
        <v>277</v>
      </c>
      <c r="P2988" s="38" t="s">
        <v>60</v>
      </c>
      <c r="Q2988" s="38" t="s">
        <v>44</v>
      </c>
      <c r="R2988" s="38" t="s">
        <v>270</v>
      </c>
      <c r="S2988" s="38" t="s">
        <v>6934</v>
      </c>
      <c r="T2988" s="38" t="s">
        <v>6935</v>
      </c>
      <c r="U2988" s="38"/>
      <c r="V2988" s="38"/>
      <c r="W2988" s="38"/>
      <c r="X2988" s="7"/>
      <c r="Y2988" s="57"/>
      <c r="Z2988" s="7"/>
      <c r="AA2988" s="57"/>
      <c r="AB2988" s="7"/>
      <c r="AC2988" s="57"/>
      <c r="AD2988" s="7"/>
      <c r="AE2988" s="57"/>
      <c r="AF2988" s="7"/>
      <c r="AG2988" s="57"/>
      <c r="AH2988" s="7"/>
      <c r="AI2988" s="57"/>
      <c r="AJ2988" s="7"/>
      <c r="AK2988" s="57"/>
      <c r="AL2988" s="7"/>
      <c r="AN2988" s="7" t="s">
        <v>70</v>
      </c>
      <c r="AO2988" s="21">
        <f t="shared" si="146"/>
        <v>0</v>
      </c>
      <c r="AP2988" s="7">
        <f t="shared" si="147"/>
        <v>27.03</v>
      </c>
      <c r="AQ2988" s="31" t="str">
        <f t="shared" si="148"/>
        <v>Complete - No Adjustment</v>
      </c>
    </row>
    <row r="2989" spans="1:43" x14ac:dyDescent="0.2">
      <c r="A2989" s="46">
        <v>2979</v>
      </c>
      <c r="B2989" s="38" t="s">
        <v>266</v>
      </c>
      <c r="C2989" s="38" t="s">
        <v>694</v>
      </c>
      <c r="D2989" s="38" t="s">
        <v>693</v>
      </c>
      <c r="E2989" s="38" t="s">
        <v>6931</v>
      </c>
      <c r="F2989" s="38" t="s">
        <v>6932</v>
      </c>
      <c r="G2989" s="38" t="s">
        <v>111</v>
      </c>
      <c r="H2989" s="44">
        <v>44194</v>
      </c>
      <c r="I2989" s="44">
        <v>44202</v>
      </c>
      <c r="J2989">
        <v>295.48</v>
      </c>
      <c r="K2989">
        <v>27.03</v>
      </c>
      <c r="L2989" t="s">
        <v>6933</v>
      </c>
      <c r="M2989" s="45" t="s">
        <v>98</v>
      </c>
      <c r="N2989" s="38" t="s">
        <v>230</v>
      </c>
      <c r="O2989" s="38" t="s">
        <v>277</v>
      </c>
      <c r="P2989" s="38" t="s">
        <v>60</v>
      </c>
      <c r="Q2989" s="38" t="s">
        <v>44</v>
      </c>
      <c r="R2989" s="38" t="s">
        <v>270</v>
      </c>
      <c r="S2989" s="38" t="s">
        <v>6934</v>
      </c>
      <c r="T2989" s="38" t="s">
        <v>6935</v>
      </c>
      <c r="U2989" s="38"/>
      <c r="V2989" s="38"/>
      <c r="W2989" s="38"/>
      <c r="X2989" s="7"/>
      <c r="Y2989" s="57"/>
      <c r="Z2989" s="7"/>
      <c r="AA2989" s="57"/>
      <c r="AB2989" s="7"/>
      <c r="AC2989" s="57"/>
      <c r="AD2989" s="7"/>
      <c r="AE2989" s="57"/>
      <c r="AF2989" s="7"/>
      <c r="AG2989" s="57"/>
      <c r="AH2989" s="7"/>
      <c r="AI2989" s="57"/>
      <c r="AJ2989" s="7"/>
      <c r="AK2989" s="57"/>
      <c r="AL2989" s="7"/>
      <c r="AN2989" s="7" t="s">
        <v>70</v>
      </c>
      <c r="AO2989" s="21">
        <f t="shared" si="146"/>
        <v>0</v>
      </c>
      <c r="AP2989" s="7">
        <f t="shared" si="147"/>
        <v>27.03</v>
      </c>
      <c r="AQ2989" s="31" t="str">
        <f t="shared" si="148"/>
        <v>Complete - No Adjustment</v>
      </c>
    </row>
    <row r="2990" spans="1:43" x14ac:dyDescent="0.2">
      <c r="A2990" s="46">
        <v>2980</v>
      </c>
      <c r="B2990" s="38" t="s">
        <v>266</v>
      </c>
      <c r="C2990" s="38" t="s">
        <v>694</v>
      </c>
      <c r="D2990" s="38" t="s">
        <v>693</v>
      </c>
      <c r="E2990" s="38" t="s">
        <v>6931</v>
      </c>
      <c r="F2990" s="38" t="s">
        <v>6932</v>
      </c>
      <c r="G2990" s="38" t="s">
        <v>111</v>
      </c>
      <c r="H2990" s="44">
        <v>44194</v>
      </c>
      <c r="I2990" s="44">
        <v>44202</v>
      </c>
      <c r="J2990">
        <v>295.48</v>
      </c>
      <c r="K2990">
        <v>27.03</v>
      </c>
      <c r="L2990" t="s">
        <v>6933</v>
      </c>
      <c r="M2990" s="45" t="s">
        <v>98</v>
      </c>
      <c r="N2990" s="38" t="s">
        <v>230</v>
      </c>
      <c r="O2990" s="38" t="s">
        <v>277</v>
      </c>
      <c r="P2990" s="38" t="s">
        <v>60</v>
      </c>
      <c r="Q2990" s="38" t="s">
        <v>44</v>
      </c>
      <c r="R2990" s="38" t="s">
        <v>270</v>
      </c>
      <c r="S2990" s="38" t="s">
        <v>6934</v>
      </c>
      <c r="T2990" s="38" t="s">
        <v>6935</v>
      </c>
      <c r="U2990" s="38"/>
      <c r="V2990" s="38"/>
      <c r="W2990" s="38"/>
      <c r="X2990" s="7"/>
      <c r="Y2990" s="57"/>
      <c r="Z2990" s="7"/>
      <c r="AA2990" s="57"/>
      <c r="AB2990" s="7"/>
      <c r="AC2990" s="57"/>
      <c r="AD2990" s="7"/>
      <c r="AE2990" s="57"/>
      <c r="AF2990" s="7"/>
      <c r="AG2990" s="57"/>
      <c r="AH2990" s="7"/>
      <c r="AI2990" s="57"/>
      <c r="AJ2990" s="7"/>
      <c r="AK2990" s="57"/>
      <c r="AL2990" s="7"/>
      <c r="AN2990" s="7" t="s">
        <v>70</v>
      </c>
      <c r="AO2990" s="21">
        <f t="shared" si="146"/>
        <v>0</v>
      </c>
      <c r="AP2990" s="7">
        <f t="shared" si="147"/>
        <v>27.03</v>
      </c>
      <c r="AQ2990" s="31" t="str">
        <f t="shared" si="148"/>
        <v>Complete - No Adjustment</v>
      </c>
    </row>
    <row r="2991" spans="1:43" x14ac:dyDescent="0.2">
      <c r="A2991" s="46">
        <v>2981</v>
      </c>
      <c r="B2991" s="38" t="s">
        <v>266</v>
      </c>
      <c r="C2991" s="38" t="s">
        <v>694</v>
      </c>
      <c r="D2991" s="38" t="s">
        <v>693</v>
      </c>
      <c r="E2991" s="38" t="s">
        <v>6931</v>
      </c>
      <c r="F2991" s="38" t="s">
        <v>6932</v>
      </c>
      <c r="G2991" s="38" t="s">
        <v>111</v>
      </c>
      <c r="H2991" s="44">
        <v>44194</v>
      </c>
      <c r="I2991" s="44">
        <v>44202</v>
      </c>
      <c r="J2991">
        <v>295.48</v>
      </c>
      <c r="K2991">
        <v>9.9700000000000006</v>
      </c>
      <c r="L2991" t="s">
        <v>6933</v>
      </c>
      <c r="M2991" s="45" t="s">
        <v>98</v>
      </c>
      <c r="N2991" s="38" t="s">
        <v>230</v>
      </c>
      <c r="O2991" s="38" t="s">
        <v>277</v>
      </c>
      <c r="P2991" s="38" t="s">
        <v>60</v>
      </c>
      <c r="Q2991" s="38" t="s">
        <v>44</v>
      </c>
      <c r="R2991" s="38" t="s">
        <v>270</v>
      </c>
      <c r="S2991" s="38" t="s">
        <v>6934</v>
      </c>
      <c r="T2991" s="38" t="s">
        <v>6936</v>
      </c>
      <c r="U2991" s="38"/>
      <c r="V2991" s="38"/>
      <c r="W2991" s="38"/>
      <c r="X2991" s="7"/>
      <c r="Y2991" s="57"/>
      <c r="Z2991" s="7"/>
      <c r="AA2991" s="57"/>
      <c r="AB2991" s="7"/>
      <c r="AC2991" s="57"/>
      <c r="AD2991" s="7"/>
      <c r="AE2991" s="57"/>
      <c r="AF2991" s="7"/>
      <c r="AG2991" s="57"/>
      <c r="AH2991" s="7"/>
      <c r="AI2991" s="57"/>
      <c r="AJ2991" s="7"/>
      <c r="AK2991" s="57"/>
      <c r="AL2991" s="7"/>
      <c r="AN2991" s="7" t="s">
        <v>70</v>
      </c>
      <c r="AO2991" s="21">
        <f t="shared" si="146"/>
        <v>0</v>
      </c>
      <c r="AP2991" s="7">
        <f t="shared" si="147"/>
        <v>9.9700000000000006</v>
      </c>
      <c r="AQ2991" s="31" t="str">
        <f t="shared" si="148"/>
        <v>Complete - No Adjustment</v>
      </c>
    </row>
    <row r="2992" spans="1:43" x14ac:dyDescent="0.2">
      <c r="A2992" s="46">
        <v>2982</v>
      </c>
      <c r="B2992" s="38" t="s">
        <v>266</v>
      </c>
      <c r="C2992" s="38" t="s">
        <v>694</v>
      </c>
      <c r="D2992" s="38" t="s">
        <v>693</v>
      </c>
      <c r="E2992" s="38" t="s">
        <v>6931</v>
      </c>
      <c r="F2992" s="38" t="s">
        <v>6932</v>
      </c>
      <c r="G2992" s="38" t="s">
        <v>111</v>
      </c>
      <c r="H2992" s="44">
        <v>44194</v>
      </c>
      <c r="I2992" s="44">
        <v>44202</v>
      </c>
      <c r="J2992">
        <v>295.48</v>
      </c>
      <c r="K2992">
        <v>47.73</v>
      </c>
      <c r="L2992" t="s">
        <v>6933</v>
      </c>
      <c r="M2992" s="45" t="s">
        <v>98</v>
      </c>
      <c r="N2992" s="38" t="s">
        <v>230</v>
      </c>
      <c r="O2992" s="38" t="s">
        <v>277</v>
      </c>
      <c r="P2992" s="38" t="s">
        <v>60</v>
      </c>
      <c r="Q2992" s="38" t="s">
        <v>44</v>
      </c>
      <c r="R2992" s="38" t="s">
        <v>270</v>
      </c>
      <c r="S2992" s="38" t="s">
        <v>6934</v>
      </c>
      <c r="T2992" s="38" t="s">
        <v>6935</v>
      </c>
      <c r="U2992" s="38"/>
      <c r="V2992" s="38"/>
      <c r="W2992" s="38"/>
      <c r="X2992" s="7"/>
      <c r="Y2992" s="57"/>
      <c r="Z2992" s="7"/>
      <c r="AA2992" s="57"/>
      <c r="AB2992" s="7"/>
      <c r="AC2992" s="57"/>
      <c r="AD2992" s="7"/>
      <c r="AE2992" s="57"/>
      <c r="AF2992" s="7"/>
      <c r="AG2992" s="57"/>
      <c r="AH2992" s="7"/>
      <c r="AI2992" s="57"/>
      <c r="AJ2992" s="7"/>
      <c r="AK2992" s="57"/>
      <c r="AL2992" s="7"/>
      <c r="AN2992" s="7" t="s">
        <v>70</v>
      </c>
      <c r="AO2992" s="21">
        <f t="shared" si="146"/>
        <v>0</v>
      </c>
      <c r="AP2992" s="7">
        <f t="shared" si="147"/>
        <v>47.73</v>
      </c>
      <c r="AQ2992" s="31" t="str">
        <f t="shared" si="148"/>
        <v>Complete - No Adjustment</v>
      </c>
    </row>
    <row r="2993" spans="1:43" x14ac:dyDescent="0.2">
      <c r="A2993" s="46">
        <v>2983</v>
      </c>
      <c r="B2993" s="38" t="s">
        <v>266</v>
      </c>
      <c r="C2993" s="38" t="s">
        <v>694</v>
      </c>
      <c r="D2993" s="38" t="s">
        <v>693</v>
      </c>
      <c r="E2993" s="38" t="s">
        <v>6931</v>
      </c>
      <c r="F2993" s="38" t="s">
        <v>6932</v>
      </c>
      <c r="G2993" s="38" t="s">
        <v>111</v>
      </c>
      <c r="H2993" s="44">
        <v>44194</v>
      </c>
      <c r="I2993" s="44">
        <v>44202</v>
      </c>
      <c r="J2993">
        <v>295.48</v>
      </c>
      <c r="K2993">
        <v>7.3</v>
      </c>
      <c r="L2993" t="s">
        <v>6933</v>
      </c>
      <c r="M2993" s="45" t="s">
        <v>98</v>
      </c>
      <c r="N2993" s="38" t="s">
        <v>230</v>
      </c>
      <c r="O2993" s="38" t="s">
        <v>277</v>
      </c>
      <c r="P2993" s="38" t="s">
        <v>60</v>
      </c>
      <c r="Q2993" s="38" t="s">
        <v>44</v>
      </c>
      <c r="R2993" s="38" t="s">
        <v>270</v>
      </c>
      <c r="S2993" s="38" t="s">
        <v>6934</v>
      </c>
      <c r="T2993" s="38" t="s">
        <v>6936</v>
      </c>
      <c r="U2993" s="38"/>
      <c r="V2993" s="38"/>
      <c r="W2993" s="38"/>
      <c r="X2993" s="7"/>
      <c r="Y2993" s="57"/>
      <c r="Z2993" s="7"/>
      <c r="AA2993" s="57"/>
      <c r="AB2993" s="7"/>
      <c r="AC2993" s="57"/>
      <c r="AD2993" s="7"/>
      <c r="AE2993" s="57"/>
      <c r="AF2993" s="7"/>
      <c r="AG2993" s="57"/>
      <c r="AH2993" s="7"/>
      <c r="AI2993" s="57"/>
      <c r="AJ2993" s="7"/>
      <c r="AK2993" s="57"/>
      <c r="AL2993" s="7"/>
      <c r="AN2993" s="7" t="s">
        <v>70</v>
      </c>
      <c r="AO2993" s="21">
        <f t="shared" si="146"/>
        <v>0</v>
      </c>
      <c r="AP2993" s="7">
        <f t="shared" si="147"/>
        <v>7.3</v>
      </c>
      <c r="AQ2993" s="31" t="str">
        <f t="shared" si="148"/>
        <v>Complete - No Adjustment</v>
      </c>
    </row>
    <row r="2994" spans="1:43" x14ac:dyDescent="0.2">
      <c r="A2994" s="46">
        <v>2984</v>
      </c>
      <c r="B2994" s="38" t="s">
        <v>266</v>
      </c>
      <c r="C2994" s="38" t="s">
        <v>694</v>
      </c>
      <c r="D2994" s="38" t="s">
        <v>693</v>
      </c>
      <c r="E2994" s="38" t="s">
        <v>6931</v>
      </c>
      <c r="F2994" s="38" t="s">
        <v>6932</v>
      </c>
      <c r="G2994" s="38" t="s">
        <v>111</v>
      </c>
      <c r="H2994" s="44">
        <v>44194</v>
      </c>
      <c r="I2994" s="44">
        <v>44202</v>
      </c>
      <c r="J2994">
        <v>295.48</v>
      </c>
      <c r="K2994">
        <v>27.03</v>
      </c>
      <c r="L2994" t="s">
        <v>6933</v>
      </c>
      <c r="M2994" s="45" t="s">
        <v>98</v>
      </c>
      <c r="N2994" s="38" t="s">
        <v>230</v>
      </c>
      <c r="O2994" s="38" t="s">
        <v>277</v>
      </c>
      <c r="P2994" s="38" t="s">
        <v>60</v>
      </c>
      <c r="Q2994" s="38" t="s">
        <v>44</v>
      </c>
      <c r="R2994" s="38" t="s">
        <v>270</v>
      </c>
      <c r="S2994" s="38" t="s">
        <v>6934</v>
      </c>
      <c r="T2994" s="38" t="s">
        <v>6935</v>
      </c>
      <c r="U2994" s="38"/>
      <c r="V2994" s="38"/>
      <c r="W2994" s="38"/>
      <c r="X2994" s="7"/>
      <c r="Y2994" s="57"/>
      <c r="Z2994" s="7"/>
      <c r="AA2994" s="57"/>
      <c r="AB2994" s="7"/>
      <c r="AC2994" s="57"/>
      <c r="AD2994" s="7"/>
      <c r="AE2994" s="57"/>
      <c r="AF2994" s="7"/>
      <c r="AG2994" s="57"/>
      <c r="AH2994" s="7"/>
      <c r="AI2994" s="57"/>
      <c r="AJ2994" s="7"/>
      <c r="AK2994" s="57"/>
      <c r="AL2994" s="7"/>
      <c r="AN2994" s="7" t="s">
        <v>70</v>
      </c>
      <c r="AO2994" s="21">
        <f t="shared" si="146"/>
        <v>0</v>
      </c>
      <c r="AP2994" s="7">
        <f t="shared" si="147"/>
        <v>27.03</v>
      </c>
      <c r="AQ2994" s="31" t="str">
        <f t="shared" si="148"/>
        <v>Complete - No Adjustment</v>
      </c>
    </row>
    <row r="2995" spans="1:43" x14ac:dyDescent="0.2">
      <c r="A2995" s="46">
        <v>2985</v>
      </c>
      <c r="B2995" s="38" t="s">
        <v>266</v>
      </c>
      <c r="C2995" s="38" t="s">
        <v>694</v>
      </c>
      <c r="D2995" s="38" t="s">
        <v>693</v>
      </c>
      <c r="E2995" s="38" t="s">
        <v>6931</v>
      </c>
      <c r="F2995" s="38" t="s">
        <v>6932</v>
      </c>
      <c r="G2995" s="38" t="s">
        <v>111</v>
      </c>
      <c r="H2995" s="44">
        <v>44194</v>
      </c>
      <c r="I2995" s="44">
        <v>44202</v>
      </c>
      <c r="J2995">
        <v>295.48</v>
      </c>
      <c r="K2995">
        <v>13.93</v>
      </c>
      <c r="L2995" t="s">
        <v>6933</v>
      </c>
      <c r="M2995" s="45" t="s">
        <v>98</v>
      </c>
      <c r="N2995" s="38" t="s">
        <v>230</v>
      </c>
      <c r="O2995" s="38" t="s">
        <v>277</v>
      </c>
      <c r="P2995" s="38" t="s">
        <v>60</v>
      </c>
      <c r="Q2995" s="38" t="s">
        <v>44</v>
      </c>
      <c r="R2995" s="38" t="s">
        <v>270</v>
      </c>
      <c r="S2995" s="38" t="s">
        <v>6934</v>
      </c>
      <c r="T2995" s="38" t="s">
        <v>6936</v>
      </c>
      <c r="U2995" s="38"/>
      <c r="V2995" s="38"/>
      <c r="W2995" s="38"/>
      <c r="X2995" s="7"/>
      <c r="Y2995" s="57"/>
      <c r="Z2995" s="7"/>
      <c r="AA2995" s="57"/>
      <c r="AB2995" s="7"/>
      <c r="AC2995" s="57"/>
      <c r="AD2995" s="7"/>
      <c r="AE2995" s="57"/>
      <c r="AF2995" s="7"/>
      <c r="AG2995" s="57"/>
      <c r="AH2995" s="7"/>
      <c r="AI2995" s="57"/>
      <c r="AJ2995" s="7"/>
      <c r="AK2995" s="57"/>
      <c r="AL2995" s="7"/>
      <c r="AN2995" s="7" t="s">
        <v>70</v>
      </c>
      <c r="AO2995" s="21">
        <f t="shared" si="146"/>
        <v>0</v>
      </c>
      <c r="AP2995" s="7">
        <f t="shared" si="147"/>
        <v>13.93</v>
      </c>
      <c r="AQ2995" s="31" t="str">
        <f t="shared" si="148"/>
        <v>Complete - No Adjustment</v>
      </c>
    </row>
    <row r="2996" spans="1:43" x14ac:dyDescent="0.2">
      <c r="A2996" s="46">
        <v>2986</v>
      </c>
      <c r="B2996" s="38" t="s">
        <v>266</v>
      </c>
      <c r="C2996" s="38" t="s">
        <v>694</v>
      </c>
      <c r="D2996" s="38" t="s">
        <v>693</v>
      </c>
      <c r="E2996" s="38" t="s">
        <v>6931</v>
      </c>
      <c r="F2996" s="38" t="s">
        <v>6932</v>
      </c>
      <c r="G2996" s="38" t="s">
        <v>111</v>
      </c>
      <c r="H2996" s="44">
        <v>44194</v>
      </c>
      <c r="I2996" s="44">
        <v>44202</v>
      </c>
      <c r="J2996">
        <v>295.48</v>
      </c>
      <c r="K2996">
        <v>8</v>
      </c>
      <c r="L2996" t="s">
        <v>6933</v>
      </c>
      <c r="M2996" s="45" t="s">
        <v>98</v>
      </c>
      <c r="N2996" s="38" t="s">
        <v>230</v>
      </c>
      <c r="O2996" s="38" t="s">
        <v>277</v>
      </c>
      <c r="P2996" s="38" t="s">
        <v>60</v>
      </c>
      <c r="Q2996" s="38" t="s">
        <v>44</v>
      </c>
      <c r="R2996" s="38" t="s">
        <v>270</v>
      </c>
      <c r="S2996" s="38" t="s">
        <v>6934</v>
      </c>
      <c r="T2996" s="38" t="s">
        <v>6936</v>
      </c>
      <c r="U2996" s="38"/>
      <c r="V2996" s="38"/>
      <c r="W2996" s="38"/>
      <c r="X2996" s="7"/>
      <c r="Y2996" s="57"/>
      <c r="Z2996" s="7"/>
      <c r="AA2996" s="57"/>
      <c r="AB2996" s="7"/>
      <c r="AC2996" s="57"/>
      <c r="AD2996" s="7"/>
      <c r="AE2996" s="57"/>
      <c r="AF2996" s="7"/>
      <c r="AG2996" s="57"/>
      <c r="AH2996" s="7"/>
      <c r="AI2996" s="57"/>
      <c r="AJ2996" s="7"/>
      <c r="AK2996" s="57"/>
      <c r="AL2996" s="7"/>
      <c r="AN2996" s="7" t="s">
        <v>70</v>
      </c>
      <c r="AO2996" s="21">
        <f t="shared" si="146"/>
        <v>0</v>
      </c>
      <c r="AP2996" s="7">
        <f t="shared" si="147"/>
        <v>8</v>
      </c>
      <c r="AQ2996" s="31" t="str">
        <f t="shared" si="148"/>
        <v>Complete - No Adjustment</v>
      </c>
    </row>
    <row r="2997" spans="1:43" x14ac:dyDescent="0.2">
      <c r="A2997" s="46">
        <v>2987</v>
      </c>
      <c r="B2997" s="38" t="s">
        <v>266</v>
      </c>
      <c r="C2997" s="38" t="s">
        <v>694</v>
      </c>
      <c r="D2997" s="38" t="s">
        <v>693</v>
      </c>
      <c r="E2997" s="38" t="s">
        <v>6931</v>
      </c>
      <c r="F2997" s="38" t="s">
        <v>6932</v>
      </c>
      <c r="G2997" s="38" t="s">
        <v>111</v>
      </c>
      <c r="H2997" s="44">
        <v>44194</v>
      </c>
      <c r="I2997" s="44">
        <v>44202</v>
      </c>
      <c r="J2997">
        <v>295.48</v>
      </c>
      <c r="K2997">
        <v>12.72</v>
      </c>
      <c r="L2997" t="s">
        <v>6933</v>
      </c>
      <c r="M2997" s="45" t="s">
        <v>98</v>
      </c>
      <c r="N2997" s="38" t="s">
        <v>230</v>
      </c>
      <c r="O2997" s="38" t="s">
        <v>277</v>
      </c>
      <c r="P2997" s="38" t="s">
        <v>60</v>
      </c>
      <c r="Q2997" s="38" t="s">
        <v>44</v>
      </c>
      <c r="R2997" s="38" t="s">
        <v>270</v>
      </c>
      <c r="S2997" s="38" t="s">
        <v>6934</v>
      </c>
      <c r="T2997" s="38" t="s">
        <v>6936</v>
      </c>
      <c r="U2997" s="38"/>
      <c r="V2997" s="38"/>
      <c r="W2997" s="38"/>
      <c r="X2997" s="7"/>
      <c r="Y2997" s="57"/>
      <c r="Z2997" s="7"/>
      <c r="AA2997" s="57"/>
      <c r="AB2997" s="7"/>
      <c r="AC2997" s="57"/>
      <c r="AD2997" s="7"/>
      <c r="AE2997" s="57"/>
      <c r="AF2997" s="7"/>
      <c r="AG2997" s="57"/>
      <c r="AH2997" s="7"/>
      <c r="AI2997" s="57"/>
      <c r="AJ2997" s="7"/>
      <c r="AK2997" s="57"/>
      <c r="AL2997" s="7"/>
      <c r="AN2997" s="7" t="s">
        <v>70</v>
      </c>
      <c r="AO2997" s="21">
        <f t="shared" si="146"/>
        <v>0</v>
      </c>
      <c r="AP2997" s="7">
        <f t="shared" si="147"/>
        <v>12.72</v>
      </c>
      <c r="AQ2997" s="31" t="str">
        <f t="shared" si="148"/>
        <v>Complete - No Adjustment</v>
      </c>
    </row>
    <row r="2998" spans="1:43" x14ac:dyDescent="0.2">
      <c r="A2998" s="46">
        <v>2988</v>
      </c>
      <c r="B2998" s="38" t="s">
        <v>266</v>
      </c>
      <c r="C2998" s="38" t="s">
        <v>694</v>
      </c>
      <c r="D2998" s="38" t="s">
        <v>693</v>
      </c>
      <c r="E2998" s="38" t="s">
        <v>6931</v>
      </c>
      <c r="F2998" s="38" t="s">
        <v>6932</v>
      </c>
      <c r="G2998" s="38" t="s">
        <v>111</v>
      </c>
      <c r="H2998" s="44">
        <v>44194</v>
      </c>
      <c r="I2998" s="44">
        <v>44202</v>
      </c>
      <c r="J2998">
        <v>295.48</v>
      </c>
      <c r="K2998">
        <v>5.87</v>
      </c>
      <c r="L2998" t="s">
        <v>6933</v>
      </c>
      <c r="M2998" s="45" t="s">
        <v>98</v>
      </c>
      <c r="N2998" s="38" t="s">
        <v>230</v>
      </c>
      <c r="O2998" s="38" t="s">
        <v>277</v>
      </c>
      <c r="P2998" s="38" t="s">
        <v>60</v>
      </c>
      <c r="Q2998" s="38" t="s">
        <v>44</v>
      </c>
      <c r="R2998" s="38" t="s">
        <v>270</v>
      </c>
      <c r="S2998" s="38" t="s">
        <v>6934</v>
      </c>
      <c r="T2998" s="38" t="s">
        <v>6936</v>
      </c>
      <c r="U2998" s="38"/>
      <c r="V2998" s="38"/>
      <c r="W2998" s="38"/>
      <c r="X2998" s="7"/>
      <c r="Y2998" s="57"/>
      <c r="Z2998" s="7"/>
      <c r="AA2998" s="57"/>
      <c r="AB2998" s="7"/>
      <c r="AC2998" s="57"/>
      <c r="AD2998" s="7"/>
      <c r="AE2998" s="57"/>
      <c r="AF2998" s="7"/>
      <c r="AG2998" s="57"/>
      <c r="AH2998" s="7"/>
      <c r="AI2998" s="57"/>
      <c r="AJ2998" s="7"/>
      <c r="AK2998" s="57"/>
      <c r="AL2998" s="7"/>
      <c r="AN2998" s="7" t="s">
        <v>70</v>
      </c>
      <c r="AO2998" s="21">
        <f t="shared" si="146"/>
        <v>0</v>
      </c>
      <c r="AP2998" s="7">
        <f t="shared" si="147"/>
        <v>5.87</v>
      </c>
      <c r="AQ2998" s="31" t="str">
        <f t="shared" si="148"/>
        <v>Complete - No Adjustment</v>
      </c>
    </row>
    <row r="2999" spans="1:43" x14ac:dyDescent="0.2">
      <c r="A2999" s="46">
        <v>2989</v>
      </c>
      <c r="B2999" s="38" t="s">
        <v>266</v>
      </c>
      <c r="C2999" s="38" t="s">
        <v>2357</v>
      </c>
      <c r="D2999" s="38" t="s">
        <v>2358</v>
      </c>
      <c r="E2999" s="38" t="s">
        <v>6937</v>
      </c>
      <c r="F2999" s="38" t="s">
        <v>6836</v>
      </c>
      <c r="G2999" s="38" t="s">
        <v>111</v>
      </c>
      <c r="H2999" s="44">
        <v>44199</v>
      </c>
      <c r="I2999" s="44">
        <v>44203</v>
      </c>
      <c r="J2999">
        <v>134.18</v>
      </c>
      <c r="K2999">
        <v>134.18</v>
      </c>
      <c r="L2999" t="s">
        <v>6938</v>
      </c>
      <c r="M2999" s="45" t="s">
        <v>98</v>
      </c>
      <c r="N2999" s="38" t="s">
        <v>230</v>
      </c>
      <c r="O2999" s="38" t="s">
        <v>397</v>
      </c>
      <c r="P2999" s="38" t="s">
        <v>60</v>
      </c>
      <c r="Q2999" s="38" t="s">
        <v>104</v>
      </c>
      <c r="R2999" s="38" t="s">
        <v>270</v>
      </c>
      <c r="S2999" s="38" t="s">
        <v>6939</v>
      </c>
      <c r="T2999" s="38" t="s">
        <v>6940</v>
      </c>
      <c r="U2999" s="38"/>
      <c r="V2999" s="38"/>
      <c r="W2999" s="38"/>
      <c r="X2999" s="7"/>
      <c r="Y2999" s="57"/>
      <c r="Z2999" s="7"/>
      <c r="AA2999" s="57"/>
      <c r="AB2999" s="7"/>
      <c r="AC2999" s="57"/>
      <c r="AD2999" s="7"/>
      <c r="AE2999" s="57"/>
      <c r="AF2999" s="7"/>
      <c r="AG2999" s="57"/>
      <c r="AH2999" s="7"/>
      <c r="AI2999" s="57"/>
      <c r="AJ2999" s="7"/>
      <c r="AK2999" s="57"/>
      <c r="AL2999" s="7"/>
      <c r="AN2999" s="7" t="s">
        <v>155</v>
      </c>
      <c r="AO2999" s="21">
        <f t="shared" si="146"/>
        <v>0</v>
      </c>
      <c r="AP2999" s="7">
        <f t="shared" si="147"/>
        <v>134.18</v>
      </c>
      <c r="AQ2999" s="31" t="str">
        <f t="shared" si="148"/>
        <v>Complete - No Adjustment</v>
      </c>
    </row>
    <row r="3000" spans="1:43" x14ac:dyDescent="0.2">
      <c r="A3000" s="46">
        <v>2990</v>
      </c>
      <c r="B3000" s="38" t="s">
        <v>266</v>
      </c>
      <c r="C3000" s="38" t="s">
        <v>250</v>
      </c>
      <c r="D3000" s="38" t="s">
        <v>249</v>
      </c>
      <c r="E3000" s="38" t="s">
        <v>6941</v>
      </c>
      <c r="F3000" s="38" t="s">
        <v>6860</v>
      </c>
      <c r="G3000" s="38" t="s">
        <v>111</v>
      </c>
      <c r="H3000" s="44">
        <v>44202</v>
      </c>
      <c r="I3000" s="44">
        <v>44204</v>
      </c>
      <c r="J3000">
        <v>45</v>
      </c>
      <c r="K3000">
        <v>22.5</v>
      </c>
      <c r="L3000" t="s">
        <v>6942</v>
      </c>
      <c r="M3000" s="45" t="s">
        <v>98</v>
      </c>
      <c r="N3000" s="38" t="s">
        <v>230</v>
      </c>
      <c r="O3000" s="38" t="s">
        <v>326</v>
      </c>
      <c r="P3000" s="38" t="s">
        <v>60</v>
      </c>
      <c r="Q3000" s="38" t="s">
        <v>48</v>
      </c>
      <c r="R3000" s="38" t="s">
        <v>270</v>
      </c>
      <c r="S3000" s="38" t="s">
        <v>6943</v>
      </c>
      <c r="T3000" s="38" t="s">
        <v>6944</v>
      </c>
      <c r="U3000" s="38"/>
      <c r="V3000" s="38"/>
      <c r="W3000" s="38"/>
      <c r="X3000" s="7"/>
      <c r="Y3000" s="57"/>
      <c r="Z3000" s="7"/>
      <c r="AA3000" s="57"/>
      <c r="AB3000" s="7"/>
      <c r="AC3000" s="57"/>
      <c r="AD3000" s="7"/>
      <c r="AE3000" s="57"/>
      <c r="AF3000" s="7"/>
      <c r="AG3000" s="57"/>
      <c r="AH3000" s="7"/>
      <c r="AI3000" s="57"/>
      <c r="AJ3000" s="7"/>
      <c r="AK3000" s="57"/>
      <c r="AL3000" s="7"/>
      <c r="AN3000" s="7" t="s">
        <v>70</v>
      </c>
      <c r="AO3000" s="21">
        <f t="shared" si="146"/>
        <v>0</v>
      </c>
      <c r="AP3000" s="7">
        <f t="shared" si="147"/>
        <v>22.5</v>
      </c>
      <c r="AQ3000" s="31" t="str">
        <f t="shared" si="148"/>
        <v>Complete - No Adjustment</v>
      </c>
    </row>
    <row r="3001" spans="1:43" x14ac:dyDescent="0.2">
      <c r="A3001" s="46">
        <v>2991</v>
      </c>
      <c r="B3001" s="38" t="s">
        <v>266</v>
      </c>
      <c r="C3001" s="38" t="s">
        <v>371</v>
      </c>
      <c r="D3001" s="38" t="s">
        <v>370</v>
      </c>
      <c r="E3001" s="38" t="s">
        <v>6945</v>
      </c>
      <c r="F3001" s="38" t="s">
        <v>6836</v>
      </c>
      <c r="G3001" s="38" t="s">
        <v>111</v>
      </c>
      <c r="H3001" s="44">
        <v>44181</v>
      </c>
      <c r="I3001" s="44">
        <v>44203</v>
      </c>
      <c r="J3001">
        <v>185</v>
      </c>
      <c r="K3001">
        <v>110</v>
      </c>
      <c r="L3001" t="s">
        <v>6946</v>
      </c>
      <c r="M3001" s="45" t="s">
        <v>98</v>
      </c>
      <c r="N3001" s="38" t="s">
        <v>230</v>
      </c>
      <c r="O3001" s="38" t="s">
        <v>269</v>
      </c>
      <c r="P3001" s="38" t="s">
        <v>60</v>
      </c>
      <c r="Q3001" s="38" t="s">
        <v>74</v>
      </c>
      <c r="R3001" s="38" t="s">
        <v>270</v>
      </c>
      <c r="S3001" s="38" t="s">
        <v>6947</v>
      </c>
      <c r="T3001" s="38" t="s">
        <v>6948</v>
      </c>
      <c r="U3001" s="38"/>
      <c r="V3001" s="38"/>
      <c r="W3001" s="38"/>
      <c r="X3001" s="7"/>
      <c r="Y3001" s="57"/>
      <c r="Z3001" s="7"/>
      <c r="AA3001" s="57"/>
      <c r="AB3001" s="7"/>
      <c r="AC3001" s="57"/>
      <c r="AD3001" s="7"/>
      <c r="AE3001" s="57"/>
      <c r="AF3001" s="7"/>
      <c r="AG3001" s="57"/>
      <c r="AH3001" s="7"/>
      <c r="AI3001" s="57"/>
      <c r="AJ3001" s="7"/>
      <c r="AK3001" s="57"/>
      <c r="AL3001" s="7"/>
      <c r="AN3001" s="7" t="s">
        <v>70</v>
      </c>
      <c r="AO3001" s="21">
        <f t="shared" si="146"/>
        <v>0</v>
      </c>
      <c r="AP3001" s="7">
        <f t="shared" si="147"/>
        <v>110</v>
      </c>
      <c r="AQ3001" s="31" t="str">
        <f t="shared" si="148"/>
        <v>Complete - No Adjustment</v>
      </c>
    </row>
    <row r="3002" spans="1:43" x14ac:dyDescent="0.2">
      <c r="A3002" s="46">
        <v>2992</v>
      </c>
      <c r="B3002" s="38" t="s">
        <v>266</v>
      </c>
      <c r="C3002" s="38" t="s">
        <v>371</v>
      </c>
      <c r="D3002" s="38" t="s">
        <v>370</v>
      </c>
      <c r="E3002" s="38" t="s">
        <v>6945</v>
      </c>
      <c r="F3002" s="38" t="s">
        <v>6836</v>
      </c>
      <c r="G3002" s="38" t="s">
        <v>111</v>
      </c>
      <c r="H3002" s="44">
        <v>44181</v>
      </c>
      <c r="I3002" s="44">
        <v>44203</v>
      </c>
      <c r="J3002">
        <v>185</v>
      </c>
      <c r="K3002">
        <v>75</v>
      </c>
      <c r="L3002" t="s">
        <v>6946</v>
      </c>
      <c r="M3002" s="45" t="s">
        <v>98</v>
      </c>
      <c r="N3002" s="38" t="s">
        <v>230</v>
      </c>
      <c r="O3002" s="38" t="s">
        <v>269</v>
      </c>
      <c r="P3002" s="38" t="s">
        <v>60</v>
      </c>
      <c r="Q3002" s="38" t="s">
        <v>59</v>
      </c>
      <c r="R3002" s="38" t="s">
        <v>270</v>
      </c>
      <c r="S3002" s="38" t="s">
        <v>6947</v>
      </c>
      <c r="T3002" s="38" t="s">
        <v>6949</v>
      </c>
      <c r="U3002" s="38"/>
      <c r="V3002" s="38"/>
      <c r="W3002" s="38"/>
      <c r="X3002" s="7"/>
      <c r="Y3002" s="57"/>
      <c r="Z3002" s="7"/>
      <c r="AA3002" s="57"/>
      <c r="AB3002" s="7"/>
      <c r="AC3002" s="57"/>
      <c r="AD3002" s="7"/>
      <c r="AE3002" s="57"/>
      <c r="AF3002" s="7"/>
      <c r="AG3002" s="57"/>
      <c r="AH3002" s="7"/>
      <c r="AI3002" s="57"/>
      <c r="AJ3002" s="7"/>
      <c r="AK3002" s="57"/>
      <c r="AL3002" s="7"/>
      <c r="AN3002" s="7" t="s">
        <v>70</v>
      </c>
      <c r="AO3002" s="21">
        <f t="shared" si="146"/>
        <v>0</v>
      </c>
      <c r="AP3002" s="7">
        <f t="shared" si="147"/>
        <v>75</v>
      </c>
      <c r="AQ3002" s="31" t="str">
        <f t="shared" si="148"/>
        <v>Complete - No Adjustment</v>
      </c>
    </row>
    <row r="3003" spans="1:43" x14ac:dyDescent="0.2">
      <c r="A3003" s="46">
        <v>2993</v>
      </c>
      <c r="B3003" s="38" t="s">
        <v>266</v>
      </c>
      <c r="C3003" s="38" t="s">
        <v>6950</v>
      </c>
      <c r="D3003" s="38" t="s">
        <v>6951</v>
      </c>
      <c r="E3003" s="38" t="s">
        <v>6952</v>
      </c>
      <c r="F3003" s="38" t="s">
        <v>6953</v>
      </c>
      <c r="G3003" s="38" t="s">
        <v>111</v>
      </c>
      <c r="H3003" s="44">
        <v>44211</v>
      </c>
      <c r="I3003" s="44">
        <v>44217</v>
      </c>
      <c r="J3003">
        <v>4519.66</v>
      </c>
      <c r="K3003">
        <v>1873.66</v>
      </c>
      <c r="L3003" t="s">
        <v>6954</v>
      </c>
      <c r="M3003" s="45" t="s">
        <v>98</v>
      </c>
      <c r="N3003" s="38" t="s">
        <v>230</v>
      </c>
      <c r="O3003" s="38" t="s">
        <v>103</v>
      </c>
      <c r="P3003" s="38" t="s">
        <v>60</v>
      </c>
      <c r="Q3003" s="38" t="s">
        <v>104</v>
      </c>
      <c r="R3003" s="38" t="s">
        <v>270</v>
      </c>
      <c r="S3003" s="38" t="s">
        <v>6955</v>
      </c>
      <c r="T3003" s="38" t="s">
        <v>6956</v>
      </c>
      <c r="U3003" s="38"/>
      <c r="V3003" s="38"/>
      <c r="W3003" s="38"/>
      <c r="X3003" s="7"/>
      <c r="Y3003" s="57"/>
      <c r="Z3003" s="7"/>
      <c r="AA3003" s="57"/>
      <c r="AB3003" s="7"/>
      <c r="AC3003" s="57"/>
      <c r="AD3003" s="7"/>
      <c r="AE3003" s="57"/>
      <c r="AF3003" s="7"/>
      <c r="AG3003" s="57"/>
      <c r="AH3003" s="7"/>
      <c r="AI3003" s="57"/>
      <c r="AJ3003" s="7"/>
      <c r="AK3003" s="57"/>
      <c r="AL3003" s="7"/>
      <c r="AN3003" s="7" t="s">
        <v>70</v>
      </c>
      <c r="AO3003" s="21">
        <f t="shared" si="146"/>
        <v>0</v>
      </c>
      <c r="AP3003" s="7">
        <f t="shared" si="147"/>
        <v>1873.66</v>
      </c>
      <c r="AQ3003" s="31" t="str">
        <f t="shared" si="148"/>
        <v>Complete - No Adjustment</v>
      </c>
    </row>
    <row r="3004" spans="1:43" x14ac:dyDescent="0.2">
      <c r="A3004" s="46">
        <v>2994</v>
      </c>
      <c r="B3004" s="38" t="s">
        <v>266</v>
      </c>
      <c r="C3004" s="38" t="s">
        <v>6950</v>
      </c>
      <c r="D3004" s="38" t="s">
        <v>6951</v>
      </c>
      <c r="E3004" s="38" t="s">
        <v>6952</v>
      </c>
      <c r="F3004" s="38" t="s">
        <v>6953</v>
      </c>
      <c r="G3004" s="38" t="s">
        <v>111</v>
      </c>
      <c r="H3004" s="44">
        <v>44211</v>
      </c>
      <c r="I3004" s="44">
        <v>44217</v>
      </c>
      <c r="J3004">
        <v>4519.66</v>
      </c>
      <c r="K3004">
        <v>2646</v>
      </c>
      <c r="L3004" t="s">
        <v>6954</v>
      </c>
      <c r="M3004" s="45" t="s">
        <v>97</v>
      </c>
      <c r="N3004" s="38" t="s">
        <v>230</v>
      </c>
      <c r="O3004" s="38" t="s">
        <v>50</v>
      </c>
      <c r="P3004" s="38" t="s">
        <v>51</v>
      </c>
      <c r="Q3004" s="38" t="s">
        <v>57</v>
      </c>
      <c r="R3004" s="38" t="s">
        <v>270</v>
      </c>
      <c r="S3004" s="38" t="s">
        <v>6955</v>
      </c>
      <c r="T3004" s="38" t="s">
        <v>6956</v>
      </c>
      <c r="U3004" s="38" t="s">
        <v>6957</v>
      </c>
      <c r="V3004" s="38" t="s">
        <v>112</v>
      </c>
      <c r="W3004" s="38" t="s">
        <v>58</v>
      </c>
      <c r="X3004" s="7"/>
      <c r="Y3004" s="57"/>
      <c r="Z3004" s="7"/>
      <c r="AA3004" s="57"/>
      <c r="AB3004" s="7"/>
      <c r="AC3004" s="57"/>
      <c r="AD3004" s="7"/>
      <c r="AE3004" s="57"/>
      <c r="AF3004" s="7"/>
      <c r="AG3004" s="57"/>
      <c r="AH3004" s="7"/>
      <c r="AI3004" s="57"/>
      <c r="AJ3004" s="7"/>
      <c r="AK3004" s="57"/>
      <c r="AL3004" s="7"/>
      <c r="AN3004" s="7" t="s">
        <v>70</v>
      </c>
      <c r="AO3004" s="21">
        <f t="shared" si="146"/>
        <v>0</v>
      </c>
      <c r="AP3004" s="7">
        <f t="shared" si="147"/>
        <v>2646</v>
      </c>
      <c r="AQ3004" s="31" t="str">
        <f t="shared" si="148"/>
        <v>Complete - No Adjustment</v>
      </c>
    </row>
    <row r="3005" spans="1:43" x14ac:dyDescent="0.2">
      <c r="A3005" s="46">
        <v>2995</v>
      </c>
      <c r="B3005" s="38" t="s">
        <v>266</v>
      </c>
      <c r="C3005" s="38" t="s">
        <v>650</v>
      </c>
      <c r="D3005" s="38" t="s">
        <v>649</v>
      </c>
      <c r="E3005" s="38" t="s">
        <v>6958</v>
      </c>
      <c r="F3005" s="38" t="s">
        <v>6805</v>
      </c>
      <c r="G3005" s="38" t="s">
        <v>111</v>
      </c>
      <c r="H3005" s="44">
        <v>44204</v>
      </c>
      <c r="I3005" s="44">
        <v>44216</v>
      </c>
      <c r="J3005">
        <v>21.33</v>
      </c>
      <c r="K3005">
        <v>21.33</v>
      </c>
      <c r="L3005" t="s">
        <v>6959</v>
      </c>
      <c r="M3005" s="45" t="s">
        <v>98</v>
      </c>
      <c r="N3005" s="38" t="s">
        <v>230</v>
      </c>
      <c r="O3005" s="38" t="s">
        <v>317</v>
      </c>
      <c r="P3005" s="38" t="s">
        <v>60</v>
      </c>
      <c r="Q3005" s="38" t="s">
        <v>41</v>
      </c>
      <c r="R3005" s="38" t="s">
        <v>270</v>
      </c>
      <c r="S3005" s="38" t="s">
        <v>6960</v>
      </c>
      <c r="T3005" s="38" t="s">
        <v>6961</v>
      </c>
      <c r="U3005" s="38"/>
      <c r="V3005" s="38"/>
      <c r="W3005" s="38"/>
      <c r="X3005" s="7"/>
      <c r="Y3005" s="57"/>
      <c r="Z3005" s="7"/>
      <c r="AA3005" s="57"/>
      <c r="AB3005" s="7"/>
      <c r="AC3005" s="57"/>
      <c r="AD3005" s="7"/>
      <c r="AE3005" s="57"/>
      <c r="AF3005" s="7"/>
      <c r="AG3005" s="57"/>
      <c r="AH3005" s="7"/>
      <c r="AI3005" s="57"/>
      <c r="AJ3005" s="7"/>
      <c r="AK3005" s="57"/>
      <c r="AL3005" s="7"/>
      <c r="AN3005" s="7" t="s">
        <v>70</v>
      </c>
      <c r="AO3005" s="21">
        <f t="shared" si="146"/>
        <v>0</v>
      </c>
      <c r="AP3005" s="7">
        <f t="shared" si="147"/>
        <v>21.33</v>
      </c>
      <c r="AQ3005" s="31" t="str">
        <f t="shared" si="148"/>
        <v>Complete - No Adjustment</v>
      </c>
    </row>
    <row r="3006" spans="1:43" x14ac:dyDescent="0.2">
      <c r="A3006" s="46">
        <v>2996</v>
      </c>
      <c r="B3006" s="38" t="s">
        <v>266</v>
      </c>
      <c r="C3006" s="38" t="s">
        <v>650</v>
      </c>
      <c r="D3006" s="38" t="s">
        <v>649</v>
      </c>
      <c r="E3006" s="38" t="s">
        <v>6962</v>
      </c>
      <c r="F3006" s="38" t="s">
        <v>6805</v>
      </c>
      <c r="G3006" s="38" t="s">
        <v>111</v>
      </c>
      <c r="H3006" s="44">
        <v>44203</v>
      </c>
      <c r="I3006" s="44">
        <v>44216</v>
      </c>
      <c r="J3006">
        <v>41.1</v>
      </c>
      <c r="K3006">
        <v>17.100000000000001</v>
      </c>
      <c r="L3006" t="s">
        <v>6963</v>
      </c>
      <c r="M3006" s="45" t="s">
        <v>98</v>
      </c>
      <c r="N3006" s="38" t="s">
        <v>230</v>
      </c>
      <c r="O3006" s="38" t="s">
        <v>317</v>
      </c>
      <c r="P3006" s="38" t="s">
        <v>60</v>
      </c>
      <c r="Q3006" s="38" t="s">
        <v>41</v>
      </c>
      <c r="R3006" s="38" t="s">
        <v>270</v>
      </c>
      <c r="S3006" s="38" t="s">
        <v>4659</v>
      </c>
      <c r="T3006" s="38" t="s">
        <v>4661</v>
      </c>
      <c r="U3006" s="38"/>
      <c r="V3006" s="38"/>
      <c r="W3006" s="38"/>
      <c r="X3006" s="7"/>
      <c r="Y3006" s="57"/>
      <c r="Z3006" s="7"/>
      <c r="AA3006" s="57"/>
      <c r="AB3006" s="7"/>
      <c r="AC3006" s="57"/>
      <c r="AD3006" s="7"/>
      <c r="AE3006" s="57"/>
      <c r="AF3006" s="7"/>
      <c r="AG3006" s="57"/>
      <c r="AH3006" s="7"/>
      <c r="AI3006" s="57"/>
      <c r="AJ3006" s="7"/>
      <c r="AK3006" s="57"/>
      <c r="AL3006" s="7"/>
      <c r="AN3006" s="7" t="s">
        <v>70</v>
      </c>
      <c r="AO3006" s="21">
        <f t="shared" si="146"/>
        <v>0</v>
      </c>
      <c r="AP3006" s="7">
        <f t="shared" si="147"/>
        <v>17.100000000000001</v>
      </c>
      <c r="AQ3006" s="31" t="str">
        <f t="shared" si="148"/>
        <v>Complete - No Adjustment</v>
      </c>
    </row>
    <row r="3007" spans="1:43" x14ac:dyDescent="0.2">
      <c r="A3007" s="46">
        <v>2997</v>
      </c>
      <c r="B3007" s="38" t="s">
        <v>266</v>
      </c>
      <c r="C3007" s="38" t="s">
        <v>650</v>
      </c>
      <c r="D3007" s="38" t="s">
        <v>649</v>
      </c>
      <c r="E3007" s="38" t="s">
        <v>6962</v>
      </c>
      <c r="F3007" s="38" t="s">
        <v>6805</v>
      </c>
      <c r="G3007" s="38" t="s">
        <v>111</v>
      </c>
      <c r="H3007" s="44">
        <v>44203</v>
      </c>
      <c r="I3007" s="44">
        <v>44216</v>
      </c>
      <c r="J3007">
        <v>41.1</v>
      </c>
      <c r="K3007">
        <v>24</v>
      </c>
      <c r="L3007" t="s">
        <v>6963</v>
      </c>
      <c r="M3007" s="45" t="s">
        <v>98</v>
      </c>
      <c r="N3007" s="38" t="s">
        <v>230</v>
      </c>
      <c r="O3007" s="38" t="s">
        <v>317</v>
      </c>
      <c r="P3007" s="38" t="s">
        <v>60</v>
      </c>
      <c r="Q3007" s="38" t="s">
        <v>41</v>
      </c>
      <c r="R3007" s="38" t="s">
        <v>270</v>
      </c>
      <c r="S3007" s="38" t="s">
        <v>4659</v>
      </c>
      <c r="T3007" s="38" t="s">
        <v>4661</v>
      </c>
      <c r="U3007" s="38"/>
      <c r="V3007" s="38"/>
      <c r="W3007" s="38"/>
      <c r="X3007" s="7"/>
      <c r="Y3007" s="57"/>
      <c r="Z3007" s="7"/>
      <c r="AA3007" s="57"/>
      <c r="AB3007" s="7"/>
      <c r="AC3007" s="57"/>
      <c r="AD3007" s="7"/>
      <c r="AE3007" s="57"/>
      <c r="AF3007" s="7"/>
      <c r="AG3007" s="57"/>
      <c r="AH3007" s="7"/>
      <c r="AI3007" s="57"/>
      <c r="AJ3007" s="7"/>
      <c r="AK3007" s="57"/>
      <c r="AL3007" s="7"/>
      <c r="AN3007" s="7" t="s">
        <v>70</v>
      </c>
      <c r="AO3007" s="21">
        <f t="shared" si="146"/>
        <v>0</v>
      </c>
      <c r="AP3007" s="7">
        <f t="shared" si="147"/>
        <v>24</v>
      </c>
      <c r="AQ3007" s="31" t="str">
        <f t="shared" si="148"/>
        <v>Complete - No Adjustment</v>
      </c>
    </row>
    <row r="3008" spans="1:43" x14ac:dyDescent="0.2">
      <c r="A3008" s="46">
        <v>2998</v>
      </c>
      <c r="B3008" s="38" t="s">
        <v>266</v>
      </c>
      <c r="C3008" s="38" t="s">
        <v>650</v>
      </c>
      <c r="D3008" s="38" t="s">
        <v>649</v>
      </c>
      <c r="E3008" s="38" t="s">
        <v>6964</v>
      </c>
      <c r="F3008" s="38" t="s">
        <v>6836</v>
      </c>
      <c r="G3008" s="38" t="s">
        <v>111</v>
      </c>
      <c r="H3008" s="44">
        <v>44182</v>
      </c>
      <c r="I3008" s="44">
        <v>44203</v>
      </c>
      <c r="J3008">
        <v>49.63</v>
      </c>
      <c r="K3008">
        <v>49.63</v>
      </c>
      <c r="L3008" t="s">
        <v>6965</v>
      </c>
      <c r="M3008" s="45" t="s">
        <v>98</v>
      </c>
      <c r="N3008" s="38" t="s">
        <v>230</v>
      </c>
      <c r="O3008" s="38" t="s">
        <v>317</v>
      </c>
      <c r="P3008" s="38" t="s">
        <v>60</v>
      </c>
      <c r="Q3008" s="38" t="s">
        <v>41</v>
      </c>
      <c r="R3008" s="38" t="s">
        <v>270</v>
      </c>
      <c r="S3008" s="38" t="s">
        <v>6966</v>
      </c>
      <c r="T3008" s="38" t="s">
        <v>6967</v>
      </c>
      <c r="U3008" s="38"/>
      <c r="V3008" s="38"/>
      <c r="W3008" s="38"/>
      <c r="X3008" s="7"/>
      <c r="Y3008" s="57"/>
      <c r="Z3008" s="7"/>
      <c r="AA3008" s="57"/>
      <c r="AB3008" s="7"/>
      <c r="AC3008" s="57"/>
      <c r="AD3008" s="7"/>
      <c r="AE3008" s="57"/>
      <c r="AF3008" s="7"/>
      <c r="AG3008" s="57"/>
      <c r="AH3008" s="7"/>
      <c r="AI3008" s="57">
        <f>49.63</f>
        <v>49.63</v>
      </c>
      <c r="AJ3008" s="7"/>
      <c r="AK3008" s="57"/>
      <c r="AL3008" s="7"/>
      <c r="AN3008" s="7" t="s">
        <v>145</v>
      </c>
      <c r="AO3008" s="21">
        <f t="shared" si="146"/>
        <v>49.63</v>
      </c>
      <c r="AP3008" s="7">
        <f t="shared" ref="AP3008:AP3071" si="150">K3008-AO3008</f>
        <v>0</v>
      </c>
      <c r="AQ3008" s="31" t="str">
        <f t="shared" si="148"/>
        <v>Complete - With Adjustment</v>
      </c>
    </row>
    <row r="3009" spans="1:43" x14ac:dyDescent="0.2">
      <c r="A3009" s="46">
        <v>2999</v>
      </c>
      <c r="B3009" s="38" t="s">
        <v>266</v>
      </c>
      <c r="C3009" s="38" t="s">
        <v>373</v>
      </c>
      <c r="D3009" s="38" t="s">
        <v>372</v>
      </c>
      <c r="E3009" s="38" t="s">
        <v>6968</v>
      </c>
      <c r="F3009" s="38" t="s">
        <v>6833</v>
      </c>
      <c r="G3009" s="38" t="s">
        <v>111</v>
      </c>
      <c r="H3009" s="44">
        <v>44141</v>
      </c>
      <c r="I3009" s="44">
        <v>44222</v>
      </c>
      <c r="J3009">
        <v>2452.46</v>
      </c>
      <c r="K3009">
        <v>248.96</v>
      </c>
      <c r="L3009" t="s">
        <v>6969</v>
      </c>
      <c r="M3009" s="45" t="s">
        <v>98</v>
      </c>
      <c r="N3009" s="38" t="s">
        <v>230</v>
      </c>
      <c r="O3009" s="38" t="s">
        <v>374</v>
      </c>
      <c r="P3009" s="38" t="s">
        <v>60</v>
      </c>
      <c r="Q3009" s="38" t="s">
        <v>62</v>
      </c>
      <c r="R3009" s="38" t="s">
        <v>270</v>
      </c>
      <c r="S3009" s="38" t="s">
        <v>6970</v>
      </c>
      <c r="T3009" s="38" t="s">
        <v>6971</v>
      </c>
      <c r="U3009" s="38"/>
      <c r="V3009" s="38"/>
      <c r="W3009" s="38"/>
      <c r="X3009" s="7"/>
      <c r="Y3009" s="57"/>
      <c r="Z3009" s="7"/>
      <c r="AA3009" s="57"/>
      <c r="AB3009" s="7"/>
      <c r="AC3009" s="57"/>
      <c r="AD3009" s="7"/>
      <c r="AE3009" s="57"/>
      <c r="AF3009" s="7"/>
      <c r="AG3009" s="57"/>
      <c r="AH3009" s="7"/>
      <c r="AI3009" s="57"/>
      <c r="AJ3009" s="7"/>
      <c r="AK3009" s="57"/>
      <c r="AL3009" s="7"/>
      <c r="AN3009" s="7" t="s">
        <v>115</v>
      </c>
      <c r="AO3009" s="21">
        <f t="shared" si="146"/>
        <v>0</v>
      </c>
      <c r="AP3009" s="7">
        <f t="shared" si="150"/>
        <v>248.96</v>
      </c>
      <c r="AQ3009" s="31" t="str">
        <f t="shared" si="148"/>
        <v>Complete - No Adjustment</v>
      </c>
    </row>
    <row r="3010" spans="1:43" x14ac:dyDescent="0.2">
      <c r="A3010" s="46">
        <v>3000</v>
      </c>
      <c r="B3010" s="38" t="s">
        <v>266</v>
      </c>
      <c r="C3010" s="38" t="s">
        <v>373</v>
      </c>
      <c r="D3010" s="38" t="s">
        <v>372</v>
      </c>
      <c r="E3010" s="38" t="s">
        <v>6968</v>
      </c>
      <c r="F3010" s="38" t="s">
        <v>6833</v>
      </c>
      <c r="G3010" s="38" t="s">
        <v>111</v>
      </c>
      <c r="H3010" s="44">
        <v>44141</v>
      </c>
      <c r="I3010" s="44">
        <v>44222</v>
      </c>
      <c r="J3010">
        <v>2452.46</v>
      </c>
      <c r="K3010">
        <v>36.619999999999997</v>
      </c>
      <c r="L3010" t="s">
        <v>6969</v>
      </c>
      <c r="M3010" s="45" t="s">
        <v>98</v>
      </c>
      <c r="N3010" s="38" t="s">
        <v>230</v>
      </c>
      <c r="O3010" s="38" t="s">
        <v>374</v>
      </c>
      <c r="P3010" s="38" t="s">
        <v>60</v>
      </c>
      <c r="Q3010" s="38" t="s">
        <v>41</v>
      </c>
      <c r="R3010" s="38" t="s">
        <v>270</v>
      </c>
      <c r="S3010" s="38" t="s">
        <v>6970</v>
      </c>
      <c r="T3010" s="38" t="s">
        <v>6972</v>
      </c>
      <c r="U3010" s="38"/>
      <c r="V3010" s="38"/>
      <c r="W3010" s="38"/>
      <c r="X3010" s="7"/>
      <c r="Y3010" s="57"/>
      <c r="Z3010" s="7"/>
      <c r="AA3010" s="57"/>
      <c r="AB3010" s="7"/>
      <c r="AC3010" s="57"/>
      <c r="AD3010" s="7"/>
      <c r="AE3010" s="57"/>
      <c r="AF3010" s="7"/>
      <c r="AG3010" s="57"/>
      <c r="AH3010" s="7"/>
      <c r="AI3010" s="57"/>
      <c r="AJ3010" s="7"/>
      <c r="AK3010" s="57"/>
      <c r="AL3010" s="7">
        <f>36.62</f>
        <v>36.619999999999997</v>
      </c>
      <c r="AN3010" s="7" t="s">
        <v>146</v>
      </c>
      <c r="AO3010" s="21">
        <f t="shared" si="146"/>
        <v>36.619999999999997</v>
      </c>
      <c r="AP3010" s="7">
        <f t="shared" si="150"/>
        <v>0</v>
      </c>
      <c r="AQ3010" s="31" t="str">
        <f t="shared" si="148"/>
        <v>Complete - With Adjustment</v>
      </c>
    </row>
    <row r="3011" spans="1:43" x14ac:dyDescent="0.2">
      <c r="A3011" s="46">
        <v>3001</v>
      </c>
      <c r="B3011" s="38" t="s">
        <v>266</v>
      </c>
      <c r="C3011" s="38" t="s">
        <v>373</v>
      </c>
      <c r="D3011" s="38" t="s">
        <v>372</v>
      </c>
      <c r="E3011" s="38" t="s">
        <v>6968</v>
      </c>
      <c r="F3011" s="38" t="s">
        <v>6833</v>
      </c>
      <c r="G3011" s="38" t="s">
        <v>111</v>
      </c>
      <c r="H3011" s="44">
        <v>44141</v>
      </c>
      <c r="I3011" s="44">
        <v>44222</v>
      </c>
      <c r="J3011">
        <v>2452.46</v>
      </c>
      <c r="K3011">
        <v>76.67</v>
      </c>
      <c r="L3011" t="s">
        <v>6969</v>
      </c>
      <c r="M3011" s="45" t="s">
        <v>98</v>
      </c>
      <c r="N3011" s="38" t="s">
        <v>230</v>
      </c>
      <c r="O3011" s="38" t="s">
        <v>374</v>
      </c>
      <c r="P3011" s="38" t="s">
        <v>60</v>
      </c>
      <c r="Q3011" s="38" t="s">
        <v>41</v>
      </c>
      <c r="R3011" s="38" t="s">
        <v>270</v>
      </c>
      <c r="S3011" s="38" t="s">
        <v>6970</v>
      </c>
      <c r="T3011" s="38" t="s">
        <v>6973</v>
      </c>
      <c r="U3011" s="38"/>
      <c r="V3011" s="38"/>
      <c r="W3011" s="38"/>
      <c r="X3011" s="7"/>
      <c r="Y3011" s="57"/>
      <c r="Z3011" s="7"/>
      <c r="AA3011" s="57"/>
      <c r="AB3011" s="7">
        <f>50.5-(25*2)</f>
        <v>0.5</v>
      </c>
      <c r="AC3011" s="57">
        <f>(12-54.67*20%)</f>
        <v>1.0659999999999989</v>
      </c>
      <c r="AD3011" s="7"/>
      <c r="AE3011" s="57"/>
      <c r="AF3011" s="7"/>
      <c r="AG3011" s="57"/>
      <c r="AH3011" s="7"/>
      <c r="AI3011" s="57"/>
      <c r="AJ3011" s="7"/>
      <c r="AK3011" s="57"/>
      <c r="AL3011" s="7"/>
      <c r="AN3011" s="7" t="s">
        <v>71</v>
      </c>
      <c r="AO3011" s="21">
        <f t="shared" ref="AO3011:AO3077" si="151">SUM(Y3011:AL3011)</f>
        <v>1.5659999999999989</v>
      </c>
      <c r="AP3011" s="7">
        <f t="shared" si="150"/>
        <v>75.103999999999999</v>
      </c>
      <c r="AQ3011" s="31" t="str">
        <f t="shared" ref="AQ3011:AQ3077" si="152">IF(AO3011&lt;&gt;0,"Complete - With Adjustment","Complete - No Adjustment")</f>
        <v>Complete - With Adjustment</v>
      </c>
    </row>
    <row r="3012" spans="1:43" x14ac:dyDescent="0.2">
      <c r="A3012" s="46">
        <v>3002</v>
      </c>
      <c r="B3012" s="38" t="s">
        <v>266</v>
      </c>
      <c r="C3012" s="38" t="s">
        <v>373</v>
      </c>
      <c r="D3012" s="38" t="s">
        <v>372</v>
      </c>
      <c r="E3012" s="38" t="s">
        <v>6968</v>
      </c>
      <c r="F3012" s="38" t="s">
        <v>6833</v>
      </c>
      <c r="G3012" s="38" t="s">
        <v>111</v>
      </c>
      <c r="H3012" s="44">
        <v>44141</v>
      </c>
      <c r="I3012" s="44">
        <v>44222</v>
      </c>
      <c r="J3012">
        <v>2452.46</v>
      </c>
      <c r="K3012">
        <v>54.11</v>
      </c>
      <c r="L3012" t="s">
        <v>6969</v>
      </c>
      <c r="M3012" s="45" t="s">
        <v>98</v>
      </c>
      <c r="N3012" s="38" t="s">
        <v>230</v>
      </c>
      <c r="O3012" s="38" t="s">
        <v>374</v>
      </c>
      <c r="P3012" s="38" t="s">
        <v>60</v>
      </c>
      <c r="Q3012" s="38" t="s">
        <v>41</v>
      </c>
      <c r="R3012" s="38" t="s">
        <v>270</v>
      </c>
      <c r="S3012" s="38" t="s">
        <v>6970</v>
      </c>
      <c r="T3012" s="38" t="s">
        <v>6974</v>
      </c>
      <c r="U3012" s="38"/>
      <c r="V3012" s="38"/>
      <c r="W3012" s="38"/>
      <c r="X3012" s="7"/>
      <c r="Y3012" s="57"/>
      <c r="Z3012" s="7"/>
      <c r="AA3012" s="57"/>
      <c r="AB3012" s="7"/>
      <c r="AC3012" s="57"/>
      <c r="AD3012" s="7"/>
      <c r="AE3012" s="57"/>
      <c r="AF3012" s="7"/>
      <c r="AG3012" s="57"/>
      <c r="AH3012" s="7"/>
      <c r="AI3012" s="57"/>
      <c r="AJ3012" s="7"/>
      <c r="AK3012" s="57"/>
      <c r="AL3012" s="7"/>
      <c r="AN3012" s="7" t="s">
        <v>70</v>
      </c>
      <c r="AO3012" s="21">
        <f t="shared" si="151"/>
        <v>0</v>
      </c>
      <c r="AP3012" s="7">
        <f t="shared" si="150"/>
        <v>54.11</v>
      </c>
      <c r="AQ3012" s="31" t="str">
        <f t="shared" si="152"/>
        <v>Complete - No Adjustment</v>
      </c>
    </row>
    <row r="3013" spans="1:43" x14ac:dyDescent="0.2">
      <c r="A3013" s="46">
        <v>3003</v>
      </c>
      <c r="B3013" s="38" t="s">
        <v>266</v>
      </c>
      <c r="C3013" s="38" t="s">
        <v>373</v>
      </c>
      <c r="D3013" s="38" t="s">
        <v>372</v>
      </c>
      <c r="E3013" s="38" t="s">
        <v>6968</v>
      </c>
      <c r="F3013" s="38" t="s">
        <v>6833</v>
      </c>
      <c r="G3013" s="38" t="s">
        <v>111</v>
      </c>
      <c r="H3013" s="44">
        <v>44141</v>
      </c>
      <c r="I3013" s="44">
        <v>44222</v>
      </c>
      <c r="J3013">
        <v>2452.46</v>
      </c>
      <c r="K3013">
        <v>1670.03</v>
      </c>
      <c r="L3013" t="s">
        <v>6969</v>
      </c>
      <c r="M3013" s="45" t="s">
        <v>97</v>
      </c>
      <c r="N3013" s="38" t="s">
        <v>230</v>
      </c>
      <c r="O3013" s="38" t="s">
        <v>50</v>
      </c>
      <c r="P3013" s="38" t="s">
        <v>51</v>
      </c>
      <c r="Q3013" s="38" t="s">
        <v>57</v>
      </c>
      <c r="R3013" s="38" t="s">
        <v>270</v>
      </c>
      <c r="S3013" s="38" t="s">
        <v>6970</v>
      </c>
      <c r="T3013" s="38" t="s">
        <v>6975</v>
      </c>
      <c r="U3013" s="38" t="s">
        <v>6976</v>
      </c>
      <c r="V3013" s="38" t="s">
        <v>112</v>
      </c>
      <c r="W3013" s="38" t="s">
        <v>58</v>
      </c>
      <c r="X3013" s="7"/>
      <c r="Y3013" s="57"/>
      <c r="Z3013" s="7"/>
      <c r="AA3013" s="57"/>
      <c r="AB3013" s="7"/>
      <c r="AC3013" s="57"/>
      <c r="AD3013" s="7"/>
      <c r="AE3013" s="57"/>
      <c r="AF3013" s="7"/>
      <c r="AG3013" s="57"/>
      <c r="AH3013" s="7"/>
      <c r="AI3013" s="57"/>
      <c r="AJ3013" s="7"/>
      <c r="AK3013" s="57"/>
      <c r="AL3013" s="7">
        <f>1670.03</f>
        <v>1670.03</v>
      </c>
      <c r="AN3013" s="7" t="s">
        <v>146</v>
      </c>
      <c r="AO3013" s="21">
        <f t="shared" si="151"/>
        <v>1670.03</v>
      </c>
      <c r="AP3013" s="7">
        <f t="shared" si="150"/>
        <v>0</v>
      </c>
      <c r="AQ3013" s="31" t="str">
        <f t="shared" si="152"/>
        <v>Complete - With Adjustment</v>
      </c>
    </row>
    <row r="3014" spans="1:43" x14ac:dyDescent="0.2">
      <c r="A3014" s="46">
        <v>3004</v>
      </c>
      <c r="B3014" s="38" t="s">
        <v>266</v>
      </c>
      <c r="C3014" s="38" t="s">
        <v>373</v>
      </c>
      <c r="D3014" s="38" t="s">
        <v>372</v>
      </c>
      <c r="E3014" s="38" t="s">
        <v>6968</v>
      </c>
      <c r="F3014" s="38" t="s">
        <v>6833</v>
      </c>
      <c r="G3014" s="38" t="s">
        <v>111</v>
      </c>
      <c r="H3014" s="44">
        <v>44141</v>
      </c>
      <c r="I3014" s="44">
        <v>44222</v>
      </c>
      <c r="J3014">
        <v>2452.46</v>
      </c>
      <c r="K3014">
        <v>295</v>
      </c>
      <c r="L3014" t="s">
        <v>6969</v>
      </c>
      <c r="M3014" s="45" t="s">
        <v>98</v>
      </c>
      <c r="N3014" s="38" t="s">
        <v>230</v>
      </c>
      <c r="O3014" s="38" t="s">
        <v>374</v>
      </c>
      <c r="P3014" s="38" t="s">
        <v>60</v>
      </c>
      <c r="Q3014" s="38" t="s">
        <v>56</v>
      </c>
      <c r="R3014" s="38" t="s">
        <v>270</v>
      </c>
      <c r="S3014" s="38" t="s">
        <v>6970</v>
      </c>
      <c r="T3014" s="38" t="s">
        <v>6977</v>
      </c>
      <c r="U3014" s="38"/>
      <c r="V3014" s="38"/>
      <c r="W3014" s="38"/>
      <c r="X3014" s="7"/>
      <c r="Y3014" s="57"/>
      <c r="Z3014" s="7"/>
      <c r="AA3014" s="57"/>
      <c r="AB3014" s="7"/>
      <c r="AC3014" s="57"/>
      <c r="AD3014" s="7"/>
      <c r="AE3014" s="57"/>
      <c r="AF3014" s="7"/>
      <c r="AG3014" s="57"/>
      <c r="AH3014" s="7"/>
      <c r="AI3014" s="57"/>
      <c r="AJ3014" s="7"/>
      <c r="AK3014" s="57"/>
      <c r="AL3014" s="7"/>
      <c r="AN3014" s="7" t="s">
        <v>70</v>
      </c>
      <c r="AO3014" s="21">
        <f t="shared" si="151"/>
        <v>0</v>
      </c>
      <c r="AP3014" s="7">
        <f t="shared" si="150"/>
        <v>295</v>
      </c>
      <c r="AQ3014" s="31" t="str">
        <f t="shared" si="152"/>
        <v>Complete - No Adjustment</v>
      </c>
    </row>
    <row r="3015" spans="1:43" x14ac:dyDescent="0.2">
      <c r="A3015" s="46">
        <v>3005</v>
      </c>
      <c r="B3015" s="38" t="s">
        <v>266</v>
      </c>
      <c r="C3015" s="38" t="s">
        <v>373</v>
      </c>
      <c r="D3015" s="38" t="s">
        <v>372</v>
      </c>
      <c r="E3015" s="38" t="s">
        <v>6968</v>
      </c>
      <c r="F3015" s="38" t="s">
        <v>6833</v>
      </c>
      <c r="G3015" s="38" t="s">
        <v>111</v>
      </c>
      <c r="H3015" s="44">
        <v>44141</v>
      </c>
      <c r="I3015" s="44">
        <v>44222</v>
      </c>
      <c r="J3015">
        <v>2452.46</v>
      </c>
      <c r="K3015">
        <v>71.069999999999993</v>
      </c>
      <c r="L3015" t="s">
        <v>6969</v>
      </c>
      <c r="M3015" s="45" t="s">
        <v>98</v>
      </c>
      <c r="N3015" s="38" t="s">
        <v>230</v>
      </c>
      <c r="O3015" s="38" t="s">
        <v>374</v>
      </c>
      <c r="P3015" s="38" t="s">
        <v>60</v>
      </c>
      <c r="Q3015" s="38" t="s">
        <v>41</v>
      </c>
      <c r="R3015" s="38" t="s">
        <v>270</v>
      </c>
      <c r="S3015" s="38" t="s">
        <v>6970</v>
      </c>
      <c r="T3015" s="38" t="s">
        <v>6978</v>
      </c>
      <c r="U3015" s="38"/>
      <c r="V3015" s="38"/>
      <c r="W3015" s="38"/>
      <c r="X3015" s="7"/>
      <c r="Y3015" s="57"/>
      <c r="Z3015" s="7"/>
      <c r="AA3015" s="57"/>
      <c r="AB3015" s="7"/>
      <c r="AC3015" s="57"/>
      <c r="AD3015" s="7"/>
      <c r="AE3015" s="57"/>
      <c r="AF3015" s="7"/>
      <c r="AG3015" s="57"/>
      <c r="AH3015" s="7"/>
      <c r="AI3015" s="57"/>
      <c r="AJ3015" s="7"/>
      <c r="AK3015" s="57"/>
      <c r="AL3015" s="7"/>
      <c r="AN3015" s="7" t="s">
        <v>70</v>
      </c>
      <c r="AO3015" s="21">
        <f t="shared" si="151"/>
        <v>0</v>
      </c>
      <c r="AP3015" s="7">
        <f t="shared" si="150"/>
        <v>71.069999999999993</v>
      </c>
      <c r="AQ3015" s="31" t="str">
        <f t="shared" si="152"/>
        <v>Complete - No Adjustment</v>
      </c>
    </row>
    <row r="3016" spans="1:43" x14ac:dyDescent="0.2">
      <c r="A3016" s="46">
        <v>3006</v>
      </c>
      <c r="B3016" s="38" t="s">
        <v>266</v>
      </c>
      <c r="C3016" s="38" t="s">
        <v>3911</v>
      </c>
      <c r="D3016" s="38" t="s">
        <v>3912</v>
      </c>
      <c r="E3016" s="38" t="s">
        <v>6979</v>
      </c>
      <c r="F3016" s="38" t="s">
        <v>6828</v>
      </c>
      <c r="G3016" s="38" t="s">
        <v>111</v>
      </c>
      <c r="H3016" s="44">
        <v>44196</v>
      </c>
      <c r="I3016" s="44">
        <v>44210</v>
      </c>
      <c r="J3016">
        <v>558.9</v>
      </c>
      <c r="K3016">
        <v>558.9</v>
      </c>
      <c r="L3016" t="s">
        <v>6980</v>
      </c>
      <c r="M3016" s="45" t="s">
        <v>98</v>
      </c>
      <c r="N3016" s="38" t="s">
        <v>230</v>
      </c>
      <c r="O3016" s="38" t="s">
        <v>314</v>
      </c>
      <c r="P3016" s="38" t="s">
        <v>60</v>
      </c>
      <c r="Q3016" s="38" t="s">
        <v>44</v>
      </c>
      <c r="R3016" s="38" t="s">
        <v>270</v>
      </c>
      <c r="S3016" s="38" t="s">
        <v>6981</v>
      </c>
      <c r="T3016" s="38" t="s">
        <v>6982</v>
      </c>
      <c r="U3016" s="38"/>
      <c r="V3016" s="38"/>
      <c r="W3016" s="38"/>
      <c r="X3016" s="7"/>
      <c r="Y3016" s="57"/>
      <c r="Z3016" s="7"/>
      <c r="AA3016" s="57"/>
      <c r="AB3016" s="7"/>
      <c r="AC3016" s="57"/>
      <c r="AD3016" s="7"/>
      <c r="AE3016" s="57"/>
      <c r="AF3016" s="7"/>
      <c r="AG3016" s="57"/>
      <c r="AH3016" s="7"/>
      <c r="AI3016" s="57"/>
      <c r="AJ3016" s="7"/>
      <c r="AK3016" s="57"/>
      <c r="AL3016" s="7"/>
      <c r="AN3016" s="7" t="s">
        <v>70</v>
      </c>
      <c r="AO3016" s="21">
        <f t="shared" si="151"/>
        <v>0</v>
      </c>
      <c r="AP3016" s="7">
        <f t="shared" si="150"/>
        <v>558.9</v>
      </c>
      <c r="AQ3016" s="31" t="str">
        <f t="shared" si="152"/>
        <v>Complete - No Adjustment</v>
      </c>
    </row>
    <row r="3017" spans="1:43" x14ac:dyDescent="0.2">
      <c r="A3017" s="46">
        <v>3007</v>
      </c>
      <c r="B3017" s="38" t="s">
        <v>266</v>
      </c>
      <c r="C3017" s="38" t="s">
        <v>820</v>
      </c>
      <c r="D3017" s="38" t="s">
        <v>821</v>
      </c>
      <c r="E3017" s="38" t="s">
        <v>6983</v>
      </c>
      <c r="F3017" s="38" t="s">
        <v>6810</v>
      </c>
      <c r="G3017" s="38" t="s">
        <v>111</v>
      </c>
      <c r="H3017" s="44">
        <v>44210</v>
      </c>
      <c r="I3017" s="44">
        <v>44214</v>
      </c>
      <c r="J3017">
        <v>169.25</v>
      </c>
      <c r="K3017">
        <v>169.25</v>
      </c>
      <c r="L3017" t="s">
        <v>6984</v>
      </c>
      <c r="M3017" s="45" t="s">
        <v>98</v>
      </c>
      <c r="N3017" s="38" t="s">
        <v>230</v>
      </c>
      <c r="O3017" s="38" t="s">
        <v>426</v>
      </c>
      <c r="P3017" s="38" t="s">
        <v>60</v>
      </c>
      <c r="Q3017" s="38" t="s">
        <v>104</v>
      </c>
      <c r="R3017" s="38" t="s">
        <v>270</v>
      </c>
      <c r="S3017" s="38" t="s">
        <v>6985</v>
      </c>
      <c r="T3017" s="38" t="s">
        <v>6986</v>
      </c>
      <c r="U3017" s="38"/>
      <c r="V3017" s="38"/>
      <c r="W3017" s="38"/>
      <c r="X3017" s="7"/>
      <c r="Y3017" s="57"/>
      <c r="Z3017" s="7"/>
      <c r="AA3017" s="57"/>
      <c r="AB3017" s="7"/>
      <c r="AC3017" s="57"/>
      <c r="AD3017" s="7"/>
      <c r="AE3017" s="57"/>
      <c r="AF3017" s="7"/>
      <c r="AG3017" s="57"/>
      <c r="AH3017" s="7"/>
      <c r="AI3017" s="57"/>
      <c r="AJ3017" s="7"/>
      <c r="AK3017" s="57"/>
      <c r="AL3017" s="7"/>
      <c r="AN3017" s="7" t="s">
        <v>70</v>
      </c>
      <c r="AO3017" s="21">
        <f t="shared" si="151"/>
        <v>0</v>
      </c>
      <c r="AP3017" s="7">
        <f t="shared" si="150"/>
        <v>169.25</v>
      </c>
      <c r="AQ3017" s="31" t="str">
        <f t="shared" si="152"/>
        <v>Complete - No Adjustment</v>
      </c>
    </row>
    <row r="3018" spans="1:43" x14ac:dyDescent="0.2">
      <c r="A3018" s="46">
        <v>3008</v>
      </c>
      <c r="B3018" s="38" t="s">
        <v>266</v>
      </c>
      <c r="C3018" s="38" t="s">
        <v>385</v>
      </c>
      <c r="D3018" s="38" t="s">
        <v>384</v>
      </c>
      <c r="E3018" s="38" t="s">
        <v>6987</v>
      </c>
      <c r="F3018" s="38" t="s">
        <v>6836</v>
      </c>
      <c r="G3018" s="38" t="s">
        <v>111</v>
      </c>
      <c r="H3018" s="44">
        <v>44202</v>
      </c>
      <c r="I3018" s="44">
        <v>44203</v>
      </c>
      <c r="J3018">
        <v>150</v>
      </c>
      <c r="K3018">
        <v>150</v>
      </c>
      <c r="L3018" t="s">
        <v>6988</v>
      </c>
      <c r="M3018" s="45" t="s">
        <v>98</v>
      </c>
      <c r="N3018" s="38" t="s">
        <v>230</v>
      </c>
      <c r="O3018" s="38" t="s">
        <v>293</v>
      </c>
      <c r="P3018" s="38" t="s">
        <v>60</v>
      </c>
      <c r="Q3018" s="38" t="s">
        <v>56</v>
      </c>
      <c r="R3018" s="38" t="s">
        <v>270</v>
      </c>
      <c r="S3018" s="38" t="s">
        <v>6989</v>
      </c>
      <c r="T3018" s="38" t="s">
        <v>6990</v>
      </c>
      <c r="U3018" s="38"/>
      <c r="V3018" s="38"/>
      <c r="W3018" s="38"/>
      <c r="X3018" s="7"/>
      <c r="Y3018" s="57"/>
      <c r="Z3018" s="7"/>
      <c r="AA3018" s="57"/>
      <c r="AB3018" s="7"/>
      <c r="AC3018" s="57"/>
      <c r="AD3018" s="7"/>
      <c r="AE3018" s="57"/>
      <c r="AF3018" s="7"/>
      <c r="AG3018" s="57"/>
      <c r="AH3018" s="7"/>
      <c r="AI3018" s="57"/>
      <c r="AJ3018" s="7"/>
      <c r="AK3018" s="57"/>
      <c r="AL3018" s="7"/>
      <c r="AN3018" s="7" t="s">
        <v>70</v>
      </c>
      <c r="AO3018" s="21">
        <f t="shared" si="151"/>
        <v>0</v>
      </c>
      <c r="AP3018" s="7">
        <f t="shared" si="150"/>
        <v>150</v>
      </c>
      <c r="AQ3018" s="31" t="str">
        <f t="shared" si="152"/>
        <v>Complete - No Adjustment</v>
      </c>
    </row>
    <row r="3019" spans="1:43" x14ac:dyDescent="0.2">
      <c r="A3019" s="46">
        <v>3009</v>
      </c>
      <c r="B3019" s="38" t="s">
        <v>266</v>
      </c>
      <c r="C3019" s="38" t="s">
        <v>121</v>
      </c>
      <c r="D3019" s="38" t="s">
        <v>120</v>
      </c>
      <c r="E3019" s="38" t="s">
        <v>6991</v>
      </c>
      <c r="F3019" s="38" t="s">
        <v>6754</v>
      </c>
      <c r="G3019" s="38" t="s">
        <v>111</v>
      </c>
      <c r="H3019" s="44">
        <v>44214</v>
      </c>
      <c r="I3019" s="44">
        <v>44218</v>
      </c>
      <c r="J3019">
        <v>737.72</v>
      </c>
      <c r="K3019">
        <v>608.9</v>
      </c>
      <c r="L3019" t="s">
        <v>6992</v>
      </c>
      <c r="M3019" s="45" t="s">
        <v>98</v>
      </c>
      <c r="N3019" s="38" t="s">
        <v>230</v>
      </c>
      <c r="O3019" s="38" t="s">
        <v>374</v>
      </c>
      <c r="P3019" s="38" t="s">
        <v>60</v>
      </c>
      <c r="Q3019" s="38" t="s">
        <v>46</v>
      </c>
      <c r="R3019" s="38" t="s">
        <v>270</v>
      </c>
      <c r="S3019" s="38" t="s">
        <v>6993</v>
      </c>
      <c r="T3019" s="38" t="s">
        <v>6994</v>
      </c>
      <c r="U3019" s="38"/>
      <c r="V3019" s="38"/>
      <c r="W3019" s="38"/>
      <c r="X3019" s="7"/>
      <c r="Y3019" s="57"/>
      <c r="Z3019" s="7"/>
      <c r="AA3019" s="57"/>
      <c r="AB3019" s="7"/>
      <c r="AC3019" s="57"/>
      <c r="AD3019" s="7"/>
      <c r="AE3019" s="57"/>
      <c r="AF3019" s="7"/>
      <c r="AG3019" s="57"/>
      <c r="AH3019" s="7"/>
      <c r="AI3019" s="57">
        <f>608.9</f>
        <v>608.9</v>
      </c>
      <c r="AJ3019" s="7"/>
      <c r="AK3019" s="57"/>
      <c r="AL3019" s="7"/>
      <c r="AN3019" s="7" t="s">
        <v>145</v>
      </c>
      <c r="AO3019" s="21">
        <f t="shared" si="151"/>
        <v>608.9</v>
      </c>
      <c r="AP3019" s="7">
        <f t="shared" si="150"/>
        <v>0</v>
      </c>
      <c r="AQ3019" s="31" t="str">
        <f t="shared" si="152"/>
        <v>Complete - With Adjustment</v>
      </c>
    </row>
    <row r="3020" spans="1:43" x14ac:dyDescent="0.2">
      <c r="A3020" s="46">
        <v>3010</v>
      </c>
      <c r="B3020" s="38" t="s">
        <v>266</v>
      </c>
      <c r="C3020" s="38" t="s">
        <v>121</v>
      </c>
      <c r="D3020" s="38" t="s">
        <v>120</v>
      </c>
      <c r="E3020" s="38" t="s">
        <v>6991</v>
      </c>
      <c r="F3020" s="38" t="s">
        <v>6754</v>
      </c>
      <c r="G3020" s="38" t="s">
        <v>111</v>
      </c>
      <c r="H3020" s="44">
        <v>44214</v>
      </c>
      <c r="I3020" s="44">
        <v>44218</v>
      </c>
      <c r="J3020">
        <v>737.72</v>
      </c>
      <c r="K3020">
        <v>128.82</v>
      </c>
      <c r="L3020" t="s">
        <v>6992</v>
      </c>
      <c r="M3020" s="45" t="s">
        <v>98</v>
      </c>
      <c r="N3020" s="38" t="s">
        <v>230</v>
      </c>
      <c r="O3020" s="38" t="s">
        <v>374</v>
      </c>
      <c r="P3020" s="38" t="s">
        <v>60</v>
      </c>
      <c r="Q3020" s="38" t="s">
        <v>79</v>
      </c>
      <c r="R3020" s="38" t="s">
        <v>270</v>
      </c>
      <c r="S3020" s="38" t="s">
        <v>6993</v>
      </c>
      <c r="T3020" s="38" t="s">
        <v>6995</v>
      </c>
      <c r="U3020" s="38"/>
      <c r="V3020" s="38"/>
      <c r="W3020" s="38"/>
      <c r="X3020" s="7"/>
      <c r="Y3020" s="57"/>
      <c r="Z3020" s="7"/>
      <c r="AA3020" s="57"/>
      <c r="AB3020" s="7"/>
      <c r="AC3020" s="57"/>
      <c r="AD3020" s="7"/>
      <c r="AE3020" s="57"/>
      <c r="AF3020" s="7">
        <f>128.82</f>
        <v>128.82</v>
      </c>
      <c r="AG3020" s="57"/>
      <c r="AH3020" s="7"/>
      <c r="AI3020" s="57"/>
      <c r="AJ3020" s="7"/>
      <c r="AK3020" s="57"/>
      <c r="AL3020" s="7"/>
      <c r="AN3020" s="7" t="s">
        <v>110</v>
      </c>
      <c r="AO3020" s="21">
        <f t="shared" si="151"/>
        <v>128.82</v>
      </c>
      <c r="AP3020" s="7">
        <f t="shared" si="150"/>
        <v>0</v>
      </c>
      <c r="AQ3020" s="31" t="str">
        <f t="shared" si="152"/>
        <v>Complete - With Adjustment</v>
      </c>
    </row>
    <row r="3021" spans="1:43" x14ac:dyDescent="0.2">
      <c r="A3021" s="46">
        <v>3011</v>
      </c>
      <c r="B3021" s="38" t="s">
        <v>266</v>
      </c>
      <c r="C3021" s="38" t="s">
        <v>399</v>
      </c>
      <c r="D3021" s="38" t="s">
        <v>398</v>
      </c>
      <c r="E3021" s="38" t="s">
        <v>6996</v>
      </c>
      <c r="F3021" s="38" t="s">
        <v>6749</v>
      </c>
      <c r="G3021" s="38" t="s">
        <v>111</v>
      </c>
      <c r="H3021" s="44">
        <v>44193</v>
      </c>
      <c r="I3021" s="44">
        <v>44201</v>
      </c>
      <c r="J3021">
        <v>30.56</v>
      </c>
      <c r="K3021">
        <v>9.34</v>
      </c>
      <c r="L3021" t="s">
        <v>6997</v>
      </c>
      <c r="M3021" s="45" t="s">
        <v>98</v>
      </c>
      <c r="N3021" s="38" t="s">
        <v>230</v>
      </c>
      <c r="O3021" s="38" t="s">
        <v>356</v>
      </c>
      <c r="P3021" s="38" t="s">
        <v>60</v>
      </c>
      <c r="Q3021" s="38" t="s">
        <v>41</v>
      </c>
      <c r="R3021" s="38" t="s">
        <v>270</v>
      </c>
      <c r="S3021" s="38" t="s">
        <v>6998</v>
      </c>
      <c r="T3021" s="38" t="s">
        <v>6999</v>
      </c>
      <c r="U3021" s="38"/>
      <c r="V3021" s="38"/>
      <c r="W3021" s="38"/>
      <c r="X3021" s="7"/>
      <c r="Y3021" s="57"/>
      <c r="Z3021" s="7"/>
      <c r="AA3021" s="57"/>
      <c r="AB3021" s="7"/>
      <c r="AC3021" s="57"/>
      <c r="AD3021" s="7"/>
      <c r="AE3021" s="57"/>
      <c r="AF3021" s="7"/>
      <c r="AG3021" s="57"/>
      <c r="AH3021" s="7"/>
      <c r="AI3021" s="57"/>
      <c r="AJ3021" s="7"/>
      <c r="AK3021" s="57"/>
      <c r="AL3021" s="7"/>
      <c r="AN3021" s="7" t="s">
        <v>155</v>
      </c>
      <c r="AO3021" s="21">
        <f t="shared" si="151"/>
        <v>0</v>
      </c>
      <c r="AP3021" s="7">
        <f t="shared" si="150"/>
        <v>9.34</v>
      </c>
      <c r="AQ3021" s="31" t="str">
        <f t="shared" si="152"/>
        <v>Complete - No Adjustment</v>
      </c>
    </row>
    <row r="3022" spans="1:43" x14ac:dyDescent="0.2">
      <c r="A3022" s="46">
        <v>3012</v>
      </c>
      <c r="B3022" s="38" t="s">
        <v>266</v>
      </c>
      <c r="C3022" s="38" t="s">
        <v>399</v>
      </c>
      <c r="D3022" s="38" t="s">
        <v>398</v>
      </c>
      <c r="E3022" s="38" t="s">
        <v>6996</v>
      </c>
      <c r="F3022" s="38" t="s">
        <v>6749</v>
      </c>
      <c r="G3022" s="38" t="s">
        <v>111</v>
      </c>
      <c r="H3022" s="44">
        <v>44193</v>
      </c>
      <c r="I3022" s="44">
        <v>44201</v>
      </c>
      <c r="J3022">
        <v>30.56</v>
      </c>
      <c r="K3022">
        <v>6</v>
      </c>
      <c r="L3022" t="s">
        <v>6997</v>
      </c>
      <c r="M3022" s="45" t="s">
        <v>97</v>
      </c>
      <c r="N3022" s="38" t="s">
        <v>230</v>
      </c>
      <c r="O3022" s="38" t="s">
        <v>50</v>
      </c>
      <c r="P3022" s="38" t="s">
        <v>72</v>
      </c>
      <c r="Q3022" s="38" t="s">
        <v>41</v>
      </c>
      <c r="R3022" s="38" t="s">
        <v>270</v>
      </c>
      <c r="S3022" s="38" t="s">
        <v>6998</v>
      </c>
      <c r="T3022" s="38" t="s">
        <v>7000</v>
      </c>
      <c r="U3022" s="38"/>
      <c r="V3022" s="38"/>
      <c r="W3022" s="38"/>
      <c r="X3022" s="7"/>
      <c r="Y3022" s="57"/>
      <c r="Z3022" s="7"/>
      <c r="AA3022" s="57"/>
      <c r="AB3022" s="7"/>
      <c r="AC3022" s="57"/>
      <c r="AD3022" s="7"/>
      <c r="AE3022" s="57"/>
      <c r="AF3022" s="7"/>
      <c r="AG3022" s="57"/>
      <c r="AH3022" s="7"/>
      <c r="AI3022" s="57"/>
      <c r="AJ3022" s="7"/>
      <c r="AK3022" s="57"/>
      <c r="AL3022" s="7"/>
      <c r="AN3022" s="7" t="s">
        <v>155</v>
      </c>
      <c r="AO3022" s="21">
        <f t="shared" si="151"/>
        <v>0</v>
      </c>
      <c r="AP3022" s="7">
        <f t="shared" si="150"/>
        <v>6</v>
      </c>
      <c r="AQ3022" s="31" t="str">
        <f t="shared" si="152"/>
        <v>Complete - No Adjustment</v>
      </c>
    </row>
    <row r="3023" spans="1:43" x14ac:dyDescent="0.2">
      <c r="A3023" s="46">
        <v>3013</v>
      </c>
      <c r="B3023" s="38" t="s">
        <v>266</v>
      </c>
      <c r="C3023" s="38" t="s">
        <v>399</v>
      </c>
      <c r="D3023" s="38" t="s">
        <v>398</v>
      </c>
      <c r="E3023" s="38" t="s">
        <v>6996</v>
      </c>
      <c r="F3023" s="38" t="s">
        <v>6749</v>
      </c>
      <c r="G3023" s="38" t="s">
        <v>111</v>
      </c>
      <c r="H3023" s="44">
        <v>44193</v>
      </c>
      <c r="I3023" s="44">
        <v>44201</v>
      </c>
      <c r="J3023">
        <v>30.56</v>
      </c>
      <c r="K3023">
        <v>6.22</v>
      </c>
      <c r="L3023" t="s">
        <v>6997</v>
      </c>
      <c r="M3023" s="45" t="s">
        <v>97</v>
      </c>
      <c r="N3023" s="38" t="s">
        <v>230</v>
      </c>
      <c r="O3023" s="38" t="s">
        <v>50</v>
      </c>
      <c r="P3023" s="38" t="s">
        <v>72</v>
      </c>
      <c r="Q3023" s="38" t="s">
        <v>41</v>
      </c>
      <c r="R3023" s="38" t="s">
        <v>270</v>
      </c>
      <c r="S3023" s="38" t="s">
        <v>6998</v>
      </c>
      <c r="T3023" s="38" t="s">
        <v>6999</v>
      </c>
      <c r="U3023" s="38"/>
      <c r="V3023" s="38"/>
      <c r="W3023" s="38"/>
      <c r="X3023" s="7"/>
      <c r="Y3023" s="57"/>
      <c r="Z3023" s="7"/>
      <c r="AA3023" s="57"/>
      <c r="AB3023" s="7"/>
      <c r="AC3023" s="57"/>
      <c r="AD3023" s="7"/>
      <c r="AE3023" s="57"/>
      <c r="AF3023" s="7"/>
      <c r="AG3023" s="57"/>
      <c r="AH3023" s="7"/>
      <c r="AI3023" s="57"/>
      <c r="AJ3023" s="7"/>
      <c r="AK3023" s="57"/>
      <c r="AL3023" s="7"/>
      <c r="AN3023" s="7" t="s">
        <v>155</v>
      </c>
      <c r="AO3023" s="21">
        <f t="shared" si="151"/>
        <v>0</v>
      </c>
      <c r="AP3023" s="7">
        <f t="shared" si="150"/>
        <v>6.22</v>
      </c>
      <c r="AQ3023" s="31" t="str">
        <f t="shared" si="152"/>
        <v>Complete - No Adjustment</v>
      </c>
    </row>
    <row r="3024" spans="1:43" x14ac:dyDescent="0.2">
      <c r="A3024" s="46">
        <v>3014</v>
      </c>
      <c r="B3024" s="38" t="s">
        <v>266</v>
      </c>
      <c r="C3024" s="38" t="s">
        <v>399</v>
      </c>
      <c r="D3024" s="38" t="s">
        <v>398</v>
      </c>
      <c r="E3024" s="38" t="s">
        <v>6996</v>
      </c>
      <c r="F3024" s="38" t="s">
        <v>6749</v>
      </c>
      <c r="G3024" s="38" t="s">
        <v>111</v>
      </c>
      <c r="H3024" s="44">
        <v>44193</v>
      </c>
      <c r="I3024" s="44">
        <v>44201</v>
      </c>
      <c r="J3024">
        <v>30.56</v>
      </c>
      <c r="K3024">
        <v>9</v>
      </c>
      <c r="L3024" t="s">
        <v>6997</v>
      </c>
      <c r="M3024" s="45" t="s">
        <v>98</v>
      </c>
      <c r="N3024" s="38" t="s">
        <v>230</v>
      </c>
      <c r="O3024" s="38" t="s">
        <v>356</v>
      </c>
      <c r="P3024" s="38" t="s">
        <v>60</v>
      </c>
      <c r="Q3024" s="38" t="s">
        <v>41</v>
      </c>
      <c r="R3024" s="38" t="s">
        <v>270</v>
      </c>
      <c r="S3024" s="38" t="s">
        <v>6998</v>
      </c>
      <c r="T3024" s="38" t="s">
        <v>7000</v>
      </c>
      <c r="U3024" s="38"/>
      <c r="V3024" s="38"/>
      <c r="W3024" s="38"/>
      <c r="X3024" s="7"/>
      <c r="Y3024" s="57"/>
      <c r="Z3024" s="7"/>
      <c r="AA3024" s="57"/>
      <c r="AB3024" s="7"/>
      <c r="AC3024" s="57"/>
      <c r="AD3024" s="7"/>
      <c r="AE3024" s="57"/>
      <c r="AF3024" s="7"/>
      <c r="AG3024" s="57"/>
      <c r="AH3024" s="7"/>
      <c r="AI3024" s="57"/>
      <c r="AJ3024" s="7"/>
      <c r="AK3024" s="57"/>
      <c r="AL3024" s="7"/>
      <c r="AN3024" s="7" t="s">
        <v>155</v>
      </c>
      <c r="AO3024" s="21">
        <f t="shared" si="151"/>
        <v>0</v>
      </c>
      <c r="AP3024" s="7">
        <f t="shared" si="150"/>
        <v>9</v>
      </c>
      <c r="AQ3024" s="31" t="str">
        <f t="shared" si="152"/>
        <v>Complete - No Adjustment</v>
      </c>
    </row>
    <row r="3025" spans="1:45" x14ac:dyDescent="0.2">
      <c r="A3025" s="46">
        <v>3015</v>
      </c>
      <c r="B3025" s="38" t="s">
        <v>266</v>
      </c>
      <c r="C3025" s="38" t="s">
        <v>401</v>
      </c>
      <c r="D3025" s="38" t="s">
        <v>400</v>
      </c>
      <c r="E3025" s="38" t="s">
        <v>7153</v>
      </c>
      <c r="F3025" s="38" t="s">
        <v>6836</v>
      </c>
      <c r="G3025" s="38" t="s">
        <v>111</v>
      </c>
      <c r="H3025" s="44">
        <v>44200</v>
      </c>
      <c r="I3025" s="44">
        <v>44203</v>
      </c>
      <c r="J3025">
        <v>57.66</v>
      </c>
      <c r="K3025">
        <v>57.66</v>
      </c>
      <c r="L3025"/>
      <c r="M3025" s="45" t="s">
        <v>98</v>
      </c>
      <c r="N3025" s="38" t="s">
        <v>230</v>
      </c>
      <c r="O3025" s="38" t="s">
        <v>277</v>
      </c>
      <c r="P3025" s="38" t="s">
        <v>60</v>
      </c>
      <c r="Q3025" s="38" t="s">
        <v>62</v>
      </c>
      <c r="R3025" s="38" t="s">
        <v>270</v>
      </c>
      <c r="S3025" s="38" t="s">
        <v>7154</v>
      </c>
      <c r="T3025" s="38" t="s">
        <v>7155</v>
      </c>
      <c r="U3025" s="38"/>
      <c r="V3025" s="38"/>
      <c r="W3025" s="38"/>
      <c r="X3025" s="7"/>
      <c r="Y3025" s="57"/>
      <c r="Z3025" s="7"/>
      <c r="AA3025" s="57"/>
      <c r="AB3025" s="7"/>
      <c r="AC3025" s="57"/>
      <c r="AD3025" s="7"/>
      <c r="AE3025" s="57"/>
      <c r="AF3025" s="7"/>
      <c r="AG3025" s="57"/>
      <c r="AH3025" s="7"/>
      <c r="AI3025" s="57"/>
      <c r="AJ3025" s="7"/>
      <c r="AK3025" s="57"/>
      <c r="AL3025" s="7">
        <v>57.66</v>
      </c>
      <c r="AN3025" s="7" t="s">
        <v>155</v>
      </c>
      <c r="AO3025" s="21">
        <f t="shared" si="151"/>
        <v>57.66</v>
      </c>
      <c r="AP3025" s="7">
        <f t="shared" si="150"/>
        <v>0</v>
      </c>
      <c r="AQ3025" s="31" t="str">
        <f t="shared" si="152"/>
        <v>Complete - With Adjustment</v>
      </c>
      <c r="AS3025" s="12"/>
    </row>
    <row r="3026" spans="1:45" x14ac:dyDescent="0.2">
      <c r="A3026" s="46">
        <v>3016</v>
      </c>
      <c r="B3026" s="38" t="s">
        <v>266</v>
      </c>
      <c r="C3026" s="38" t="s">
        <v>401</v>
      </c>
      <c r="D3026" s="38" t="s">
        <v>400</v>
      </c>
      <c r="E3026" s="38" t="s">
        <v>7156</v>
      </c>
      <c r="F3026" s="38" t="s">
        <v>7078</v>
      </c>
      <c r="G3026" s="38" t="s">
        <v>111</v>
      </c>
      <c r="H3026" s="44">
        <v>44209</v>
      </c>
      <c r="I3026" s="44">
        <v>44211</v>
      </c>
      <c r="J3026">
        <v>232.74</v>
      </c>
      <c r="K3026">
        <v>232.74</v>
      </c>
      <c r="L3026"/>
      <c r="M3026" s="45" t="s">
        <v>97</v>
      </c>
      <c r="N3026" s="38" t="s">
        <v>230</v>
      </c>
      <c r="O3026" s="38" t="s">
        <v>402</v>
      </c>
      <c r="P3026" s="38" t="s">
        <v>42</v>
      </c>
      <c r="Q3026" s="38" t="s">
        <v>57</v>
      </c>
      <c r="R3026" s="38" t="s">
        <v>270</v>
      </c>
      <c r="S3026" s="38" t="s">
        <v>7157</v>
      </c>
      <c r="T3026" s="38" t="s">
        <v>7158</v>
      </c>
      <c r="U3026" s="38"/>
      <c r="V3026" s="38"/>
      <c r="W3026" s="38"/>
      <c r="X3026" s="7"/>
      <c r="Y3026" s="57"/>
      <c r="Z3026" s="7"/>
      <c r="AA3026" s="57"/>
      <c r="AB3026" s="7"/>
      <c r="AC3026" s="57"/>
      <c r="AD3026" s="7"/>
      <c r="AE3026" s="57"/>
      <c r="AF3026" s="7"/>
      <c r="AG3026" s="57"/>
      <c r="AH3026" s="7"/>
      <c r="AI3026" s="57">
        <f>232.74</f>
        <v>232.74</v>
      </c>
      <c r="AJ3026" s="7"/>
      <c r="AK3026" s="57"/>
      <c r="AL3026" s="7"/>
      <c r="AN3026" s="7" t="s">
        <v>145</v>
      </c>
      <c r="AO3026" s="21">
        <f t="shared" si="151"/>
        <v>232.74</v>
      </c>
      <c r="AP3026" s="7">
        <f t="shared" si="150"/>
        <v>0</v>
      </c>
      <c r="AQ3026" s="31" t="str">
        <f t="shared" si="152"/>
        <v>Complete - With Adjustment</v>
      </c>
      <c r="AS3026" s="12"/>
    </row>
    <row r="3027" spans="1:45" x14ac:dyDescent="0.2">
      <c r="A3027" s="46">
        <v>3017</v>
      </c>
      <c r="B3027" s="38" t="s">
        <v>266</v>
      </c>
      <c r="C3027" s="38" t="s">
        <v>416</v>
      </c>
      <c r="D3027" s="38" t="s">
        <v>415</v>
      </c>
      <c r="E3027" s="38" t="s">
        <v>7001</v>
      </c>
      <c r="F3027" s="38" t="s">
        <v>6836</v>
      </c>
      <c r="G3027" s="38" t="s">
        <v>111</v>
      </c>
      <c r="H3027" s="44">
        <v>44200</v>
      </c>
      <c r="I3027" s="44">
        <v>44203</v>
      </c>
      <c r="J3027">
        <v>21.1</v>
      </c>
      <c r="K3027">
        <v>21.1</v>
      </c>
      <c r="L3027" t="s">
        <v>7002</v>
      </c>
      <c r="M3027" s="45" t="s">
        <v>98</v>
      </c>
      <c r="N3027" s="38" t="s">
        <v>230</v>
      </c>
      <c r="O3027" s="38" t="s">
        <v>331</v>
      </c>
      <c r="P3027" s="38" t="s">
        <v>60</v>
      </c>
      <c r="Q3027" s="38" t="s">
        <v>46</v>
      </c>
      <c r="R3027" s="38" t="s">
        <v>270</v>
      </c>
      <c r="S3027" s="38" t="s">
        <v>7003</v>
      </c>
      <c r="T3027" s="38" t="s">
        <v>7004</v>
      </c>
      <c r="U3027" s="38"/>
      <c r="V3027" s="38"/>
      <c r="W3027" s="38"/>
      <c r="X3027" s="7"/>
      <c r="Y3027" s="57"/>
      <c r="Z3027" s="7"/>
      <c r="AA3027" s="57"/>
      <c r="AB3027" s="7"/>
      <c r="AC3027" s="57"/>
      <c r="AD3027" s="7"/>
      <c r="AE3027" s="57"/>
      <c r="AF3027" s="7"/>
      <c r="AG3027" s="57"/>
      <c r="AH3027" s="7"/>
      <c r="AI3027" s="57"/>
      <c r="AJ3027" s="7"/>
      <c r="AK3027" s="57"/>
      <c r="AL3027" s="7"/>
      <c r="AN3027" s="7" t="s">
        <v>70</v>
      </c>
      <c r="AO3027" s="21">
        <f t="shared" si="151"/>
        <v>0</v>
      </c>
      <c r="AP3027" s="7">
        <f t="shared" si="150"/>
        <v>21.1</v>
      </c>
      <c r="AQ3027" s="31" t="str">
        <f t="shared" si="152"/>
        <v>Complete - No Adjustment</v>
      </c>
    </row>
    <row r="3028" spans="1:45" x14ac:dyDescent="0.2">
      <c r="A3028" s="46">
        <v>3018</v>
      </c>
      <c r="B3028" s="38" t="s">
        <v>266</v>
      </c>
      <c r="C3028" s="38" t="s">
        <v>2523</v>
      </c>
      <c r="D3028" s="38" t="s">
        <v>2524</v>
      </c>
      <c r="E3028" s="38" t="s">
        <v>7005</v>
      </c>
      <c r="F3028" s="38" t="s">
        <v>7006</v>
      </c>
      <c r="G3028" s="38" t="s">
        <v>111</v>
      </c>
      <c r="H3028" s="44">
        <v>44222</v>
      </c>
      <c r="I3028" s="44">
        <v>44224</v>
      </c>
      <c r="J3028">
        <v>15</v>
      </c>
      <c r="K3028">
        <v>15</v>
      </c>
      <c r="L3028" t="s">
        <v>7007</v>
      </c>
      <c r="M3028" s="45" t="s">
        <v>98</v>
      </c>
      <c r="N3028" s="38" t="s">
        <v>230</v>
      </c>
      <c r="O3028" s="38" t="s">
        <v>397</v>
      </c>
      <c r="P3028" s="38" t="s">
        <v>60</v>
      </c>
      <c r="Q3028" s="38" t="s">
        <v>41</v>
      </c>
      <c r="R3028" s="38" t="s">
        <v>270</v>
      </c>
      <c r="S3028" s="38" t="s">
        <v>7008</v>
      </c>
      <c r="T3028" s="38" t="s">
        <v>7009</v>
      </c>
      <c r="U3028" s="38"/>
      <c r="V3028" s="38"/>
      <c r="W3028" s="38"/>
      <c r="X3028" s="7"/>
      <c r="Y3028" s="57"/>
      <c r="Z3028" s="7"/>
      <c r="AA3028" s="57"/>
      <c r="AB3028" s="7"/>
      <c r="AC3028" s="57"/>
      <c r="AD3028" s="7"/>
      <c r="AE3028" s="57"/>
      <c r="AF3028" s="7"/>
      <c r="AG3028" s="57"/>
      <c r="AH3028" s="7"/>
      <c r="AI3028" s="57"/>
      <c r="AJ3028" s="7"/>
      <c r="AK3028" s="57"/>
      <c r="AL3028" s="7"/>
      <c r="AN3028" s="7" t="s">
        <v>155</v>
      </c>
      <c r="AO3028" s="21">
        <f t="shared" si="151"/>
        <v>0</v>
      </c>
      <c r="AP3028" s="7">
        <f t="shared" si="150"/>
        <v>15</v>
      </c>
      <c r="AQ3028" s="31" t="str">
        <f t="shared" si="152"/>
        <v>Complete - No Adjustment</v>
      </c>
    </row>
    <row r="3029" spans="1:45" x14ac:dyDescent="0.2">
      <c r="A3029" s="46">
        <v>3019</v>
      </c>
      <c r="B3029" s="38" t="s">
        <v>266</v>
      </c>
      <c r="C3029" s="38" t="s">
        <v>428</v>
      </c>
      <c r="D3029" s="38" t="s">
        <v>2570</v>
      </c>
      <c r="E3029" s="38" t="s">
        <v>7010</v>
      </c>
      <c r="F3029" s="38" t="s">
        <v>6805</v>
      </c>
      <c r="G3029" s="38" t="s">
        <v>111</v>
      </c>
      <c r="H3029" s="44">
        <v>44214</v>
      </c>
      <c r="I3029" s="44">
        <v>44216</v>
      </c>
      <c r="J3029">
        <v>180</v>
      </c>
      <c r="K3029">
        <v>54</v>
      </c>
      <c r="L3029" t="s">
        <v>7011</v>
      </c>
      <c r="M3029" s="45" t="s">
        <v>97</v>
      </c>
      <c r="N3029" s="38" t="s">
        <v>230</v>
      </c>
      <c r="O3029" s="38" t="s">
        <v>50</v>
      </c>
      <c r="P3029" s="38" t="s">
        <v>72</v>
      </c>
      <c r="Q3029" s="38" t="s">
        <v>59</v>
      </c>
      <c r="R3029" s="38" t="s">
        <v>270</v>
      </c>
      <c r="S3029" s="38" t="s">
        <v>7012</v>
      </c>
      <c r="T3029" s="38" t="s">
        <v>7013</v>
      </c>
      <c r="U3029" s="38"/>
      <c r="V3029" s="38"/>
      <c r="W3029" s="38"/>
      <c r="X3029" s="7"/>
      <c r="Y3029" s="57"/>
      <c r="Z3029" s="7"/>
      <c r="AA3029" s="57"/>
      <c r="AB3029" s="7"/>
      <c r="AC3029" s="57"/>
      <c r="AD3029" s="7"/>
      <c r="AE3029" s="57"/>
      <c r="AF3029" s="7"/>
      <c r="AG3029" s="57"/>
      <c r="AH3029" s="7"/>
      <c r="AI3029" s="57"/>
      <c r="AJ3029" s="7"/>
      <c r="AK3029" s="57"/>
      <c r="AL3029" s="7"/>
      <c r="AN3029" s="7" t="s">
        <v>70</v>
      </c>
      <c r="AO3029" s="21">
        <f t="shared" si="151"/>
        <v>0</v>
      </c>
      <c r="AP3029" s="7">
        <f t="shared" si="150"/>
        <v>54</v>
      </c>
      <c r="AQ3029" s="31" t="str">
        <f t="shared" si="152"/>
        <v>Complete - No Adjustment</v>
      </c>
    </row>
    <row r="3030" spans="1:45" x14ac:dyDescent="0.2">
      <c r="A3030" s="46">
        <v>3020</v>
      </c>
      <c r="B3030" s="38" t="s">
        <v>266</v>
      </c>
      <c r="C3030" s="38" t="s">
        <v>428</v>
      </c>
      <c r="D3030" s="38" t="s">
        <v>2570</v>
      </c>
      <c r="E3030" s="38" t="s">
        <v>7010</v>
      </c>
      <c r="F3030" s="38" t="s">
        <v>6805</v>
      </c>
      <c r="G3030" s="38" t="s">
        <v>111</v>
      </c>
      <c r="H3030" s="44">
        <v>44214</v>
      </c>
      <c r="I3030" s="44">
        <v>44216</v>
      </c>
      <c r="J3030">
        <v>180</v>
      </c>
      <c r="K3030">
        <v>126</v>
      </c>
      <c r="L3030" t="s">
        <v>7011</v>
      </c>
      <c r="M3030" s="45" t="s">
        <v>98</v>
      </c>
      <c r="N3030" s="38" t="s">
        <v>230</v>
      </c>
      <c r="O3030" s="38" t="s">
        <v>356</v>
      </c>
      <c r="P3030" s="38" t="s">
        <v>60</v>
      </c>
      <c r="Q3030" s="38" t="s">
        <v>59</v>
      </c>
      <c r="R3030" s="38" t="s">
        <v>270</v>
      </c>
      <c r="S3030" s="38" t="s">
        <v>7012</v>
      </c>
      <c r="T3030" s="38" t="s">
        <v>7013</v>
      </c>
      <c r="U3030" s="38"/>
      <c r="V3030" s="38"/>
      <c r="W3030" s="38"/>
      <c r="X3030" s="7"/>
      <c r="Y3030" s="57"/>
      <c r="Z3030" s="7"/>
      <c r="AA3030" s="57"/>
      <c r="AB3030" s="7"/>
      <c r="AC3030" s="57"/>
      <c r="AD3030" s="7"/>
      <c r="AE3030" s="57"/>
      <c r="AF3030" s="7"/>
      <c r="AG3030" s="57"/>
      <c r="AH3030" s="7"/>
      <c r="AI3030" s="57"/>
      <c r="AJ3030" s="7"/>
      <c r="AK3030" s="57"/>
      <c r="AL3030" s="7"/>
      <c r="AN3030" s="7" t="s">
        <v>70</v>
      </c>
      <c r="AO3030" s="21">
        <f t="shared" si="151"/>
        <v>0</v>
      </c>
      <c r="AP3030" s="7">
        <f t="shared" si="150"/>
        <v>126</v>
      </c>
      <c r="AQ3030" s="31" t="str">
        <f t="shared" si="152"/>
        <v>Complete - No Adjustment</v>
      </c>
    </row>
    <row r="3031" spans="1:45" x14ac:dyDescent="0.2">
      <c r="A3031" s="46">
        <v>3021</v>
      </c>
      <c r="B3031" s="38" t="s">
        <v>266</v>
      </c>
      <c r="C3031" s="38" t="s">
        <v>710</v>
      </c>
      <c r="D3031" s="38" t="s">
        <v>709</v>
      </c>
      <c r="E3031" s="38" t="s">
        <v>7014</v>
      </c>
      <c r="F3031" s="38" t="s">
        <v>7015</v>
      </c>
      <c r="G3031" s="38" t="s">
        <v>111</v>
      </c>
      <c r="H3031" s="44">
        <v>44211</v>
      </c>
      <c r="I3031" s="44">
        <v>44215</v>
      </c>
      <c r="J3031">
        <v>12</v>
      </c>
      <c r="K3031">
        <v>12</v>
      </c>
      <c r="L3031" t="s">
        <v>7016</v>
      </c>
      <c r="M3031" s="45" t="s">
        <v>98</v>
      </c>
      <c r="N3031" s="38" t="s">
        <v>230</v>
      </c>
      <c r="O3031" s="38" t="s">
        <v>288</v>
      </c>
      <c r="P3031" s="38" t="s">
        <v>60</v>
      </c>
      <c r="Q3031" s="38" t="s">
        <v>41</v>
      </c>
      <c r="R3031" s="38" t="s">
        <v>270</v>
      </c>
      <c r="S3031" s="38" t="s">
        <v>6124</v>
      </c>
      <c r="T3031" s="38" t="s">
        <v>6125</v>
      </c>
      <c r="U3031" s="38"/>
      <c r="V3031" s="38"/>
      <c r="W3031" s="38"/>
      <c r="X3031" s="7"/>
      <c r="Y3031" s="57"/>
      <c r="Z3031" s="7"/>
      <c r="AA3031" s="57"/>
      <c r="AB3031" s="7"/>
      <c r="AC3031" s="57"/>
      <c r="AD3031" s="7"/>
      <c r="AE3031" s="57"/>
      <c r="AF3031" s="7"/>
      <c r="AG3031" s="57"/>
      <c r="AH3031" s="7"/>
      <c r="AI3031" s="57"/>
      <c r="AJ3031" s="7"/>
      <c r="AK3031" s="57"/>
      <c r="AL3031" s="7"/>
      <c r="AN3031" s="7" t="s">
        <v>155</v>
      </c>
      <c r="AO3031" s="21">
        <f t="shared" si="151"/>
        <v>0</v>
      </c>
      <c r="AP3031" s="7">
        <f t="shared" si="150"/>
        <v>12</v>
      </c>
      <c r="AQ3031" s="31" t="str">
        <f t="shared" si="152"/>
        <v>Complete - No Adjustment</v>
      </c>
    </row>
    <row r="3032" spans="1:45" x14ac:dyDescent="0.2">
      <c r="A3032" s="46">
        <v>3022</v>
      </c>
      <c r="B3032" s="38" t="s">
        <v>266</v>
      </c>
      <c r="C3032" s="38" t="s">
        <v>710</v>
      </c>
      <c r="D3032" s="38" t="s">
        <v>709</v>
      </c>
      <c r="E3032" s="38" t="s">
        <v>7017</v>
      </c>
      <c r="F3032" s="38" t="s">
        <v>6906</v>
      </c>
      <c r="G3032" s="38" t="s">
        <v>111</v>
      </c>
      <c r="H3032" s="44">
        <v>44221</v>
      </c>
      <c r="I3032" s="44">
        <v>44225</v>
      </c>
      <c r="J3032">
        <v>14.88</v>
      </c>
      <c r="K3032">
        <v>14.88</v>
      </c>
      <c r="L3032" t="s">
        <v>7018</v>
      </c>
      <c r="M3032" s="45" t="s">
        <v>98</v>
      </c>
      <c r="N3032" s="38" t="s">
        <v>230</v>
      </c>
      <c r="O3032" s="38" t="s">
        <v>288</v>
      </c>
      <c r="P3032" s="38" t="s">
        <v>60</v>
      </c>
      <c r="Q3032" s="38" t="s">
        <v>41</v>
      </c>
      <c r="R3032" s="38" t="s">
        <v>270</v>
      </c>
      <c r="S3032" s="38" t="s">
        <v>6124</v>
      </c>
      <c r="T3032" s="38" t="s">
        <v>6125</v>
      </c>
      <c r="U3032" s="38"/>
      <c r="V3032" s="38"/>
      <c r="W3032" s="38"/>
      <c r="X3032" s="7"/>
      <c r="Y3032" s="57"/>
      <c r="Z3032" s="7"/>
      <c r="AA3032" s="57"/>
      <c r="AB3032" s="7"/>
      <c r="AC3032" s="57"/>
      <c r="AD3032" s="7"/>
      <c r="AE3032" s="57"/>
      <c r="AF3032" s="7"/>
      <c r="AG3032" s="57"/>
      <c r="AH3032" s="7"/>
      <c r="AI3032" s="57"/>
      <c r="AJ3032" s="7"/>
      <c r="AK3032" s="57"/>
      <c r="AL3032" s="7"/>
      <c r="AN3032" s="7" t="s">
        <v>70</v>
      </c>
      <c r="AO3032" s="21">
        <f t="shared" si="151"/>
        <v>0</v>
      </c>
      <c r="AP3032" s="7">
        <f t="shared" si="150"/>
        <v>14.88</v>
      </c>
      <c r="AQ3032" s="31" t="str">
        <f t="shared" si="152"/>
        <v>Complete - No Adjustment</v>
      </c>
    </row>
    <row r="3033" spans="1:45" x14ac:dyDescent="0.2">
      <c r="A3033" s="46">
        <v>3023</v>
      </c>
      <c r="B3033" s="38" t="s">
        <v>266</v>
      </c>
      <c r="C3033" s="38" t="s">
        <v>433</v>
      </c>
      <c r="D3033" s="38" t="s">
        <v>432</v>
      </c>
      <c r="E3033" s="38" t="s">
        <v>7019</v>
      </c>
      <c r="F3033" s="38" t="s">
        <v>6810</v>
      </c>
      <c r="G3033" s="38" t="s">
        <v>111</v>
      </c>
      <c r="H3033" s="44">
        <v>44209</v>
      </c>
      <c r="I3033" s="44">
        <v>44214</v>
      </c>
      <c r="J3033">
        <v>194.84</v>
      </c>
      <c r="K3033">
        <v>194.84</v>
      </c>
      <c r="L3033" t="s">
        <v>7020</v>
      </c>
      <c r="M3033" s="45" t="s">
        <v>98</v>
      </c>
      <c r="N3033" s="38" t="s">
        <v>230</v>
      </c>
      <c r="O3033" s="38" t="s">
        <v>784</v>
      </c>
      <c r="P3033" s="38" t="s">
        <v>60</v>
      </c>
      <c r="Q3033" s="38" t="s">
        <v>104</v>
      </c>
      <c r="R3033" s="38" t="s">
        <v>270</v>
      </c>
      <c r="S3033" s="38" t="s">
        <v>6985</v>
      </c>
      <c r="T3033" s="38" t="s">
        <v>6986</v>
      </c>
      <c r="U3033" s="38"/>
      <c r="V3033" s="38"/>
      <c r="W3033" s="38"/>
      <c r="X3033" s="7"/>
      <c r="Y3033" s="57"/>
      <c r="Z3033" s="7"/>
      <c r="AA3033" s="57"/>
      <c r="AB3033" s="7"/>
      <c r="AC3033" s="57"/>
      <c r="AD3033" s="7"/>
      <c r="AE3033" s="57"/>
      <c r="AF3033" s="7"/>
      <c r="AG3033" s="57"/>
      <c r="AH3033" s="7"/>
      <c r="AI3033" s="57"/>
      <c r="AJ3033" s="7"/>
      <c r="AK3033" s="57"/>
      <c r="AL3033" s="7"/>
      <c r="AN3033" s="7" t="s">
        <v>70</v>
      </c>
      <c r="AO3033" s="21">
        <f t="shared" si="151"/>
        <v>0</v>
      </c>
      <c r="AP3033" s="7">
        <f t="shared" si="150"/>
        <v>194.84</v>
      </c>
      <c r="AQ3033" s="31" t="str">
        <f t="shared" si="152"/>
        <v>Complete - No Adjustment</v>
      </c>
    </row>
    <row r="3034" spans="1:45" x14ac:dyDescent="0.2">
      <c r="A3034" s="46">
        <v>3024</v>
      </c>
      <c r="B3034" s="38" t="s">
        <v>266</v>
      </c>
      <c r="C3034" s="38" t="s">
        <v>7021</v>
      </c>
      <c r="D3034" s="38" t="s">
        <v>7022</v>
      </c>
      <c r="E3034" s="38" t="s">
        <v>7023</v>
      </c>
      <c r="F3034" s="38" t="s">
        <v>6759</v>
      </c>
      <c r="G3034" s="38" t="s">
        <v>111</v>
      </c>
      <c r="H3034" s="44">
        <v>44209</v>
      </c>
      <c r="I3034" s="44">
        <v>44223</v>
      </c>
      <c r="J3034">
        <v>169.25</v>
      </c>
      <c r="K3034">
        <v>169.25</v>
      </c>
      <c r="L3034" t="s">
        <v>7024</v>
      </c>
      <c r="M3034" s="45" t="s">
        <v>98</v>
      </c>
      <c r="N3034" s="38" t="s">
        <v>230</v>
      </c>
      <c r="O3034" s="38" t="s">
        <v>426</v>
      </c>
      <c r="P3034" s="38" t="s">
        <v>60</v>
      </c>
      <c r="Q3034" s="38" t="s">
        <v>104</v>
      </c>
      <c r="R3034" s="38" t="s">
        <v>270</v>
      </c>
      <c r="S3034" s="38" t="s">
        <v>7025</v>
      </c>
      <c r="T3034" s="38" t="s">
        <v>7026</v>
      </c>
      <c r="U3034" s="38"/>
      <c r="V3034" s="38"/>
      <c r="W3034" s="38"/>
      <c r="X3034" s="7"/>
      <c r="Y3034" s="57"/>
      <c r="Z3034" s="7"/>
      <c r="AA3034" s="57"/>
      <c r="AB3034" s="7"/>
      <c r="AC3034" s="57"/>
      <c r="AD3034" s="7"/>
      <c r="AE3034" s="57"/>
      <c r="AF3034" s="7"/>
      <c r="AG3034" s="57"/>
      <c r="AH3034" s="7"/>
      <c r="AI3034" s="57"/>
      <c r="AJ3034" s="7"/>
      <c r="AK3034" s="57"/>
      <c r="AL3034" s="7"/>
      <c r="AN3034" s="7" t="s">
        <v>70</v>
      </c>
      <c r="AO3034" s="21">
        <f t="shared" si="151"/>
        <v>0</v>
      </c>
      <c r="AP3034" s="7">
        <f t="shared" si="150"/>
        <v>169.25</v>
      </c>
      <c r="AQ3034" s="31" t="str">
        <f t="shared" si="152"/>
        <v>Complete - No Adjustment</v>
      </c>
    </row>
    <row r="3035" spans="1:45" x14ac:dyDescent="0.2">
      <c r="A3035" s="46">
        <v>3025</v>
      </c>
      <c r="B3035" s="38" t="s">
        <v>266</v>
      </c>
      <c r="C3035" s="38" t="s">
        <v>846</v>
      </c>
      <c r="D3035" s="38" t="s">
        <v>847</v>
      </c>
      <c r="E3035" s="38" t="s">
        <v>7027</v>
      </c>
      <c r="F3035" s="38" t="s">
        <v>6932</v>
      </c>
      <c r="G3035" s="38" t="s">
        <v>111</v>
      </c>
      <c r="H3035" s="44">
        <v>44196</v>
      </c>
      <c r="I3035" s="44">
        <v>44202</v>
      </c>
      <c r="J3035">
        <v>278.3</v>
      </c>
      <c r="K3035">
        <v>278.3</v>
      </c>
      <c r="L3035" t="s">
        <v>7028</v>
      </c>
      <c r="M3035" s="45" t="s">
        <v>98</v>
      </c>
      <c r="N3035" s="38" t="s">
        <v>230</v>
      </c>
      <c r="O3035" s="38" t="s">
        <v>314</v>
      </c>
      <c r="P3035" s="38" t="s">
        <v>60</v>
      </c>
      <c r="Q3035" s="38" t="s">
        <v>44</v>
      </c>
      <c r="R3035" s="38" t="s">
        <v>270</v>
      </c>
      <c r="S3035" s="38" t="s">
        <v>4029</v>
      </c>
      <c r="T3035" s="38" t="s">
        <v>4030</v>
      </c>
      <c r="U3035" s="38"/>
      <c r="V3035" s="38"/>
      <c r="W3035" s="38"/>
      <c r="X3035" s="7"/>
      <c r="Y3035" s="57"/>
      <c r="Z3035" s="7"/>
      <c r="AA3035" s="57"/>
      <c r="AB3035" s="7"/>
      <c r="AC3035" s="57"/>
      <c r="AD3035" s="7"/>
      <c r="AE3035" s="57"/>
      <c r="AF3035" s="7"/>
      <c r="AG3035" s="57"/>
      <c r="AH3035" s="7"/>
      <c r="AI3035" s="57"/>
      <c r="AJ3035" s="7"/>
      <c r="AK3035" s="57"/>
      <c r="AL3035" s="7"/>
      <c r="AN3035" s="7" t="s">
        <v>70</v>
      </c>
      <c r="AO3035" s="21">
        <f t="shared" si="151"/>
        <v>0</v>
      </c>
      <c r="AP3035" s="7">
        <f t="shared" si="150"/>
        <v>278.3</v>
      </c>
      <c r="AQ3035" s="31" t="str">
        <f t="shared" si="152"/>
        <v>Complete - No Adjustment</v>
      </c>
    </row>
    <row r="3036" spans="1:45" x14ac:dyDescent="0.2">
      <c r="A3036" s="46">
        <v>3026</v>
      </c>
      <c r="B3036" s="38" t="s">
        <v>266</v>
      </c>
      <c r="C3036" s="38" t="s">
        <v>771</v>
      </c>
      <c r="D3036" s="38" t="s">
        <v>770</v>
      </c>
      <c r="E3036" s="38" t="s">
        <v>7029</v>
      </c>
      <c r="F3036" s="38" t="s">
        <v>7006</v>
      </c>
      <c r="G3036" s="38" t="s">
        <v>111</v>
      </c>
      <c r="H3036" s="44">
        <v>44222</v>
      </c>
      <c r="I3036" s="44">
        <v>44224</v>
      </c>
      <c r="J3036">
        <v>199.26</v>
      </c>
      <c r="K3036">
        <v>149.44</v>
      </c>
      <c r="L3036" t="s">
        <v>7030</v>
      </c>
      <c r="M3036" s="45" t="s">
        <v>98</v>
      </c>
      <c r="N3036" s="38" t="s">
        <v>230</v>
      </c>
      <c r="O3036" s="38" t="s">
        <v>642</v>
      </c>
      <c r="P3036" s="38" t="s">
        <v>60</v>
      </c>
      <c r="Q3036" s="38" t="s">
        <v>104</v>
      </c>
      <c r="R3036" s="38" t="s">
        <v>270</v>
      </c>
      <c r="S3036" s="38" t="s">
        <v>7031</v>
      </c>
      <c r="T3036" s="38" t="s">
        <v>7032</v>
      </c>
      <c r="U3036" s="38"/>
      <c r="V3036" s="38"/>
      <c r="W3036" s="38"/>
      <c r="X3036" s="7"/>
      <c r="Y3036" s="57"/>
      <c r="Z3036" s="7"/>
      <c r="AA3036" s="57"/>
      <c r="AB3036" s="7"/>
      <c r="AC3036" s="57"/>
      <c r="AD3036" s="7"/>
      <c r="AE3036" s="57"/>
      <c r="AF3036" s="7"/>
      <c r="AG3036" s="57"/>
      <c r="AH3036" s="7"/>
      <c r="AI3036" s="57"/>
      <c r="AJ3036" s="7"/>
      <c r="AK3036" s="57"/>
      <c r="AL3036" s="7"/>
      <c r="AN3036" s="7" t="s">
        <v>70</v>
      </c>
      <c r="AO3036" s="21">
        <f t="shared" si="151"/>
        <v>0</v>
      </c>
      <c r="AP3036" s="7">
        <f t="shared" si="150"/>
        <v>149.44</v>
      </c>
      <c r="AQ3036" s="31" t="str">
        <f t="shared" si="152"/>
        <v>Complete - No Adjustment</v>
      </c>
    </row>
    <row r="3037" spans="1:45" x14ac:dyDescent="0.2">
      <c r="A3037" s="46">
        <v>3027</v>
      </c>
      <c r="B3037" s="38" t="s">
        <v>266</v>
      </c>
      <c r="C3037" s="38" t="s">
        <v>443</v>
      </c>
      <c r="D3037" s="38" t="s">
        <v>442</v>
      </c>
      <c r="E3037" s="38" t="s">
        <v>7033</v>
      </c>
      <c r="F3037" s="38" t="s">
        <v>6932</v>
      </c>
      <c r="G3037" s="38" t="s">
        <v>111</v>
      </c>
      <c r="H3037" s="44">
        <v>44180</v>
      </c>
      <c r="I3037" s="44">
        <v>44202</v>
      </c>
      <c r="J3037">
        <v>20</v>
      </c>
      <c r="K3037">
        <v>20</v>
      </c>
      <c r="L3037" t="s">
        <v>7034</v>
      </c>
      <c r="M3037" s="45" t="s">
        <v>98</v>
      </c>
      <c r="N3037" s="38" t="s">
        <v>230</v>
      </c>
      <c r="O3037" s="38" t="s">
        <v>444</v>
      </c>
      <c r="P3037" s="38" t="s">
        <v>60</v>
      </c>
      <c r="Q3037" s="38" t="s">
        <v>41</v>
      </c>
      <c r="R3037" s="38" t="s">
        <v>270</v>
      </c>
      <c r="S3037" s="38" t="s">
        <v>7035</v>
      </c>
      <c r="T3037" s="38" t="s">
        <v>7036</v>
      </c>
      <c r="U3037" s="38"/>
      <c r="V3037" s="38"/>
      <c r="W3037" s="38"/>
      <c r="X3037" s="7"/>
      <c r="Y3037" s="57"/>
      <c r="Z3037" s="7"/>
      <c r="AA3037" s="57"/>
      <c r="AB3037" s="7"/>
      <c r="AC3037" s="57"/>
      <c r="AD3037" s="7"/>
      <c r="AE3037" s="57"/>
      <c r="AF3037" s="7"/>
      <c r="AG3037" s="57"/>
      <c r="AH3037" s="7"/>
      <c r="AI3037" s="57">
        <f>20</f>
        <v>20</v>
      </c>
      <c r="AJ3037" s="7"/>
      <c r="AK3037" s="57"/>
      <c r="AL3037" s="7"/>
      <c r="AN3037" s="7" t="s">
        <v>145</v>
      </c>
      <c r="AO3037" s="21">
        <f t="shared" si="151"/>
        <v>20</v>
      </c>
      <c r="AP3037" s="7">
        <f t="shared" si="150"/>
        <v>0</v>
      </c>
      <c r="AQ3037" s="31" t="str">
        <f t="shared" si="152"/>
        <v>Complete - With Adjustment</v>
      </c>
    </row>
    <row r="3038" spans="1:45" x14ac:dyDescent="0.2">
      <c r="A3038" s="46">
        <v>3028</v>
      </c>
      <c r="B3038" s="38" t="s">
        <v>266</v>
      </c>
      <c r="C3038" s="38" t="s">
        <v>827</v>
      </c>
      <c r="D3038" s="38" t="s">
        <v>828</v>
      </c>
      <c r="E3038" s="38" t="s">
        <v>7037</v>
      </c>
      <c r="F3038" s="38" t="s">
        <v>6833</v>
      </c>
      <c r="G3038" s="38" t="s">
        <v>111</v>
      </c>
      <c r="H3038" s="44">
        <v>44216</v>
      </c>
      <c r="I3038" s="44">
        <v>44222</v>
      </c>
      <c r="J3038">
        <v>410.8</v>
      </c>
      <c r="K3038">
        <v>410.8</v>
      </c>
      <c r="L3038" t="s">
        <v>7038</v>
      </c>
      <c r="M3038" s="45" t="s">
        <v>98</v>
      </c>
      <c r="N3038" s="38" t="s">
        <v>230</v>
      </c>
      <c r="O3038" s="38" t="s">
        <v>271</v>
      </c>
      <c r="P3038" s="38" t="s">
        <v>60</v>
      </c>
      <c r="Q3038" s="38" t="s">
        <v>56</v>
      </c>
      <c r="R3038" s="38" t="s">
        <v>270</v>
      </c>
      <c r="S3038" s="38" t="s">
        <v>7039</v>
      </c>
      <c r="T3038" s="38" t="s">
        <v>7040</v>
      </c>
      <c r="U3038" s="38"/>
      <c r="V3038" s="38"/>
      <c r="W3038" s="38"/>
      <c r="X3038" s="7"/>
      <c r="Y3038" s="57"/>
      <c r="Z3038" s="7"/>
      <c r="AA3038" s="57"/>
      <c r="AB3038" s="7"/>
      <c r="AC3038" s="57"/>
      <c r="AD3038" s="7"/>
      <c r="AE3038" s="57"/>
      <c r="AF3038" s="7"/>
      <c r="AG3038" s="57"/>
      <c r="AH3038" s="7"/>
      <c r="AI3038" s="57"/>
      <c r="AJ3038" s="7"/>
      <c r="AK3038" s="57"/>
      <c r="AL3038" s="7"/>
      <c r="AN3038" s="7" t="s">
        <v>70</v>
      </c>
      <c r="AO3038" s="21">
        <f t="shared" si="151"/>
        <v>0</v>
      </c>
      <c r="AP3038" s="7">
        <f t="shared" si="150"/>
        <v>410.8</v>
      </c>
      <c r="AQ3038" s="31" t="str">
        <f t="shared" si="152"/>
        <v>Complete - No Adjustment</v>
      </c>
    </row>
    <row r="3039" spans="1:45" x14ac:dyDescent="0.2">
      <c r="A3039" s="46">
        <v>3029</v>
      </c>
      <c r="B3039" s="38" t="s">
        <v>266</v>
      </c>
      <c r="C3039" s="38" t="s">
        <v>446</v>
      </c>
      <c r="D3039" s="38" t="s">
        <v>445</v>
      </c>
      <c r="E3039" s="38" t="s">
        <v>7041</v>
      </c>
      <c r="F3039" s="38" t="s">
        <v>6833</v>
      </c>
      <c r="G3039" s="38" t="s">
        <v>111</v>
      </c>
      <c r="H3039" s="44">
        <v>44219</v>
      </c>
      <c r="I3039" s="44">
        <v>44222</v>
      </c>
      <c r="J3039">
        <v>206.99</v>
      </c>
      <c r="K3039">
        <v>182</v>
      </c>
      <c r="L3039" t="s">
        <v>7042</v>
      </c>
      <c r="M3039" s="45" t="s">
        <v>97</v>
      </c>
      <c r="N3039" s="38" t="s">
        <v>230</v>
      </c>
      <c r="O3039" s="38" t="s">
        <v>293</v>
      </c>
      <c r="P3039" s="38" t="s">
        <v>42</v>
      </c>
      <c r="Q3039" s="38" t="s">
        <v>63</v>
      </c>
      <c r="R3039" s="38" t="s">
        <v>270</v>
      </c>
      <c r="S3039" s="38" t="s">
        <v>7043</v>
      </c>
      <c r="T3039" s="38" t="s">
        <v>7044</v>
      </c>
      <c r="U3039" s="38"/>
      <c r="V3039" s="38"/>
      <c r="W3039" s="38"/>
      <c r="X3039" s="7"/>
      <c r="Y3039" s="57"/>
      <c r="Z3039" s="7"/>
      <c r="AA3039" s="57"/>
      <c r="AB3039" s="7"/>
      <c r="AC3039" s="57"/>
      <c r="AD3039" s="7"/>
      <c r="AE3039" s="57"/>
      <c r="AF3039" s="7"/>
      <c r="AG3039" s="57"/>
      <c r="AH3039" s="7"/>
      <c r="AI3039" s="57">
        <f>182</f>
        <v>182</v>
      </c>
      <c r="AJ3039" s="7"/>
      <c r="AK3039" s="57"/>
      <c r="AL3039" s="7"/>
      <c r="AN3039" s="7" t="s">
        <v>145</v>
      </c>
      <c r="AO3039" s="21">
        <f t="shared" si="151"/>
        <v>182</v>
      </c>
      <c r="AP3039" s="7">
        <f t="shared" si="150"/>
        <v>0</v>
      </c>
      <c r="AQ3039" s="31" t="str">
        <f t="shared" si="152"/>
        <v>Complete - With Adjustment</v>
      </c>
    </row>
    <row r="3040" spans="1:45" x14ac:dyDescent="0.2">
      <c r="A3040" s="46">
        <v>3030</v>
      </c>
      <c r="B3040" s="38" t="s">
        <v>266</v>
      </c>
      <c r="C3040" s="38" t="s">
        <v>446</v>
      </c>
      <c r="D3040" s="38" t="s">
        <v>445</v>
      </c>
      <c r="E3040" s="38" t="s">
        <v>7041</v>
      </c>
      <c r="F3040" s="38" t="s">
        <v>6833</v>
      </c>
      <c r="G3040" s="38" t="s">
        <v>111</v>
      </c>
      <c r="H3040" s="44">
        <v>44219</v>
      </c>
      <c r="I3040" s="44">
        <v>44222</v>
      </c>
      <c r="J3040">
        <v>206.99</v>
      </c>
      <c r="K3040">
        <v>20</v>
      </c>
      <c r="L3040" t="s">
        <v>7042</v>
      </c>
      <c r="M3040" s="45" t="s">
        <v>98</v>
      </c>
      <c r="N3040" s="38" t="s">
        <v>230</v>
      </c>
      <c r="O3040" s="38" t="s">
        <v>293</v>
      </c>
      <c r="P3040" s="38" t="s">
        <v>60</v>
      </c>
      <c r="Q3040" s="38" t="s">
        <v>79</v>
      </c>
      <c r="R3040" s="38" t="s">
        <v>270</v>
      </c>
      <c r="S3040" s="38" t="s">
        <v>7043</v>
      </c>
      <c r="T3040" s="38" t="s">
        <v>7045</v>
      </c>
      <c r="U3040" s="38"/>
      <c r="V3040" s="38"/>
      <c r="W3040" s="38"/>
      <c r="X3040" s="7"/>
      <c r="Y3040" s="57"/>
      <c r="Z3040" s="7"/>
      <c r="AA3040" s="57"/>
      <c r="AB3040" s="7"/>
      <c r="AC3040" s="57"/>
      <c r="AD3040" s="7"/>
      <c r="AE3040" s="57"/>
      <c r="AF3040" s="7"/>
      <c r="AG3040" s="57"/>
      <c r="AH3040" s="7"/>
      <c r="AI3040" s="57"/>
      <c r="AJ3040" s="7"/>
      <c r="AK3040" s="57"/>
      <c r="AL3040" s="7"/>
      <c r="AN3040" s="7" t="s">
        <v>70</v>
      </c>
      <c r="AO3040" s="21">
        <f t="shared" si="151"/>
        <v>0</v>
      </c>
      <c r="AP3040" s="7">
        <f t="shared" si="150"/>
        <v>20</v>
      </c>
      <c r="AQ3040" s="31" t="str">
        <f t="shared" si="152"/>
        <v>Complete - No Adjustment</v>
      </c>
    </row>
    <row r="3041" spans="1:43" x14ac:dyDescent="0.2">
      <c r="A3041" s="46">
        <v>3031</v>
      </c>
      <c r="B3041" s="38" t="s">
        <v>266</v>
      </c>
      <c r="C3041" s="38" t="s">
        <v>446</v>
      </c>
      <c r="D3041" s="38" t="s">
        <v>445</v>
      </c>
      <c r="E3041" s="38" t="s">
        <v>7041</v>
      </c>
      <c r="F3041" s="38" t="s">
        <v>6833</v>
      </c>
      <c r="G3041" s="38" t="s">
        <v>111</v>
      </c>
      <c r="H3041" s="44">
        <v>44219</v>
      </c>
      <c r="I3041" s="44">
        <v>44222</v>
      </c>
      <c r="J3041">
        <v>206.99</v>
      </c>
      <c r="K3041">
        <v>4.99</v>
      </c>
      <c r="L3041" t="s">
        <v>7042</v>
      </c>
      <c r="M3041" s="45" t="s">
        <v>98</v>
      </c>
      <c r="N3041" s="38" t="s">
        <v>230</v>
      </c>
      <c r="O3041" s="38" t="s">
        <v>293</v>
      </c>
      <c r="P3041" s="38" t="s">
        <v>60</v>
      </c>
      <c r="Q3041" s="38" t="s">
        <v>79</v>
      </c>
      <c r="R3041" s="38" t="s">
        <v>270</v>
      </c>
      <c r="S3041" s="38" t="s">
        <v>7043</v>
      </c>
      <c r="T3041" s="38" t="s">
        <v>812</v>
      </c>
      <c r="U3041" s="38"/>
      <c r="V3041" s="38"/>
      <c r="W3041" s="38"/>
      <c r="X3041" s="7"/>
      <c r="Y3041" s="57"/>
      <c r="Z3041" s="7"/>
      <c r="AA3041" s="57"/>
      <c r="AB3041" s="7"/>
      <c r="AC3041" s="57"/>
      <c r="AD3041" s="7"/>
      <c r="AE3041" s="57"/>
      <c r="AF3041" s="7"/>
      <c r="AG3041" s="57"/>
      <c r="AH3041" s="7"/>
      <c r="AI3041" s="57"/>
      <c r="AJ3041" s="7"/>
      <c r="AK3041" s="57"/>
      <c r="AL3041" s="7"/>
      <c r="AN3041" s="7" t="s">
        <v>70</v>
      </c>
      <c r="AO3041" s="21">
        <f t="shared" si="151"/>
        <v>0</v>
      </c>
      <c r="AP3041" s="7">
        <f t="shared" si="150"/>
        <v>4.99</v>
      </c>
      <c r="AQ3041" s="31" t="str">
        <f t="shared" si="152"/>
        <v>Complete - No Adjustment</v>
      </c>
    </row>
    <row r="3042" spans="1:43" x14ac:dyDescent="0.2">
      <c r="A3042" s="46">
        <v>3032</v>
      </c>
      <c r="B3042" s="38" t="s">
        <v>266</v>
      </c>
      <c r="C3042" s="38" t="s">
        <v>618</v>
      </c>
      <c r="D3042" s="38" t="s">
        <v>617</v>
      </c>
      <c r="E3042" s="38" t="s">
        <v>7046</v>
      </c>
      <c r="F3042" s="38" t="s">
        <v>6836</v>
      </c>
      <c r="G3042" s="38" t="s">
        <v>111</v>
      </c>
      <c r="H3042" s="44">
        <v>44199</v>
      </c>
      <c r="I3042" s="44">
        <v>44203</v>
      </c>
      <c r="J3042">
        <v>693.41</v>
      </c>
      <c r="K3042">
        <v>70.31</v>
      </c>
      <c r="L3042" t="s">
        <v>7047</v>
      </c>
      <c r="M3042" s="45" t="s">
        <v>98</v>
      </c>
      <c r="N3042" s="38" t="s">
        <v>230</v>
      </c>
      <c r="O3042" s="38" t="s">
        <v>444</v>
      </c>
      <c r="P3042" s="38" t="s">
        <v>60</v>
      </c>
      <c r="Q3042" s="38" t="s">
        <v>74</v>
      </c>
      <c r="R3042" s="38" t="s">
        <v>270</v>
      </c>
      <c r="S3042" s="38" t="s">
        <v>7048</v>
      </c>
      <c r="T3042" s="38" t="s">
        <v>7049</v>
      </c>
      <c r="U3042" s="38"/>
      <c r="V3042" s="38"/>
      <c r="W3042" s="38"/>
      <c r="X3042" s="7"/>
      <c r="Y3042" s="57"/>
      <c r="Z3042" s="7"/>
      <c r="AA3042" s="57"/>
      <c r="AB3042" s="7"/>
      <c r="AC3042" s="57"/>
      <c r="AD3042" s="7"/>
      <c r="AE3042" s="57"/>
      <c r="AF3042" s="7"/>
      <c r="AG3042" s="57"/>
      <c r="AH3042" s="7"/>
      <c r="AI3042" s="57"/>
      <c r="AJ3042" s="7"/>
      <c r="AK3042" s="57"/>
      <c r="AL3042" s="7"/>
      <c r="AN3042" s="7" t="s">
        <v>70</v>
      </c>
      <c r="AO3042" s="21">
        <f t="shared" si="151"/>
        <v>0</v>
      </c>
      <c r="AP3042" s="7">
        <f t="shared" si="150"/>
        <v>70.31</v>
      </c>
      <c r="AQ3042" s="31" t="str">
        <f t="shared" si="152"/>
        <v>Complete - No Adjustment</v>
      </c>
    </row>
    <row r="3043" spans="1:43" x14ac:dyDescent="0.2">
      <c r="A3043" s="46">
        <v>3033</v>
      </c>
      <c r="B3043" s="38" t="s">
        <v>266</v>
      </c>
      <c r="C3043" s="38" t="s">
        <v>618</v>
      </c>
      <c r="D3043" s="38" t="s">
        <v>617</v>
      </c>
      <c r="E3043" s="38" t="s">
        <v>7046</v>
      </c>
      <c r="F3043" s="38" t="s">
        <v>6836</v>
      </c>
      <c r="G3043" s="38" t="s">
        <v>111</v>
      </c>
      <c r="H3043" s="44">
        <v>44199</v>
      </c>
      <c r="I3043" s="44">
        <v>44203</v>
      </c>
      <c r="J3043">
        <v>693.41</v>
      </c>
      <c r="K3043">
        <v>15</v>
      </c>
      <c r="L3043" t="s">
        <v>7047</v>
      </c>
      <c r="M3043" s="45" t="s">
        <v>98</v>
      </c>
      <c r="N3043" s="38" t="s">
        <v>230</v>
      </c>
      <c r="O3043" s="38" t="s">
        <v>444</v>
      </c>
      <c r="P3043" s="38" t="s">
        <v>60</v>
      </c>
      <c r="Q3043" s="38" t="s">
        <v>41</v>
      </c>
      <c r="R3043" s="38" t="s">
        <v>270</v>
      </c>
      <c r="S3043" s="38" t="s">
        <v>7048</v>
      </c>
      <c r="T3043" s="38" t="s">
        <v>7050</v>
      </c>
      <c r="U3043" s="38"/>
      <c r="V3043" s="38"/>
      <c r="W3043" s="38"/>
      <c r="X3043" s="7"/>
      <c r="Y3043" s="57"/>
      <c r="Z3043" s="7"/>
      <c r="AA3043" s="57"/>
      <c r="AB3043" s="7"/>
      <c r="AC3043" s="57"/>
      <c r="AD3043" s="7"/>
      <c r="AE3043" s="57"/>
      <c r="AF3043" s="7"/>
      <c r="AG3043" s="57"/>
      <c r="AH3043" s="7"/>
      <c r="AI3043" s="57">
        <f>15</f>
        <v>15</v>
      </c>
      <c r="AJ3043" s="7"/>
      <c r="AK3043" s="57"/>
      <c r="AL3043" s="7"/>
      <c r="AN3043" s="7" t="s">
        <v>145</v>
      </c>
      <c r="AO3043" s="21">
        <f t="shared" si="151"/>
        <v>15</v>
      </c>
      <c r="AP3043" s="7">
        <f t="shared" si="150"/>
        <v>0</v>
      </c>
      <c r="AQ3043" s="31" t="str">
        <f t="shared" si="152"/>
        <v>Complete - With Adjustment</v>
      </c>
    </row>
    <row r="3044" spans="1:43" x14ac:dyDescent="0.2">
      <c r="A3044" s="46">
        <v>3034</v>
      </c>
      <c r="B3044" s="38" t="s">
        <v>266</v>
      </c>
      <c r="C3044" s="38" t="s">
        <v>618</v>
      </c>
      <c r="D3044" s="38" t="s">
        <v>617</v>
      </c>
      <c r="E3044" s="38" t="s">
        <v>7046</v>
      </c>
      <c r="F3044" s="38" t="s">
        <v>6836</v>
      </c>
      <c r="G3044" s="38" t="s">
        <v>111</v>
      </c>
      <c r="H3044" s="44">
        <v>44199</v>
      </c>
      <c r="I3044" s="44">
        <v>44203</v>
      </c>
      <c r="J3044">
        <v>693.41</v>
      </c>
      <c r="K3044">
        <v>194.73</v>
      </c>
      <c r="L3044" t="s">
        <v>7047</v>
      </c>
      <c r="M3044" s="45" t="s">
        <v>98</v>
      </c>
      <c r="N3044" s="38" t="s">
        <v>230</v>
      </c>
      <c r="O3044" s="38" t="s">
        <v>444</v>
      </c>
      <c r="P3044" s="38" t="s">
        <v>60</v>
      </c>
      <c r="Q3044" s="38" t="s">
        <v>62</v>
      </c>
      <c r="R3044" s="38" t="s">
        <v>270</v>
      </c>
      <c r="S3044" s="38" t="s">
        <v>7048</v>
      </c>
      <c r="T3044" s="38" t="s">
        <v>7051</v>
      </c>
      <c r="U3044" s="38"/>
      <c r="V3044" s="38"/>
      <c r="W3044" s="38"/>
      <c r="X3044" s="7"/>
      <c r="Y3044" s="57"/>
      <c r="Z3044" s="7"/>
      <c r="AA3044" s="57"/>
      <c r="AB3044" s="7"/>
      <c r="AC3044" s="57"/>
      <c r="AD3044" s="7"/>
      <c r="AE3044" s="57"/>
      <c r="AF3044" s="7"/>
      <c r="AG3044" s="57"/>
      <c r="AH3044" s="7"/>
      <c r="AI3044" s="57"/>
      <c r="AJ3044" s="7"/>
      <c r="AK3044" s="57"/>
      <c r="AL3044" s="7"/>
      <c r="AN3044" s="7" t="s">
        <v>70</v>
      </c>
      <c r="AO3044" s="21">
        <f t="shared" si="151"/>
        <v>0</v>
      </c>
      <c r="AP3044" s="7">
        <f t="shared" si="150"/>
        <v>194.73</v>
      </c>
      <c r="AQ3044" s="31" t="str">
        <f t="shared" si="152"/>
        <v>Complete - No Adjustment</v>
      </c>
    </row>
    <row r="3045" spans="1:43" x14ac:dyDescent="0.2">
      <c r="A3045" s="46">
        <v>3035</v>
      </c>
      <c r="B3045" s="38" t="s">
        <v>266</v>
      </c>
      <c r="C3045" s="38" t="s">
        <v>618</v>
      </c>
      <c r="D3045" s="38" t="s">
        <v>617</v>
      </c>
      <c r="E3045" s="38" t="s">
        <v>7046</v>
      </c>
      <c r="F3045" s="38" t="s">
        <v>6836</v>
      </c>
      <c r="G3045" s="38" t="s">
        <v>111</v>
      </c>
      <c r="H3045" s="44">
        <v>44199</v>
      </c>
      <c r="I3045" s="44">
        <v>44203</v>
      </c>
      <c r="J3045">
        <v>693.41</v>
      </c>
      <c r="K3045">
        <v>26.94</v>
      </c>
      <c r="L3045" t="s">
        <v>7047</v>
      </c>
      <c r="M3045" s="45" t="s">
        <v>98</v>
      </c>
      <c r="N3045" s="38" t="s">
        <v>230</v>
      </c>
      <c r="O3045" s="38" t="s">
        <v>444</v>
      </c>
      <c r="P3045" s="38" t="s">
        <v>60</v>
      </c>
      <c r="Q3045" s="38" t="s">
        <v>62</v>
      </c>
      <c r="R3045" s="38" t="s">
        <v>270</v>
      </c>
      <c r="S3045" s="38" t="s">
        <v>7048</v>
      </c>
      <c r="T3045" s="38" t="s">
        <v>7052</v>
      </c>
      <c r="U3045" s="38"/>
      <c r="V3045" s="38"/>
      <c r="W3045" s="38"/>
      <c r="X3045" s="7"/>
      <c r="Y3045" s="57"/>
      <c r="Z3045" s="7"/>
      <c r="AA3045" s="57"/>
      <c r="AB3045" s="7"/>
      <c r="AC3045" s="57"/>
      <c r="AD3045" s="7"/>
      <c r="AE3045" s="57"/>
      <c r="AF3045" s="7"/>
      <c r="AG3045" s="57"/>
      <c r="AH3045" s="7"/>
      <c r="AI3045" s="57"/>
      <c r="AJ3045" s="7"/>
      <c r="AK3045" s="57"/>
      <c r="AL3045" s="7"/>
      <c r="AN3045" s="7" t="s">
        <v>70</v>
      </c>
      <c r="AO3045" s="21">
        <f t="shared" si="151"/>
        <v>0</v>
      </c>
      <c r="AP3045" s="7">
        <f t="shared" si="150"/>
        <v>26.94</v>
      </c>
      <c r="AQ3045" s="31" t="str">
        <f t="shared" si="152"/>
        <v>Complete - No Adjustment</v>
      </c>
    </row>
    <row r="3046" spans="1:43" x14ac:dyDescent="0.2">
      <c r="A3046" s="46">
        <v>3036</v>
      </c>
      <c r="B3046" s="38" t="s">
        <v>266</v>
      </c>
      <c r="C3046" s="38" t="s">
        <v>618</v>
      </c>
      <c r="D3046" s="38" t="s">
        <v>617</v>
      </c>
      <c r="E3046" s="38" t="s">
        <v>7046</v>
      </c>
      <c r="F3046" s="38" t="s">
        <v>6836</v>
      </c>
      <c r="G3046" s="38" t="s">
        <v>111</v>
      </c>
      <c r="H3046" s="44">
        <v>44199</v>
      </c>
      <c r="I3046" s="44">
        <v>44203</v>
      </c>
      <c r="J3046">
        <v>693.41</v>
      </c>
      <c r="K3046">
        <v>26.94</v>
      </c>
      <c r="L3046" t="s">
        <v>7047</v>
      </c>
      <c r="M3046" s="45" t="s">
        <v>98</v>
      </c>
      <c r="N3046" s="38" t="s">
        <v>230</v>
      </c>
      <c r="O3046" s="38" t="s">
        <v>444</v>
      </c>
      <c r="P3046" s="38" t="s">
        <v>60</v>
      </c>
      <c r="Q3046" s="38" t="s">
        <v>62</v>
      </c>
      <c r="R3046" s="38" t="s">
        <v>270</v>
      </c>
      <c r="S3046" s="38" t="s">
        <v>7048</v>
      </c>
      <c r="T3046" s="38" t="s">
        <v>7053</v>
      </c>
      <c r="U3046" s="38"/>
      <c r="V3046" s="38"/>
      <c r="W3046" s="38"/>
      <c r="X3046" s="7"/>
      <c r="Y3046" s="57"/>
      <c r="Z3046" s="7"/>
      <c r="AA3046" s="57"/>
      <c r="AB3046" s="7"/>
      <c r="AC3046" s="57"/>
      <c r="AD3046" s="7"/>
      <c r="AE3046" s="57"/>
      <c r="AF3046" s="7"/>
      <c r="AG3046" s="57"/>
      <c r="AH3046" s="7"/>
      <c r="AI3046" s="57"/>
      <c r="AJ3046" s="7"/>
      <c r="AK3046" s="57"/>
      <c r="AL3046" s="7"/>
      <c r="AN3046" s="7" t="s">
        <v>70</v>
      </c>
      <c r="AO3046" s="21">
        <f t="shared" si="151"/>
        <v>0</v>
      </c>
      <c r="AP3046" s="7">
        <f t="shared" si="150"/>
        <v>26.94</v>
      </c>
      <c r="AQ3046" s="31" t="str">
        <f t="shared" si="152"/>
        <v>Complete - No Adjustment</v>
      </c>
    </row>
    <row r="3047" spans="1:43" x14ac:dyDescent="0.2">
      <c r="A3047" s="46">
        <v>3037</v>
      </c>
      <c r="B3047" s="38" t="s">
        <v>266</v>
      </c>
      <c r="C3047" s="38" t="s">
        <v>618</v>
      </c>
      <c r="D3047" s="38" t="s">
        <v>617</v>
      </c>
      <c r="E3047" s="38" t="s">
        <v>7046</v>
      </c>
      <c r="F3047" s="38" t="s">
        <v>6836</v>
      </c>
      <c r="G3047" s="38" t="s">
        <v>111</v>
      </c>
      <c r="H3047" s="44">
        <v>44199</v>
      </c>
      <c r="I3047" s="44">
        <v>44203</v>
      </c>
      <c r="J3047">
        <v>693.41</v>
      </c>
      <c r="K3047">
        <v>20.45</v>
      </c>
      <c r="L3047" t="s">
        <v>7047</v>
      </c>
      <c r="M3047" s="45" t="s">
        <v>98</v>
      </c>
      <c r="N3047" s="38" t="s">
        <v>230</v>
      </c>
      <c r="O3047" s="38" t="s">
        <v>444</v>
      </c>
      <c r="P3047" s="38" t="s">
        <v>60</v>
      </c>
      <c r="Q3047" s="38" t="s">
        <v>62</v>
      </c>
      <c r="R3047" s="38" t="s">
        <v>270</v>
      </c>
      <c r="S3047" s="38" t="s">
        <v>7048</v>
      </c>
      <c r="T3047" s="38" t="s">
        <v>7054</v>
      </c>
      <c r="U3047" s="38"/>
      <c r="V3047" s="38"/>
      <c r="W3047" s="38"/>
      <c r="X3047" s="7"/>
      <c r="Y3047" s="57"/>
      <c r="Z3047" s="7"/>
      <c r="AA3047" s="57"/>
      <c r="AB3047" s="7"/>
      <c r="AC3047" s="57"/>
      <c r="AD3047" s="7"/>
      <c r="AE3047" s="57"/>
      <c r="AF3047" s="7"/>
      <c r="AG3047" s="57"/>
      <c r="AH3047" s="7"/>
      <c r="AI3047" s="57"/>
      <c r="AJ3047" s="7"/>
      <c r="AK3047" s="57"/>
      <c r="AL3047" s="7"/>
      <c r="AN3047" s="7" t="s">
        <v>70</v>
      </c>
      <c r="AO3047" s="21">
        <f t="shared" si="151"/>
        <v>0</v>
      </c>
      <c r="AP3047" s="7">
        <f t="shared" si="150"/>
        <v>20.45</v>
      </c>
      <c r="AQ3047" s="31" t="str">
        <f t="shared" si="152"/>
        <v>Complete - No Adjustment</v>
      </c>
    </row>
    <row r="3048" spans="1:43" x14ac:dyDescent="0.2">
      <c r="A3048" s="46">
        <v>3038</v>
      </c>
      <c r="B3048" s="38" t="s">
        <v>266</v>
      </c>
      <c r="C3048" s="38" t="s">
        <v>618</v>
      </c>
      <c r="D3048" s="38" t="s">
        <v>617</v>
      </c>
      <c r="E3048" s="38" t="s">
        <v>7046</v>
      </c>
      <c r="F3048" s="38" t="s">
        <v>6836</v>
      </c>
      <c r="G3048" s="38" t="s">
        <v>111</v>
      </c>
      <c r="H3048" s="44">
        <v>44199</v>
      </c>
      <c r="I3048" s="44">
        <v>44203</v>
      </c>
      <c r="J3048">
        <v>693.41</v>
      </c>
      <c r="K3048">
        <v>20</v>
      </c>
      <c r="L3048" t="s">
        <v>7047</v>
      </c>
      <c r="M3048" s="45" t="s">
        <v>98</v>
      </c>
      <c r="N3048" s="38" t="s">
        <v>230</v>
      </c>
      <c r="O3048" s="38" t="s">
        <v>444</v>
      </c>
      <c r="P3048" s="38" t="s">
        <v>60</v>
      </c>
      <c r="Q3048" s="38" t="s">
        <v>41</v>
      </c>
      <c r="R3048" s="38" t="s">
        <v>270</v>
      </c>
      <c r="S3048" s="38" t="s">
        <v>7048</v>
      </c>
      <c r="T3048" s="38" t="s">
        <v>7055</v>
      </c>
      <c r="U3048" s="38"/>
      <c r="V3048" s="38"/>
      <c r="W3048" s="38"/>
      <c r="X3048" s="7"/>
      <c r="Y3048" s="57"/>
      <c r="Z3048" s="7"/>
      <c r="AA3048" s="57"/>
      <c r="AB3048" s="7"/>
      <c r="AC3048" s="57"/>
      <c r="AD3048" s="7"/>
      <c r="AE3048" s="57"/>
      <c r="AF3048" s="7"/>
      <c r="AG3048" s="57"/>
      <c r="AH3048" s="7"/>
      <c r="AI3048" s="57">
        <f>20</f>
        <v>20</v>
      </c>
      <c r="AJ3048" s="7"/>
      <c r="AK3048" s="57"/>
      <c r="AL3048" s="7"/>
      <c r="AN3048" s="7" t="s">
        <v>145</v>
      </c>
      <c r="AO3048" s="21">
        <f t="shared" si="151"/>
        <v>20</v>
      </c>
      <c r="AP3048" s="7">
        <f t="shared" si="150"/>
        <v>0</v>
      </c>
      <c r="AQ3048" s="31" t="str">
        <f t="shared" si="152"/>
        <v>Complete - With Adjustment</v>
      </c>
    </row>
    <row r="3049" spans="1:43" x14ac:dyDescent="0.2">
      <c r="A3049" s="46">
        <v>3039</v>
      </c>
      <c r="B3049" s="38" t="s">
        <v>266</v>
      </c>
      <c r="C3049" s="38" t="s">
        <v>618</v>
      </c>
      <c r="D3049" s="38" t="s">
        <v>617</v>
      </c>
      <c r="E3049" s="38" t="s">
        <v>7046</v>
      </c>
      <c r="F3049" s="38" t="s">
        <v>6836</v>
      </c>
      <c r="G3049" s="38" t="s">
        <v>111</v>
      </c>
      <c r="H3049" s="44">
        <v>44199</v>
      </c>
      <c r="I3049" s="44">
        <v>44203</v>
      </c>
      <c r="J3049">
        <v>693.41</v>
      </c>
      <c r="K3049">
        <v>48.59</v>
      </c>
      <c r="L3049" t="s">
        <v>7047</v>
      </c>
      <c r="M3049" s="45" t="s">
        <v>98</v>
      </c>
      <c r="N3049" s="38" t="s">
        <v>230</v>
      </c>
      <c r="O3049" s="38" t="s">
        <v>444</v>
      </c>
      <c r="P3049" s="38" t="s">
        <v>60</v>
      </c>
      <c r="Q3049" s="38" t="s">
        <v>62</v>
      </c>
      <c r="R3049" s="38" t="s">
        <v>270</v>
      </c>
      <c r="S3049" s="38" t="s">
        <v>7048</v>
      </c>
      <c r="T3049" s="38" t="s">
        <v>7056</v>
      </c>
      <c r="U3049" s="38"/>
      <c r="V3049" s="38"/>
      <c r="W3049" s="38"/>
      <c r="X3049" s="7"/>
      <c r="Y3049" s="57"/>
      <c r="Z3049" s="7"/>
      <c r="AA3049" s="57"/>
      <c r="AB3049" s="7"/>
      <c r="AC3049" s="57"/>
      <c r="AD3049" s="7"/>
      <c r="AE3049" s="57"/>
      <c r="AF3049" s="7"/>
      <c r="AG3049" s="57"/>
      <c r="AH3049" s="7"/>
      <c r="AI3049" s="57"/>
      <c r="AJ3049" s="7"/>
      <c r="AK3049" s="57"/>
      <c r="AL3049" s="7"/>
      <c r="AN3049" s="7" t="s">
        <v>70</v>
      </c>
      <c r="AO3049" s="21">
        <f t="shared" si="151"/>
        <v>0</v>
      </c>
      <c r="AP3049" s="7">
        <f t="shared" si="150"/>
        <v>48.59</v>
      </c>
      <c r="AQ3049" s="31" t="str">
        <f t="shared" si="152"/>
        <v>Complete - No Adjustment</v>
      </c>
    </row>
    <row r="3050" spans="1:43" x14ac:dyDescent="0.2">
      <c r="A3050" s="46">
        <v>3040</v>
      </c>
      <c r="B3050" s="38" t="s">
        <v>266</v>
      </c>
      <c r="C3050" s="38" t="s">
        <v>618</v>
      </c>
      <c r="D3050" s="38" t="s">
        <v>617</v>
      </c>
      <c r="E3050" s="38" t="s">
        <v>7046</v>
      </c>
      <c r="F3050" s="38" t="s">
        <v>6836</v>
      </c>
      <c r="G3050" s="38" t="s">
        <v>111</v>
      </c>
      <c r="H3050" s="44">
        <v>44199</v>
      </c>
      <c r="I3050" s="44">
        <v>44203</v>
      </c>
      <c r="J3050">
        <v>693.41</v>
      </c>
      <c r="K3050">
        <v>194.73</v>
      </c>
      <c r="L3050" t="s">
        <v>7047</v>
      </c>
      <c r="M3050" s="45" t="s">
        <v>98</v>
      </c>
      <c r="N3050" s="38" t="s">
        <v>230</v>
      </c>
      <c r="O3050" s="38" t="s">
        <v>444</v>
      </c>
      <c r="P3050" s="38" t="s">
        <v>60</v>
      </c>
      <c r="Q3050" s="38" t="s">
        <v>62</v>
      </c>
      <c r="R3050" s="38" t="s">
        <v>270</v>
      </c>
      <c r="S3050" s="38" t="s">
        <v>7048</v>
      </c>
      <c r="T3050" s="38" t="s">
        <v>7057</v>
      </c>
      <c r="U3050" s="38"/>
      <c r="V3050" s="38"/>
      <c r="W3050" s="38"/>
      <c r="X3050" s="7"/>
      <c r="Y3050" s="57"/>
      <c r="Z3050" s="7"/>
      <c r="AA3050" s="57"/>
      <c r="AB3050" s="7"/>
      <c r="AC3050" s="57"/>
      <c r="AD3050" s="7"/>
      <c r="AE3050" s="57"/>
      <c r="AF3050" s="7"/>
      <c r="AG3050" s="57"/>
      <c r="AH3050" s="7"/>
      <c r="AI3050" s="57"/>
      <c r="AJ3050" s="7"/>
      <c r="AK3050" s="57"/>
      <c r="AL3050" s="7"/>
      <c r="AN3050" s="7" t="s">
        <v>70</v>
      </c>
      <c r="AO3050" s="21">
        <f t="shared" si="151"/>
        <v>0</v>
      </c>
      <c r="AP3050" s="7">
        <f t="shared" si="150"/>
        <v>194.73</v>
      </c>
      <c r="AQ3050" s="31" t="str">
        <f t="shared" si="152"/>
        <v>Complete - No Adjustment</v>
      </c>
    </row>
    <row r="3051" spans="1:43" x14ac:dyDescent="0.2">
      <c r="A3051" s="46">
        <v>3041</v>
      </c>
      <c r="B3051" s="38" t="s">
        <v>266</v>
      </c>
      <c r="C3051" s="38" t="s">
        <v>618</v>
      </c>
      <c r="D3051" s="38" t="s">
        <v>617</v>
      </c>
      <c r="E3051" s="38" t="s">
        <v>7046</v>
      </c>
      <c r="F3051" s="38" t="s">
        <v>6836</v>
      </c>
      <c r="G3051" s="38" t="s">
        <v>111</v>
      </c>
      <c r="H3051" s="44">
        <v>44199</v>
      </c>
      <c r="I3051" s="44">
        <v>44203</v>
      </c>
      <c r="J3051">
        <v>693.41</v>
      </c>
      <c r="K3051">
        <v>75.72</v>
      </c>
      <c r="L3051" t="s">
        <v>7047</v>
      </c>
      <c r="M3051" s="45" t="s">
        <v>98</v>
      </c>
      <c r="N3051" s="38" t="s">
        <v>230</v>
      </c>
      <c r="O3051" s="38" t="s">
        <v>444</v>
      </c>
      <c r="P3051" s="38" t="s">
        <v>60</v>
      </c>
      <c r="Q3051" s="38" t="s">
        <v>74</v>
      </c>
      <c r="R3051" s="38" t="s">
        <v>270</v>
      </c>
      <c r="S3051" s="38" t="s">
        <v>7048</v>
      </c>
      <c r="T3051" s="38" t="s">
        <v>7058</v>
      </c>
      <c r="U3051" s="38"/>
      <c r="V3051" s="38"/>
      <c r="W3051" s="38"/>
      <c r="X3051" s="7"/>
      <c r="Y3051" s="57"/>
      <c r="Z3051" s="7"/>
      <c r="AA3051" s="57"/>
      <c r="AB3051" s="7"/>
      <c r="AC3051" s="57"/>
      <c r="AD3051" s="7"/>
      <c r="AE3051" s="57"/>
      <c r="AF3051" s="7"/>
      <c r="AG3051" s="57"/>
      <c r="AH3051" s="7"/>
      <c r="AI3051" s="57"/>
      <c r="AJ3051" s="7"/>
      <c r="AK3051" s="57"/>
      <c r="AL3051" s="7"/>
      <c r="AN3051" s="7" t="s">
        <v>70</v>
      </c>
      <c r="AO3051" s="21">
        <f t="shared" si="151"/>
        <v>0</v>
      </c>
      <c r="AP3051" s="7">
        <f t="shared" si="150"/>
        <v>75.72</v>
      </c>
      <c r="AQ3051" s="31" t="str">
        <f t="shared" si="152"/>
        <v>Complete - No Adjustment</v>
      </c>
    </row>
    <row r="3052" spans="1:43" x14ac:dyDescent="0.2">
      <c r="A3052" s="46">
        <v>3042</v>
      </c>
      <c r="B3052" s="38" t="s">
        <v>266</v>
      </c>
      <c r="C3052" s="38" t="s">
        <v>564</v>
      </c>
      <c r="D3052" s="38" t="s">
        <v>1429</v>
      </c>
      <c r="E3052" s="38" t="s">
        <v>7059</v>
      </c>
      <c r="F3052" s="38" t="s">
        <v>6799</v>
      </c>
      <c r="G3052" s="38" t="s">
        <v>111</v>
      </c>
      <c r="H3052" s="44">
        <v>44208</v>
      </c>
      <c r="I3052" s="44">
        <v>44221</v>
      </c>
      <c r="J3052">
        <v>162.26</v>
      </c>
      <c r="K3052">
        <v>15.01</v>
      </c>
      <c r="L3052" t="s">
        <v>7060</v>
      </c>
      <c r="M3052" s="45" t="s">
        <v>98</v>
      </c>
      <c r="N3052" s="38" t="s">
        <v>230</v>
      </c>
      <c r="O3052" s="38" t="s">
        <v>269</v>
      </c>
      <c r="P3052" s="38" t="s">
        <v>60</v>
      </c>
      <c r="Q3052" s="38" t="s">
        <v>41</v>
      </c>
      <c r="R3052" s="38" t="s">
        <v>270</v>
      </c>
      <c r="S3052" s="38" t="s">
        <v>7061</v>
      </c>
      <c r="T3052" s="38" t="s">
        <v>7062</v>
      </c>
      <c r="U3052" s="38"/>
      <c r="V3052" s="38"/>
      <c r="W3052" s="38"/>
      <c r="X3052" s="7"/>
      <c r="Y3052" s="57"/>
      <c r="Z3052" s="7"/>
      <c r="AA3052" s="57"/>
      <c r="AB3052" s="7"/>
      <c r="AC3052" s="57"/>
      <c r="AD3052" s="7"/>
      <c r="AE3052" s="57"/>
      <c r="AF3052" s="7"/>
      <c r="AG3052" s="57"/>
      <c r="AH3052" s="7"/>
      <c r="AI3052" s="57">
        <f>15.01</f>
        <v>15.01</v>
      </c>
      <c r="AJ3052" s="7"/>
      <c r="AK3052" s="57"/>
      <c r="AL3052" s="7"/>
      <c r="AN3052" s="7" t="s">
        <v>145</v>
      </c>
      <c r="AO3052" s="21">
        <f t="shared" si="151"/>
        <v>15.01</v>
      </c>
      <c r="AP3052" s="7">
        <f t="shared" si="150"/>
        <v>0</v>
      </c>
      <c r="AQ3052" s="31" t="str">
        <f t="shared" si="152"/>
        <v>Complete - With Adjustment</v>
      </c>
    </row>
    <row r="3053" spans="1:43" x14ac:dyDescent="0.2">
      <c r="A3053" s="46">
        <v>3043</v>
      </c>
      <c r="B3053" s="38" t="s">
        <v>266</v>
      </c>
      <c r="C3053" s="38" t="s">
        <v>564</v>
      </c>
      <c r="D3053" s="38" t="s">
        <v>1429</v>
      </c>
      <c r="E3053" s="38" t="s">
        <v>7059</v>
      </c>
      <c r="F3053" s="38" t="s">
        <v>6799</v>
      </c>
      <c r="G3053" s="38" t="s">
        <v>111</v>
      </c>
      <c r="H3053" s="44">
        <v>44208</v>
      </c>
      <c r="I3053" s="44">
        <v>44221</v>
      </c>
      <c r="J3053">
        <v>162.26</v>
      </c>
      <c r="K3053">
        <v>57.25</v>
      </c>
      <c r="L3053" t="s">
        <v>7060</v>
      </c>
      <c r="M3053" s="45" t="s">
        <v>98</v>
      </c>
      <c r="N3053" s="38" t="s">
        <v>230</v>
      </c>
      <c r="O3053" s="38" t="s">
        <v>269</v>
      </c>
      <c r="P3053" s="38" t="s">
        <v>60</v>
      </c>
      <c r="Q3053" s="38" t="s">
        <v>41</v>
      </c>
      <c r="R3053" s="38" t="s">
        <v>270</v>
      </c>
      <c r="S3053" s="38" t="s">
        <v>7061</v>
      </c>
      <c r="T3053" s="38" t="s">
        <v>7063</v>
      </c>
      <c r="U3053" s="38"/>
      <c r="V3053" s="38"/>
      <c r="W3053" s="38"/>
      <c r="X3053" s="7"/>
      <c r="Y3053" s="57"/>
      <c r="Z3053" s="7"/>
      <c r="AA3053" s="57"/>
      <c r="AB3053" s="7"/>
      <c r="AC3053" s="57"/>
      <c r="AD3053" s="7"/>
      <c r="AE3053" s="57"/>
      <c r="AF3053" s="7"/>
      <c r="AG3053" s="57"/>
      <c r="AH3053" s="7"/>
      <c r="AI3053" s="57">
        <f>57.25</f>
        <v>57.25</v>
      </c>
      <c r="AJ3053" s="7"/>
      <c r="AK3053" s="57"/>
      <c r="AL3053" s="7"/>
      <c r="AN3053" s="7" t="s">
        <v>145</v>
      </c>
      <c r="AO3053" s="21">
        <f t="shared" si="151"/>
        <v>57.25</v>
      </c>
      <c r="AP3053" s="7">
        <f t="shared" si="150"/>
        <v>0</v>
      </c>
      <c r="AQ3053" s="31" t="str">
        <f t="shared" si="152"/>
        <v>Complete - With Adjustment</v>
      </c>
    </row>
    <row r="3054" spans="1:43" x14ac:dyDescent="0.2">
      <c r="A3054" s="46">
        <v>3044</v>
      </c>
      <c r="B3054" s="38" t="s">
        <v>266</v>
      </c>
      <c r="C3054" s="38" t="s">
        <v>564</v>
      </c>
      <c r="D3054" s="38" t="s">
        <v>1429</v>
      </c>
      <c r="E3054" s="38" t="s">
        <v>7059</v>
      </c>
      <c r="F3054" s="38" t="s">
        <v>6799</v>
      </c>
      <c r="G3054" s="38" t="s">
        <v>111</v>
      </c>
      <c r="H3054" s="44">
        <v>44208</v>
      </c>
      <c r="I3054" s="44">
        <v>44221</v>
      </c>
      <c r="J3054">
        <v>162.26</v>
      </c>
      <c r="K3054">
        <v>90</v>
      </c>
      <c r="L3054" t="s">
        <v>7060</v>
      </c>
      <c r="M3054" s="45" t="s">
        <v>98</v>
      </c>
      <c r="N3054" s="38" t="s">
        <v>230</v>
      </c>
      <c r="O3054" s="38" t="s">
        <v>269</v>
      </c>
      <c r="P3054" s="38" t="s">
        <v>60</v>
      </c>
      <c r="Q3054" s="38" t="s">
        <v>46</v>
      </c>
      <c r="R3054" s="38" t="s">
        <v>270</v>
      </c>
      <c r="S3054" s="38" t="s">
        <v>7061</v>
      </c>
      <c r="T3054" s="38" t="s">
        <v>7064</v>
      </c>
      <c r="U3054" s="38"/>
      <c r="V3054" s="38"/>
      <c r="W3054" s="38"/>
      <c r="X3054" s="7"/>
      <c r="Y3054" s="57"/>
      <c r="Z3054" s="7"/>
      <c r="AA3054" s="57"/>
      <c r="AB3054" s="7"/>
      <c r="AC3054" s="57"/>
      <c r="AD3054" s="7"/>
      <c r="AE3054" s="57"/>
      <c r="AF3054" s="7"/>
      <c r="AG3054" s="57"/>
      <c r="AH3054" s="7"/>
      <c r="AI3054" s="57">
        <f>90</f>
        <v>90</v>
      </c>
      <c r="AJ3054" s="7"/>
      <c r="AK3054" s="57"/>
      <c r="AL3054" s="7"/>
      <c r="AN3054" s="7" t="s">
        <v>145</v>
      </c>
      <c r="AO3054" s="21">
        <f t="shared" si="151"/>
        <v>90</v>
      </c>
      <c r="AP3054" s="7">
        <f t="shared" si="150"/>
        <v>0</v>
      </c>
      <c r="AQ3054" s="31" t="str">
        <f t="shared" si="152"/>
        <v>Complete - With Adjustment</v>
      </c>
    </row>
    <row r="3055" spans="1:43" x14ac:dyDescent="0.2">
      <c r="A3055" s="46">
        <v>3045</v>
      </c>
      <c r="B3055" s="38" t="s">
        <v>266</v>
      </c>
      <c r="C3055" s="38" t="s">
        <v>462</v>
      </c>
      <c r="D3055" s="38" t="s">
        <v>461</v>
      </c>
      <c r="E3055" s="38" t="s">
        <v>7065</v>
      </c>
      <c r="F3055" s="38" t="s">
        <v>6833</v>
      </c>
      <c r="G3055" s="38" t="s">
        <v>111</v>
      </c>
      <c r="H3055" s="44">
        <v>44217</v>
      </c>
      <c r="I3055" s="44">
        <v>44222</v>
      </c>
      <c r="J3055">
        <v>9.65</v>
      </c>
      <c r="K3055">
        <v>9.65</v>
      </c>
      <c r="L3055" t="s">
        <v>7066</v>
      </c>
      <c r="M3055" s="45" t="s">
        <v>98</v>
      </c>
      <c r="N3055" s="38" t="s">
        <v>230</v>
      </c>
      <c r="O3055" s="38" t="s">
        <v>288</v>
      </c>
      <c r="P3055" s="38" t="s">
        <v>60</v>
      </c>
      <c r="Q3055" s="38" t="s">
        <v>41</v>
      </c>
      <c r="R3055" s="38" t="s">
        <v>270</v>
      </c>
      <c r="S3055" s="38" t="s">
        <v>7067</v>
      </c>
      <c r="T3055" s="38" t="s">
        <v>7068</v>
      </c>
      <c r="U3055" s="38"/>
      <c r="V3055" s="38"/>
      <c r="W3055" s="38"/>
      <c r="X3055" s="7"/>
      <c r="Y3055" s="57"/>
      <c r="Z3055" s="7"/>
      <c r="AA3055" s="57"/>
      <c r="AB3055" s="7"/>
      <c r="AC3055" s="57"/>
      <c r="AD3055" s="7"/>
      <c r="AE3055" s="57"/>
      <c r="AF3055" s="7"/>
      <c r="AG3055" s="57"/>
      <c r="AH3055" s="7"/>
      <c r="AI3055" s="57"/>
      <c r="AJ3055" s="7"/>
      <c r="AK3055" s="57"/>
      <c r="AL3055" s="7"/>
      <c r="AN3055" s="7" t="s">
        <v>70</v>
      </c>
      <c r="AO3055" s="21">
        <f t="shared" si="151"/>
        <v>0</v>
      </c>
      <c r="AP3055" s="7">
        <f t="shared" si="150"/>
        <v>9.65</v>
      </c>
      <c r="AQ3055" s="31" t="str">
        <f t="shared" si="152"/>
        <v>Complete - No Adjustment</v>
      </c>
    </row>
    <row r="3056" spans="1:43" x14ac:dyDescent="0.2">
      <c r="A3056" s="46">
        <v>3046</v>
      </c>
      <c r="B3056" s="38" t="s">
        <v>266</v>
      </c>
      <c r="C3056" s="38" t="s">
        <v>265</v>
      </c>
      <c r="D3056" s="38" t="s">
        <v>264</v>
      </c>
      <c r="E3056" s="38" t="s">
        <v>7069</v>
      </c>
      <c r="F3056" s="38" t="s">
        <v>7070</v>
      </c>
      <c r="G3056" s="38" t="s">
        <v>111</v>
      </c>
      <c r="H3056" s="44">
        <v>44203</v>
      </c>
      <c r="I3056" s="44">
        <v>44209</v>
      </c>
      <c r="J3056">
        <v>348.25</v>
      </c>
      <c r="K3056">
        <v>108.25</v>
      </c>
      <c r="L3056" t="s">
        <v>7071</v>
      </c>
      <c r="M3056" s="45" t="s">
        <v>98</v>
      </c>
      <c r="N3056" s="38" t="s">
        <v>230</v>
      </c>
      <c r="O3056" s="38" t="s">
        <v>342</v>
      </c>
      <c r="P3056" s="38" t="s">
        <v>60</v>
      </c>
      <c r="Q3056" s="38" t="s">
        <v>46</v>
      </c>
      <c r="R3056" s="38" t="s">
        <v>270</v>
      </c>
      <c r="S3056" s="38" t="s">
        <v>7072</v>
      </c>
      <c r="T3056" s="38" t="s">
        <v>7073</v>
      </c>
      <c r="U3056" s="38"/>
      <c r="V3056" s="38"/>
      <c r="W3056" s="38"/>
      <c r="X3056" s="7"/>
      <c r="Y3056" s="57"/>
      <c r="Z3056" s="7"/>
      <c r="AA3056" s="57"/>
      <c r="AB3056" s="7"/>
      <c r="AC3056" s="57"/>
      <c r="AD3056" s="7"/>
      <c r="AE3056" s="57"/>
      <c r="AF3056" s="7"/>
      <c r="AG3056" s="57"/>
      <c r="AH3056" s="7"/>
      <c r="AI3056" s="57">
        <f>108.25</f>
        <v>108.25</v>
      </c>
      <c r="AJ3056" s="7"/>
      <c r="AK3056" s="57"/>
      <c r="AL3056" s="7"/>
      <c r="AN3056" s="7" t="s">
        <v>145</v>
      </c>
      <c r="AO3056" s="21">
        <f t="shared" si="151"/>
        <v>108.25</v>
      </c>
      <c r="AP3056" s="7">
        <f t="shared" si="150"/>
        <v>0</v>
      </c>
      <c r="AQ3056" s="31" t="str">
        <f t="shared" si="152"/>
        <v>Complete - With Adjustment</v>
      </c>
    </row>
    <row r="3057" spans="1:45" x14ac:dyDescent="0.2">
      <c r="A3057" s="46">
        <v>3047</v>
      </c>
      <c r="B3057" s="38" t="s">
        <v>266</v>
      </c>
      <c r="C3057" s="38" t="s">
        <v>265</v>
      </c>
      <c r="D3057" s="38" t="s">
        <v>264</v>
      </c>
      <c r="E3057" s="38" t="s">
        <v>7069</v>
      </c>
      <c r="F3057" s="38" t="s">
        <v>7070</v>
      </c>
      <c r="G3057" s="38" t="s">
        <v>111</v>
      </c>
      <c r="H3057" s="44">
        <v>44203</v>
      </c>
      <c r="I3057" s="44">
        <v>44209</v>
      </c>
      <c r="J3057">
        <v>348.25</v>
      </c>
      <c r="K3057">
        <v>200</v>
      </c>
      <c r="L3057" t="s">
        <v>7071</v>
      </c>
      <c r="M3057" s="45" t="s">
        <v>97</v>
      </c>
      <c r="N3057" s="38" t="s">
        <v>230</v>
      </c>
      <c r="O3057" s="38" t="s">
        <v>342</v>
      </c>
      <c r="P3057" s="38" t="s">
        <v>80</v>
      </c>
      <c r="Q3057" s="38" t="s">
        <v>7074</v>
      </c>
      <c r="R3057" s="38" t="s">
        <v>270</v>
      </c>
      <c r="S3057" s="38" t="s">
        <v>7072</v>
      </c>
      <c r="T3057" s="38" t="s">
        <v>7075</v>
      </c>
      <c r="U3057" s="38"/>
      <c r="V3057" s="38"/>
      <c r="W3057" s="38"/>
      <c r="X3057" s="7"/>
      <c r="Y3057" s="57"/>
      <c r="Z3057" s="7"/>
      <c r="AA3057" s="57"/>
      <c r="AB3057" s="7"/>
      <c r="AC3057" s="57"/>
      <c r="AD3057" s="7"/>
      <c r="AE3057" s="57"/>
      <c r="AF3057" s="7"/>
      <c r="AG3057" s="57"/>
      <c r="AH3057" s="7"/>
      <c r="AI3057" s="57"/>
      <c r="AJ3057" s="7"/>
      <c r="AK3057" s="57"/>
      <c r="AL3057" s="7">
        <f>200</f>
        <v>200</v>
      </c>
      <c r="AN3057" s="7" t="s">
        <v>6789</v>
      </c>
      <c r="AO3057" s="21">
        <f t="shared" si="151"/>
        <v>200</v>
      </c>
      <c r="AP3057" s="7">
        <f t="shared" si="150"/>
        <v>0</v>
      </c>
      <c r="AQ3057" s="31" t="str">
        <f t="shared" si="152"/>
        <v>Complete - With Adjustment</v>
      </c>
    </row>
    <row r="3058" spans="1:45" x14ac:dyDescent="0.2">
      <c r="A3058" s="46">
        <v>3048</v>
      </c>
      <c r="B3058" s="38" t="s">
        <v>266</v>
      </c>
      <c r="C3058" s="38" t="s">
        <v>265</v>
      </c>
      <c r="D3058" s="38" t="s">
        <v>264</v>
      </c>
      <c r="E3058" s="38" t="s">
        <v>7069</v>
      </c>
      <c r="F3058" s="38" t="s">
        <v>7070</v>
      </c>
      <c r="G3058" s="38" t="s">
        <v>111</v>
      </c>
      <c r="H3058" s="44">
        <v>44203</v>
      </c>
      <c r="I3058" s="44">
        <v>44209</v>
      </c>
      <c r="J3058">
        <v>348.25</v>
      </c>
      <c r="K3058">
        <v>40</v>
      </c>
      <c r="L3058" t="s">
        <v>7071</v>
      </c>
      <c r="M3058" s="45" t="s">
        <v>98</v>
      </c>
      <c r="N3058" s="38" t="s">
        <v>230</v>
      </c>
      <c r="O3058" s="38" t="s">
        <v>342</v>
      </c>
      <c r="P3058" s="38" t="s">
        <v>60</v>
      </c>
      <c r="Q3058" s="38" t="s">
        <v>41</v>
      </c>
      <c r="R3058" s="38" t="s">
        <v>270</v>
      </c>
      <c r="S3058" s="38" t="s">
        <v>7072</v>
      </c>
      <c r="T3058" s="38" t="s">
        <v>7076</v>
      </c>
      <c r="U3058" s="38"/>
      <c r="V3058" s="38"/>
      <c r="W3058" s="38"/>
      <c r="X3058" s="7"/>
      <c r="Y3058" s="57"/>
      <c r="Z3058" s="7"/>
      <c r="AA3058" s="57"/>
      <c r="AB3058" s="7"/>
      <c r="AC3058" s="57"/>
      <c r="AD3058" s="7"/>
      <c r="AE3058" s="57"/>
      <c r="AF3058" s="7"/>
      <c r="AG3058" s="57"/>
      <c r="AH3058" s="7"/>
      <c r="AI3058" s="57"/>
      <c r="AJ3058" s="7"/>
      <c r="AK3058" s="57"/>
      <c r="AL3058" s="7"/>
      <c r="AN3058" s="7" t="s">
        <v>70</v>
      </c>
      <c r="AO3058" s="21">
        <f t="shared" si="151"/>
        <v>0</v>
      </c>
      <c r="AP3058" s="7">
        <f t="shared" si="150"/>
        <v>40</v>
      </c>
      <c r="AQ3058" s="31" t="str">
        <f t="shared" si="152"/>
        <v>Complete - No Adjustment</v>
      </c>
    </row>
    <row r="3059" spans="1:45" x14ac:dyDescent="0.2">
      <c r="A3059" s="46">
        <v>3049</v>
      </c>
      <c r="B3059" s="38" t="s">
        <v>266</v>
      </c>
      <c r="C3059" s="38" t="s">
        <v>474</v>
      </c>
      <c r="D3059" s="38" t="s">
        <v>473</v>
      </c>
      <c r="E3059" s="38" t="s">
        <v>7077</v>
      </c>
      <c r="F3059" s="38" t="s">
        <v>7078</v>
      </c>
      <c r="G3059" s="38" t="s">
        <v>111</v>
      </c>
      <c r="H3059" s="44">
        <v>44209</v>
      </c>
      <c r="I3059" s="44">
        <v>44211</v>
      </c>
      <c r="J3059">
        <v>195.96</v>
      </c>
      <c r="K3059">
        <v>195.96</v>
      </c>
      <c r="L3059" t="s">
        <v>7079</v>
      </c>
      <c r="M3059" s="45" t="s">
        <v>98</v>
      </c>
      <c r="N3059" s="38" t="s">
        <v>230</v>
      </c>
      <c r="O3059" s="38" t="s">
        <v>297</v>
      </c>
      <c r="P3059" s="38" t="s">
        <v>60</v>
      </c>
      <c r="Q3059" s="38" t="s">
        <v>104</v>
      </c>
      <c r="R3059" s="38" t="s">
        <v>270</v>
      </c>
      <c r="S3059" s="38" t="s">
        <v>7080</v>
      </c>
      <c r="T3059" s="38" t="s">
        <v>7081</v>
      </c>
      <c r="U3059" s="38"/>
      <c r="V3059" s="38"/>
      <c r="W3059" s="38"/>
      <c r="X3059" s="7"/>
      <c r="Y3059" s="57"/>
      <c r="Z3059" s="7"/>
      <c r="AA3059" s="57"/>
      <c r="AB3059" s="7"/>
      <c r="AC3059" s="57"/>
      <c r="AD3059" s="7"/>
      <c r="AE3059" s="57"/>
      <c r="AF3059" s="7"/>
      <c r="AG3059" s="57"/>
      <c r="AH3059" s="7"/>
      <c r="AI3059" s="57"/>
      <c r="AJ3059" s="7"/>
      <c r="AK3059" s="57"/>
      <c r="AL3059" s="7"/>
      <c r="AN3059" s="7" t="s">
        <v>70</v>
      </c>
      <c r="AO3059" s="21">
        <f t="shared" si="151"/>
        <v>0</v>
      </c>
      <c r="AP3059" s="7">
        <f t="shared" si="150"/>
        <v>195.96</v>
      </c>
      <c r="AQ3059" s="31" t="str">
        <f t="shared" si="152"/>
        <v>Complete - No Adjustment</v>
      </c>
    </row>
    <row r="3060" spans="1:45" x14ac:dyDescent="0.2">
      <c r="A3060" s="46">
        <v>3050</v>
      </c>
      <c r="B3060" s="38" t="s">
        <v>266</v>
      </c>
      <c r="C3060" s="38" t="s">
        <v>476</v>
      </c>
      <c r="D3060" s="38" t="s">
        <v>475</v>
      </c>
      <c r="E3060" s="38" t="s">
        <v>7082</v>
      </c>
      <c r="F3060" s="38" t="s">
        <v>6805</v>
      </c>
      <c r="G3060" s="38" t="s">
        <v>111</v>
      </c>
      <c r="H3060" s="44">
        <v>44207</v>
      </c>
      <c r="I3060" s="44">
        <v>44216</v>
      </c>
      <c r="J3060">
        <v>100</v>
      </c>
      <c r="K3060">
        <v>100</v>
      </c>
      <c r="L3060" t="s">
        <v>7083</v>
      </c>
      <c r="M3060" s="45" t="s">
        <v>98</v>
      </c>
      <c r="N3060" s="38" t="s">
        <v>230</v>
      </c>
      <c r="O3060" s="38" t="s">
        <v>320</v>
      </c>
      <c r="P3060" s="38" t="s">
        <v>60</v>
      </c>
      <c r="Q3060" s="38" t="s">
        <v>59</v>
      </c>
      <c r="R3060" s="38" t="s">
        <v>270</v>
      </c>
      <c r="S3060" s="38" t="s">
        <v>7084</v>
      </c>
      <c r="T3060" s="38" t="s">
        <v>7085</v>
      </c>
      <c r="U3060" s="38"/>
      <c r="V3060" s="38"/>
      <c r="W3060" s="38"/>
      <c r="X3060" s="7"/>
      <c r="Y3060" s="57"/>
      <c r="Z3060" s="7"/>
      <c r="AA3060" s="57"/>
      <c r="AB3060" s="7"/>
      <c r="AC3060" s="57"/>
      <c r="AD3060" s="7"/>
      <c r="AE3060" s="57"/>
      <c r="AF3060" s="7"/>
      <c r="AG3060" s="57"/>
      <c r="AH3060" s="7"/>
      <c r="AI3060" s="57"/>
      <c r="AJ3060" s="7"/>
      <c r="AK3060" s="57"/>
      <c r="AL3060" s="7"/>
      <c r="AN3060" s="7" t="s">
        <v>70</v>
      </c>
      <c r="AO3060" s="21">
        <f t="shared" si="151"/>
        <v>0</v>
      </c>
      <c r="AP3060" s="7">
        <f t="shared" si="150"/>
        <v>100</v>
      </c>
      <c r="AQ3060" s="31" t="str">
        <f t="shared" si="152"/>
        <v>Complete - No Adjustment</v>
      </c>
    </row>
    <row r="3061" spans="1:45" x14ac:dyDescent="0.2">
      <c r="A3061" s="46">
        <v>3051</v>
      </c>
      <c r="B3061" s="38" t="s">
        <v>266</v>
      </c>
      <c r="C3061" s="38" t="s">
        <v>476</v>
      </c>
      <c r="D3061" s="38" t="s">
        <v>475</v>
      </c>
      <c r="E3061" s="38" t="s">
        <v>7086</v>
      </c>
      <c r="F3061" s="38" t="s">
        <v>6805</v>
      </c>
      <c r="G3061" s="38" t="s">
        <v>111</v>
      </c>
      <c r="H3061" s="44">
        <v>44207</v>
      </c>
      <c r="I3061" s="44">
        <v>44216</v>
      </c>
      <c r="J3061">
        <v>265</v>
      </c>
      <c r="K3061">
        <v>265</v>
      </c>
      <c r="L3061" t="s">
        <v>7087</v>
      </c>
      <c r="M3061" s="45" t="s">
        <v>98</v>
      </c>
      <c r="N3061" s="38" t="s">
        <v>230</v>
      </c>
      <c r="O3061" s="38" t="s">
        <v>320</v>
      </c>
      <c r="P3061" s="38" t="s">
        <v>60</v>
      </c>
      <c r="Q3061" s="38" t="s">
        <v>59</v>
      </c>
      <c r="R3061" s="38" t="s">
        <v>270</v>
      </c>
      <c r="S3061" s="38" t="s">
        <v>7088</v>
      </c>
      <c r="T3061" s="38" t="s">
        <v>7089</v>
      </c>
      <c r="U3061" s="38"/>
      <c r="V3061" s="38"/>
      <c r="W3061" s="38"/>
      <c r="X3061" s="7"/>
      <c r="Y3061" s="57"/>
      <c r="Z3061" s="7"/>
      <c r="AA3061" s="57"/>
      <c r="AB3061" s="7"/>
      <c r="AC3061" s="57"/>
      <c r="AD3061" s="7"/>
      <c r="AE3061" s="57"/>
      <c r="AF3061" s="7"/>
      <c r="AG3061" s="57"/>
      <c r="AH3061" s="7"/>
      <c r="AI3061" s="57"/>
      <c r="AJ3061" s="7"/>
      <c r="AK3061" s="57"/>
      <c r="AL3061" s="7"/>
      <c r="AN3061" s="7" t="s">
        <v>70</v>
      </c>
      <c r="AO3061" s="21">
        <f t="shared" si="151"/>
        <v>0</v>
      </c>
      <c r="AP3061" s="7">
        <f t="shared" si="150"/>
        <v>265</v>
      </c>
      <c r="AQ3061" s="31" t="str">
        <f t="shared" si="152"/>
        <v>Complete - No Adjustment</v>
      </c>
    </row>
    <row r="3062" spans="1:45" x14ac:dyDescent="0.2">
      <c r="A3062" s="46">
        <v>3052</v>
      </c>
      <c r="B3062" s="38" t="s">
        <v>266</v>
      </c>
      <c r="C3062" s="38" t="s">
        <v>3572</v>
      </c>
      <c r="D3062" s="38" t="s">
        <v>3573</v>
      </c>
      <c r="E3062" s="38" t="s">
        <v>7090</v>
      </c>
      <c r="F3062" s="38" t="s">
        <v>6836</v>
      </c>
      <c r="G3062" s="38" t="s">
        <v>111</v>
      </c>
      <c r="H3062" s="44">
        <v>44181</v>
      </c>
      <c r="I3062" s="44">
        <v>44203</v>
      </c>
      <c r="J3062">
        <v>15</v>
      </c>
      <c r="K3062">
        <v>15</v>
      </c>
      <c r="L3062" t="s">
        <v>7091</v>
      </c>
      <c r="M3062" s="45" t="s">
        <v>98</v>
      </c>
      <c r="N3062" s="38" t="s">
        <v>230</v>
      </c>
      <c r="O3062" s="38" t="s">
        <v>559</v>
      </c>
      <c r="P3062" s="38" t="s">
        <v>60</v>
      </c>
      <c r="Q3062" s="38" t="s">
        <v>41</v>
      </c>
      <c r="R3062" s="38" t="s">
        <v>270</v>
      </c>
      <c r="S3062" s="38" t="s">
        <v>7092</v>
      </c>
      <c r="T3062" s="38" t="s">
        <v>7093</v>
      </c>
      <c r="U3062" s="38"/>
      <c r="V3062" s="38"/>
      <c r="W3062" s="38"/>
      <c r="X3062" s="7"/>
      <c r="Y3062" s="57"/>
      <c r="Z3062" s="7"/>
      <c r="AA3062" s="57"/>
      <c r="AB3062" s="7"/>
      <c r="AC3062" s="57"/>
      <c r="AD3062" s="7"/>
      <c r="AE3062" s="57"/>
      <c r="AF3062" s="7"/>
      <c r="AG3062" s="57"/>
      <c r="AH3062" s="7"/>
      <c r="AI3062" s="57">
        <f>15</f>
        <v>15</v>
      </c>
      <c r="AJ3062" s="7"/>
      <c r="AK3062" s="57"/>
      <c r="AL3062" s="7"/>
      <c r="AN3062" s="7" t="s">
        <v>145</v>
      </c>
      <c r="AO3062" s="21">
        <f t="shared" si="151"/>
        <v>15</v>
      </c>
      <c r="AP3062" s="7">
        <f t="shared" si="150"/>
        <v>0</v>
      </c>
      <c r="AQ3062" s="31" t="str">
        <f t="shared" si="152"/>
        <v>Complete - With Adjustment</v>
      </c>
    </row>
    <row r="3063" spans="1:45" x14ac:dyDescent="0.2">
      <c r="A3063" s="46">
        <v>3053</v>
      </c>
      <c r="B3063" s="38" t="s">
        <v>266</v>
      </c>
      <c r="C3063" s="38" t="s">
        <v>236</v>
      </c>
      <c r="D3063" s="38" t="s">
        <v>235</v>
      </c>
      <c r="E3063" s="38" t="s">
        <v>7094</v>
      </c>
      <c r="F3063" s="38" t="s">
        <v>6749</v>
      </c>
      <c r="G3063" s="38" t="s">
        <v>111</v>
      </c>
      <c r="H3063" s="44">
        <v>44193</v>
      </c>
      <c r="I3063" s="44">
        <v>44201</v>
      </c>
      <c r="J3063">
        <v>85.49</v>
      </c>
      <c r="K3063">
        <v>4.5999999999999996</v>
      </c>
      <c r="L3063" t="s">
        <v>7095</v>
      </c>
      <c r="M3063" s="45" t="s">
        <v>98</v>
      </c>
      <c r="N3063" s="38" t="s">
        <v>230</v>
      </c>
      <c r="O3063" s="38" t="s">
        <v>326</v>
      </c>
      <c r="P3063" s="38" t="s">
        <v>60</v>
      </c>
      <c r="Q3063" s="38" t="s">
        <v>62</v>
      </c>
      <c r="R3063" s="38" t="s">
        <v>270</v>
      </c>
      <c r="S3063" s="38" t="s">
        <v>7096</v>
      </c>
      <c r="T3063" s="38" t="s">
        <v>7097</v>
      </c>
      <c r="U3063" s="38"/>
      <c r="V3063" s="38"/>
      <c r="W3063" s="38"/>
      <c r="X3063" s="7"/>
      <c r="Y3063" s="57"/>
      <c r="Z3063" s="7"/>
      <c r="AA3063" s="57"/>
      <c r="AB3063" s="7"/>
      <c r="AC3063" s="57"/>
      <c r="AD3063" s="7"/>
      <c r="AE3063" s="57"/>
      <c r="AF3063" s="7"/>
      <c r="AG3063" s="57"/>
      <c r="AH3063" s="7"/>
      <c r="AI3063" s="57"/>
      <c r="AJ3063" s="7"/>
      <c r="AK3063" s="57"/>
      <c r="AL3063" s="7"/>
      <c r="AN3063" s="7" t="s">
        <v>70</v>
      </c>
      <c r="AO3063" s="21">
        <f t="shared" si="151"/>
        <v>0</v>
      </c>
      <c r="AP3063" s="7">
        <f t="shared" si="150"/>
        <v>4.5999999999999996</v>
      </c>
      <c r="AQ3063" s="31" t="str">
        <f t="shared" si="152"/>
        <v>Complete - No Adjustment</v>
      </c>
    </row>
    <row r="3064" spans="1:45" x14ac:dyDescent="0.2">
      <c r="A3064" s="46">
        <v>3054</v>
      </c>
      <c r="B3064" s="38" t="s">
        <v>266</v>
      </c>
      <c r="C3064" s="38" t="s">
        <v>236</v>
      </c>
      <c r="D3064" s="38" t="s">
        <v>235</v>
      </c>
      <c r="E3064" s="38" t="s">
        <v>7094</v>
      </c>
      <c r="F3064" s="38" t="s">
        <v>6749</v>
      </c>
      <c r="G3064" s="38" t="s">
        <v>111</v>
      </c>
      <c r="H3064" s="44">
        <v>44193</v>
      </c>
      <c r="I3064" s="44">
        <v>44201</v>
      </c>
      <c r="J3064">
        <v>85.49</v>
      </c>
      <c r="K3064">
        <v>16.77</v>
      </c>
      <c r="L3064" t="s">
        <v>7095</v>
      </c>
      <c r="M3064" s="45" t="s">
        <v>98</v>
      </c>
      <c r="N3064" s="38" t="s">
        <v>230</v>
      </c>
      <c r="O3064" s="38" t="s">
        <v>326</v>
      </c>
      <c r="P3064" s="38" t="s">
        <v>60</v>
      </c>
      <c r="Q3064" s="38" t="s">
        <v>62</v>
      </c>
      <c r="R3064" s="38" t="s">
        <v>270</v>
      </c>
      <c r="S3064" s="38" t="s">
        <v>7096</v>
      </c>
      <c r="T3064" s="38" t="s">
        <v>7098</v>
      </c>
      <c r="U3064" s="38"/>
      <c r="V3064" s="38"/>
      <c r="W3064" s="38"/>
      <c r="X3064" s="7"/>
      <c r="Y3064" s="57"/>
      <c r="Z3064" s="7"/>
      <c r="AA3064" s="57"/>
      <c r="AB3064" s="7"/>
      <c r="AC3064" s="57"/>
      <c r="AD3064" s="7"/>
      <c r="AE3064" s="57"/>
      <c r="AF3064" s="7"/>
      <c r="AG3064" s="57"/>
      <c r="AH3064" s="7"/>
      <c r="AI3064" s="57"/>
      <c r="AJ3064" s="7"/>
      <c r="AK3064" s="57"/>
      <c r="AL3064" s="7"/>
      <c r="AN3064" s="7" t="s">
        <v>70</v>
      </c>
      <c r="AO3064" s="21">
        <f t="shared" si="151"/>
        <v>0</v>
      </c>
      <c r="AP3064" s="7">
        <f t="shared" si="150"/>
        <v>16.77</v>
      </c>
      <c r="AQ3064" s="31" t="str">
        <f t="shared" si="152"/>
        <v>Complete - No Adjustment</v>
      </c>
    </row>
    <row r="3065" spans="1:45" x14ac:dyDescent="0.2">
      <c r="A3065" s="46">
        <v>3055</v>
      </c>
      <c r="B3065" s="38" t="s">
        <v>266</v>
      </c>
      <c r="C3065" s="38" t="s">
        <v>626</v>
      </c>
      <c r="D3065" s="38" t="s">
        <v>715</v>
      </c>
      <c r="E3065" s="38" t="s">
        <v>7099</v>
      </c>
      <c r="F3065" s="38" t="s">
        <v>6828</v>
      </c>
      <c r="G3065" s="38" t="s">
        <v>111</v>
      </c>
      <c r="H3065" s="44">
        <v>44208</v>
      </c>
      <c r="I3065" s="44">
        <v>44210</v>
      </c>
      <c r="J3065">
        <v>194.84</v>
      </c>
      <c r="K3065">
        <v>194.84</v>
      </c>
      <c r="L3065" t="s">
        <v>7100</v>
      </c>
      <c r="M3065" s="45" t="s">
        <v>98</v>
      </c>
      <c r="N3065" s="38" t="s">
        <v>230</v>
      </c>
      <c r="O3065" s="38" t="s">
        <v>294</v>
      </c>
      <c r="P3065" s="38" t="s">
        <v>60</v>
      </c>
      <c r="Q3065" s="38" t="s">
        <v>104</v>
      </c>
      <c r="R3065" s="38" t="s">
        <v>270</v>
      </c>
      <c r="S3065" s="38" t="s">
        <v>7101</v>
      </c>
      <c r="T3065" s="38" t="s">
        <v>7102</v>
      </c>
      <c r="U3065" s="38"/>
      <c r="V3065" s="38"/>
      <c r="W3065" s="38"/>
      <c r="X3065" s="7"/>
      <c r="Y3065" s="57"/>
      <c r="Z3065" s="7"/>
      <c r="AA3065" s="57"/>
      <c r="AB3065" s="7"/>
      <c r="AC3065" s="57"/>
      <c r="AD3065" s="7"/>
      <c r="AE3065" s="57"/>
      <c r="AF3065" s="7"/>
      <c r="AG3065" s="57"/>
      <c r="AH3065" s="7"/>
      <c r="AI3065" s="57"/>
      <c r="AJ3065" s="7"/>
      <c r="AK3065" s="57"/>
      <c r="AL3065" s="7"/>
      <c r="AN3065" s="7" t="s">
        <v>70</v>
      </c>
      <c r="AO3065" s="21">
        <f t="shared" si="151"/>
        <v>0</v>
      </c>
      <c r="AP3065" s="7">
        <f t="shared" si="150"/>
        <v>194.84</v>
      </c>
      <c r="AQ3065" s="31" t="str">
        <f t="shared" si="152"/>
        <v>Complete - No Adjustment</v>
      </c>
    </row>
    <row r="3066" spans="1:45" x14ac:dyDescent="0.2">
      <c r="A3066" s="46">
        <v>3056</v>
      </c>
      <c r="B3066" s="38" t="s">
        <v>266</v>
      </c>
      <c r="C3066" s="38" t="s">
        <v>627</v>
      </c>
      <c r="D3066" s="38" t="s">
        <v>879</v>
      </c>
      <c r="E3066" s="38" t="s">
        <v>7159</v>
      </c>
      <c r="F3066" s="38" t="s">
        <v>6799</v>
      </c>
      <c r="G3066" s="38" t="s">
        <v>111</v>
      </c>
      <c r="H3066" s="44">
        <v>44217</v>
      </c>
      <c r="I3066" s="44">
        <v>44221</v>
      </c>
      <c r="J3066">
        <v>376.11</v>
      </c>
      <c r="K3066">
        <v>376.11</v>
      </c>
      <c r="L3066"/>
      <c r="M3066" s="45" t="s">
        <v>98</v>
      </c>
      <c r="N3066" s="38" t="s">
        <v>230</v>
      </c>
      <c r="O3066" s="38" t="s">
        <v>277</v>
      </c>
      <c r="P3066" s="38" t="s">
        <v>60</v>
      </c>
      <c r="Q3066" s="38" t="s">
        <v>62</v>
      </c>
      <c r="R3066" s="38" t="s">
        <v>270</v>
      </c>
      <c r="S3066" s="38" t="s">
        <v>7160</v>
      </c>
      <c r="T3066" s="38" t="s">
        <v>7161</v>
      </c>
      <c r="U3066" s="38"/>
      <c r="V3066" s="38"/>
      <c r="W3066" s="38"/>
      <c r="X3066" s="7"/>
      <c r="Y3066" s="57"/>
      <c r="Z3066" s="7"/>
      <c r="AA3066" s="57"/>
      <c r="AB3066" s="7"/>
      <c r="AC3066" s="57"/>
      <c r="AD3066" s="7"/>
      <c r="AE3066" s="57"/>
      <c r="AF3066" s="7"/>
      <c r="AG3066" s="57"/>
      <c r="AH3066" s="7"/>
      <c r="AI3066" s="57"/>
      <c r="AJ3066" s="7"/>
      <c r="AK3066" s="57"/>
      <c r="AL3066" s="7">
        <v>376.11</v>
      </c>
      <c r="AN3066" s="7" t="s">
        <v>155</v>
      </c>
      <c r="AO3066" s="21">
        <f t="shared" si="151"/>
        <v>376.11</v>
      </c>
      <c r="AP3066" s="7">
        <f t="shared" si="150"/>
        <v>0</v>
      </c>
      <c r="AQ3066" s="31" t="str">
        <f t="shared" si="152"/>
        <v>Complete - With Adjustment</v>
      </c>
      <c r="AS3066" s="12"/>
    </row>
    <row r="3067" spans="1:45" x14ac:dyDescent="0.2">
      <c r="A3067" s="46">
        <v>3057</v>
      </c>
      <c r="B3067" s="38" t="s">
        <v>266</v>
      </c>
      <c r="C3067" s="38" t="s">
        <v>790</v>
      </c>
      <c r="D3067" s="38" t="s">
        <v>789</v>
      </c>
      <c r="E3067" s="38" t="s">
        <v>7103</v>
      </c>
      <c r="F3067" s="38" t="s">
        <v>7015</v>
      </c>
      <c r="G3067" s="38" t="s">
        <v>111</v>
      </c>
      <c r="H3067" s="44">
        <v>44188</v>
      </c>
      <c r="I3067" s="44">
        <v>44215</v>
      </c>
      <c r="J3067">
        <v>120</v>
      </c>
      <c r="K3067">
        <v>120</v>
      </c>
      <c r="L3067" t="s">
        <v>7104</v>
      </c>
      <c r="M3067" s="45" t="s">
        <v>98</v>
      </c>
      <c r="N3067" s="38" t="s">
        <v>230</v>
      </c>
      <c r="O3067" s="38" t="s">
        <v>303</v>
      </c>
      <c r="P3067" s="38" t="s">
        <v>60</v>
      </c>
      <c r="Q3067" s="38" t="s">
        <v>75</v>
      </c>
      <c r="R3067" s="38" t="s">
        <v>270</v>
      </c>
      <c r="S3067" s="38" t="s">
        <v>7105</v>
      </c>
      <c r="T3067" s="38" t="s">
        <v>7106</v>
      </c>
      <c r="U3067" s="38"/>
      <c r="V3067" s="38"/>
      <c r="W3067" s="38"/>
      <c r="X3067" s="7"/>
      <c r="Y3067" s="57"/>
      <c r="Z3067" s="7"/>
      <c r="AA3067" s="57"/>
      <c r="AB3067" s="7"/>
      <c r="AC3067" s="57"/>
      <c r="AD3067" s="7"/>
      <c r="AE3067" s="57"/>
      <c r="AF3067" s="7"/>
      <c r="AG3067" s="57"/>
      <c r="AH3067" s="7"/>
      <c r="AI3067" s="57"/>
      <c r="AJ3067" s="7"/>
      <c r="AK3067" s="57"/>
      <c r="AL3067" s="7"/>
      <c r="AN3067" s="7" t="s">
        <v>70</v>
      </c>
      <c r="AO3067" s="21">
        <f t="shared" si="151"/>
        <v>0</v>
      </c>
      <c r="AP3067" s="7">
        <f t="shared" si="150"/>
        <v>120</v>
      </c>
      <c r="AQ3067" s="31" t="str">
        <f t="shared" si="152"/>
        <v>Complete - No Adjustment</v>
      </c>
    </row>
    <row r="3068" spans="1:45" x14ac:dyDescent="0.2">
      <c r="A3068" s="46">
        <v>3058</v>
      </c>
      <c r="B3068" s="38" t="s">
        <v>266</v>
      </c>
      <c r="C3068" s="38" t="s">
        <v>7107</v>
      </c>
      <c r="D3068" s="38" t="s">
        <v>7108</v>
      </c>
      <c r="E3068" s="38" t="s">
        <v>7109</v>
      </c>
      <c r="F3068" s="38" t="s">
        <v>6810</v>
      </c>
      <c r="G3068" s="38" t="s">
        <v>111</v>
      </c>
      <c r="H3068" s="44">
        <v>44210</v>
      </c>
      <c r="I3068" s="44">
        <v>44214</v>
      </c>
      <c r="J3068">
        <v>194.84</v>
      </c>
      <c r="K3068">
        <v>194.84</v>
      </c>
      <c r="L3068" t="s">
        <v>7110</v>
      </c>
      <c r="M3068" s="45" t="s">
        <v>98</v>
      </c>
      <c r="N3068" s="38" t="s">
        <v>230</v>
      </c>
      <c r="O3068" s="38" t="s">
        <v>294</v>
      </c>
      <c r="P3068" s="38" t="s">
        <v>60</v>
      </c>
      <c r="Q3068" s="38" t="s">
        <v>104</v>
      </c>
      <c r="R3068" s="38" t="s">
        <v>270</v>
      </c>
      <c r="S3068" s="38" t="s">
        <v>7111</v>
      </c>
      <c r="T3068" s="38" t="s">
        <v>7112</v>
      </c>
      <c r="U3068" s="38"/>
      <c r="V3068" s="38"/>
      <c r="W3068" s="38"/>
      <c r="X3068" s="7"/>
      <c r="Y3068" s="57"/>
      <c r="Z3068" s="7"/>
      <c r="AA3068" s="57"/>
      <c r="AB3068" s="7"/>
      <c r="AC3068" s="57"/>
      <c r="AD3068" s="7"/>
      <c r="AE3068" s="57"/>
      <c r="AF3068" s="7"/>
      <c r="AG3068" s="57"/>
      <c r="AH3068" s="7"/>
      <c r="AI3068" s="57"/>
      <c r="AJ3068" s="7"/>
      <c r="AK3068" s="57"/>
      <c r="AL3068" s="7"/>
      <c r="AN3068" s="7" t="s">
        <v>70</v>
      </c>
      <c r="AO3068" s="21">
        <f t="shared" si="151"/>
        <v>0</v>
      </c>
      <c r="AP3068" s="7">
        <f t="shared" si="150"/>
        <v>194.84</v>
      </c>
      <c r="AQ3068" s="31" t="str">
        <f t="shared" si="152"/>
        <v>Complete - No Adjustment</v>
      </c>
    </row>
    <row r="3069" spans="1:45" x14ac:dyDescent="0.2">
      <c r="A3069" s="46">
        <v>3059</v>
      </c>
      <c r="B3069" s="38" t="s">
        <v>266</v>
      </c>
      <c r="C3069" s="38" t="s">
        <v>631</v>
      </c>
      <c r="D3069" s="38" t="s">
        <v>630</v>
      </c>
      <c r="E3069" s="38" t="s">
        <v>7113</v>
      </c>
      <c r="F3069" s="38" t="s">
        <v>6749</v>
      </c>
      <c r="G3069" s="38" t="s">
        <v>111</v>
      </c>
      <c r="H3069" s="44">
        <v>44186</v>
      </c>
      <c r="I3069" s="44">
        <v>44201</v>
      </c>
      <c r="J3069">
        <v>6148.9</v>
      </c>
      <c r="K3069">
        <v>12.01</v>
      </c>
      <c r="L3069" t="s">
        <v>7114</v>
      </c>
      <c r="M3069" s="45" t="s">
        <v>98</v>
      </c>
      <c r="N3069" s="38" t="s">
        <v>230</v>
      </c>
      <c r="O3069" s="38" t="s">
        <v>271</v>
      </c>
      <c r="P3069" s="38" t="s">
        <v>60</v>
      </c>
      <c r="Q3069" s="38" t="s">
        <v>41</v>
      </c>
      <c r="R3069" s="38" t="s">
        <v>270</v>
      </c>
      <c r="S3069" s="38" t="s">
        <v>7115</v>
      </c>
      <c r="T3069" s="38" t="s">
        <v>7116</v>
      </c>
      <c r="U3069" s="38"/>
      <c r="V3069" s="38"/>
      <c r="W3069" s="38"/>
      <c r="X3069" s="7"/>
      <c r="Y3069" s="57"/>
      <c r="Z3069" s="7"/>
      <c r="AA3069" s="57"/>
      <c r="AB3069" s="7"/>
      <c r="AC3069" s="57"/>
      <c r="AD3069" s="7"/>
      <c r="AE3069" s="57"/>
      <c r="AF3069" s="7"/>
      <c r="AG3069" s="57"/>
      <c r="AH3069" s="7"/>
      <c r="AI3069" s="57"/>
      <c r="AJ3069" s="7"/>
      <c r="AK3069" s="57"/>
      <c r="AL3069" s="7"/>
      <c r="AN3069" s="7" t="s">
        <v>70</v>
      </c>
      <c r="AO3069" s="21">
        <f t="shared" si="151"/>
        <v>0</v>
      </c>
      <c r="AP3069" s="7">
        <f t="shared" si="150"/>
        <v>12.01</v>
      </c>
      <c r="AQ3069" s="31" t="str">
        <f t="shared" si="152"/>
        <v>Complete - No Adjustment</v>
      </c>
    </row>
    <row r="3070" spans="1:45" x14ac:dyDescent="0.2">
      <c r="A3070" s="46">
        <v>3060</v>
      </c>
      <c r="B3070" s="38" t="s">
        <v>266</v>
      </c>
      <c r="C3070" s="38" t="s">
        <v>631</v>
      </c>
      <c r="D3070" s="38" t="s">
        <v>630</v>
      </c>
      <c r="E3070" s="38" t="s">
        <v>7113</v>
      </c>
      <c r="F3070" s="38" t="s">
        <v>6749</v>
      </c>
      <c r="G3070" s="38" t="s">
        <v>111</v>
      </c>
      <c r="H3070" s="44">
        <v>44186</v>
      </c>
      <c r="I3070" s="44">
        <v>44201</v>
      </c>
      <c r="J3070">
        <v>6148.9</v>
      </c>
      <c r="K3070">
        <v>124.49</v>
      </c>
      <c r="L3070" t="s">
        <v>7114</v>
      </c>
      <c r="M3070" s="45" t="s">
        <v>98</v>
      </c>
      <c r="N3070" s="38" t="s">
        <v>230</v>
      </c>
      <c r="O3070" s="38" t="s">
        <v>271</v>
      </c>
      <c r="P3070" s="38" t="s">
        <v>60</v>
      </c>
      <c r="Q3070" s="38" t="s">
        <v>7117</v>
      </c>
      <c r="R3070" s="38" t="s">
        <v>270</v>
      </c>
      <c r="S3070" s="38" t="s">
        <v>7115</v>
      </c>
      <c r="T3070" s="38" t="s">
        <v>7118</v>
      </c>
      <c r="U3070" s="38"/>
      <c r="V3070" s="38"/>
      <c r="W3070" s="38"/>
      <c r="X3070" s="7"/>
      <c r="Y3070" s="57"/>
      <c r="Z3070" s="7"/>
      <c r="AA3070" s="57"/>
      <c r="AB3070" s="7"/>
      <c r="AC3070" s="57"/>
      <c r="AD3070" s="7"/>
      <c r="AE3070" s="57"/>
      <c r="AF3070" s="7"/>
      <c r="AG3070" s="57"/>
      <c r="AH3070" s="7"/>
      <c r="AI3070" s="57"/>
      <c r="AJ3070" s="7"/>
      <c r="AK3070" s="57"/>
      <c r="AL3070" s="7"/>
      <c r="AN3070" s="7" t="s">
        <v>70</v>
      </c>
      <c r="AO3070" s="21">
        <f t="shared" si="151"/>
        <v>0</v>
      </c>
      <c r="AP3070" s="7">
        <f t="shared" si="150"/>
        <v>124.49</v>
      </c>
      <c r="AQ3070" s="31" t="str">
        <f t="shared" si="152"/>
        <v>Complete - No Adjustment</v>
      </c>
    </row>
    <row r="3071" spans="1:45" x14ac:dyDescent="0.2">
      <c r="A3071" s="46">
        <v>3061</v>
      </c>
      <c r="B3071" s="38" t="s">
        <v>266</v>
      </c>
      <c r="C3071" s="38" t="s">
        <v>631</v>
      </c>
      <c r="D3071" s="38" t="s">
        <v>630</v>
      </c>
      <c r="E3071" s="38" t="s">
        <v>7113</v>
      </c>
      <c r="F3071" s="38" t="s">
        <v>6749</v>
      </c>
      <c r="G3071" s="38" t="s">
        <v>111</v>
      </c>
      <c r="H3071" s="44">
        <v>44186</v>
      </c>
      <c r="I3071" s="44">
        <v>44201</v>
      </c>
      <c r="J3071">
        <v>6148.9</v>
      </c>
      <c r="K3071">
        <v>2809.09</v>
      </c>
      <c r="L3071" t="s">
        <v>7114</v>
      </c>
      <c r="M3071" s="45" t="s">
        <v>97</v>
      </c>
      <c r="N3071" s="38" t="s">
        <v>230</v>
      </c>
      <c r="O3071" s="38" t="s">
        <v>50</v>
      </c>
      <c r="P3071" s="38" t="s">
        <v>51</v>
      </c>
      <c r="Q3071" s="38" t="s">
        <v>57</v>
      </c>
      <c r="R3071" s="38" t="s">
        <v>270</v>
      </c>
      <c r="S3071" s="38" t="s">
        <v>7115</v>
      </c>
      <c r="T3071" s="38" t="s">
        <v>7119</v>
      </c>
      <c r="U3071" s="38" t="s">
        <v>7120</v>
      </c>
      <c r="V3071" s="38" t="s">
        <v>112</v>
      </c>
      <c r="W3071" s="38" t="s">
        <v>58</v>
      </c>
      <c r="X3071" s="7"/>
      <c r="Y3071" s="57"/>
      <c r="Z3071" s="7"/>
      <c r="AA3071" s="57"/>
      <c r="AB3071" s="7"/>
      <c r="AC3071" s="57"/>
      <c r="AD3071" s="7"/>
      <c r="AE3071" s="57"/>
      <c r="AF3071" s="7"/>
      <c r="AG3071" s="57"/>
      <c r="AH3071" s="7"/>
      <c r="AI3071" s="57"/>
      <c r="AJ3071" s="7"/>
      <c r="AK3071" s="57"/>
      <c r="AL3071" s="7"/>
      <c r="AN3071" s="7" t="s">
        <v>70</v>
      </c>
      <c r="AO3071" s="21">
        <f t="shared" si="151"/>
        <v>0</v>
      </c>
      <c r="AP3071" s="7">
        <f t="shared" si="150"/>
        <v>2809.09</v>
      </c>
      <c r="AQ3071" s="31" t="str">
        <f t="shared" si="152"/>
        <v>Complete - No Adjustment</v>
      </c>
    </row>
    <row r="3072" spans="1:45" x14ac:dyDescent="0.2">
      <c r="A3072" s="46">
        <v>3062</v>
      </c>
      <c r="B3072" s="38" t="s">
        <v>266</v>
      </c>
      <c r="C3072" s="38" t="s">
        <v>631</v>
      </c>
      <c r="D3072" s="38" t="s">
        <v>630</v>
      </c>
      <c r="E3072" s="38" t="s">
        <v>7113</v>
      </c>
      <c r="F3072" s="38" t="s">
        <v>6749</v>
      </c>
      <c r="G3072" s="38" t="s">
        <v>111</v>
      </c>
      <c r="H3072" s="44">
        <v>44186</v>
      </c>
      <c r="I3072" s="44">
        <v>44201</v>
      </c>
      <c r="J3072">
        <v>6148.9</v>
      </c>
      <c r="K3072">
        <v>68.2</v>
      </c>
      <c r="L3072" t="s">
        <v>7114</v>
      </c>
      <c r="M3072" s="45" t="s">
        <v>98</v>
      </c>
      <c r="N3072" s="38" t="s">
        <v>230</v>
      </c>
      <c r="O3072" s="38" t="s">
        <v>271</v>
      </c>
      <c r="P3072" s="38" t="s">
        <v>60</v>
      </c>
      <c r="Q3072" s="38" t="s">
        <v>7121</v>
      </c>
      <c r="R3072" s="38" t="s">
        <v>270</v>
      </c>
      <c r="S3072" s="38" t="s">
        <v>7115</v>
      </c>
      <c r="T3072" s="38" t="s">
        <v>7122</v>
      </c>
      <c r="U3072" s="38"/>
      <c r="V3072" s="38"/>
      <c r="W3072" s="38"/>
      <c r="X3072" s="7"/>
      <c r="Y3072" s="57"/>
      <c r="Z3072" s="7"/>
      <c r="AA3072" s="57"/>
      <c r="AB3072" s="7"/>
      <c r="AC3072" s="57"/>
      <c r="AD3072" s="7"/>
      <c r="AE3072" s="57"/>
      <c r="AF3072" s="7"/>
      <c r="AG3072" s="57"/>
      <c r="AH3072" s="7"/>
      <c r="AI3072" s="57"/>
      <c r="AJ3072" s="7"/>
      <c r="AK3072" s="57"/>
      <c r="AL3072" s="7"/>
      <c r="AN3072" s="7" t="s">
        <v>70</v>
      </c>
      <c r="AO3072" s="21">
        <f t="shared" si="151"/>
        <v>0</v>
      </c>
      <c r="AP3072" s="7">
        <f t="shared" ref="AP3072:AP3135" si="153">K3072-AO3072</f>
        <v>68.2</v>
      </c>
      <c r="AQ3072" s="31" t="str">
        <f t="shared" si="152"/>
        <v>Complete - No Adjustment</v>
      </c>
    </row>
    <row r="3073" spans="1:43" x14ac:dyDescent="0.2">
      <c r="A3073" s="46">
        <v>3063</v>
      </c>
      <c r="B3073" s="38" t="s">
        <v>266</v>
      </c>
      <c r="C3073" s="38" t="s">
        <v>496</v>
      </c>
      <c r="D3073" s="38" t="s">
        <v>495</v>
      </c>
      <c r="E3073" s="38" t="s">
        <v>7123</v>
      </c>
      <c r="F3073" s="38" t="s">
        <v>7070</v>
      </c>
      <c r="G3073" s="38" t="s">
        <v>111</v>
      </c>
      <c r="H3073" s="44">
        <v>44204</v>
      </c>
      <c r="I3073" s="44">
        <v>44209</v>
      </c>
      <c r="J3073">
        <v>91.23</v>
      </c>
      <c r="K3073">
        <v>6.66</v>
      </c>
      <c r="L3073" t="s">
        <v>7124</v>
      </c>
      <c r="M3073" s="45" t="s">
        <v>98</v>
      </c>
      <c r="N3073" s="38" t="s">
        <v>230</v>
      </c>
      <c r="O3073" s="38" t="s">
        <v>383</v>
      </c>
      <c r="P3073" s="38" t="s">
        <v>60</v>
      </c>
      <c r="Q3073" s="38" t="s">
        <v>73</v>
      </c>
      <c r="R3073" s="38" t="s">
        <v>270</v>
      </c>
      <c r="S3073" s="38" t="s">
        <v>7125</v>
      </c>
      <c r="T3073" s="38" t="s">
        <v>7126</v>
      </c>
      <c r="U3073" s="38"/>
      <c r="V3073" s="38"/>
      <c r="W3073" s="38"/>
      <c r="X3073" s="7"/>
      <c r="Y3073" s="57"/>
      <c r="Z3073" s="7"/>
      <c r="AA3073" s="57"/>
      <c r="AB3073" s="7"/>
      <c r="AC3073" s="57"/>
      <c r="AD3073" s="7"/>
      <c r="AE3073" s="57"/>
      <c r="AF3073" s="7"/>
      <c r="AG3073" s="57"/>
      <c r="AH3073" s="7"/>
      <c r="AI3073" s="57"/>
      <c r="AJ3073" s="7"/>
      <c r="AK3073" s="57"/>
      <c r="AL3073" s="7"/>
      <c r="AN3073" s="7" t="s">
        <v>70</v>
      </c>
      <c r="AO3073" s="21">
        <f t="shared" si="151"/>
        <v>0</v>
      </c>
      <c r="AP3073" s="7">
        <f t="shared" si="153"/>
        <v>6.66</v>
      </c>
      <c r="AQ3073" s="31" t="str">
        <f t="shared" si="152"/>
        <v>Complete - No Adjustment</v>
      </c>
    </row>
    <row r="3074" spans="1:43" x14ac:dyDescent="0.2">
      <c r="A3074" s="46">
        <v>3064</v>
      </c>
      <c r="B3074" s="38" t="s">
        <v>266</v>
      </c>
      <c r="C3074" s="38" t="s">
        <v>496</v>
      </c>
      <c r="D3074" s="38" t="s">
        <v>495</v>
      </c>
      <c r="E3074" s="38" t="s">
        <v>7123</v>
      </c>
      <c r="F3074" s="38" t="s">
        <v>7070</v>
      </c>
      <c r="G3074" s="38" t="s">
        <v>111</v>
      </c>
      <c r="H3074" s="44">
        <v>44204</v>
      </c>
      <c r="I3074" s="44">
        <v>44209</v>
      </c>
      <c r="J3074">
        <v>91.23</v>
      </c>
      <c r="K3074">
        <v>6.66</v>
      </c>
      <c r="L3074" t="s">
        <v>7124</v>
      </c>
      <c r="M3074" s="45" t="s">
        <v>98</v>
      </c>
      <c r="N3074" s="38" t="s">
        <v>230</v>
      </c>
      <c r="O3074" s="38" t="s">
        <v>444</v>
      </c>
      <c r="P3074" s="38" t="s">
        <v>60</v>
      </c>
      <c r="Q3074" s="38" t="s">
        <v>73</v>
      </c>
      <c r="R3074" s="38" t="s">
        <v>270</v>
      </c>
      <c r="S3074" s="38" t="s">
        <v>7125</v>
      </c>
      <c r="T3074" s="38" t="s">
        <v>7126</v>
      </c>
      <c r="U3074" s="38"/>
      <c r="V3074" s="38"/>
      <c r="W3074" s="38"/>
      <c r="X3074" s="7"/>
      <c r="Y3074" s="57"/>
      <c r="Z3074" s="7"/>
      <c r="AA3074" s="57"/>
      <c r="AB3074" s="7"/>
      <c r="AC3074" s="57"/>
      <c r="AD3074" s="7"/>
      <c r="AE3074" s="57"/>
      <c r="AF3074" s="7"/>
      <c r="AG3074" s="57"/>
      <c r="AH3074" s="7"/>
      <c r="AI3074" s="57"/>
      <c r="AJ3074" s="7"/>
      <c r="AK3074" s="57"/>
      <c r="AL3074" s="7"/>
      <c r="AN3074" s="7" t="s">
        <v>70</v>
      </c>
      <c r="AO3074" s="21">
        <f t="shared" si="151"/>
        <v>0</v>
      </c>
      <c r="AP3074" s="7">
        <f t="shared" si="153"/>
        <v>6.66</v>
      </c>
      <c r="AQ3074" s="31" t="str">
        <f t="shared" si="152"/>
        <v>Complete - No Adjustment</v>
      </c>
    </row>
    <row r="3075" spans="1:43" x14ac:dyDescent="0.2">
      <c r="A3075" s="46">
        <v>3065</v>
      </c>
      <c r="B3075" s="38" t="s">
        <v>266</v>
      </c>
      <c r="C3075" s="38" t="s">
        <v>496</v>
      </c>
      <c r="D3075" s="38" t="s">
        <v>495</v>
      </c>
      <c r="E3075" s="38" t="s">
        <v>7123</v>
      </c>
      <c r="F3075" s="38" t="s">
        <v>7070</v>
      </c>
      <c r="G3075" s="38" t="s">
        <v>111</v>
      </c>
      <c r="H3075" s="44">
        <v>44204</v>
      </c>
      <c r="I3075" s="44">
        <v>44209</v>
      </c>
      <c r="J3075">
        <v>91.23</v>
      </c>
      <c r="K3075">
        <v>6.68</v>
      </c>
      <c r="L3075" t="s">
        <v>7124</v>
      </c>
      <c r="M3075" s="45" t="s">
        <v>98</v>
      </c>
      <c r="N3075" s="38" t="s">
        <v>230</v>
      </c>
      <c r="O3075" s="38" t="s">
        <v>320</v>
      </c>
      <c r="P3075" s="38" t="s">
        <v>60</v>
      </c>
      <c r="Q3075" s="38" t="s">
        <v>73</v>
      </c>
      <c r="R3075" s="38" t="s">
        <v>270</v>
      </c>
      <c r="S3075" s="38" t="s">
        <v>7125</v>
      </c>
      <c r="T3075" s="38" t="s">
        <v>7126</v>
      </c>
      <c r="U3075" s="38"/>
      <c r="V3075" s="38"/>
      <c r="W3075" s="38"/>
      <c r="X3075" s="7"/>
      <c r="Y3075" s="57"/>
      <c r="Z3075" s="7"/>
      <c r="AA3075" s="57"/>
      <c r="AB3075" s="7"/>
      <c r="AC3075" s="57"/>
      <c r="AD3075" s="7"/>
      <c r="AE3075" s="57"/>
      <c r="AF3075" s="7"/>
      <c r="AG3075" s="57"/>
      <c r="AH3075" s="7"/>
      <c r="AI3075" s="57"/>
      <c r="AJ3075" s="7"/>
      <c r="AK3075" s="57"/>
      <c r="AL3075" s="7"/>
      <c r="AN3075" s="7" t="s">
        <v>70</v>
      </c>
      <c r="AO3075" s="21">
        <f t="shared" si="151"/>
        <v>0</v>
      </c>
      <c r="AP3075" s="7">
        <f t="shared" si="153"/>
        <v>6.68</v>
      </c>
      <c r="AQ3075" s="31" t="str">
        <f t="shared" si="152"/>
        <v>Complete - No Adjustment</v>
      </c>
    </row>
    <row r="3076" spans="1:43" x14ac:dyDescent="0.2">
      <c r="A3076" s="46">
        <v>3066</v>
      </c>
      <c r="B3076" s="38" t="s">
        <v>266</v>
      </c>
      <c r="C3076" s="38" t="s">
        <v>496</v>
      </c>
      <c r="D3076" s="38" t="s">
        <v>495</v>
      </c>
      <c r="E3076" s="38" t="s">
        <v>7123</v>
      </c>
      <c r="F3076" s="38" t="s">
        <v>7070</v>
      </c>
      <c r="G3076" s="38" t="s">
        <v>111</v>
      </c>
      <c r="H3076" s="44">
        <v>44204</v>
      </c>
      <c r="I3076" s="44">
        <v>44209</v>
      </c>
      <c r="J3076">
        <v>91.23</v>
      </c>
      <c r="K3076">
        <v>20</v>
      </c>
      <c r="L3076" t="s">
        <v>7124</v>
      </c>
      <c r="M3076" s="45" t="s">
        <v>98</v>
      </c>
      <c r="N3076" s="38" t="s">
        <v>230</v>
      </c>
      <c r="O3076" s="38" t="s">
        <v>375</v>
      </c>
      <c r="P3076" s="38" t="s">
        <v>60</v>
      </c>
      <c r="Q3076" s="38" t="s">
        <v>73</v>
      </c>
      <c r="R3076" s="38" t="s">
        <v>270</v>
      </c>
      <c r="S3076" s="38" t="s">
        <v>7125</v>
      </c>
      <c r="T3076" s="38" t="s">
        <v>7127</v>
      </c>
      <c r="U3076" s="38"/>
      <c r="V3076" s="38"/>
      <c r="W3076" s="38"/>
      <c r="X3076" s="7"/>
      <c r="Y3076" s="57"/>
      <c r="Z3076" s="7"/>
      <c r="AA3076" s="57"/>
      <c r="AB3076" s="7"/>
      <c r="AC3076" s="57"/>
      <c r="AD3076" s="7"/>
      <c r="AE3076" s="57"/>
      <c r="AF3076" s="7"/>
      <c r="AG3076" s="57"/>
      <c r="AH3076" s="7"/>
      <c r="AI3076" s="57"/>
      <c r="AJ3076" s="7"/>
      <c r="AK3076" s="57"/>
      <c r="AL3076" s="7"/>
      <c r="AN3076" s="7" t="s">
        <v>70</v>
      </c>
      <c r="AO3076" s="21">
        <f t="shared" si="151"/>
        <v>0</v>
      </c>
      <c r="AP3076" s="7">
        <f t="shared" si="153"/>
        <v>20</v>
      </c>
      <c r="AQ3076" s="31" t="str">
        <f t="shared" si="152"/>
        <v>Complete - No Adjustment</v>
      </c>
    </row>
    <row r="3077" spans="1:43" x14ac:dyDescent="0.2">
      <c r="A3077" s="46">
        <v>3067</v>
      </c>
      <c r="B3077" s="38" t="s">
        <v>266</v>
      </c>
      <c r="C3077" s="38" t="s">
        <v>496</v>
      </c>
      <c r="D3077" s="38" t="s">
        <v>495</v>
      </c>
      <c r="E3077" s="38" t="s">
        <v>7123</v>
      </c>
      <c r="F3077" s="38" t="s">
        <v>7070</v>
      </c>
      <c r="G3077" s="38" t="s">
        <v>111</v>
      </c>
      <c r="H3077" s="44">
        <v>44204</v>
      </c>
      <c r="I3077" s="44">
        <v>44209</v>
      </c>
      <c r="J3077">
        <v>91.23</v>
      </c>
      <c r="K3077">
        <v>51.23</v>
      </c>
      <c r="L3077" t="s">
        <v>7124</v>
      </c>
      <c r="M3077" s="45" t="s">
        <v>97</v>
      </c>
      <c r="N3077" s="38" t="s">
        <v>230</v>
      </c>
      <c r="O3077" s="38" t="s">
        <v>355</v>
      </c>
      <c r="P3077" s="38" t="s">
        <v>42</v>
      </c>
      <c r="Q3077" s="38" t="s">
        <v>57</v>
      </c>
      <c r="R3077" s="38" t="s">
        <v>270</v>
      </c>
      <c r="S3077" s="38" t="s">
        <v>7125</v>
      </c>
      <c r="T3077" s="38" t="s">
        <v>7128</v>
      </c>
      <c r="U3077" s="38"/>
      <c r="V3077" s="38"/>
      <c r="W3077" s="38"/>
      <c r="X3077" s="7"/>
      <c r="Y3077" s="57"/>
      <c r="Z3077" s="7"/>
      <c r="AA3077" s="57"/>
      <c r="AB3077" s="7"/>
      <c r="AC3077" s="57"/>
      <c r="AD3077" s="7"/>
      <c r="AE3077" s="57"/>
      <c r="AF3077" s="7"/>
      <c r="AG3077" s="57"/>
      <c r="AH3077" s="7"/>
      <c r="AI3077" s="57"/>
      <c r="AJ3077" s="7"/>
      <c r="AK3077" s="57"/>
      <c r="AL3077" s="7">
        <f>51.23</f>
        <v>51.23</v>
      </c>
      <c r="AN3077" s="7" t="s">
        <v>146</v>
      </c>
      <c r="AO3077" s="21">
        <f t="shared" si="151"/>
        <v>51.23</v>
      </c>
      <c r="AP3077" s="7">
        <f t="shared" si="153"/>
        <v>0</v>
      </c>
      <c r="AQ3077" s="31" t="str">
        <f t="shared" si="152"/>
        <v>Complete - With Adjustment</v>
      </c>
    </row>
    <row r="3078" spans="1:43" x14ac:dyDescent="0.2">
      <c r="A3078" s="46">
        <v>3068</v>
      </c>
      <c r="B3078" s="38" t="s">
        <v>266</v>
      </c>
      <c r="C3078" s="38" t="s">
        <v>7129</v>
      </c>
      <c r="D3078" s="38" t="s">
        <v>7130</v>
      </c>
      <c r="E3078" s="38" t="s">
        <v>7131</v>
      </c>
      <c r="F3078" s="38" t="s">
        <v>7006</v>
      </c>
      <c r="G3078" s="38" t="s">
        <v>111</v>
      </c>
      <c r="H3078" s="44">
        <v>44215</v>
      </c>
      <c r="I3078" s="44">
        <v>44224</v>
      </c>
      <c r="J3078">
        <v>213.99</v>
      </c>
      <c r="K3078">
        <v>213.99</v>
      </c>
      <c r="L3078" t="s">
        <v>7132</v>
      </c>
      <c r="M3078" s="45" t="s">
        <v>98</v>
      </c>
      <c r="N3078" s="38" t="s">
        <v>230</v>
      </c>
      <c r="O3078" s="38" t="s">
        <v>642</v>
      </c>
      <c r="P3078" s="38" t="s">
        <v>60</v>
      </c>
      <c r="Q3078" s="38" t="s">
        <v>104</v>
      </c>
      <c r="R3078" s="38" t="s">
        <v>270</v>
      </c>
      <c r="S3078" s="38" t="s">
        <v>7133</v>
      </c>
      <c r="T3078" s="38" t="s">
        <v>7134</v>
      </c>
      <c r="U3078" s="38"/>
      <c r="V3078" s="38"/>
      <c r="W3078" s="38"/>
      <c r="X3078" s="7"/>
      <c r="Y3078" s="57"/>
      <c r="Z3078" s="7"/>
      <c r="AA3078" s="57"/>
      <c r="AB3078" s="7"/>
      <c r="AC3078" s="57"/>
      <c r="AD3078" s="7"/>
      <c r="AE3078" s="57"/>
      <c r="AF3078" s="7"/>
      <c r="AG3078" s="57"/>
      <c r="AH3078" s="7"/>
      <c r="AI3078" s="57"/>
      <c r="AJ3078" s="7"/>
      <c r="AK3078" s="57"/>
      <c r="AL3078" s="7"/>
      <c r="AN3078" s="7" t="s">
        <v>70</v>
      </c>
      <c r="AO3078" s="21">
        <f t="shared" ref="AO3078:AO3143" si="154">SUM(Y3078:AL3078)</f>
        <v>0</v>
      </c>
      <c r="AP3078" s="7">
        <f t="shared" si="153"/>
        <v>213.99</v>
      </c>
      <c r="AQ3078" s="31" t="str">
        <f t="shared" ref="AQ3078:AQ3143" si="155">IF(AO3078&lt;&gt;0,"Complete - With Adjustment","Complete - No Adjustment")</f>
        <v>Complete - No Adjustment</v>
      </c>
    </row>
    <row r="3079" spans="1:43" x14ac:dyDescent="0.2">
      <c r="A3079" s="46">
        <v>3069</v>
      </c>
      <c r="B3079" s="38" t="s">
        <v>266</v>
      </c>
      <c r="C3079" s="38" t="s">
        <v>504</v>
      </c>
      <c r="D3079" s="38" t="s">
        <v>805</v>
      </c>
      <c r="E3079" s="38" t="s">
        <v>7135</v>
      </c>
      <c r="F3079" s="38" t="s">
        <v>6833</v>
      </c>
      <c r="G3079" s="38" t="s">
        <v>111</v>
      </c>
      <c r="H3079" s="44">
        <v>44214</v>
      </c>
      <c r="I3079" s="44">
        <v>44222</v>
      </c>
      <c r="J3079">
        <v>914.71</v>
      </c>
      <c r="K3079">
        <v>22.01</v>
      </c>
      <c r="L3079" t="s">
        <v>7136</v>
      </c>
      <c r="M3079" s="45" t="s">
        <v>98</v>
      </c>
      <c r="N3079" s="38" t="s">
        <v>230</v>
      </c>
      <c r="O3079" s="38" t="s">
        <v>484</v>
      </c>
      <c r="P3079" s="38" t="s">
        <v>60</v>
      </c>
      <c r="Q3079" s="38" t="s">
        <v>54</v>
      </c>
      <c r="R3079" s="38" t="s">
        <v>270</v>
      </c>
      <c r="S3079" s="38" t="s">
        <v>7137</v>
      </c>
      <c r="T3079" s="38" t="s">
        <v>7138</v>
      </c>
      <c r="U3079" s="38"/>
      <c r="V3079" s="38"/>
      <c r="W3079" s="38"/>
      <c r="X3079" s="7"/>
      <c r="Y3079" s="57"/>
      <c r="Z3079" s="7"/>
      <c r="AA3079" s="57">
        <f>22.01</f>
        <v>22.01</v>
      </c>
      <c r="AB3079" s="7"/>
      <c r="AC3079" s="57"/>
      <c r="AD3079" s="7"/>
      <c r="AE3079" s="57"/>
      <c r="AF3079" s="7"/>
      <c r="AG3079" s="57"/>
      <c r="AH3079" s="7"/>
      <c r="AI3079" s="57"/>
      <c r="AJ3079" s="7"/>
      <c r="AK3079" s="57"/>
      <c r="AL3079" s="7"/>
      <c r="AN3079" s="7" t="s">
        <v>15</v>
      </c>
      <c r="AO3079" s="21">
        <f t="shared" si="154"/>
        <v>22.01</v>
      </c>
      <c r="AP3079" s="7">
        <f t="shared" si="153"/>
        <v>0</v>
      </c>
      <c r="AQ3079" s="31" t="str">
        <f t="shared" si="155"/>
        <v>Complete - With Adjustment</v>
      </c>
    </row>
    <row r="3080" spans="1:43" x14ac:dyDescent="0.2">
      <c r="A3080" s="46">
        <v>3070</v>
      </c>
      <c r="B3080" s="38" t="s">
        <v>266</v>
      </c>
      <c r="C3080" s="38" t="s">
        <v>504</v>
      </c>
      <c r="D3080" s="38" t="s">
        <v>805</v>
      </c>
      <c r="E3080" s="38" t="s">
        <v>7135</v>
      </c>
      <c r="F3080" s="38" t="s">
        <v>6833</v>
      </c>
      <c r="G3080" s="38" t="s">
        <v>111</v>
      </c>
      <c r="H3080" s="44">
        <v>44214</v>
      </c>
      <c r="I3080" s="44">
        <v>44222</v>
      </c>
      <c r="J3080">
        <v>914.71</v>
      </c>
      <c r="K3080">
        <v>22.02</v>
      </c>
      <c r="L3080" t="s">
        <v>7136</v>
      </c>
      <c r="M3080" s="45" t="s">
        <v>98</v>
      </c>
      <c r="N3080" s="38" t="s">
        <v>230</v>
      </c>
      <c r="O3080" s="38" t="s">
        <v>484</v>
      </c>
      <c r="P3080" s="38" t="s">
        <v>60</v>
      </c>
      <c r="Q3080" s="38" t="s">
        <v>46</v>
      </c>
      <c r="R3080" s="38" t="s">
        <v>270</v>
      </c>
      <c r="S3080" s="38" t="s">
        <v>7137</v>
      </c>
      <c r="T3080" s="38" t="s">
        <v>7139</v>
      </c>
      <c r="U3080" s="38"/>
      <c r="V3080" s="38"/>
      <c r="W3080" s="38"/>
      <c r="X3080" s="7"/>
      <c r="Y3080" s="57"/>
      <c r="Z3080" s="7"/>
      <c r="AA3080" s="57"/>
      <c r="AB3080" s="7"/>
      <c r="AC3080" s="57"/>
      <c r="AD3080" s="7"/>
      <c r="AE3080" s="57"/>
      <c r="AF3080" s="7"/>
      <c r="AG3080" s="57"/>
      <c r="AH3080" s="7"/>
      <c r="AI3080" s="57"/>
      <c r="AJ3080" s="7"/>
      <c r="AK3080" s="57"/>
      <c r="AL3080" s="7">
        <f>22.02</f>
        <v>22.02</v>
      </c>
      <c r="AN3080" s="7" t="s">
        <v>146</v>
      </c>
      <c r="AO3080" s="21">
        <f t="shared" si="154"/>
        <v>22.02</v>
      </c>
      <c r="AP3080" s="7">
        <f t="shared" si="153"/>
        <v>0</v>
      </c>
      <c r="AQ3080" s="31" t="str">
        <f t="shared" si="155"/>
        <v>Complete - With Adjustment</v>
      </c>
    </row>
    <row r="3081" spans="1:43" x14ac:dyDescent="0.2">
      <c r="A3081" s="46">
        <v>3071</v>
      </c>
      <c r="B3081" s="38" t="s">
        <v>266</v>
      </c>
      <c r="C3081" s="38" t="s">
        <v>504</v>
      </c>
      <c r="D3081" s="38" t="s">
        <v>805</v>
      </c>
      <c r="E3081" s="38" t="s">
        <v>7135</v>
      </c>
      <c r="F3081" s="38" t="s">
        <v>6833</v>
      </c>
      <c r="G3081" s="38" t="s">
        <v>111</v>
      </c>
      <c r="H3081" s="44">
        <v>44214</v>
      </c>
      <c r="I3081" s="44">
        <v>44222</v>
      </c>
      <c r="J3081">
        <v>914.71</v>
      </c>
      <c r="K3081">
        <v>64.41</v>
      </c>
      <c r="L3081" t="s">
        <v>7136</v>
      </c>
      <c r="M3081" s="45" t="s">
        <v>98</v>
      </c>
      <c r="N3081" s="38" t="s">
        <v>230</v>
      </c>
      <c r="O3081" s="38" t="s">
        <v>507</v>
      </c>
      <c r="P3081" s="38" t="s">
        <v>60</v>
      </c>
      <c r="Q3081" s="38" t="s">
        <v>79</v>
      </c>
      <c r="R3081" s="38" t="s">
        <v>270</v>
      </c>
      <c r="S3081" s="38" t="s">
        <v>7137</v>
      </c>
      <c r="T3081" s="38" t="s">
        <v>7140</v>
      </c>
      <c r="U3081" s="38"/>
      <c r="V3081" s="38"/>
      <c r="W3081" s="38"/>
      <c r="X3081" s="7"/>
      <c r="Y3081" s="57"/>
      <c r="Z3081" s="7"/>
      <c r="AA3081" s="57"/>
      <c r="AB3081" s="7"/>
      <c r="AC3081" s="57"/>
      <c r="AD3081" s="7"/>
      <c r="AE3081" s="57"/>
      <c r="AF3081" s="7">
        <f>64.41</f>
        <v>64.41</v>
      </c>
      <c r="AG3081" s="57"/>
      <c r="AH3081" s="7"/>
      <c r="AI3081" s="57"/>
      <c r="AJ3081" s="7"/>
      <c r="AK3081" s="57"/>
      <c r="AL3081" s="7"/>
      <c r="AN3081" s="7" t="s">
        <v>110</v>
      </c>
      <c r="AO3081" s="21">
        <f t="shared" si="154"/>
        <v>64.41</v>
      </c>
      <c r="AP3081" s="7">
        <f t="shared" si="153"/>
        <v>0</v>
      </c>
      <c r="AQ3081" s="31" t="str">
        <f t="shared" si="155"/>
        <v>Complete - With Adjustment</v>
      </c>
    </row>
    <row r="3082" spans="1:43" x14ac:dyDescent="0.2">
      <c r="A3082" s="46">
        <v>3072</v>
      </c>
      <c r="B3082" s="38" t="s">
        <v>266</v>
      </c>
      <c r="C3082" s="38" t="s">
        <v>504</v>
      </c>
      <c r="D3082" s="38" t="s">
        <v>805</v>
      </c>
      <c r="E3082" s="38" t="s">
        <v>7135</v>
      </c>
      <c r="F3082" s="38" t="s">
        <v>6833</v>
      </c>
      <c r="G3082" s="38" t="s">
        <v>111</v>
      </c>
      <c r="H3082" s="44">
        <v>44214</v>
      </c>
      <c r="I3082" s="44">
        <v>44222</v>
      </c>
      <c r="J3082">
        <v>914.71</v>
      </c>
      <c r="K3082">
        <v>38.21</v>
      </c>
      <c r="L3082" t="s">
        <v>7136</v>
      </c>
      <c r="M3082" s="45" t="s">
        <v>98</v>
      </c>
      <c r="N3082" s="38" t="s">
        <v>230</v>
      </c>
      <c r="O3082" s="38" t="s">
        <v>484</v>
      </c>
      <c r="P3082" s="38" t="s">
        <v>60</v>
      </c>
      <c r="Q3082" s="38" t="s">
        <v>46</v>
      </c>
      <c r="R3082" s="38" t="s">
        <v>270</v>
      </c>
      <c r="S3082" s="38" t="s">
        <v>7137</v>
      </c>
      <c r="T3082" s="38" t="s">
        <v>7139</v>
      </c>
      <c r="U3082" s="38"/>
      <c r="V3082" s="38"/>
      <c r="W3082" s="38"/>
      <c r="X3082" s="7"/>
      <c r="Y3082" s="57"/>
      <c r="Z3082" s="7"/>
      <c r="AA3082" s="57"/>
      <c r="AB3082" s="7"/>
      <c r="AC3082" s="57"/>
      <c r="AD3082" s="7"/>
      <c r="AE3082" s="57"/>
      <c r="AF3082" s="7"/>
      <c r="AG3082" s="57"/>
      <c r="AH3082" s="7"/>
      <c r="AI3082" s="57"/>
      <c r="AJ3082" s="7"/>
      <c r="AK3082" s="57"/>
      <c r="AL3082" s="7">
        <f>38.21</f>
        <v>38.21</v>
      </c>
      <c r="AN3082" s="7" t="s">
        <v>146</v>
      </c>
      <c r="AO3082" s="21">
        <f t="shared" si="154"/>
        <v>38.21</v>
      </c>
      <c r="AP3082" s="7">
        <f t="shared" si="153"/>
        <v>0</v>
      </c>
      <c r="AQ3082" s="31" t="str">
        <f t="shared" si="155"/>
        <v>Complete - With Adjustment</v>
      </c>
    </row>
    <row r="3083" spans="1:43" x14ac:dyDescent="0.2">
      <c r="A3083" s="46">
        <v>3073</v>
      </c>
      <c r="B3083" s="38" t="s">
        <v>266</v>
      </c>
      <c r="C3083" s="38" t="s">
        <v>504</v>
      </c>
      <c r="D3083" s="38" t="s">
        <v>805</v>
      </c>
      <c r="E3083" s="38" t="s">
        <v>7135</v>
      </c>
      <c r="F3083" s="38" t="s">
        <v>6833</v>
      </c>
      <c r="G3083" s="38" t="s">
        <v>111</v>
      </c>
      <c r="H3083" s="44">
        <v>44214</v>
      </c>
      <c r="I3083" s="44">
        <v>44222</v>
      </c>
      <c r="J3083">
        <v>914.71</v>
      </c>
      <c r="K3083">
        <v>64.41</v>
      </c>
      <c r="L3083" t="s">
        <v>7136</v>
      </c>
      <c r="M3083" s="45" t="s">
        <v>98</v>
      </c>
      <c r="N3083" s="38" t="s">
        <v>230</v>
      </c>
      <c r="O3083" s="38" t="s">
        <v>507</v>
      </c>
      <c r="P3083" s="38" t="s">
        <v>60</v>
      </c>
      <c r="Q3083" s="38" t="s">
        <v>79</v>
      </c>
      <c r="R3083" s="38" t="s">
        <v>270</v>
      </c>
      <c r="S3083" s="38" t="s">
        <v>7137</v>
      </c>
      <c r="T3083" s="38" t="s">
        <v>7141</v>
      </c>
      <c r="U3083" s="38"/>
      <c r="V3083" s="38"/>
      <c r="W3083" s="38"/>
      <c r="X3083" s="7"/>
      <c r="Y3083" s="57"/>
      <c r="Z3083" s="7"/>
      <c r="AA3083" s="57"/>
      <c r="AB3083" s="7"/>
      <c r="AC3083" s="57"/>
      <c r="AD3083" s="7"/>
      <c r="AE3083" s="57"/>
      <c r="AF3083" s="7">
        <f>64.41</f>
        <v>64.41</v>
      </c>
      <c r="AG3083" s="57"/>
      <c r="AH3083" s="7"/>
      <c r="AI3083" s="57"/>
      <c r="AJ3083" s="7"/>
      <c r="AK3083" s="57"/>
      <c r="AL3083" s="7"/>
      <c r="AN3083" s="7" t="s">
        <v>110</v>
      </c>
      <c r="AO3083" s="21">
        <f t="shared" si="154"/>
        <v>64.41</v>
      </c>
      <c r="AP3083" s="7">
        <f t="shared" si="153"/>
        <v>0</v>
      </c>
      <c r="AQ3083" s="31" t="str">
        <f t="shared" si="155"/>
        <v>Complete - With Adjustment</v>
      </c>
    </row>
    <row r="3084" spans="1:43" x14ac:dyDescent="0.2">
      <c r="A3084" s="46">
        <v>3074</v>
      </c>
      <c r="B3084" s="38" t="s">
        <v>266</v>
      </c>
      <c r="C3084" s="38" t="s">
        <v>504</v>
      </c>
      <c r="D3084" s="38" t="s">
        <v>805</v>
      </c>
      <c r="E3084" s="38" t="s">
        <v>7135</v>
      </c>
      <c r="F3084" s="38" t="s">
        <v>6833</v>
      </c>
      <c r="G3084" s="38" t="s">
        <v>111</v>
      </c>
      <c r="H3084" s="44">
        <v>44214</v>
      </c>
      <c r="I3084" s="44">
        <v>44222</v>
      </c>
      <c r="J3084">
        <v>914.71</v>
      </c>
      <c r="K3084">
        <v>299</v>
      </c>
      <c r="L3084" t="s">
        <v>7136</v>
      </c>
      <c r="M3084" s="45" t="s">
        <v>98</v>
      </c>
      <c r="N3084" s="38" t="s">
        <v>230</v>
      </c>
      <c r="O3084" s="38" t="s">
        <v>484</v>
      </c>
      <c r="P3084" s="38" t="s">
        <v>60</v>
      </c>
      <c r="Q3084" s="38" t="s">
        <v>46</v>
      </c>
      <c r="R3084" s="38" t="s">
        <v>270</v>
      </c>
      <c r="S3084" s="38" t="s">
        <v>7137</v>
      </c>
      <c r="T3084" s="38" t="s">
        <v>7142</v>
      </c>
      <c r="U3084" s="38"/>
      <c r="V3084" s="38"/>
      <c r="W3084" s="38"/>
      <c r="X3084" s="7"/>
      <c r="Y3084" s="57"/>
      <c r="Z3084" s="7"/>
      <c r="AA3084" s="57"/>
      <c r="AB3084" s="7"/>
      <c r="AC3084" s="57"/>
      <c r="AD3084" s="7"/>
      <c r="AE3084" s="57"/>
      <c r="AF3084" s="7"/>
      <c r="AG3084" s="57"/>
      <c r="AH3084" s="7"/>
      <c r="AI3084" s="57">
        <f>299</f>
        <v>299</v>
      </c>
      <c r="AJ3084" s="7"/>
      <c r="AK3084" s="57"/>
      <c r="AL3084" s="7"/>
      <c r="AN3084" s="7" t="s">
        <v>145</v>
      </c>
      <c r="AO3084" s="21">
        <f t="shared" si="154"/>
        <v>299</v>
      </c>
      <c r="AP3084" s="7">
        <f t="shared" si="153"/>
        <v>0</v>
      </c>
      <c r="AQ3084" s="31" t="str">
        <f t="shared" si="155"/>
        <v>Complete - With Adjustment</v>
      </c>
    </row>
    <row r="3085" spans="1:43" x14ac:dyDescent="0.2">
      <c r="A3085" s="46">
        <v>3075</v>
      </c>
      <c r="B3085" s="38" t="s">
        <v>266</v>
      </c>
      <c r="C3085" s="38" t="s">
        <v>504</v>
      </c>
      <c r="D3085" s="38" t="s">
        <v>805</v>
      </c>
      <c r="E3085" s="38" t="s">
        <v>7135</v>
      </c>
      <c r="F3085" s="38" t="s">
        <v>6833</v>
      </c>
      <c r="G3085" s="38" t="s">
        <v>111</v>
      </c>
      <c r="H3085" s="44">
        <v>44214</v>
      </c>
      <c r="I3085" s="44">
        <v>44222</v>
      </c>
      <c r="J3085">
        <v>914.71</v>
      </c>
      <c r="K3085">
        <v>38.21</v>
      </c>
      <c r="L3085" t="s">
        <v>7136</v>
      </c>
      <c r="M3085" s="45" t="s">
        <v>98</v>
      </c>
      <c r="N3085" s="38" t="s">
        <v>230</v>
      </c>
      <c r="O3085" s="38" t="s">
        <v>484</v>
      </c>
      <c r="P3085" s="38" t="s">
        <v>60</v>
      </c>
      <c r="Q3085" s="38" t="s">
        <v>54</v>
      </c>
      <c r="R3085" s="38" t="s">
        <v>270</v>
      </c>
      <c r="S3085" s="38" t="s">
        <v>7137</v>
      </c>
      <c r="T3085" s="38" t="s">
        <v>7143</v>
      </c>
      <c r="U3085" s="38"/>
      <c r="V3085" s="38"/>
      <c r="W3085" s="38"/>
      <c r="X3085" s="7"/>
      <c r="Y3085" s="57"/>
      <c r="Z3085" s="7"/>
      <c r="AA3085" s="57">
        <f>38.21</f>
        <v>38.21</v>
      </c>
      <c r="AB3085" s="7"/>
      <c r="AC3085" s="57"/>
      <c r="AD3085" s="7"/>
      <c r="AE3085" s="57"/>
      <c r="AF3085" s="7"/>
      <c r="AG3085" s="57"/>
      <c r="AH3085" s="7"/>
      <c r="AI3085" s="57"/>
      <c r="AJ3085" s="7"/>
      <c r="AK3085" s="57"/>
      <c r="AL3085" s="7"/>
      <c r="AN3085" s="7" t="s">
        <v>15</v>
      </c>
      <c r="AO3085" s="21">
        <f t="shared" si="154"/>
        <v>38.21</v>
      </c>
      <c r="AP3085" s="7">
        <f t="shared" si="153"/>
        <v>0</v>
      </c>
      <c r="AQ3085" s="31" t="str">
        <f t="shared" si="155"/>
        <v>Complete - With Adjustment</v>
      </c>
    </row>
    <row r="3086" spans="1:43" x14ac:dyDescent="0.2">
      <c r="A3086" s="46">
        <v>3076</v>
      </c>
      <c r="B3086" s="38" t="s">
        <v>266</v>
      </c>
      <c r="C3086" s="38" t="s">
        <v>504</v>
      </c>
      <c r="D3086" s="38" t="s">
        <v>805</v>
      </c>
      <c r="E3086" s="38" t="s">
        <v>7135</v>
      </c>
      <c r="F3086" s="38" t="s">
        <v>6833</v>
      </c>
      <c r="G3086" s="38" t="s">
        <v>111</v>
      </c>
      <c r="H3086" s="44">
        <v>44214</v>
      </c>
      <c r="I3086" s="44">
        <v>44222</v>
      </c>
      <c r="J3086">
        <v>914.71</v>
      </c>
      <c r="K3086">
        <v>39.159999999999997</v>
      </c>
      <c r="L3086" t="s">
        <v>7136</v>
      </c>
      <c r="M3086" s="45" t="s">
        <v>98</v>
      </c>
      <c r="N3086" s="38" t="s">
        <v>230</v>
      </c>
      <c r="O3086" s="38" t="s">
        <v>484</v>
      </c>
      <c r="P3086" s="38" t="s">
        <v>60</v>
      </c>
      <c r="Q3086" s="38" t="s">
        <v>46</v>
      </c>
      <c r="R3086" s="38" t="s">
        <v>270</v>
      </c>
      <c r="S3086" s="38" t="s">
        <v>7137</v>
      </c>
      <c r="T3086" s="38" t="s">
        <v>7144</v>
      </c>
      <c r="U3086" s="38"/>
      <c r="V3086" s="38"/>
      <c r="W3086" s="38"/>
      <c r="X3086" s="7"/>
      <c r="Y3086" s="57"/>
      <c r="Z3086" s="7"/>
      <c r="AA3086" s="57"/>
      <c r="AB3086" s="7"/>
      <c r="AC3086" s="57"/>
      <c r="AD3086" s="7"/>
      <c r="AE3086" s="57"/>
      <c r="AF3086" s="7"/>
      <c r="AG3086" s="57"/>
      <c r="AH3086" s="7"/>
      <c r="AI3086" s="57"/>
      <c r="AJ3086" s="7"/>
      <c r="AK3086" s="57"/>
      <c r="AL3086" s="7">
        <f>39.16</f>
        <v>39.159999999999997</v>
      </c>
      <c r="AN3086" s="7" t="s">
        <v>146</v>
      </c>
      <c r="AO3086" s="21">
        <f t="shared" si="154"/>
        <v>39.159999999999997</v>
      </c>
      <c r="AP3086" s="7">
        <f t="shared" si="153"/>
        <v>0</v>
      </c>
      <c r="AQ3086" s="31" t="str">
        <f t="shared" si="155"/>
        <v>Complete - With Adjustment</v>
      </c>
    </row>
    <row r="3087" spans="1:43" x14ac:dyDescent="0.2">
      <c r="A3087" s="46">
        <v>3077</v>
      </c>
      <c r="B3087" s="38" t="s">
        <v>266</v>
      </c>
      <c r="C3087" s="38" t="s">
        <v>504</v>
      </c>
      <c r="D3087" s="38" t="s">
        <v>805</v>
      </c>
      <c r="E3087" s="38" t="s">
        <v>7135</v>
      </c>
      <c r="F3087" s="38" t="s">
        <v>6833</v>
      </c>
      <c r="G3087" s="38" t="s">
        <v>111</v>
      </c>
      <c r="H3087" s="44">
        <v>44214</v>
      </c>
      <c r="I3087" s="44">
        <v>44222</v>
      </c>
      <c r="J3087">
        <v>914.71</v>
      </c>
      <c r="K3087">
        <v>226.83</v>
      </c>
      <c r="L3087" t="s">
        <v>7136</v>
      </c>
      <c r="M3087" s="45" t="s">
        <v>98</v>
      </c>
      <c r="N3087" s="38" t="s">
        <v>230</v>
      </c>
      <c r="O3087" s="38" t="s">
        <v>658</v>
      </c>
      <c r="P3087" s="38" t="s">
        <v>60</v>
      </c>
      <c r="Q3087" s="38" t="s">
        <v>46</v>
      </c>
      <c r="R3087" s="38" t="s">
        <v>270</v>
      </c>
      <c r="S3087" s="38" t="s">
        <v>7137</v>
      </c>
      <c r="T3087" s="38" t="s">
        <v>7145</v>
      </c>
      <c r="U3087" s="38"/>
      <c r="V3087" s="38"/>
      <c r="W3087" s="38"/>
      <c r="X3087" s="7"/>
      <c r="Y3087" s="57"/>
      <c r="Z3087" s="7"/>
      <c r="AA3087" s="57"/>
      <c r="AB3087" s="7"/>
      <c r="AC3087" s="57"/>
      <c r="AD3087" s="7"/>
      <c r="AE3087" s="57"/>
      <c r="AF3087" s="7"/>
      <c r="AG3087" s="57"/>
      <c r="AH3087" s="7"/>
      <c r="AI3087" s="57"/>
      <c r="AJ3087" s="7"/>
      <c r="AK3087" s="57"/>
      <c r="AL3087" s="7">
        <f>226.83</f>
        <v>226.83</v>
      </c>
      <c r="AN3087" s="7" t="s">
        <v>146</v>
      </c>
      <c r="AO3087" s="21">
        <f t="shared" si="154"/>
        <v>226.83</v>
      </c>
      <c r="AP3087" s="7">
        <f t="shared" si="153"/>
        <v>0</v>
      </c>
      <c r="AQ3087" s="31" t="str">
        <f t="shared" si="155"/>
        <v>Complete - With Adjustment</v>
      </c>
    </row>
    <row r="3088" spans="1:43" x14ac:dyDescent="0.2">
      <c r="A3088" s="46">
        <v>3078</v>
      </c>
      <c r="B3088" s="38" t="s">
        <v>266</v>
      </c>
      <c r="C3088" s="38" t="s">
        <v>504</v>
      </c>
      <c r="D3088" s="38" t="s">
        <v>805</v>
      </c>
      <c r="E3088" s="38" t="s">
        <v>7135</v>
      </c>
      <c r="F3088" s="38" t="s">
        <v>6833</v>
      </c>
      <c r="G3088" s="38" t="s">
        <v>111</v>
      </c>
      <c r="H3088" s="44">
        <v>44214</v>
      </c>
      <c r="I3088" s="44">
        <v>44222</v>
      </c>
      <c r="J3088">
        <v>914.71</v>
      </c>
      <c r="K3088">
        <v>39.17</v>
      </c>
      <c r="L3088" t="s">
        <v>7136</v>
      </c>
      <c r="M3088" s="45" t="s">
        <v>98</v>
      </c>
      <c r="N3088" s="38" t="s">
        <v>230</v>
      </c>
      <c r="O3088" s="38" t="s">
        <v>484</v>
      </c>
      <c r="P3088" s="38" t="s">
        <v>60</v>
      </c>
      <c r="Q3088" s="38" t="s">
        <v>54</v>
      </c>
      <c r="R3088" s="38" t="s">
        <v>270</v>
      </c>
      <c r="S3088" s="38" t="s">
        <v>7137</v>
      </c>
      <c r="T3088" s="38" t="s">
        <v>7146</v>
      </c>
      <c r="U3088" s="38"/>
      <c r="V3088" s="38"/>
      <c r="W3088" s="38"/>
      <c r="X3088" s="7"/>
      <c r="Y3088" s="57"/>
      <c r="Z3088" s="7"/>
      <c r="AA3088" s="57">
        <f>39.17</f>
        <v>39.17</v>
      </c>
      <c r="AB3088" s="7"/>
      <c r="AC3088" s="57"/>
      <c r="AD3088" s="7"/>
      <c r="AE3088" s="57"/>
      <c r="AF3088" s="7"/>
      <c r="AG3088" s="57"/>
      <c r="AH3088" s="7"/>
      <c r="AI3088" s="57"/>
      <c r="AJ3088" s="7"/>
      <c r="AK3088" s="57"/>
      <c r="AL3088" s="7"/>
      <c r="AN3088" s="7" t="s">
        <v>15</v>
      </c>
      <c r="AO3088" s="21">
        <f t="shared" si="154"/>
        <v>39.17</v>
      </c>
      <c r="AP3088" s="7">
        <f t="shared" si="153"/>
        <v>0</v>
      </c>
      <c r="AQ3088" s="31" t="str">
        <f t="shared" si="155"/>
        <v>Complete - With Adjustment</v>
      </c>
    </row>
    <row r="3089" spans="1:43" x14ac:dyDescent="0.2">
      <c r="A3089" s="46">
        <v>3079</v>
      </c>
      <c r="B3089" s="38" t="s">
        <v>266</v>
      </c>
      <c r="C3089" s="38" t="s">
        <v>504</v>
      </c>
      <c r="D3089" s="38" t="s">
        <v>805</v>
      </c>
      <c r="E3089" s="38" t="s">
        <v>7135</v>
      </c>
      <c r="F3089" s="38" t="s">
        <v>6833</v>
      </c>
      <c r="G3089" s="38" t="s">
        <v>111</v>
      </c>
      <c r="H3089" s="44">
        <v>44214</v>
      </c>
      <c r="I3089" s="44">
        <v>44222</v>
      </c>
      <c r="J3089">
        <v>914.71</v>
      </c>
      <c r="K3089">
        <v>30.64</v>
      </c>
      <c r="L3089" t="s">
        <v>7136</v>
      </c>
      <c r="M3089" s="45" t="s">
        <v>98</v>
      </c>
      <c r="N3089" s="38" t="s">
        <v>230</v>
      </c>
      <c r="O3089" s="38" t="s">
        <v>507</v>
      </c>
      <c r="P3089" s="38" t="s">
        <v>60</v>
      </c>
      <c r="Q3089" s="38" t="s">
        <v>46</v>
      </c>
      <c r="R3089" s="38" t="s">
        <v>270</v>
      </c>
      <c r="S3089" s="38" t="s">
        <v>7137</v>
      </c>
      <c r="T3089" s="38" t="s">
        <v>7147</v>
      </c>
      <c r="U3089" s="38"/>
      <c r="V3089" s="38"/>
      <c r="W3089" s="38"/>
      <c r="X3089" s="7"/>
      <c r="Y3089" s="57"/>
      <c r="Z3089" s="7"/>
      <c r="AA3089" s="57"/>
      <c r="AB3089" s="7"/>
      <c r="AC3089" s="57"/>
      <c r="AD3089" s="7"/>
      <c r="AE3089" s="57"/>
      <c r="AF3089" s="7"/>
      <c r="AG3089" s="57"/>
      <c r="AH3089" s="7"/>
      <c r="AI3089" s="57">
        <f>30.64</f>
        <v>30.64</v>
      </c>
      <c r="AJ3089" s="7"/>
      <c r="AK3089" s="57"/>
      <c r="AL3089" s="7"/>
      <c r="AN3089" s="7" t="s">
        <v>145</v>
      </c>
      <c r="AO3089" s="21">
        <f t="shared" si="154"/>
        <v>30.64</v>
      </c>
      <c r="AP3089" s="7">
        <f t="shared" si="153"/>
        <v>0</v>
      </c>
      <c r="AQ3089" s="31" t="str">
        <f t="shared" si="155"/>
        <v>Complete - With Adjustment</v>
      </c>
    </row>
    <row r="3090" spans="1:43" x14ac:dyDescent="0.2">
      <c r="A3090" s="46">
        <v>3080</v>
      </c>
      <c r="B3090" s="38" t="s">
        <v>266</v>
      </c>
      <c r="C3090" s="38" t="s">
        <v>504</v>
      </c>
      <c r="D3090" s="38" t="s">
        <v>805</v>
      </c>
      <c r="E3090" s="38" t="s">
        <v>7135</v>
      </c>
      <c r="F3090" s="38" t="s">
        <v>6833</v>
      </c>
      <c r="G3090" s="38" t="s">
        <v>111</v>
      </c>
      <c r="H3090" s="44">
        <v>44214</v>
      </c>
      <c r="I3090" s="44">
        <v>44222</v>
      </c>
      <c r="J3090">
        <v>914.71</v>
      </c>
      <c r="K3090">
        <v>30.64</v>
      </c>
      <c r="L3090" t="s">
        <v>7136</v>
      </c>
      <c r="M3090" s="45" t="s">
        <v>98</v>
      </c>
      <c r="N3090" s="38" t="s">
        <v>230</v>
      </c>
      <c r="O3090" s="38" t="s">
        <v>507</v>
      </c>
      <c r="P3090" s="38" t="s">
        <v>60</v>
      </c>
      <c r="Q3090" s="38" t="s">
        <v>46</v>
      </c>
      <c r="R3090" s="38" t="s">
        <v>270</v>
      </c>
      <c r="S3090" s="38" t="s">
        <v>7137</v>
      </c>
      <c r="T3090" s="38" t="s">
        <v>7147</v>
      </c>
      <c r="U3090" s="38"/>
      <c r="V3090" s="38"/>
      <c r="W3090" s="38"/>
      <c r="X3090" s="7"/>
      <c r="Y3090" s="57"/>
      <c r="Z3090" s="7"/>
      <c r="AA3090" s="57"/>
      <c r="AB3090" s="7"/>
      <c r="AC3090" s="57"/>
      <c r="AD3090" s="7"/>
      <c r="AE3090" s="57"/>
      <c r="AF3090" s="7"/>
      <c r="AG3090" s="57"/>
      <c r="AH3090" s="7"/>
      <c r="AI3090" s="57">
        <f>30.64</f>
        <v>30.64</v>
      </c>
      <c r="AJ3090" s="7"/>
      <c r="AK3090" s="57"/>
      <c r="AL3090" s="7"/>
      <c r="AN3090" s="7" t="s">
        <v>145</v>
      </c>
      <c r="AO3090" s="21">
        <f t="shared" si="154"/>
        <v>30.64</v>
      </c>
      <c r="AP3090" s="7">
        <f t="shared" si="153"/>
        <v>0</v>
      </c>
      <c r="AQ3090" s="31" t="str">
        <f t="shared" si="155"/>
        <v>Complete - With Adjustment</v>
      </c>
    </row>
    <row r="3091" spans="1:43" x14ac:dyDescent="0.2">
      <c r="A3091" s="46">
        <v>3081</v>
      </c>
      <c r="B3091" s="38" t="s">
        <v>266</v>
      </c>
      <c r="C3091" s="38" t="s">
        <v>268</v>
      </c>
      <c r="D3091" s="38" t="s">
        <v>267</v>
      </c>
      <c r="E3091" s="38" t="s">
        <v>7162</v>
      </c>
      <c r="F3091" s="38" t="s">
        <v>7163</v>
      </c>
      <c r="G3091" s="38" t="s">
        <v>111</v>
      </c>
      <c r="H3091" s="44">
        <v>44232</v>
      </c>
      <c r="I3091" s="44">
        <v>44238</v>
      </c>
      <c r="J3091">
        <v>23.96</v>
      </c>
      <c r="K3091">
        <v>19.3</v>
      </c>
      <c r="L3091" t="s">
        <v>7164</v>
      </c>
      <c r="M3091" s="45" t="s">
        <v>98</v>
      </c>
      <c r="N3091" s="38" t="s">
        <v>230</v>
      </c>
      <c r="O3091" s="38" t="s">
        <v>269</v>
      </c>
      <c r="P3091" s="38" t="s">
        <v>60</v>
      </c>
      <c r="Q3091" s="38" t="s">
        <v>46</v>
      </c>
      <c r="R3091" s="38" t="s">
        <v>270</v>
      </c>
      <c r="S3091" s="38" t="s">
        <v>7165</v>
      </c>
      <c r="T3091" s="38" t="s">
        <v>7166</v>
      </c>
      <c r="U3091" s="38"/>
      <c r="V3091" s="38"/>
      <c r="W3091" s="38"/>
      <c r="X3091" s="38"/>
      <c r="Y3091" s="57"/>
      <c r="Z3091" s="7"/>
      <c r="AA3091" s="57"/>
      <c r="AB3091" s="7"/>
      <c r="AC3091" s="57"/>
      <c r="AD3091" s="7"/>
      <c r="AE3091" s="57"/>
      <c r="AF3091" s="7"/>
      <c r="AG3091" s="57"/>
      <c r="AH3091" s="7"/>
      <c r="AI3091" s="57">
        <f>19.3</f>
        <v>19.3</v>
      </c>
      <c r="AJ3091" s="7"/>
      <c r="AK3091" s="57"/>
      <c r="AL3091" s="7"/>
      <c r="AN3091" s="7" t="s">
        <v>145</v>
      </c>
      <c r="AO3091" s="21">
        <f t="shared" si="154"/>
        <v>19.3</v>
      </c>
      <c r="AP3091" s="7">
        <f t="shared" si="153"/>
        <v>0</v>
      </c>
      <c r="AQ3091" s="31" t="str">
        <f t="shared" si="155"/>
        <v>Complete - With Adjustment</v>
      </c>
    </row>
    <row r="3092" spans="1:43" x14ac:dyDescent="0.2">
      <c r="A3092" s="46">
        <v>3082</v>
      </c>
      <c r="B3092" s="38" t="s">
        <v>266</v>
      </c>
      <c r="C3092" s="38" t="s">
        <v>268</v>
      </c>
      <c r="D3092" s="38" t="s">
        <v>267</v>
      </c>
      <c r="E3092" s="38" t="s">
        <v>7162</v>
      </c>
      <c r="F3092" s="38" t="s">
        <v>7163</v>
      </c>
      <c r="G3092" s="38" t="s">
        <v>111</v>
      </c>
      <c r="H3092" s="44">
        <v>44232</v>
      </c>
      <c r="I3092" s="44">
        <v>44238</v>
      </c>
      <c r="J3092">
        <v>23.96</v>
      </c>
      <c r="K3092">
        <v>4.66</v>
      </c>
      <c r="L3092" t="s">
        <v>7164</v>
      </c>
      <c r="M3092" s="45" t="s">
        <v>98</v>
      </c>
      <c r="N3092" s="38" t="s">
        <v>230</v>
      </c>
      <c r="O3092" s="38" t="s">
        <v>269</v>
      </c>
      <c r="P3092" s="38" t="s">
        <v>60</v>
      </c>
      <c r="Q3092" s="38" t="s">
        <v>46</v>
      </c>
      <c r="R3092" s="38" t="s">
        <v>270</v>
      </c>
      <c r="S3092" s="38" t="s">
        <v>7165</v>
      </c>
      <c r="T3092" s="38" t="s">
        <v>7166</v>
      </c>
      <c r="U3092" s="38"/>
      <c r="V3092" s="38"/>
      <c r="W3092" s="38"/>
      <c r="X3092" s="38"/>
      <c r="Y3092" s="57"/>
      <c r="Z3092" s="7"/>
      <c r="AA3092" s="57"/>
      <c r="AB3092" s="7"/>
      <c r="AC3092" s="57"/>
      <c r="AD3092" s="7"/>
      <c r="AE3092" s="57"/>
      <c r="AF3092" s="7"/>
      <c r="AG3092" s="57"/>
      <c r="AH3092" s="7"/>
      <c r="AI3092" s="57">
        <f>4.66</f>
        <v>4.66</v>
      </c>
      <c r="AJ3092" s="7"/>
      <c r="AK3092" s="57"/>
      <c r="AL3092" s="7"/>
      <c r="AN3092" s="7" t="s">
        <v>145</v>
      </c>
      <c r="AO3092" s="21">
        <f t="shared" si="154"/>
        <v>4.66</v>
      </c>
      <c r="AP3092" s="7">
        <f t="shared" si="153"/>
        <v>0</v>
      </c>
      <c r="AQ3092" s="31" t="str">
        <f t="shared" si="155"/>
        <v>Complete - With Adjustment</v>
      </c>
    </row>
    <row r="3093" spans="1:43" x14ac:dyDescent="0.2">
      <c r="A3093" s="46">
        <v>3083</v>
      </c>
      <c r="B3093" s="38" t="s">
        <v>266</v>
      </c>
      <c r="C3093" s="38" t="s">
        <v>833</v>
      </c>
      <c r="D3093" s="38" t="s">
        <v>834</v>
      </c>
      <c r="E3093" s="38" t="s">
        <v>7167</v>
      </c>
      <c r="F3093" s="38" t="s">
        <v>7168</v>
      </c>
      <c r="G3093" s="38" t="s">
        <v>111</v>
      </c>
      <c r="H3093" s="44">
        <v>44230</v>
      </c>
      <c r="I3093" s="44">
        <v>44246</v>
      </c>
      <c r="J3093">
        <v>16.829999999999998</v>
      </c>
      <c r="K3093">
        <v>16.829999999999998</v>
      </c>
      <c r="L3093" t="s">
        <v>7169</v>
      </c>
      <c r="M3093" s="45" t="s">
        <v>98</v>
      </c>
      <c r="N3093" s="38" t="s">
        <v>230</v>
      </c>
      <c r="O3093" s="38" t="s">
        <v>323</v>
      </c>
      <c r="P3093" s="38" t="s">
        <v>60</v>
      </c>
      <c r="Q3093" s="38" t="s">
        <v>41</v>
      </c>
      <c r="R3093" s="38" t="s">
        <v>270</v>
      </c>
      <c r="S3093" s="38" t="s">
        <v>7170</v>
      </c>
      <c r="T3093" s="38" t="s">
        <v>7171</v>
      </c>
      <c r="U3093" s="38"/>
      <c r="V3093" s="38"/>
      <c r="W3093" s="38"/>
      <c r="X3093" s="38"/>
      <c r="Y3093" s="57"/>
      <c r="Z3093" s="7"/>
      <c r="AA3093" s="57"/>
      <c r="AB3093" s="7"/>
      <c r="AC3093" s="57"/>
      <c r="AD3093" s="7"/>
      <c r="AE3093" s="57"/>
      <c r="AF3093" s="7"/>
      <c r="AG3093" s="57"/>
      <c r="AH3093" s="7"/>
      <c r="AI3093" s="57"/>
      <c r="AJ3093" s="7"/>
      <c r="AK3093" s="57"/>
      <c r="AL3093" s="7"/>
      <c r="AN3093" s="7" t="s">
        <v>70</v>
      </c>
      <c r="AO3093" s="21">
        <f t="shared" si="154"/>
        <v>0</v>
      </c>
      <c r="AP3093" s="7">
        <f t="shared" si="153"/>
        <v>16.829999999999998</v>
      </c>
      <c r="AQ3093" s="31" t="str">
        <f t="shared" si="155"/>
        <v>Complete - No Adjustment</v>
      </c>
    </row>
    <row r="3094" spans="1:43" x14ac:dyDescent="0.2">
      <c r="A3094" s="46">
        <v>3084</v>
      </c>
      <c r="B3094" s="38" t="s">
        <v>266</v>
      </c>
      <c r="C3094" s="38" t="s">
        <v>833</v>
      </c>
      <c r="D3094" s="38" t="s">
        <v>834</v>
      </c>
      <c r="E3094" s="38" t="s">
        <v>7172</v>
      </c>
      <c r="F3094" s="38" t="s">
        <v>7168</v>
      </c>
      <c r="G3094" s="38" t="s">
        <v>111</v>
      </c>
      <c r="H3094" s="44">
        <v>44231</v>
      </c>
      <c r="I3094" s="44">
        <v>44246</v>
      </c>
      <c r="J3094">
        <v>17.41</v>
      </c>
      <c r="K3094">
        <v>17.41</v>
      </c>
      <c r="L3094" t="s">
        <v>7173</v>
      </c>
      <c r="M3094" s="45" t="s">
        <v>98</v>
      </c>
      <c r="N3094" s="38" t="s">
        <v>230</v>
      </c>
      <c r="O3094" s="38" t="s">
        <v>323</v>
      </c>
      <c r="P3094" s="38" t="s">
        <v>60</v>
      </c>
      <c r="Q3094" s="38" t="s">
        <v>41</v>
      </c>
      <c r="R3094" s="38" t="s">
        <v>270</v>
      </c>
      <c r="S3094" s="38" t="s">
        <v>7174</v>
      </c>
      <c r="T3094" s="38" t="s">
        <v>7175</v>
      </c>
      <c r="U3094" s="38"/>
      <c r="V3094" s="38"/>
      <c r="W3094" s="38"/>
      <c r="X3094" s="38"/>
      <c r="Y3094" s="57"/>
      <c r="Z3094" s="7"/>
      <c r="AA3094" s="57"/>
      <c r="AB3094" s="7"/>
      <c r="AC3094" s="57"/>
      <c r="AD3094" s="7"/>
      <c r="AE3094" s="57"/>
      <c r="AF3094" s="7"/>
      <c r="AG3094" s="57"/>
      <c r="AH3094" s="7"/>
      <c r="AI3094" s="57"/>
      <c r="AJ3094" s="7"/>
      <c r="AK3094" s="57"/>
      <c r="AL3094" s="7"/>
      <c r="AN3094" s="7" t="s">
        <v>70</v>
      </c>
      <c r="AO3094" s="21">
        <f t="shared" si="154"/>
        <v>0</v>
      </c>
      <c r="AP3094" s="7">
        <f t="shared" si="153"/>
        <v>17.41</v>
      </c>
      <c r="AQ3094" s="31" t="str">
        <f t="shared" si="155"/>
        <v>Complete - No Adjustment</v>
      </c>
    </row>
    <row r="3095" spans="1:43" x14ac:dyDescent="0.2">
      <c r="A3095" s="46">
        <v>3085</v>
      </c>
      <c r="B3095" s="38" t="s">
        <v>266</v>
      </c>
      <c r="C3095" s="38" t="s">
        <v>286</v>
      </c>
      <c r="D3095" s="38" t="s">
        <v>285</v>
      </c>
      <c r="E3095" s="38" t="s">
        <v>7176</v>
      </c>
      <c r="F3095" s="38" t="s">
        <v>7177</v>
      </c>
      <c r="G3095" s="38" t="s">
        <v>111</v>
      </c>
      <c r="H3095" s="44">
        <v>44242</v>
      </c>
      <c r="I3095" s="44">
        <v>44249</v>
      </c>
      <c r="J3095">
        <v>1200</v>
      </c>
      <c r="K3095">
        <v>1200</v>
      </c>
      <c r="L3095" t="s">
        <v>7178</v>
      </c>
      <c r="M3095" s="45" t="s">
        <v>98</v>
      </c>
      <c r="N3095" s="38" t="s">
        <v>230</v>
      </c>
      <c r="O3095" s="38" t="s">
        <v>287</v>
      </c>
      <c r="P3095" s="38" t="s">
        <v>60</v>
      </c>
      <c r="Q3095" s="38" t="s">
        <v>75</v>
      </c>
      <c r="R3095" s="38" t="s">
        <v>270</v>
      </c>
      <c r="S3095" s="38" t="s">
        <v>7179</v>
      </c>
      <c r="T3095" s="38" t="s">
        <v>7180</v>
      </c>
      <c r="U3095" s="38"/>
      <c r="V3095" s="38"/>
      <c r="W3095" s="38"/>
      <c r="X3095" s="38"/>
      <c r="Y3095" s="57"/>
      <c r="Z3095" s="7"/>
      <c r="AA3095" s="57"/>
      <c r="AB3095" s="7"/>
      <c r="AC3095" s="57"/>
      <c r="AD3095" s="7"/>
      <c r="AE3095" s="57"/>
      <c r="AF3095" s="7"/>
      <c r="AG3095" s="57"/>
      <c r="AH3095" s="7"/>
      <c r="AI3095" s="57"/>
      <c r="AJ3095" s="7"/>
      <c r="AK3095" s="57"/>
      <c r="AL3095" s="7"/>
      <c r="AN3095" s="7" t="s">
        <v>70</v>
      </c>
      <c r="AO3095" s="21">
        <f t="shared" si="154"/>
        <v>0</v>
      </c>
      <c r="AP3095" s="7">
        <f t="shared" si="153"/>
        <v>1200</v>
      </c>
      <c r="AQ3095" s="31" t="str">
        <f t="shared" si="155"/>
        <v>Complete - No Adjustment</v>
      </c>
    </row>
    <row r="3096" spans="1:43" x14ac:dyDescent="0.2">
      <c r="A3096" s="46">
        <v>3086</v>
      </c>
      <c r="B3096" s="38" t="s">
        <v>266</v>
      </c>
      <c r="C3096" s="38" t="s">
        <v>740</v>
      </c>
      <c r="D3096" s="38" t="s">
        <v>739</v>
      </c>
      <c r="E3096" s="38" t="s">
        <v>7181</v>
      </c>
      <c r="F3096" s="38" t="s">
        <v>7177</v>
      </c>
      <c r="G3096" s="38" t="s">
        <v>111</v>
      </c>
      <c r="H3096" s="44">
        <v>44245</v>
      </c>
      <c r="I3096" s="44">
        <v>44249</v>
      </c>
      <c r="J3096">
        <v>833.7</v>
      </c>
      <c r="K3096">
        <v>279.60000000000002</v>
      </c>
      <c r="L3096" t="s">
        <v>7182</v>
      </c>
      <c r="M3096" s="45" t="s">
        <v>98</v>
      </c>
      <c r="N3096" s="38" t="s">
        <v>230</v>
      </c>
      <c r="O3096" s="38" t="s">
        <v>365</v>
      </c>
      <c r="P3096" s="38" t="s">
        <v>60</v>
      </c>
      <c r="Q3096" s="38" t="s">
        <v>46</v>
      </c>
      <c r="R3096" s="38" t="s">
        <v>270</v>
      </c>
      <c r="S3096" s="38" t="s">
        <v>7183</v>
      </c>
      <c r="T3096" s="38" t="s">
        <v>7184</v>
      </c>
      <c r="U3096" s="38"/>
      <c r="V3096" s="38"/>
      <c r="W3096" s="38"/>
      <c r="X3096" s="38"/>
      <c r="Y3096" s="57"/>
      <c r="Z3096" s="7"/>
      <c r="AA3096" s="57"/>
      <c r="AB3096" s="7"/>
      <c r="AC3096" s="57"/>
      <c r="AD3096" s="7"/>
      <c r="AE3096" s="57"/>
      <c r="AF3096" s="7"/>
      <c r="AG3096" s="57"/>
      <c r="AH3096" s="7"/>
      <c r="AI3096" s="57"/>
      <c r="AJ3096" s="7"/>
      <c r="AK3096" s="57"/>
      <c r="AL3096" s="7">
        <f>279.6</f>
        <v>279.60000000000002</v>
      </c>
      <c r="AN3096" s="7" t="s">
        <v>146</v>
      </c>
      <c r="AO3096" s="21">
        <f t="shared" si="154"/>
        <v>279.60000000000002</v>
      </c>
      <c r="AP3096" s="7">
        <f t="shared" si="153"/>
        <v>0</v>
      </c>
      <c r="AQ3096" s="31" t="str">
        <f t="shared" si="155"/>
        <v>Complete - With Adjustment</v>
      </c>
    </row>
    <row r="3097" spans="1:43" x14ac:dyDescent="0.2">
      <c r="A3097" s="46">
        <v>3087</v>
      </c>
      <c r="B3097" s="38" t="s">
        <v>266</v>
      </c>
      <c r="C3097" s="38" t="s">
        <v>740</v>
      </c>
      <c r="D3097" s="38" t="s">
        <v>739</v>
      </c>
      <c r="E3097" s="38" t="s">
        <v>7181</v>
      </c>
      <c r="F3097" s="38" t="s">
        <v>7177</v>
      </c>
      <c r="G3097" s="38" t="s">
        <v>111</v>
      </c>
      <c r="H3097" s="44">
        <v>44245</v>
      </c>
      <c r="I3097" s="44">
        <v>44249</v>
      </c>
      <c r="J3097">
        <v>833.7</v>
      </c>
      <c r="K3097">
        <v>171.6</v>
      </c>
      <c r="L3097" t="s">
        <v>7182</v>
      </c>
      <c r="M3097" s="45" t="s">
        <v>98</v>
      </c>
      <c r="N3097" s="38" t="s">
        <v>230</v>
      </c>
      <c r="O3097" s="38" t="s">
        <v>365</v>
      </c>
      <c r="P3097" s="38" t="s">
        <v>60</v>
      </c>
      <c r="Q3097" s="38" t="s">
        <v>46</v>
      </c>
      <c r="R3097" s="38" t="s">
        <v>270</v>
      </c>
      <c r="S3097" s="38" t="s">
        <v>7183</v>
      </c>
      <c r="T3097" s="38" t="s">
        <v>7185</v>
      </c>
      <c r="U3097" s="38"/>
      <c r="V3097" s="38"/>
      <c r="W3097" s="38"/>
      <c r="X3097" s="38"/>
      <c r="Y3097" s="57"/>
      <c r="Z3097" s="7"/>
      <c r="AA3097" s="57"/>
      <c r="AB3097" s="7"/>
      <c r="AC3097" s="57"/>
      <c r="AD3097" s="7"/>
      <c r="AE3097" s="57"/>
      <c r="AF3097" s="7"/>
      <c r="AG3097" s="57"/>
      <c r="AH3097" s="7"/>
      <c r="AI3097" s="57"/>
      <c r="AJ3097" s="7"/>
      <c r="AK3097" s="57"/>
      <c r="AL3097" s="7">
        <f>171.6</f>
        <v>171.6</v>
      </c>
      <c r="AN3097" s="7" t="s">
        <v>146</v>
      </c>
      <c r="AO3097" s="21">
        <f t="shared" si="154"/>
        <v>171.6</v>
      </c>
      <c r="AP3097" s="7">
        <f t="shared" si="153"/>
        <v>0</v>
      </c>
      <c r="AQ3097" s="31" t="str">
        <f t="shared" si="155"/>
        <v>Complete - With Adjustment</v>
      </c>
    </row>
    <row r="3098" spans="1:43" x14ac:dyDescent="0.2">
      <c r="A3098" s="46">
        <v>3088</v>
      </c>
      <c r="B3098" s="38" t="s">
        <v>266</v>
      </c>
      <c r="C3098" s="38" t="s">
        <v>740</v>
      </c>
      <c r="D3098" s="38" t="s">
        <v>739</v>
      </c>
      <c r="E3098" s="38" t="s">
        <v>7181</v>
      </c>
      <c r="F3098" s="38" t="s">
        <v>7177</v>
      </c>
      <c r="G3098" s="38" t="s">
        <v>111</v>
      </c>
      <c r="H3098" s="44">
        <v>44245</v>
      </c>
      <c r="I3098" s="44">
        <v>44249</v>
      </c>
      <c r="J3098">
        <v>833.7</v>
      </c>
      <c r="K3098">
        <v>31</v>
      </c>
      <c r="L3098" t="s">
        <v>7182</v>
      </c>
      <c r="M3098" s="45" t="s">
        <v>98</v>
      </c>
      <c r="N3098" s="38" t="s">
        <v>230</v>
      </c>
      <c r="O3098" s="38" t="s">
        <v>365</v>
      </c>
      <c r="P3098" s="38" t="s">
        <v>60</v>
      </c>
      <c r="Q3098" s="38" t="s">
        <v>74</v>
      </c>
      <c r="R3098" s="38" t="s">
        <v>270</v>
      </c>
      <c r="S3098" s="38" t="s">
        <v>7183</v>
      </c>
      <c r="T3098" s="38" t="s">
        <v>7186</v>
      </c>
      <c r="U3098" s="38"/>
      <c r="V3098" s="38"/>
      <c r="W3098" s="38"/>
      <c r="X3098" s="38"/>
      <c r="Y3098" s="57"/>
      <c r="Z3098" s="7"/>
      <c r="AA3098" s="57"/>
      <c r="AB3098" s="7"/>
      <c r="AC3098" s="57"/>
      <c r="AD3098" s="7"/>
      <c r="AE3098" s="57"/>
      <c r="AF3098" s="7"/>
      <c r="AG3098" s="57"/>
      <c r="AH3098" s="7"/>
      <c r="AI3098" s="57"/>
      <c r="AJ3098" s="7"/>
      <c r="AK3098" s="57"/>
      <c r="AL3098" s="7">
        <f>31</f>
        <v>31</v>
      </c>
      <c r="AN3098" s="7" t="s">
        <v>146</v>
      </c>
      <c r="AO3098" s="21">
        <f t="shared" si="154"/>
        <v>31</v>
      </c>
      <c r="AP3098" s="7">
        <f t="shared" si="153"/>
        <v>0</v>
      </c>
      <c r="AQ3098" s="31" t="str">
        <f t="shared" si="155"/>
        <v>Complete - With Adjustment</v>
      </c>
    </row>
    <row r="3099" spans="1:43" x14ac:dyDescent="0.2">
      <c r="A3099" s="46">
        <v>3089</v>
      </c>
      <c r="B3099" s="38" t="s">
        <v>266</v>
      </c>
      <c r="C3099" s="38" t="s">
        <v>740</v>
      </c>
      <c r="D3099" s="38" t="s">
        <v>739</v>
      </c>
      <c r="E3099" s="38" t="s">
        <v>7181</v>
      </c>
      <c r="F3099" s="38" t="s">
        <v>7177</v>
      </c>
      <c r="G3099" s="38" t="s">
        <v>111</v>
      </c>
      <c r="H3099" s="44">
        <v>44245</v>
      </c>
      <c r="I3099" s="44">
        <v>44249</v>
      </c>
      <c r="J3099">
        <v>833.7</v>
      </c>
      <c r="K3099">
        <v>310</v>
      </c>
      <c r="L3099" t="s">
        <v>7182</v>
      </c>
      <c r="M3099" s="45" t="s">
        <v>98</v>
      </c>
      <c r="N3099" s="38" t="s">
        <v>230</v>
      </c>
      <c r="O3099" s="38" t="s">
        <v>365</v>
      </c>
      <c r="P3099" s="38" t="s">
        <v>60</v>
      </c>
      <c r="Q3099" s="38" t="s">
        <v>74</v>
      </c>
      <c r="R3099" s="38" t="s">
        <v>270</v>
      </c>
      <c r="S3099" s="38" t="s">
        <v>7183</v>
      </c>
      <c r="T3099" s="38" t="s">
        <v>7186</v>
      </c>
      <c r="U3099" s="38"/>
      <c r="V3099" s="38"/>
      <c r="W3099" s="38"/>
      <c r="X3099" s="38"/>
      <c r="Y3099" s="57"/>
      <c r="Z3099" s="7"/>
      <c r="AA3099" s="57"/>
      <c r="AB3099" s="7"/>
      <c r="AC3099" s="57"/>
      <c r="AD3099" s="7"/>
      <c r="AE3099" s="57"/>
      <c r="AF3099" s="7"/>
      <c r="AG3099" s="57"/>
      <c r="AH3099" s="7"/>
      <c r="AI3099" s="57"/>
      <c r="AJ3099" s="7"/>
      <c r="AK3099" s="57"/>
      <c r="AL3099" s="7">
        <f>310</f>
        <v>310</v>
      </c>
      <c r="AN3099" s="7" t="s">
        <v>146</v>
      </c>
      <c r="AO3099" s="21">
        <f t="shared" si="154"/>
        <v>310</v>
      </c>
      <c r="AP3099" s="7">
        <f t="shared" si="153"/>
        <v>0</v>
      </c>
      <c r="AQ3099" s="31" t="str">
        <f t="shared" si="155"/>
        <v>Complete - With Adjustment</v>
      </c>
    </row>
    <row r="3100" spans="1:43" x14ac:dyDescent="0.2">
      <c r="A3100" s="46">
        <v>3090</v>
      </c>
      <c r="B3100" s="38" t="s">
        <v>266</v>
      </c>
      <c r="C3100" s="38" t="s">
        <v>740</v>
      </c>
      <c r="D3100" s="38" t="s">
        <v>739</v>
      </c>
      <c r="E3100" s="38" t="s">
        <v>7181</v>
      </c>
      <c r="F3100" s="38" t="s">
        <v>7177</v>
      </c>
      <c r="G3100" s="38" t="s">
        <v>111</v>
      </c>
      <c r="H3100" s="44">
        <v>44245</v>
      </c>
      <c r="I3100" s="44">
        <v>44249</v>
      </c>
      <c r="J3100">
        <v>833.7</v>
      </c>
      <c r="K3100">
        <v>26.36</v>
      </c>
      <c r="L3100" t="s">
        <v>7182</v>
      </c>
      <c r="M3100" s="45" t="s">
        <v>98</v>
      </c>
      <c r="N3100" s="38" t="s">
        <v>230</v>
      </c>
      <c r="O3100" s="38" t="s">
        <v>365</v>
      </c>
      <c r="P3100" s="38" t="s">
        <v>60</v>
      </c>
      <c r="Q3100" s="38" t="s">
        <v>46</v>
      </c>
      <c r="R3100" s="38" t="s">
        <v>270</v>
      </c>
      <c r="S3100" s="38" t="s">
        <v>7183</v>
      </c>
      <c r="T3100" s="38" t="s">
        <v>7184</v>
      </c>
      <c r="U3100" s="38"/>
      <c r="V3100" s="38"/>
      <c r="W3100" s="38"/>
      <c r="X3100" s="38"/>
      <c r="Y3100" s="57"/>
      <c r="Z3100" s="7"/>
      <c r="AA3100" s="57"/>
      <c r="AB3100" s="7"/>
      <c r="AC3100" s="57"/>
      <c r="AD3100" s="7"/>
      <c r="AE3100" s="57"/>
      <c r="AF3100" s="7"/>
      <c r="AG3100" s="57"/>
      <c r="AH3100" s="7"/>
      <c r="AI3100" s="57"/>
      <c r="AJ3100" s="7"/>
      <c r="AK3100" s="57"/>
      <c r="AL3100" s="7">
        <f>26.36</f>
        <v>26.36</v>
      </c>
      <c r="AN3100" s="7" t="s">
        <v>146</v>
      </c>
      <c r="AO3100" s="21">
        <f t="shared" si="154"/>
        <v>26.36</v>
      </c>
      <c r="AP3100" s="7">
        <f t="shared" si="153"/>
        <v>0</v>
      </c>
      <c r="AQ3100" s="31" t="str">
        <f t="shared" si="155"/>
        <v>Complete - With Adjustment</v>
      </c>
    </row>
    <row r="3101" spans="1:43" x14ac:dyDescent="0.2">
      <c r="A3101" s="46">
        <v>3091</v>
      </c>
      <c r="B3101" s="38" t="s">
        <v>266</v>
      </c>
      <c r="C3101" s="38" t="s">
        <v>740</v>
      </c>
      <c r="D3101" s="38" t="s">
        <v>739</v>
      </c>
      <c r="E3101" s="38" t="s">
        <v>7181</v>
      </c>
      <c r="F3101" s="38" t="s">
        <v>7177</v>
      </c>
      <c r="G3101" s="38" t="s">
        <v>111</v>
      </c>
      <c r="H3101" s="44">
        <v>44245</v>
      </c>
      <c r="I3101" s="44">
        <v>44249</v>
      </c>
      <c r="J3101">
        <v>833.7</v>
      </c>
      <c r="K3101">
        <v>15.14</v>
      </c>
      <c r="L3101" t="s">
        <v>7182</v>
      </c>
      <c r="M3101" s="45" t="s">
        <v>98</v>
      </c>
      <c r="N3101" s="38" t="s">
        <v>230</v>
      </c>
      <c r="O3101" s="38" t="s">
        <v>365</v>
      </c>
      <c r="P3101" s="38" t="s">
        <v>60</v>
      </c>
      <c r="Q3101" s="38" t="s">
        <v>46</v>
      </c>
      <c r="R3101" s="38" t="s">
        <v>270</v>
      </c>
      <c r="S3101" s="38" t="s">
        <v>7183</v>
      </c>
      <c r="T3101" s="38" t="s">
        <v>7184</v>
      </c>
      <c r="U3101" s="38"/>
      <c r="V3101" s="38"/>
      <c r="W3101" s="38"/>
      <c r="X3101" s="38"/>
      <c r="Y3101" s="57"/>
      <c r="Z3101" s="7"/>
      <c r="AA3101" s="57"/>
      <c r="AB3101" s="7"/>
      <c r="AC3101" s="57"/>
      <c r="AD3101" s="7"/>
      <c r="AE3101" s="57"/>
      <c r="AF3101" s="7"/>
      <c r="AG3101" s="57"/>
      <c r="AH3101" s="7"/>
      <c r="AI3101" s="57"/>
      <c r="AJ3101" s="7"/>
      <c r="AK3101" s="57"/>
      <c r="AL3101" s="7">
        <f>15.14</f>
        <v>15.14</v>
      </c>
      <c r="AN3101" s="7" t="s">
        <v>146</v>
      </c>
      <c r="AO3101" s="21">
        <f t="shared" si="154"/>
        <v>15.14</v>
      </c>
      <c r="AP3101" s="7">
        <f t="shared" si="153"/>
        <v>0</v>
      </c>
      <c r="AQ3101" s="31" t="str">
        <f t="shared" si="155"/>
        <v>Complete - With Adjustment</v>
      </c>
    </row>
    <row r="3102" spans="1:43" x14ac:dyDescent="0.2">
      <c r="A3102" s="46">
        <v>3092</v>
      </c>
      <c r="B3102" s="38" t="s">
        <v>266</v>
      </c>
      <c r="C3102" s="38" t="s">
        <v>291</v>
      </c>
      <c r="D3102" s="38" t="s">
        <v>290</v>
      </c>
      <c r="E3102" s="38" t="s">
        <v>7187</v>
      </c>
      <c r="F3102" s="38" t="s">
        <v>7188</v>
      </c>
      <c r="G3102" s="38" t="s">
        <v>111</v>
      </c>
      <c r="H3102" s="44">
        <v>44181</v>
      </c>
      <c r="I3102" s="44">
        <v>44252</v>
      </c>
      <c r="J3102">
        <v>385</v>
      </c>
      <c r="K3102">
        <v>60</v>
      </c>
      <c r="L3102" t="s">
        <v>7189</v>
      </c>
      <c r="M3102" s="45" t="s">
        <v>98</v>
      </c>
      <c r="N3102" s="38" t="s">
        <v>230</v>
      </c>
      <c r="O3102" s="38" t="s">
        <v>292</v>
      </c>
      <c r="P3102" s="38" t="s">
        <v>60</v>
      </c>
      <c r="Q3102" s="38" t="s">
        <v>123</v>
      </c>
      <c r="R3102" s="38" t="s">
        <v>270</v>
      </c>
      <c r="S3102" s="38" t="s">
        <v>7190</v>
      </c>
      <c r="T3102" s="38" t="s">
        <v>7191</v>
      </c>
      <c r="U3102" s="38"/>
      <c r="V3102" s="38"/>
      <c r="W3102" s="38"/>
      <c r="X3102" s="38"/>
      <c r="Y3102" s="57"/>
      <c r="Z3102" s="7"/>
      <c r="AA3102" s="57"/>
      <c r="AB3102" s="7"/>
      <c r="AC3102" s="57"/>
      <c r="AD3102" s="7"/>
      <c r="AE3102" s="57"/>
      <c r="AF3102" s="7"/>
      <c r="AG3102" s="57"/>
      <c r="AH3102" s="7"/>
      <c r="AI3102" s="57"/>
      <c r="AJ3102" s="7"/>
      <c r="AK3102" s="57"/>
      <c r="AL3102" s="7"/>
      <c r="AN3102" s="7" t="s">
        <v>70</v>
      </c>
      <c r="AO3102" s="21">
        <f t="shared" si="154"/>
        <v>0</v>
      </c>
      <c r="AP3102" s="7">
        <f t="shared" si="153"/>
        <v>60</v>
      </c>
      <c r="AQ3102" s="31" t="str">
        <f t="shared" si="155"/>
        <v>Complete - No Adjustment</v>
      </c>
    </row>
    <row r="3103" spans="1:43" x14ac:dyDescent="0.2">
      <c r="A3103" s="46">
        <v>3093</v>
      </c>
      <c r="B3103" s="38" t="s">
        <v>266</v>
      </c>
      <c r="C3103" s="38" t="s">
        <v>291</v>
      </c>
      <c r="D3103" s="38" t="s">
        <v>290</v>
      </c>
      <c r="E3103" s="38" t="s">
        <v>7187</v>
      </c>
      <c r="F3103" s="38" t="s">
        <v>7188</v>
      </c>
      <c r="G3103" s="38" t="s">
        <v>111</v>
      </c>
      <c r="H3103" s="44">
        <v>44181</v>
      </c>
      <c r="I3103" s="44">
        <v>44252</v>
      </c>
      <c r="J3103">
        <v>385</v>
      </c>
      <c r="K3103">
        <v>325</v>
      </c>
      <c r="L3103" t="s">
        <v>7189</v>
      </c>
      <c r="M3103" s="45" t="s">
        <v>98</v>
      </c>
      <c r="N3103" s="38" t="s">
        <v>230</v>
      </c>
      <c r="O3103" s="38" t="s">
        <v>292</v>
      </c>
      <c r="P3103" s="38" t="s">
        <v>60</v>
      </c>
      <c r="Q3103" s="38" t="s">
        <v>123</v>
      </c>
      <c r="R3103" s="38" t="s">
        <v>270</v>
      </c>
      <c r="S3103" s="38" t="s">
        <v>7190</v>
      </c>
      <c r="T3103" s="38" t="s">
        <v>7192</v>
      </c>
      <c r="U3103" s="38"/>
      <c r="V3103" s="38"/>
      <c r="W3103" s="38"/>
      <c r="X3103" s="38"/>
      <c r="Y3103" s="57"/>
      <c r="Z3103" s="7"/>
      <c r="AA3103" s="57"/>
      <c r="AB3103" s="7"/>
      <c r="AC3103" s="57"/>
      <c r="AD3103" s="7"/>
      <c r="AE3103" s="57"/>
      <c r="AF3103" s="7"/>
      <c r="AG3103" s="57"/>
      <c r="AH3103" s="7"/>
      <c r="AI3103" s="57"/>
      <c r="AJ3103" s="7"/>
      <c r="AK3103" s="57"/>
      <c r="AL3103" s="7"/>
      <c r="AN3103" s="7" t="s">
        <v>115</v>
      </c>
      <c r="AO3103" s="21">
        <f t="shared" si="154"/>
        <v>0</v>
      </c>
      <c r="AP3103" s="7">
        <f t="shared" si="153"/>
        <v>325</v>
      </c>
      <c r="AQ3103" s="31" t="str">
        <f t="shared" si="155"/>
        <v>Complete - No Adjustment</v>
      </c>
    </row>
    <row r="3104" spans="1:43" x14ac:dyDescent="0.2">
      <c r="A3104" s="46">
        <v>3094</v>
      </c>
      <c r="B3104" s="38" t="s">
        <v>266</v>
      </c>
      <c r="C3104" s="38" t="s">
        <v>309</v>
      </c>
      <c r="D3104" s="38" t="s">
        <v>308</v>
      </c>
      <c r="E3104" s="38" t="s">
        <v>7193</v>
      </c>
      <c r="F3104" s="38" t="s">
        <v>7194</v>
      </c>
      <c r="G3104" s="38" t="s">
        <v>111</v>
      </c>
      <c r="H3104" s="44">
        <v>44229</v>
      </c>
      <c r="I3104" s="44">
        <v>44235</v>
      </c>
      <c r="J3104">
        <v>343.66</v>
      </c>
      <c r="K3104">
        <v>30.26</v>
      </c>
      <c r="L3104" t="s">
        <v>7195</v>
      </c>
      <c r="M3104" s="45" t="s">
        <v>98</v>
      </c>
      <c r="N3104" s="38" t="s">
        <v>230</v>
      </c>
      <c r="O3104" s="38" t="s">
        <v>310</v>
      </c>
      <c r="P3104" s="38" t="s">
        <v>60</v>
      </c>
      <c r="Q3104" s="38" t="s">
        <v>41</v>
      </c>
      <c r="R3104" s="38" t="s">
        <v>270</v>
      </c>
      <c r="S3104" s="38" t="s">
        <v>7196</v>
      </c>
      <c r="T3104" s="38" t="s">
        <v>7197</v>
      </c>
      <c r="U3104" s="38"/>
      <c r="V3104" s="38"/>
      <c r="W3104" s="38"/>
      <c r="X3104" s="38"/>
      <c r="Y3104" s="57"/>
      <c r="Z3104" s="7"/>
      <c r="AA3104" s="57"/>
      <c r="AB3104" s="7"/>
      <c r="AC3104" s="57"/>
      <c r="AD3104" s="7"/>
      <c r="AE3104" s="57"/>
      <c r="AF3104" s="7"/>
      <c r="AG3104" s="57"/>
      <c r="AH3104" s="7"/>
      <c r="AI3104" s="57"/>
      <c r="AJ3104" s="7"/>
      <c r="AK3104" s="57"/>
      <c r="AL3104" s="7"/>
      <c r="AN3104" s="7" t="s">
        <v>155</v>
      </c>
      <c r="AO3104" s="21">
        <f t="shared" si="154"/>
        <v>0</v>
      </c>
      <c r="AP3104" s="7">
        <f t="shared" si="153"/>
        <v>30.26</v>
      </c>
      <c r="AQ3104" s="31" t="str">
        <f t="shared" si="155"/>
        <v>Complete - No Adjustment</v>
      </c>
    </row>
    <row r="3105" spans="1:43" x14ac:dyDescent="0.2">
      <c r="A3105" s="46">
        <v>3095</v>
      </c>
      <c r="B3105" s="38" t="s">
        <v>266</v>
      </c>
      <c r="C3105" s="38" t="s">
        <v>309</v>
      </c>
      <c r="D3105" s="38" t="s">
        <v>308</v>
      </c>
      <c r="E3105" s="38" t="s">
        <v>7193</v>
      </c>
      <c r="F3105" s="38" t="s">
        <v>7194</v>
      </c>
      <c r="G3105" s="38" t="s">
        <v>111</v>
      </c>
      <c r="H3105" s="44">
        <v>44229</v>
      </c>
      <c r="I3105" s="44">
        <v>44235</v>
      </c>
      <c r="J3105">
        <v>343.66</v>
      </c>
      <c r="K3105">
        <v>18.45</v>
      </c>
      <c r="L3105" t="s">
        <v>7195</v>
      </c>
      <c r="M3105" s="45" t="s">
        <v>98</v>
      </c>
      <c r="N3105" s="38" t="s">
        <v>230</v>
      </c>
      <c r="O3105" s="38" t="s">
        <v>310</v>
      </c>
      <c r="P3105" s="38" t="s">
        <v>60</v>
      </c>
      <c r="Q3105" s="38" t="s">
        <v>41</v>
      </c>
      <c r="R3105" s="38" t="s">
        <v>270</v>
      </c>
      <c r="S3105" s="38" t="s">
        <v>7196</v>
      </c>
      <c r="T3105" s="38" t="s">
        <v>7198</v>
      </c>
      <c r="U3105" s="38"/>
      <c r="V3105" s="38"/>
      <c r="W3105" s="38"/>
      <c r="X3105" s="38"/>
      <c r="Y3105" s="57"/>
      <c r="Z3105" s="7"/>
      <c r="AA3105" s="57"/>
      <c r="AB3105" s="7"/>
      <c r="AC3105" s="57"/>
      <c r="AD3105" s="7"/>
      <c r="AE3105" s="57"/>
      <c r="AF3105" s="7"/>
      <c r="AG3105" s="57"/>
      <c r="AH3105" s="7"/>
      <c r="AI3105" s="57"/>
      <c r="AJ3105" s="7"/>
      <c r="AK3105" s="57"/>
      <c r="AL3105" s="7"/>
      <c r="AN3105" s="7" t="s">
        <v>70</v>
      </c>
      <c r="AO3105" s="21">
        <f t="shared" si="154"/>
        <v>0</v>
      </c>
      <c r="AP3105" s="7">
        <f t="shared" si="153"/>
        <v>18.45</v>
      </c>
      <c r="AQ3105" s="31" t="str">
        <f t="shared" si="155"/>
        <v>Complete - No Adjustment</v>
      </c>
    </row>
    <row r="3106" spans="1:43" x14ac:dyDescent="0.2">
      <c r="A3106" s="46">
        <v>3096</v>
      </c>
      <c r="B3106" s="38" t="s">
        <v>266</v>
      </c>
      <c r="C3106" s="38" t="s">
        <v>309</v>
      </c>
      <c r="D3106" s="38" t="s">
        <v>308</v>
      </c>
      <c r="E3106" s="38" t="s">
        <v>7193</v>
      </c>
      <c r="F3106" s="38" t="s">
        <v>7194</v>
      </c>
      <c r="G3106" s="38" t="s">
        <v>111</v>
      </c>
      <c r="H3106" s="44">
        <v>44229</v>
      </c>
      <c r="I3106" s="44">
        <v>44235</v>
      </c>
      <c r="J3106">
        <v>343.66</v>
      </c>
      <c r="K3106">
        <v>15</v>
      </c>
      <c r="L3106" t="s">
        <v>7195</v>
      </c>
      <c r="M3106" s="45" t="s">
        <v>98</v>
      </c>
      <c r="N3106" s="38" t="s">
        <v>230</v>
      </c>
      <c r="O3106" s="38" t="s">
        <v>310</v>
      </c>
      <c r="P3106" s="38" t="s">
        <v>60</v>
      </c>
      <c r="Q3106" s="38" t="s">
        <v>59</v>
      </c>
      <c r="R3106" s="38" t="s">
        <v>270</v>
      </c>
      <c r="S3106" s="38" t="s">
        <v>7196</v>
      </c>
      <c r="T3106" s="38" t="s">
        <v>7199</v>
      </c>
      <c r="U3106" s="38"/>
      <c r="V3106" s="38"/>
      <c r="W3106" s="38"/>
      <c r="X3106" s="38"/>
      <c r="Y3106" s="57"/>
      <c r="Z3106" s="7"/>
      <c r="AA3106" s="57"/>
      <c r="AB3106" s="7"/>
      <c r="AC3106" s="57"/>
      <c r="AD3106" s="7"/>
      <c r="AE3106" s="57"/>
      <c r="AF3106" s="7"/>
      <c r="AG3106" s="57"/>
      <c r="AH3106" s="7"/>
      <c r="AI3106" s="57"/>
      <c r="AJ3106" s="7"/>
      <c r="AK3106" s="57"/>
      <c r="AL3106" s="7"/>
      <c r="AN3106" s="7" t="s">
        <v>70</v>
      </c>
      <c r="AO3106" s="21">
        <f t="shared" si="154"/>
        <v>0</v>
      </c>
      <c r="AP3106" s="7">
        <f t="shared" si="153"/>
        <v>15</v>
      </c>
      <c r="AQ3106" s="31" t="str">
        <f t="shared" si="155"/>
        <v>Complete - No Adjustment</v>
      </c>
    </row>
    <row r="3107" spans="1:43" x14ac:dyDescent="0.2">
      <c r="A3107" s="46">
        <v>3097</v>
      </c>
      <c r="B3107" s="38" t="s">
        <v>266</v>
      </c>
      <c r="C3107" s="38" t="s">
        <v>309</v>
      </c>
      <c r="D3107" s="38" t="s">
        <v>308</v>
      </c>
      <c r="E3107" s="38" t="s">
        <v>7193</v>
      </c>
      <c r="F3107" s="38" t="s">
        <v>7194</v>
      </c>
      <c r="G3107" s="38" t="s">
        <v>111</v>
      </c>
      <c r="H3107" s="44">
        <v>44229</v>
      </c>
      <c r="I3107" s="44">
        <v>44235</v>
      </c>
      <c r="J3107">
        <v>343.66</v>
      </c>
      <c r="K3107">
        <v>28.56</v>
      </c>
      <c r="L3107" t="s">
        <v>7195</v>
      </c>
      <c r="M3107" s="45" t="s">
        <v>98</v>
      </c>
      <c r="N3107" s="38" t="s">
        <v>230</v>
      </c>
      <c r="O3107" s="38" t="s">
        <v>310</v>
      </c>
      <c r="P3107" s="38" t="s">
        <v>60</v>
      </c>
      <c r="Q3107" s="38" t="s">
        <v>46</v>
      </c>
      <c r="R3107" s="38" t="s">
        <v>270</v>
      </c>
      <c r="S3107" s="38" t="s">
        <v>7196</v>
      </c>
      <c r="T3107" s="38" t="s">
        <v>7200</v>
      </c>
      <c r="U3107" s="38"/>
      <c r="V3107" s="38"/>
      <c r="W3107" s="38"/>
      <c r="X3107" s="38"/>
      <c r="Y3107" s="57"/>
      <c r="Z3107" s="7"/>
      <c r="AA3107" s="57"/>
      <c r="AB3107" s="7"/>
      <c r="AC3107" s="57"/>
      <c r="AD3107" s="7"/>
      <c r="AE3107" s="57"/>
      <c r="AF3107" s="7"/>
      <c r="AG3107" s="57"/>
      <c r="AH3107" s="7"/>
      <c r="AI3107" s="57"/>
      <c r="AJ3107" s="7"/>
      <c r="AK3107" s="57"/>
      <c r="AL3107" s="7"/>
      <c r="AN3107" s="7" t="s">
        <v>70</v>
      </c>
      <c r="AO3107" s="21">
        <f t="shared" si="154"/>
        <v>0</v>
      </c>
      <c r="AP3107" s="7">
        <f t="shared" si="153"/>
        <v>28.56</v>
      </c>
      <c r="AQ3107" s="31" t="str">
        <f t="shared" si="155"/>
        <v>Complete - No Adjustment</v>
      </c>
    </row>
    <row r="3108" spans="1:43" x14ac:dyDescent="0.2">
      <c r="A3108" s="46">
        <v>3098</v>
      </c>
      <c r="B3108" s="38" t="s">
        <v>266</v>
      </c>
      <c r="C3108" s="38" t="s">
        <v>309</v>
      </c>
      <c r="D3108" s="38" t="s">
        <v>308</v>
      </c>
      <c r="E3108" s="38" t="s">
        <v>7193</v>
      </c>
      <c r="F3108" s="38" t="s">
        <v>7194</v>
      </c>
      <c r="G3108" s="38" t="s">
        <v>111</v>
      </c>
      <c r="H3108" s="44">
        <v>44229</v>
      </c>
      <c r="I3108" s="44">
        <v>44235</v>
      </c>
      <c r="J3108">
        <v>343.66</v>
      </c>
      <c r="K3108">
        <v>5.5</v>
      </c>
      <c r="L3108" t="s">
        <v>7195</v>
      </c>
      <c r="M3108" s="45" t="s">
        <v>98</v>
      </c>
      <c r="N3108" s="38" t="s">
        <v>230</v>
      </c>
      <c r="O3108" s="38" t="s">
        <v>310</v>
      </c>
      <c r="P3108" s="38" t="s">
        <v>60</v>
      </c>
      <c r="Q3108" s="38" t="s">
        <v>74</v>
      </c>
      <c r="R3108" s="38" t="s">
        <v>270</v>
      </c>
      <c r="S3108" s="38" t="s">
        <v>7196</v>
      </c>
      <c r="T3108" s="38" t="s">
        <v>7201</v>
      </c>
      <c r="U3108" s="38"/>
      <c r="V3108" s="38"/>
      <c r="W3108" s="38"/>
      <c r="X3108" s="38"/>
      <c r="Y3108" s="57"/>
      <c r="Z3108" s="7"/>
      <c r="AA3108" s="57"/>
      <c r="AB3108" s="7"/>
      <c r="AC3108" s="57"/>
      <c r="AD3108" s="7"/>
      <c r="AE3108" s="57"/>
      <c r="AF3108" s="7"/>
      <c r="AG3108" s="57"/>
      <c r="AH3108" s="7"/>
      <c r="AI3108" s="57"/>
      <c r="AJ3108" s="7"/>
      <c r="AK3108" s="57"/>
      <c r="AL3108" s="7"/>
      <c r="AN3108" s="7" t="s">
        <v>70</v>
      </c>
      <c r="AO3108" s="21">
        <f t="shared" si="154"/>
        <v>0</v>
      </c>
      <c r="AP3108" s="7">
        <f t="shared" si="153"/>
        <v>5.5</v>
      </c>
      <c r="AQ3108" s="31" t="str">
        <f t="shared" si="155"/>
        <v>Complete - No Adjustment</v>
      </c>
    </row>
    <row r="3109" spans="1:43" x14ac:dyDescent="0.2">
      <c r="A3109" s="46">
        <v>3099</v>
      </c>
      <c r="B3109" s="38" t="s">
        <v>266</v>
      </c>
      <c r="C3109" s="38" t="s">
        <v>309</v>
      </c>
      <c r="D3109" s="38" t="s">
        <v>308</v>
      </c>
      <c r="E3109" s="38" t="s">
        <v>7193</v>
      </c>
      <c r="F3109" s="38" t="s">
        <v>7194</v>
      </c>
      <c r="G3109" s="38" t="s">
        <v>111</v>
      </c>
      <c r="H3109" s="44">
        <v>44229</v>
      </c>
      <c r="I3109" s="44">
        <v>44235</v>
      </c>
      <c r="J3109">
        <v>343.66</v>
      </c>
      <c r="K3109">
        <v>110</v>
      </c>
      <c r="L3109" t="s">
        <v>7195</v>
      </c>
      <c r="M3109" s="45" t="s">
        <v>98</v>
      </c>
      <c r="N3109" s="38" t="s">
        <v>230</v>
      </c>
      <c r="O3109" s="38" t="s">
        <v>310</v>
      </c>
      <c r="P3109" s="38" t="s">
        <v>60</v>
      </c>
      <c r="Q3109" s="38" t="s">
        <v>74</v>
      </c>
      <c r="R3109" s="38" t="s">
        <v>270</v>
      </c>
      <c r="S3109" s="38" t="s">
        <v>7196</v>
      </c>
      <c r="T3109" s="38" t="s">
        <v>7202</v>
      </c>
      <c r="U3109" s="38"/>
      <c r="V3109" s="38"/>
      <c r="W3109" s="38"/>
      <c r="X3109" s="38"/>
      <c r="Y3109" s="57"/>
      <c r="Z3109" s="7"/>
      <c r="AA3109" s="57"/>
      <c r="AB3109" s="7"/>
      <c r="AC3109" s="57"/>
      <c r="AD3109" s="7"/>
      <c r="AE3109" s="57"/>
      <c r="AF3109" s="7"/>
      <c r="AG3109" s="57"/>
      <c r="AH3109" s="7"/>
      <c r="AI3109" s="57"/>
      <c r="AJ3109" s="7"/>
      <c r="AK3109" s="57"/>
      <c r="AL3109" s="7"/>
      <c r="AN3109" s="7" t="s">
        <v>70</v>
      </c>
      <c r="AO3109" s="21">
        <f t="shared" si="154"/>
        <v>0</v>
      </c>
      <c r="AP3109" s="7">
        <f t="shared" si="153"/>
        <v>110</v>
      </c>
      <c r="AQ3109" s="31" t="str">
        <f t="shared" si="155"/>
        <v>Complete - No Adjustment</v>
      </c>
    </row>
    <row r="3110" spans="1:43" x14ac:dyDescent="0.2">
      <c r="A3110" s="46">
        <v>3100</v>
      </c>
      <c r="B3110" s="38" t="s">
        <v>266</v>
      </c>
      <c r="C3110" s="38" t="s">
        <v>309</v>
      </c>
      <c r="D3110" s="38" t="s">
        <v>308</v>
      </c>
      <c r="E3110" s="38" t="s">
        <v>7193</v>
      </c>
      <c r="F3110" s="38" t="s">
        <v>7194</v>
      </c>
      <c r="G3110" s="38" t="s">
        <v>111</v>
      </c>
      <c r="H3110" s="44">
        <v>44229</v>
      </c>
      <c r="I3110" s="44">
        <v>44235</v>
      </c>
      <c r="J3110">
        <v>343.66</v>
      </c>
      <c r="K3110">
        <v>13.61</v>
      </c>
      <c r="L3110" t="s">
        <v>7195</v>
      </c>
      <c r="M3110" s="45" t="s">
        <v>98</v>
      </c>
      <c r="N3110" s="38" t="s">
        <v>230</v>
      </c>
      <c r="O3110" s="38" t="s">
        <v>310</v>
      </c>
      <c r="P3110" s="38" t="s">
        <v>60</v>
      </c>
      <c r="Q3110" s="38" t="s">
        <v>41</v>
      </c>
      <c r="R3110" s="38" t="s">
        <v>270</v>
      </c>
      <c r="S3110" s="38" t="s">
        <v>7196</v>
      </c>
      <c r="T3110" s="38" t="s">
        <v>7197</v>
      </c>
      <c r="U3110" s="38"/>
      <c r="V3110" s="38"/>
      <c r="W3110" s="38"/>
      <c r="X3110" s="38"/>
      <c r="Y3110" s="57"/>
      <c r="Z3110" s="7"/>
      <c r="AA3110" s="57"/>
      <c r="AB3110" s="7"/>
      <c r="AC3110" s="57"/>
      <c r="AD3110" s="7"/>
      <c r="AE3110" s="57"/>
      <c r="AF3110" s="7"/>
      <c r="AG3110" s="57"/>
      <c r="AH3110" s="7"/>
      <c r="AI3110" s="57"/>
      <c r="AJ3110" s="7"/>
      <c r="AK3110" s="57"/>
      <c r="AL3110" s="7"/>
      <c r="AN3110" s="7" t="s">
        <v>155</v>
      </c>
      <c r="AO3110" s="21">
        <f t="shared" si="154"/>
        <v>0</v>
      </c>
      <c r="AP3110" s="7">
        <f t="shared" si="153"/>
        <v>13.61</v>
      </c>
      <c r="AQ3110" s="31" t="str">
        <f t="shared" si="155"/>
        <v>Complete - No Adjustment</v>
      </c>
    </row>
    <row r="3111" spans="1:43" x14ac:dyDescent="0.2">
      <c r="A3111" s="46">
        <v>3101</v>
      </c>
      <c r="B3111" s="38" t="s">
        <v>266</v>
      </c>
      <c r="C3111" s="38" t="s">
        <v>309</v>
      </c>
      <c r="D3111" s="38" t="s">
        <v>308</v>
      </c>
      <c r="E3111" s="38" t="s">
        <v>7193</v>
      </c>
      <c r="F3111" s="38" t="s">
        <v>7194</v>
      </c>
      <c r="G3111" s="38" t="s">
        <v>111</v>
      </c>
      <c r="H3111" s="44">
        <v>44229</v>
      </c>
      <c r="I3111" s="44">
        <v>44235</v>
      </c>
      <c r="J3111">
        <v>343.66</v>
      </c>
      <c r="K3111">
        <v>43.96</v>
      </c>
      <c r="L3111" t="s">
        <v>7195</v>
      </c>
      <c r="M3111" s="45" t="s">
        <v>98</v>
      </c>
      <c r="N3111" s="38" t="s">
        <v>230</v>
      </c>
      <c r="O3111" s="38" t="s">
        <v>310</v>
      </c>
      <c r="P3111" s="38" t="s">
        <v>60</v>
      </c>
      <c r="Q3111" s="38" t="s">
        <v>41</v>
      </c>
      <c r="R3111" s="38" t="s">
        <v>270</v>
      </c>
      <c r="S3111" s="38" t="s">
        <v>7196</v>
      </c>
      <c r="T3111" s="38" t="s">
        <v>7198</v>
      </c>
      <c r="U3111" s="38"/>
      <c r="V3111" s="38"/>
      <c r="W3111" s="38"/>
      <c r="X3111" s="38"/>
      <c r="Y3111" s="57"/>
      <c r="Z3111" s="7"/>
      <c r="AA3111" s="57"/>
      <c r="AB3111" s="7"/>
      <c r="AC3111" s="57"/>
      <c r="AD3111" s="7"/>
      <c r="AE3111" s="57"/>
      <c r="AF3111" s="7"/>
      <c r="AG3111" s="57"/>
      <c r="AH3111" s="7"/>
      <c r="AI3111" s="57"/>
      <c r="AJ3111" s="7"/>
      <c r="AK3111" s="57"/>
      <c r="AL3111" s="7"/>
      <c r="AN3111" s="7" t="s">
        <v>70</v>
      </c>
      <c r="AO3111" s="21">
        <f t="shared" si="154"/>
        <v>0</v>
      </c>
      <c r="AP3111" s="7">
        <f t="shared" si="153"/>
        <v>43.96</v>
      </c>
      <c r="AQ3111" s="31" t="str">
        <f t="shared" si="155"/>
        <v>Complete - No Adjustment</v>
      </c>
    </row>
    <row r="3112" spans="1:43" x14ac:dyDescent="0.2">
      <c r="A3112" s="46">
        <v>3102</v>
      </c>
      <c r="B3112" s="38" t="s">
        <v>266</v>
      </c>
      <c r="C3112" s="38" t="s">
        <v>309</v>
      </c>
      <c r="D3112" s="38" t="s">
        <v>308</v>
      </c>
      <c r="E3112" s="38" t="s">
        <v>7193</v>
      </c>
      <c r="F3112" s="38" t="s">
        <v>7194</v>
      </c>
      <c r="G3112" s="38" t="s">
        <v>111</v>
      </c>
      <c r="H3112" s="44">
        <v>44229</v>
      </c>
      <c r="I3112" s="44">
        <v>44235</v>
      </c>
      <c r="J3112">
        <v>343.66</v>
      </c>
      <c r="K3112">
        <v>30.26</v>
      </c>
      <c r="L3112" t="s">
        <v>7195</v>
      </c>
      <c r="M3112" s="45" t="s">
        <v>98</v>
      </c>
      <c r="N3112" s="38" t="s">
        <v>230</v>
      </c>
      <c r="O3112" s="38" t="s">
        <v>310</v>
      </c>
      <c r="P3112" s="38" t="s">
        <v>60</v>
      </c>
      <c r="Q3112" s="38" t="s">
        <v>41</v>
      </c>
      <c r="R3112" s="38" t="s">
        <v>270</v>
      </c>
      <c r="S3112" s="38" t="s">
        <v>7196</v>
      </c>
      <c r="T3112" s="38" t="s">
        <v>7203</v>
      </c>
      <c r="U3112" s="38"/>
      <c r="V3112" s="38"/>
      <c r="W3112" s="38"/>
      <c r="X3112" s="38"/>
      <c r="Y3112" s="57"/>
      <c r="Z3112" s="7"/>
      <c r="AA3112" s="57"/>
      <c r="AB3112" s="7">
        <f>30.26-25</f>
        <v>5.2600000000000016</v>
      </c>
      <c r="AC3112" s="57"/>
      <c r="AD3112" s="7"/>
      <c r="AE3112" s="57"/>
      <c r="AF3112" s="7"/>
      <c r="AG3112" s="57"/>
      <c r="AH3112" s="7"/>
      <c r="AI3112" s="57"/>
      <c r="AJ3112" s="7"/>
      <c r="AK3112" s="57"/>
      <c r="AL3112" s="7"/>
      <c r="AN3112" s="7" t="s">
        <v>66</v>
      </c>
      <c r="AO3112" s="21">
        <f t="shared" si="154"/>
        <v>5.2600000000000016</v>
      </c>
      <c r="AP3112" s="7">
        <f t="shared" si="153"/>
        <v>25</v>
      </c>
      <c r="AQ3112" s="31" t="str">
        <f t="shared" si="155"/>
        <v>Complete - With Adjustment</v>
      </c>
    </row>
    <row r="3113" spans="1:43" x14ac:dyDescent="0.2">
      <c r="A3113" s="46">
        <v>3103</v>
      </c>
      <c r="B3113" s="38" t="s">
        <v>266</v>
      </c>
      <c r="C3113" s="38" t="s">
        <v>309</v>
      </c>
      <c r="D3113" s="38" t="s">
        <v>308</v>
      </c>
      <c r="E3113" s="38" t="s">
        <v>7193</v>
      </c>
      <c r="F3113" s="38" t="s">
        <v>7194</v>
      </c>
      <c r="G3113" s="38" t="s">
        <v>111</v>
      </c>
      <c r="H3113" s="44">
        <v>44229</v>
      </c>
      <c r="I3113" s="44">
        <v>44235</v>
      </c>
      <c r="J3113">
        <v>343.66</v>
      </c>
      <c r="K3113">
        <v>26.32</v>
      </c>
      <c r="L3113" t="s">
        <v>7195</v>
      </c>
      <c r="M3113" s="45" t="s">
        <v>98</v>
      </c>
      <c r="N3113" s="38" t="s">
        <v>230</v>
      </c>
      <c r="O3113" s="38" t="s">
        <v>310</v>
      </c>
      <c r="P3113" s="38" t="s">
        <v>60</v>
      </c>
      <c r="Q3113" s="38" t="s">
        <v>41</v>
      </c>
      <c r="R3113" s="38" t="s">
        <v>270</v>
      </c>
      <c r="S3113" s="38" t="s">
        <v>7196</v>
      </c>
      <c r="T3113" s="38" t="s">
        <v>7204</v>
      </c>
      <c r="U3113" s="38"/>
      <c r="V3113" s="38"/>
      <c r="W3113" s="38"/>
      <c r="X3113" s="38"/>
      <c r="Y3113" s="57"/>
      <c r="Z3113" s="7"/>
      <c r="AA3113" s="57"/>
      <c r="AB3113" s="7"/>
      <c r="AC3113" s="57"/>
      <c r="AD3113" s="7"/>
      <c r="AE3113" s="57"/>
      <c r="AF3113" s="7"/>
      <c r="AG3113" s="57"/>
      <c r="AH3113" s="7"/>
      <c r="AI3113" s="57"/>
      <c r="AJ3113" s="7"/>
      <c r="AK3113" s="57"/>
      <c r="AL3113" s="7"/>
      <c r="AN3113" s="7" t="s">
        <v>70</v>
      </c>
      <c r="AO3113" s="21">
        <f t="shared" si="154"/>
        <v>0</v>
      </c>
      <c r="AP3113" s="7">
        <f t="shared" si="153"/>
        <v>26.32</v>
      </c>
      <c r="AQ3113" s="31" t="str">
        <f t="shared" si="155"/>
        <v>Complete - No Adjustment</v>
      </c>
    </row>
    <row r="3114" spans="1:43" x14ac:dyDescent="0.2">
      <c r="A3114" s="46">
        <v>3104</v>
      </c>
      <c r="B3114" s="38" t="s">
        <v>266</v>
      </c>
      <c r="C3114" s="38" t="s">
        <v>309</v>
      </c>
      <c r="D3114" s="38" t="s">
        <v>308</v>
      </c>
      <c r="E3114" s="38" t="s">
        <v>7193</v>
      </c>
      <c r="F3114" s="38" t="s">
        <v>7194</v>
      </c>
      <c r="G3114" s="38" t="s">
        <v>111</v>
      </c>
      <c r="H3114" s="44">
        <v>44229</v>
      </c>
      <c r="I3114" s="44">
        <v>44235</v>
      </c>
      <c r="J3114">
        <v>343.66</v>
      </c>
      <c r="K3114">
        <v>21.74</v>
      </c>
      <c r="L3114" t="s">
        <v>7195</v>
      </c>
      <c r="M3114" s="45" t="s">
        <v>98</v>
      </c>
      <c r="N3114" s="38" t="s">
        <v>230</v>
      </c>
      <c r="O3114" s="38" t="s">
        <v>310</v>
      </c>
      <c r="P3114" s="38" t="s">
        <v>60</v>
      </c>
      <c r="Q3114" s="38" t="s">
        <v>41</v>
      </c>
      <c r="R3114" s="38" t="s">
        <v>270</v>
      </c>
      <c r="S3114" s="38" t="s">
        <v>7196</v>
      </c>
      <c r="T3114" s="38" t="s">
        <v>7198</v>
      </c>
      <c r="U3114" s="38"/>
      <c r="V3114" s="38"/>
      <c r="W3114" s="38"/>
      <c r="X3114" s="38"/>
      <c r="Y3114" s="57"/>
      <c r="Z3114" s="7"/>
      <c r="AA3114" s="57"/>
      <c r="AB3114" s="7"/>
      <c r="AC3114" s="57"/>
      <c r="AD3114" s="7"/>
      <c r="AE3114" s="57"/>
      <c r="AF3114" s="7"/>
      <c r="AG3114" s="57"/>
      <c r="AH3114" s="7"/>
      <c r="AI3114" s="57"/>
      <c r="AJ3114" s="7"/>
      <c r="AK3114" s="57"/>
      <c r="AL3114" s="7"/>
      <c r="AN3114" s="7" t="s">
        <v>70</v>
      </c>
      <c r="AO3114" s="21">
        <f t="shared" si="154"/>
        <v>0</v>
      </c>
      <c r="AP3114" s="7">
        <f t="shared" si="153"/>
        <v>21.74</v>
      </c>
      <c r="AQ3114" s="31" t="str">
        <f t="shared" si="155"/>
        <v>Complete - No Adjustment</v>
      </c>
    </row>
    <row r="3115" spans="1:43" x14ac:dyDescent="0.2">
      <c r="A3115" s="46">
        <v>3105</v>
      </c>
      <c r="B3115" s="38" t="s">
        <v>266</v>
      </c>
      <c r="C3115" s="38" t="s">
        <v>587</v>
      </c>
      <c r="D3115" s="38" t="s">
        <v>586</v>
      </c>
      <c r="E3115" s="38" t="s">
        <v>7205</v>
      </c>
      <c r="F3115" s="38" t="s">
        <v>7194</v>
      </c>
      <c r="G3115" s="38" t="s">
        <v>111</v>
      </c>
      <c r="H3115" s="44">
        <v>44231</v>
      </c>
      <c r="I3115" s="44">
        <v>44235</v>
      </c>
      <c r="J3115">
        <v>75.760000000000005</v>
      </c>
      <c r="K3115">
        <v>75.760000000000005</v>
      </c>
      <c r="L3115" t="s">
        <v>7206</v>
      </c>
      <c r="M3115" s="45" t="s">
        <v>98</v>
      </c>
      <c r="N3115" s="38" t="s">
        <v>230</v>
      </c>
      <c r="O3115" s="38" t="s">
        <v>277</v>
      </c>
      <c r="P3115" s="38" t="s">
        <v>60</v>
      </c>
      <c r="Q3115" s="38" t="s">
        <v>62</v>
      </c>
      <c r="R3115" s="38" t="s">
        <v>270</v>
      </c>
      <c r="S3115" s="38" t="s">
        <v>7207</v>
      </c>
      <c r="T3115" s="38" t="s">
        <v>7208</v>
      </c>
      <c r="U3115" s="38"/>
      <c r="V3115" s="38"/>
      <c r="W3115" s="38"/>
      <c r="X3115" s="38"/>
      <c r="Y3115" s="57"/>
      <c r="Z3115" s="7"/>
      <c r="AA3115" s="57"/>
      <c r="AB3115" s="7"/>
      <c r="AC3115" s="57"/>
      <c r="AD3115" s="7"/>
      <c r="AE3115" s="57"/>
      <c r="AF3115" s="7"/>
      <c r="AG3115" s="57"/>
      <c r="AH3115" s="7"/>
      <c r="AI3115" s="57"/>
      <c r="AJ3115" s="7"/>
      <c r="AK3115" s="57"/>
      <c r="AL3115" s="7"/>
      <c r="AN3115" s="7" t="s">
        <v>155</v>
      </c>
      <c r="AO3115" s="21">
        <f t="shared" si="154"/>
        <v>0</v>
      </c>
      <c r="AP3115" s="7">
        <f t="shared" si="153"/>
        <v>75.760000000000005</v>
      </c>
      <c r="AQ3115" s="31" t="str">
        <f t="shared" si="155"/>
        <v>Complete - No Adjustment</v>
      </c>
    </row>
    <row r="3116" spans="1:43" x14ac:dyDescent="0.2">
      <c r="A3116" s="46">
        <v>3106</v>
      </c>
      <c r="B3116" s="38" t="s">
        <v>266</v>
      </c>
      <c r="C3116" s="38" t="s">
        <v>742</v>
      </c>
      <c r="D3116" s="38" t="s">
        <v>741</v>
      </c>
      <c r="E3116" s="38" t="s">
        <v>7209</v>
      </c>
      <c r="F3116" s="38" t="s">
        <v>7210</v>
      </c>
      <c r="G3116" s="38" t="s">
        <v>111</v>
      </c>
      <c r="H3116" s="44">
        <v>44238</v>
      </c>
      <c r="I3116" s="44">
        <v>44243</v>
      </c>
      <c r="J3116">
        <v>11.24</v>
      </c>
      <c r="K3116">
        <v>11.24</v>
      </c>
      <c r="L3116" t="s">
        <v>7211</v>
      </c>
      <c r="M3116" s="45" t="s">
        <v>98</v>
      </c>
      <c r="N3116" s="38" t="s">
        <v>230</v>
      </c>
      <c r="O3116" s="38" t="s">
        <v>288</v>
      </c>
      <c r="P3116" s="38" t="s">
        <v>60</v>
      </c>
      <c r="Q3116" s="38" t="s">
        <v>41</v>
      </c>
      <c r="R3116" s="38" t="s">
        <v>270</v>
      </c>
      <c r="S3116" s="38" t="s">
        <v>3067</v>
      </c>
      <c r="T3116" s="38" t="s">
        <v>3068</v>
      </c>
      <c r="U3116" s="38"/>
      <c r="V3116" s="38"/>
      <c r="W3116" s="38"/>
      <c r="X3116" s="38"/>
      <c r="Y3116" s="57"/>
      <c r="Z3116" s="7"/>
      <c r="AA3116" s="57"/>
      <c r="AB3116" s="7"/>
      <c r="AC3116" s="57"/>
      <c r="AD3116" s="7"/>
      <c r="AE3116" s="57"/>
      <c r="AF3116" s="7"/>
      <c r="AG3116" s="57"/>
      <c r="AH3116" s="7"/>
      <c r="AI3116" s="57">
        <f>11.24</f>
        <v>11.24</v>
      </c>
      <c r="AJ3116" s="7"/>
      <c r="AK3116" s="57"/>
      <c r="AL3116" s="7"/>
      <c r="AN3116" s="7" t="s">
        <v>145</v>
      </c>
      <c r="AO3116" s="21">
        <f t="shared" si="154"/>
        <v>11.24</v>
      </c>
      <c r="AP3116" s="7">
        <f t="shared" si="153"/>
        <v>0</v>
      </c>
      <c r="AQ3116" s="31" t="str">
        <f t="shared" si="155"/>
        <v>Complete - With Adjustment</v>
      </c>
    </row>
    <row r="3117" spans="1:43" x14ac:dyDescent="0.2">
      <c r="A3117" s="46">
        <v>3107</v>
      </c>
      <c r="B3117" s="38" t="s">
        <v>266</v>
      </c>
      <c r="C3117" s="38" t="s">
        <v>742</v>
      </c>
      <c r="D3117" s="38" t="s">
        <v>741</v>
      </c>
      <c r="E3117" s="38" t="s">
        <v>7212</v>
      </c>
      <c r="F3117" s="38" t="s">
        <v>7213</v>
      </c>
      <c r="G3117" s="38" t="s">
        <v>111</v>
      </c>
      <c r="H3117" s="44">
        <v>44231</v>
      </c>
      <c r="I3117" s="44">
        <v>44236</v>
      </c>
      <c r="J3117">
        <v>12.44</v>
      </c>
      <c r="K3117">
        <v>12.44</v>
      </c>
      <c r="L3117" t="s">
        <v>7214</v>
      </c>
      <c r="M3117" s="45" t="s">
        <v>98</v>
      </c>
      <c r="N3117" s="38" t="s">
        <v>230</v>
      </c>
      <c r="O3117" s="38" t="s">
        <v>288</v>
      </c>
      <c r="P3117" s="38" t="s">
        <v>60</v>
      </c>
      <c r="Q3117" s="38" t="s">
        <v>41</v>
      </c>
      <c r="R3117" s="38" t="s">
        <v>270</v>
      </c>
      <c r="S3117" s="38" t="s">
        <v>3067</v>
      </c>
      <c r="T3117" s="38" t="s">
        <v>3068</v>
      </c>
      <c r="U3117" s="38"/>
      <c r="V3117" s="38"/>
      <c r="W3117" s="38"/>
      <c r="X3117" s="38"/>
      <c r="Y3117" s="57"/>
      <c r="Z3117" s="7"/>
      <c r="AA3117" s="57"/>
      <c r="AB3117" s="7"/>
      <c r="AC3117" s="57"/>
      <c r="AD3117" s="7"/>
      <c r="AE3117" s="57"/>
      <c r="AF3117" s="7"/>
      <c r="AG3117" s="57"/>
      <c r="AH3117" s="7"/>
      <c r="AI3117" s="57">
        <f>12.44</f>
        <v>12.44</v>
      </c>
      <c r="AJ3117" s="7"/>
      <c r="AK3117" s="57"/>
      <c r="AL3117" s="7"/>
      <c r="AN3117" s="7" t="s">
        <v>145</v>
      </c>
      <c r="AO3117" s="21">
        <f t="shared" si="154"/>
        <v>12.44</v>
      </c>
      <c r="AP3117" s="7">
        <f t="shared" si="153"/>
        <v>0</v>
      </c>
      <c r="AQ3117" s="31" t="str">
        <f t="shared" si="155"/>
        <v>Complete - With Adjustment</v>
      </c>
    </row>
    <row r="3118" spans="1:43" x14ac:dyDescent="0.2">
      <c r="A3118" s="46">
        <v>3108</v>
      </c>
      <c r="B3118" s="38" t="s">
        <v>266</v>
      </c>
      <c r="C3118" s="38" t="s">
        <v>742</v>
      </c>
      <c r="D3118" s="38" t="s">
        <v>741</v>
      </c>
      <c r="E3118" s="38" t="s">
        <v>7215</v>
      </c>
      <c r="F3118" s="38" t="s">
        <v>7216</v>
      </c>
      <c r="G3118" s="38" t="s">
        <v>111</v>
      </c>
      <c r="H3118" s="44">
        <v>44224</v>
      </c>
      <c r="I3118" s="44">
        <v>44228</v>
      </c>
      <c r="J3118">
        <v>15.7</v>
      </c>
      <c r="K3118">
        <v>15.7</v>
      </c>
      <c r="L3118" t="s">
        <v>7217</v>
      </c>
      <c r="M3118" s="45" t="s">
        <v>98</v>
      </c>
      <c r="N3118" s="38" t="s">
        <v>230</v>
      </c>
      <c r="O3118" s="38" t="s">
        <v>288</v>
      </c>
      <c r="P3118" s="38" t="s">
        <v>60</v>
      </c>
      <c r="Q3118" s="38" t="s">
        <v>41</v>
      </c>
      <c r="R3118" s="38" t="s">
        <v>270</v>
      </c>
      <c r="S3118" s="38" t="s">
        <v>3067</v>
      </c>
      <c r="T3118" s="38" t="s">
        <v>3068</v>
      </c>
      <c r="U3118" s="38"/>
      <c r="V3118" s="38"/>
      <c r="W3118" s="38"/>
      <c r="X3118" s="38"/>
      <c r="Y3118" s="57"/>
      <c r="Z3118" s="7"/>
      <c r="AA3118" s="57"/>
      <c r="AB3118" s="7"/>
      <c r="AC3118" s="57"/>
      <c r="AD3118" s="7"/>
      <c r="AE3118" s="57"/>
      <c r="AF3118" s="7"/>
      <c r="AG3118" s="57"/>
      <c r="AH3118" s="7"/>
      <c r="AI3118" s="57">
        <f>15.7</f>
        <v>15.7</v>
      </c>
      <c r="AJ3118" s="7"/>
      <c r="AK3118" s="57"/>
      <c r="AL3118" s="7"/>
      <c r="AN3118" s="7" t="s">
        <v>145</v>
      </c>
      <c r="AO3118" s="21">
        <f t="shared" si="154"/>
        <v>15.7</v>
      </c>
      <c r="AP3118" s="7">
        <f t="shared" si="153"/>
        <v>0</v>
      </c>
      <c r="AQ3118" s="31" t="str">
        <f t="shared" si="155"/>
        <v>Complete - With Adjustment</v>
      </c>
    </row>
    <row r="3119" spans="1:43" x14ac:dyDescent="0.2">
      <c r="A3119" s="46">
        <v>3109</v>
      </c>
      <c r="B3119" s="38" t="s">
        <v>266</v>
      </c>
      <c r="C3119" s="38" t="s">
        <v>316</v>
      </c>
      <c r="D3119" s="38" t="s">
        <v>315</v>
      </c>
      <c r="E3119" s="38" t="s">
        <v>7218</v>
      </c>
      <c r="F3119" s="38" t="s">
        <v>7219</v>
      </c>
      <c r="G3119" s="38" t="s">
        <v>111</v>
      </c>
      <c r="H3119" s="44">
        <v>44224</v>
      </c>
      <c r="I3119" s="44">
        <v>44251</v>
      </c>
      <c r="J3119">
        <v>91.93</v>
      </c>
      <c r="K3119">
        <v>36.78</v>
      </c>
      <c r="L3119" t="s">
        <v>7220</v>
      </c>
      <c r="M3119" s="45" t="s">
        <v>98</v>
      </c>
      <c r="N3119" s="38" t="s">
        <v>230</v>
      </c>
      <c r="O3119" s="38" t="s">
        <v>317</v>
      </c>
      <c r="P3119" s="38" t="s">
        <v>60</v>
      </c>
      <c r="Q3119" s="38" t="s">
        <v>41</v>
      </c>
      <c r="R3119" s="38" t="s">
        <v>270</v>
      </c>
      <c r="S3119" s="38" t="s">
        <v>7221</v>
      </c>
      <c r="T3119" s="38" t="s">
        <v>7222</v>
      </c>
      <c r="U3119" s="38"/>
      <c r="V3119" s="38"/>
      <c r="W3119" s="38"/>
      <c r="X3119" s="38"/>
      <c r="Y3119" s="57"/>
      <c r="Z3119" s="7"/>
      <c r="AA3119" s="57"/>
      <c r="AB3119" s="7"/>
      <c r="AC3119" s="57"/>
      <c r="AD3119" s="7"/>
      <c r="AE3119" s="57"/>
      <c r="AF3119" s="7"/>
      <c r="AG3119" s="57"/>
      <c r="AH3119" s="7"/>
      <c r="AI3119" s="57">
        <f>36.78</f>
        <v>36.78</v>
      </c>
      <c r="AJ3119" s="7"/>
      <c r="AK3119" s="57"/>
      <c r="AL3119" s="7"/>
      <c r="AN3119" s="7" t="s">
        <v>145</v>
      </c>
      <c r="AO3119" s="21">
        <f t="shared" si="154"/>
        <v>36.78</v>
      </c>
      <c r="AP3119" s="7">
        <f t="shared" si="153"/>
        <v>0</v>
      </c>
      <c r="AQ3119" s="31" t="str">
        <f t="shared" si="155"/>
        <v>Complete - With Adjustment</v>
      </c>
    </row>
    <row r="3120" spans="1:43" x14ac:dyDescent="0.2">
      <c r="A3120" s="46">
        <v>3110</v>
      </c>
      <c r="B3120" s="38" t="s">
        <v>266</v>
      </c>
      <c r="C3120" s="38" t="s">
        <v>316</v>
      </c>
      <c r="D3120" s="38" t="s">
        <v>315</v>
      </c>
      <c r="E3120" s="38" t="s">
        <v>7218</v>
      </c>
      <c r="F3120" s="38" t="s">
        <v>7219</v>
      </c>
      <c r="G3120" s="38" t="s">
        <v>111</v>
      </c>
      <c r="H3120" s="44">
        <v>44224</v>
      </c>
      <c r="I3120" s="44">
        <v>44251</v>
      </c>
      <c r="J3120">
        <v>91.93</v>
      </c>
      <c r="K3120">
        <v>17.86</v>
      </c>
      <c r="L3120" t="s">
        <v>7220</v>
      </c>
      <c r="M3120" s="45" t="s">
        <v>98</v>
      </c>
      <c r="N3120" s="38" t="s">
        <v>230</v>
      </c>
      <c r="O3120" s="38" t="s">
        <v>317</v>
      </c>
      <c r="P3120" s="38" t="s">
        <v>60</v>
      </c>
      <c r="Q3120" s="38" t="s">
        <v>41</v>
      </c>
      <c r="R3120" s="38" t="s">
        <v>270</v>
      </c>
      <c r="S3120" s="38" t="s">
        <v>7221</v>
      </c>
      <c r="T3120" s="38" t="s">
        <v>3791</v>
      </c>
      <c r="U3120" s="38"/>
      <c r="V3120" s="38"/>
      <c r="W3120" s="38"/>
      <c r="X3120" s="38"/>
      <c r="Y3120" s="57"/>
      <c r="Z3120" s="7"/>
      <c r="AA3120" s="57"/>
      <c r="AB3120" s="7"/>
      <c r="AC3120" s="57"/>
      <c r="AD3120" s="7"/>
      <c r="AE3120" s="57"/>
      <c r="AF3120" s="7"/>
      <c r="AG3120" s="57"/>
      <c r="AH3120" s="7"/>
      <c r="AI3120" s="57"/>
      <c r="AJ3120" s="7"/>
      <c r="AK3120" s="57"/>
      <c r="AL3120" s="7"/>
      <c r="AN3120" s="7" t="s">
        <v>70</v>
      </c>
      <c r="AO3120" s="21">
        <f t="shared" si="154"/>
        <v>0</v>
      </c>
      <c r="AP3120" s="7">
        <f t="shared" si="153"/>
        <v>17.86</v>
      </c>
      <c r="AQ3120" s="31" t="str">
        <f t="shared" si="155"/>
        <v>Complete - No Adjustment</v>
      </c>
    </row>
    <row r="3121" spans="1:43" x14ac:dyDescent="0.2">
      <c r="A3121" s="46">
        <v>3111</v>
      </c>
      <c r="B3121" s="38" t="s">
        <v>266</v>
      </c>
      <c r="C3121" s="38" t="s">
        <v>316</v>
      </c>
      <c r="D3121" s="38" t="s">
        <v>315</v>
      </c>
      <c r="E3121" s="38" t="s">
        <v>7218</v>
      </c>
      <c r="F3121" s="38" t="s">
        <v>7219</v>
      </c>
      <c r="G3121" s="38" t="s">
        <v>111</v>
      </c>
      <c r="H3121" s="44">
        <v>44224</v>
      </c>
      <c r="I3121" s="44">
        <v>44251</v>
      </c>
      <c r="J3121">
        <v>91.93</v>
      </c>
      <c r="K3121">
        <v>17.86</v>
      </c>
      <c r="L3121" t="s">
        <v>7220</v>
      </c>
      <c r="M3121" s="45" t="s">
        <v>98</v>
      </c>
      <c r="N3121" s="38" t="s">
        <v>230</v>
      </c>
      <c r="O3121" s="38" t="s">
        <v>317</v>
      </c>
      <c r="P3121" s="38" t="s">
        <v>60</v>
      </c>
      <c r="Q3121" s="38" t="s">
        <v>41</v>
      </c>
      <c r="R3121" s="38" t="s">
        <v>270</v>
      </c>
      <c r="S3121" s="38" t="s">
        <v>7221</v>
      </c>
      <c r="T3121" s="38" t="s">
        <v>3791</v>
      </c>
      <c r="U3121" s="38"/>
      <c r="V3121" s="38"/>
      <c r="W3121" s="38"/>
      <c r="X3121" s="38"/>
      <c r="Y3121" s="57"/>
      <c r="Z3121" s="7"/>
      <c r="AA3121" s="57"/>
      <c r="AB3121" s="7"/>
      <c r="AC3121" s="57"/>
      <c r="AD3121" s="7"/>
      <c r="AE3121" s="57"/>
      <c r="AF3121" s="7"/>
      <c r="AG3121" s="57"/>
      <c r="AH3121" s="7"/>
      <c r="AI3121" s="57"/>
      <c r="AJ3121" s="7"/>
      <c r="AK3121" s="57"/>
      <c r="AL3121" s="7"/>
      <c r="AN3121" s="7" t="s">
        <v>70</v>
      </c>
      <c r="AO3121" s="21">
        <f t="shared" si="154"/>
        <v>0</v>
      </c>
      <c r="AP3121" s="7">
        <f t="shared" si="153"/>
        <v>17.86</v>
      </c>
      <c r="AQ3121" s="31" t="str">
        <f t="shared" si="155"/>
        <v>Complete - No Adjustment</v>
      </c>
    </row>
    <row r="3122" spans="1:43" x14ac:dyDescent="0.2">
      <c r="A3122" s="46">
        <v>3112</v>
      </c>
      <c r="B3122" s="38" t="s">
        <v>266</v>
      </c>
      <c r="C3122" s="38" t="s">
        <v>316</v>
      </c>
      <c r="D3122" s="38" t="s">
        <v>315</v>
      </c>
      <c r="E3122" s="38" t="s">
        <v>7218</v>
      </c>
      <c r="F3122" s="38" t="s">
        <v>7219</v>
      </c>
      <c r="G3122" s="38" t="s">
        <v>111</v>
      </c>
      <c r="H3122" s="44">
        <v>44224</v>
      </c>
      <c r="I3122" s="44">
        <v>44251</v>
      </c>
      <c r="J3122">
        <v>91.93</v>
      </c>
      <c r="K3122">
        <v>19.43</v>
      </c>
      <c r="L3122" t="s">
        <v>7220</v>
      </c>
      <c r="M3122" s="45" t="s">
        <v>98</v>
      </c>
      <c r="N3122" s="38" t="s">
        <v>230</v>
      </c>
      <c r="O3122" s="38" t="s">
        <v>317</v>
      </c>
      <c r="P3122" s="38" t="s">
        <v>60</v>
      </c>
      <c r="Q3122" s="38" t="s">
        <v>41</v>
      </c>
      <c r="R3122" s="38" t="s">
        <v>270</v>
      </c>
      <c r="S3122" s="38" t="s">
        <v>7221</v>
      </c>
      <c r="T3122" s="38" t="s">
        <v>3791</v>
      </c>
      <c r="U3122" s="38"/>
      <c r="V3122" s="38"/>
      <c r="W3122" s="38"/>
      <c r="X3122" s="38"/>
      <c r="Y3122" s="57"/>
      <c r="Z3122" s="7"/>
      <c r="AA3122" s="57"/>
      <c r="AB3122" s="7"/>
      <c r="AC3122" s="57"/>
      <c r="AD3122" s="7"/>
      <c r="AE3122" s="57"/>
      <c r="AF3122" s="7"/>
      <c r="AG3122" s="57"/>
      <c r="AH3122" s="7"/>
      <c r="AI3122" s="57"/>
      <c r="AJ3122" s="7"/>
      <c r="AK3122" s="57"/>
      <c r="AL3122" s="7">
        <f>19.43</f>
        <v>19.43</v>
      </c>
      <c r="AN3122" s="7" t="s">
        <v>146</v>
      </c>
      <c r="AO3122" s="21">
        <f t="shared" si="154"/>
        <v>19.43</v>
      </c>
      <c r="AP3122" s="7">
        <f t="shared" si="153"/>
        <v>0</v>
      </c>
      <c r="AQ3122" s="31" t="str">
        <f t="shared" si="155"/>
        <v>Complete - With Adjustment</v>
      </c>
    </row>
    <row r="3123" spans="1:43" x14ac:dyDescent="0.2">
      <c r="A3123" s="46">
        <v>3113</v>
      </c>
      <c r="B3123" s="38" t="s">
        <v>266</v>
      </c>
      <c r="C3123" s="38" t="s">
        <v>77</v>
      </c>
      <c r="D3123" s="38" t="s">
        <v>100</v>
      </c>
      <c r="E3123" s="38" t="s">
        <v>7223</v>
      </c>
      <c r="F3123" s="38" t="s">
        <v>7219</v>
      </c>
      <c r="G3123" s="38" t="s">
        <v>111</v>
      </c>
      <c r="H3123" s="44">
        <v>44250</v>
      </c>
      <c r="I3123" s="44">
        <v>44251</v>
      </c>
      <c r="J3123">
        <v>598.96</v>
      </c>
      <c r="K3123">
        <v>295</v>
      </c>
      <c r="L3123" t="s">
        <v>7224</v>
      </c>
      <c r="M3123" s="45" t="s">
        <v>98</v>
      </c>
      <c r="N3123" s="38" t="s">
        <v>230</v>
      </c>
      <c r="O3123" s="38" t="s">
        <v>78</v>
      </c>
      <c r="P3123" s="38" t="s">
        <v>60</v>
      </c>
      <c r="Q3123" s="38" t="s">
        <v>56</v>
      </c>
      <c r="R3123" s="38" t="s">
        <v>270</v>
      </c>
      <c r="S3123" s="38" t="s">
        <v>7225</v>
      </c>
      <c r="T3123" s="38" t="s">
        <v>7226</v>
      </c>
      <c r="U3123" s="38"/>
      <c r="V3123" s="38"/>
      <c r="W3123" s="38"/>
      <c r="X3123" s="38"/>
      <c r="Y3123" s="57"/>
      <c r="Z3123" s="7"/>
      <c r="AA3123" s="57"/>
      <c r="AB3123" s="7"/>
      <c r="AC3123" s="57"/>
      <c r="AD3123" s="7"/>
      <c r="AE3123" s="57"/>
      <c r="AF3123" s="7"/>
      <c r="AG3123" s="57"/>
      <c r="AH3123" s="7"/>
      <c r="AI3123" s="57"/>
      <c r="AJ3123" s="7"/>
      <c r="AK3123" s="57"/>
      <c r="AL3123" s="7"/>
      <c r="AN3123" s="7" t="s">
        <v>70</v>
      </c>
      <c r="AO3123" s="21">
        <f t="shared" si="154"/>
        <v>0</v>
      </c>
      <c r="AP3123" s="7">
        <f t="shared" si="153"/>
        <v>295</v>
      </c>
      <c r="AQ3123" s="31" t="str">
        <f t="shared" si="155"/>
        <v>Complete - No Adjustment</v>
      </c>
    </row>
    <row r="3124" spans="1:43" x14ac:dyDescent="0.2">
      <c r="A3124" s="46">
        <v>3114</v>
      </c>
      <c r="B3124" s="38" t="s">
        <v>266</v>
      </c>
      <c r="C3124" s="38" t="s">
        <v>77</v>
      </c>
      <c r="D3124" s="38" t="s">
        <v>100</v>
      </c>
      <c r="E3124" s="38" t="s">
        <v>7223</v>
      </c>
      <c r="F3124" s="38" t="s">
        <v>7219</v>
      </c>
      <c r="G3124" s="38" t="s">
        <v>111</v>
      </c>
      <c r="H3124" s="44">
        <v>44250</v>
      </c>
      <c r="I3124" s="44">
        <v>44251</v>
      </c>
      <c r="J3124">
        <v>598.96</v>
      </c>
      <c r="K3124">
        <v>28.96</v>
      </c>
      <c r="L3124" t="s">
        <v>7224</v>
      </c>
      <c r="M3124" s="45" t="s">
        <v>98</v>
      </c>
      <c r="N3124" s="38" t="s">
        <v>230</v>
      </c>
      <c r="O3124" s="38" t="s">
        <v>78</v>
      </c>
      <c r="P3124" s="38" t="s">
        <v>60</v>
      </c>
      <c r="Q3124" s="38" t="s">
        <v>41</v>
      </c>
      <c r="R3124" s="38" t="s">
        <v>270</v>
      </c>
      <c r="S3124" s="38" t="s">
        <v>7225</v>
      </c>
      <c r="T3124" s="38" t="s">
        <v>7227</v>
      </c>
      <c r="U3124" s="38"/>
      <c r="V3124" s="38"/>
      <c r="W3124" s="38"/>
      <c r="X3124" s="38"/>
      <c r="Y3124" s="57"/>
      <c r="Z3124" s="7"/>
      <c r="AA3124" s="57"/>
      <c r="AB3124" s="7"/>
      <c r="AC3124" s="57"/>
      <c r="AD3124" s="7"/>
      <c r="AE3124" s="57"/>
      <c r="AF3124" s="7"/>
      <c r="AG3124" s="57"/>
      <c r="AH3124" s="7"/>
      <c r="AI3124" s="57"/>
      <c r="AJ3124" s="7"/>
      <c r="AK3124" s="57"/>
      <c r="AL3124" s="7"/>
      <c r="AN3124" s="7" t="s">
        <v>70</v>
      </c>
      <c r="AO3124" s="21">
        <f t="shared" si="154"/>
        <v>0</v>
      </c>
      <c r="AP3124" s="7">
        <f t="shared" si="153"/>
        <v>28.96</v>
      </c>
      <c r="AQ3124" s="31" t="str">
        <f t="shared" si="155"/>
        <v>Complete - No Adjustment</v>
      </c>
    </row>
    <row r="3125" spans="1:43" x14ac:dyDescent="0.2">
      <c r="A3125" s="46">
        <v>3115</v>
      </c>
      <c r="B3125" s="38" t="s">
        <v>266</v>
      </c>
      <c r="C3125" s="38" t="s">
        <v>77</v>
      </c>
      <c r="D3125" s="38" t="s">
        <v>100</v>
      </c>
      <c r="E3125" s="38" t="s">
        <v>7223</v>
      </c>
      <c r="F3125" s="38" t="s">
        <v>7219</v>
      </c>
      <c r="G3125" s="38" t="s">
        <v>111</v>
      </c>
      <c r="H3125" s="44">
        <v>44250</v>
      </c>
      <c r="I3125" s="44">
        <v>44251</v>
      </c>
      <c r="J3125">
        <v>598.96</v>
      </c>
      <c r="K3125">
        <v>275</v>
      </c>
      <c r="L3125" t="s">
        <v>7224</v>
      </c>
      <c r="M3125" s="45" t="s">
        <v>98</v>
      </c>
      <c r="N3125" s="38" t="s">
        <v>230</v>
      </c>
      <c r="O3125" s="38" t="s">
        <v>78</v>
      </c>
      <c r="P3125" s="38" t="s">
        <v>60</v>
      </c>
      <c r="Q3125" s="38" t="s">
        <v>56</v>
      </c>
      <c r="R3125" s="38" t="s">
        <v>270</v>
      </c>
      <c r="S3125" s="38" t="s">
        <v>7225</v>
      </c>
      <c r="T3125" s="38" t="s">
        <v>7228</v>
      </c>
      <c r="U3125" s="38"/>
      <c r="V3125" s="38"/>
      <c r="W3125" s="38"/>
      <c r="X3125" s="38"/>
      <c r="Y3125" s="57"/>
      <c r="Z3125" s="7"/>
      <c r="AA3125" s="57"/>
      <c r="AB3125" s="7"/>
      <c r="AC3125" s="57"/>
      <c r="AD3125" s="7"/>
      <c r="AE3125" s="57"/>
      <c r="AF3125" s="7"/>
      <c r="AG3125" s="57"/>
      <c r="AH3125" s="7"/>
      <c r="AI3125" s="57"/>
      <c r="AJ3125" s="7"/>
      <c r="AK3125" s="57"/>
      <c r="AL3125" s="7"/>
      <c r="AN3125" s="7" t="s">
        <v>70</v>
      </c>
      <c r="AO3125" s="21">
        <f t="shared" si="154"/>
        <v>0</v>
      </c>
      <c r="AP3125" s="7">
        <f t="shared" si="153"/>
        <v>275</v>
      </c>
      <c r="AQ3125" s="31" t="str">
        <f t="shared" si="155"/>
        <v>Complete - No Adjustment</v>
      </c>
    </row>
    <row r="3126" spans="1:43" x14ac:dyDescent="0.2">
      <c r="A3126" s="46">
        <v>3116</v>
      </c>
      <c r="B3126" s="38" t="s">
        <v>266</v>
      </c>
      <c r="C3126" s="38" t="s">
        <v>325</v>
      </c>
      <c r="D3126" s="38" t="s">
        <v>324</v>
      </c>
      <c r="E3126" s="38" t="s">
        <v>7229</v>
      </c>
      <c r="F3126" s="38" t="s">
        <v>7210</v>
      </c>
      <c r="G3126" s="38" t="s">
        <v>111</v>
      </c>
      <c r="H3126" s="44">
        <v>44239</v>
      </c>
      <c r="I3126" s="44">
        <v>44243</v>
      </c>
      <c r="J3126">
        <v>18.22</v>
      </c>
      <c r="K3126">
        <v>18.22</v>
      </c>
      <c r="L3126" t="s">
        <v>7230</v>
      </c>
      <c r="M3126" s="45" t="s">
        <v>98</v>
      </c>
      <c r="N3126" s="38" t="s">
        <v>230</v>
      </c>
      <c r="O3126" s="38" t="s">
        <v>288</v>
      </c>
      <c r="P3126" s="38" t="s">
        <v>60</v>
      </c>
      <c r="Q3126" s="38" t="s">
        <v>41</v>
      </c>
      <c r="R3126" s="38" t="s">
        <v>270</v>
      </c>
      <c r="S3126" s="38" t="s">
        <v>7231</v>
      </c>
      <c r="T3126" s="38" t="s">
        <v>7232</v>
      </c>
      <c r="U3126" s="38"/>
      <c r="V3126" s="38"/>
      <c r="W3126" s="38"/>
      <c r="X3126" s="38"/>
      <c r="Y3126" s="57"/>
      <c r="Z3126" s="7"/>
      <c r="AA3126" s="57"/>
      <c r="AB3126" s="7"/>
      <c r="AC3126" s="57"/>
      <c r="AD3126" s="7"/>
      <c r="AE3126" s="57"/>
      <c r="AF3126" s="7"/>
      <c r="AG3126" s="57"/>
      <c r="AH3126" s="7"/>
      <c r="AI3126" s="57"/>
      <c r="AJ3126" s="7"/>
      <c r="AK3126" s="57"/>
      <c r="AL3126" s="7">
        <f>18.22</f>
        <v>18.22</v>
      </c>
      <c r="AN3126" s="7" t="s">
        <v>146</v>
      </c>
      <c r="AO3126" s="21">
        <f t="shared" si="154"/>
        <v>18.22</v>
      </c>
      <c r="AP3126" s="7">
        <f t="shared" si="153"/>
        <v>0</v>
      </c>
      <c r="AQ3126" s="31" t="str">
        <f t="shared" si="155"/>
        <v>Complete - With Adjustment</v>
      </c>
    </row>
    <row r="3127" spans="1:43" x14ac:dyDescent="0.2">
      <c r="A3127" s="46">
        <v>3117</v>
      </c>
      <c r="B3127" s="38" t="s">
        <v>266</v>
      </c>
      <c r="C3127" s="38" t="s">
        <v>325</v>
      </c>
      <c r="D3127" s="38" t="s">
        <v>324</v>
      </c>
      <c r="E3127" s="38" t="s">
        <v>7233</v>
      </c>
      <c r="F3127" s="38" t="s">
        <v>7213</v>
      </c>
      <c r="G3127" s="38" t="s">
        <v>111</v>
      </c>
      <c r="H3127" s="44">
        <v>44232</v>
      </c>
      <c r="I3127" s="44">
        <v>44236</v>
      </c>
      <c r="J3127">
        <v>34.01</v>
      </c>
      <c r="K3127">
        <v>14.7</v>
      </c>
      <c r="L3127" t="s">
        <v>7234</v>
      </c>
      <c r="M3127" s="45" t="s">
        <v>98</v>
      </c>
      <c r="N3127" s="38" t="s">
        <v>230</v>
      </c>
      <c r="O3127" s="38" t="s">
        <v>288</v>
      </c>
      <c r="P3127" s="38" t="s">
        <v>60</v>
      </c>
      <c r="Q3127" s="38" t="s">
        <v>41</v>
      </c>
      <c r="R3127" s="38" t="s">
        <v>270</v>
      </c>
      <c r="S3127" s="38" t="s">
        <v>7235</v>
      </c>
      <c r="T3127" s="38" t="s">
        <v>7236</v>
      </c>
      <c r="U3127" s="38"/>
      <c r="V3127" s="38"/>
      <c r="W3127" s="38"/>
      <c r="X3127" s="38"/>
      <c r="Y3127" s="57"/>
      <c r="Z3127" s="7"/>
      <c r="AA3127" s="57"/>
      <c r="AB3127" s="7"/>
      <c r="AC3127" s="57"/>
      <c r="AD3127" s="7"/>
      <c r="AE3127" s="57"/>
      <c r="AF3127" s="7"/>
      <c r="AG3127" s="57"/>
      <c r="AH3127" s="7"/>
      <c r="AI3127" s="57"/>
      <c r="AJ3127" s="7"/>
      <c r="AK3127" s="57"/>
      <c r="AL3127" s="7"/>
      <c r="AN3127" s="7" t="s">
        <v>70</v>
      </c>
      <c r="AO3127" s="21">
        <f t="shared" si="154"/>
        <v>0</v>
      </c>
      <c r="AP3127" s="7">
        <f t="shared" si="153"/>
        <v>14.7</v>
      </c>
      <c r="AQ3127" s="31" t="str">
        <f t="shared" si="155"/>
        <v>Complete - No Adjustment</v>
      </c>
    </row>
    <row r="3128" spans="1:43" x14ac:dyDescent="0.2">
      <c r="A3128" s="46">
        <v>3118</v>
      </c>
      <c r="B3128" s="38" t="s">
        <v>266</v>
      </c>
      <c r="C3128" s="38" t="s">
        <v>325</v>
      </c>
      <c r="D3128" s="38" t="s">
        <v>324</v>
      </c>
      <c r="E3128" s="38" t="s">
        <v>7233</v>
      </c>
      <c r="F3128" s="38" t="s">
        <v>7213</v>
      </c>
      <c r="G3128" s="38" t="s">
        <v>111</v>
      </c>
      <c r="H3128" s="44">
        <v>44232</v>
      </c>
      <c r="I3128" s="44">
        <v>44236</v>
      </c>
      <c r="J3128">
        <v>34.01</v>
      </c>
      <c r="K3128">
        <v>19.309999999999999</v>
      </c>
      <c r="L3128" t="s">
        <v>7234</v>
      </c>
      <c r="M3128" s="45" t="s">
        <v>98</v>
      </c>
      <c r="N3128" s="38" t="s">
        <v>230</v>
      </c>
      <c r="O3128" s="38" t="s">
        <v>288</v>
      </c>
      <c r="P3128" s="38" t="s">
        <v>60</v>
      </c>
      <c r="Q3128" s="38" t="s">
        <v>41</v>
      </c>
      <c r="R3128" s="38" t="s">
        <v>270</v>
      </c>
      <c r="S3128" s="38" t="s">
        <v>7235</v>
      </c>
      <c r="T3128" s="38" t="s">
        <v>7237</v>
      </c>
      <c r="U3128" s="38"/>
      <c r="V3128" s="38"/>
      <c r="W3128" s="38"/>
      <c r="X3128" s="38"/>
      <c r="Y3128" s="57"/>
      <c r="Z3128" s="7"/>
      <c r="AA3128" s="57"/>
      <c r="AB3128" s="7"/>
      <c r="AC3128" s="57"/>
      <c r="AD3128" s="7"/>
      <c r="AE3128" s="57"/>
      <c r="AF3128" s="7"/>
      <c r="AG3128" s="57"/>
      <c r="AH3128" s="7"/>
      <c r="AI3128" s="57"/>
      <c r="AJ3128" s="7"/>
      <c r="AK3128" s="57"/>
      <c r="AL3128" s="7">
        <f>19.31</f>
        <v>19.309999999999999</v>
      </c>
      <c r="AN3128" s="7" t="s">
        <v>146</v>
      </c>
      <c r="AO3128" s="21">
        <f t="shared" si="154"/>
        <v>19.309999999999999</v>
      </c>
      <c r="AP3128" s="7">
        <f t="shared" si="153"/>
        <v>0</v>
      </c>
      <c r="AQ3128" s="31" t="str">
        <f t="shared" si="155"/>
        <v>Complete - With Adjustment</v>
      </c>
    </row>
    <row r="3129" spans="1:43" x14ac:dyDescent="0.2">
      <c r="A3129" s="46">
        <v>3119</v>
      </c>
      <c r="B3129" s="38" t="s">
        <v>266</v>
      </c>
      <c r="C3129" s="38" t="s">
        <v>328</v>
      </c>
      <c r="D3129" s="38" t="s">
        <v>327</v>
      </c>
      <c r="E3129" s="38" t="s">
        <v>7238</v>
      </c>
      <c r="F3129" s="38" t="s">
        <v>7210</v>
      </c>
      <c r="G3129" s="38" t="s">
        <v>111</v>
      </c>
      <c r="H3129" s="44">
        <v>44238</v>
      </c>
      <c r="I3129" s="44">
        <v>44243</v>
      </c>
      <c r="J3129">
        <v>324.75</v>
      </c>
      <c r="K3129">
        <v>324.75</v>
      </c>
      <c r="L3129" t="s">
        <v>7239</v>
      </c>
      <c r="M3129" s="45" t="s">
        <v>98</v>
      </c>
      <c r="N3129" s="38" t="s">
        <v>230</v>
      </c>
      <c r="O3129" s="38" t="s">
        <v>281</v>
      </c>
      <c r="P3129" s="38" t="s">
        <v>60</v>
      </c>
      <c r="Q3129" s="38" t="s">
        <v>59</v>
      </c>
      <c r="R3129" s="38" t="s">
        <v>270</v>
      </c>
      <c r="S3129" s="38" t="s">
        <v>7240</v>
      </c>
      <c r="T3129" s="38" t="s">
        <v>7241</v>
      </c>
      <c r="U3129" s="38"/>
      <c r="V3129" s="38"/>
      <c r="W3129" s="38"/>
      <c r="X3129" s="38"/>
      <c r="Y3129" s="57"/>
      <c r="Z3129" s="7"/>
      <c r="AA3129" s="57"/>
      <c r="AB3129" s="7"/>
      <c r="AC3129" s="57"/>
      <c r="AD3129" s="7"/>
      <c r="AE3129" s="57"/>
      <c r="AF3129" s="7"/>
      <c r="AG3129" s="57"/>
      <c r="AH3129" s="7"/>
      <c r="AI3129" s="57"/>
      <c r="AJ3129" s="7"/>
      <c r="AK3129" s="57"/>
      <c r="AL3129" s="7"/>
      <c r="AN3129" s="7" t="s">
        <v>70</v>
      </c>
      <c r="AO3129" s="21">
        <f t="shared" si="154"/>
        <v>0</v>
      </c>
      <c r="AP3129" s="7">
        <f t="shared" si="153"/>
        <v>324.75</v>
      </c>
      <c r="AQ3129" s="31" t="str">
        <f t="shared" si="155"/>
        <v>Complete - No Adjustment</v>
      </c>
    </row>
    <row r="3130" spans="1:43" x14ac:dyDescent="0.2">
      <c r="A3130" s="46">
        <v>3120</v>
      </c>
      <c r="B3130" s="38" t="s">
        <v>266</v>
      </c>
      <c r="C3130" s="38" t="s">
        <v>641</v>
      </c>
      <c r="D3130" s="38" t="s">
        <v>640</v>
      </c>
      <c r="E3130" s="38" t="s">
        <v>7242</v>
      </c>
      <c r="F3130" s="38" t="s">
        <v>7243</v>
      </c>
      <c r="G3130" s="38" t="s">
        <v>111</v>
      </c>
      <c r="H3130" s="44">
        <v>44222</v>
      </c>
      <c r="I3130" s="44">
        <v>44231</v>
      </c>
      <c r="J3130">
        <v>14.08</v>
      </c>
      <c r="K3130">
        <v>14.08</v>
      </c>
      <c r="L3130" t="s">
        <v>7244</v>
      </c>
      <c r="M3130" s="45" t="s">
        <v>98</v>
      </c>
      <c r="N3130" s="38" t="s">
        <v>230</v>
      </c>
      <c r="O3130" s="38" t="s">
        <v>397</v>
      </c>
      <c r="P3130" s="38" t="s">
        <v>60</v>
      </c>
      <c r="Q3130" s="38" t="s">
        <v>41</v>
      </c>
      <c r="R3130" s="38" t="s">
        <v>270</v>
      </c>
      <c r="S3130" s="38" t="s">
        <v>7245</v>
      </c>
      <c r="T3130" s="38" t="s">
        <v>7246</v>
      </c>
      <c r="U3130" s="38"/>
      <c r="V3130" s="38"/>
      <c r="W3130" s="38"/>
      <c r="X3130" s="38"/>
      <c r="Y3130" s="57"/>
      <c r="Z3130" s="7"/>
      <c r="AA3130" s="57"/>
      <c r="AB3130" s="7"/>
      <c r="AC3130" s="57"/>
      <c r="AD3130" s="7"/>
      <c r="AE3130" s="57"/>
      <c r="AF3130" s="7"/>
      <c r="AG3130" s="57"/>
      <c r="AH3130" s="7"/>
      <c r="AI3130" s="57"/>
      <c r="AJ3130" s="7"/>
      <c r="AK3130" s="57"/>
      <c r="AL3130" s="7"/>
      <c r="AN3130" s="7" t="s">
        <v>155</v>
      </c>
      <c r="AO3130" s="21">
        <f t="shared" si="154"/>
        <v>0</v>
      </c>
      <c r="AP3130" s="7">
        <f t="shared" si="153"/>
        <v>14.08</v>
      </c>
      <c r="AQ3130" s="31" t="str">
        <f t="shared" si="155"/>
        <v>Complete - No Adjustment</v>
      </c>
    </row>
    <row r="3131" spans="1:43" x14ac:dyDescent="0.2">
      <c r="A3131" s="46">
        <v>3121</v>
      </c>
      <c r="B3131" s="38" t="s">
        <v>266</v>
      </c>
      <c r="C3131" s="38" t="s">
        <v>341</v>
      </c>
      <c r="D3131" s="38" t="s">
        <v>340</v>
      </c>
      <c r="E3131" s="38" t="s">
        <v>7247</v>
      </c>
      <c r="F3131" s="38" t="s">
        <v>7248</v>
      </c>
      <c r="G3131" s="38" t="s">
        <v>111</v>
      </c>
      <c r="H3131" s="44">
        <v>44228</v>
      </c>
      <c r="I3131" s="44">
        <v>44230</v>
      </c>
      <c r="J3131">
        <v>9.35</v>
      </c>
      <c r="K3131">
        <v>9.35</v>
      </c>
      <c r="L3131" t="s">
        <v>7249</v>
      </c>
      <c r="M3131" s="45" t="s">
        <v>98</v>
      </c>
      <c r="N3131" s="38" t="s">
        <v>230</v>
      </c>
      <c r="O3131" s="38" t="s">
        <v>404</v>
      </c>
      <c r="P3131" s="38" t="s">
        <v>60</v>
      </c>
      <c r="Q3131" s="38" t="s">
        <v>41</v>
      </c>
      <c r="R3131" s="38" t="s">
        <v>270</v>
      </c>
      <c r="S3131" s="38" t="s">
        <v>7250</v>
      </c>
      <c r="T3131" s="38" t="s">
        <v>7251</v>
      </c>
      <c r="U3131" s="38"/>
      <c r="V3131" s="38"/>
      <c r="W3131" s="38"/>
      <c r="X3131" s="38"/>
      <c r="Y3131" s="57"/>
      <c r="Z3131" s="7"/>
      <c r="AA3131" s="57"/>
      <c r="AB3131" s="7"/>
      <c r="AC3131" s="57"/>
      <c r="AD3131" s="7"/>
      <c r="AE3131" s="57"/>
      <c r="AF3131" s="7"/>
      <c r="AG3131" s="57"/>
      <c r="AH3131" s="7"/>
      <c r="AI3131" s="57"/>
      <c r="AJ3131" s="7"/>
      <c r="AK3131" s="57"/>
      <c r="AL3131" s="7"/>
      <c r="AN3131" s="7" t="s">
        <v>155</v>
      </c>
      <c r="AO3131" s="21">
        <f t="shared" si="154"/>
        <v>0</v>
      </c>
      <c r="AP3131" s="7">
        <f t="shared" si="153"/>
        <v>9.35</v>
      </c>
      <c r="AQ3131" s="31" t="str">
        <f t="shared" si="155"/>
        <v>Complete - No Adjustment</v>
      </c>
    </row>
    <row r="3132" spans="1:43" x14ac:dyDescent="0.2">
      <c r="A3132" s="46">
        <v>3122</v>
      </c>
      <c r="B3132" s="38" t="s">
        <v>266</v>
      </c>
      <c r="C3132" s="38" t="s">
        <v>594</v>
      </c>
      <c r="D3132" s="38" t="s">
        <v>593</v>
      </c>
      <c r="E3132" s="38" t="s">
        <v>7252</v>
      </c>
      <c r="F3132" s="38" t="s">
        <v>7216</v>
      </c>
      <c r="G3132" s="38" t="s">
        <v>111</v>
      </c>
      <c r="H3132" s="44">
        <v>44224</v>
      </c>
      <c r="I3132" s="44">
        <v>44228</v>
      </c>
      <c r="J3132">
        <v>14.77</v>
      </c>
      <c r="K3132">
        <v>14.77</v>
      </c>
      <c r="L3132" t="s">
        <v>7253</v>
      </c>
      <c r="M3132" s="45" t="s">
        <v>98</v>
      </c>
      <c r="N3132" s="38" t="s">
        <v>230</v>
      </c>
      <c r="O3132" s="38" t="s">
        <v>472</v>
      </c>
      <c r="P3132" s="38" t="s">
        <v>60</v>
      </c>
      <c r="Q3132" s="38" t="s">
        <v>41</v>
      </c>
      <c r="R3132" s="38" t="s">
        <v>270</v>
      </c>
      <c r="S3132" s="38" t="s">
        <v>7254</v>
      </c>
      <c r="T3132" s="38" t="s">
        <v>7255</v>
      </c>
      <c r="U3132" s="38"/>
      <c r="V3132" s="38"/>
      <c r="W3132" s="38"/>
      <c r="X3132" s="38"/>
      <c r="Y3132" s="57"/>
      <c r="Z3132" s="7"/>
      <c r="AA3132" s="57"/>
      <c r="AB3132" s="7"/>
      <c r="AC3132" s="57"/>
      <c r="AD3132" s="7"/>
      <c r="AE3132" s="57"/>
      <c r="AF3132" s="7"/>
      <c r="AG3132" s="57"/>
      <c r="AH3132" s="7"/>
      <c r="AI3132" s="57"/>
      <c r="AJ3132" s="7"/>
      <c r="AK3132" s="57"/>
      <c r="AL3132" s="7">
        <f>14.77</f>
        <v>14.77</v>
      </c>
      <c r="AN3132" s="7" t="s">
        <v>146</v>
      </c>
      <c r="AO3132" s="21">
        <f t="shared" si="154"/>
        <v>14.77</v>
      </c>
      <c r="AP3132" s="7">
        <f t="shared" si="153"/>
        <v>0</v>
      </c>
      <c r="AQ3132" s="31" t="str">
        <f t="shared" si="155"/>
        <v>Complete - With Adjustment</v>
      </c>
    </row>
    <row r="3133" spans="1:43" x14ac:dyDescent="0.2">
      <c r="A3133" s="46">
        <v>3123</v>
      </c>
      <c r="B3133" s="38" t="s">
        <v>266</v>
      </c>
      <c r="C3133" s="38" t="s">
        <v>594</v>
      </c>
      <c r="D3133" s="38" t="s">
        <v>593</v>
      </c>
      <c r="E3133" s="38" t="s">
        <v>7256</v>
      </c>
      <c r="F3133" s="38" t="s">
        <v>7257</v>
      </c>
      <c r="G3133" s="38" t="s">
        <v>111</v>
      </c>
      <c r="H3133" s="44">
        <v>44175</v>
      </c>
      <c r="I3133" s="44">
        <v>44229</v>
      </c>
      <c r="J3133">
        <v>14.78</v>
      </c>
      <c r="K3133">
        <v>14.78</v>
      </c>
      <c r="L3133" t="s">
        <v>7258</v>
      </c>
      <c r="M3133" s="45" t="s">
        <v>98</v>
      </c>
      <c r="N3133" s="38" t="s">
        <v>230</v>
      </c>
      <c r="O3133" s="38" t="s">
        <v>472</v>
      </c>
      <c r="P3133" s="38" t="s">
        <v>60</v>
      </c>
      <c r="Q3133" s="38" t="s">
        <v>46</v>
      </c>
      <c r="R3133" s="38" t="s">
        <v>270</v>
      </c>
      <c r="S3133" s="38" t="s">
        <v>7259</v>
      </c>
      <c r="T3133" s="38" t="s">
        <v>7260</v>
      </c>
      <c r="U3133" s="38"/>
      <c r="V3133" s="38"/>
      <c r="W3133" s="38"/>
      <c r="X3133" s="38"/>
      <c r="Y3133" s="57"/>
      <c r="Z3133" s="7"/>
      <c r="AA3133" s="57"/>
      <c r="AB3133" s="7"/>
      <c r="AC3133" s="57"/>
      <c r="AD3133" s="7"/>
      <c r="AE3133" s="57"/>
      <c r="AF3133" s="7"/>
      <c r="AG3133" s="57"/>
      <c r="AH3133" s="7"/>
      <c r="AI3133" s="57"/>
      <c r="AJ3133" s="7"/>
      <c r="AK3133" s="57"/>
      <c r="AL3133" s="7"/>
      <c r="AN3133" s="7" t="s">
        <v>155</v>
      </c>
      <c r="AO3133" s="21">
        <f t="shared" si="154"/>
        <v>0</v>
      </c>
      <c r="AP3133" s="7">
        <f t="shared" si="153"/>
        <v>14.78</v>
      </c>
      <c r="AQ3133" s="31" t="str">
        <f t="shared" si="155"/>
        <v>Complete - No Adjustment</v>
      </c>
    </row>
    <row r="3134" spans="1:43" x14ac:dyDescent="0.2">
      <c r="A3134" s="46">
        <v>3124</v>
      </c>
      <c r="B3134" s="38" t="s">
        <v>266</v>
      </c>
      <c r="C3134" s="38" t="s">
        <v>780</v>
      </c>
      <c r="D3134" s="38" t="s">
        <v>798</v>
      </c>
      <c r="E3134" s="38" t="s">
        <v>7261</v>
      </c>
      <c r="F3134" s="38" t="s">
        <v>7262</v>
      </c>
      <c r="G3134" s="38" t="s">
        <v>111</v>
      </c>
      <c r="H3134" s="44">
        <v>44237</v>
      </c>
      <c r="I3134" s="44">
        <v>44239</v>
      </c>
      <c r="J3134">
        <v>25</v>
      </c>
      <c r="K3134">
        <v>25</v>
      </c>
      <c r="L3134" t="s">
        <v>7263</v>
      </c>
      <c r="M3134" s="45" t="s">
        <v>98</v>
      </c>
      <c r="N3134" s="38" t="s">
        <v>230</v>
      </c>
      <c r="O3134" s="38" t="s">
        <v>288</v>
      </c>
      <c r="P3134" s="38" t="s">
        <v>60</v>
      </c>
      <c r="Q3134" s="38" t="s">
        <v>41</v>
      </c>
      <c r="R3134" s="38" t="s">
        <v>270</v>
      </c>
      <c r="S3134" s="38" t="s">
        <v>6908</v>
      </c>
      <c r="T3134" s="38" t="s">
        <v>6909</v>
      </c>
      <c r="U3134" s="38"/>
      <c r="V3134" s="38"/>
      <c r="W3134" s="38"/>
      <c r="X3134" s="38"/>
      <c r="Y3134" s="57"/>
      <c r="Z3134" s="7"/>
      <c r="AA3134" s="57"/>
      <c r="AB3134" s="7"/>
      <c r="AC3134" s="57"/>
      <c r="AD3134" s="7"/>
      <c r="AE3134" s="57"/>
      <c r="AF3134" s="7"/>
      <c r="AG3134" s="57"/>
      <c r="AH3134" s="7"/>
      <c r="AI3134" s="57"/>
      <c r="AJ3134" s="7"/>
      <c r="AK3134" s="57"/>
      <c r="AL3134" s="7"/>
      <c r="AN3134" s="7" t="s">
        <v>155</v>
      </c>
      <c r="AO3134" s="21">
        <f t="shared" si="154"/>
        <v>0</v>
      </c>
      <c r="AP3134" s="7">
        <f t="shared" si="153"/>
        <v>25</v>
      </c>
      <c r="AQ3134" s="31" t="str">
        <f t="shared" si="155"/>
        <v>Complete - No Adjustment</v>
      </c>
    </row>
    <row r="3135" spans="1:43" x14ac:dyDescent="0.2">
      <c r="A3135" s="46">
        <v>3125</v>
      </c>
      <c r="B3135" s="38" t="s">
        <v>266</v>
      </c>
      <c r="C3135" s="38" t="s">
        <v>780</v>
      </c>
      <c r="D3135" s="38" t="s">
        <v>798</v>
      </c>
      <c r="E3135" s="38" t="s">
        <v>7264</v>
      </c>
      <c r="F3135" s="38" t="s">
        <v>7213</v>
      </c>
      <c r="G3135" s="38" t="s">
        <v>111</v>
      </c>
      <c r="H3135" s="44">
        <v>44232</v>
      </c>
      <c r="I3135" s="44">
        <v>44236</v>
      </c>
      <c r="J3135">
        <v>27.18</v>
      </c>
      <c r="K3135">
        <v>27.18</v>
      </c>
      <c r="L3135" t="s">
        <v>7265</v>
      </c>
      <c r="M3135" s="45" t="s">
        <v>98</v>
      </c>
      <c r="N3135" s="38" t="s">
        <v>230</v>
      </c>
      <c r="O3135" s="38" t="s">
        <v>288</v>
      </c>
      <c r="P3135" s="38" t="s">
        <v>60</v>
      </c>
      <c r="Q3135" s="38" t="s">
        <v>41</v>
      </c>
      <c r="R3135" s="38" t="s">
        <v>270</v>
      </c>
      <c r="S3135" s="38" t="s">
        <v>6008</v>
      </c>
      <c r="T3135" s="38" t="s">
        <v>6009</v>
      </c>
      <c r="U3135" s="38"/>
      <c r="V3135" s="38"/>
      <c r="W3135" s="38"/>
      <c r="X3135" s="38"/>
      <c r="Y3135" s="57"/>
      <c r="Z3135" s="7"/>
      <c r="AA3135" s="57"/>
      <c r="AB3135" s="7"/>
      <c r="AC3135" s="57">
        <f>(3.95-19.24*20%)</f>
        <v>0.10200000000000031</v>
      </c>
      <c r="AD3135" s="7"/>
      <c r="AE3135" s="57"/>
      <c r="AF3135" s="7"/>
      <c r="AG3135" s="57"/>
      <c r="AH3135" s="7"/>
      <c r="AI3135" s="57"/>
      <c r="AJ3135" s="7"/>
      <c r="AK3135" s="57"/>
      <c r="AL3135" s="7"/>
      <c r="AN3135" s="7" t="s">
        <v>67</v>
      </c>
      <c r="AO3135" s="21">
        <f t="shared" si="154"/>
        <v>0.10200000000000031</v>
      </c>
      <c r="AP3135" s="7">
        <f t="shared" si="153"/>
        <v>27.077999999999999</v>
      </c>
      <c r="AQ3135" s="31" t="str">
        <f t="shared" si="155"/>
        <v>Complete - With Adjustment</v>
      </c>
    </row>
    <row r="3136" spans="1:43" x14ac:dyDescent="0.2">
      <c r="A3136" s="46">
        <v>3126</v>
      </c>
      <c r="B3136" s="38" t="s">
        <v>266</v>
      </c>
      <c r="C3136" s="38" t="s">
        <v>349</v>
      </c>
      <c r="D3136" s="38" t="s">
        <v>348</v>
      </c>
      <c r="E3136" s="38" t="s">
        <v>7266</v>
      </c>
      <c r="F3136" s="38" t="s">
        <v>7248</v>
      </c>
      <c r="G3136" s="38" t="s">
        <v>111</v>
      </c>
      <c r="H3136" s="44">
        <v>44228</v>
      </c>
      <c r="I3136" s="44">
        <v>44230</v>
      </c>
      <c r="J3136">
        <v>249</v>
      </c>
      <c r="K3136">
        <v>249</v>
      </c>
      <c r="L3136" t="s">
        <v>7267</v>
      </c>
      <c r="M3136" s="45" t="s">
        <v>98</v>
      </c>
      <c r="N3136" s="38" t="s">
        <v>230</v>
      </c>
      <c r="O3136" s="38" t="s">
        <v>334</v>
      </c>
      <c r="P3136" s="38" t="s">
        <v>60</v>
      </c>
      <c r="Q3136" s="38" t="s">
        <v>56</v>
      </c>
      <c r="R3136" s="38" t="s">
        <v>270</v>
      </c>
      <c r="S3136" s="38" t="s">
        <v>7268</v>
      </c>
      <c r="T3136" s="38" t="s">
        <v>7269</v>
      </c>
      <c r="U3136" s="38"/>
      <c r="V3136" s="38"/>
      <c r="W3136" s="38"/>
      <c r="X3136" s="38"/>
      <c r="Y3136" s="57"/>
      <c r="Z3136" s="7"/>
      <c r="AA3136" s="57"/>
      <c r="AB3136" s="7"/>
      <c r="AC3136" s="57"/>
      <c r="AD3136" s="7"/>
      <c r="AE3136" s="57"/>
      <c r="AF3136" s="7"/>
      <c r="AG3136" s="57"/>
      <c r="AH3136" s="7"/>
      <c r="AI3136" s="57"/>
      <c r="AJ3136" s="7"/>
      <c r="AK3136" s="57"/>
      <c r="AL3136" s="7"/>
      <c r="AN3136" s="7" t="s">
        <v>70</v>
      </c>
      <c r="AO3136" s="21">
        <f t="shared" si="154"/>
        <v>0</v>
      </c>
      <c r="AP3136" s="7">
        <f t="shared" ref="AP3136:AP3199" si="156">K3136-AO3136</f>
        <v>249</v>
      </c>
      <c r="AQ3136" s="31" t="str">
        <f t="shared" si="155"/>
        <v>Complete - No Adjustment</v>
      </c>
    </row>
    <row r="3137" spans="1:43" x14ac:dyDescent="0.2">
      <c r="A3137" s="46">
        <v>3127</v>
      </c>
      <c r="B3137" s="38" t="s">
        <v>266</v>
      </c>
      <c r="C3137" s="38" t="s">
        <v>2357</v>
      </c>
      <c r="D3137" s="38" t="s">
        <v>2358</v>
      </c>
      <c r="E3137" s="38" t="s">
        <v>7270</v>
      </c>
      <c r="F3137" s="38" t="s">
        <v>7243</v>
      </c>
      <c r="G3137" s="38" t="s">
        <v>111</v>
      </c>
      <c r="H3137" s="44">
        <v>44222</v>
      </c>
      <c r="I3137" s="44">
        <v>44231</v>
      </c>
      <c r="J3137">
        <v>12.99</v>
      </c>
      <c r="K3137">
        <v>12.99</v>
      </c>
      <c r="L3137" t="s">
        <v>7271</v>
      </c>
      <c r="M3137" s="45" t="s">
        <v>98</v>
      </c>
      <c r="N3137" s="38" t="s">
        <v>230</v>
      </c>
      <c r="O3137" s="38" t="s">
        <v>397</v>
      </c>
      <c r="P3137" s="38" t="s">
        <v>60</v>
      </c>
      <c r="Q3137" s="38" t="s">
        <v>41</v>
      </c>
      <c r="R3137" s="38" t="s">
        <v>270</v>
      </c>
      <c r="S3137" s="38" t="s">
        <v>7272</v>
      </c>
      <c r="T3137" s="38" t="s">
        <v>7273</v>
      </c>
      <c r="U3137" s="38"/>
      <c r="V3137" s="38"/>
      <c r="W3137" s="38"/>
      <c r="X3137" s="38"/>
      <c r="Y3137" s="57"/>
      <c r="Z3137" s="7"/>
      <c r="AA3137" s="57"/>
      <c r="AB3137" s="7"/>
      <c r="AC3137" s="57"/>
      <c r="AD3137" s="7"/>
      <c r="AE3137" s="57"/>
      <c r="AF3137" s="7"/>
      <c r="AG3137" s="57"/>
      <c r="AH3137" s="7"/>
      <c r="AI3137" s="57"/>
      <c r="AJ3137" s="7"/>
      <c r="AK3137" s="57"/>
      <c r="AL3137" s="7"/>
      <c r="AN3137" s="7" t="s">
        <v>155</v>
      </c>
      <c r="AO3137" s="21">
        <f t="shared" si="154"/>
        <v>0</v>
      </c>
      <c r="AP3137" s="7">
        <f t="shared" si="156"/>
        <v>12.99</v>
      </c>
      <c r="AQ3137" s="31" t="str">
        <f t="shared" si="155"/>
        <v>Complete - No Adjustment</v>
      </c>
    </row>
    <row r="3138" spans="1:43" x14ac:dyDescent="0.2">
      <c r="A3138" s="46">
        <v>3128</v>
      </c>
      <c r="B3138" s="38" t="s">
        <v>266</v>
      </c>
      <c r="C3138" s="38" t="s">
        <v>836</v>
      </c>
      <c r="D3138" s="38" t="s">
        <v>837</v>
      </c>
      <c r="E3138" s="38" t="s">
        <v>7274</v>
      </c>
      <c r="F3138" s="38" t="s">
        <v>7248</v>
      </c>
      <c r="G3138" s="38" t="s">
        <v>111</v>
      </c>
      <c r="H3138" s="44">
        <v>44229</v>
      </c>
      <c r="I3138" s="44">
        <v>44230</v>
      </c>
      <c r="J3138">
        <v>177.11</v>
      </c>
      <c r="K3138">
        <v>177.11</v>
      </c>
      <c r="L3138" t="s">
        <v>7275</v>
      </c>
      <c r="M3138" s="45" t="s">
        <v>98</v>
      </c>
      <c r="N3138" s="38" t="s">
        <v>230</v>
      </c>
      <c r="O3138" s="38" t="s">
        <v>347</v>
      </c>
      <c r="P3138" s="38" t="s">
        <v>60</v>
      </c>
      <c r="Q3138" s="38" t="s">
        <v>73</v>
      </c>
      <c r="R3138" s="38" t="s">
        <v>270</v>
      </c>
      <c r="S3138" s="38" t="s">
        <v>7276</v>
      </c>
      <c r="T3138" s="38" t="s">
        <v>7277</v>
      </c>
      <c r="U3138" s="38"/>
      <c r="V3138" s="38"/>
      <c r="W3138" s="38"/>
      <c r="X3138" s="38"/>
      <c r="Y3138" s="57"/>
      <c r="Z3138" s="7"/>
      <c r="AA3138" s="57"/>
      <c r="AB3138" s="7"/>
      <c r="AC3138" s="57"/>
      <c r="AD3138" s="7"/>
      <c r="AE3138" s="57"/>
      <c r="AF3138" s="7"/>
      <c r="AG3138" s="57"/>
      <c r="AH3138" s="7"/>
      <c r="AI3138" s="57"/>
      <c r="AJ3138" s="7"/>
      <c r="AK3138" s="57"/>
      <c r="AL3138" s="7"/>
      <c r="AN3138" s="7" t="s">
        <v>70</v>
      </c>
      <c r="AO3138" s="21">
        <f t="shared" si="154"/>
        <v>0</v>
      </c>
      <c r="AP3138" s="7">
        <f t="shared" si="156"/>
        <v>177.11</v>
      </c>
      <c r="AQ3138" s="31" t="str">
        <f t="shared" si="155"/>
        <v>Complete - No Adjustment</v>
      </c>
    </row>
    <row r="3139" spans="1:43" x14ac:dyDescent="0.2">
      <c r="A3139" s="46">
        <v>3129</v>
      </c>
      <c r="B3139" s="38" t="s">
        <v>266</v>
      </c>
      <c r="C3139" s="38" t="s">
        <v>700</v>
      </c>
      <c r="D3139" s="38" t="s">
        <v>699</v>
      </c>
      <c r="E3139" s="38" t="s">
        <v>7278</v>
      </c>
      <c r="F3139" s="38" t="s">
        <v>7248</v>
      </c>
      <c r="G3139" s="38" t="s">
        <v>111</v>
      </c>
      <c r="H3139" s="44">
        <v>44224</v>
      </c>
      <c r="I3139" s="44">
        <v>44230</v>
      </c>
      <c r="J3139">
        <v>12.94</v>
      </c>
      <c r="K3139">
        <v>12.94</v>
      </c>
      <c r="L3139" t="s">
        <v>7279</v>
      </c>
      <c r="M3139" s="45" t="s">
        <v>98</v>
      </c>
      <c r="N3139" s="38" t="s">
        <v>230</v>
      </c>
      <c r="O3139" s="38" t="s">
        <v>397</v>
      </c>
      <c r="P3139" s="38" t="s">
        <v>60</v>
      </c>
      <c r="Q3139" s="38" t="s">
        <v>41</v>
      </c>
      <c r="R3139" s="38" t="s">
        <v>270</v>
      </c>
      <c r="S3139" s="38" t="s">
        <v>2442</v>
      </c>
      <c r="T3139" s="38" t="s">
        <v>2443</v>
      </c>
      <c r="U3139" s="38"/>
      <c r="V3139" s="38"/>
      <c r="W3139" s="38"/>
      <c r="X3139" s="38"/>
      <c r="Y3139" s="57"/>
      <c r="Z3139" s="7"/>
      <c r="AA3139" s="57"/>
      <c r="AB3139" s="7"/>
      <c r="AC3139" s="57"/>
      <c r="AD3139" s="7"/>
      <c r="AE3139" s="57"/>
      <c r="AF3139" s="7"/>
      <c r="AG3139" s="57"/>
      <c r="AH3139" s="7"/>
      <c r="AI3139" s="57"/>
      <c r="AJ3139" s="7"/>
      <c r="AK3139" s="57"/>
      <c r="AL3139" s="7"/>
      <c r="AN3139" s="7" t="s">
        <v>155</v>
      </c>
      <c r="AO3139" s="21">
        <f t="shared" si="154"/>
        <v>0</v>
      </c>
      <c r="AP3139" s="7">
        <f t="shared" si="156"/>
        <v>12.94</v>
      </c>
      <c r="AQ3139" s="31" t="str">
        <f t="shared" si="155"/>
        <v>Complete - No Adjustment</v>
      </c>
    </row>
    <row r="3140" spans="1:43" x14ac:dyDescent="0.2">
      <c r="A3140" s="46">
        <v>3130</v>
      </c>
      <c r="B3140" s="38" t="s">
        <v>266</v>
      </c>
      <c r="C3140" s="38" t="s">
        <v>7280</v>
      </c>
      <c r="D3140" s="38" t="s">
        <v>7281</v>
      </c>
      <c r="E3140" s="38" t="s">
        <v>7282</v>
      </c>
      <c r="F3140" s="38" t="s">
        <v>7194</v>
      </c>
      <c r="G3140" s="38" t="s">
        <v>111</v>
      </c>
      <c r="H3140" s="44">
        <v>44230</v>
      </c>
      <c r="I3140" s="44">
        <v>44235</v>
      </c>
      <c r="J3140">
        <v>318.74</v>
      </c>
      <c r="K3140">
        <v>318.74</v>
      </c>
      <c r="L3140" t="s">
        <v>7283</v>
      </c>
      <c r="M3140" s="45" t="s">
        <v>98</v>
      </c>
      <c r="N3140" s="38" t="s">
        <v>230</v>
      </c>
      <c r="O3140" s="38" t="s">
        <v>397</v>
      </c>
      <c r="P3140" s="38" t="s">
        <v>60</v>
      </c>
      <c r="Q3140" s="38" t="s">
        <v>123</v>
      </c>
      <c r="R3140" s="38" t="s">
        <v>270</v>
      </c>
      <c r="S3140" s="38" t="s">
        <v>7284</v>
      </c>
      <c r="T3140" s="38" t="s">
        <v>7285</v>
      </c>
      <c r="U3140" s="38"/>
      <c r="V3140" s="38"/>
      <c r="W3140" s="38"/>
      <c r="X3140" s="38"/>
      <c r="Y3140" s="57"/>
      <c r="Z3140" s="7"/>
      <c r="AA3140" s="57"/>
      <c r="AB3140" s="7"/>
      <c r="AC3140" s="57"/>
      <c r="AD3140" s="7"/>
      <c r="AE3140" s="57"/>
      <c r="AF3140" s="7"/>
      <c r="AG3140" s="57"/>
      <c r="AH3140" s="7"/>
      <c r="AI3140" s="57"/>
      <c r="AJ3140" s="7"/>
      <c r="AK3140" s="57"/>
      <c r="AL3140" s="7"/>
      <c r="AN3140" s="7" t="s">
        <v>70</v>
      </c>
      <c r="AO3140" s="21">
        <f t="shared" si="154"/>
        <v>0</v>
      </c>
      <c r="AP3140" s="7">
        <f t="shared" si="156"/>
        <v>318.74</v>
      </c>
      <c r="AQ3140" s="31" t="str">
        <f t="shared" si="155"/>
        <v>Complete - No Adjustment</v>
      </c>
    </row>
    <row r="3141" spans="1:43" x14ac:dyDescent="0.2">
      <c r="A3141" s="46">
        <v>3131</v>
      </c>
      <c r="B3141" s="38" t="s">
        <v>266</v>
      </c>
      <c r="C3141" s="38" t="s">
        <v>401</v>
      </c>
      <c r="D3141" s="38" t="s">
        <v>400</v>
      </c>
      <c r="E3141" s="38" t="s">
        <v>7528</v>
      </c>
      <c r="F3141" s="38" t="s">
        <v>7194</v>
      </c>
      <c r="G3141" s="38" t="s">
        <v>111</v>
      </c>
      <c r="H3141" s="44">
        <v>44231</v>
      </c>
      <c r="I3141" s="44">
        <v>44235</v>
      </c>
      <c r="J3141">
        <v>1250</v>
      </c>
      <c r="K3141">
        <v>1250</v>
      </c>
      <c r="L3141"/>
      <c r="M3141" s="45" t="s">
        <v>97</v>
      </c>
      <c r="N3141" s="38" t="s">
        <v>230</v>
      </c>
      <c r="O3141" s="38" t="s">
        <v>402</v>
      </c>
      <c r="P3141" s="38" t="s">
        <v>42</v>
      </c>
      <c r="Q3141" s="38" t="s">
        <v>56</v>
      </c>
      <c r="R3141" s="38" t="s">
        <v>270</v>
      </c>
      <c r="S3141" s="38" t="s">
        <v>7529</v>
      </c>
      <c r="T3141" s="38" t="s">
        <v>7530</v>
      </c>
      <c r="U3141" s="38"/>
      <c r="V3141" s="38"/>
      <c r="W3141" s="38"/>
      <c r="X3141" s="7"/>
      <c r="Y3141" s="57"/>
      <c r="Z3141" s="7">
        <f>1250</f>
        <v>1250</v>
      </c>
      <c r="AA3141" s="57"/>
      <c r="AB3141" s="7"/>
      <c r="AC3141" s="57"/>
      <c r="AD3141" s="7"/>
      <c r="AE3141" s="57"/>
      <c r="AF3141" s="7"/>
      <c r="AG3141" s="57"/>
      <c r="AH3141" s="7"/>
      <c r="AI3141" s="57"/>
      <c r="AJ3141" s="7"/>
      <c r="AK3141" s="57"/>
      <c r="AL3141" s="7"/>
      <c r="AN3141" s="7" t="s">
        <v>39</v>
      </c>
      <c r="AO3141" s="21">
        <f>SUM(Y3141:AL3141)</f>
        <v>1250</v>
      </c>
      <c r="AP3141" s="7">
        <f t="shared" si="156"/>
        <v>0</v>
      </c>
      <c r="AQ3141" s="31" t="str">
        <f t="shared" si="155"/>
        <v>Complete - With Adjustment</v>
      </c>
    </row>
    <row r="3142" spans="1:43" x14ac:dyDescent="0.2">
      <c r="A3142" s="46">
        <v>3132</v>
      </c>
      <c r="B3142" s="38" t="s">
        <v>266</v>
      </c>
      <c r="C3142" s="38" t="s">
        <v>401</v>
      </c>
      <c r="D3142" s="38" t="s">
        <v>400</v>
      </c>
      <c r="E3142" s="38" t="s">
        <v>7531</v>
      </c>
      <c r="F3142" s="38" t="s">
        <v>7168</v>
      </c>
      <c r="G3142" s="38" t="s">
        <v>111</v>
      </c>
      <c r="H3142" s="44">
        <v>44238</v>
      </c>
      <c r="I3142" s="44">
        <v>44246</v>
      </c>
      <c r="J3142">
        <v>129.54</v>
      </c>
      <c r="K3142">
        <v>129.54</v>
      </c>
      <c r="L3142"/>
      <c r="M3142" s="45" t="s">
        <v>98</v>
      </c>
      <c r="N3142" s="38" t="s">
        <v>230</v>
      </c>
      <c r="O3142" s="38" t="s">
        <v>277</v>
      </c>
      <c r="P3142" s="38" t="s">
        <v>60</v>
      </c>
      <c r="Q3142" s="38" t="s">
        <v>62</v>
      </c>
      <c r="R3142" s="38" t="s">
        <v>270</v>
      </c>
      <c r="S3142" s="38" t="s">
        <v>7532</v>
      </c>
      <c r="T3142" s="38" t="s">
        <v>7533</v>
      </c>
      <c r="U3142" s="38"/>
      <c r="V3142" s="38"/>
      <c r="W3142" s="38"/>
      <c r="X3142" s="7"/>
      <c r="Y3142" s="57"/>
      <c r="Z3142" s="7"/>
      <c r="AA3142" s="57"/>
      <c r="AB3142" s="7"/>
      <c r="AC3142" s="57"/>
      <c r="AD3142" s="7"/>
      <c r="AE3142" s="57"/>
      <c r="AF3142" s="7"/>
      <c r="AG3142" s="57"/>
      <c r="AH3142" s="7"/>
      <c r="AI3142" s="57"/>
      <c r="AJ3142" s="7"/>
      <c r="AK3142" s="57"/>
      <c r="AL3142" s="7">
        <v>129.54</v>
      </c>
      <c r="AN3142" s="7" t="s">
        <v>155</v>
      </c>
      <c r="AO3142" s="21">
        <f t="shared" ref="AO3142" si="157">SUM(Y3142:AL3142)</f>
        <v>129.54</v>
      </c>
      <c r="AP3142" s="7">
        <f t="shared" si="156"/>
        <v>0</v>
      </c>
      <c r="AQ3142" s="31" t="str">
        <f t="shared" si="155"/>
        <v>Complete - With Adjustment</v>
      </c>
    </row>
    <row r="3143" spans="1:43" x14ac:dyDescent="0.2">
      <c r="A3143" s="46">
        <v>3133</v>
      </c>
      <c r="B3143" s="38" t="s">
        <v>266</v>
      </c>
      <c r="C3143" s="38" t="s">
        <v>751</v>
      </c>
      <c r="D3143" s="38" t="s">
        <v>750</v>
      </c>
      <c r="E3143" s="38" t="s">
        <v>7286</v>
      </c>
      <c r="F3143" s="38" t="s">
        <v>7243</v>
      </c>
      <c r="G3143" s="38" t="s">
        <v>111</v>
      </c>
      <c r="H3143" s="44">
        <v>44222</v>
      </c>
      <c r="I3143" s="44">
        <v>44231</v>
      </c>
      <c r="J3143">
        <v>15</v>
      </c>
      <c r="K3143">
        <v>15</v>
      </c>
      <c r="L3143" t="s">
        <v>7287</v>
      </c>
      <c r="M3143" s="45" t="s">
        <v>98</v>
      </c>
      <c r="N3143" s="38" t="s">
        <v>230</v>
      </c>
      <c r="O3143" s="38" t="s">
        <v>397</v>
      </c>
      <c r="P3143" s="38" t="s">
        <v>60</v>
      </c>
      <c r="Q3143" s="38" t="s">
        <v>41</v>
      </c>
      <c r="R3143" s="38" t="s">
        <v>270</v>
      </c>
      <c r="S3143" s="38" t="s">
        <v>7288</v>
      </c>
      <c r="T3143" s="38" t="s">
        <v>7289</v>
      </c>
      <c r="U3143" s="38"/>
      <c r="V3143" s="38"/>
      <c r="W3143" s="38"/>
      <c r="X3143" s="38"/>
      <c r="Y3143" s="57"/>
      <c r="Z3143" s="7"/>
      <c r="AA3143" s="57"/>
      <c r="AB3143" s="7"/>
      <c r="AC3143" s="57"/>
      <c r="AD3143" s="7"/>
      <c r="AE3143" s="57"/>
      <c r="AF3143" s="7"/>
      <c r="AG3143" s="57"/>
      <c r="AH3143" s="7"/>
      <c r="AI3143" s="57"/>
      <c r="AJ3143" s="7"/>
      <c r="AK3143" s="57"/>
      <c r="AL3143" s="7"/>
      <c r="AN3143" s="7" t="s">
        <v>155</v>
      </c>
      <c r="AO3143" s="21">
        <f t="shared" si="154"/>
        <v>0</v>
      </c>
      <c r="AP3143" s="7">
        <f t="shared" si="156"/>
        <v>15</v>
      </c>
      <c r="AQ3143" s="31" t="str">
        <f t="shared" si="155"/>
        <v>Complete - No Adjustment</v>
      </c>
    </row>
    <row r="3144" spans="1:43" x14ac:dyDescent="0.2">
      <c r="A3144" s="46">
        <v>3134</v>
      </c>
      <c r="B3144" s="38" t="s">
        <v>266</v>
      </c>
      <c r="C3144" s="38" t="s">
        <v>841</v>
      </c>
      <c r="D3144" s="38" t="s">
        <v>842</v>
      </c>
      <c r="E3144" s="38" t="s">
        <v>7290</v>
      </c>
      <c r="F3144" s="38" t="s">
        <v>7216</v>
      </c>
      <c r="G3144" s="38" t="s">
        <v>111</v>
      </c>
      <c r="H3144" s="44">
        <v>44224</v>
      </c>
      <c r="I3144" s="44">
        <v>44228</v>
      </c>
      <c r="J3144">
        <v>595</v>
      </c>
      <c r="K3144">
        <v>545</v>
      </c>
      <c r="L3144" t="s">
        <v>7291</v>
      </c>
      <c r="M3144" s="45" t="s">
        <v>98</v>
      </c>
      <c r="N3144" s="38" t="s">
        <v>230</v>
      </c>
      <c r="O3144" s="38" t="s">
        <v>277</v>
      </c>
      <c r="P3144" s="38" t="s">
        <v>60</v>
      </c>
      <c r="Q3144" s="38" t="s">
        <v>56</v>
      </c>
      <c r="R3144" s="38" t="s">
        <v>270</v>
      </c>
      <c r="S3144" s="38" t="s">
        <v>7292</v>
      </c>
      <c r="T3144" s="38" t="s">
        <v>7293</v>
      </c>
      <c r="U3144" s="38"/>
      <c r="V3144" s="38"/>
      <c r="W3144" s="38"/>
      <c r="X3144" s="38"/>
      <c r="Y3144" s="57"/>
      <c r="Z3144" s="7"/>
      <c r="AA3144" s="57"/>
      <c r="AB3144" s="7"/>
      <c r="AC3144" s="57"/>
      <c r="AD3144" s="7"/>
      <c r="AE3144" s="57"/>
      <c r="AF3144" s="7"/>
      <c r="AG3144" s="57"/>
      <c r="AH3144" s="7"/>
      <c r="AI3144" s="57"/>
      <c r="AJ3144" s="7"/>
      <c r="AK3144" s="57"/>
      <c r="AL3144" s="7"/>
      <c r="AN3144" s="7" t="s">
        <v>70</v>
      </c>
      <c r="AO3144" s="21">
        <f t="shared" ref="AO3144:AO3207" si="158">SUM(Y3144:AL3144)</f>
        <v>0</v>
      </c>
      <c r="AP3144" s="7">
        <f t="shared" si="156"/>
        <v>545</v>
      </c>
      <c r="AQ3144" s="31" t="str">
        <f t="shared" ref="AQ3144:AQ3207" si="159">IF(AO3144&lt;&gt;0,"Complete - With Adjustment","Complete - No Adjustment")</f>
        <v>Complete - No Adjustment</v>
      </c>
    </row>
    <row r="3145" spans="1:43" x14ac:dyDescent="0.2">
      <c r="A3145" s="46">
        <v>3135</v>
      </c>
      <c r="B3145" s="38" t="s">
        <v>266</v>
      </c>
      <c r="C3145" s="38" t="s">
        <v>841</v>
      </c>
      <c r="D3145" s="38" t="s">
        <v>842</v>
      </c>
      <c r="E3145" s="38" t="s">
        <v>7290</v>
      </c>
      <c r="F3145" s="38" t="s">
        <v>7216</v>
      </c>
      <c r="G3145" s="38" t="s">
        <v>111</v>
      </c>
      <c r="H3145" s="44">
        <v>44224</v>
      </c>
      <c r="I3145" s="44">
        <v>44228</v>
      </c>
      <c r="J3145">
        <v>595</v>
      </c>
      <c r="K3145">
        <v>50</v>
      </c>
      <c r="L3145" t="s">
        <v>7291</v>
      </c>
      <c r="M3145" s="45" t="s">
        <v>98</v>
      </c>
      <c r="N3145" s="38" t="s">
        <v>230</v>
      </c>
      <c r="O3145" s="38" t="s">
        <v>277</v>
      </c>
      <c r="P3145" s="38" t="s">
        <v>60</v>
      </c>
      <c r="Q3145" s="38" t="s">
        <v>56</v>
      </c>
      <c r="R3145" s="38" t="s">
        <v>270</v>
      </c>
      <c r="S3145" s="38" t="s">
        <v>7292</v>
      </c>
      <c r="T3145" s="38" t="s">
        <v>7294</v>
      </c>
      <c r="U3145" s="38"/>
      <c r="V3145" s="38"/>
      <c r="W3145" s="38"/>
      <c r="X3145" s="38"/>
      <c r="Y3145" s="57"/>
      <c r="Z3145" s="7"/>
      <c r="AA3145" s="57"/>
      <c r="AB3145" s="7"/>
      <c r="AC3145" s="57"/>
      <c r="AD3145" s="7"/>
      <c r="AE3145" s="57"/>
      <c r="AF3145" s="7"/>
      <c r="AG3145" s="57"/>
      <c r="AH3145" s="7"/>
      <c r="AI3145" s="57"/>
      <c r="AJ3145" s="7"/>
      <c r="AK3145" s="57"/>
      <c r="AL3145" s="7"/>
      <c r="AN3145" s="7" t="s">
        <v>70</v>
      </c>
      <c r="AO3145" s="21">
        <f t="shared" si="158"/>
        <v>0</v>
      </c>
      <c r="AP3145" s="7">
        <f t="shared" si="156"/>
        <v>50</v>
      </c>
      <c r="AQ3145" s="31" t="str">
        <f t="shared" si="159"/>
        <v>Complete - No Adjustment</v>
      </c>
    </row>
    <row r="3146" spans="1:43" x14ac:dyDescent="0.2">
      <c r="A3146" s="46">
        <v>3136</v>
      </c>
      <c r="B3146" s="38" t="s">
        <v>266</v>
      </c>
      <c r="C3146" s="38" t="s">
        <v>410</v>
      </c>
      <c r="D3146" s="38" t="s">
        <v>409</v>
      </c>
      <c r="E3146" s="38" t="s">
        <v>7295</v>
      </c>
      <c r="F3146" s="38" t="s">
        <v>7168</v>
      </c>
      <c r="G3146" s="38" t="s">
        <v>111</v>
      </c>
      <c r="H3146" s="44">
        <v>44245</v>
      </c>
      <c r="I3146" s="44">
        <v>44246</v>
      </c>
      <c r="J3146">
        <v>1432.8</v>
      </c>
      <c r="K3146">
        <v>1432.8</v>
      </c>
      <c r="L3146" t="s">
        <v>7296</v>
      </c>
      <c r="M3146" s="45" t="s">
        <v>98</v>
      </c>
      <c r="N3146" s="38" t="s">
        <v>230</v>
      </c>
      <c r="O3146" s="38" t="s">
        <v>292</v>
      </c>
      <c r="P3146" s="38" t="s">
        <v>60</v>
      </c>
      <c r="Q3146" s="38" t="s">
        <v>75</v>
      </c>
      <c r="R3146" s="38" t="s">
        <v>270</v>
      </c>
      <c r="S3146" s="38" t="s">
        <v>7297</v>
      </c>
      <c r="T3146" s="38" t="s">
        <v>7298</v>
      </c>
      <c r="U3146" s="38"/>
      <c r="V3146" s="38"/>
      <c r="W3146" s="38"/>
      <c r="X3146" s="38"/>
      <c r="Y3146" s="57"/>
      <c r="Z3146" s="7"/>
      <c r="AA3146" s="57"/>
      <c r="AB3146" s="7"/>
      <c r="AC3146" s="57"/>
      <c r="AD3146" s="7"/>
      <c r="AE3146" s="57"/>
      <c r="AF3146" s="7"/>
      <c r="AG3146" s="57"/>
      <c r="AH3146" s="7"/>
      <c r="AI3146" s="57"/>
      <c r="AJ3146" s="7"/>
      <c r="AK3146" s="57"/>
      <c r="AL3146" s="7"/>
      <c r="AN3146" s="7" t="s">
        <v>70</v>
      </c>
      <c r="AO3146" s="21">
        <f t="shared" si="158"/>
        <v>0</v>
      </c>
      <c r="AP3146" s="7">
        <f t="shared" si="156"/>
        <v>1432.8</v>
      </c>
      <c r="AQ3146" s="31" t="str">
        <f t="shared" si="159"/>
        <v>Complete - No Adjustment</v>
      </c>
    </row>
    <row r="3147" spans="1:43" x14ac:dyDescent="0.2">
      <c r="A3147" s="46">
        <v>3137</v>
      </c>
      <c r="B3147" s="38" t="s">
        <v>266</v>
      </c>
      <c r="C3147" s="38" t="s">
        <v>1228</v>
      </c>
      <c r="D3147" s="38" t="s">
        <v>1229</v>
      </c>
      <c r="E3147" s="38" t="s">
        <v>7299</v>
      </c>
      <c r="F3147" s="38" t="s">
        <v>7300</v>
      </c>
      <c r="G3147" s="38" t="s">
        <v>111</v>
      </c>
      <c r="H3147" s="44">
        <v>44216</v>
      </c>
      <c r="I3147" s="44">
        <v>44232</v>
      </c>
      <c r="J3147">
        <v>70.73</v>
      </c>
      <c r="K3147">
        <v>32.76</v>
      </c>
      <c r="L3147" t="s">
        <v>7301</v>
      </c>
      <c r="M3147" s="45" t="s">
        <v>98</v>
      </c>
      <c r="N3147" s="38" t="s">
        <v>230</v>
      </c>
      <c r="O3147" s="38" t="s">
        <v>545</v>
      </c>
      <c r="P3147" s="38" t="s">
        <v>60</v>
      </c>
      <c r="Q3147" s="38" t="s">
        <v>46</v>
      </c>
      <c r="R3147" s="38" t="s">
        <v>270</v>
      </c>
      <c r="S3147" s="38" t="s">
        <v>7302</v>
      </c>
      <c r="T3147" s="38" t="s">
        <v>7303</v>
      </c>
      <c r="U3147" s="38"/>
      <c r="V3147" s="38"/>
      <c r="W3147" s="38"/>
      <c r="X3147" s="38"/>
      <c r="Y3147" s="57"/>
      <c r="Z3147" s="7"/>
      <c r="AA3147" s="57"/>
      <c r="AB3147" s="7">
        <f>30-25</f>
        <v>5</v>
      </c>
      <c r="AC3147" s="57"/>
      <c r="AD3147" s="7"/>
      <c r="AE3147" s="57"/>
      <c r="AF3147" s="7"/>
      <c r="AG3147" s="57"/>
      <c r="AH3147" s="7"/>
      <c r="AI3147" s="57"/>
      <c r="AJ3147" s="7"/>
      <c r="AK3147" s="57"/>
      <c r="AL3147" s="7"/>
      <c r="AN3147" s="7" t="s">
        <v>2958</v>
      </c>
      <c r="AO3147" s="21">
        <f t="shared" si="158"/>
        <v>5</v>
      </c>
      <c r="AP3147" s="7">
        <f t="shared" si="156"/>
        <v>27.759999999999998</v>
      </c>
      <c r="AQ3147" s="31" t="str">
        <f t="shared" si="159"/>
        <v>Complete - With Adjustment</v>
      </c>
    </row>
    <row r="3148" spans="1:43" x14ac:dyDescent="0.2">
      <c r="A3148" s="46">
        <v>3138</v>
      </c>
      <c r="B3148" s="38" t="s">
        <v>266</v>
      </c>
      <c r="C3148" s="38" t="s">
        <v>1228</v>
      </c>
      <c r="D3148" s="38" t="s">
        <v>1229</v>
      </c>
      <c r="E3148" s="38" t="s">
        <v>7299</v>
      </c>
      <c r="F3148" s="38" t="s">
        <v>7300</v>
      </c>
      <c r="G3148" s="38" t="s">
        <v>111</v>
      </c>
      <c r="H3148" s="44">
        <v>44216</v>
      </c>
      <c r="I3148" s="44">
        <v>44232</v>
      </c>
      <c r="J3148">
        <v>70.73</v>
      </c>
      <c r="K3148">
        <v>37.97</v>
      </c>
      <c r="L3148" t="s">
        <v>7301</v>
      </c>
      <c r="M3148" s="45" t="s">
        <v>98</v>
      </c>
      <c r="N3148" s="38" t="s">
        <v>230</v>
      </c>
      <c r="O3148" s="38" t="s">
        <v>545</v>
      </c>
      <c r="P3148" s="38" t="s">
        <v>60</v>
      </c>
      <c r="Q3148" s="38" t="s">
        <v>46</v>
      </c>
      <c r="R3148" s="38" t="s">
        <v>270</v>
      </c>
      <c r="S3148" s="38" t="s">
        <v>7302</v>
      </c>
      <c r="T3148" s="38" t="s">
        <v>7304</v>
      </c>
      <c r="U3148" s="38"/>
      <c r="V3148" s="38"/>
      <c r="W3148" s="38"/>
      <c r="X3148" s="38"/>
      <c r="Y3148" s="57"/>
      <c r="Z3148" s="7"/>
      <c r="AA3148" s="57"/>
      <c r="AB3148" s="7"/>
      <c r="AC3148" s="57"/>
      <c r="AD3148" s="7"/>
      <c r="AE3148" s="57"/>
      <c r="AF3148" s="7"/>
      <c r="AG3148" s="57"/>
      <c r="AH3148" s="7"/>
      <c r="AI3148" s="57">
        <f>37.97</f>
        <v>37.97</v>
      </c>
      <c r="AJ3148" s="7"/>
      <c r="AK3148" s="57"/>
      <c r="AL3148" s="7"/>
      <c r="AN3148" s="7" t="s">
        <v>145</v>
      </c>
      <c r="AO3148" s="21">
        <f t="shared" si="158"/>
        <v>37.97</v>
      </c>
      <c r="AP3148" s="7">
        <f t="shared" si="156"/>
        <v>0</v>
      </c>
      <c r="AQ3148" s="31" t="str">
        <f t="shared" si="159"/>
        <v>Complete - With Adjustment</v>
      </c>
    </row>
    <row r="3149" spans="1:43" x14ac:dyDescent="0.2">
      <c r="A3149" s="46">
        <v>3139</v>
      </c>
      <c r="B3149" s="38" t="s">
        <v>266</v>
      </c>
      <c r="C3149" s="38" t="s">
        <v>414</v>
      </c>
      <c r="D3149" s="38" t="s">
        <v>413</v>
      </c>
      <c r="E3149" s="38" t="s">
        <v>7305</v>
      </c>
      <c r="F3149" s="38" t="s">
        <v>7306</v>
      </c>
      <c r="G3149" s="38" t="s">
        <v>111</v>
      </c>
      <c r="H3149" s="44">
        <v>44243</v>
      </c>
      <c r="I3149" s="44">
        <v>44250</v>
      </c>
      <c r="J3149">
        <v>19.97</v>
      </c>
      <c r="K3149">
        <v>19.97</v>
      </c>
      <c r="L3149" t="s">
        <v>7307</v>
      </c>
      <c r="M3149" s="45" t="s">
        <v>98</v>
      </c>
      <c r="N3149" s="38" t="s">
        <v>230</v>
      </c>
      <c r="O3149" s="38" t="s">
        <v>317</v>
      </c>
      <c r="P3149" s="38" t="s">
        <v>60</v>
      </c>
      <c r="Q3149" s="38" t="s">
        <v>41</v>
      </c>
      <c r="R3149" s="38" t="s">
        <v>270</v>
      </c>
      <c r="S3149" s="38" t="s">
        <v>7308</v>
      </c>
      <c r="T3149" s="38" t="s">
        <v>7309</v>
      </c>
      <c r="U3149" s="38"/>
      <c r="V3149" s="38"/>
      <c r="W3149" s="38"/>
      <c r="X3149" s="38"/>
      <c r="Y3149" s="57"/>
      <c r="Z3149" s="7"/>
      <c r="AA3149" s="57"/>
      <c r="AB3149" s="7">
        <f>19.97-15</f>
        <v>4.9699999999999989</v>
      </c>
      <c r="AC3149" s="57"/>
      <c r="AD3149" s="7"/>
      <c r="AE3149" s="57"/>
      <c r="AF3149" s="7"/>
      <c r="AG3149" s="57"/>
      <c r="AH3149" s="7"/>
      <c r="AI3149" s="57"/>
      <c r="AJ3149" s="7"/>
      <c r="AK3149" s="57"/>
      <c r="AL3149" s="7"/>
      <c r="AN3149" s="7" t="s">
        <v>2958</v>
      </c>
      <c r="AO3149" s="21">
        <f t="shared" si="158"/>
        <v>4.9699999999999989</v>
      </c>
      <c r="AP3149" s="7">
        <f t="shared" si="156"/>
        <v>15</v>
      </c>
      <c r="AQ3149" s="31" t="str">
        <f t="shared" si="159"/>
        <v>Complete - With Adjustment</v>
      </c>
    </row>
    <row r="3150" spans="1:43" x14ac:dyDescent="0.2">
      <c r="A3150" s="46">
        <v>3140</v>
      </c>
      <c r="B3150" s="38" t="s">
        <v>266</v>
      </c>
      <c r="C3150" s="38" t="s">
        <v>414</v>
      </c>
      <c r="D3150" s="38" t="s">
        <v>413</v>
      </c>
      <c r="E3150" s="38" t="s">
        <v>7310</v>
      </c>
      <c r="F3150" s="38" t="s">
        <v>7306</v>
      </c>
      <c r="G3150" s="38" t="s">
        <v>111</v>
      </c>
      <c r="H3150" s="44">
        <v>44243</v>
      </c>
      <c r="I3150" s="44">
        <v>44250</v>
      </c>
      <c r="J3150">
        <v>52.84</v>
      </c>
      <c r="K3150">
        <v>52.84</v>
      </c>
      <c r="L3150" t="s">
        <v>7311</v>
      </c>
      <c r="M3150" s="45" t="s">
        <v>98</v>
      </c>
      <c r="N3150" s="38" t="s">
        <v>230</v>
      </c>
      <c r="O3150" s="38" t="s">
        <v>317</v>
      </c>
      <c r="P3150" s="38" t="s">
        <v>60</v>
      </c>
      <c r="Q3150" s="38" t="s">
        <v>41</v>
      </c>
      <c r="R3150" s="38" t="s">
        <v>270</v>
      </c>
      <c r="S3150" s="38" t="s">
        <v>7312</v>
      </c>
      <c r="T3150" s="38" t="s">
        <v>7313</v>
      </c>
      <c r="U3150" s="38"/>
      <c r="V3150" s="38"/>
      <c r="W3150" s="38"/>
      <c r="X3150" s="38"/>
      <c r="Y3150" s="57"/>
      <c r="Z3150" s="7"/>
      <c r="AA3150" s="57"/>
      <c r="AB3150" s="7"/>
      <c r="AC3150" s="57"/>
      <c r="AD3150" s="7"/>
      <c r="AE3150" s="57"/>
      <c r="AF3150" s="7"/>
      <c r="AG3150" s="57"/>
      <c r="AH3150" s="7"/>
      <c r="AI3150" s="57">
        <f>52.84</f>
        <v>52.84</v>
      </c>
      <c r="AJ3150" s="7"/>
      <c r="AK3150" s="57"/>
      <c r="AL3150" s="7"/>
      <c r="AN3150" s="7" t="s">
        <v>145</v>
      </c>
      <c r="AO3150" s="21">
        <f t="shared" si="158"/>
        <v>52.84</v>
      </c>
      <c r="AP3150" s="7">
        <f t="shared" si="156"/>
        <v>0</v>
      </c>
      <c r="AQ3150" s="31" t="str">
        <f t="shared" si="159"/>
        <v>Complete - With Adjustment</v>
      </c>
    </row>
    <row r="3151" spans="1:43" x14ac:dyDescent="0.2">
      <c r="A3151" s="46">
        <v>3141</v>
      </c>
      <c r="B3151" s="38" t="s">
        <v>266</v>
      </c>
      <c r="C3151" s="38" t="s">
        <v>416</v>
      </c>
      <c r="D3151" s="38" t="s">
        <v>415</v>
      </c>
      <c r="E3151" s="38" t="s">
        <v>7314</v>
      </c>
      <c r="F3151" s="38" t="s">
        <v>7219</v>
      </c>
      <c r="G3151" s="38" t="s">
        <v>111</v>
      </c>
      <c r="H3151" s="44">
        <v>44249</v>
      </c>
      <c r="I3151" s="44">
        <v>44251</v>
      </c>
      <c r="J3151">
        <v>21.1</v>
      </c>
      <c r="K3151">
        <v>21.1</v>
      </c>
      <c r="L3151" t="s">
        <v>7315</v>
      </c>
      <c r="M3151" s="45" t="s">
        <v>98</v>
      </c>
      <c r="N3151" s="38" t="s">
        <v>230</v>
      </c>
      <c r="O3151" s="38" t="s">
        <v>331</v>
      </c>
      <c r="P3151" s="38" t="s">
        <v>60</v>
      </c>
      <c r="Q3151" s="38" t="s">
        <v>46</v>
      </c>
      <c r="R3151" s="38" t="s">
        <v>270</v>
      </c>
      <c r="S3151" s="38" t="s">
        <v>7003</v>
      </c>
      <c r="T3151" s="38" t="s">
        <v>7004</v>
      </c>
      <c r="U3151" s="38"/>
      <c r="V3151" s="38"/>
      <c r="W3151" s="38"/>
      <c r="X3151" s="38"/>
      <c r="Y3151" s="57"/>
      <c r="Z3151" s="7"/>
      <c r="AA3151" s="57"/>
      <c r="AB3151" s="7"/>
      <c r="AC3151" s="57"/>
      <c r="AD3151" s="7"/>
      <c r="AE3151" s="57"/>
      <c r="AF3151" s="7"/>
      <c r="AG3151" s="57"/>
      <c r="AH3151" s="7"/>
      <c r="AI3151" s="57"/>
      <c r="AJ3151" s="7"/>
      <c r="AK3151" s="57"/>
      <c r="AL3151" s="7"/>
      <c r="AN3151" s="7" t="s">
        <v>70</v>
      </c>
      <c r="AO3151" s="21">
        <f t="shared" si="158"/>
        <v>0</v>
      </c>
      <c r="AP3151" s="7">
        <f t="shared" si="156"/>
        <v>21.1</v>
      </c>
      <c r="AQ3151" s="31" t="str">
        <f t="shared" si="159"/>
        <v>Complete - No Adjustment</v>
      </c>
    </row>
    <row r="3152" spans="1:43" x14ac:dyDescent="0.2">
      <c r="A3152" s="46">
        <v>3142</v>
      </c>
      <c r="B3152" s="38" t="s">
        <v>266</v>
      </c>
      <c r="C3152" s="38" t="s">
        <v>416</v>
      </c>
      <c r="D3152" s="38" t="s">
        <v>415</v>
      </c>
      <c r="E3152" s="38" t="s">
        <v>7316</v>
      </c>
      <c r="F3152" s="38" t="s">
        <v>7188</v>
      </c>
      <c r="G3152" s="38" t="s">
        <v>111</v>
      </c>
      <c r="H3152" s="44">
        <v>44250</v>
      </c>
      <c r="I3152" s="44">
        <v>44252</v>
      </c>
      <c r="J3152">
        <v>75</v>
      </c>
      <c r="K3152">
        <v>75</v>
      </c>
      <c r="L3152" t="s">
        <v>7317</v>
      </c>
      <c r="M3152" s="45" t="s">
        <v>98</v>
      </c>
      <c r="N3152" s="38" t="s">
        <v>230</v>
      </c>
      <c r="O3152" s="38" t="s">
        <v>331</v>
      </c>
      <c r="P3152" s="38" t="s">
        <v>60</v>
      </c>
      <c r="Q3152" s="38" t="s">
        <v>56</v>
      </c>
      <c r="R3152" s="38" t="s">
        <v>270</v>
      </c>
      <c r="S3152" s="38" t="s">
        <v>7318</v>
      </c>
      <c r="T3152" s="38" t="s">
        <v>7319</v>
      </c>
      <c r="U3152" s="38"/>
      <c r="V3152" s="38"/>
      <c r="W3152" s="38"/>
      <c r="X3152" s="38"/>
      <c r="Y3152" s="57"/>
      <c r="Z3152" s="7"/>
      <c r="AA3152" s="57"/>
      <c r="AB3152" s="7"/>
      <c r="AC3152" s="57"/>
      <c r="AD3152" s="7"/>
      <c r="AE3152" s="57"/>
      <c r="AF3152" s="7"/>
      <c r="AG3152" s="57"/>
      <c r="AH3152" s="7"/>
      <c r="AI3152" s="57"/>
      <c r="AJ3152" s="7"/>
      <c r="AK3152" s="57"/>
      <c r="AL3152" s="7"/>
      <c r="AN3152" s="7" t="s">
        <v>70</v>
      </c>
      <c r="AO3152" s="21">
        <f t="shared" si="158"/>
        <v>0</v>
      </c>
      <c r="AP3152" s="7">
        <f t="shared" si="156"/>
        <v>75</v>
      </c>
      <c r="AQ3152" s="31" t="str">
        <f t="shared" si="159"/>
        <v>Complete - No Adjustment</v>
      </c>
    </row>
    <row r="3153" spans="1:43" x14ac:dyDescent="0.2">
      <c r="A3153" s="46">
        <v>3143</v>
      </c>
      <c r="B3153" s="38" t="s">
        <v>266</v>
      </c>
      <c r="C3153" s="38" t="s">
        <v>548</v>
      </c>
      <c r="D3153" s="38" t="s">
        <v>547</v>
      </c>
      <c r="E3153" s="38" t="s">
        <v>7320</v>
      </c>
      <c r="F3153" s="38" t="s">
        <v>7300</v>
      </c>
      <c r="G3153" s="38" t="s">
        <v>111</v>
      </c>
      <c r="H3153" s="44">
        <v>44228</v>
      </c>
      <c r="I3153" s="44">
        <v>44232</v>
      </c>
      <c r="J3153">
        <v>290</v>
      </c>
      <c r="K3153">
        <v>90</v>
      </c>
      <c r="L3153" t="s">
        <v>7321</v>
      </c>
      <c r="M3153" s="45" t="s">
        <v>98</v>
      </c>
      <c r="N3153" s="38" t="s">
        <v>230</v>
      </c>
      <c r="O3153" s="38" t="s">
        <v>507</v>
      </c>
      <c r="P3153" s="38" t="s">
        <v>60</v>
      </c>
      <c r="Q3153" s="38" t="s">
        <v>56</v>
      </c>
      <c r="R3153" s="38" t="s">
        <v>270</v>
      </c>
      <c r="S3153" s="38" t="s">
        <v>7322</v>
      </c>
      <c r="T3153" s="38" t="s">
        <v>7323</v>
      </c>
      <c r="U3153" s="38"/>
      <c r="V3153" s="38"/>
      <c r="W3153" s="38"/>
      <c r="X3153" s="38"/>
      <c r="Y3153" s="57"/>
      <c r="Z3153" s="7"/>
      <c r="AA3153" s="57"/>
      <c r="AB3153" s="7"/>
      <c r="AC3153" s="57"/>
      <c r="AD3153" s="7"/>
      <c r="AE3153" s="57"/>
      <c r="AF3153" s="7"/>
      <c r="AG3153" s="57"/>
      <c r="AH3153" s="7"/>
      <c r="AI3153" s="57"/>
      <c r="AJ3153" s="7"/>
      <c r="AK3153" s="57"/>
      <c r="AL3153" s="7"/>
      <c r="AN3153" s="7" t="s">
        <v>70</v>
      </c>
      <c r="AO3153" s="21">
        <f t="shared" si="158"/>
        <v>0</v>
      </c>
      <c r="AP3153" s="7">
        <f t="shared" si="156"/>
        <v>90</v>
      </c>
      <c r="AQ3153" s="31" t="str">
        <f t="shared" si="159"/>
        <v>Complete - No Adjustment</v>
      </c>
    </row>
    <row r="3154" spans="1:43" x14ac:dyDescent="0.2">
      <c r="A3154" s="46">
        <v>3144</v>
      </c>
      <c r="B3154" s="38" t="s">
        <v>266</v>
      </c>
      <c r="C3154" s="38" t="s">
        <v>548</v>
      </c>
      <c r="D3154" s="38" t="s">
        <v>547</v>
      </c>
      <c r="E3154" s="38" t="s">
        <v>7320</v>
      </c>
      <c r="F3154" s="38" t="s">
        <v>7300</v>
      </c>
      <c r="G3154" s="38" t="s">
        <v>111</v>
      </c>
      <c r="H3154" s="44">
        <v>44228</v>
      </c>
      <c r="I3154" s="44">
        <v>44232</v>
      </c>
      <c r="J3154">
        <v>290</v>
      </c>
      <c r="K3154">
        <v>75</v>
      </c>
      <c r="L3154" t="s">
        <v>7321</v>
      </c>
      <c r="M3154" s="45" t="s">
        <v>98</v>
      </c>
      <c r="N3154" s="38" t="s">
        <v>230</v>
      </c>
      <c r="O3154" s="38" t="s">
        <v>507</v>
      </c>
      <c r="P3154" s="38" t="s">
        <v>60</v>
      </c>
      <c r="Q3154" s="38" t="s">
        <v>59</v>
      </c>
      <c r="R3154" s="38" t="s">
        <v>270</v>
      </c>
      <c r="S3154" s="38" t="s">
        <v>7322</v>
      </c>
      <c r="T3154" s="38" t="s">
        <v>7324</v>
      </c>
      <c r="U3154" s="38"/>
      <c r="V3154" s="38"/>
      <c r="W3154" s="38"/>
      <c r="X3154" s="38"/>
      <c r="Y3154" s="57"/>
      <c r="Z3154" s="7"/>
      <c r="AA3154" s="57"/>
      <c r="AB3154" s="7"/>
      <c r="AC3154" s="57"/>
      <c r="AD3154" s="7"/>
      <c r="AE3154" s="57"/>
      <c r="AF3154" s="7"/>
      <c r="AG3154" s="57"/>
      <c r="AH3154" s="7"/>
      <c r="AI3154" s="57"/>
      <c r="AJ3154" s="7"/>
      <c r="AK3154" s="57"/>
      <c r="AL3154" s="7"/>
      <c r="AN3154" s="7" t="s">
        <v>70</v>
      </c>
      <c r="AO3154" s="21">
        <f t="shared" si="158"/>
        <v>0</v>
      </c>
      <c r="AP3154" s="7">
        <f t="shared" si="156"/>
        <v>75</v>
      </c>
      <c r="AQ3154" s="31" t="str">
        <f t="shared" si="159"/>
        <v>Complete - No Adjustment</v>
      </c>
    </row>
    <row r="3155" spans="1:43" x14ac:dyDescent="0.2">
      <c r="A3155" s="46">
        <v>3145</v>
      </c>
      <c r="B3155" s="38" t="s">
        <v>266</v>
      </c>
      <c r="C3155" s="38" t="s">
        <v>548</v>
      </c>
      <c r="D3155" s="38" t="s">
        <v>547</v>
      </c>
      <c r="E3155" s="38" t="s">
        <v>7320</v>
      </c>
      <c r="F3155" s="38" t="s">
        <v>7300</v>
      </c>
      <c r="G3155" s="38" t="s">
        <v>111</v>
      </c>
      <c r="H3155" s="44">
        <v>44228</v>
      </c>
      <c r="I3155" s="44">
        <v>44232</v>
      </c>
      <c r="J3155">
        <v>290</v>
      </c>
      <c r="K3155">
        <v>125</v>
      </c>
      <c r="L3155" t="s">
        <v>7321</v>
      </c>
      <c r="M3155" s="45" t="s">
        <v>98</v>
      </c>
      <c r="N3155" s="38" t="s">
        <v>230</v>
      </c>
      <c r="O3155" s="38" t="s">
        <v>507</v>
      </c>
      <c r="P3155" s="38" t="s">
        <v>60</v>
      </c>
      <c r="Q3155" s="38" t="s">
        <v>56</v>
      </c>
      <c r="R3155" s="38" t="s">
        <v>270</v>
      </c>
      <c r="S3155" s="38" t="s">
        <v>7322</v>
      </c>
      <c r="T3155" s="38" t="s">
        <v>7325</v>
      </c>
      <c r="U3155" s="38"/>
      <c r="V3155" s="38"/>
      <c r="W3155" s="38"/>
      <c r="X3155" s="38"/>
      <c r="Y3155" s="57"/>
      <c r="Z3155" s="7"/>
      <c r="AA3155" s="57"/>
      <c r="AB3155" s="7"/>
      <c r="AC3155" s="57"/>
      <c r="AD3155" s="7"/>
      <c r="AE3155" s="57"/>
      <c r="AF3155" s="7"/>
      <c r="AG3155" s="57"/>
      <c r="AH3155" s="7"/>
      <c r="AI3155" s="57"/>
      <c r="AJ3155" s="7"/>
      <c r="AK3155" s="57"/>
      <c r="AL3155" s="7"/>
      <c r="AN3155" s="7" t="s">
        <v>70</v>
      </c>
      <c r="AO3155" s="21">
        <f t="shared" si="158"/>
        <v>0</v>
      </c>
      <c r="AP3155" s="7">
        <f t="shared" si="156"/>
        <v>125</v>
      </c>
      <c r="AQ3155" s="31" t="str">
        <f t="shared" si="159"/>
        <v>Complete - No Adjustment</v>
      </c>
    </row>
    <row r="3156" spans="1:43" x14ac:dyDescent="0.2">
      <c r="A3156" s="46">
        <v>3146</v>
      </c>
      <c r="B3156" s="38" t="s">
        <v>266</v>
      </c>
      <c r="C3156" s="38" t="s">
        <v>609</v>
      </c>
      <c r="D3156" s="38" t="s">
        <v>608</v>
      </c>
      <c r="E3156" s="38" t="s">
        <v>7326</v>
      </c>
      <c r="F3156" s="38" t="s">
        <v>7243</v>
      </c>
      <c r="G3156" s="38" t="s">
        <v>111</v>
      </c>
      <c r="H3156" s="44">
        <v>44225</v>
      </c>
      <c r="I3156" s="44">
        <v>44231</v>
      </c>
      <c r="J3156">
        <v>21.84</v>
      </c>
      <c r="K3156">
        <v>21.84</v>
      </c>
      <c r="L3156" t="s">
        <v>7327</v>
      </c>
      <c r="M3156" s="45" t="s">
        <v>98</v>
      </c>
      <c r="N3156" s="38" t="s">
        <v>230</v>
      </c>
      <c r="O3156" s="38" t="s">
        <v>303</v>
      </c>
      <c r="P3156" s="38" t="s">
        <v>60</v>
      </c>
      <c r="Q3156" s="38" t="s">
        <v>46</v>
      </c>
      <c r="R3156" s="38" t="s">
        <v>270</v>
      </c>
      <c r="S3156" s="38" t="s">
        <v>7328</v>
      </c>
      <c r="T3156" s="38" t="s">
        <v>7329</v>
      </c>
      <c r="U3156" s="38"/>
      <c r="V3156" s="38"/>
      <c r="W3156" s="38"/>
      <c r="X3156" s="38"/>
      <c r="Y3156" s="57"/>
      <c r="Z3156" s="7"/>
      <c r="AA3156" s="57"/>
      <c r="AB3156" s="7"/>
      <c r="AC3156" s="57"/>
      <c r="AD3156" s="7"/>
      <c r="AE3156" s="57"/>
      <c r="AF3156" s="7"/>
      <c r="AG3156" s="57"/>
      <c r="AH3156" s="7"/>
      <c r="AI3156" s="57"/>
      <c r="AJ3156" s="7"/>
      <c r="AK3156" s="57"/>
      <c r="AL3156" s="7"/>
      <c r="AN3156" s="7" t="s">
        <v>70</v>
      </c>
      <c r="AO3156" s="21">
        <f t="shared" si="158"/>
        <v>0</v>
      </c>
      <c r="AP3156" s="7">
        <f t="shared" si="156"/>
        <v>21.84</v>
      </c>
      <c r="AQ3156" s="31" t="str">
        <f t="shared" si="159"/>
        <v>Complete - No Adjustment</v>
      </c>
    </row>
    <row r="3157" spans="1:43" x14ac:dyDescent="0.2">
      <c r="A3157" s="46">
        <v>3147</v>
      </c>
      <c r="B3157" s="38" t="s">
        <v>266</v>
      </c>
      <c r="C3157" s="38" t="s">
        <v>727</v>
      </c>
      <c r="D3157" s="38" t="s">
        <v>726</v>
      </c>
      <c r="E3157" s="38" t="s">
        <v>7330</v>
      </c>
      <c r="F3157" s="38" t="s">
        <v>7194</v>
      </c>
      <c r="G3157" s="38" t="s">
        <v>111</v>
      </c>
      <c r="H3157" s="44">
        <v>44222</v>
      </c>
      <c r="I3157" s="44">
        <v>44235</v>
      </c>
      <c r="J3157">
        <v>6.26</v>
      </c>
      <c r="K3157">
        <v>6.26</v>
      </c>
      <c r="L3157" t="s">
        <v>7331</v>
      </c>
      <c r="M3157" s="45" t="s">
        <v>98</v>
      </c>
      <c r="N3157" s="38" t="s">
        <v>230</v>
      </c>
      <c r="O3157" s="38" t="s">
        <v>397</v>
      </c>
      <c r="P3157" s="38" t="s">
        <v>60</v>
      </c>
      <c r="Q3157" s="38" t="s">
        <v>41</v>
      </c>
      <c r="R3157" s="38" t="s">
        <v>270</v>
      </c>
      <c r="S3157" s="38" t="s">
        <v>7332</v>
      </c>
      <c r="T3157" s="38" t="s">
        <v>7333</v>
      </c>
      <c r="U3157" s="38"/>
      <c r="V3157" s="38"/>
      <c r="W3157" s="38"/>
      <c r="X3157" s="38"/>
      <c r="Y3157" s="57"/>
      <c r="Z3157" s="7"/>
      <c r="AA3157" s="57"/>
      <c r="AB3157" s="7"/>
      <c r="AC3157" s="57"/>
      <c r="AD3157" s="7"/>
      <c r="AE3157" s="57"/>
      <c r="AF3157" s="7"/>
      <c r="AG3157" s="57"/>
      <c r="AH3157" s="7"/>
      <c r="AI3157" s="57"/>
      <c r="AJ3157" s="7"/>
      <c r="AK3157" s="57"/>
      <c r="AL3157" s="7"/>
      <c r="AN3157" s="7" t="s">
        <v>155</v>
      </c>
      <c r="AO3157" s="21">
        <f t="shared" si="158"/>
        <v>0</v>
      </c>
      <c r="AP3157" s="7">
        <f t="shared" si="156"/>
        <v>6.26</v>
      </c>
      <c r="AQ3157" s="31" t="str">
        <f t="shared" si="159"/>
        <v>Complete - No Adjustment</v>
      </c>
    </row>
    <row r="3158" spans="1:43" x14ac:dyDescent="0.2">
      <c r="A3158" s="46">
        <v>3148</v>
      </c>
      <c r="B3158" s="38" t="s">
        <v>266</v>
      </c>
      <c r="C3158" s="38" t="s">
        <v>727</v>
      </c>
      <c r="D3158" s="38" t="s">
        <v>726</v>
      </c>
      <c r="E3158" s="38" t="s">
        <v>7334</v>
      </c>
      <c r="F3158" s="38" t="s">
        <v>7163</v>
      </c>
      <c r="G3158" s="38" t="s">
        <v>111</v>
      </c>
      <c r="H3158" s="44">
        <v>44232</v>
      </c>
      <c r="I3158" s="44">
        <v>44238</v>
      </c>
      <c r="J3158">
        <v>15.73</v>
      </c>
      <c r="K3158">
        <v>15.73</v>
      </c>
      <c r="L3158" t="s">
        <v>7335</v>
      </c>
      <c r="M3158" s="45" t="s">
        <v>98</v>
      </c>
      <c r="N3158" s="38" t="s">
        <v>230</v>
      </c>
      <c r="O3158" s="38" t="s">
        <v>397</v>
      </c>
      <c r="P3158" s="38" t="s">
        <v>60</v>
      </c>
      <c r="Q3158" s="38" t="s">
        <v>74</v>
      </c>
      <c r="R3158" s="38" t="s">
        <v>270</v>
      </c>
      <c r="S3158" s="38" t="s">
        <v>7336</v>
      </c>
      <c r="T3158" s="38" t="s">
        <v>7337</v>
      </c>
      <c r="U3158" s="38"/>
      <c r="V3158" s="38"/>
      <c r="W3158" s="38"/>
      <c r="X3158" s="38"/>
      <c r="Y3158" s="57"/>
      <c r="Z3158" s="7"/>
      <c r="AA3158" s="57"/>
      <c r="AB3158" s="7"/>
      <c r="AC3158" s="57"/>
      <c r="AD3158" s="7"/>
      <c r="AE3158" s="57"/>
      <c r="AF3158" s="7"/>
      <c r="AG3158" s="57"/>
      <c r="AH3158" s="7"/>
      <c r="AI3158" s="57"/>
      <c r="AJ3158" s="7"/>
      <c r="AK3158" s="57"/>
      <c r="AL3158" s="7"/>
      <c r="AN3158" s="7" t="s">
        <v>70</v>
      </c>
      <c r="AO3158" s="21">
        <f t="shared" si="158"/>
        <v>0</v>
      </c>
      <c r="AP3158" s="7">
        <f t="shared" si="156"/>
        <v>15.73</v>
      </c>
      <c r="AQ3158" s="31" t="str">
        <f t="shared" si="159"/>
        <v>Complete - No Adjustment</v>
      </c>
    </row>
    <row r="3159" spans="1:43" x14ac:dyDescent="0.2">
      <c r="A3159" s="46">
        <v>3149</v>
      </c>
      <c r="B3159" s="38" t="s">
        <v>266</v>
      </c>
      <c r="C3159" s="38" t="s">
        <v>6501</v>
      </c>
      <c r="D3159" s="38" t="s">
        <v>6502</v>
      </c>
      <c r="E3159" s="38" t="s">
        <v>7338</v>
      </c>
      <c r="F3159" s="38" t="s">
        <v>7177</v>
      </c>
      <c r="G3159" s="38" t="s">
        <v>111</v>
      </c>
      <c r="H3159" s="44">
        <v>44239</v>
      </c>
      <c r="I3159" s="44">
        <v>44249</v>
      </c>
      <c r="J3159">
        <v>2753.88</v>
      </c>
      <c r="K3159">
        <v>2753.88</v>
      </c>
      <c r="L3159" t="s">
        <v>7339</v>
      </c>
      <c r="M3159" s="45" t="s">
        <v>98</v>
      </c>
      <c r="N3159" s="38" t="s">
        <v>230</v>
      </c>
      <c r="O3159" s="38" t="s">
        <v>484</v>
      </c>
      <c r="P3159" s="38" t="s">
        <v>60</v>
      </c>
      <c r="Q3159" s="38" t="s">
        <v>48</v>
      </c>
      <c r="R3159" s="38" t="s">
        <v>270</v>
      </c>
      <c r="S3159" s="38" t="s">
        <v>7340</v>
      </c>
      <c r="T3159" s="38" t="s">
        <v>7341</v>
      </c>
      <c r="U3159" s="38"/>
      <c r="V3159" s="38"/>
      <c r="W3159" s="38"/>
      <c r="X3159" s="38"/>
      <c r="Y3159" s="57"/>
      <c r="Z3159" s="7"/>
      <c r="AA3159" s="57"/>
      <c r="AB3159" s="7"/>
      <c r="AC3159" s="57"/>
      <c r="AD3159" s="7"/>
      <c r="AE3159" s="57"/>
      <c r="AF3159" s="7"/>
      <c r="AG3159" s="57"/>
      <c r="AH3159" s="7"/>
      <c r="AI3159" s="57"/>
      <c r="AJ3159" s="7"/>
      <c r="AK3159" s="57"/>
      <c r="AL3159" s="7"/>
      <c r="AN3159" s="7" t="s">
        <v>70</v>
      </c>
      <c r="AO3159" s="21">
        <f t="shared" si="158"/>
        <v>0</v>
      </c>
      <c r="AP3159" s="7">
        <f t="shared" si="156"/>
        <v>2753.88</v>
      </c>
      <c r="AQ3159" s="31" t="str">
        <f t="shared" si="159"/>
        <v>Complete - No Adjustment</v>
      </c>
    </row>
    <row r="3160" spans="1:43" x14ac:dyDescent="0.2">
      <c r="A3160" s="46">
        <v>3150</v>
      </c>
      <c r="B3160" s="38" t="s">
        <v>266</v>
      </c>
      <c r="C3160" s="38" t="s">
        <v>710</v>
      </c>
      <c r="D3160" s="38" t="s">
        <v>709</v>
      </c>
      <c r="E3160" s="38" t="s">
        <v>7342</v>
      </c>
      <c r="F3160" s="38" t="s">
        <v>7216</v>
      </c>
      <c r="G3160" s="38" t="s">
        <v>111</v>
      </c>
      <c r="H3160" s="44">
        <v>44224</v>
      </c>
      <c r="I3160" s="44">
        <v>44228</v>
      </c>
      <c r="J3160">
        <v>16.8</v>
      </c>
      <c r="K3160">
        <v>16.8</v>
      </c>
      <c r="L3160" t="s">
        <v>7343</v>
      </c>
      <c r="M3160" s="45" t="s">
        <v>98</v>
      </c>
      <c r="N3160" s="38" t="s">
        <v>230</v>
      </c>
      <c r="O3160" s="38" t="s">
        <v>288</v>
      </c>
      <c r="P3160" s="38" t="s">
        <v>60</v>
      </c>
      <c r="Q3160" s="38" t="s">
        <v>44</v>
      </c>
      <c r="R3160" s="38" t="s">
        <v>270</v>
      </c>
      <c r="S3160" s="38" t="s">
        <v>7344</v>
      </c>
      <c r="T3160" s="38" t="s">
        <v>7345</v>
      </c>
      <c r="U3160" s="38"/>
      <c r="V3160" s="38"/>
      <c r="W3160" s="38"/>
      <c r="X3160" s="38"/>
      <c r="Y3160" s="57"/>
      <c r="Z3160" s="7"/>
      <c r="AA3160" s="57"/>
      <c r="AB3160" s="7"/>
      <c r="AC3160" s="57"/>
      <c r="AD3160" s="7"/>
      <c r="AE3160" s="57"/>
      <c r="AF3160" s="7"/>
      <c r="AG3160" s="57"/>
      <c r="AH3160" s="7"/>
      <c r="AI3160" s="57"/>
      <c r="AJ3160" s="7"/>
      <c r="AK3160" s="57"/>
      <c r="AL3160" s="7"/>
      <c r="AN3160" s="7" t="s">
        <v>70</v>
      </c>
      <c r="AO3160" s="21">
        <f t="shared" si="158"/>
        <v>0</v>
      </c>
      <c r="AP3160" s="7">
        <f t="shared" si="156"/>
        <v>16.8</v>
      </c>
      <c r="AQ3160" s="31" t="str">
        <f t="shared" si="159"/>
        <v>Complete - No Adjustment</v>
      </c>
    </row>
    <row r="3161" spans="1:43" x14ac:dyDescent="0.2">
      <c r="A3161" s="46">
        <v>3151</v>
      </c>
      <c r="B3161" s="38" t="s">
        <v>266</v>
      </c>
      <c r="C3161" s="38" t="s">
        <v>710</v>
      </c>
      <c r="D3161" s="38" t="s">
        <v>709</v>
      </c>
      <c r="E3161" s="38" t="s">
        <v>7346</v>
      </c>
      <c r="F3161" s="38" t="s">
        <v>7210</v>
      </c>
      <c r="G3161" s="38" t="s">
        <v>111</v>
      </c>
      <c r="H3161" s="44">
        <v>44238</v>
      </c>
      <c r="I3161" s="44">
        <v>44243</v>
      </c>
      <c r="J3161">
        <v>17.72</v>
      </c>
      <c r="K3161">
        <v>17.72</v>
      </c>
      <c r="L3161" t="s">
        <v>7347</v>
      </c>
      <c r="M3161" s="45" t="s">
        <v>98</v>
      </c>
      <c r="N3161" s="38" t="s">
        <v>230</v>
      </c>
      <c r="O3161" s="38" t="s">
        <v>288</v>
      </c>
      <c r="P3161" s="38" t="s">
        <v>60</v>
      </c>
      <c r="Q3161" s="38" t="s">
        <v>41</v>
      </c>
      <c r="R3161" s="38" t="s">
        <v>270</v>
      </c>
      <c r="S3161" s="38" t="s">
        <v>6124</v>
      </c>
      <c r="T3161" s="38" t="s">
        <v>6125</v>
      </c>
      <c r="U3161" s="38"/>
      <c r="V3161" s="38"/>
      <c r="W3161" s="38"/>
      <c r="X3161" s="38"/>
      <c r="Y3161" s="57"/>
      <c r="Z3161" s="7"/>
      <c r="AA3161" s="57"/>
      <c r="AB3161" s="7"/>
      <c r="AC3161" s="57"/>
      <c r="AD3161" s="7"/>
      <c r="AE3161" s="57"/>
      <c r="AF3161" s="7"/>
      <c r="AG3161" s="57"/>
      <c r="AH3161" s="7"/>
      <c r="AI3161" s="57"/>
      <c r="AJ3161" s="7"/>
      <c r="AK3161" s="57"/>
      <c r="AL3161" s="7"/>
      <c r="AN3161" s="7" t="s">
        <v>155</v>
      </c>
      <c r="AO3161" s="21">
        <f t="shared" si="158"/>
        <v>0</v>
      </c>
      <c r="AP3161" s="7">
        <f t="shared" si="156"/>
        <v>17.72</v>
      </c>
      <c r="AQ3161" s="31" t="str">
        <f t="shared" si="159"/>
        <v>Complete - No Adjustment</v>
      </c>
    </row>
    <row r="3162" spans="1:43" x14ac:dyDescent="0.2">
      <c r="A3162" s="46">
        <v>3152</v>
      </c>
      <c r="B3162" s="38" t="s">
        <v>266</v>
      </c>
      <c r="C3162" s="38" t="s">
        <v>710</v>
      </c>
      <c r="D3162" s="38" t="s">
        <v>709</v>
      </c>
      <c r="E3162" s="38" t="s">
        <v>7348</v>
      </c>
      <c r="F3162" s="38" t="s">
        <v>7213</v>
      </c>
      <c r="G3162" s="38" t="s">
        <v>111</v>
      </c>
      <c r="H3162" s="44">
        <v>44232</v>
      </c>
      <c r="I3162" s="44">
        <v>44236</v>
      </c>
      <c r="J3162">
        <v>23.03</v>
      </c>
      <c r="K3162">
        <v>23.03</v>
      </c>
      <c r="L3162" t="s">
        <v>7349</v>
      </c>
      <c r="M3162" s="45" t="s">
        <v>98</v>
      </c>
      <c r="N3162" s="38" t="s">
        <v>230</v>
      </c>
      <c r="O3162" s="38" t="s">
        <v>288</v>
      </c>
      <c r="P3162" s="38" t="s">
        <v>60</v>
      </c>
      <c r="Q3162" s="38" t="s">
        <v>41</v>
      </c>
      <c r="R3162" s="38" t="s">
        <v>270</v>
      </c>
      <c r="S3162" s="38" t="s">
        <v>6124</v>
      </c>
      <c r="T3162" s="38" t="s">
        <v>6125</v>
      </c>
      <c r="U3162" s="38"/>
      <c r="V3162" s="38"/>
      <c r="W3162" s="38"/>
      <c r="X3162" s="38"/>
      <c r="Y3162" s="57"/>
      <c r="Z3162" s="7"/>
      <c r="AA3162" s="57"/>
      <c r="AB3162" s="7"/>
      <c r="AC3162" s="57"/>
      <c r="AD3162" s="7"/>
      <c r="AE3162" s="57"/>
      <c r="AF3162" s="7"/>
      <c r="AG3162" s="57"/>
      <c r="AH3162" s="7"/>
      <c r="AI3162" s="57"/>
      <c r="AJ3162" s="7"/>
      <c r="AK3162" s="57"/>
      <c r="AL3162" s="7"/>
      <c r="AN3162" s="7" t="s">
        <v>115</v>
      </c>
      <c r="AO3162" s="21">
        <f t="shared" si="158"/>
        <v>0</v>
      </c>
      <c r="AP3162" s="7">
        <f t="shared" si="156"/>
        <v>23.03</v>
      </c>
      <c r="AQ3162" s="31" t="str">
        <f t="shared" si="159"/>
        <v>Complete - No Adjustment</v>
      </c>
    </row>
    <row r="3163" spans="1:43" x14ac:dyDescent="0.2">
      <c r="A3163" s="46">
        <v>3153</v>
      </c>
      <c r="B3163" s="38" t="s">
        <v>266</v>
      </c>
      <c r="C3163" s="38" t="s">
        <v>431</v>
      </c>
      <c r="D3163" s="38" t="s">
        <v>430</v>
      </c>
      <c r="E3163" s="38" t="s">
        <v>7350</v>
      </c>
      <c r="F3163" s="38" t="s">
        <v>7210</v>
      </c>
      <c r="G3163" s="38" t="s">
        <v>111</v>
      </c>
      <c r="H3163" s="44">
        <v>44239</v>
      </c>
      <c r="I3163" s="44">
        <v>44243</v>
      </c>
      <c r="J3163">
        <v>70.63</v>
      </c>
      <c r="K3163">
        <v>20.63</v>
      </c>
      <c r="L3163" t="s">
        <v>7351</v>
      </c>
      <c r="M3163" s="45" t="s">
        <v>98</v>
      </c>
      <c r="N3163" s="38" t="s">
        <v>230</v>
      </c>
      <c r="O3163" s="38" t="s">
        <v>78</v>
      </c>
      <c r="P3163" s="38" t="s">
        <v>60</v>
      </c>
      <c r="Q3163" s="38" t="s">
        <v>46</v>
      </c>
      <c r="R3163" s="38" t="s">
        <v>270</v>
      </c>
      <c r="S3163" s="38" t="s">
        <v>7352</v>
      </c>
      <c r="T3163" s="38" t="s">
        <v>7353</v>
      </c>
      <c r="U3163" s="38"/>
      <c r="V3163" s="38"/>
      <c r="W3163" s="38"/>
      <c r="X3163" s="38"/>
      <c r="Y3163" s="57"/>
      <c r="Z3163" s="7"/>
      <c r="AA3163" s="57"/>
      <c r="AB3163" s="7"/>
      <c r="AC3163" s="57"/>
      <c r="AD3163" s="7"/>
      <c r="AE3163" s="57"/>
      <c r="AF3163" s="7"/>
      <c r="AG3163" s="57"/>
      <c r="AH3163" s="7"/>
      <c r="AI3163" s="57">
        <f>20.63</f>
        <v>20.63</v>
      </c>
      <c r="AJ3163" s="7"/>
      <c r="AK3163" s="57"/>
      <c r="AL3163" s="7"/>
      <c r="AN3163" s="7" t="s">
        <v>145</v>
      </c>
      <c r="AO3163" s="21">
        <f t="shared" si="158"/>
        <v>20.63</v>
      </c>
      <c r="AP3163" s="7">
        <f t="shared" si="156"/>
        <v>0</v>
      </c>
      <c r="AQ3163" s="31" t="str">
        <f t="shared" si="159"/>
        <v>Complete - With Adjustment</v>
      </c>
    </row>
    <row r="3164" spans="1:43" x14ac:dyDescent="0.2">
      <c r="A3164" s="46">
        <v>3154</v>
      </c>
      <c r="B3164" s="38" t="s">
        <v>266</v>
      </c>
      <c r="C3164" s="38" t="s">
        <v>431</v>
      </c>
      <c r="D3164" s="38" t="s">
        <v>430</v>
      </c>
      <c r="E3164" s="38" t="s">
        <v>7350</v>
      </c>
      <c r="F3164" s="38" t="s">
        <v>7210</v>
      </c>
      <c r="G3164" s="38" t="s">
        <v>111</v>
      </c>
      <c r="H3164" s="44">
        <v>44239</v>
      </c>
      <c r="I3164" s="44">
        <v>44243</v>
      </c>
      <c r="J3164">
        <v>70.63</v>
      </c>
      <c r="K3164">
        <v>50</v>
      </c>
      <c r="L3164" t="s">
        <v>7351</v>
      </c>
      <c r="M3164" s="45" t="s">
        <v>98</v>
      </c>
      <c r="N3164" s="38" t="s">
        <v>230</v>
      </c>
      <c r="O3164" s="38" t="s">
        <v>78</v>
      </c>
      <c r="P3164" s="38" t="s">
        <v>60</v>
      </c>
      <c r="Q3164" s="38" t="s">
        <v>48</v>
      </c>
      <c r="R3164" s="38" t="s">
        <v>270</v>
      </c>
      <c r="S3164" s="38" t="s">
        <v>7352</v>
      </c>
      <c r="T3164" s="38" t="s">
        <v>7354</v>
      </c>
      <c r="U3164" s="38"/>
      <c r="V3164" s="38"/>
      <c r="W3164" s="38"/>
      <c r="X3164" s="38"/>
      <c r="Y3164" s="57"/>
      <c r="Z3164" s="7"/>
      <c r="AA3164" s="57"/>
      <c r="AB3164" s="7"/>
      <c r="AC3164" s="57"/>
      <c r="AD3164" s="7"/>
      <c r="AE3164" s="57"/>
      <c r="AF3164" s="7"/>
      <c r="AG3164" s="57"/>
      <c r="AH3164" s="7"/>
      <c r="AI3164" s="57"/>
      <c r="AJ3164" s="7"/>
      <c r="AK3164" s="57"/>
      <c r="AL3164" s="7"/>
      <c r="AN3164" s="7" t="s">
        <v>70</v>
      </c>
      <c r="AO3164" s="21">
        <f t="shared" si="158"/>
        <v>0</v>
      </c>
      <c r="AP3164" s="7">
        <f t="shared" si="156"/>
        <v>50</v>
      </c>
      <c r="AQ3164" s="31" t="str">
        <f t="shared" si="159"/>
        <v>Complete - No Adjustment</v>
      </c>
    </row>
    <row r="3165" spans="1:43" x14ac:dyDescent="0.2">
      <c r="A3165" s="46">
        <v>3155</v>
      </c>
      <c r="B3165" s="38" t="s">
        <v>266</v>
      </c>
      <c r="C3165" s="38" t="s">
        <v>7355</v>
      </c>
      <c r="D3165" s="38" t="s">
        <v>7356</v>
      </c>
      <c r="E3165" s="38" t="s">
        <v>7357</v>
      </c>
      <c r="F3165" s="38" t="s">
        <v>7248</v>
      </c>
      <c r="G3165" s="38" t="s">
        <v>111</v>
      </c>
      <c r="H3165" s="44">
        <v>44208</v>
      </c>
      <c r="I3165" s="44">
        <v>44230</v>
      </c>
      <c r="J3165">
        <v>125</v>
      </c>
      <c r="K3165">
        <v>125</v>
      </c>
      <c r="L3165" t="s">
        <v>7358</v>
      </c>
      <c r="M3165" s="45" t="s">
        <v>98</v>
      </c>
      <c r="N3165" s="38" t="s">
        <v>230</v>
      </c>
      <c r="O3165" s="38" t="s">
        <v>289</v>
      </c>
      <c r="P3165" s="38" t="s">
        <v>60</v>
      </c>
      <c r="Q3165" s="38" t="s">
        <v>59</v>
      </c>
      <c r="R3165" s="38" t="s">
        <v>270</v>
      </c>
      <c r="S3165" s="38" t="s">
        <v>7359</v>
      </c>
      <c r="T3165" s="38" t="s">
        <v>7360</v>
      </c>
      <c r="U3165" s="38"/>
      <c r="V3165" s="38"/>
      <c r="W3165" s="38"/>
      <c r="X3165" s="38"/>
      <c r="Y3165" s="57"/>
      <c r="Z3165" s="7"/>
      <c r="AA3165" s="57"/>
      <c r="AB3165" s="7"/>
      <c r="AC3165" s="57"/>
      <c r="AD3165" s="7"/>
      <c r="AE3165" s="57"/>
      <c r="AF3165" s="7"/>
      <c r="AG3165" s="57"/>
      <c r="AH3165" s="7"/>
      <c r="AI3165" s="57"/>
      <c r="AJ3165" s="7"/>
      <c r="AK3165" s="57"/>
      <c r="AL3165" s="7"/>
      <c r="AN3165" s="7" t="s">
        <v>70</v>
      </c>
      <c r="AO3165" s="21">
        <f t="shared" si="158"/>
        <v>0</v>
      </c>
      <c r="AP3165" s="7">
        <f t="shared" si="156"/>
        <v>125</v>
      </c>
      <c r="AQ3165" s="31" t="str">
        <f t="shared" si="159"/>
        <v>Complete - No Adjustment</v>
      </c>
    </row>
    <row r="3166" spans="1:43" x14ac:dyDescent="0.2">
      <c r="A3166" s="46">
        <v>3156</v>
      </c>
      <c r="B3166" s="38" t="s">
        <v>266</v>
      </c>
      <c r="C3166" s="38" t="s">
        <v>825</v>
      </c>
      <c r="D3166" s="38" t="s">
        <v>826</v>
      </c>
      <c r="E3166" s="38" t="s">
        <v>7361</v>
      </c>
      <c r="F3166" s="38" t="s">
        <v>7219</v>
      </c>
      <c r="G3166" s="38" t="s">
        <v>111</v>
      </c>
      <c r="H3166" s="44">
        <v>44248</v>
      </c>
      <c r="I3166" s="44">
        <v>44251</v>
      </c>
      <c r="J3166">
        <v>288.5</v>
      </c>
      <c r="K3166">
        <v>149</v>
      </c>
      <c r="L3166" t="s">
        <v>7362</v>
      </c>
      <c r="M3166" s="45" t="s">
        <v>98</v>
      </c>
      <c r="N3166" s="38" t="s">
        <v>230</v>
      </c>
      <c r="O3166" s="38" t="s">
        <v>717</v>
      </c>
      <c r="P3166" s="38" t="s">
        <v>60</v>
      </c>
      <c r="Q3166" s="38" t="s">
        <v>56</v>
      </c>
      <c r="R3166" s="38" t="s">
        <v>270</v>
      </c>
      <c r="S3166" s="38" t="s">
        <v>7363</v>
      </c>
      <c r="T3166" s="38" t="s">
        <v>7364</v>
      </c>
      <c r="U3166" s="38"/>
      <c r="V3166" s="38"/>
      <c r="W3166" s="38"/>
      <c r="X3166" s="38"/>
      <c r="Y3166" s="57"/>
      <c r="Z3166" s="7"/>
      <c r="AA3166" s="57"/>
      <c r="AB3166" s="7"/>
      <c r="AC3166" s="57"/>
      <c r="AD3166" s="7"/>
      <c r="AE3166" s="57"/>
      <c r="AF3166" s="7"/>
      <c r="AG3166" s="57"/>
      <c r="AH3166" s="7"/>
      <c r="AI3166" s="57"/>
      <c r="AJ3166" s="7"/>
      <c r="AK3166" s="57"/>
      <c r="AL3166" s="7"/>
      <c r="AN3166" s="7" t="s">
        <v>70</v>
      </c>
      <c r="AO3166" s="21">
        <f t="shared" si="158"/>
        <v>0</v>
      </c>
      <c r="AP3166" s="7">
        <f t="shared" si="156"/>
        <v>149</v>
      </c>
      <c r="AQ3166" s="31" t="str">
        <f t="shared" si="159"/>
        <v>Complete - No Adjustment</v>
      </c>
    </row>
    <row r="3167" spans="1:43" x14ac:dyDescent="0.2">
      <c r="A3167" s="46">
        <v>3157</v>
      </c>
      <c r="B3167" s="38" t="s">
        <v>266</v>
      </c>
      <c r="C3167" s="38" t="s">
        <v>825</v>
      </c>
      <c r="D3167" s="38" t="s">
        <v>826</v>
      </c>
      <c r="E3167" s="38" t="s">
        <v>7361</v>
      </c>
      <c r="F3167" s="38" t="s">
        <v>7219</v>
      </c>
      <c r="G3167" s="38" t="s">
        <v>111</v>
      </c>
      <c r="H3167" s="44">
        <v>44248</v>
      </c>
      <c r="I3167" s="44">
        <v>44251</v>
      </c>
      <c r="J3167">
        <v>288.5</v>
      </c>
      <c r="K3167">
        <v>64.5</v>
      </c>
      <c r="L3167" t="s">
        <v>7362</v>
      </c>
      <c r="M3167" s="45" t="s">
        <v>98</v>
      </c>
      <c r="N3167" s="38" t="s">
        <v>230</v>
      </c>
      <c r="O3167" s="38" t="s">
        <v>717</v>
      </c>
      <c r="P3167" s="38" t="s">
        <v>60</v>
      </c>
      <c r="Q3167" s="38" t="s">
        <v>56</v>
      </c>
      <c r="R3167" s="38" t="s">
        <v>270</v>
      </c>
      <c r="S3167" s="38" t="s">
        <v>7363</v>
      </c>
      <c r="T3167" s="38" t="s">
        <v>7365</v>
      </c>
      <c r="U3167" s="38"/>
      <c r="V3167" s="38"/>
      <c r="W3167" s="38"/>
      <c r="X3167" s="38"/>
      <c r="Y3167" s="57"/>
      <c r="Z3167" s="7"/>
      <c r="AA3167" s="57"/>
      <c r="AB3167" s="7"/>
      <c r="AC3167" s="57"/>
      <c r="AD3167" s="7"/>
      <c r="AE3167" s="57"/>
      <c r="AF3167" s="7"/>
      <c r="AG3167" s="57"/>
      <c r="AH3167" s="7"/>
      <c r="AI3167" s="57"/>
      <c r="AJ3167" s="7"/>
      <c r="AK3167" s="57"/>
      <c r="AL3167" s="7"/>
      <c r="AN3167" s="7" t="s">
        <v>70</v>
      </c>
      <c r="AO3167" s="21">
        <f t="shared" si="158"/>
        <v>0</v>
      </c>
      <c r="AP3167" s="7">
        <f t="shared" si="156"/>
        <v>64.5</v>
      </c>
      <c r="AQ3167" s="31" t="str">
        <f t="shared" si="159"/>
        <v>Complete - No Adjustment</v>
      </c>
    </row>
    <row r="3168" spans="1:43" x14ac:dyDescent="0.2">
      <c r="A3168" s="46">
        <v>3158</v>
      </c>
      <c r="B3168" s="38" t="s">
        <v>266</v>
      </c>
      <c r="C3168" s="38" t="s">
        <v>825</v>
      </c>
      <c r="D3168" s="38" t="s">
        <v>826</v>
      </c>
      <c r="E3168" s="38" t="s">
        <v>7361</v>
      </c>
      <c r="F3168" s="38" t="s">
        <v>7219</v>
      </c>
      <c r="G3168" s="38" t="s">
        <v>111</v>
      </c>
      <c r="H3168" s="44">
        <v>44248</v>
      </c>
      <c r="I3168" s="44">
        <v>44251</v>
      </c>
      <c r="J3168">
        <v>288.5</v>
      </c>
      <c r="K3168">
        <v>75</v>
      </c>
      <c r="L3168" t="s">
        <v>7362</v>
      </c>
      <c r="M3168" s="45" t="s">
        <v>98</v>
      </c>
      <c r="N3168" s="38" t="s">
        <v>230</v>
      </c>
      <c r="O3168" s="38" t="s">
        <v>717</v>
      </c>
      <c r="P3168" s="38" t="s">
        <v>60</v>
      </c>
      <c r="Q3168" s="38" t="s">
        <v>59</v>
      </c>
      <c r="R3168" s="38" t="s">
        <v>270</v>
      </c>
      <c r="S3168" s="38" t="s">
        <v>7363</v>
      </c>
      <c r="T3168" s="38" t="s">
        <v>7366</v>
      </c>
      <c r="U3168" s="38"/>
      <c r="V3168" s="38"/>
      <c r="W3168" s="38"/>
      <c r="X3168" s="38"/>
      <c r="Y3168" s="57"/>
      <c r="Z3168" s="7"/>
      <c r="AA3168" s="57"/>
      <c r="AB3168" s="7"/>
      <c r="AC3168" s="57"/>
      <c r="AD3168" s="7"/>
      <c r="AE3168" s="57"/>
      <c r="AF3168" s="7"/>
      <c r="AG3168" s="57"/>
      <c r="AH3168" s="7"/>
      <c r="AI3168" s="57"/>
      <c r="AJ3168" s="7"/>
      <c r="AK3168" s="57"/>
      <c r="AL3168" s="7"/>
      <c r="AN3168" s="7" t="s">
        <v>70</v>
      </c>
      <c r="AO3168" s="21">
        <f t="shared" si="158"/>
        <v>0</v>
      </c>
      <c r="AP3168" s="7">
        <f t="shared" si="156"/>
        <v>75</v>
      </c>
      <c r="AQ3168" s="31" t="str">
        <f t="shared" si="159"/>
        <v>Complete - No Adjustment</v>
      </c>
    </row>
    <row r="3169" spans="1:43" x14ac:dyDescent="0.2">
      <c r="A3169" s="46">
        <v>3159</v>
      </c>
      <c r="B3169" s="38" t="s">
        <v>266</v>
      </c>
      <c r="C3169" s="38" t="s">
        <v>435</v>
      </c>
      <c r="D3169" s="38" t="s">
        <v>434</v>
      </c>
      <c r="E3169" s="38" t="s">
        <v>7367</v>
      </c>
      <c r="F3169" s="38" t="s">
        <v>7216</v>
      </c>
      <c r="G3169" s="38" t="s">
        <v>111</v>
      </c>
      <c r="H3169" s="44">
        <v>44223</v>
      </c>
      <c r="I3169" s="44">
        <v>44228</v>
      </c>
      <c r="J3169">
        <v>86.59</v>
      </c>
      <c r="K3169">
        <v>86.59</v>
      </c>
      <c r="L3169" t="s">
        <v>7368</v>
      </c>
      <c r="M3169" s="45" t="s">
        <v>98</v>
      </c>
      <c r="N3169" s="38" t="s">
        <v>230</v>
      </c>
      <c r="O3169" s="38" t="s">
        <v>287</v>
      </c>
      <c r="P3169" s="38" t="s">
        <v>60</v>
      </c>
      <c r="Q3169" s="38" t="s">
        <v>75</v>
      </c>
      <c r="R3169" s="38" t="s">
        <v>270</v>
      </c>
      <c r="S3169" s="38" t="s">
        <v>7369</v>
      </c>
      <c r="T3169" s="38" t="s">
        <v>7370</v>
      </c>
      <c r="U3169" s="38"/>
      <c r="V3169" s="38"/>
      <c r="W3169" s="38"/>
      <c r="X3169" s="38"/>
      <c r="Y3169" s="57"/>
      <c r="Z3169" s="7"/>
      <c r="AA3169" s="57"/>
      <c r="AB3169" s="7"/>
      <c r="AC3169" s="57"/>
      <c r="AD3169" s="7"/>
      <c r="AE3169" s="57"/>
      <c r="AF3169" s="7"/>
      <c r="AG3169" s="57"/>
      <c r="AH3169" s="7"/>
      <c r="AI3169" s="57"/>
      <c r="AJ3169" s="7"/>
      <c r="AK3169" s="57"/>
      <c r="AL3169" s="7"/>
      <c r="AN3169" s="7" t="s">
        <v>70</v>
      </c>
      <c r="AO3169" s="21">
        <f t="shared" si="158"/>
        <v>0</v>
      </c>
      <c r="AP3169" s="7">
        <f t="shared" si="156"/>
        <v>86.59</v>
      </c>
      <c r="AQ3169" s="31" t="str">
        <f t="shared" si="159"/>
        <v>Complete - No Adjustment</v>
      </c>
    </row>
    <row r="3170" spans="1:43" x14ac:dyDescent="0.2">
      <c r="A3170" s="46">
        <v>3160</v>
      </c>
      <c r="B3170" s="38" t="s">
        <v>266</v>
      </c>
      <c r="C3170" s="38" t="s">
        <v>437</v>
      </c>
      <c r="D3170" s="38" t="s">
        <v>436</v>
      </c>
      <c r="E3170" s="38" t="s">
        <v>7371</v>
      </c>
      <c r="F3170" s="38" t="s">
        <v>7372</v>
      </c>
      <c r="G3170" s="38" t="s">
        <v>111</v>
      </c>
      <c r="H3170" s="44">
        <v>44239</v>
      </c>
      <c r="I3170" s="44">
        <v>44245</v>
      </c>
      <c r="J3170">
        <v>81.63</v>
      </c>
      <c r="K3170">
        <v>18.71</v>
      </c>
      <c r="L3170" t="s">
        <v>7373</v>
      </c>
      <c r="M3170" s="45" t="s">
        <v>98</v>
      </c>
      <c r="N3170" s="38" t="s">
        <v>230</v>
      </c>
      <c r="O3170" s="38" t="s">
        <v>288</v>
      </c>
      <c r="P3170" s="38" t="s">
        <v>60</v>
      </c>
      <c r="Q3170" s="38" t="s">
        <v>41</v>
      </c>
      <c r="R3170" s="38" t="s">
        <v>270</v>
      </c>
      <c r="S3170" s="38" t="s">
        <v>7374</v>
      </c>
      <c r="T3170" s="38" t="s">
        <v>7375</v>
      </c>
      <c r="U3170" s="38"/>
      <c r="V3170" s="38"/>
      <c r="W3170" s="38"/>
      <c r="X3170" s="38"/>
      <c r="Y3170" s="57"/>
      <c r="Z3170" s="7"/>
      <c r="AA3170" s="57"/>
      <c r="AB3170" s="7"/>
      <c r="AC3170" s="57"/>
      <c r="AD3170" s="7"/>
      <c r="AE3170" s="57"/>
      <c r="AF3170" s="7"/>
      <c r="AG3170" s="57"/>
      <c r="AH3170" s="7"/>
      <c r="AI3170" s="57"/>
      <c r="AJ3170" s="7"/>
      <c r="AK3170" s="57"/>
      <c r="AL3170" s="7"/>
      <c r="AN3170" s="7" t="s">
        <v>70</v>
      </c>
      <c r="AO3170" s="21">
        <f t="shared" si="158"/>
        <v>0</v>
      </c>
      <c r="AP3170" s="7">
        <f t="shared" si="156"/>
        <v>18.71</v>
      </c>
      <c r="AQ3170" s="31" t="str">
        <f t="shared" si="159"/>
        <v>Complete - No Adjustment</v>
      </c>
    </row>
    <row r="3171" spans="1:43" x14ac:dyDescent="0.2">
      <c r="A3171" s="46">
        <v>3161</v>
      </c>
      <c r="B3171" s="38" t="s">
        <v>266</v>
      </c>
      <c r="C3171" s="38" t="s">
        <v>437</v>
      </c>
      <c r="D3171" s="38" t="s">
        <v>436</v>
      </c>
      <c r="E3171" s="38" t="s">
        <v>7371</v>
      </c>
      <c r="F3171" s="38" t="s">
        <v>7372</v>
      </c>
      <c r="G3171" s="38" t="s">
        <v>111</v>
      </c>
      <c r="H3171" s="44">
        <v>44239</v>
      </c>
      <c r="I3171" s="44">
        <v>44245</v>
      </c>
      <c r="J3171">
        <v>81.63</v>
      </c>
      <c r="K3171">
        <v>20.52</v>
      </c>
      <c r="L3171" t="s">
        <v>7373</v>
      </c>
      <c r="M3171" s="45" t="s">
        <v>98</v>
      </c>
      <c r="N3171" s="38" t="s">
        <v>230</v>
      </c>
      <c r="O3171" s="38" t="s">
        <v>288</v>
      </c>
      <c r="P3171" s="38" t="s">
        <v>60</v>
      </c>
      <c r="Q3171" s="38" t="s">
        <v>41</v>
      </c>
      <c r="R3171" s="38" t="s">
        <v>270</v>
      </c>
      <c r="S3171" s="38" t="s">
        <v>7374</v>
      </c>
      <c r="T3171" s="38" t="s">
        <v>7375</v>
      </c>
      <c r="U3171" s="38"/>
      <c r="V3171" s="38"/>
      <c r="W3171" s="38"/>
      <c r="X3171" s="38"/>
      <c r="Y3171" s="57"/>
      <c r="Z3171" s="7"/>
      <c r="AA3171" s="57"/>
      <c r="AB3171" s="7"/>
      <c r="AC3171" s="57"/>
      <c r="AD3171" s="7"/>
      <c r="AE3171" s="57"/>
      <c r="AF3171" s="7"/>
      <c r="AG3171" s="57"/>
      <c r="AH3171" s="7"/>
      <c r="AI3171" s="57"/>
      <c r="AJ3171" s="7"/>
      <c r="AK3171" s="57"/>
      <c r="AL3171" s="7"/>
      <c r="AN3171" s="7" t="s">
        <v>70</v>
      </c>
      <c r="AO3171" s="21">
        <f t="shared" si="158"/>
        <v>0</v>
      </c>
      <c r="AP3171" s="7">
        <f t="shared" si="156"/>
        <v>20.52</v>
      </c>
      <c r="AQ3171" s="31" t="str">
        <f t="shared" si="159"/>
        <v>Complete - No Adjustment</v>
      </c>
    </row>
    <row r="3172" spans="1:43" x14ac:dyDescent="0.2">
      <c r="A3172" s="46">
        <v>3162</v>
      </c>
      <c r="B3172" s="38" t="s">
        <v>266</v>
      </c>
      <c r="C3172" s="38" t="s">
        <v>437</v>
      </c>
      <c r="D3172" s="38" t="s">
        <v>436</v>
      </c>
      <c r="E3172" s="38" t="s">
        <v>7371</v>
      </c>
      <c r="F3172" s="38" t="s">
        <v>7372</v>
      </c>
      <c r="G3172" s="38" t="s">
        <v>111</v>
      </c>
      <c r="H3172" s="44">
        <v>44239</v>
      </c>
      <c r="I3172" s="44">
        <v>44245</v>
      </c>
      <c r="J3172">
        <v>81.63</v>
      </c>
      <c r="K3172">
        <v>21.2</v>
      </c>
      <c r="L3172" t="s">
        <v>7373</v>
      </c>
      <c r="M3172" s="45" t="s">
        <v>98</v>
      </c>
      <c r="N3172" s="38" t="s">
        <v>230</v>
      </c>
      <c r="O3172" s="38" t="s">
        <v>288</v>
      </c>
      <c r="P3172" s="38" t="s">
        <v>60</v>
      </c>
      <c r="Q3172" s="38" t="s">
        <v>41</v>
      </c>
      <c r="R3172" s="38" t="s">
        <v>270</v>
      </c>
      <c r="S3172" s="38" t="s">
        <v>7374</v>
      </c>
      <c r="T3172" s="38" t="s">
        <v>7375</v>
      </c>
      <c r="U3172" s="38"/>
      <c r="V3172" s="38"/>
      <c r="W3172" s="38"/>
      <c r="X3172" s="38"/>
      <c r="Y3172" s="57"/>
      <c r="Z3172" s="7"/>
      <c r="AA3172" s="57"/>
      <c r="AB3172" s="7"/>
      <c r="AC3172" s="57"/>
      <c r="AD3172" s="7"/>
      <c r="AE3172" s="57"/>
      <c r="AF3172" s="7"/>
      <c r="AG3172" s="57"/>
      <c r="AH3172" s="7"/>
      <c r="AI3172" s="57"/>
      <c r="AJ3172" s="7"/>
      <c r="AK3172" s="57"/>
      <c r="AL3172" s="7"/>
      <c r="AN3172" s="7" t="s">
        <v>70</v>
      </c>
      <c r="AO3172" s="21">
        <f t="shared" si="158"/>
        <v>0</v>
      </c>
      <c r="AP3172" s="7">
        <f t="shared" si="156"/>
        <v>21.2</v>
      </c>
      <c r="AQ3172" s="31" t="str">
        <f t="shared" si="159"/>
        <v>Complete - No Adjustment</v>
      </c>
    </row>
    <row r="3173" spans="1:43" x14ac:dyDescent="0.2">
      <c r="A3173" s="46">
        <v>3163</v>
      </c>
      <c r="B3173" s="38" t="s">
        <v>266</v>
      </c>
      <c r="C3173" s="38" t="s">
        <v>437</v>
      </c>
      <c r="D3173" s="38" t="s">
        <v>436</v>
      </c>
      <c r="E3173" s="38" t="s">
        <v>7371</v>
      </c>
      <c r="F3173" s="38" t="s">
        <v>7372</v>
      </c>
      <c r="G3173" s="38" t="s">
        <v>111</v>
      </c>
      <c r="H3173" s="44">
        <v>44239</v>
      </c>
      <c r="I3173" s="44">
        <v>44245</v>
      </c>
      <c r="J3173">
        <v>81.63</v>
      </c>
      <c r="K3173">
        <v>21.2</v>
      </c>
      <c r="L3173" t="s">
        <v>7373</v>
      </c>
      <c r="M3173" s="45" t="s">
        <v>98</v>
      </c>
      <c r="N3173" s="38" t="s">
        <v>230</v>
      </c>
      <c r="O3173" s="38" t="s">
        <v>288</v>
      </c>
      <c r="P3173" s="38" t="s">
        <v>60</v>
      </c>
      <c r="Q3173" s="38" t="s">
        <v>41</v>
      </c>
      <c r="R3173" s="38" t="s">
        <v>270</v>
      </c>
      <c r="S3173" s="38" t="s">
        <v>7374</v>
      </c>
      <c r="T3173" s="38" t="s">
        <v>7375</v>
      </c>
      <c r="U3173" s="38"/>
      <c r="V3173" s="38"/>
      <c r="W3173" s="38"/>
      <c r="X3173" s="38"/>
      <c r="Y3173" s="57"/>
      <c r="Z3173" s="7"/>
      <c r="AA3173" s="57"/>
      <c r="AB3173" s="7"/>
      <c r="AC3173" s="57"/>
      <c r="AD3173" s="7"/>
      <c r="AE3173" s="57"/>
      <c r="AF3173" s="7"/>
      <c r="AG3173" s="57"/>
      <c r="AH3173" s="7"/>
      <c r="AI3173" s="57"/>
      <c r="AJ3173" s="7"/>
      <c r="AK3173" s="57"/>
      <c r="AL3173" s="7"/>
      <c r="AN3173" s="7" t="s">
        <v>70</v>
      </c>
      <c r="AO3173" s="21">
        <f t="shared" si="158"/>
        <v>0</v>
      </c>
      <c r="AP3173" s="7">
        <f t="shared" si="156"/>
        <v>21.2</v>
      </c>
      <c r="AQ3173" s="31" t="str">
        <f t="shared" si="159"/>
        <v>Complete - No Adjustment</v>
      </c>
    </row>
    <row r="3174" spans="1:43" x14ac:dyDescent="0.2">
      <c r="A3174" s="46">
        <v>3164</v>
      </c>
      <c r="B3174" s="38" t="s">
        <v>266</v>
      </c>
      <c r="C3174" s="38" t="s">
        <v>612</v>
      </c>
      <c r="D3174" s="38" t="s">
        <v>845</v>
      </c>
      <c r="E3174" s="38" t="s">
        <v>7376</v>
      </c>
      <c r="F3174" s="38" t="s">
        <v>7168</v>
      </c>
      <c r="G3174" s="38" t="s">
        <v>111</v>
      </c>
      <c r="H3174" s="44">
        <v>44232</v>
      </c>
      <c r="I3174" s="44">
        <v>44246</v>
      </c>
      <c r="J3174">
        <v>101.39</v>
      </c>
      <c r="K3174">
        <v>17.53</v>
      </c>
      <c r="L3174" t="s">
        <v>7377</v>
      </c>
      <c r="M3174" s="45" t="s">
        <v>98</v>
      </c>
      <c r="N3174" s="38" t="s">
        <v>230</v>
      </c>
      <c r="O3174" s="38" t="s">
        <v>323</v>
      </c>
      <c r="P3174" s="38" t="s">
        <v>60</v>
      </c>
      <c r="Q3174" s="38" t="s">
        <v>41</v>
      </c>
      <c r="R3174" s="38" t="s">
        <v>270</v>
      </c>
      <c r="S3174" s="38" t="s">
        <v>7378</v>
      </c>
      <c r="T3174" s="38" t="s">
        <v>7379</v>
      </c>
      <c r="U3174" s="38"/>
      <c r="V3174" s="38"/>
      <c r="W3174" s="38"/>
      <c r="X3174" s="38"/>
      <c r="Y3174" s="57"/>
      <c r="Z3174" s="7"/>
      <c r="AA3174" s="57"/>
      <c r="AB3174" s="7"/>
      <c r="AC3174" s="57"/>
      <c r="AD3174" s="7"/>
      <c r="AE3174" s="57"/>
      <c r="AF3174" s="7"/>
      <c r="AG3174" s="57"/>
      <c r="AH3174" s="7"/>
      <c r="AI3174" s="57"/>
      <c r="AJ3174" s="7"/>
      <c r="AK3174" s="57"/>
      <c r="AL3174" s="7"/>
      <c r="AN3174" s="7" t="s">
        <v>70</v>
      </c>
      <c r="AO3174" s="21">
        <f t="shared" si="158"/>
        <v>0</v>
      </c>
      <c r="AP3174" s="7">
        <f t="shared" si="156"/>
        <v>17.53</v>
      </c>
      <c r="AQ3174" s="31" t="str">
        <f t="shared" si="159"/>
        <v>Complete - No Adjustment</v>
      </c>
    </row>
    <row r="3175" spans="1:43" x14ac:dyDescent="0.2">
      <c r="A3175" s="46">
        <v>3165</v>
      </c>
      <c r="B3175" s="38" t="s">
        <v>266</v>
      </c>
      <c r="C3175" s="38" t="s">
        <v>612</v>
      </c>
      <c r="D3175" s="38" t="s">
        <v>845</v>
      </c>
      <c r="E3175" s="38" t="s">
        <v>7376</v>
      </c>
      <c r="F3175" s="38" t="s">
        <v>7168</v>
      </c>
      <c r="G3175" s="38" t="s">
        <v>111</v>
      </c>
      <c r="H3175" s="44">
        <v>44232</v>
      </c>
      <c r="I3175" s="44">
        <v>44246</v>
      </c>
      <c r="J3175">
        <v>101.39</v>
      </c>
      <c r="K3175">
        <v>20.59</v>
      </c>
      <c r="L3175" t="s">
        <v>7377</v>
      </c>
      <c r="M3175" s="45" t="s">
        <v>98</v>
      </c>
      <c r="N3175" s="38" t="s">
        <v>230</v>
      </c>
      <c r="O3175" s="38" t="s">
        <v>323</v>
      </c>
      <c r="P3175" s="38" t="s">
        <v>60</v>
      </c>
      <c r="Q3175" s="38" t="s">
        <v>41</v>
      </c>
      <c r="R3175" s="38" t="s">
        <v>270</v>
      </c>
      <c r="S3175" s="38" t="s">
        <v>7378</v>
      </c>
      <c r="T3175" s="38" t="s">
        <v>7380</v>
      </c>
      <c r="U3175" s="38"/>
      <c r="V3175" s="38"/>
      <c r="W3175" s="38"/>
      <c r="X3175" s="38"/>
      <c r="Y3175" s="57"/>
      <c r="Z3175" s="7"/>
      <c r="AA3175" s="57"/>
      <c r="AB3175" s="7"/>
      <c r="AC3175" s="57"/>
      <c r="AD3175" s="7"/>
      <c r="AE3175" s="57"/>
      <c r="AF3175" s="7"/>
      <c r="AG3175" s="57"/>
      <c r="AH3175" s="7"/>
      <c r="AI3175" s="57"/>
      <c r="AJ3175" s="7"/>
      <c r="AK3175" s="57"/>
      <c r="AL3175" s="7"/>
      <c r="AN3175" s="7" t="s">
        <v>70</v>
      </c>
      <c r="AO3175" s="21">
        <f t="shared" si="158"/>
        <v>0</v>
      </c>
      <c r="AP3175" s="7">
        <f t="shared" si="156"/>
        <v>20.59</v>
      </c>
      <c r="AQ3175" s="31" t="str">
        <f t="shared" si="159"/>
        <v>Complete - No Adjustment</v>
      </c>
    </row>
    <row r="3176" spans="1:43" x14ac:dyDescent="0.2">
      <c r="A3176" s="46">
        <v>3166</v>
      </c>
      <c r="B3176" s="38" t="s">
        <v>266</v>
      </c>
      <c r="C3176" s="38" t="s">
        <v>612</v>
      </c>
      <c r="D3176" s="38" t="s">
        <v>845</v>
      </c>
      <c r="E3176" s="38" t="s">
        <v>7376</v>
      </c>
      <c r="F3176" s="38" t="s">
        <v>7168</v>
      </c>
      <c r="G3176" s="38" t="s">
        <v>111</v>
      </c>
      <c r="H3176" s="44">
        <v>44232</v>
      </c>
      <c r="I3176" s="44">
        <v>44246</v>
      </c>
      <c r="J3176">
        <v>101.39</v>
      </c>
      <c r="K3176">
        <v>21.16</v>
      </c>
      <c r="L3176" t="s">
        <v>7377</v>
      </c>
      <c r="M3176" s="45" t="s">
        <v>98</v>
      </c>
      <c r="N3176" s="38" t="s">
        <v>230</v>
      </c>
      <c r="O3176" s="38" t="s">
        <v>323</v>
      </c>
      <c r="P3176" s="38" t="s">
        <v>60</v>
      </c>
      <c r="Q3176" s="38" t="s">
        <v>41</v>
      </c>
      <c r="R3176" s="38" t="s">
        <v>270</v>
      </c>
      <c r="S3176" s="38" t="s">
        <v>7378</v>
      </c>
      <c r="T3176" s="38" t="s">
        <v>7381</v>
      </c>
      <c r="U3176" s="38"/>
      <c r="V3176" s="38"/>
      <c r="W3176" s="38"/>
      <c r="X3176" s="38"/>
      <c r="Y3176" s="57"/>
      <c r="Z3176" s="7"/>
      <c r="AA3176" s="57"/>
      <c r="AB3176" s="7"/>
      <c r="AC3176" s="57"/>
      <c r="AD3176" s="7"/>
      <c r="AE3176" s="57"/>
      <c r="AF3176" s="7"/>
      <c r="AG3176" s="57"/>
      <c r="AH3176" s="7"/>
      <c r="AI3176" s="57"/>
      <c r="AJ3176" s="7"/>
      <c r="AK3176" s="57"/>
      <c r="AL3176" s="7"/>
      <c r="AN3176" s="7" t="s">
        <v>70</v>
      </c>
      <c r="AO3176" s="21">
        <f t="shared" si="158"/>
        <v>0</v>
      </c>
      <c r="AP3176" s="7">
        <f t="shared" si="156"/>
        <v>21.16</v>
      </c>
      <c r="AQ3176" s="31" t="str">
        <f t="shared" si="159"/>
        <v>Complete - No Adjustment</v>
      </c>
    </row>
    <row r="3177" spans="1:43" x14ac:dyDescent="0.2">
      <c r="A3177" s="46">
        <v>3167</v>
      </c>
      <c r="B3177" s="38" t="s">
        <v>266</v>
      </c>
      <c r="C3177" s="38" t="s">
        <v>612</v>
      </c>
      <c r="D3177" s="38" t="s">
        <v>845</v>
      </c>
      <c r="E3177" s="38" t="s">
        <v>7376</v>
      </c>
      <c r="F3177" s="38" t="s">
        <v>7168</v>
      </c>
      <c r="G3177" s="38" t="s">
        <v>111</v>
      </c>
      <c r="H3177" s="44">
        <v>44232</v>
      </c>
      <c r="I3177" s="44">
        <v>44246</v>
      </c>
      <c r="J3177">
        <v>101.39</v>
      </c>
      <c r="K3177">
        <v>22.72</v>
      </c>
      <c r="L3177" t="s">
        <v>7377</v>
      </c>
      <c r="M3177" s="45" t="s">
        <v>98</v>
      </c>
      <c r="N3177" s="38" t="s">
        <v>230</v>
      </c>
      <c r="O3177" s="38" t="s">
        <v>323</v>
      </c>
      <c r="P3177" s="38" t="s">
        <v>60</v>
      </c>
      <c r="Q3177" s="38" t="s">
        <v>41</v>
      </c>
      <c r="R3177" s="38" t="s">
        <v>270</v>
      </c>
      <c r="S3177" s="38" t="s">
        <v>7378</v>
      </c>
      <c r="T3177" s="38" t="s">
        <v>7382</v>
      </c>
      <c r="U3177" s="38"/>
      <c r="V3177" s="38"/>
      <c r="W3177" s="38"/>
      <c r="X3177" s="38"/>
      <c r="Y3177" s="57"/>
      <c r="Z3177" s="7"/>
      <c r="AA3177" s="57"/>
      <c r="AB3177" s="7"/>
      <c r="AC3177" s="57"/>
      <c r="AD3177" s="7"/>
      <c r="AE3177" s="57"/>
      <c r="AF3177" s="7"/>
      <c r="AG3177" s="57"/>
      <c r="AH3177" s="7"/>
      <c r="AI3177" s="57"/>
      <c r="AJ3177" s="7"/>
      <c r="AK3177" s="57"/>
      <c r="AL3177" s="7"/>
      <c r="AN3177" s="7" t="s">
        <v>70</v>
      </c>
      <c r="AO3177" s="21">
        <f t="shared" si="158"/>
        <v>0</v>
      </c>
      <c r="AP3177" s="7">
        <f t="shared" si="156"/>
        <v>22.72</v>
      </c>
      <c r="AQ3177" s="31" t="str">
        <f t="shared" si="159"/>
        <v>Complete - No Adjustment</v>
      </c>
    </row>
    <row r="3178" spans="1:43" x14ac:dyDescent="0.2">
      <c r="A3178" s="46">
        <v>3168</v>
      </c>
      <c r="B3178" s="38" t="s">
        <v>266</v>
      </c>
      <c r="C3178" s="38" t="s">
        <v>612</v>
      </c>
      <c r="D3178" s="38" t="s">
        <v>845</v>
      </c>
      <c r="E3178" s="38" t="s">
        <v>7376</v>
      </c>
      <c r="F3178" s="38" t="s">
        <v>7168</v>
      </c>
      <c r="G3178" s="38" t="s">
        <v>111</v>
      </c>
      <c r="H3178" s="44">
        <v>44232</v>
      </c>
      <c r="I3178" s="44">
        <v>44246</v>
      </c>
      <c r="J3178">
        <v>101.39</v>
      </c>
      <c r="K3178">
        <v>19.39</v>
      </c>
      <c r="L3178" t="s">
        <v>7377</v>
      </c>
      <c r="M3178" s="45" t="s">
        <v>98</v>
      </c>
      <c r="N3178" s="38" t="s">
        <v>230</v>
      </c>
      <c r="O3178" s="38" t="s">
        <v>323</v>
      </c>
      <c r="P3178" s="38" t="s">
        <v>60</v>
      </c>
      <c r="Q3178" s="38" t="s">
        <v>41</v>
      </c>
      <c r="R3178" s="38" t="s">
        <v>270</v>
      </c>
      <c r="S3178" s="38" t="s">
        <v>7378</v>
      </c>
      <c r="T3178" s="38" t="s">
        <v>7383</v>
      </c>
      <c r="U3178" s="38"/>
      <c r="V3178" s="38"/>
      <c r="W3178" s="38"/>
      <c r="X3178" s="38"/>
      <c r="Y3178" s="57"/>
      <c r="Z3178" s="7"/>
      <c r="AA3178" s="57"/>
      <c r="AB3178" s="7"/>
      <c r="AC3178" s="57"/>
      <c r="AD3178" s="7"/>
      <c r="AE3178" s="57"/>
      <c r="AF3178" s="7"/>
      <c r="AG3178" s="57"/>
      <c r="AH3178" s="7"/>
      <c r="AI3178" s="57"/>
      <c r="AJ3178" s="7"/>
      <c r="AK3178" s="57"/>
      <c r="AL3178" s="7"/>
      <c r="AN3178" s="7" t="s">
        <v>70</v>
      </c>
      <c r="AO3178" s="21">
        <f t="shared" si="158"/>
        <v>0</v>
      </c>
      <c r="AP3178" s="7">
        <f t="shared" si="156"/>
        <v>19.39</v>
      </c>
      <c r="AQ3178" s="31" t="str">
        <f t="shared" si="159"/>
        <v>Complete - No Adjustment</v>
      </c>
    </row>
    <row r="3179" spans="1:43" x14ac:dyDescent="0.2">
      <c r="A3179" s="46">
        <v>3169</v>
      </c>
      <c r="B3179" s="38" t="s">
        <v>266</v>
      </c>
      <c r="C3179" s="38" t="s">
        <v>443</v>
      </c>
      <c r="D3179" s="38" t="s">
        <v>442</v>
      </c>
      <c r="E3179" s="38" t="s">
        <v>7384</v>
      </c>
      <c r="F3179" s="38" t="s">
        <v>7385</v>
      </c>
      <c r="G3179" s="38" t="s">
        <v>111</v>
      </c>
      <c r="H3179" s="44">
        <v>44236</v>
      </c>
      <c r="I3179" s="44">
        <v>44242</v>
      </c>
      <c r="J3179">
        <v>11.98</v>
      </c>
      <c r="K3179">
        <v>11.98</v>
      </c>
      <c r="L3179" t="s">
        <v>7386</v>
      </c>
      <c r="M3179" s="45" t="s">
        <v>98</v>
      </c>
      <c r="N3179" s="38" t="s">
        <v>230</v>
      </c>
      <c r="O3179" s="38" t="s">
        <v>444</v>
      </c>
      <c r="P3179" s="38" t="s">
        <v>60</v>
      </c>
      <c r="Q3179" s="38" t="s">
        <v>41</v>
      </c>
      <c r="R3179" s="38" t="s">
        <v>270</v>
      </c>
      <c r="S3179" s="38" t="s">
        <v>7387</v>
      </c>
      <c r="T3179" s="38" t="s">
        <v>7388</v>
      </c>
      <c r="U3179" s="38"/>
      <c r="V3179" s="38"/>
      <c r="W3179" s="38"/>
      <c r="X3179" s="38"/>
      <c r="Y3179" s="57"/>
      <c r="Z3179" s="7"/>
      <c r="AA3179" s="57"/>
      <c r="AB3179" s="7"/>
      <c r="AC3179" s="57"/>
      <c r="AD3179" s="7"/>
      <c r="AE3179" s="57"/>
      <c r="AF3179" s="7"/>
      <c r="AG3179" s="57"/>
      <c r="AH3179" s="7"/>
      <c r="AI3179" s="57">
        <f>11.98</f>
        <v>11.98</v>
      </c>
      <c r="AJ3179" s="7"/>
      <c r="AK3179" s="57"/>
      <c r="AL3179" s="7"/>
      <c r="AN3179" s="7" t="s">
        <v>145</v>
      </c>
      <c r="AO3179" s="21">
        <f t="shared" si="158"/>
        <v>11.98</v>
      </c>
      <c r="AP3179" s="7">
        <f t="shared" si="156"/>
        <v>0</v>
      </c>
      <c r="AQ3179" s="31" t="str">
        <f t="shared" si="159"/>
        <v>Complete - With Adjustment</v>
      </c>
    </row>
    <row r="3180" spans="1:43" x14ac:dyDescent="0.2">
      <c r="A3180" s="46">
        <v>3170</v>
      </c>
      <c r="B3180" s="38" t="s">
        <v>266</v>
      </c>
      <c r="C3180" s="38" t="s">
        <v>678</v>
      </c>
      <c r="D3180" s="38" t="s">
        <v>677</v>
      </c>
      <c r="E3180" s="38" t="s">
        <v>7389</v>
      </c>
      <c r="F3180" s="38" t="s">
        <v>7248</v>
      </c>
      <c r="G3180" s="38" t="s">
        <v>111</v>
      </c>
      <c r="H3180" s="44">
        <v>44228</v>
      </c>
      <c r="I3180" s="44">
        <v>44230</v>
      </c>
      <c r="J3180">
        <v>12.42</v>
      </c>
      <c r="K3180">
        <v>12.42</v>
      </c>
      <c r="L3180" t="s">
        <v>7390</v>
      </c>
      <c r="M3180" s="45" t="s">
        <v>98</v>
      </c>
      <c r="N3180" s="38" t="s">
        <v>230</v>
      </c>
      <c r="O3180" s="38" t="s">
        <v>78</v>
      </c>
      <c r="P3180" s="38" t="s">
        <v>60</v>
      </c>
      <c r="Q3180" s="38" t="s">
        <v>41</v>
      </c>
      <c r="R3180" s="38" t="s">
        <v>270</v>
      </c>
      <c r="S3180" s="38" t="s">
        <v>7391</v>
      </c>
      <c r="T3180" s="38" t="s">
        <v>7392</v>
      </c>
      <c r="U3180" s="38"/>
      <c r="V3180" s="38"/>
      <c r="W3180" s="38"/>
      <c r="X3180" s="38"/>
      <c r="Y3180" s="57"/>
      <c r="Z3180" s="7"/>
      <c r="AA3180" s="57"/>
      <c r="AB3180" s="7"/>
      <c r="AC3180" s="57"/>
      <c r="AD3180" s="7"/>
      <c r="AE3180" s="57"/>
      <c r="AF3180" s="7"/>
      <c r="AG3180" s="57"/>
      <c r="AH3180" s="7"/>
      <c r="AI3180" s="57"/>
      <c r="AJ3180" s="7"/>
      <c r="AK3180" s="57"/>
      <c r="AL3180" s="7"/>
      <c r="AN3180" s="7" t="s">
        <v>70</v>
      </c>
      <c r="AO3180" s="21">
        <f t="shared" si="158"/>
        <v>0</v>
      </c>
      <c r="AP3180" s="7">
        <f t="shared" si="156"/>
        <v>12.42</v>
      </c>
      <c r="AQ3180" s="31" t="str">
        <f t="shared" si="159"/>
        <v>Complete - No Adjustment</v>
      </c>
    </row>
    <row r="3181" spans="1:43" x14ac:dyDescent="0.2">
      <c r="A3181" s="46">
        <v>3171</v>
      </c>
      <c r="B3181" s="38" t="s">
        <v>266</v>
      </c>
      <c r="C3181" s="38" t="s">
        <v>446</v>
      </c>
      <c r="D3181" s="38" t="s">
        <v>445</v>
      </c>
      <c r="E3181" s="38" t="s">
        <v>7393</v>
      </c>
      <c r="F3181" s="38" t="s">
        <v>7394</v>
      </c>
      <c r="G3181" s="38" t="s">
        <v>111</v>
      </c>
      <c r="H3181" s="44">
        <v>44242</v>
      </c>
      <c r="I3181" s="44">
        <v>44244</v>
      </c>
      <c r="J3181">
        <v>1100.92</v>
      </c>
      <c r="K3181">
        <v>1100.92</v>
      </c>
      <c r="L3181" t="s">
        <v>7395</v>
      </c>
      <c r="M3181" s="45" t="s">
        <v>98</v>
      </c>
      <c r="N3181" s="38" t="s">
        <v>230</v>
      </c>
      <c r="O3181" s="38" t="s">
        <v>293</v>
      </c>
      <c r="P3181" s="38" t="s">
        <v>60</v>
      </c>
      <c r="Q3181" s="38" t="s">
        <v>174</v>
      </c>
      <c r="R3181" s="38" t="s">
        <v>270</v>
      </c>
      <c r="S3181" s="38" t="s">
        <v>7396</v>
      </c>
      <c r="T3181" s="38" t="s">
        <v>7397</v>
      </c>
      <c r="U3181" s="38"/>
      <c r="V3181" s="38"/>
      <c r="W3181" s="38"/>
      <c r="X3181" s="38"/>
      <c r="Y3181" s="57"/>
      <c r="Z3181" s="7"/>
      <c r="AA3181" s="57"/>
      <c r="AB3181" s="7"/>
      <c r="AC3181" s="57"/>
      <c r="AD3181" s="7"/>
      <c r="AE3181" s="57"/>
      <c r="AF3181" s="7"/>
      <c r="AG3181" s="57"/>
      <c r="AH3181" s="7"/>
      <c r="AI3181" s="57"/>
      <c r="AJ3181" s="7"/>
      <c r="AK3181" s="57"/>
      <c r="AL3181" s="7"/>
      <c r="AN3181" s="7" t="s">
        <v>70</v>
      </c>
      <c r="AO3181" s="21">
        <f t="shared" si="158"/>
        <v>0</v>
      </c>
      <c r="AP3181" s="7">
        <f t="shared" si="156"/>
        <v>1100.92</v>
      </c>
      <c r="AQ3181" s="31" t="str">
        <f t="shared" si="159"/>
        <v>Complete - No Adjustment</v>
      </c>
    </row>
    <row r="3182" spans="1:43" x14ac:dyDescent="0.2">
      <c r="A3182" s="46">
        <v>3172</v>
      </c>
      <c r="B3182" s="38" t="s">
        <v>266</v>
      </c>
      <c r="C3182" s="38" t="s">
        <v>5032</v>
      </c>
      <c r="D3182" s="38" t="s">
        <v>5033</v>
      </c>
      <c r="E3182" s="38" t="s">
        <v>7398</v>
      </c>
      <c r="F3182" s="38" t="s">
        <v>7385</v>
      </c>
      <c r="G3182" s="38" t="s">
        <v>111</v>
      </c>
      <c r="H3182" s="44">
        <v>44239</v>
      </c>
      <c r="I3182" s="44">
        <v>44242</v>
      </c>
      <c r="J3182">
        <v>19.47</v>
      </c>
      <c r="K3182">
        <v>19.47</v>
      </c>
      <c r="L3182" t="s">
        <v>7399</v>
      </c>
      <c r="M3182" s="45" t="s">
        <v>98</v>
      </c>
      <c r="N3182" s="38" t="s">
        <v>230</v>
      </c>
      <c r="O3182" s="38" t="s">
        <v>320</v>
      </c>
      <c r="P3182" s="38" t="s">
        <v>60</v>
      </c>
      <c r="Q3182" s="38" t="s">
        <v>41</v>
      </c>
      <c r="R3182" s="38" t="s">
        <v>270</v>
      </c>
      <c r="S3182" s="38" t="s">
        <v>6745</v>
      </c>
      <c r="T3182" s="38" t="s">
        <v>6746</v>
      </c>
      <c r="U3182" s="38"/>
      <c r="V3182" s="38"/>
      <c r="W3182" s="38"/>
      <c r="X3182" s="38"/>
      <c r="Y3182" s="57"/>
      <c r="Z3182" s="7"/>
      <c r="AA3182" s="57"/>
      <c r="AB3182" s="7"/>
      <c r="AC3182" s="57"/>
      <c r="AD3182" s="7"/>
      <c r="AE3182" s="57"/>
      <c r="AF3182" s="7"/>
      <c r="AG3182" s="57"/>
      <c r="AH3182" s="7"/>
      <c r="AI3182" s="57">
        <f>19.47</f>
        <v>19.47</v>
      </c>
      <c r="AJ3182" s="7"/>
      <c r="AK3182" s="57"/>
      <c r="AL3182" s="7"/>
      <c r="AN3182" s="7" t="s">
        <v>145</v>
      </c>
      <c r="AO3182" s="21">
        <f t="shared" si="158"/>
        <v>19.47</v>
      </c>
      <c r="AP3182" s="7">
        <f t="shared" si="156"/>
        <v>0</v>
      </c>
      <c r="AQ3182" s="31" t="str">
        <f t="shared" si="159"/>
        <v>Complete - With Adjustment</v>
      </c>
    </row>
    <row r="3183" spans="1:43" x14ac:dyDescent="0.2">
      <c r="A3183" s="46">
        <v>3173</v>
      </c>
      <c r="B3183" s="38" t="s">
        <v>266</v>
      </c>
      <c r="C3183" s="38" t="s">
        <v>5032</v>
      </c>
      <c r="D3183" s="38" t="s">
        <v>5033</v>
      </c>
      <c r="E3183" s="38" t="s">
        <v>7400</v>
      </c>
      <c r="F3183" s="38" t="s">
        <v>7401</v>
      </c>
      <c r="G3183" s="38" t="s">
        <v>111</v>
      </c>
      <c r="H3183" s="44">
        <v>44251</v>
      </c>
      <c r="I3183" s="44">
        <v>44253</v>
      </c>
      <c r="J3183">
        <v>20</v>
      </c>
      <c r="K3183">
        <v>20</v>
      </c>
      <c r="L3183" t="s">
        <v>7402</v>
      </c>
      <c r="M3183" s="45" t="s">
        <v>98</v>
      </c>
      <c r="N3183" s="38" t="s">
        <v>230</v>
      </c>
      <c r="O3183" s="38" t="s">
        <v>320</v>
      </c>
      <c r="P3183" s="38" t="s">
        <v>60</v>
      </c>
      <c r="Q3183" s="38" t="s">
        <v>41</v>
      </c>
      <c r="R3183" s="38" t="s">
        <v>270</v>
      </c>
      <c r="S3183" s="38" t="s">
        <v>7403</v>
      </c>
      <c r="T3183" s="38" t="s">
        <v>7404</v>
      </c>
      <c r="U3183" s="38"/>
      <c r="V3183" s="38"/>
      <c r="W3183" s="38"/>
      <c r="X3183" s="38"/>
      <c r="Y3183" s="57"/>
      <c r="Z3183" s="7"/>
      <c r="AA3183" s="57"/>
      <c r="AB3183" s="7"/>
      <c r="AC3183" s="57"/>
      <c r="AD3183" s="7"/>
      <c r="AE3183" s="57"/>
      <c r="AF3183" s="7"/>
      <c r="AG3183" s="57"/>
      <c r="AH3183" s="7"/>
      <c r="AI3183" s="57"/>
      <c r="AJ3183" s="7"/>
      <c r="AK3183" s="57"/>
      <c r="AL3183" s="7"/>
      <c r="AN3183" s="7" t="s">
        <v>70</v>
      </c>
      <c r="AO3183" s="21">
        <f t="shared" si="158"/>
        <v>0</v>
      </c>
      <c r="AP3183" s="7">
        <f t="shared" si="156"/>
        <v>20</v>
      </c>
      <c r="AQ3183" s="31" t="str">
        <f t="shared" si="159"/>
        <v>Complete - No Adjustment</v>
      </c>
    </row>
    <row r="3184" spans="1:43" x14ac:dyDescent="0.2">
      <c r="A3184" s="46">
        <v>3174</v>
      </c>
      <c r="B3184" s="38" t="s">
        <v>266</v>
      </c>
      <c r="C3184" s="38" t="s">
        <v>4048</v>
      </c>
      <c r="D3184" s="38" t="s">
        <v>4049</v>
      </c>
      <c r="E3184" s="38" t="s">
        <v>7405</v>
      </c>
      <c r="F3184" s="38" t="s">
        <v>7394</v>
      </c>
      <c r="G3184" s="38" t="s">
        <v>111</v>
      </c>
      <c r="H3184" s="44">
        <v>44224</v>
      </c>
      <c r="I3184" s="44">
        <v>44244</v>
      </c>
      <c r="J3184">
        <v>75</v>
      </c>
      <c r="K3184">
        <v>75</v>
      </c>
      <c r="L3184" t="s">
        <v>7406</v>
      </c>
      <c r="M3184" s="45" t="s">
        <v>98</v>
      </c>
      <c r="N3184" s="38" t="s">
        <v>230</v>
      </c>
      <c r="O3184" s="38" t="s">
        <v>592</v>
      </c>
      <c r="P3184" s="38" t="s">
        <v>60</v>
      </c>
      <c r="Q3184" s="38" t="s">
        <v>59</v>
      </c>
      <c r="R3184" s="38" t="s">
        <v>270</v>
      </c>
      <c r="S3184" s="38" t="s">
        <v>7407</v>
      </c>
      <c r="T3184" s="38" t="s">
        <v>7408</v>
      </c>
      <c r="U3184" s="38"/>
      <c r="V3184" s="38"/>
      <c r="W3184" s="38"/>
      <c r="X3184" s="38"/>
      <c r="Y3184" s="57"/>
      <c r="Z3184" s="7"/>
      <c r="AA3184" s="57"/>
      <c r="AB3184" s="7"/>
      <c r="AC3184" s="57"/>
      <c r="AD3184" s="7"/>
      <c r="AE3184" s="57"/>
      <c r="AF3184" s="7"/>
      <c r="AG3184" s="57"/>
      <c r="AH3184" s="7"/>
      <c r="AI3184" s="57"/>
      <c r="AJ3184" s="7"/>
      <c r="AK3184" s="57"/>
      <c r="AL3184" s="7"/>
      <c r="AN3184" s="7" t="s">
        <v>70</v>
      </c>
      <c r="AO3184" s="21">
        <f t="shared" si="158"/>
        <v>0</v>
      </c>
      <c r="AP3184" s="7">
        <f t="shared" si="156"/>
        <v>75</v>
      </c>
      <c r="AQ3184" s="31" t="str">
        <f t="shared" si="159"/>
        <v>Complete - No Adjustment</v>
      </c>
    </row>
    <row r="3185" spans="1:43" x14ac:dyDescent="0.2">
      <c r="A3185" s="46">
        <v>3175</v>
      </c>
      <c r="B3185" s="38" t="s">
        <v>266</v>
      </c>
      <c r="C3185" s="38" t="s">
        <v>620</v>
      </c>
      <c r="D3185" s="38" t="s">
        <v>619</v>
      </c>
      <c r="E3185" s="38" t="s">
        <v>7409</v>
      </c>
      <c r="F3185" s="38" t="s">
        <v>7401</v>
      </c>
      <c r="G3185" s="38" t="s">
        <v>111</v>
      </c>
      <c r="H3185" s="44">
        <v>44251</v>
      </c>
      <c r="I3185" s="44">
        <v>44253</v>
      </c>
      <c r="J3185">
        <v>15.38</v>
      </c>
      <c r="K3185">
        <v>15.38</v>
      </c>
      <c r="L3185" t="s">
        <v>7410</v>
      </c>
      <c r="M3185" s="45" t="s">
        <v>98</v>
      </c>
      <c r="N3185" s="38" t="s">
        <v>230</v>
      </c>
      <c r="O3185" s="38" t="s">
        <v>320</v>
      </c>
      <c r="P3185" s="38" t="s">
        <v>60</v>
      </c>
      <c r="Q3185" s="38" t="s">
        <v>41</v>
      </c>
      <c r="R3185" s="38" t="s">
        <v>270</v>
      </c>
      <c r="S3185" s="38" t="s">
        <v>7411</v>
      </c>
      <c r="T3185" s="38" t="s">
        <v>7412</v>
      </c>
      <c r="U3185" s="38"/>
      <c r="V3185" s="38"/>
      <c r="W3185" s="38"/>
      <c r="X3185" s="38"/>
      <c r="Y3185" s="57"/>
      <c r="Z3185" s="7"/>
      <c r="AA3185" s="57"/>
      <c r="AB3185" s="7"/>
      <c r="AC3185" s="57"/>
      <c r="AD3185" s="7"/>
      <c r="AE3185" s="57"/>
      <c r="AF3185" s="7"/>
      <c r="AG3185" s="57"/>
      <c r="AH3185" s="7"/>
      <c r="AI3185" s="57">
        <f>15.38</f>
        <v>15.38</v>
      </c>
      <c r="AJ3185" s="7"/>
      <c r="AK3185" s="57"/>
      <c r="AL3185" s="7"/>
      <c r="AN3185" s="7" t="s">
        <v>145</v>
      </c>
      <c r="AO3185" s="21">
        <f t="shared" si="158"/>
        <v>15.38</v>
      </c>
      <c r="AP3185" s="7">
        <f t="shared" si="156"/>
        <v>0</v>
      </c>
      <c r="AQ3185" s="31" t="str">
        <f t="shared" si="159"/>
        <v>Complete - With Adjustment</v>
      </c>
    </row>
    <row r="3186" spans="1:43" x14ac:dyDescent="0.2">
      <c r="A3186" s="46">
        <v>3176</v>
      </c>
      <c r="B3186" s="38" t="s">
        <v>266</v>
      </c>
      <c r="C3186" s="38" t="s">
        <v>462</v>
      </c>
      <c r="D3186" s="38" t="s">
        <v>461</v>
      </c>
      <c r="E3186" s="38" t="s">
        <v>7413</v>
      </c>
      <c r="F3186" s="38" t="s">
        <v>7243</v>
      </c>
      <c r="G3186" s="38" t="s">
        <v>111</v>
      </c>
      <c r="H3186" s="44">
        <v>44230</v>
      </c>
      <c r="I3186" s="44">
        <v>44231</v>
      </c>
      <c r="J3186">
        <v>10</v>
      </c>
      <c r="K3186">
        <v>10</v>
      </c>
      <c r="L3186" t="s">
        <v>7414</v>
      </c>
      <c r="M3186" s="45" t="s">
        <v>98</v>
      </c>
      <c r="N3186" s="38" t="s">
        <v>230</v>
      </c>
      <c r="O3186" s="38" t="s">
        <v>288</v>
      </c>
      <c r="P3186" s="38" t="s">
        <v>60</v>
      </c>
      <c r="Q3186" s="38" t="s">
        <v>41</v>
      </c>
      <c r="R3186" s="38" t="s">
        <v>270</v>
      </c>
      <c r="S3186" s="38" t="s">
        <v>7415</v>
      </c>
      <c r="T3186" s="38" t="s">
        <v>7416</v>
      </c>
      <c r="U3186" s="38"/>
      <c r="V3186" s="38"/>
      <c r="W3186" s="38"/>
      <c r="X3186" s="38"/>
      <c r="Y3186" s="57"/>
      <c r="Z3186" s="7"/>
      <c r="AA3186" s="57"/>
      <c r="AB3186" s="7"/>
      <c r="AC3186" s="57"/>
      <c r="AD3186" s="7"/>
      <c r="AE3186" s="57"/>
      <c r="AF3186" s="7"/>
      <c r="AG3186" s="57"/>
      <c r="AH3186" s="7"/>
      <c r="AI3186" s="57"/>
      <c r="AJ3186" s="7"/>
      <c r="AK3186" s="57"/>
      <c r="AL3186" s="7"/>
      <c r="AN3186" s="7" t="s">
        <v>155</v>
      </c>
      <c r="AO3186" s="21">
        <f t="shared" si="158"/>
        <v>0</v>
      </c>
      <c r="AP3186" s="7">
        <f t="shared" si="156"/>
        <v>10</v>
      </c>
      <c r="AQ3186" s="31" t="str">
        <f t="shared" si="159"/>
        <v>Complete - No Adjustment</v>
      </c>
    </row>
    <row r="3187" spans="1:43" x14ac:dyDescent="0.2">
      <c r="A3187" s="46">
        <v>3177</v>
      </c>
      <c r="B3187" s="38" t="s">
        <v>266</v>
      </c>
      <c r="C3187" s="38" t="s">
        <v>462</v>
      </c>
      <c r="D3187" s="38" t="s">
        <v>461</v>
      </c>
      <c r="E3187" s="38" t="s">
        <v>7417</v>
      </c>
      <c r="F3187" s="38" t="s">
        <v>7163</v>
      </c>
      <c r="G3187" s="38" t="s">
        <v>111</v>
      </c>
      <c r="H3187" s="44">
        <v>44236</v>
      </c>
      <c r="I3187" s="44">
        <v>44238</v>
      </c>
      <c r="J3187">
        <v>11.89</v>
      </c>
      <c r="K3187">
        <v>11.89</v>
      </c>
      <c r="L3187" t="s">
        <v>7418</v>
      </c>
      <c r="M3187" s="45" t="s">
        <v>98</v>
      </c>
      <c r="N3187" s="38" t="s">
        <v>230</v>
      </c>
      <c r="O3187" s="38" t="s">
        <v>288</v>
      </c>
      <c r="P3187" s="38" t="s">
        <v>60</v>
      </c>
      <c r="Q3187" s="38" t="s">
        <v>41</v>
      </c>
      <c r="R3187" s="38" t="s">
        <v>270</v>
      </c>
      <c r="S3187" s="38" t="s">
        <v>7419</v>
      </c>
      <c r="T3187" s="38" t="s">
        <v>7420</v>
      </c>
      <c r="U3187" s="38"/>
      <c r="V3187" s="38"/>
      <c r="W3187" s="38"/>
      <c r="X3187" s="38"/>
      <c r="Y3187" s="57"/>
      <c r="Z3187" s="7"/>
      <c r="AA3187" s="57"/>
      <c r="AB3187" s="7"/>
      <c r="AC3187" s="57"/>
      <c r="AD3187" s="7"/>
      <c r="AE3187" s="57"/>
      <c r="AF3187" s="7"/>
      <c r="AG3187" s="57"/>
      <c r="AH3187" s="7"/>
      <c r="AI3187" s="57"/>
      <c r="AJ3187" s="7"/>
      <c r="AK3187" s="57"/>
      <c r="AL3187" s="7"/>
      <c r="AN3187" s="7" t="s">
        <v>155</v>
      </c>
      <c r="AO3187" s="21">
        <f t="shared" si="158"/>
        <v>0</v>
      </c>
      <c r="AP3187" s="7">
        <f t="shared" si="156"/>
        <v>11.89</v>
      </c>
      <c r="AQ3187" s="31" t="str">
        <f t="shared" si="159"/>
        <v>Complete - No Adjustment</v>
      </c>
    </row>
    <row r="3188" spans="1:43" x14ac:dyDescent="0.2">
      <c r="A3188" s="46">
        <v>3178</v>
      </c>
      <c r="B3188" s="38" t="s">
        <v>266</v>
      </c>
      <c r="C3188" s="38" t="s">
        <v>467</v>
      </c>
      <c r="D3188" s="38" t="s">
        <v>466</v>
      </c>
      <c r="E3188" s="38" t="s">
        <v>7421</v>
      </c>
      <c r="F3188" s="38" t="s">
        <v>7300</v>
      </c>
      <c r="G3188" s="38" t="s">
        <v>111</v>
      </c>
      <c r="H3188" s="44">
        <v>44230</v>
      </c>
      <c r="I3188" s="44">
        <v>44232</v>
      </c>
      <c r="J3188">
        <v>767.13</v>
      </c>
      <c r="K3188">
        <v>767.13</v>
      </c>
      <c r="L3188" t="s">
        <v>7422</v>
      </c>
      <c r="M3188" s="45" t="s">
        <v>97</v>
      </c>
      <c r="N3188" s="38" t="s">
        <v>230</v>
      </c>
      <c r="O3188" s="38" t="s">
        <v>284</v>
      </c>
      <c r="P3188" s="38" t="s">
        <v>64</v>
      </c>
      <c r="Q3188" s="38" t="s">
        <v>7423</v>
      </c>
      <c r="R3188" s="38" t="s">
        <v>270</v>
      </c>
      <c r="S3188" s="38" t="s">
        <v>7424</v>
      </c>
      <c r="T3188" s="38" t="s">
        <v>7425</v>
      </c>
      <c r="U3188" s="38"/>
      <c r="V3188" s="38"/>
      <c r="W3188" s="38"/>
      <c r="X3188" s="38"/>
      <c r="Y3188" s="57"/>
      <c r="Z3188" s="7"/>
      <c r="AA3188" s="57"/>
      <c r="AB3188" s="7"/>
      <c r="AC3188" s="57"/>
      <c r="AD3188" s="7"/>
      <c r="AE3188" s="57"/>
      <c r="AF3188" s="7"/>
      <c r="AG3188" s="57">
        <f>767.13</f>
        <v>767.13</v>
      </c>
      <c r="AH3188" s="7"/>
      <c r="AI3188" s="57"/>
      <c r="AJ3188" s="7"/>
      <c r="AK3188" s="57"/>
      <c r="AL3188" s="7"/>
      <c r="AN3188" s="7" t="s">
        <v>69</v>
      </c>
      <c r="AO3188" s="21">
        <f t="shared" si="158"/>
        <v>767.13</v>
      </c>
      <c r="AP3188" s="7">
        <f t="shared" si="156"/>
        <v>0</v>
      </c>
      <c r="AQ3188" s="31" t="str">
        <f t="shared" si="159"/>
        <v>Complete - With Adjustment</v>
      </c>
    </row>
    <row r="3189" spans="1:43" x14ac:dyDescent="0.2">
      <c r="A3189" s="46">
        <v>3179</v>
      </c>
      <c r="B3189" s="38" t="s">
        <v>266</v>
      </c>
      <c r="C3189" s="38" t="s">
        <v>788</v>
      </c>
      <c r="D3189" s="38" t="s">
        <v>787</v>
      </c>
      <c r="E3189" s="38" t="s">
        <v>7426</v>
      </c>
      <c r="F3189" s="38" t="s">
        <v>7401</v>
      </c>
      <c r="G3189" s="38" t="s">
        <v>111</v>
      </c>
      <c r="H3189" s="44">
        <v>44250</v>
      </c>
      <c r="I3189" s="44">
        <v>44253</v>
      </c>
      <c r="J3189">
        <v>19.309999999999999</v>
      </c>
      <c r="K3189">
        <v>19.309999999999999</v>
      </c>
      <c r="L3189" t="s">
        <v>7427</v>
      </c>
      <c r="M3189" s="45" t="s">
        <v>98</v>
      </c>
      <c r="N3189" s="38" t="s">
        <v>230</v>
      </c>
      <c r="O3189" s="38" t="s">
        <v>444</v>
      </c>
      <c r="P3189" s="38" t="s">
        <v>60</v>
      </c>
      <c r="Q3189" s="38" t="s">
        <v>41</v>
      </c>
      <c r="R3189" s="38" t="s">
        <v>270</v>
      </c>
      <c r="S3189" s="38" t="s">
        <v>7428</v>
      </c>
      <c r="T3189" s="38" t="s">
        <v>7429</v>
      </c>
      <c r="U3189" s="38"/>
      <c r="V3189" s="38"/>
      <c r="W3189" s="38"/>
      <c r="X3189" s="38"/>
      <c r="Y3189" s="57"/>
      <c r="Z3189" s="7"/>
      <c r="AA3189" s="57"/>
      <c r="AB3189" s="7"/>
      <c r="AC3189" s="57"/>
      <c r="AD3189" s="7"/>
      <c r="AE3189" s="57"/>
      <c r="AF3189" s="7"/>
      <c r="AG3189" s="57"/>
      <c r="AH3189" s="7"/>
      <c r="AI3189" s="57">
        <f>19.31</f>
        <v>19.309999999999999</v>
      </c>
      <c r="AJ3189" s="7"/>
      <c r="AK3189" s="57"/>
      <c r="AL3189" s="7"/>
      <c r="AN3189" s="7" t="s">
        <v>145</v>
      </c>
      <c r="AO3189" s="21">
        <f t="shared" si="158"/>
        <v>19.309999999999999</v>
      </c>
      <c r="AP3189" s="7">
        <f t="shared" si="156"/>
        <v>0</v>
      </c>
      <c r="AQ3189" s="31" t="str">
        <f t="shared" si="159"/>
        <v>Complete - With Adjustment</v>
      </c>
    </row>
    <row r="3190" spans="1:43" x14ac:dyDescent="0.2">
      <c r="A3190" s="46">
        <v>3180</v>
      </c>
      <c r="B3190" s="38" t="s">
        <v>266</v>
      </c>
      <c r="C3190" s="38" t="s">
        <v>788</v>
      </c>
      <c r="D3190" s="38" t="s">
        <v>787</v>
      </c>
      <c r="E3190" s="38" t="s">
        <v>7430</v>
      </c>
      <c r="F3190" s="38" t="s">
        <v>7401</v>
      </c>
      <c r="G3190" s="38" t="s">
        <v>111</v>
      </c>
      <c r="H3190" s="44">
        <v>44246</v>
      </c>
      <c r="I3190" s="44">
        <v>44253</v>
      </c>
      <c r="J3190">
        <v>25.81</v>
      </c>
      <c r="K3190">
        <v>13.81</v>
      </c>
      <c r="L3190" t="s">
        <v>7431</v>
      </c>
      <c r="M3190" s="45" t="s">
        <v>98</v>
      </c>
      <c r="N3190" s="38" t="s">
        <v>230</v>
      </c>
      <c r="O3190" s="38" t="s">
        <v>444</v>
      </c>
      <c r="P3190" s="38" t="s">
        <v>60</v>
      </c>
      <c r="Q3190" s="38" t="s">
        <v>41</v>
      </c>
      <c r="R3190" s="38" t="s">
        <v>270</v>
      </c>
      <c r="S3190" s="38" t="s">
        <v>7432</v>
      </c>
      <c r="T3190" s="38" t="s">
        <v>7433</v>
      </c>
      <c r="U3190" s="38"/>
      <c r="V3190" s="38"/>
      <c r="W3190" s="38"/>
      <c r="X3190" s="38"/>
      <c r="Y3190" s="57"/>
      <c r="Z3190" s="7"/>
      <c r="AA3190" s="57"/>
      <c r="AB3190" s="7"/>
      <c r="AC3190" s="57"/>
      <c r="AD3190" s="7"/>
      <c r="AE3190" s="57"/>
      <c r="AF3190" s="7"/>
      <c r="AG3190" s="57"/>
      <c r="AH3190" s="7"/>
      <c r="AI3190" s="57">
        <f>13.81</f>
        <v>13.81</v>
      </c>
      <c r="AJ3190" s="7"/>
      <c r="AK3190" s="57"/>
      <c r="AL3190" s="7"/>
      <c r="AN3190" s="7" t="s">
        <v>145</v>
      </c>
      <c r="AO3190" s="21">
        <f t="shared" si="158"/>
        <v>13.81</v>
      </c>
      <c r="AP3190" s="7">
        <f t="shared" si="156"/>
        <v>0</v>
      </c>
      <c r="AQ3190" s="31" t="str">
        <f t="shared" si="159"/>
        <v>Complete - With Adjustment</v>
      </c>
    </row>
    <row r="3191" spans="1:43" x14ac:dyDescent="0.2">
      <c r="A3191" s="46">
        <v>3181</v>
      </c>
      <c r="B3191" s="38" t="s">
        <v>266</v>
      </c>
      <c r="C3191" s="38" t="s">
        <v>788</v>
      </c>
      <c r="D3191" s="38" t="s">
        <v>787</v>
      </c>
      <c r="E3191" s="38" t="s">
        <v>7430</v>
      </c>
      <c r="F3191" s="38" t="s">
        <v>7401</v>
      </c>
      <c r="G3191" s="38" t="s">
        <v>111</v>
      </c>
      <c r="H3191" s="44">
        <v>44246</v>
      </c>
      <c r="I3191" s="44">
        <v>44253</v>
      </c>
      <c r="J3191">
        <v>25.81</v>
      </c>
      <c r="K3191">
        <v>12</v>
      </c>
      <c r="L3191" t="s">
        <v>7431</v>
      </c>
      <c r="M3191" s="45" t="s">
        <v>98</v>
      </c>
      <c r="N3191" s="38" t="s">
        <v>230</v>
      </c>
      <c r="O3191" s="38" t="s">
        <v>444</v>
      </c>
      <c r="P3191" s="38" t="s">
        <v>60</v>
      </c>
      <c r="Q3191" s="38" t="s">
        <v>74</v>
      </c>
      <c r="R3191" s="38" t="s">
        <v>270</v>
      </c>
      <c r="S3191" s="38" t="s">
        <v>7432</v>
      </c>
      <c r="T3191" s="38" t="s">
        <v>7434</v>
      </c>
      <c r="U3191" s="38"/>
      <c r="V3191" s="38"/>
      <c r="W3191" s="38"/>
      <c r="X3191" s="38"/>
      <c r="Y3191" s="57"/>
      <c r="Z3191" s="7"/>
      <c r="AA3191" s="57"/>
      <c r="AB3191" s="7"/>
      <c r="AC3191" s="57"/>
      <c r="AD3191" s="7"/>
      <c r="AE3191" s="57"/>
      <c r="AF3191" s="7"/>
      <c r="AG3191" s="57"/>
      <c r="AH3191" s="7"/>
      <c r="AI3191" s="57"/>
      <c r="AJ3191" s="7"/>
      <c r="AK3191" s="57"/>
      <c r="AL3191" s="7"/>
      <c r="AN3191" s="7" t="s">
        <v>70</v>
      </c>
      <c r="AO3191" s="21">
        <f t="shared" si="158"/>
        <v>0</v>
      </c>
      <c r="AP3191" s="7">
        <f t="shared" si="156"/>
        <v>12</v>
      </c>
      <c r="AQ3191" s="31" t="str">
        <f t="shared" si="159"/>
        <v>Complete - No Adjustment</v>
      </c>
    </row>
    <row r="3192" spans="1:43" x14ac:dyDescent="0.2">
      <c r="A3192" s="46">
        <v>3182</v>
      </c>
      <c r="B3192" s="38" t="s">
        <v>266</v>
      </c>
      <c r="C3192" s="38" t="s">
        <v>622</v>
      </c>
      <c r="D3192" s="38" t="s">
        <v>621</v>
      </c>
      <c r="E3192" s="38" t="s">
        <v>7435</v>
      </c>
      <c r="F3192" s="38" t="s">
        <v>7210</v>
      </c>
      <c r="G3192" s="38" t="s">
        <v>111</v>
      </c>
      <c r="H3192" s="44">
        <v>44218</v>
      </c>
      <c r="I3192" s="44">
        <v>44243</v>
      </c>
      <c r="J3192">
        <v>1995</v>
      </c>
      <c r="K3192">
        <v>1995</v>
      </c>
      <c r="L3192" t="s">
        <v>7436</v>
      </c>
      <c r="M3192" s="45" t="s">
        <v>98</v>
      </c>
      <c r="N3192" s="38" t="s">
        <v>230</v>
      </c>
      <c r="O3192" s="38" t="s">
        <v>404</v>
      </c>
      <c r="P3192" s="38" t="s">
        <v>60</v>
      </c>
      <c r="Q3192" s="38" t="s">
        <v>48</v>
      </c>
      <c r="R3192" s="38" t="s">
        <v>270</v>
      </c>
      <c r="S3192" s="38" t="s">
        <v>7437</v>
      </c>
      <c r="T3192" s="38" t="s">
        <v>7438</v>
      </c>
      <c r="U3192" s="38"/>
      <c r="V3192" s="38"/>
      <c r="W3192" s="38"/>
      <c r="X3192" s="38"/>
      <c r="Y3192" s="57"/>
      <c r="Z3192" s="7"/>
      <c r="AA3192" s="57"/>
      <c r="AB3192" s="7"/>
      <c r="AC3192" s="57"/>
      <c r="AD3192" s="7"/>
      <c r="AE3192" s="57"/>
      <c r="AF3192" s="7"/>
      <c r="AG3192" s="57"/>
      <c r="AH3192" s="7"/>
      <c r="AI3192" s="57"/>
      <c r="AJ3192" s="7"/>
      <c r="AK3192" s="57"/>
      <c r="AL3192" s="7"/>
      <c r="AN3192" s="7" t="s">
        <v>70</v>
      </c>
      <c r="AO3192" s="21">
        <f t="shared" si="158"/>
        <v>0</v>
      </c>
      <c r="AP3192" s="7">
        <f t="shared" si="156"/>
        <v>1995</v>
      </c>
      <c r="AQ3192" s="31" t="str">
        <f t="shared" si="159"/>
        <v>Complete - No Adjustment</v>
      </c>
    </row>
    <row r="3193" spans="1:43" x14ac:dyDescent="0.2">
      <c r="A3193" s="46">
        <v>3183</v>
      </c>
      <c r="B3193" s="38" t="s">
        <v>266</v>
      </c>
      <c r="C3193" s="38" t="s">
        <v>684</v>
      </c>
      <c r="D3193" s="38" t="s">
        <v>801</v>
      </c>
      <c r="E3193" s="38" t="s">
        <v>7439</v>
      </c>
      <c r="F3193" s="38" t="s">
        <v>7210</v>
      </c>
      <c r="G3193" s="38" t="s">
        <v>111</v>
      </c>
      <c r="H3193" s="44">
        <v>44239</v>
      </c>
      <c r="I3193" s="44">
        <v>44243</v>
      </c>
      <c r="J3193">
        <v>315</v>
      </c>
      <c r="K3193">
        <v>315</v>
      </c>
      <c r="L3193" t="s">
        <v>7440</v>
      </c>
      <c r="M3193" s="45" t="s">
        <v>98</v>
      </c>
      <c r="N3193" s="38" t="s">
        <v>230</v>
      </c>
      <c r="O3193" s="38" t="s">
        <v>293</v>
      </c>
      <c r="P3193" s="38" t="s">
        <v>60</v>
      </c>
      <c r="Q3193" s="38" t="s">
        <v>59</v>
      </c>
      <c r="R3193" s="38" t="s">
        <v>270</v>
      </c>
      <c r="S3193" s="38" t="s">
        <v>7441</v>
      </c>
      <c r="T3193" s="38" t="s">
        <v>7442</v>
      </c>
      <c r="U3193" s="38"/>
      <c r="V3193" s="38"/>
      <c r="W3193" s="38"/>
      <c r="X3193" s="38"/>
      <c r="Y3193" s="57"/>
      <c r="Z3193" s="7"/>
      <c r="AA3193" s="57"/>
      <c r="AB3193" s="7"/>
      <c r="AC3193" s="57"/>
      <c r="AD3193" s="7"/>
      <c r="AE3193" s="57"/>
      <c r="AF3193" s="7"/>
      <c r="AG3193" s="57"/>
      <c r="AH3193" s="7"/>
      <c r="AI3193" s="57"/>
      <c r="AJ3193" s="7"/>
      <c r="AK3193" s="57"/>
      <c r="AL3193" s="7"/>
      <c r="AN3193" s="7" t="s">
        <v>70</v>
      </c>
      <c r="AO3193" s="21">
        <f t="shared" si="158"/>
        <v>0</v>
      </c>
      <c r="AP3193" s="7">
        <f t="shared" si="156"/>
        <v>315</v>
      </c>
      <c r="AQ3193" s="31" t="str">
        <f t="shared" si="159"/>
        <v>Complete - No Adjustment</v>
      </c>
    </row>
    <row r="3194" spans="1:43" x14ac:dyDescent="0.2">
      <c r="A3194" s="46">
        <v>3184</v>
      </c>
      <c r="B3194" s="38" t="s">
        <v>266</v>
      </c>
      <c r="C3194" s="38" t="s">
        <v>2767</v>
      </c>
      <c r="D3194" s="38" t="s">
        <v>2768</v>
      </c>
      <c r="E3194" s="38" t="s">
        <v>7443</v>
      </c>
      <c r="F3194" s="38" t="s">
        <v>7257</v>
      </c>
      <c r="G3194" s="38" t="s">
        <v>111</v>
      </c>
      <c r="H3194" s="44">
        <v>44222</v>
      </c>
      <c r="I3194" s="44">
        <v>44229</v>
      </c>
      <c r="J3194">
        <v>13.39</v>
      </c>
      <c r="K3194">
        <v>13.39</v>
      </c>
      <c r="L3194" t="s">
        <v>7444</v>
      </c>
      <c r="M3194" s="45" t="s">
        <v>98</v>
      </c>
      <c r="N3194" s="38" t="s">
        <v>230</v>
      </c>
      <c r="O3194" s="38" t="s">
        <v>280</v>
      </c>
      <c r="P3194" s="38" t="s">
        <v>60</v>
      </c>
      <c r="Q3194" s="38" t="s">
        <v>41</v>
      </c>
      <c r="R3194" s="38" t="s">
        <v>270</v>
      </c>
      <c r="S3194" s="38" t="s">
        <v>7445</v>
      </c>
      <c r="T3194" s="38" t="s">
        <v>7446</v>
      </c>
      <c r="U3194" s="38"/>
      <c r="V3194" s="38"/>
      <c r="W3194" s="38"/>
      <c r="X3194" s="38"/>
      <c r="Y3194" s="57"/>
      <c r="Z3194" s="7"/>
      <c r="AA3194" s="57"/>
      <c r="AB3194" s="7"/>
      <c r="AC3194" s="57"/>
      <c r="AD3194" s="7"/>
      <c r="AE3194" s="57"/>
      <c r="AF3194" s="7"/>
      <c r="AG3194" s="57"/>
      <c r="AH3194" s="7"/>
      <c r="AI3194" s="57"/>
      <c r="AJ3194" s="7"/>
      <c r="AK3194" s="57"/>
      <c r="AL3194" s="7"/>
      <c r="AN3194" s="7" t="s">
        <v>155</v>
      </c>
      <c r="AO3194" s="21">
        <f t="shared" si="158"/>
        <v>0</v>
      </c>
      <c r="AP3194" s="7">
        <f t="shared" si="156"/>
        <v>13.39</v>
      </c>
      <c r="AQ3194" s="31" t="str">
        <f t="shared" si="159"/>
        <v>Complete - No Adjustment</v>
      </c>
    </row>
    <row r="3195" spans="1:43" x14ac:dyDescent="0.2">
      <c r="A3195" s="46">
        <v>3185</v>
      </c>
      <c r="B3195" s="38" t="s">
        <v>266</v>
      </c>
      <c r="C3195" s="38" t="s">
        <v>662</v>
      </c>
      <c r="D3195" s="38" t="s">
        <v>661</v>
      </c>
      <c r="E3195" s="38" t="s">
        <v>7447</v>
      </c>
      <c r="F3195" s="38" t="s">
        <v>7219</v>
      </c>
      <c r="G3195" s="38" t="s">
        <v>111</v>
      </c>
      <c r="H3195" s="44">
        <v>44232</v>
      </c>
      <c r="I3195" s="44">
        <v>44251</v>
      </c>
      <c r="J3195">
        <v>98.24</v>
      </c>
      <c r="K3195">
        <v>14.06</v>
      </c>
      <c r="L3195" t="s">
        <v>7448</v>
      </c>
      <c r="M3195" s="45" t="s">
        <v>98</v>
      </c>
      <c r="N3195" s="38" t="s">
        <v>230</v>
      </c>
      <c r="O3195" s="38" t="s">
        <v>323</v>
      </c>
      <c r="P3195" s="38" t="s">
        <v>60</v>
      </c>
      <c r="Q3195" s="38" t="s">
        <v>41</v>
      </c>
      <c r="R3195" s="38" t="s">
        <v>270</v>
      </c>
      <c r="S3195" s="38" t="s">
        <v>7449</v>
      </c>
      <c r="T3195" s="38" t="s">
        <v>7450</v>
      </c>
      <c r="U3195" s="38"/>
      <c r="V3195" s="38"/>
      <c r="W3195" s="38"/>
      <c r="X3195" s="38"/>
      <c r="Y3195" s="57"/>
      <c r="Z3195" s="7"/>
      <c r="AA3195" s="57"/>
      <c r="AB3195" s="7"/>
      <c r="AC3195" s="57"/>
      <c r="AD3195" s="7"/>
      <c r="AE3195" s="57"/>
      <c r="AF3195" s="7"/>
      <c r="AG3195" s="57"/>
      <c r="AH3195" s="7"/>
      <c r="AI3195" s="57"/>
      <c r="AJ3195" s="7"/>
      <c r="AK3195" s="57"/>
      <c r="AL3195" s="7"/>
      <c r="AN3195" s="7" t="s">
        <v>70</v>
      </c>
      <c r="AO3195" s="21">
        <f t="shared" si="158"/>
        <v>0</v>
      </c>
      <c r="AP3195" s="7">
        <f t="shared" si="156"/>
        <v>14.06</v>
      </c>
      <c r="AQ3195" s="31" t="str">
        <f t="shared" si="159"/>
        <v>Complete - No Adjustment</v>
      </c>
    </row>
    <row r="3196" spans="1:43" x14ac:dyDescent="0.2">
      <c r="A3196" s="46">
        <v>3186</v>
      </c>
      <c r="B3196" s="38" t="s">
        <v>266</v>
      </c>
      <c r="C3196" s="38" t="s">
        <v>662</v>
      </c>
      <c r="D3196" s="38" t="s">
        <v>661</v>
      </c>
      <c r="E3196" s="38" t="s">
        <v>7447</v>
      </c>
      <c r="F3196" s="38" t="s">
        <v>7219</v>
      </c>
      <c r="G3196" s="38" t="s">
        <v>111</v>
      </c>
      <c r="H3196" s="44">
        <v>44232</v>
      </c>
      <c r="I3196" s="44">
        <v>44251</v>
      </c>
      <c r="J3196">
        <v>98.24</v>
      </c>
      <c r="K3196">
        <v>10.54</v>
      </c>
      <c r="L3196" t="s">
        <v>7448</v>
      </c>
      <c r="M3196" s="45" t="s">
        <v>98</v>
      </c>
      <c r="N3196" s="38" t="s">
        <v>230</v>
      </c>
      <c r="O3196" s="38" t="s">
        <v>323</v>
      </c>
      <c r="P3196" s="38" t="s">
        <v>60</v>
      </c>
      <c r="Q3196" s="38" t="s">
        <v>41</v>
      </c>
      <c r="R3196" s="38" t="s">
        <v>270</v>
      </c>
      <c r="S3196" s="38" t="s">
        <v>7449</v>
      </c>
      <c r="T3196" s="38" t="s">
        <v>7451</v>
      </c>
      <c r="U3196" s="38"/>
      <c r="V3196" s="38"/>
      <c r="W3196" s="38"/>
      <c r="X3196" s="38"/>
      <c r="Y3196" s="57"/>
      <c r="Z3196" s="7"/>
      <c r="AA3196" s="57"/>
      <c r="AB3196" s="7"/>
      <c r="AC3196" s="57"/>
      <c r="AD3196" s="7"/>
      <c r="AE3196" s="57"/>
      <c r="AF3196" s="7"/>
      <c r="AG3196" s="57"/>
      <c r="AH3196" s="7"/>
      <c r="AI3196" s="57"/>
      <c r="AJ3196" s="7"/>
      <c r="AK3196" s="57"/>
      <c r="AL3196" s="7"/>
      <c r="AN3196" s="7" t="s">
        <v>70</v>
      </c>
      <c r="AO3196" s="21">
        <f t="shared" si="158"/>
        <v>0</v>
      </c>
      <c r="AP3196" s="7">
        <f t="shared" si="156"/>
        <v>10.54</v>
      </c>
      <c r="AQ3196" s="31" t="str">
        <f t="shared" si="159"/>
        <v>Complete - No Adjustment</v>
      </c>
    </row>
    <row r="3197" spans="1:43" x14ac:dyDescent="0.2">
      <c r="A3197" s="46">
        <v>3187</v>
      </c>
      <c r="B3197" s="38" t="s">
        <v>266</v>
      </c>
      <c r="C3197" s="38" t="s">
        <v>662</v>
      </c>
      <c r="D3197" s="38" t="s">
        <v>661</v>
      </c>
      <c r="E3197" s="38" t="s">
        <v>7447</v>
      </c>
      <c r="F3197" s="38" t="s">
        <v>7219</v>
      </c>
      <c r="G3197" s="38" t="s">
        <v>111</v>
      </c>
      <c r="H3197" s="44">
        <v>44232</v>
      </c>
      <c r="I3197" s="44">
        <v>44251</v>
      </c>
      <c r="J3197">
        <v>98.24</v>
      </c>
      <c r="K3197">
        <v>14.61</v>
      </c>
      <c r="L3197" t="s">
        <v>7448</v>
      </c>
      <c r="M3197" s="45" t="s">
        <v>98</v>
      </c>
      <c r="N3197" s="38" t="s">
        <v>230</v>
      </c>
      <c r="O3197" s="38" t="s">
        <v>323</v>
      </c>
      <c r="P3197" s="38" t="s">
        <v>60</v>
      </c>
      <c r="Q3197" s="38" t="s">
        <v>41</v>
      </c>
      <c r="R3197" s="38" t="s">
        <v>270</v>
      </c>
      <c r="S3197" s="38" t="s">
        <v>7449</v>
      </c>
      <c r="T3197" s="38" t="s">
        <v>7452</v>
      </c>
      <c r="U3197" s="38"/>
      <c r="V3197" s="38"/>
      <c r="W3197" s="38"/>
      <c r="X3197" s="38"/>
      <c r="Y3197" s="57"/>
      <c r="Z3197" s="7"/>
      <c r="AA3197" s="57"/>
      <c r="AB3197" s="7"/>
      <c r="AC3197" s="57"/>
      <c r="AD3197" s="7"/>
      <c r="AE3197" s="57"/>
      <c r="AF3197" s="7"/>
      <c r="AG3197" s="57"/>
      <c r="AH3197" s="7"/>
      <c r="AI3197" s="57"/>
      <c r="AJ3197" s="7"/>
      <c r="AK3197" s="57"/>
      <c r="AL3197" s="7"/>
      <c r="AN3197" s="7" t="s">
        <v>70</v>
      </c>
      <c r="AO3197" s="21">
        <f t="shared" si="158"/>
        <v>0</v>
      </c>
      <c r="AP3197" s="7">
        <f t="shared" si="156"/>
        <v>14.61</v>
      </c>
      <c r="AQ3197" s="31" t="str">
        <f t="shared" si="159"/>
        <v>Complete - No Adjustment</v>
      </c>
    </row>
    <row r="3198" spans="1:43" x14ac:dyDescent="0.2">
      <c r="A3198" s="46">
        <v>3188</v>
      </c>
      <c r="B3198" s="38" t="s">
        <v>266</v>
      </c>
      <c r="C3198" s="38" t="s">
        <v>662</v>
      </c>
      <c r="D3198" s="38" t="s">
        <v>661</v>
      </c>
      <c r="E3198" s="38" t="s">
        <v>7447</v>
      </c>
      <c r="F3198" s="38" t="s">
        <v>7219</v>
      </c>
      <c r="G3198" s="38" t="s">
        <v>111</v>
      </c>
      <c r="H3198" s="44">
        <v>44232</v>
      </c>
      <c r="I3198" s="44">
        <v>44251</v>
      </c>
      <c r="J3198">
        <v>98.24</v>
      </c>
      <c r="K3198">
        <v>14.61</v>
      </c>
      <c r="L3198" t="s">
        <v>7448</v>
      </c>
      <c r="M3198" s="45" t="s">
        <v>98</v>
      </c>
      <c r="N3198" s="38" t="s">
        <v>230</v>
      </c>
      <c r="O3198" s="38" t="s">
        <v>323</v>
      </c>
      <c r="P3198" s="38" t="s">
        <v>60</v>
      </c>
      <c r="Q3198" s="38" t="s">
        <v>41</v>
      </c>
      <c r="R3198" s="38" t="s">
        <v>270</v>
      </c>
      <c r="S3198" s="38" t="s">
        <v>7449</v>
      </c>
      <c r="T3198" s="38" t="s">
        <v>7453</v>
      </c>
      <c r="U3198" s="38"/>
      <c r="V3198" s="38"/>
      <c r="W3198" s="38"/>
      <c r="X3198" s="38"/>
      <c r="Y3198" s="57"/>
      <c r="Z3198" s="7"/>
      <c r="AA3198" s="57"/>
      <c r="AB3198" s="7"/>
      <c r="AC3198" s="57"/>
      <c r="AD3198" s="7"/>
      <c r="AE3198" s="57"/>
      <c r="AF3198" s="7"/>
      <c r="AG3198" s="57"/>
      <c r="AH3198" s="7"/>
      <c r="AI3198" s="57"/>
      <c r="AJ3198" s="7"/>
      <c r="AK3198" s="57"/>
      <c r="AL3198" s="7"/>
      <c r="AN3198" s="7" t="s">
        <v>70</v>
      </c>
      <c r="AO3198" s="21">
        <f t="shared" si="158"/>
        <v>0</v>
      </c>
      <c r="AP3198" s="7">
        <f t="shared" si="156"/>
        <v>14.61</v>
      </c>
      <c r="AQ3198" s="31" t="str">
        <f t="shared" si="159"/>
        <v>Complete - No Adjustment</v>
      </c>
    </row>
    <row r="3199" spans="1:43" x14ac:dyDescent="0.2">
      <c r="A3199" s="46">
        <v>3189</v>
      </c>
      <c r="B3199" s="38" t="s">
        <v>266</v>
      </c>
      <c r="C3199" s="38" t="s">
        <v>662</v>
      </c>
      <c r="D3199" s="38" t="s">
        <v>661</v>
      </c>
      <c r="E3199" s="38" t="s">
        <v>7447</v>
      </c>
      <c r="F3199" s="38" t="s">
        <v>7219</v>
      </c>
      <c r="G3199" s="38" t="s">
        <v>111</v>
      </c>
      <c r="H3199" s="44">
        <v>44232</v>
      </c>
      <c r="I3199" s="44">
        <v>44251</v>
      </c>
      <c r="J3199">
        <v>98.24</v>
      </c>
      <c r="K3199">
        <v>9.73</v>
      </c>
      <c r="L3199" t="s">
        <v>7448</v>
      </c>
      <c r="M3199" s="45" t="s">
        <v>98</v>
      </c>
      <c r="N3199" s="38" t="s">
        <v>230</v>
      </c>
      <c r="O3199" s="38" t="s">
        <v>323</v>
      </c>
      <c r="P3199" s="38" t="s">
        <v>60</v>
      </c>
      <c r="Q3199" s="38" t="s">
        <v>41</v>
      </c>
      <c r="R3199" s="38" t="s">
        <v>270</v>
      </c>
      <c r="S3199" s="38" t="s">
        <v>7449</v>
      </c>
      <c r="T3199" s="38" t="s">
        <v>7454</v>
      </c>
      <c r="U3199" s="38"/>
      <c r="V3199" s="38"/>
      <c r="W3199" s="38"/>
      <c r="X3199" s="38"/>
      <c r="Y3199" s="57"/>
      <c r="Z3199" s="7"/>
      <c r="AA3199" s="57"/>
      <c r="AB3199" s="7"/>
      <c r="AC3199" s="57"/>
      <c r="AD3199" s="7"/>
      <c r="AE3199" s="57"/>
      <c r="AF3199" s="7"/>
      <c r="AG3199" s="57"/>
      <c r="AH3199" s="7"/>
      <c r="AI3199" s="57"/>
      <c r="AJ3199" s="7"/>
      <c r="AK3199" s="57"/>
      <c r="AL3199" s="7"/>
      <c r="AN3199" s="7" t="s">
        <v>70</v>
      </c>
      <c r="AO3199" s="21">
        <f t="shared" si="158"/>
        <v>0</v>
      </c>
      <c r="AP3199" s="7">
        <f t="shared" si="156"/>
        <v>9.73</v>
      </c>
      <c r="AQ3199" s="31" t="str">
        <f t="shared" si="159"/>
        <v>Complete - No Adjustment</v>
      </c>
    </row>
    <row r="3200" spans="1:43" x14ac:dyDescent="0.2">
      <c r="A3200" s="46">
        <v>3190</v>
      </c>
      <c r="B3200" s="38" t="s">
        <v>266</v>
      </c>
      <c r="C3200" s="38" t="s">
        <v>662</v>
      </c>
      <c r="D3200" s="38" t="s">
        <v>661</v>
      </c>
      <c r="E3200" s="38" t="s">
        <v>7447</v>
      </c>
      <c r="F3200" s="38" t="s">
        <v>7219</v>
      </c>
      <c r="G3200" s="38" t="s">
        <v>111</v>
      </c>
      <c r="H3200" s="44">
        <v>44232</v>
      </c>
      <c r="I3200" s="44">
        <v>44251</v>
      </c>
      <c r="J3200">
        <v>98.24</v>
      </c>
      <c r="K3200">
        <v>21.71</v>
      </c>
      <c r="L3200" t="s">
        <v>7448</v>
      </c>
      <c r="M3200" s="45" t="s">
        <v>98</v>
      </c>
      <c r="N3200" s="38" t="s">
        <v>230</v>
      </c>
      <c r="O3200" s="38" t="s">
        <v>323</v>
      </c>
      <c r="P3200" s="38" t="s">
        <v>60</v>
      </c>
      <c r="Q3200" s="38" t="s">
        <v>41</v>
      </c>
      <c r="R3200" s="38" t="s">
        <v>270</v>
      </c>
      <c r="S3200" s="38" t="s">
        <v>7449</v>
      </c>
      <c r="T3200" s="38" t="s">
        <v>7455</v>
      </c>
      <c r="U3200" s="38"/>
      <c r="V3200" s="38"/>
      <c r="W3200" s="38"/>
      <c r="X3200" s="38"/>
      <c r="Y3200" s="57"/>
      <c r="Z3200" s="7"/>
      <c r="AA3200" s="57"/>
      <c r="AB3200" s="7"/>
      <c r="AC3200" s="57"/>
      <c r="AD3200" s="7"/>
      <c r="AE3200" s="57"/>
      <c r="AF3200" s="7"/>
      <c r="AG3200" s="57"/>
      <c r="AH3200" s="7"/>
      <c r="AI3200" s="57"/>
      <c r="AJ3200" s="7"/>
      <c r="AK3200" s="57"/>
      <c r="AL3200" s="7">
        <f>21.71</f>
        <v>21.71</v>
      </c>
      <c r="AN3200" s="7" t="s">
        <v>146</v>
      </c>
      <c r="AO3200" s="21">
        <f t="shared" si="158"/>
        <v>21.71</v>
      </c>
      <c r="AP3200" s="7">
        <f t="shared" ref="AP3200:AP3263" si="160">K3200-AO3200</f>
        <v>0</v>
      </c>
      <c r="AQ3200" s="31" t="str">
        <f t="shared" si="159"/>
        <v>Complete - With Adjustment</v>
      </c>
    </row>
    <row r="3201" spans="1:43" x14ac:dyDescent="0.2">
      <c r="A3201" s="46">
        <v>3191</v>
      </c>
      <c r="B3201" s="38" t="s">
        <v>266</v>
      </c>
      <c r="C3201" s="38" t="s">
        <v>662</v>
      </c>
      <c r="D3201" s="38" t="s">
        <v>661</v>
      </c>
      <c r="E3201" s="38" t="s">
        <v>7447</v>
      </c>
      <c r="F3201" s="38" t="s">
        <v>7219</v>
      </c>
      <c r="G3201" s="38" t="s">
        <v>111</v>
      </c>
      <c r="H3201" s="44">
        <v>44232</v>
      </c>
      <c r="I3201" s="44">
        <v>44251</v>
      </c>
      <c r="J3201">
        <v>98.24</v>
      </c>
      <c r="K3201">
        <v>12.98</v>
      </c>
      <c r="L3201" t="s">
        <v>7448</v>
      </c>
      <c r="M3201" s="45" t="s">
        <v>98</v>
      </c>
      <c r="N3201" s="38" t="s">
        <v>230</v>
      </c>
      <c r="O3201" s="38" t="s">
        <v>323</v>
      </c>
      <c r="P3201" s="38" t="s">
        <v>60</v>
      </c>
      <c r="Q3201" s="38" t="s">
        <v>41</v>
      </c>
      <c r="R3201" s="38" t="s">
        <v>270</v>
      </c>
      <c r="S3201" s="38" t="s">
        <v>7449</v>
      </c>
      <c r="T3201" s="38" t="s">
        <v>7456</v>
      </c>
      <c r="U3201" s="38"/>
      <c r="V3201" s="38"/>
      <c r="W3201" s="38"/>
      <c r="X3201" s="38"/>
      <c r="Y3201" s="57"/>
      <c r="Z3201" s="7"/>
      <c r="AA3201" s="57"/>
      <c r="AB3201" s="7"/>
      <c r="AC3201" s="57"/>
      <c r="AD3201" s="7"/>
      <c r="AE3201" s="57"/>
      <c r="AF3201" s="7"/>
      <c r="AG3201" s="57"/>
      <c r="AH3201" s="7"/>
      <c r="AI3201" s="57"/>
      <c r="AJ3201" s="7"/>
      <c r="AK3201" s="57"/>
      <c r="AL3201" s="7"/>
      <c r="AN3201" s="7" t="s">
        <v>70</v>
      </c>
      <c r="AO3201" s="21">
        <f t="shared" si="158"/>
        <v>0</v>
      </c>
      <c r="AP3201" s="7">
        <f t="shared" si="160"/>
        <v>12.98</v>
      </c>
      <c r="AQ3201" s="31" t="str">
        <f t="shared" si="159"/>
        <v>Complete - No Adjustment</v>
      </c>
    </row>
    <row r="3202" spans="1:43" x14ac:dyDescent="0.2">
      <c r="A3202" s="46">
        <v>3192</v>
      </c>
      <c r="B3202" s="38" t="s">
        <v>266</v>
      </c>
      <c r="C3202" s="38" t="s">
        <v>236</v>
      </c>
      <c r="D3202" s="38" t="s">
        <v>235</v>
      </c>
      <c r="E3202" s="38" t="s">
        <v>7457</v>
      </c>
      <c r="F3202" s="38" t="s">
        <v>7257</v>
      </c>
      <c r="G3202" s="38" t="s">
        <v>111</v>
      </c>
      <c r="H3202" s="44">
        <v>44222</v>
      </c>
      <c r="I3202" s="44">
        <v>44229</v>
      </c>
      <c r="J3202">
        <v>11.9</v>
      </c>
      <c r="K3202">
        <v>2.98</v>
      </c>
      <c r="L3202" t="s">
        <v>7458</v>
      </c>
      <c r="M3202" s="45" t="s">
        <v>98</v>
      </c>
      <c r="N3202" s="38" t="s">
        <v>230</v>
      </c>
      <c r="O3202" s="38" t="s">
        <v>326</v>
      </c>
      <c r="P3202" s="38" t="s">
        <v>60</v>
      </c>
      <c r="Q3202" s="38" t="s">
        <v>46</v>
      </c>
      <c r="R3202" s="38" t="s">
        <v>270</v>
      </c>
      <c r="S3202" s="38" t="s">
        <v>7459</v>
      </c>
      <c r="T3202" s="38" t="s">
        <v>7460</v>
      </c>
      <c r="U3202" s="38"/>
      <c r="V3202" s="38"/>
      <c r="W3202" s="38"/>
      <c r="X3202" s="38"/>
      <c r="Y3202" s="57"/>
      <c r="Z3202" s="7"/>
      <c r="AA3202" s="57"/>
      <c r="AB3202" s="7"/>
      <c r="AC3202" s="57"/>
      <c r="AD3202" s="7"/>
      <c r="AE3202" s="57"/>
      <c r="AF3202" s="7"/>
      <c r="AG3202" s="57"/>
      <c r="AH3202" s="7"/>
      <c r="AI3202" s="57"/>
      <c r="AJ3202" s="7"/>
      <c r="AK3202" s="57"/>
      <c r="AL3202" s="7"/>
      <c r="AN3202" s="7" t="s">
        <v>155</v>
      </c>
      <c r="AO3202" s="21">
        <f t="shared" si="158"/>
        <v>0</v>
      </c>
      <c r="AP3202" s="7">
        <f t="shared" si="160"/>
        <v>2.98</v>
      </c>
      <c r="AQ3202" s="31" t="str">
        <f t="shared" si="159"/>
        <v>Complete - No Adjustment</v>
      </c>
    </row>
    <row r="3203" spans="1:43" x14ac:dyDescent="0.2">
      <c r="A3203" s="46">
        <v>3193</v>
      </c>
      <c r="B3203" s="38" t="s">
        <v>266</v>
      </c>
      <c r="C3203" s="38" t="s">
        <v>737</v>
      </c>
      <c r="D3203" s="38" t="s">
        <v>736</v>
      </c>
      <c r="E3203" s="38" t="s">
        <v>7461</v>
      </c>
      <c r="F3203" s="38" t="s">
        <v>7243</v>
      </c>
      <c r="G3203" s="38" t="s">
        <v>111</v>
      </c>
      <c r="H3203" s="44">
        <v>44223</v>
      </c>
      <c r="I3203" s="44">
        <v>44231</v>
      </c>
      <c r="J3203">
        <v>15</v>
      </c>
      <c r="K3203">
        <v>15</v>
      </c>
      <c r="L3203" t="s">
        <v>7462</v>
      </c>
      <c r="M3203" s="45" t="s">
        <v>98</v>
      </c>
      <c r="N3203" s="38" t="s">
        <v>230</v>
      </c>
      <c r="O3203" s="38" t="s">
        <v>397</v>
      </c>
      <c r="P3203" s="38" t="s">
        <v>60</v>
      </c>
      <c r="Q3203" s="38" t="s">
        <v>46</v>
      </c>
      <c r="R3203" s="38" t="s">
        <v>270</v>
      </c>
      <c r="S3203" s="38" t="s">
        <v>7463</v>
      </c>
      <c r="T3203" s="38" t="s">
        <v>7464</v>
      </c>
      <c r="U3203" s="38"/>
      <c r="V3203" s="38"/>
      <c r="W3203" s="38"/>
      <c r="X3203" s="38"/>
      <c r="Y3203" s="57"/>
      <c r="Z3203" s="7"/>
      <c r="AA3203" s="57"/>
      <c r="AB3203" s="7"/>
      <c r="AC3203" s="57"/>
      <c r="AD3203" s="7"/>
      <c r="AE3203" s="57"/>
      <c r="AF3203" s="7"/>
      <c r="AG3203" s="57"/>
      <c r="AH3203" s="7"/>
      <c r="AI3203" s="57"/>
      <c r="AJ3203" s="7"/>
      <c r="AK3203" s="57"/>
      <c r="AL3203" s="7"/>
      <c r="AN3203" s="7" t="s">
        <v>155</v>
      </c>
      <c r="AO3203" s="21">
        <f t="shared" si="158"/>
        <v>0</v>
      </c>
      <c r="AP3203" s="7">
        <f t="shared" si="160"/>
        <v>15</v>
      </c>
      <c r="AQ3203" s="31" t="str">
        <f t="shared" si="159"/>
        <v>Complete - No Adjustment</v>
      </c>
    </row>
    <row r="3204" spans="1:43" x14ac:dyDescent="0.2">
      <c r="A3204" s="46">
        <v>3194</v>
      </c>
      <c r="B3204" s="38" t="s">
        <v>266</v>
      </c>
      <c r="C3204" s="38" t="s">
        <v>778</v>
      </c>
      <c r="D3204" s="38" t="s">
        <v>777</v>
      </c>
      <c r="E3204" s="38" t="s">
        <v>7465</v>
      </c>
      <c r="F3204" s="38" t="s">
        <v>7210</v>
      </c>
      <c r="G3204" s="38" t="s">
        <v>111</v>
      </c>
      <c r="H3204" s="44">
        <v>44228</v>
      </c>
      <c r="I3204" s="44">
        <v>44243</v>
      </c>
      <c r="J3204">
        <v>897.44</v>
      </c>
      <c r="K3204">
        <v>27.05</v>
      </c>
      <c r="L3204" t="s">
        <v>7466</v>
      </c>
      <c r="M3204" s="45" t="s">
        <v>97</v>
      </c>
      <c r="N3204" s="38" t="s">
        <v>230</v>
      </c>
      <c r="O3204" s="38" t="s">
        <v>365</v>
      </c>
      <c r="P3204" s="38" t="s">
        <v>42</v>
      </c>
      <c r="Q3204" s="38" t="s">
        <v>55</v>
      </c>
      <c r="R3204" s="38" t="s">
        <v>270</v>
      </c>
      <c r="S3204" s="38" t="s">
        <v>7467</v>
      </c>
      <c r="T3204" s="38" t="s">
        <v>7468</v>
      </c>
      <c r="U3204" s="38"/>
      <c r="V3204" s="38"/>
      <c r="W3204" s="38"/>
      <c r="X3204" s="38"/>
      <c r="Y3204" s="57"/>
      <c r="Z3204" s="7"/>
      <c r="AA3204" s="57"/>
      <c r="AB3204" s="7"/>
      <c r="AC3204" s="57"/>
      <c r="AD3204" s="7"/>
      <c r="AE3204" s="57"/>
      <c r="AF3204" s="7"/>
      <c r="AG3204" s="57"/>
      <c r="AH3204" s="7"/>
      <c r="AI3204" s="57">
        <f>27.05</f>
        <v>27.05</v>
      </c>
      <c r="AJ3204" s="7"/>
      <c r="AK3204" s="57"/>
      <c r="AL3204" s="7"/>
      <c r="AN3204" s="7" t="s">
        <v>145</v>
      </c>
      <c r="AO3204" s="21">
        <f t="shared" si="158"/>
        <v>27.05</v>
      </c>
      <c r="AP3204" s="7">
        <f t="shared" si="160"/>
        <v>0</v>
      </c>
      <c r="AQ3204" s="31" t="str">
        <f t="shared" si="159"/>
        <v>Complete - With Adjustment</v>
      </c>
    </row>
    <row r="3205" spans="1:43" x14ac:dyDescent="0.2">
      <c r="A3205" s="46">
        <v>3195</v>
      </c>
      <c r="B3205" s="38" t="s">
        <v>266</v>
      </c>
      <c r="C3205" s="38" t="s">
        <v>778</v>
      </c>
      <c r="D3205" s="38" t="s">
        <v>777</v>
      </c>
      <c r="E3205" s="38" t="s">
        <v>7465</v>
      </c>
      <c r="F3205" s="38" t="s">
        <v>7210</v>
      </c>
      <c r="G3205" s="38" t="s">
        <v>111</v>
      </c>
      <c r="H3205" s="44">
        <v>44228</v>
      </c>
      <c r="I3205" s="44">
        <v>44243</v>
      </c>
      <c r="J3205">
        <v>897.44</v>
      </c>
      <c r="K3205">
        <v>275.39999999999998</v>
      </c>
      <c r="L3205" t="s">
        <v>7466</v>
      </c>
      <c r="M3205" s="45" t="s">
        <v>98</v>
      </c>
      <c r="N3205" s="38" t="s">
        <v>230</v>
      </c>
      <c r="O3205" s="38" t="s">
        <v>365</v>
      </c>
      <c r="P3205" s="38" t="s">
        <v>60</v>
      </c>
      <c r="Q3205" s="38" t="s">
        <v>41</v>
      </c>
      <c r="R3205" s="38" t="s">
        <v>270</v>
      </c>
      <c r="S3205" s="38" t="s">
        <v>7467</v>
      </c>
      <c r="T3205" s="38" t="s">
        <v>7469</v>
      </c>
      <c r="U3205" s="38"/>
      <c r="V3205" s="38"/>
      <c r="W3205" s="38"/>
      <c r="X3205" s="38"/>
      <c r="Y3205" s="57"/>
      <c r="Z3205" s="7"/>
      <c r="AA3205" s="57"/>
      <c r="AB3205" s="7"/>
      <c r="AC3205" s="57"/>
      <c r="AD3205" s="7"/>
      <c r="AE3205" s="57"/>
      <c r="AF3205" s="7"/>
      <c r="AG3205" s="57"/>
      <c r="AH3205" s="7"/>
      <c r="AI3205" s="57">
        <f>275.4</f>
        <v>275.39999999999998</v>
      </c>
      <c r="AJ3205" s="7"/>
      <c r="AK3205" s="57"/>
      <c r="AL3205" s="7"/>
      <c r="AN3205" s="7" t="s">
        <v>145</v>
      </c>
      <c r="AO3205" s="21">
        <f t="shared" si="158"/>
        <v>275.39999999999998</v>
      </c>
      <c r="AP3205" s="7">
        <f t="shared" si="160"/>
        <v>0</v>
      </c>
      <c r="AQ3205" s="31" t="str">
        <f t="shared" si="159"/>
        <v>Complete - With Adjustment</v>
      </c>
    </row>
    <row r="3206" spans="1:43" x14ac:dyDescent="0.2">
      <c r="A3206" s="46">
        <v>3196</v>
      </c>
      <c r="B3206" s="38" t="s">
        <v>266</v>
      </c>
      <c r="C3206" s="38" t="s">
        <v>778</v>
      </c>
      <c r="D3206" s="38" t="s">
        <v>777</v>
      </c>
      <c r="E3206" s="38" t="s">
        <v>7465</v>
      </c>
      <c r="F3206" s="38" t="s">
        <v>7210</v>
      </c>
      <c r="G3206" s="38" t="s">
        <v>111</v>
      </c>
      <c r="H3206" s="44">
        <v>44228</v>
      </c>
      <c r="I3206" s="44">
        <v>44243</v>
      </c>
      <c r="J3206">
        <v>897.44</v>
      </c>
      <c r="K3206">
        <v>25</v>
      </c>
      <c r="L3206" t="s">
        <v>7466</v>
      </c>
      <c r="M3206" s="45" t="s">
        <v>97</v>
      </c>
      <c r="N3206" s="38" t="s">
        <v>230</v>
      </c>
      <c r="O3206" s="38" t="s">
        <v>365</v>
      </c>
      <c r="P3206" s="38" t="s">
        <v>42</v>
      </c>
      <c r="Q3206" s="38" t="s">
        <v>55</v>
      </c>
      <c r="R3206" s="38" t="s">
        <v>270</v>
      </c>
      <c r="S3206" s="38" t="s">
        <v>7467</v>
      </c>
      <c r="T3206" s="38" t="s">
        <v>7470</v>
      </c>
      <c r="U3206" s="38"/>
      <c r="V3206" s="38"/>
      <c r="W3206" s="38"/>
      <c r="X3206" s="38"/>
      <c r="Y3206" s="57"/>
      <c r="Z3206" s="7"/>
      <c r="AA3206" s="57"/>
      <c r="AB3206" s="7"/>
      <c r="AC3206" s="57"/>
      <c r="AD3206" s="7"/>
      <c r="AE3206" s="57"/>
      <c r="AF3206" s="7"/>
      <c r="AG3206" s="57"/>
      <c r="AH3206" s="7"/>
      <c r="AI3206" s="57">
        <f>25</f>
        <v>25</v>
      </c>
      <c r="AJ3206" s="7"/>
      <c r="AK3206" s="57"/>
      <c r="AL3206" s="7"/>
      <c r="AN3206" s="7" t="s">
        <v>145</v>
      </c>
      <c r="AO3206" s="21">
        <f t="shared" si="158"/>
        <v>25</v>
      </c>
      <c r="AP3206" s="7">
        <f t="shared" si="160"/>
        <v>0</v>
      </c>
      <c r="AQ3206" s="31" t="str">
        <f t="shared" si="159"/>
        <v>Complete - With Adjustment</v>
      </c>
    </row>
    <row r="3207" spans="1:43" x14ac:dyDescent="0.2">
      <c r="A3207" s="46">
        <v>3197</v>
      </c>
      <c r="B3207" s="38" t="s">
        <v>266</v>
      </c>
      <c r="C3207" s="38" t="s">
        <v>778</v>
      </c>
      <c r="D3207" s="38" t="s">
        <v>777</v>
      </c>
      <c r="E3207" s="38" t="s">
        <v>7465</v>
      </c>
      <c r="F3207" s="38" t="s">
        <v>7210</v>
      </c>
      <c r="G3207" s="38" t="s">
        <v>111</v>
      </c>
      <c r="H3207" s="44">
        <v>44228</v>
      </c>
      <c r="I3207" s="44">
        <v>44243</v>
      </c>
      <c r="J3207">
        <v>897.44</v>
      </c>
      <c r="K3207">
        <v>25</v>
      </c>
      <c r="L3207" t="s">
        <v>7466</v>
      </c>
      <c r="M3207" s="45" t="s">
        <v>97</v>
      </c>
      <c r="N3207" s="38" t="s">
        <v>230</v>
      </c>
      <c r="O3207" s="38" t="s">
        <v>365</v>
      </c>
      <c r="P3207" s="38" t="s">
        <v>42</v>
      </c>
      <c r="Q3207" s="38" t="s">
        <v>55</v>
      </c>
      <c r="R3207" s="38" t="s">
        <v>270</v>
      </c>
      <c r="S3207" s="38" t="s">
        <v>7467</v>
      </c>
      <c r="T3207" s="38" t="s">
        <v>7471</v>
      </c>
      <c r="U3207" s="38"/>
      <c r="V3207" s="38"/>
      <c r="W3207" s="38"/>
      <c r="X3207" s="38"/>
      <c r="Y3207" s="57"/>
      <c r="Z3207" s="7"/>
      <c r="AA3207" s="57"/>
      <c r="AB3207" s="7"/>
      <c r="AC3207" s="57"/>
      <c r="AD3207" s="7"/>
      <c r="AE3207" s="57"/>
      <c r="AF3207" s="7"/>
      <c r="AG3207" s="57"/>
      <c r="AH3207" s="7"/>
      <c r="AI3207" s="57">
        <f>25</f>
        <v>25</v>
      </c>
      <c r="AJ3207" s="7"/>
      <c r="AK3207" s="57"/>
      <c r="AL3207" s="7"/>
      <c r="AN3207" s="7" t="s">
        <v>145</v>
      </c>
      <c r="AO3207" s="21">
        <f t="shared" si="158"/>
        <v>25</v>
      </c>
      <c r="AP3207" s="7">
        <f t="shared" si="160"/>
        <v>0</v>
      </c>
      <c r="AQ3207" s="31" t="str">
        <f t="shared" si="159"/>
        <v>Complete - With Adjustment</v>
      </c>
    </row>
    <row r="3208" spans="1:43" x14ac:dyDescent="0.2">
      <c r="A3208" s="46">
        <v>3198</v>
      </c>
      <c r="B3208" s="38" t="s">
        <v>266</v>
      </c>
      <c r="C3208" s="38" t="s">
        <v>778</v>
      </c>
      <c r="D3208" s="38" t="s">
        <v>777</v>
      </c>
      <c r="E3208" s="38" t="s">
        <v>7465</v>
      </c>
      <c r="F3208" s="38" t="s">
        <v>7210</v>
      </c>
      <c r="G3208" s="38" t="s">
        <v>111</v>
      </c>
      <c r="H3208" s="44">
        <v>44228</v>
      </c>
      <c r="I3208" s="44">
        <v>44243</v>
      </c>
      <c r="J3208">
        <v>897.44</v>
      </c>
      <c r="K3208">
        <v>13.1</v>
      </c>
      <c r="L3208" t="s">
        <v>7466</v>
      </c>
      <c r="M3208" s="45" t="s">
        <v>98</v>
      </c>
      <c r="N3208" s="38" t="s">
        <v>230</v>
      </c>
      <c r="O3208" s="38" t="s">
        <v>365</v>
      </c>
      <c r="P3208" s="38" t="s">
        <v>60</v>
      </c>
      <c r="Q3208" s="38" t="s">
        <v>41</v>
      </c>
      <c r="R3208" s="38" t="s">
        <v>270</v>
      </c>
      <c r="S3208" s="38" t="s">
        <v>7467</v>
      </c>
      <c r="T3208" s="38" t="s">
        <v>7472</v>
      </c>
      <c r="U3208" s="38"/>
      <c r="V3208" s="38"/>
      <c r="W3208" s="38"/>
      <c r="X3208" s="38"/>
      <c r="Y3208" s="57"/>
      <c r="Z3208" s="7"/>
      <c r="AA3208" s="57"/>
      <c r="AB3208" s="7"/>
      <c r="AC3208" s="57"/>
      <c r="AD3208" s="7"/>
      <c r="AE3208" s="57"/>
      <c r="AF3208" s="7"/>
      <c r="AG3208" s="57"/>
      <c r="AH3208" s="7"/>
      <c r="AI3208" s="57">
        <f>13.1</f>
        <v>13.1</v>
      </c>
      <c r="AJ3208" s="7"/>
      <c r="AK3208" s="57"/>
      <c r="AL3208" s="7"/>
      <c r="AN3208" s="7" t="s">
        <v>145</v>
      </c>
      <c r="AO3208" s="21">
        <f t="shared" ref="AO3208:AO3271" si="161">SUM(Y3208:AL3208)</f>
        <v>13.1</v>
      </c>
      <c r="AP3208" s="7">
        <f t="shared" si="160"/>
        <v>0</v>
      </c>
      <c r="AQ3208" s="31" t="str">
        <f t="shared" ref="AQ3208:AQ3271" si="162">IF(AO3208&lt;&gt;0,"Complete - With Adjustment","Complete - No Adjustment")</f>
        <v>Complete - With Adjustment</v>
      </c>
    </row>
    <row r="3209" spans="1:43" x14ac:dyDescent="0.2">
      <c r="A3209" s="46">
        <v>3199</v>
      </c>
      <c r="B3209" s="38" t="s">
        <v>266</v>
      </c>
      <c r="C3209" s="38" t="s">
        <v>778</v>
      </c>
      <c r="D3209" s="38" t="s">
        <v>777</v>
      </c>
      <c r="E3209" s="38" t="s">
        <v>7465</v>
      </c>
      <c r="F3209" s="38" t="s">
        <v>7210</v>
      </c>
      <c r="G3209" s="38" t="s">
        <v>111</v>
      </c>
      <c r="H3209" s="44">
        <v>44228</v>
      </c>
      <c r="I3209" s="44">
        <v>44243</v>
      </c>
      <c r="J3209">
        <v>897.44</v>
      </c>
      <c r="K3209">
        <v>11.9</v>
      </c>
      <c r="L3209" t="s">
        <v>7466</v>
      </c>
      <c r="M3209" s="45" t="s">
        <v>98</v>
      </c>
      <c r="N3209" s="38" t="s">
        <v>230</v>
      </c>
      <c r="O3209" s="38" t="s">
        <v>365</v>
      </c>
      <c r="P3209" s="38" t="s">
        <v>60</v>
      </c>
      <c r="Q3209" s="38" t="s">
        <v>41</v>
      </c>
      <c r="R3209" s="38" t="s">
        <v>270</v>
      </c>
      <c r="S3209" s="38" t="s">
        <v>7467</v>
      </c>
      <c r="T3209" s="38" t="s">
        <v>7473</v>
      </c>
      <c r="U3209" s="38"/>
      <c r="V3209" s="38"/>
      <c r="W3209" s="38"/>
      <c r="X3209" s="38"/>
      <c r="Y3209" s="57"/>
      <c r="Z3209" s="7"/>
      <c r="AA3209" s="57"/>
      <c r="AB3209" s="7"/>
      <c r="AC3209" s="57"/>
      <c r="AD3209" s="7"/>
      <c r="AE3209" s="57"/>
      <c r="AF3209" s="7"/>
      <c r="AG3209" s="57"/>
      <c r="AH3209" s="7"/>
      <c r="AI3209" s="57">
        <f>11.9</f>
        <v>11.9</v>
      </c>
      <c r="AJ3209" s="7"/>
      <c r="AK3209" s="57"/>
      <c r="AL3209" s="7"/>
      <c r="AN3209" s="7" t="s">
        <v>145</v>
      </c>
      <c r="AO3209" s="21">
        <f t="shared" si="161"/>
        <v>11.9</v>
      </c>
      <c r="AP3209" s="7">
        <f t="shared" si="160"/>
        <v>0</v>
      </c>
      <c r="AQ3209" s="31" t="str">
        <f t="shared" si="162"/>
        <v>Complete - With Adjustment</v>
      </c>
    </row>
    <row r="3210" spans="1:43" x14ac:dyDescent="0.2">
      <c r="A3210" s="46">
        <v>3200</v>
      </c>
      <c r="B3210" s="38" t="s">
        <v>266</v>
      </c>
      <c r="C3210" s="38" t="s">
        <v>778</v>
      </c>
      <c r="D3210" s="38" t="s">
        <v>777</v>
      </c>
      <c r="E3210" s="38" t="s">
        <v>7465</v>
      </c>
      <c r="F3210" s="38" t="s">
        <v>7210</v>
      </c>
      <c r="G3210" s="38" t="s">
        <v>111</v>
      </c>
      <c r="H3210" s="44">
        <v>44228</v>
      </c>
      <c r="I3210" s="44">
        <v>44243</v>
      </c>
      <c r="J3210">
        <v>897.44</v>
      </c>
      <c r="K3210">
        <v>28.17</v>
      </c>
      <c r="L3210" t="s">
        <v>7466</v>
      </c>
      <c r="M3210" s="45" t="s">
        <v>98</v>
      </c>
      <c r="N3210" s="38" t="s">
        <v>230</v>
      </c>
      <c r="O3210" s="38" t="s">
        <v>365</v>
      </c>
      <c r="P3210" s="38" t="s">
        <v>60</v>
      </c>
      <c r="Q3210" s="38" t="s">
        <v>41</v>
      </c>
      <c r="R3210" s="38" t="s">
        <v>270</v>
      </c>
      <c r="S3210" s="38" t="s">
        <v>7467</v>
      </c>
      <c r="T3210" s="38" t="s">
        <v>7474</v>
      </c>
      <c r="U3210" s="38"/>
      <c r="V3210" s="38"/>
      <c r="W3210" s="38"/>
      <c r="X3210" s="38"/>
      <c r="Y3210" s="57"/>
      <c r="Z3210" s="7"/>
      <c r="AA3210" s="57"/>
      <c r="AB3210" s="7"/>
      <c r="AC3210" s="57"/>
      <c r="AD3210" s="7"/>
      <c r="AE3210" s="57"/>
      <c r="AF3210" s="7"/>
      <c r="AG3210" s="57"/>
      <c r="AH3210" s="7"/>
      <c r="AI3210" s="57">
        <v>28.17</v>
      </c>
      <c r="AJ3210" s="7"/>
      <c r="AK3210" s="57"/>
      <c r="AL3210" s="7"/>
      <c r="AN3210" s="7" t="s">
        <v>145</v>
      </c>
      <c r="AO3210" s="21">
        <f t="shared" si="161"/>
        <v>28.17</v>
      </c>
      <c r="AP3210" s="7">
        <f t="shared" si="160"/>
        <v>0</v>
      </c>
      <c r="AQ3210" s="31" t="str">
        <f t="shared" si="162"/>
        <v>Complete - With Adjustment</v>
      </c>
    </row>
    <row r="3211" spans="1:43" x14ac:dyDescent="0.2">
      <c r="A3211" s="46">
        <v>3201</v>
      </c>
      <c r="B3211" s="38" t="s">
        <v>266</v>
      </c>
      <c r="C3211" s="38" t="s">
        <v>778</v>
      </c>
      <c r="D3211" s="38" t="s">
        <v>777</v>
      </c>
      <c r="E3211" s="38" t="s">
        <v>7465</v>
      </c>
      <c r="F3211" s="38" t="s">
        <v>7210</v>
      </c>
      <c r="G3211" s="38" t="s">
        <v>111</v>
      </c>
      <c r="H3211" s="44">
        <v>44228</v>
      </c>
      <c r="I3211" s="44">
        <v>44243</v>
      </c>
      <c r="J3211">
        <v>897.44</v>
      </c>
      <c r="K3211">
        <v>200</v>
      </c>
      <c r="L3211" t="s">
        <v>7466</v>
      </c>
      <c r="M3211" s="45" t="s">
        <v>97</v>
      </c>
      <c r="N3211" s="38" t="s">
        <v>230</v>
      </c>
      <c r="O3211" s="38" t="s">
        <v>365</v>
      </c>
      <c r="P3211" s="38" t="s">
        <v>42</v>
      </c>
      <c r="Q3211" s="38" t="s">
        <v>55</v>
      </c>
      <c r="R3211" s="38" t="s">
        <v>270</v>
      </c>
      <c r="S3211" s="38" t="s">
        <v>7467</v>
      </c>
      <c r="T3211" s="38" t="s">
        <v>7475</v>
      </c>
      <c r="U3211" s="38"/>
      <c r="V3211" s="38"/>
      <c r="W3211" s="38"/>
      <c r="X3211" s="38"/>
      <c r="Y3211" s="57"/>
      <c r="Z3211" s="7"/>
      <c r="AA3211" s="57"/>
      <c r="AB3211" s="7"/>
      <c r="AC3211" s="57"/>
      <c r="AD3211" s="7"/>
      <c r="AE3211" s="57"/>
      <c r="AF3211" s="7"/>
      <c r="AG3211" s="57"/>
      <c r="AH3211" s="7"/>
      <c r="AI3211" s="57">
        <f>200</f>
        <v>200</v>
      </c>
      <c r="AJ3211" s="7"/>
      <c r="AK3211" s="57"/>
      <c r="AL3211" s="7"/>
      <c r="AN3211" s="7" t="s">
        <v>145</v>
      </c>
      <c r="AO3211" s="21">
        <f t="shared" si="161"/>
        <v>200</v>
      </c>
      <c r="AP3211" s="7">
        <f t="shared" si="160"/>
        <v>0</v>
      </c>
      <c r="AQ3211" s="31" t="str">
        <f t="shared" si="162"/>
        <v>Complete - With Adjustment</v>
      </c>
    </row>
    <row r="3212" spans="1:43" x14ac:dyDescent="0.2">
      <c r="A3212" s="46">
        <v>3202</v>
      </c>
      <c r="B3212" s="38" t="s">
        <v>266</v>
      </c>
      <c r="C3212" s="38" t="s">
        <v>778</v>
      </c>
      <c r="D3212" s="38" t="s">
        <v>777</v>
      </c>
      <c r="E3212" s="38" t="s">
        <v>7465</v>
      </c>
      <c r="F3212" s="38" t="s">
        <v>7210</v>
      </c>
      <c r="G3212" s="38" t="s">
        <v>111</v>
      </c>
      <c r="H3212" s="44">
        <v>44228</v>
      </c>
      <c r="I3212" s="44">
        <v>44243</v>
      </c>
      <c r="J3212">
        <v>897.44</v>
      </c>
      <c r="K3212">
        <v>97.43</v>
      </c>
      <c r="L3212" t="s">
        <v>7466</v>
      </c>
      <c r="M3212" s="45" t="s">
        <v>98</v>
      </c>
      <c r="N3212" s="38" t="s">
        <v>230</v>
      </c>
      <c r="O3212" s="38" t="s">
        <v>365</v>
      </c>
      <c r="P3212" s="38" t="s">
        <v>60</v>
      </c>
      <c r="Q3212" s="38" t="s">
        <v>46</v>
      </c>
      <c r="R3212" s="38" t="s">
        <v>270</v>
      </c>
      <c r="S3212" s="38" t="s">
        <v>7467</v>
      </c>
      <c r="T3212" s="38" t="s">
        <v>7476</v>
      </c>
      <c r="U3212" s="38"/>
      <c r="V3212" s="38"/>
      <c r="W3212" s="38"/>
      <c r="X3212" s="38"/>
      <c r="Y3212" s="57"/>
      <c r="Z3212" s="7"/>
      <c r="AA3212" s="57"/>
      <c r="AB3212" s="7"/>
      <c r="AC3212" s="57"/>
      <c r="AD3212" s="7"/>
      <c r="AE3212" s="57"/>
      <c r="AF3212" s="7"/>
      <c r="AG3212" s="57"/>
      <c r="AH3212" s="7"/>
      <c r="AI3212" s="57">
        <f>97.43</f>
        <v>97.43</v>
      </c>
      <c r="AJ3212" s="7"/>
      <c r="AK3212" s="57"/>
      <c r="AL3212" s="7"/>
      <c r="AN3212" s="7" t="s">
        <v>145</v>
      </c>
      <c r="AO3212" s="21">
        <f t="shared" si="161"/>
        <v>97.43</v>
      </c>
      <c r="AP3212" s="7">
        <f t="shared" si="160"/>
        <v>0</v>
      </c>
      <c r="AQ3212" s="31" t="str">
        <f t="shared" si="162"/>
        <v>Complete - With Adjustment</v>
      </c>
    </row>
    <row r="3213" spans="1:43" x14ac:dyDescent="0.2">
      <c r="A3213" s="46">
        <v>3203</v>
      </c>
      <c r="B3213" s="38" t="s">
        <v>266</v>
      </c>
      <c r="C3213" s="38" t="s">
        <v>778</v>
      </c>
      <c r="D3213" s="38" t="s">
        <v>777</v>
      </c>
      <c r="E3213" s="38" t="s">
        <v>7465</v>
      </c>
      <c r="F3213" s="38" t="s">
        <v>7210</v>
      </c>
      <c r="G3213" s="38" t="s">
        <v>111</v>
      </c>
      <c r="H3213" s="44">
        <v>44228</v>
      </c>
      <c r="I3213" s="44">
        <v>44243</v>
      </c>
      <c r="J3213">
        <v>897.44</v>
      </c>
      <c r="K3213">
        <v>25</v>
      </c>
      <c r="L3213" t="s">
        <v>7466</v>
      </c>
      <c r="M3213" s="45" t="s">
        <v>97</v>
      </c>
      <c r="N3213" s="38" t="s">
        <v>230</v>
      </c>
      <c r="O3213" s="38" t="s">
        <v>365</v>
      </c>
      <c r="P3213" s="38" t="s">
        <v>42</v>
      </c>
      <c r="Q3213" s="38" t="s">
        <v>55</v>
      </c>
      <c r="R3213" s="38" t="s">
        <v>270</v>
      </c>
      <c r="S3213" s="38" t="s">
        <v>7467</v>
      </c>
      <c r="T3213" s="38" t="s">
        <v>7471</v>
      </c>
      <c r="U3213" s="38"/>
      <c r="V3213" s="38"/>
      <c r="W3213" s="38"/>
      <c r="X3213" s="38"/>
      <c r="Y3213" s="57"/>
      <c r="Z3213" s="7"/>
      <c r="AA3213" s="57"/>
      <c r="AB3213" s="7"/>
      <c r="AC3213" s="57"/>
      <c r="AD3213" s="7"/>
      <c r="AE3213" s="57"/>
      <c r="AF3213" s="7"/>
      <c r="AG3213" s="57"/>
      <c r="AH3213" s="7"/>
      <c r="AI3213" s="57">
        <f>25</f>
        <v>25</v>
      </c>
      <c r="AJ3213" s="7"/>
      <c r="AK3213" s="57"/>
      <c r="AL3213" s="7"/>
      <c r="AN3213" s="7" t="s">
        <v>145</v>
      </c>
      <c r="AO3213" s="21">
        <f t="shared" si="161"/>
        <v>25</v>
      </c>
      <c r="AP3213" s="7">
        <f t="shared" si="160"/>
        <v>0</v>
      </c>
      <c r="AQ3213" s="31" t="str">
        <f t="shared" si="162"/>
        <v>Complete - With Adjustment</v>
      </c>
    </row>
    <row r="3214" spans="1:43" x14ac:dyDescent="0.2">
      <c r="A3214" s="46">
        <v>3204</v>
      </c>
      <c r="B3214" s="38" t="s">
        <v>266</v>
      </c>
      <c r="C3214" s="38" t="s">
        <v>778</v>
      </c>
      <c r="D3214" s="38" t="s">
        <v>777</v>
      </c>
      <c r="E3214" s="38" t="s">
        <v>7465</v>
      </c>
      <c r="F3214" s="38" t="s">
        <v>7210</v>
      </c>
      <c r="G3214" s="38" t="s">
        <v>111</v>
      </c>
      <c r="H3214" s="44">
        <v>44228</v>
      </c>
      <c r="I3214" s="44">
        <v>44243</v>
      </c>
      <c r="J3214">
        <v>897.44</v>
      </c>
      <c r="K3214">
        <v>77.88</v>
      </c>
      <c r="L3214" t="s">
        <v>7466</v>
      </c>
      <c r="M3214" s="45" t="s">
        <v>98</v>
      </c>
      <c r="N3214" s="38" t="s">
        <v>230</v>
      </c>
      <c r="O3214" s="38" t="s">
        <v>365</v>
      </c>
      <c r="P3214" s="38" t="s">
        <v>60</v>
      </c>
      <c r="Q3214" s="38" t="s">
        <v>46</v>
      </c>
      <c r="R3214" s="38" t="s">
        <v>270</v>
      </c>
      <c r="S3214" s="38" t="s">
        <v>7467</v>
      </c>
      <c r="T3214" s="38" t="s">
        <v>7477</v>
      </c>
      <c r="U3214" s="38"/>
      <c r="V3214" s="38"/>
      <c r="W3214" s="38"/>
      <c r="X3214" s="38"/>
      <c r="Y3214" s="57"/>
      <c r="Z3214" s="7"/>
      <c r="AA3214" s="57"/>
      <c r="AB3214" s="7"/>
      <c r="AC3214" s="57"/>
      <c r="AD3214" s="7"/>
      <c r="AE3214" s="57"/>
      <c r="AF3214" s="7"/>
      <c r="AG3214" s="57"/>
      <c r="AH3214" s="7"/>
      <c r="AI3214" s="57">
        <f>77.88</f>
        <v>77.88</v>
      </c>
      <c r="AJ3214" s="7"/>
      <c r="AK3214" s="57"/>
      <c r="AL3214" s="7"/>
      <c r="AN3214" s="7" t="s">
        <v>145</v>
      </c>
      <c r="AO3214" s="21">
        <f t="shared" si="161"/>
        <v>77.88</v>
      </c>
      <c r="AP3214" s="7">
        <f t="shared" si="160"/>
        <v>0</v>
      </c>
      <c r="AQ3214" s="31" t="str">
        <f t="shared" si="162"/>
        <v>Complete - With Adjustment</v>
      </c>
    </row>
    <row r="3215" spans="1:43" x14ac:dyDescent="0.2">
      <c r="A3215" s="46">
        <v>3205</v>
      </c>
      <c r="B3215" s="38" t="s">
        <v>266</v>
      </c>
      <c r="C3215" s="38" t="s">
        <v>778</v>
      </c>
      <c r="D3215" s="38" t="s">
        <v>777</v>
      </c>
      <c r="E3215" s="38" t="s">
        <v>7465</v>
      </c>
      <c r="F3215" s="38" t="s">
        <v>7210</v>
      </c>
      <c r="G3215" s="38" t="s">
        <v>111</v>
      </c>
      <c r="H3215" s="44">
        <v>44228</v>
      </c>
      <c r="I3215" s="44">
        <v>44243</v>
      </c>
      <c r="J3215">
        <v>897.44</v>
      </c>
      <c r="K3215">
        <v>80.05</v>
      </c>
      <c r="L3215" t="s">
        <v>7466</v>
      </c>
      <c r="M3215" s="45" t="s">
        <v>97</v>
      </c>
      <c r="N3215" s="38" t="s">
        <v>230</v>
      </c>
      <c r="O3215" s="38" t="s">
        <v>365</v>
      </c>
      <c r="P3215" s="38" t="s">
        <v>42</v>
      </c>
      <c r="Q3215" s="38" t="s">
        <v>55</v>
      </c>
      <c r="R3215" s="38" t="s">
        <v>270</v>
      </c>
      <c r="S3215" s="38" t="s">
        <v>7467</v>
      </c>
      <c r="T3215" s="38" t="s">
        <v>7468</v>
      </c>
      <c r="U3215" s="38"/>
      <c r="V3215" s="38"/>
      <c r="W3215" s="38"/>
      <c r="X3215" s="38"/>
      <c r="Y3215" s="57"/>
      <c r="Z3215" s="7"/>
      <c r="AA3215" s="57"/>
      <c r="AB3215" s="7"/>
      <c r="AC3215" s="57"/>
      <c r="AD3215" s="7"/>
      <c r="AE3215" s="57"/>
      <c r="AF3215" s="7"/>
      <c r="AG3215" s="57"/>
      <c r="AH3215" s="7"/>
      <c r="AI3215" s="57">
        <f>80.05</f>
        <v>80.05</v>
      </c>
      <c r="AJ3215" s="7"/>
      <c r="AK3215" s="57"/>
      <c r="AL3215" s="7"/>
      <c r="AN3215" s="7" t="s">
        <v>145</v>
      </c>
      <c r="AO3215" s="21">
        <f t="shared" si="161"/>
        <v>80.05</v>
      </c>
      <c r="AP3215" s="7">
        <f t="shared" si="160"/>
        <v>0</v>
      </c>
      <c r="AQ3215" s="31" t="str">
        <f t="shared" si="162"/>
        <v>Complete - With Adjustment</v>
      </c>
    </row>
    <row r="3216" spans="1:43" x14ac:dyDescent="0.2">
      <c r="A3216" s="46">
        <v>3206</v>
      </c>
      <c r="B3216" s="38" t="s">
        <v>266</v>
      </c>
      <c r="C3216" s="38" t="s">
        <v>778</v>
      </c>
      <c r="D3216" s="38" t="s">
        <v>777</v>
      </c>
      <c r="E3216" s="38" t="s">
        <v>7465</v>
      </c>
      <c r="F3216" s="38" t="s">
        <v>7210</v>
      </c>
      <c r="G3216" s="38" t="s">
        <v>111</v>
      </c>
      <c r="H3216" s="44">
        <v>44228</v>
      </c>
      <c r="I3216" s="44">
        <v>44243</v>
      </c>
      <c r="J3216">
        <v>897.44</v>
      </c>
      <c r="K3216">
        <v>11.46</v>
      </c>
      <c r="L3216" t="s">
        <v>7466</v>
      </c>
      <c r="M3216" s="45" t="s">
        <v>98</v>
      </c>
      <c r="N3216" s="38" t="s">
        <v>230</v>
      </c>
      <c r="O3216" s="38" t="s">
        <v>365</v>
      </c>
      <c r="P3216" s="38" t="s">
        <v>60</v>
      </c>
      <c r="Q3216" s="38" t="s">
        <v>41</v>
      </c>
      <c r="R3216" s="38" t="s">
        <v>270</v>
      </c>
      <c r="S3216" s="38" t="s">
        <v>7467</v>
      </c>
      <c r="T3216" s="38" t="s">
        <v>7478</v>
      </c>
      <c r="U3216" s="38"/>
      <c r="V3216" s="38"/>
      <c r="W3216" s="38"/>
      <c r="X3216" s="38"/>
      <c r="Y3216" s="57"/>
      <c r="Z3216" s="7"/>
      <c r="AA3216" s="57"/>
      <c r="AB3216" s="7"/>
      <c r="AC3216" s="57"/>
      <c r="AD3216" s="7"/>
      <c r="AE3216" s="57"/>
      <c r="AF3216" s="7"/>
      <c r="AG3216" s="57"/>
      <c r="AH3216" s="7"/>
      <c r="AI3216" s="57">
        <f>11.46</f>
        <v>11.46</v>
      </c>
      <c r="AJ3216" s="7"/>
      <c r="AK3216" s="57"/>
      <c r="AL3216" s="7"/>
      <c r="AN3216" s="7" t="s">
        <v>145</v>
      </c>
      <c r="AO3216" s="21">
        <f t="shared" si="161"/>
        <v>11.46</v>
      </c>
      <c r="AP3216" s="7">
        <f t="shared" si="160"/>
        <v>0</v>
      </c>
      <c r="AQ3216" s="31" t="str">
        <f t="shared" si="162"/>
        <v>Complete - With Adjustment</v>
      </c>
    </row>
    <row r="3217" spans="1:43" x14ac:dyDescent="0.2">
      <c r="A3217" s="46">
        <v>3207</v>
      </c>
      <c r="B3217" s="38" t="s">
        <v>266</v>
      </c>
      <c r="C3217" s="38" t="s">
        <v>3614</v>
      </c>
      <c r="D3217" s="38" t="s">
        <v>3615</v>
      </c>
      <c r="E3217" s="38" t="s">
        <v>7479</v>
      </c>
      <c r="F3217" s="38" t="s">
        <v>7480</v>
      </c>
      <c r="G3217" s="38" t="s">
        <v>111</v>
      </c>
      <c r="H3217" s="44">
        <v>44234</v>
      </c>
      <c r="I3217" s="44">
        <v>44237</v>
      </c>
      <c r="J3217">
        <v>15</v>
      </c>
      <c r="K3217">
        <v>15</v>
      </c>
      <c r="L3217" t="s">
        <v>7481</v>
      </c>
      <c r="M3217" s="45" t="s">
        <v>98</v>
      </c>
      <c r="N3217" s="38" t="s">
        <v>230</v>
      </c>
      <c r="O3217" s="38" t="s">
        <v>280</v>
      </c>
      <c r="P3217" s="38" t="s">
        <v>60</v>
      </c>
      <c r="Q3217" s="38" t="s">
        <v>41</v>
      </c>
      <c r="R3217" s="38" t="s">
        <v>270</v>
      </c>
      <c r="S3217" s="38" t="s">
        <v>7482</v>
      </c>
      <c r="T3217" s="38" t="s">
        <v>7483</v>
      </c>
      <c r="U3217" s="38"/>
      <c r="V3217" s="38"/>
      <c r="W3217" s="38"/>
      <c r="X3217" s="38"/>
      <c r="Y3217" s="57"/>
      <c r="Z3217" s="7"/>
      <c r="AA3217" s="57"/>
      <c r="AB3217" s="7"/>
      <c r="AC3217" s="57"/>
      <c r="AD3217" s="7"/>
      <c r="AE3217" s="57"/>
      <c r="AF3217" s="7"/>
      <c r="AG3217" s="57"/>
      <c r="AH3217" s="7"/>
      <c r="AI3217" s="57"/>
      <c r="AJ3217" s="7"/>
      <c r="AK3217" s="57"/>
      <c r="AL3217" s="7"/>
      <c r="AN3217" s="7" t="s">
        <v>155</v>
      </c>
      <c r="AO3217" s="21">
        <f t="shared" si="161"/>
        <v>0</v>
      </c>
      <c r="AP3217" s="7">
        <f t="shared" si="160"/>
        <v>15</v>
      </c>
      <c r="AQ3217" s="31" t="str">
        <f t="shared" si="162"/>
        <v>Complete - No Adjustment</v>
      </c>
    </row>
    <row r="3218" spans="1:43" x14ac:dyDescent="0.2">
      <c r="A3218" s="46">
        <v>3208</v>
      </c>
      <c r="B3218" s="38" t="s">
        <v>266</v>
      </c>
      <c r="C3218" s="38" t="s">
        <v>488</v>
      </c>
      <c r="D3218" s="38" t="s">
        <v>487</v>
      </c>
      <c r="E3218" s="38" t="s">
        <v>7484</v>
      </c>
      <c r="F3218" s="38" t="s">
        <v>7248</v>
      </c>
      <c r="G3218" s="38" t="s">
        <v>111</v>
      </c>
      <c r="H3218" s="44">
        <v>44217</v>
      </c>
      <c r="I3218" s="44">
        <v>44230</v>
      </c>
      <c r="J3218">
        <v>50.02</v>
      </c>
      <c r="K3218">
        <v>18.18</v>
      </c>
      <c r="L3218" t="s">
        <v>7485</v>
      </c>
      <c r="M3218" s="45" t="s">
        <v>98</v>
      </c>
      <c r="N3218" s="38" t="s">
        <v>230</v>
      </c>
      <c r="O3218" s="38" t="s">
        <v>277</v>
      </c>
      <c r="P3218" s="38" t="s">
        <v>60</v>
      </c>
      <c r="Q3218" s="38" t="s">
        <v>62</v>
      </c>
      <c r="R3218" s="38" t="s">
        <v>270</v>
      </c>
      <c r="S3218" s="38" t="s">
        <v>7486</v>
      </c>
      <c r="T3218" s="38" t="s">
        <v>7487</v>
      </c>
      <c r="U3218" s="38"/>
      <c r="V3218" s="38"/>
      <c r="W3218" s="38"/>
      <c r="X3218" s="38"/>
      <c r="Y3218" s="57"/>
      <c r="Z3218" s="7"/>
      <c r="AA3218" s="57"/>
      <c r="AB3218" s="7"/>
      <c r="AC3218" s="57"/>
      <c r="AD3218" s="7"/>
      <c r="AE3218" s="57"/>
      <c r="AF3218" s="7"/>
      <c r="AG3218" s="57"/>
      <c r="AH3218" s="7"/>
      <c r="AI3218" s="57"/>
      <c r="AJ3218" s="7"/>
      <c r="AK3218" s="57"/>
      <c r="AL3218" s="7"/>
      <c r="AN3218" s="7" t="s">
        <v>70</v>
      </c>
      <c r="AO3218" s="21">
        <f t="shared" si="161"/>
        <v>0</v>
      </c>
      <c r="AP3218" s="7">
        <f t="shared" si="160"/>
        <v>18.18</v>
      </c>
      <c r="AQ3218" s="31" t="str">
        <f t="shared" si="162"/>
        <v>Complete - No Adjustment</v>
      </c>
    </row>
    <row r="3219" spans="1:43" x14ac:dyDescent="0.2">
      <c r="A3219" s="46">
        <v>3209</v>
      </c>
      <c r="B3219" s="38" t="s">
        <v>266</v>
      </c>
      <c r="C3219" s="38" t="s">
        <v>488</v>
      </c>
      <c r="D3219" s="38" t="s">
        <v>487</v>
      </c>
      <c r="E3219" s="38" t="s">
        <v>7484</v>
      </c>
      <c r="F3219" s="38" t="s">
        <v>7248</v>
      </c>
      <c r="G3219" s="38" t="s">
        <v>111</v>
      </c>
      <c r="H3219" s="44">
        <v>44217</v>
      </c>
      <c r="I3219" s="44">
        <v>44230</v>
      </c>
      <c r="J3219">
        <v>50.02</v>
      </c>
      <c r="K3219">
        <v>14.06</v>
      </c>
      <c r="L3219" t="s">
        <v>7485</v>
      </c>
      <c r="M3219" s="45" t="s">
        <v>98</v>
      </c>
      <c r="N3219" s="38" t="s">
        <v>230</v>
      </c>
      <c r="O3219" s="38" t="s">
        <v>277</v>
      </c>
      <c r="P3219" s="38" t="s">
        <v>60</v>
      </c>
      <c r="Q3219" s="38" t="s">
        <v>62</v>
      </c>
      <c r="R3219" s="38" t="s">
        <v>270</v>
      </c>
      <c r="S3219" s="38" t="s">
        <v>7486</v>
      </c>
      <c r="T3219" s="38" t="s">
        <v>7488</v>
      </c>
      <c r="U3219" s="38"/>
      <c r="V3219" s="38"/>
      <c r="W3219" s="38"/>
      <c r="X3219" s="38"/>
      <c r="Y3219" s="57"/>
      <c r="Z3219" s="7"/>
      <c r="AA3219" s="57"/>
      <c r="AB3219" s="7"/>
      <c r="AC3219" s="57"/>
      <c r="AD3219" s="7"/>
      <c r="AE3219" s="57"/>
      <c r="AF3219" s="7"/>
      <c r="AG3219" s="57"/>
      <c r="AH3219" s="7"/>
      <c r="AI3219" s="57"/>
      <c r="AJ3219" s="7"/>
      <c r="AK3219" s="57"/>
      <c r="AL3219" s="7"/>
      <c r="AN3219" s="7" t="s">
        <v>70</v>
      </c>
      <c r="AO3219" s="21">
        <f t="shared" si="161"/>
        <v>0</v>
      </c>
      <c r="AP3219" s="7">
        <f t="shared" si="160"/>
        <v>14.06</v>
      </c>
      <c r="AQ3219" s="31" t="str">
        <f t="shared" si="162"/>
        <v>Complete - No Adjustment</v>
      </c>
    </row>
    <row r="3220" spans="1:43" x14ac:dyDescent="0.2">
      <c r="A3220" s="46">
        <v>3210</v>
      </c>
      <c r="B3220" s="38" t="s">
        <v>266</v>
      </c>
      <c r="C3220" s="38" t="s">
        <v>488</v>
      </c>
      <c r="D3220" s="38" t="s">
        <v>487</v>
      </c>
      <c r="E3220" s="38" t="s">
        <v>7484</v>
      </c>
      <c r="F3220" s="38" t="s">
        <v>7248</v>
      </c>
      <c r="G3220" s="38" t="s">
        <v>111</v>
      </c>
      <c r="H3220" s="44">
        <v>44217</v>
      </c>
      <c r="I3220" s="44">
        <v>44230</v>
      </c>
      <c r="J3220">
        <v>50.02</v>
      </c>
      <c r="K3220">
        <v>17.78</v>
      </c>
      <c r="L3220" t="s">
        <v>7485</v>
      </c>
      <c r="M3220" s="45" t="s">
        <v>98</v>
      </c>
      <c r="N3220" s="38" t="s">
        <v>230</v>
      </c>
      <c r="O3220" s="38" t="s">
        <v>277</v>
      </c>
      <c r="P3220" s="38" t="s">
        <v>60</v>
      </c>
      <c r="Q3220" s="38" t="s">
        <v>62</v>
      </c>
      <c r="R3220" s="38" t="s">
        <v>270</v>
      </c>
      <c r="S3220" s="38" t="s">
        <v>7486</v>
      </c>
      <c r="T3220" s="38" t="s">
        <v>7487</v>
      </c>
      <c r="U3220" s="38"/>
      <c r="V3220" s="38"/>
      <c r="W3220" s="38"/>
      <c r="X3220" s="38"/>
      <c r="Y3220" s="57"/>
      <c r="Z3220" s="7"/>
      <c r="AA3220" s="57"/>
      <c r="AB3220" s="7"/>
      <c r="AC3220" s="57"/>
      <c r="AD3220" s="7"/>
      <c r="AE3220" s="57"/>
      <c r="AF3220" s="7"/>
      <c r="AG3220" s="57"/>
      <c r="AH3220" s="7"/>
      <c r="AI3220" s="57"/>
      <c r="AJ3220" s="7"/>
      <c r="AK3220" s="57"/>
      <c r="AL3220" s="7"/>
      <c r="AN3220" s="7" t="s">
        <v>70</v>
      </c>
      <c r="AO3220" s="21">
        <f t="shared" si="161"/>
        <v>0</v>
      </c>
      <c r="AP3220" s="7">
        <f t="shared" si="160"/>
        <v>17.78</v>
      </c>
      <c r="AQ3220" s="31" t="str">
        <f t="shared" si="162"/>
        <v>Complete - No Adjustment</v>
      </c>
    </row>
    <row r="3221" spans="1:43" x14ac:dyDescent="0.2">
      <c r="A3221" s="46">
        <v>3211</v>
      </c>
      <c r="B3221" s="38" t="s">
        <v>266</v>
      </c>
      <c r="C3221" s="38" t="s">
        <v>488</v>
      </c>
      <c r="D3221" s="38" t="s">
        <v>487</v>
      </c>
      <c r="E3221" s="38" t="s">
        <v>7489</v>
      </c>
      <c r="F3221" s="38" t="s">
        <v>7248</v>
      </c>
      <c r="G3221" s="38" t="s">
        <v>111</v>
      </c>
      <c r="H3221" s="44">
        <v>44217</v>
      </c>
      <c r="I3221" s="44">
        <v>44230</v>
      </c>
      <c r="J3221">
        <v>325</v>
      </c>
      <c r="K3221">
        <v>325</v>
      </c>
      <c r="L3221" t="s">
        <v>7490</v>
      </c>
      <c r="M3221" s="45" t="s">
        <v>98</v>
      </c>
      <c r="N3221" s="38" t="s">
        <v>230</v>
      </c>
      <c r="O3221" s="38" t="s">
        <v>277</v>
      </c>
      <c r="P3221" s="38" t="s">
        <v>60</v>
      </c>
      <c r="Q3221" s="38" t="s">
        <v>59</v>
      </c>
      <c r="R3221" s="38" t="s">
        <v>270</v>
      </c>
      <c r="S3221" s="38" t="s">
        <v>7491</v>
      </c>
      <c r="T3221" s="38" t="s">
        <v>7492</v>
      </c>
      <c r="U3221" s="38"/>
      <c r="V3221" s="38"/>
      <c r="W3221" s="38"/>
      <c r="X3221" s="38"/>
      <c r="Y3221" s="57"/>
      <c r="Z3221" s="7"/>
      <c r="AA3221" s="57"/>
      <c r="AB3221" s="7"/>
      <c r="AC3221" s="57"/>
      <c r="AD3221" s="7"/>
      <c r="AE3221" s="57"/>
      <c r="AF3221" s="7"/>
      <c r="AG3221" s="57"/>
      <c r="AH3221" s="7"/>
      <c r="AI3221" s="57"/>
      <c r="AJ3221" s="7"/>
      <c r="AK3221" s="57"/>
      <c r="AL3221" s="7">
        <f>325</f>
        <v>325</v>
      </c>
      <c r="AN3221" s="7" t="s">
        <v>146</v>
      </c>
      <c r="AO3221" s="21">
        <f t="shared" si="161"/>
        <v>325</v>
      </c>
      <c r="AP3221" s="7">
        <f t="shared" si="160"/>
        <v>0</v>
      </c>
      <c r="AQ3221" s="31" t="str">
        <f t="shared" si="162"/>
        <v>Complete - With Adjustment</v>
      </c>
    </row>
    <row r="3222" spans="1:43" x14ac:dyDescent="0.2">
      <c r="A3222" s="46">
        <v>3212</v>
      </c>
      <c r="B3222" s="38" t="s">
        <v>266</v>
      </c>
      <c r="C3222" s="38" t="s">
        <v>492</v>
      </c>
      <c r="D3222" s="38" t="s">
        <v>491</v>
      </c>
      <c r="E3222" s="38" t="s">
        <v>7493</v>
      </c>
      <c r="F3222" s="38" t="s">
        <v>7480</v>
      </c>
      <c r="G3222" s="38" t="s">
        <v>111</v>
      </c>
      <c r="H3222" s="44">
        <v>44235</v>
      </c>
      <c r="I3222" s="44">
        <v>44237</v>
      </c>
      <c r="J3222">
        <v>27.05</v>
      </c>
      <c r="K3222">
        <v>27.05</v>
      </c>
      <c r="L3222" t="s">
        <v>7494</v>
      </c>
      <c r="M3222" s="45" t="s">
        <v>98</v>
      </c>
      <c r="N3222" s="38" t="s">
        <v>230</v>
      </c>
      <c r="O3222" s="38" t="s">
        <v>292</v>
      </c>
      <c r="P3222" s="38" t="s">
        <v>60</v>
      </c>
      <c r="Q3222" s="38" t="s">
        <v>46</v>
      </c>
      <c r="R3222" s="38" t="s">
        <v>270</v>
      </c>
      <c r="S3222" s="38" t="s">
        <v>7495</v>
      </c>
      <c r="T3222" s="38" t="s">
        <v>7496</v>
      </c>
      <c r="U3222" s="38"/>
      <c r="V3222" s="38"/>
      <c r="W3222" s="38"/>
      <c r="X3222" s="38"/>
      <c r="Y3222" s="57"/>
      <c r="Z3222" s="7"/>
      <c r="AA3222" s="57"/>
      <c r="AB3222" s="7"/>
      <c r="AC3222" s="57"/>
      <c r="AD3222" s="7"/>
      <c r="AE3222" s="57"/>
      <c r="AF3222" s="7"/>
      <c r="AG3222" s="57"/>
      <c r="AH3222" s="7"/>
      <c r="AI3222" s="57">
        <f>27.05</f>
        <v>27.05</v>
      </c>
      <c r="AJ3222" s="7"/>
      <c r="AK3222" s="57"/>
      <c r="AL3222" s="7"/>
      <c r="AN3222" s="7" t="s">
        <v>145</v>
      </c>
      <c r="AO3222" s="21">
        <f t="shared" si="161"/>
        <v>27.05</v>
      </c>
      <c r="AP3222" s="7">
        <f t="shared" si="160"/>
        <v>0</v>
      </c>
      <c r="AQ3222" s="31" t="str">
        <f t="shared" si="162"/>
        <v>Complete - With Adjustment</v>
      </c>
    </row>
    <row r="3223" spans="1:43" x14ac:dyDescent="0.2">
      <c r="A3223" s="46">
        <v>3213</v>
      </c>
      <c r="B3223" s="38" t="s">
        <v>266</v>
      </c>
      <c r="C3223" s="38" t="s">
        <v>503</v>
      </c>
      <c r="D3223" s="38" t="s">
        <v>502</v>
      </c>
      <c r="E3223" s="38" t="s">
        <v>7497</v>
      </c>
      <c r="F3223" s="38" t="s">
        <v>7401</v>
      </c>
      <c r="G3223" s="38" t="s">
        <v>111</v>
      </c>
      <c r="H3223" s="44">
        <v>44251</v>
      </c>
      <c r="I3223" s="44">
        <v>44253</v>
      </c>
      <c r="J3223">
        <v>76.55</v>
      </c>
      <c r="K3223">
        <v>76.55</v>
      </c>
      <c r="L3223" t="s">
        <v>7498</v>
      </c>
      <c r="M3223" s="45" t="s">
        <v>98</v>
      </c>
      <c r="N3223" s="38" t="s">
        <v>230</v>
      </c>
      <c r="O3223" s="38" t="s">
        <v>277</v>
      </c>
      <c r="P3223" s="38" t="s">
        <v>60</v>
      </c>
      <c r="Q3223" s="38" t="s">
        <v>46</v>
      </c>
      <c r="R3223" s="38" t="s">
        <v>270</v>
      </c>
      <c r="S3223" s="38" t="s">
        <v>7499</v>
      </c>
      <c r="T3223" s="38" t="s">
        <v>7500</v>
      </c>
      <c r="U3223" s="38"/>
      <c r="V3223" s="38"/>
      <c r="W3223" s="38"/>
      <c r="X3223" s="38"/>
      <c r="Y3223" s="57"/>
      <c r="Z3223" s="7"/>
      <c r="AA3223" s="57"/>
      <c r="AB3223" s="7"/>
      <c r="AC3223" s="57"/>
      <c r="AD3223" s="7"/>
      <c r="AE3223" s="57"/>
      <c r="AF3223" s="7"/>
      <c r="AG3223" s="57"/>
      <c r="AH3223" s="7"/>
      <c r="AI3223" s="57"/>
      <c r="AJ3223" s="7"/>
      <c r="AK3223" s="57">
        <f>76.55</f>
        <v>76.55</v>
      </c>
      <c r="AL3223" s="7"/>
      <c r="AN3223" s="7" t="s">
        <v>148</v>
      </c>
      <c r="AO3223" s="21">
        <f t="shared" si="161"/>
        <v>76.55</v>
      </c>
      <c r="AP3223" s="7">
        <f t="shared" si="160"/>
        <v>0</v>
      </c>
      <c r="AQ3223" s="31" t="str">
        <f t="shared" si="162"/>
        <v>Complete - With Adjustment</v>
      </c>
    </row>
    <row r="3224" spans="1:43" x14ac:dyDescent="0.2">
      <c r="A3224" s="46">
        <v>3214</v>
      </c>
      <c r="B3224" s="38" t="s">
        <v>266</v>
      </c>
      <c r="C3224" s="38" t="s">
        <v>504</v>
      </c>
      <c r="D3224" s="38" t="s">
        <v>805</v>
      </c>
      <c r="E3224" s="38" t="s">
        <v>7501</v>
      </c>
      <c r="F3224" s="38" t="s">
        <v>7168</v>
      </c>
      <c r="G3224" s="38" t="s">
        <v>111</v>
      </c>
      <c r="H3224" s="44">
        <v>44238</v>
      </c>
      <c r="I3224" s="44">
        <v>44246</v>
      </c>
      <c r="J3224">
        <v>236.49</v>
      </c>
      <c r="K3224">
        <v>22.06</v>
      </c>
      <c r="L3224" t="s">
        <v>7502</v>
      </c>
      <c r="M3224" s="45" t="s">
        <v>98</v>
      </c>
      <c r="N3224" s="38" t="s">
        <v>230</v>
      </c>
      <c r="O3224" s="38" t="s">
        <v>484</v>
      </c>
      <c r="P3224" s="38" t="s">
        <v>60</v>
      </c>
      <c r="Q3224" s="38" t="s">
        <v>46</v>
      </c>
      <c r="R3224" s="38" t="s">
        <v>270</v>
      </c>
      <c r="S3224" s="38" t="s">
        <v>7503</v>
      </c>
      <c r="T3224" s="38" t="s">
        <v>7504</v>
      </c>
      <c r="U3224" s="38"/>
      <c r="V3224" s="38"/>
      <c r="W3224" s="38"/>
      <c r="X3224" s="38"/>
      <c r="Y3224" s="57"/>
      <c r="Z3224" s="7"/>
      <c r="AA3224" s="57"/>
      <c r="AB3224" s="7"/>
      <c r="AC3224" s="57"/>
      <c r="AD3224" s="7"/>
      <c r="AE3224" s="57"/>
      <c r="AF3224" s="7"/>
      <c r="AG3224" s="57"/>
      <c r="AH3224" s="7"/>
      <c r="AI3224" s="57">
        <f>22.06</f>
        <v>22.06</v>
      </c>
      <c r="AJ3224" s="7"/>
      <c r="AK3224" s="57"/>
      <c r="AL3224" s="7"/>
      <c r="AN3224" s="7" t="s">
        <v>145</v>
      </c>
      <c r="AO3224" s="21">
        <f t="shared" si="161"/>
        <v>22.06</v>
      </c>
      <c r="AP3224" s="7">
        <f t="shared" si="160"/>
        <v>0</v>
      </c>
      <c r="AQ3224" s="31" t="str">
        <f t="shared" si="162"/>
        <v>Complete - With Adjustment</v>
      </c>
    </row>
    <row r="3225" spans="1:43" x14ac:dyDescent="0.2">
      <c r="A3225" s="46">
        <v>3215</v>
      </c>
      <c r="B3225" s="38" t="s">
        <v>266</v>
      </c>
      <c r="C3225" s="38" t="s">
        <v>504</v>
      </c>
      <c r="D3225" s="38" t="s">
        <v>805</v>
      </c>
      <c r="E3225" s="38" t="s">
        <v>7501</v>
      </c>
      <c r="F3225" s="38" t="s">
        <v>7168</v>
      </c>
      <c r="G3225" s="38" t="s">
        <v>111</v>
      </c>
      <c r="H3225" s="44">
        <v>44238</v>
      </c>
      <c r="I3225" s="44">
        <v>44246</v>
      </c>
      <c r="J3225">
        <v>236.49</v>
      </c>
      <c r="K3225">
        <v>30.54</v>
      </c>
      <c r="L3225" t="s">
        <v>7502</v>
      </c>
      <c r="M3225" s="45" t="s">
        <v>98</v>
      </c>
      <c r="N3225" s="38" t="s">
        <v>230</v>
      </c>
      <c r="O3225" s="38" t="s">
        <v>484</v>
      </c>
      <c r="P3225" s="38" t="s">
        <v>60</v>
      </c>
      <c r="Q3225" s="38" t="s">
        <v>46</v>
      </c>
      <c r="R3225" s="38" t="s">
        <v>270</v>
      </c>
      <c r="S3225" s="38" t="s">
        <v>7503</v>
      </c>
      <c r="T3225" s="38" t="s">
        <v>7505</v>
      </c>
      <c r="U3225" s="38"/>
      <c r="V3225" s="38"/>
      <c r="W3225" s="38"/>
      <c r="X3225" s="38"/>
      <c r="Y3225" s="57"/>
      <c r="Z3225" s="7"/>
      <c r="AA3225" s="57"/>
      <c r="AB3225" s="7"/>
      <c r="AC3225" s="57"/>
      <c r="AD3225" s="7"/>
      <c r="AE3225" s="57"/>
      <c r="AF3225" s="7"/>
      <c r="AG3225" s="57"/>
      <c r="AH3225" s="7"/>
      <c r="AI3225" s="57">
        <f>30.54</f>
        <v>30.54</v>
      </c>
      <c r="AJ3225" s="7"/>
      <c r="AK3225" s="57"/>
      <c r="AL3225" s="7"/>
      <c r="AN3225" s="7" t="s">
        <v>145</v>
      </c>
      <c r="AO3225" s="21">
        <f t="shared" si="161"/>
        <v>30.54</v>
      </c>
      <c r="AP3225" s="7">
        <f t="shared" si="160"/>
        <v>0</v>
      </c>
      <c r="AQ3225" s="31" t="str">
        <f t="shared" si="162"/>
        <v>Complete - With Adjustment</v>
      </c>
    </row>
    <row r="3226" spans="1:43" x14ac:dyDescent="0.2">
      <c r="A3226" s="46">
        <v>3216</v>
      </c>
      <c r="B3226" s="38" t="s">
        <v>266</v>
      </c>
      <c r="C3226" s="38" t="s">
        <v>504</v>
      </c>
      <c r="D3226" s="38" t="s">
        <v>805</v>
      </c>
      <c r="E3226" s="38" t="s">
        <v>7501</v>
      </c>
      <c r="F3226" s="38" t="s">
        <v>7168</v>
      </c>
      <c r="G3226" s="38" t="s">
        <v>111</v>
      </c>
      <c r="H3226" s="44">
        <v>44238</v>
      </c>
      <c r="I3226" s="44">
        <v>44246</v>
      </c>
      <c r="J3226">
        <v>236.49</v>
      </c>
      <c r="K3226">
        <v>28.07</v>
      </c>
      <c r="L3226" t="s">
        <v>7502</v>
      </c>
      <c r="M3226" s="45" t="s">
        <v>98</v>
      </c>
      <c r="N3226" s="38" t="s">
        <v>230</v>
      </c>
      <c r="O3226" s="38" t="s">
        <v>484</v>
      </c>
      <c r="P3226" s="38" t="s">
        <v>60</v>
      </c>
      <c r="Q3226" s="38" t="s">
        <v>46</v>
      </c>
      <c r="R3226" s="38" t="s">
        <v>270</v>
      </c>
      <c r="S3226" s="38" t="s">
        <v>7503</v>
      </c>
      <c r="T3226" s="38" t="s">
        <v>7505</v>
      </c>
      <c r="U3226" s="38"/>
      <c r="V3226" s="38"/>
      <c r="W3226" s="38"/>
      <c r="X3226" s="38"/>
      <c r="Y3226" s="57"/>
      <c r="Z3226" s="7"/>
      <c r="AA3226" s="57"/>
      <c r="AB3226" s="7"/>
      <c r="AC3226" s="57"/>
      <c r="AD3226" s="7"/>
      <c r="AE3226" s="57"/>
      <c r="AF3226" s="7"/>
      <c r="AG3226" s="57"/>
      <c r="AH3226" s="7"/>
      <c r="AI3226" s="57">
        <f>28.07</f>
        <v>28.07</v>
      </c>
      <c r="AJ3226" s="7"/>
      <c r="AK3226" s="57"/>
      <c r="AL3226" s="7"/>
      <c r="AN3226" s="7" t="s">
        <v>145</v>
      </c>
      <c r="AO3226" s="21">
        <f t="shared" si="161"/>
        <v>28.07</v>
      </c>
      <c r="AP3226" s="7">
        <f t="shared" si="160"/>
        <v>0</v>
      </c>
      <c r="AQ3226" s="31" t="str">
        <f t="shared" si="162"/>
        <v>Complete - With Adjustment</v>
      </c>
    </row>
    <row r="3227" spans="1:43" x14ac:dyDescent="0.2">
      <c r="A3227" s="46">
        <v>3217</v>
      </c>
      <c r="B3227" s="38" t="s">
        <v>266</v>
      </c>
      <c r="C3227" s="38" t="s">
        <v>504</v>
      </c>
      <c r="D3227" s="38" t="s">
        <v>805</v>
      </c>
      <c r="E3227" s="38" t="s">
        <v>7501</v>
      </c>
      <c r="F3227" s="38" t="s">
        <v>7168</v>
      </c>
      <c r="G3227" s="38" t="s">
        <v>111</v>
      </c>
      <c r="H3227" s="44">
        <v>44238</v>
      </c>
      <c r="I3227" s="44">
        <v>44246</v>
      </c>
      <c r="J3227">
        <v>236.49</v>
      </c>
      <c r="K3227">
        <v>27.19</v>
      </c>
      <c r="L3227" t="s">
        <v>7502</v>
      </c>
      <c r="M3227" s="45" t="s">
        <v>98</v>
      </c>
      <c r="N3227" s="38" t="s">
        <v>230</v>
      </c>
      <c r="O3227" s="38" t="s">
        <v>484</v>
      </c>
      <c r="P3227" s="38" t="s">
        <v>60</v>
      </c>
      <c r="Q3227" s="38" t="s">
        <v>46</v>
      </c>
      <c r="R3227" s="38" t="s">
        <v>270</v>
      </c>
      <c r="S3227" s="38" t="s">
        <v>7503</v>
      </c>
      <c r="T3227" s="38" t="s">
        <v>7504</v>
      </c>
      <c r="U3227" s="38"/>
      <c r="V3227" s="38"/>
      <c r="W3227" s="38"/>
      <c r="X3227" s="38"/>
      <c r="Y3227" s="57"/>
      <c r="Z3227" s="7"/>
      <c r="AA3227" s="57"/>
      <c r="AB3227" s="7"/>
      <c r="AC3227" s="57"/>
      <c r="AD3227" s="7"/>
      <c r="AE3227" s="57"/>
      <c r="AF3227" s="7"/>
      <c r="AG3227" s="57"/>
      <c r="AH3227" s="7"/>
      <c r="AI3227" s="57">
        <f>27.19</f>
        <v>27.19</v>
      </c>
      <c r="AJ3227" s="7"/>
      <c r="AK3227" s="57"/>
      <c r="AL3227" s="7"/>
      <c r="AN3227" s="7" t="s">
        <v>145</v>
      </c>
      <c r="AO3227" s="21">
        <f t="shared" si="161"/>
        <v>27.19</v>
      </c>
      <c r="AP3227" s="7">
        <f t="shared" si="160"/>
        <v>0</v>
      </c>
      <c r="AQ3227" s="31" t="str">
        <f t="shared" si="162"/>
        <v>Complete - With Adjustment</v>
      </c>
    </row>
    <row r="3228" spans="1:43" x14ac:dyDescent="0.2">
      <c r="A3228" s="46">
        <v>3218</v>
      </c>
      <c r="B3228" s="38" t="s">
        <v>266</v>
      </c>
      <c r="C3228" s="38" t="s">
        <v>504</v>
      </c>
      <c r="D3228" s="38" t="s">
        <v>805</v>
      </c>
      <c r="E3228" s="38" t="s">
        <v>7501</v>
      </c>
      <c r="F3228" s="38" t="s">
        <v>7168</v>
      </c>
      <c r="G3228" s="38" t="s">
        <v>111</v>
      </c>
      <c r="H3228" s="44">
        <v>44238</v>
      </c>
      <c r="I3228" s="44">
        <v>44246</v>
      </c>
      <c r="J3228">
        <v>236.49</v>
      </c>
      <c r="K3228">
        <v>42.07</v>
      </c>
      <c r="L3228" t="s">
        <v>7502</v>
      </c>
      <c r="M3228" s="45" t="s">
        <v>98</v>
      </c>
      <c r="N3228" s="38" t="s">
        <v>230</v>
      </c>
      <c r="O3228" s="38" t="s">
        <v>484</v>
      </c>
      <c r="P3228" s="38" t="s">
        <v>60</v>
      </c>
      <c r="Q3228" s="38" t="s">
        <v>46</v>
      </c>
      <c r="R3228" s="38" t="s">
        <v>270</v>
      </c>
      <c r="S3228" s="38" t="s">
        <v>7503</v>
      </c>
      <c r="T3228" s="38" t="s">
        <v>7505</v>
      </c>
      <c r="U3228" s="38"/>
      <c r="V3228" s="38"/>
      <c r="W3228" s="38"/>
      <c r="X3228" s="38"/>
      <c r="Y3228" s="57"/>
      <c r="Z3228" s="7"/>
      <c r="AA3228" s="57"/>
      <c r="AB3228" s="7"/>
      <c r="AC3228" s="57"/>
      <c r="AD3228" s="7"/>
      <c r="AE3228" s="57"/>
      <c r="AF3228" s="7"/>
      <c r="AG3228" s="57"/>
      <c r="AH3228" s="7"/>
      <c r="AI3228" s="57">
        <f>42.07</f>
        <v>42.07</v>
      </c>
      <c r="AJ3228" s="7"/>
      <c r="AK3228" s="57"/>
      <c r="AL3228" s="7"/>
      <c r="AN3228" s="7" t="s">
        <v>145</v>
      </c>
      <c r="AO3228" s="21">
        <f t="shared" si="161"/>
        <v>42.07</v>
      </c>
      <c r="AP3228" s="7">
        <f t="shared" si="160"/>
        <v>0</v>
      </c>
      <c r="AQ3228" s="31" t="str">
        <f t="shared" si="162"/>
        <v>Complete - With Adjustment</v>
      </c>
    </row>
    <row r="3229" spans="1:43" x14ac:dyDescent="0.2">
      <c r="A3229" s="46">
        <v>3219</v>
      </c>
      <c r="B3229" s="38" t="s">
        <v>266</v>
      </c>
      <c r="C3229" s="38" t="s">
        <v>504</v>
      </c>
      <c r="D3229" s="38" t="s">
        <v>805</v>
      </c>
      <c r="E3229" s="38" t="s">
        <v>7501</v>
      </c>
      <c r="F3229" s="38" t="s">
        <v>7168</v>
      </c>
      <c r="G3229" s="38" t="s">
        <v>111</v>
      </c>
      <c r="H3229" s="44">
        <v>44238</v>
      </c>
      <c r="I3229" s="44">
        <v>44246</v>
      </c>
      <c r="J3229">
        <v>236.49</v>
      </c>
      <c r="K3229">
        <v>21.19</v>
      </c>
      <c r="L3229" t="s">
        <v>7502</v>
      </c>
      <c r="M3229" s="45" t="s">
        <v>98</v>
      </c>
      <c r="N3229" s="38" t="s">
        <v>230</v>
      </c>
      <c r="O3229" s="38" t="s">
        <v>484</v>
      </c>
      <c r="P3229" s="38" t="s">
        <v>60</v>
      </c>
      <c r="Q3229" s="38" t="s">
        <v>46</v>
      </c>
      <c r="R3229" s="38" t="s">
        <v>270</v>
      </c>
      <c r="S3229" s="38" t="s">
        <v>7503</v>
      </c>
      <c r="T3229" s="38" t="s">
        <v>7505</v>
      </c>
      <c r="U3229" s="38"/>
      <c r="V3229" s="38"/>
      <c r="W3229" s="38"/>
      <c r="X3229" s="38"/>
      <c r="Y3229" s="57"/>
      <c r="Z3229" s="7"/>
      <c r="AA3229" s="57"/>
      <c r="AB3229" s="7"/>
      <c r="AC3229" s="57"/>
      <c r="AD3229" s="7"/>
      <c r="AE3229" s="57"/>
      <c r="AF3229" s="7"/>
      <c r="AG3229" s="57"/>
      <c r="AH3229" s="7"/>
      <c r="AI3229" s="57">
        <f>21.19</f>
        <v>21.19</v>
      </c>
      <c r="AJ3229" s="7"/>
      <c r="AK3229" s="57"/>
      <c r="AL3229" s="7"/>
      <c r="AN3229" s="7" t="s">
        <v>145</v>
      </c>
      <c r="AO3229" s="21">
        <f t="shared" si="161"/>
        <v>21.19</v>
      </c>
      <c r="AP3229" s="7">
        <f t="shared" si="160"/>
        <v>0</v>
      </c>
      <c r="AQ3229" s="31" t="str">
        <f t="shared" si="162"/>
        <v>Complete - With Adjustment</v>
      </c>
    </row>
    <row r="3230" spans="1:43" x14ac:dyDescent="0.2">
      <c r="A3230" s="46">
        <v>3220</v>
      </c>
      <c r="B3230" s="38" t="s">
        <v>266</v>
      </c>
      <c r="C3230" s="38" t="s">
        <v>504</v>
      </c>
      <c r="D3230" s="38" t="s">
        <v>805</v>
      </c>
      <c r="E3230" s="38" t="s">
        <v>7501</v>
      </c>
      <c r="F3230" s="38" t="s">
        <v>7168</v>
      </c>
      <c r="G3230" s="38" t="s">
        <v>111</v>
      </c>
      <c r="H3230" s="44">
        <v>44238</v>
      </c>
      <c r="I3230" s="44">
        <v>44246</v>
      </c>
      <c r="J3230">
        <v>236.49</v>
      </c>
      <c r="K3230">
        <v>17.399999999999999</v>
      </c>
      <c r="L3230" t="s">
        <v>7502</v>
      </c>
      <c r="M3230" s="45" t="s">
        <v>98</v>
      </c>
      <c r="N3230" s="38" t="s">
        <v>230</v>
      </c>
      <c r="O3230" s="38" t="s">
        <v>484</v>
      </c>
      <c r="P3230" s="38" t="s">
        <v>60</v>
      </c>
      <c r="Q3230" s="38" t="s">
        <v>46</v>
      </c>
      <c r="R3230" s="38" t="s">
        <v>270</v>
      </c>
      <c r="S3230" s="38" t="s">
        <v>7503</v>
      </c>
      <c r="T3230" s="38" t="s">
        <v>7505</v>
      </c>
      <c r="U3230" s="38"/>
      <c r="V3230" s="38"/>
      <c r="W3230" s="38"/>
      <c r="X3230" s="38"/>
      <c r="Y3230" s="57"/>
      <c r="Z3230" s="7"/>
      <c r="AA3230" s="57"/>
      <c r="AB3230" s="7"/>
      <c r="AC3230" s="57"/>
      <c r="AD3230" s="7"/>
      <c r="AE3230" s="57"/>
      <c r="AF3230" s="7"/>
      <c r="AG3230" s="57"/>
      <c r="AH3230" s="7"/>
      <c r="AI3230" s="57">
        <f>17.4</f>
        <v>17.399999999999999</v>
      </c>
      <c r="AJ3230" s="7"/>
      <c r="AK3230" s="57"/>
      <c r="AL3230" s="7"/>
      <c r="AN3230" s="7" t="s">
        <v>145</v>
      </c>
      <c r="AO3230" s="21">
        <f t="shared" si="161"/>
        <v>17.399999999999999</v>
      </c>
      <c r="AP3230" s="7">
        <f t="shared" si="160"/>
        <v>0</v>
      </c>
      <c r="AQ3230" s="31" t="str">
        <f t="shared" si="162"/>
        <v>Complete - With Adjustment</v>
      </c>
    </row>
    <row r="3231" spans="1:43" x14ac:dyDescent="0.2">
      <c r="A3231" s="46">
        <v>3221</v>
      </c>
      <c r="B3231" s="38" t="s">
        <v>266</v>
      </c>
      <c r="C3231" s="38" t="s">
        <v>504</v>
      </c>
      <c r="D3231" s="38" t="s">
        <v>805</v>
      </c>
      <c r="E3231" s="38" t="s">
        <v>7501</v>
      </c>
      <c r="F3231" s="38" t="s">
        <v>7168</v>
      </c>
      <c r="G3231" s="38" t="s">
        <v>111</v>
      </c>
      <c r="H3231" s="44">
        <v>44238</v>
      </c>
      <c r="I3231" s="44">
        <v>44246</v>
      </c>
      <c r="J3231">
        <v>236.49</v>
      </c>
      <c r="K3231">
        <v>27</v>
      </c>
      <c r="L3231" t="s">
        <v>7502</v>
      </c>
      <c r="M3231" s="45" t="s">
        <v>98</v>
      </c>
      <c r="N3231" s="38" t="s">
        <v>230</v>
      </c>
      <c r="O3231" s="38" t="s">
        <v>484</v>
      </c>
      <c r="P3231" s="38" t="s">
        <v>60</v>
      </c>
      <c r="Q3231" s="38" t="s">
        <v>46</v>
      </c>
      <c r="R3231" s="38" t="s">
        <v>270</v>
      </c>
      <c r="S3231" s="38" t="s">
        <v>7503</v>
      </c>
      <c r="T3231" s="38" t="s">
        <v>7504</v>
      </c>
      <c r="U3231" s="38"/>
      <c r="V3231" s="38"/>
      <c r="W3231" s="38"/>
      <c r="X3231" s="38"/>
      <c r="Y3231" s="57"/>
      <c r="Z3231" s="7"/>
      <c r="AA3231" s="57"/>
      <c r="AB3231" s="7"/>
      <c r="AC3231" s="57"/>
      <c r="AD3231" s="7"/>
      <c r="AE3231" s="57"/>
      <c r="AF3231" s="7"/>
      <c r="AG3231" s="57"/>
      <c r="AH3231" s="7"/>
      <c r="AI3231" s="57">
        <f>27</f>
        <v>27</v>
      </c>
      <c r="AJ3231" s="7"/>
      <c r="AK3231" s="57"/>
      <c r="AL3231" s="7"/>
      <c r="AN3231" s="7" t="s">
        <v>145</v>
      </c>
      <c r="AO3231" s="21">
        <f t="shared" si="161"/>
        <v>27</v>
      </c>
      <c r="AP3231" s="7">
        <f t="shared" si="160"/>
        <v>0</v>
      </c>
      <c r="AQ3231" s="31" t="str">
        <f t="shared" si="162"/>
        <v>Complete - With Adjustment</v>
      </c>
    </row>
    <row r="3232" spans="1:43" x14ac:dyDescent="0.2">
      <c r="A3232" s="46">
        <v>3222</v>
      </c>
      <c r="B3232" s="38" t="s">
        <v>266</v>
      </c>
      <c r="C3232" s="38" t="s">
        <v>504</v>
      </c>
      <c r="D3232" s="38" t="s">
        <v>805</v>
      </c>
      <c r="E3232" s="38" t="s">
        <v>7501</v>
      </c>
      <c r="F3232" s="38" t="s">
        <v>7168</v>
      </c>
      <c r="G3232" s="38" t="s">
        <v>111</v>
      </c>
      <c r="H3232" s="44">
        <v>44238</v>
      </c>
      <c r="I3232" s="44">
        <v>44246</v>
      </c>
      <c r="J3232">
        <v>236.49</v>
      </c>
      <c r="K3232">
        <v>20.97</v>
      </c>
      <c r="L3232" t="s">
        <v>7502</v>
      </c>
      <c r="M3232" s="45" t="s">
        <v>98</v>
      </c>
      <c r="N3232" s="38" t="s">
        <v>230</v>
      </c>
      <c r="O3232" s="38" t="s">
        <v>484</v>
      </c>
      <c r="P3232" s="38" t="s">
        <v>60</v>
      </c>
      <c r="Q3232" s="38" t="s">
        <v>46</v>
      </c>
      <c r="R3232" s="38" t="s">
        <v>270</v>
      </c>
      <c r="S3232" s="38" t="s">
        <v>7503</v>
      </c>
      <c r="T3232" s="38" t="s">
        <v>7505</v>
      </c>
      <c r="U3232" s="38"/>
      <c r="V3232" s="38"/>
      <c r="W3232" s="38"/>
      <c r="X3232" s="38"/>
      <c r="Y3232" s="57"/>
      <c r="Z3232" s="7"/>
      <c r="AA3232" s="57"/>
      <c r="AB3232" s="7"/>
      <c r="AC3232" s="57"/>
      <c r="AD3232" s="7"/>
      <c r="AE3232" s="57"/>
      <c r="AF3232" s="7"/>
      <c r="AG3232" s="57"/>
      <c r="AH3232" s="7"/>
      <c r="AI3232" s="57">
        <f>20.97</f>
        <v>20.97</v>
      </c>
      <c r="AJ3232" s="7"/>
      <c r="AK3232" s="57"/>
      <c r="AL3232" s="7"/>
      <c r="AN3232" s="7" t="s">
        <v>145</v>
      </c>
      <c r="AO3232" s="21">
        <f t="shared" si="161"/>
        <v>20.97</v>
      </c>
      <c r="AP3232" s="7">
        <f t="shared" si="160"/>
        <v>0</v>
      </c>
      <c r="AQ3232" s="31" t="str">
        <f t="shared" si="162"/>
        <v>Complete - With Adjustment</v>
      </c>
    </row>
    <row r="3233" spans="1:43" x14ac:dyDescent="0.2">
      <c r="A3233" s="46">
        <v>3223</v>
      </c>
      <c r="B3233" s="38" t="s">
        <v>266</v>
      </c>
      <c r="C3233" s="38" t="s">
        <v>504</v>
      </c>
      <c r="D3233" s="38" t="s">
        <v>805</v>
      </c>
      <c r="E3233" s="38" t="s">
        <v>7506</v>
      </c>
      <c r="F3233" s="38" t="s">
        <v>7168</v>
      </c>
      <c r="G3233" s="38" t="s">
        <v>111</v>
      </c>
      <c r="H3233" s="44">
        <v>44230</v>
      </c>
      <c r="I3233" s="44">
        <v>44246</v>
      </c>
      <c r="J3233">
        <v>1153.93</v>
      </c>
      <c r="K3233">
        <v>21.99</v>
      </c>
      <c r="L3233" t="s">
        <v>7507</v>
      </c>
      <c r="M3233" s="45" t="s">
        <v>98</v>
      </c>
      <c r="N3233" s="38" t="s">
        <v>230</v>
      </c>
      <c r="O3233" s="38" t="s">
        <v>506</v>
      </c>
      <c r="P3233" s="38" t="s">
        <v>60</v>
      </c>
      <c r="Q3233" s="38" t="s">
        <v>46</v>
      </c>
      <c r="R3233" s="38" t="s">
        <v>270</v>
      </c>
      <c r="S3233" s="38" t="s">
        <v>7508</v>
      </c>
      <c r="T3233" s="38" t="s">
        <v>7509</v>
      </c>
      <c r="U3233" s="38"/>
      <c r="V3233" s="38"/>
      <c r="W3233" s="38"/>
      <c r="X3233" s="38"/>
      <c r="Y3233" s="57"/>
      <c r="Z3233" s="7"/>
      <c r="AA3233" s="57"/>
      <c r="AB3233" s="7"/>
      <c r="AC3233" s="57"/>
      <c r="AD3233" s="7"/>
      <c r="AE3233" s="57"/>
      <c r="AF3233" s="7"/>
      <c r="AG3233" s="57"/>
      <c r="AH3233" s="7"/>
      <c r="AI3233" s="57">
        <f>21.99</f>
        <v>21.99</v>
      </c>
      <c r="AJ3233" s="7"/>
      <c r="AK3233" s="57"/>
      <c r="AL3233" s="7"/>
      <c r="AN3233" s="7" t="s">
        <v>145</v>
      </c>
      <c r="AO3233" s="21">
        <f t="shared" si="161"/>
        <v>21.99</v>
      </c>
      <c r="AP3233" s="7">
        <f t="shared" si="160"/>
        <v>0</v>
      </c>
      <c r="AQ3233" s="31" t="str">
        <f t="shared" si="162"/>
        <v>Complete - With Adjustment</v>
      </c>
    </row>
    <row r="3234" spans="1:43" x14ac:dyDescent="0.2">
      <c r="A3234" s="46">
        <v>3224</v>
      </c>
      <c r="B3234" s="38" t="s">
        <v>266</v>
      </c>
      <c r="C3234" s="38" t="s">
        <v>504</v>
      </c>
      <c r="D3234" s="38" t="s">
        <v>805</v>
      </c>
      <c r="E3234" s="38" t="s">
        <v>7506</v>
      </c>
      <c r="F3234" s="38" t="s">
        <v>7168</v>
      </c>
      <c r="G3234" s="38" t="s">
        <v>111</v>
      </c>
      <c r="H3234" s="44">
        <v>44230</v>
      </c>
      <c r="I3234" s="44">
        <v>44246</v>
      </c>
      <c r="J3234">
        <v>1153.93</v>
      </c>
      <c r="K3234">
        <v>17</v>
      </c>
      <c r="L3234" t="s">
        <v>7507</v>
      </c>
      <c r="M3234" s="45" t="s">
        <v>98</v>
      </c>
      <c r="N3234" s="38" t="s">
        <v>230</v>
      </c>
      <c r="O3234" s="38" t="s">
        <v>506</v>
      </c>
      <c r="P3234" s="38" t="s">
        <v>60</v>
      </c>
      <c r="Q3234" s="38" t="s">
        <v>46</v>
      </c>
      <c r="R3234" s="38" t="s">
        <v>270</v>
      </c>
      <c r="S3234" s="38" t="s">
        <v>7508</v>
      </c>
      <c r="T3234" s="38" t="s">
        <v>7509</v>
      </c>
      <c r="U3234" s="38"/>
      <c r="V3234" s="38"/>
      <c r="W3234" s="38"/>
      <c r="X3234" s="38"/>
      <c r="Y3234" s="57"/>
      <c r="Z3234" s="7"/>
      <c r="AA3234" s="57"/>
      <c r="AB3234" s="7"/>
      <c r="AC3234" s="57"/>
      <c r="AD3234" s="7"/>
      <c r="AE3234" s="57"/>
      <c r="AF3234" s="7"/>
      <c r="AG3234" s="57"/>
      <c r="AH3234" s="7"/>
      <c r="AI3234" s="57">
        <v>17</v>
      </c>
      <c r="AJ3234" s="7"/>
      <c r="AK3234" s="57"/>
      <c r="AL3234" s="7"/>
      <c r="AN3234" s="7" t="s">
        <v>145</v>
      </c>
      <c r="AO3234" s="21">
        <f t="shared" si="161"/>
        <v>17</v>
      </c>
      <c r="AP3234" s="7">
        <f t="shared" si="160"/>
        <v>0</v>
      </c>
      <c r="AQ3234" s="31" t="str">
        <f t="shared" si="162"/>
        <v>Complete - With Adjustment</v>
      </c>
    </row>
    <row r="3235" spans="1:43" x14ac:dyDescent="0.2">
      <c r="A3235" s="46">
        <v>3225</v>
      </c>
      <c r="B3235" s="38" t="s">
        <v>266</v>
      </c>
      <c r="C3235" s="38" t="s">
        <v>504</v>
      </c>
      <c r="D3235" s="38" t="s">
        <v>805</v>
      </c>
      <c r="E3235" s="38" t="s">
        <v>7506</v>
      </c>
      <c r="F3235" s="38" t="s">
        <v>7168</v>
      </c>
      <c r="G3235" s="38" t="s">
        <v>111</v>
      </c>
      <c r="H3235" s="44">
        <v>44230</v>
      </c>
      <c r="I3235" s="44">
        <v>44246</v>
      </c>
      <c r="J3235">
        <v>1153.93</v>
      </c>
      <c r="K3235">
        <v>17</v>
      </c>
      <c r="L3235" t="s">
        <v>7507</v>
      </c>
      <c r="M3235" s="45" t="s">
        <v>98</v>
      </c>
      <c r="N3235" s="38" t="s">
        <v>230</v>
      </c>
      <c r="O3235" s="38" t="s">
        <v>506</v>
      </c>
      <c r="P3235" s="38" t="s">
        <v>60</v>
      </c>
      <c r="Q3235" s="38" t="s">
        <v>46</v>
      </c>
      <c r="R3235" s="38" t="s">
        <v>270</v>
      </c>
      <c r="S3235" s="38" t="s">
        <v>7508</v>
      </c>
      <c r="T3235" s="38" t="s">
        <v>7509</v>
      </c>
      <c r="U3235" s="38"/>
      <c r="V3235" s="38"/>
      <c r="W3235" s="38"/>
      <c r="X3235" s="38"/>
      <c r="Y3235" s="57"/>
      <c r="Z3235" s="7"/>
      <c r="AA3235" s="57"/>
      <c r="AB3235" s="7"/>
      <c r="AC3235" s="57"/>
      <c r="AD3235" s="7"/>
      <c r="AE3235" s="57"/>
      <c r="AF3235" s="7"/>
      <c r="AG3235" s="57"/>
      <c r="AH3235" s="7"/>
      <c r="AI3235" s="57">
        <v>17</v>
      </c>
      <c r="AJ3235" s="7"/>
      <c r="AK3235" s="57"/>
      <c r="AL3235" s="7"/>
      <c r="AN3235" s="7" t="s">
        <v>145</v>
      </c>
      <c r="AO3235" s="21">
        <f t="shared" si="161"/>
        <v>17</v>
      </c>
      <c r="AP3235" s="7">
        <f t="shared" si="160"/>
        <v>0</v>
      </c>
      <c r="AQ3235" s="31" t="str">
        <f t="shared" si="162"/>
        <v>Complete - With Adjustment</v>
      </c>
    </row>
    <row r="3236" spans="1:43" x14ac:dyDescent="0.2">
      <c r="A3236" s="46">
        <v>3226</v>
      </c>
      <c r="B3236" s="38" t="s">
        <v>266</v>
      </c>
      <c r="C3236" s="38" t="s">
        <v>504</v>
      </c>
      <c r="D3236" s="38" t="s">
        <v>805</v>
      </c>
      <c r="E3236" s="38" t="s">
        <v>7506</v>
      </c>
      <c r="F3236" s="38" t="s">
        <v>7168</v>
      </c>
      <c r="G3236" s="38" t="s">
        <v>111</v>
      </c>
      <c r="H3236" s="44">
        <v>44230</v>
      </c>
      <c r="I3236" s="44">
        <v>44246</v>
      </c>
      <c r="J3236">
        <v>1153.93</v>
      </c>
      <c r="K3236">
        <v>17</v>
      </c>
      <c r="L3236" t="s">
        <v>7507</v>
      </c>
      <c r="M3236" s="45" t="s">
        <v>98</v>
      </c>
      <c r="N3236" s="38" t="s">
        <v>230</v>
      </c>
      <c r="O3236" s="38" t="s">
        <v>506</v>
      </c>
      <c r="P3236" s="38" t="s">
        <v>60</v>
      </c>
      <c r="Q3236" s="38" t="s">
        <v>46</v>
      </c>
      <c r="R3236" s="38" t="s">
        <v>270</v>
      </c>
      <c r="S3236" s="38" t="s">
        <v>7508</v>
      </c>
      <c r="T3236" s="38" t="s">
        <v>7509</v>
      </c>
      <c r="U3236" s="38"/>
      <c r="V3236" s="38"/>
      <c r="W3236" s="38"/>
      <c r="X3236" s="38"/>
      <c r="Y3236" s="57"/>
      <c r="Z3236" s="7"/>
      <c r="AA3236" s="57"/>
      <c r="AB3236" s="7"/>
      <c r="AC3236" s="57"/>
      <c r="AD3236" s="7"/>
      <c r="AE3236" s="57"/>
      <c r="AF3236" s="7"/>
      <c r="AG3236" s="57"/>
      <c r="AH3236" s="7"/>
      <c r="AI3236" s="57">
        <v>17</v>
      </c>
      <c r="AJ3236" s="7"/>
      <c r="AK3236" s="57"/>
      <c r="AL3236" s="7"/>
      <c r="AN3236" s="7" t="s">
        <v>145</v>
      </c>
      <c r="AO3236" s="21">
        <f t="shared" si="161"/>
        <v>17</v>
      </c>
      <c r="AP3236" s="7">
        <f t="shared" si="160"/>
        <v>0</v>
      </c>
      <c r="AQ3236" s="31" t="str">
        <f t="shared" si="162"/>
        <v>Complete - With Adjustment</v>
      </c>
    </row>
    <row r="3237" spans="1:43" x14ac:dyDescent="0.2">
      <c r="A3237" s="46">
        <v>3227</v>
      </c>
      <c r="B3237" s="38" t="s">
        <v>266</v>
      </c>
      <c r="C3237" s="38" t="s">
        <v>504</v>
      </c>
      <c r="D3237" s="38" t="s">
        <v>805</v>
      </c>
      <c r="E3237" s="38" t="s">
        <v>7506</v>
      </c>
      <c r="F3237" s="38" t="s">
        <v>7168</v>
      </c>
      <c r="G3237" s="38" t="s">
        <v>111</v>
      </c>
      <c r="H3237" s="44">
        <v>44230</v>
      </c>
      <c r="I3237" s="44">
        <v>44246</v>
      </c>
      <c r="J3237">
        <v>1153.93</v>
      </c>
      <c r="K3237">
        <v>19.55</v>
      </c>
      <c r="L3237" t="s">
        <v>7507</v>
      </c>
      <c r="M3237" s="45" t="s">
        <v>98</v>
      </c>
      <c r="N3237" s="38" t="s">
        <v>230</v>
      </c>
      <c r="O3237" s="38" t="s">
        <v>506</v>
      </c>
      <c r="P3237" s="38" t="s">
        <v>60</v>
      </c>
      <c r="Q3237" s="38" t="s">
        <v>46</v>
      </c>
      <c r="R3237" s="38" t="s">
        <v>270</v>
      </c>
      <c r="S3237" s="38" t="s">
        <v>7508</v>
      </c>
      <c r="T3237" s="38" t="s">
        <v>7509</v>
      </c>
      <c r="U3237" s="38"/>
      <c r="V3237" s="38"/>
      <c r="W3237" s="38"/>
      <c r="X3237" s="38"/>
      <c r="Y3237" s="57"/>
      <c r="Z3237" s="7"/>
      <c r="AA3237" s="57"/>
      <c r="AB3237" s="7"/>
      <c r="AC3237" s="57"/>
      <c r="AD3237" s="7"/>
      <c r="AE3237" s="57"/>
      <c r="AF3237" s="7"/>
      <c r="AG3237" s="57"/>
      <c r="AH3237" s="7"/>
      <c r="AI3237" s="57">
        <v>19.55</v>
      </c>
      <c r="AJ3237" s="7"/>
      <c r="AK3237" s="57"/>
      <c r="AL3237" s="7"/>
      <c r="AN3237" s="7" t="s">
        <v>145</v>
      </c>
      <c r="AO3237" s="21">
        <f t="shared" si="161"/>
        <v>19.55</v>
      </c>
      <c r="AP3237" s="7">
        <f t="shared" si="160"/>
        <v>0</v>
      </c>
      <c r="AQ3237" s="31" t="str">
        <f t="shared" si="162"/>
        <v>Complete - With Adjustment</v>
      </c>
    </row>
    <row r="3238" spans="1:43" x14ac:dyDescent="0.2">
      <c r="A3238" s="46">
        <v>3228</v>
      </c>
      <c r="B3238" s="38" t="s">
        <v>266</v>
      </c>
      <c r="C3238" s="38" t="s">
        <v>504</v>
      </c>
      <c r="D3238" s="38" t="s">
        <v>805</v>
      </c>
      <c r="E3238" s="38" t="s">
        <v>7506</v>
      </c>
      <c r="F3238" s="38" t="s">
        <v>7168</v>
      </c>
      <c r="G3238" s="38" t="s">
        <v>111</v>
      </c>
      <c r="H3238" s="44">
        <v>44230</v>
      </c>
      <c r="I3238" s="44">
        <v>44246</v>
      </c>
      <c r="J3238">
        <v>1153.93</v>
      </c>
      <c r="K3238">
        <v>19.55</v>
      </c>
      <c r="L3238" t="s">
        <v>7507</v>
      </c>
      <c r="M3238" s="45" t="s">
        <v>98</v>
      </c>
      <c r="N3238" s="38" t="s">
        <v>230</v>
      </c>
      <c r="O3238" s="38" t="s">
        <v>506</v>
      </c>
      <c r="P3238" s="38" t="s">
        <v>60</v>
      </c>
      <c r="Q3238" s="38" t="s">
        <v>46</v>
      </c>
      <c r="R3238" s="38" t="s">
        <v>270</v>
      </c>
      <c r="S3238" s="38" t="s">
        <v>7508</v>
      </c>
      <c r="T3238" s="38" t="s">
        <v>7509</v>
      </c>
      <c r="U3238" s="38"/>
      <c r="V3238" s="38"/>
      <c r="W3238" s="38"/>
      <c r="X3238" s="38"/>
      <c r="Y3238" s="57"/>
      <c r="Z3238" s="7"/>
      <c r="AA3238" s="57"/>
      <c r="AB3238" s="7"/>
      <c r="AC3238" s="57"/>
      <c r="AD3238" s="7"/>
      <c r="AE3238" s="57"/>
      <c r="AF3238" s="7"/>
      <c r="AG3238" s="57"/>
      <c r="AH3238" s="7"/>
      <c r="AI3238" s="57">
        <v>19.55</v>
      </c>
      <c r="AJ3238" s="7"/>
      <c r="AK3238" s="57"/>
      <c r="AL3238" s="7"/>
      <c r="AN3238" s="7" t="s">
        <v>145</v>
      </c>
      <c r="AO3238" s="21">
        <f t="shared" si="161"/>
        <v>19.55</v>
      </c>
      <c r="AP3238" s="7">
        <f t="shared" si="160"/>
        <v>0</v>
      </c>
      <c r="AQ3238" s="31" t="str">
        <f t="shared" si="162"/>
        <v>Complete - With Adjustment</v>
      </c>
    </row>
    <row r="3239" spans="1:43" x14ac:dyDescent="0.2">
      <c r="A3239" s="46">
        <v>3229</v>
      </c>
      <c r="B3239" s="38" t="s">
        <v>266</v>
      </c>
      <c r="C3239" s="38" t="s">
        <v>504</v>
      </c>
      <c r="D3239" s="38" t="s">
        <v>805</v>
      </c>
      <c r="E3239" s="38" t="s">
        <v>7506</v>
      </c>
      <c r="F3239" s="38" t="s">
        <v>7168</v>
      </c>
      <c r="G3239" s="38" t="s">
        <v>111</v>
      </c>
      <c r="H3239" s="44">
        <v>44230</v>
      </c>
      <c r="I3239" s="44">
        <v>44246</v>
      </c>
      <c r="J3239">
        <v>1153.93</v>
      </c>
      <c r="K3239">
        <v>18.7</v>
      </c>
      <c r="L3239" t="s">
        <v>7507</v>
      </c>
      <c r="M3239" s="45" t="s">
        <v>98</v>
      </c>
      <c r="N3239" s="38" t="s">
        <v>230</v>
      </c>
      <c r="O3239" s="38" t="s">
        <v>506</v>
      </c>
      <c r="P3239" s="38" t="s">
        <v>60</v>
      </c>
      <c r="Q3239" s="38" t="s">
        <v>46</v>
      </c>
      <c r="R3239" s="38" t="s">
        <v>270</v>
      </c>
      <c r="S3239" s="38" t="s">
        <v>7508</v>
      </c>
      <c r="T3239" s="38" t="s">
        <v>7509</v>
      </c>
      <c r="U3239" s="38"/>
      <c r="V3239" s="38"/>
      <c r="W3239" s="38"/>
      <c r="X3239" s="38"/>
      <c r="Y3239" s="57"/>
      <c r="Z3239" s="7"/>
      <c r="AA3239" s="57"/>
      <c r="AB3239" s="7"/>
      <c r="AC3239" s="57"/>
      <c r="AD3239" s="7"/>
      <c r="AE3239" s="57"/>
      <c r="AF3239" s="7"/>
      <c r="AG3239" s="57"/>
      <c r="AH3239" s="7"/>
      <c r="AI3239" s="57">
        <v>18.7</v>
      </c>
      <c r="AJ3239" s="7"/>
      <c r="AK3239" s="57"/>
      <c r="AL3239" s="7"/>
      <c r="AN3239" s="7" t="s">
        <v>145</v>
      </c>
      <c r="AO3239" s="21">
        <f t="shared" si="161"/>
        <v>18.7</v>
      </c>
      <c r="AP3239" s="7">
        <f t="shared" si="160"/>
        <v>0</v>
      </c>
      <c r="AQ3239" s="31" t="str">
        <f t="shared" si="162"/>
        <v>Complete - With Adjustment</v>
      </c>
    </row>
    <row r="3240" spans="1:43" x14ac:dyDescent="0.2">
      <c r="A3240" s="46">
        <v>3230</v>
      </c>
      <c r="B3240" s="38" t="s">
        <v>266</v>
      </c>
      <c r="C3240" s="38" t="s">
        <v>504</v>
      </c>
      <c r="D3240" s="38" t="s">
        <v>805</v>
      </c>
      <c r="E3240" s="38" t="s">
        <v>7506</v>
      </c>
      <c r="F3240" s="38" t="s">
        <v>7168</v>
      </c>
      <c r="G3240" s="38" t="s">
        <v>111</v>
      </c>
      <c r="H3240" s="44">
        <v>44230</v>
      </c>
      <c r="I3240" s="44">
        <v>44246</v>
      </c>
      <c r="J3240">
        <v>1153.93</v>
      </c>
      <c r="K3240">
        <v>17</v>
      </c>
      <c r="L3240" t="s">
        <v>7507</v>
      </c>
      <c r="M3240" s="45" t="s">
        <v>98</v>
      </c>
      <c r="N3240" s="38" t="s">
        <v>230</v>
      </c>
      <c r="O3240" s="38" t="s">
        <v>506</v>
      </c>
      <c r="P3240" s="38" t="s">
        <v>60</v>
      </c>
      <c r="Q3240" s="38" t="s">
        <v>46</v>
      </c>
      <c r="R3240" s="38" t="s">
        <v>270</v>
      </c>
      <c r="S3240" s="38" t="s">
        <v>7508</v>
      </c>
      <c r="T3240" s="38" t="s">
        <v>7509</v>
      </c>
      <c r="U3240" s="38"/>
      <c r="V3240" s="38"/>
      <c r="W3240" s="38"/>
      <c r="X3240" s="38"/>
      <c r="Y3240" s="57"/>
      <c r="Z3240" s="7"/>
      <c r="AA3240" s="57"/>
      <c r="AB3240" s="7"/>
      <c r="AC3240" s="57"/>
      <c r="AD3240" s="7"/>
      <c r="AE3240" s="57"/>
      <c r="AF3240" s="7"/>
      <c r="AG3240" s="57"/>
      <c r="AH3240" s="7"/>
      <c r="AI3240" s="57">
        <v>17</v>
      </c>
      <c r="AJ3240" s="7"/>
      <c r="AK3240" s="57"/>
      <c r="AL3240" s="7"/>
      <c r="AN3240" s="7" t="s">
        <v>145</v>
      </c>
      <c r="AO3240" s="21">
        <f t="shared" si="161"/>
        <v>17</v>
      </c>
      <c r="AP3240" s="7">
        <f t="shared" si="160"/>
        <v>0</v>
      </c>
      <c r="AQ3240" s="31" t="str">
        <f t="shared" si="162"/>
        <v>Complete - With Adjustment</v>
      </c>
    </row>
    <row r="3241" spans="1:43" x14ac:dyDescent="0.2">
      <c r="A3241" s="46">
        <v>3231</v>
      </c>
      <c r="B3241" s="38" t="s">
        <v>266</v>
      </c>
      <c r="C3241" s="38" t="s">
        <v>504</v>
      </c>
      <c r="D3241" s="38" t="s">
        <v>805</v>
      </c>
      <c r="E3241" s="38" t="s">
        <v>7506</v>
      </c>
      <c r="F3241" s="38" t="s">
        <v>7168</v>
      </c>
      <c r="G3241" s="38" t="s">
        <v>111</v>
      </c>
      <c r="H3241" s="44">
        <v>44230</v>
      </c>
      <c r="I3241" s="44">
        <v>44246</v>
      </c>
      <c r="J3241">
        <v>1153.93</v>
      </c>
      <c r="K3241">
        <v>18.7</v>
      </c>
      <c r="L3241" t="s">
        <v>7507</v>
      </c>
      <c r="M3241" s="45" t="s">
        <v>98</v>
      </c>
      <c r="N3241" s="38" t="s">
        <v>230</v>
      </c>
      <c r="O3241" s="38" t="s">
        <v>506</v>
      </c>
      <c r="P3241" s="38" t="s">
        <v>60</v>
      </c>
      <c r="Q3241" s="38" t="s">
        <v>46</v>
      </c>
      <c r="R3241" s="38" t="s">
        <v>270</v>
      </c>
      <c r="S3241" s="38" t="s">
        <v>7508</v>
      </c>
      <c r="T3241" s="38" t="s">
        <v>7509</v>
      </c>
      <c r="U3241" s="38"/>
      <c r="V3241" s="38"/>
      <c r="W3241" s="38"/>
      <c r="X3241" s="38"/>
      <c r="Y3241" s="57"/>
      <c r="Z3241" s="7"/>
      <c r="AA3241" s="57"/>
      <c r="AB3241" s="7"/>
      <c r="AC3241" s="57"/>
      <c r="AD3241" s="7"/>
      <c r="AE3241" s="57"/>
      <c r="AF3241" s="7"/>
      <c r="AG3241" s="57"/>
      <c r="AH3241" s="7"/>
      <c r="AI3241" s="57">
        <v>18.7</v>
      </c>
      <c r="AJ3241" s="7"/>
      <c r="AK3241" s="57"/>
      <c r="AL3241" s="7"/>
      <c r="AN3241" s="7" t="s">
        <v>145</v>
      </c>
      <c r="AO3241" s="21">
        <f t="shared" si="161"/>
        <v>18.7</v>
      </c>
      <c r="AP3241" s="7">
        <f t="shared" si="160"/>
        <v>0</v>
      </c>
      <c r="AQ3241" s="31" t="str">
        <f t="shared" si="162"/>
        <v>Complete - With Adjustment</v>
      </c>
    </row>
    <row r="3242" spans="1:43" x14ac:dyDescent="0.2">
      <c r="A3242" s="46">
        <v>3232</v>
      </c>
      <c r="B3242" s="38" t="s">
        <v>266</v>
      </c>
      <c r="C3242" s="38" t="s">
        <v>504</v>
      </c>
      <c r="D3242" s="38" t="s">
        <v>805</v>
      </c>
      <c r="E3242" s="38" t="s">
        <v>7506</v>
      </c>
      <c r="F3242" s="38" t="s">
        <v>7168</v>
      </c>
      <c r="G3242" s="38" t="s">
        <v>111</v>
      </c>
      <c r="H3242" s="44">
        <v>44230</v>
      </c>
      <c r="I3242" s="44">
        <v>44246</v>
      </c>
      <c r="J3242">
        <v>1153.93</v>
      </c>
      <c r="K3242">
        <v>19.55</v>
      </c>
      <c r="L3242" t="s">
        <v>7507</v>
      </c>
      <c r="M3242" s="45" t="s">
        <v>98</v>
      </c>
      <c r="N3242" s="38" t="s">
        <v>230</v>
      </c>
      <c r="O3242" s="38" t="s">
        <v>506</v>
      </c>
      <c r="P3242" s="38" t="s">
        <v>60</v>
      </c>
      <c r="Q3242" s="38" t="s">
        <v>46</v>
      </c>
      <c r="R3242" s="38" t="s">
        <v>270</v>
      </c>
      <c r="S3242" s="38" t="s">
        <v>7508</v>
      </c>
      <c r="T3242" s="38" t="s">
        <v>7509</v>
      </c>
      <c r="U3242" s="38"/>
      <c r="V3242" s="38"/>
      <c r="W3242" s="38"/>
      <c r="X3242" s="38"/>
      <c r="Y3242" s="57"/>
      <c r="Z3242" s="7"/>
      <c r="AA3242" s="57"/>
      <c r="AB3242" s="7"/>
      <c r="AC3242" s="57"/>
      <c r="AD3242" s="7"/>
      <c r="AE3242" s="57"/>
      <c r="AF3242" s="7"/>
      <c r="AG3242" s="57"/>
      <c r="AH3242" s="7"/>
      <c r="AI3242" s="57">
        <v>19.55</v>
      </c>
      <c r="AJ3242" s="7"/>
      <c r="AK3242" s="57"/>
      <c r="AL3242" s="7"/>
      <c r="AN3242" s="7" t="s">
        <v>145</v>
      </c>
      <c r="AO3242" s="21">
        <f t="shared" si="161"/>
        <v>19.55</v>
      </c>
      <c r="AP3242" s="7">
        <f t="shared" si="160"/>
        <v>0</v>
      </c>
      <c r="AQ3242" s="31" t="str">
        <f t="shared" si="162"/>
        <v>Complete - With Adjustment</v>
      </c>
    </row>
    <row r="3243" spans="1:43" x14ac:dyDescent="0.2">
      <c r="A3243" s="46">
        <v>3233</v>
      </c>
      <c r="B3243" s="38" t="s">
        <v>266</v>
      </c>
      <c r="C3243" s="38" t="s">
        <v>504</v>
      </c>
      <c r="D3243" s="38" t="s">
        <v>805</v>
      </c>
      <c r="E3243" s="38" t="s">
        <v>7506</v>
      </c>
      <c r="F3243" s="38" t="s">
        <v>7168</v>
      </c>
      <c r="G3243" s="38" t="s">
        <v>111</v>
      </c>
      <c r="H3243" s="44">
        <v>44230</v>
      </c>
      <c r="I3243" s="44">
        <v>44246</v>
      </c>
      <c r="J3243">
        <v>1153.93</v>
      </c>
      <c r="K3243">
        <v>18.7</v>
      </c>
      <c r="L3243" t="s">
        <v>7507</v>
      </c>
      <c r="M3243" s="45" t="s">
        <v>98</v>
      </c>
      <c r="N3243" s="38" t="s">
        <v>230</v>
      </c>
      <c r="O3243" s="38" t="s">
        <v>506</v>
      </c>
      <c r="P3243" s="38" t="s">
        <v>60</v>
      </c>
      <c r="Q3243" s="38" t="s">
        <v>46</v>
      </c>
      <c r="R3243" s="38" t="s">
        <v>270</v>
      </c>
      <c r="S3243" s="38" t="s">
        <v>7508</v>
      </c>
      <c r="T3243" s="38" t="s">
        <v>7509</v>
      </c>
      <c r="U3243" s="38"/>
      <c r="V3243" s="38"/>
      <c r="W3243" s="38"/>
      <c r="X3243" s="38"/>
      <c r="Y3243" s="57"/>
      <c r="Z3243" s="7"/>
      <c r="AA3243" s="57"/>
      <c r="AB3243" s="7"/>
      <c r="AC3243" s="57"/>
      <c r="AD3243" s="7"/>
      <c r="AE3243" s="57"/>
      <c r="AF3243" s="7"/>
      <c r="AG3243" s="57"/>
      <c r="AH3243" s="7"/>
      <c r="AI3243" s="57">
        <v>18.7</v>
      </c>
      <c r="AJ3243" s="7"/>
      <c r="AK3243" s="57"/>
      <c r="AL3243" s="7"/>
      <c r="AN3243" s="7" t="s">
        <v>145</v>
      </c>
      <c r="AO3243" s="21">
        <f t="shared" si="161"/>
        <v>18.7</v>
      </c>
      <c r="AP3243" s="7">
        <f t="shared" si="160"/>
        <v>0</v>
      </c>
      <c r="AQ3243" s="31" t="str">
        <f t="shared" si="162"/>
        <v>Complete - With Adjustment</v>
      </c>
    </row>
    <row r="3244" spans="1:43" x14ac:dyDescent="0.2">
      <c r="A3244" s="46">
        <v>3234</v>
      </c>
      <c r="B3244" s="38" t="s">
        <v>266</v>
      </c>
      <c r="C3244" s="38" t="s">
        <v>504</v>
      </c>
      <c r="D3244" s="38" t="s">
        <v>805</v>
      </c>
      <c r="E3244" s="38" t="s">
        <v>7506</v>
      </c>
      <c r="F3244" s="38" t="s">
        <v>7168</v>
      </c>
      <c r="G3244" s="38" t="s">
        <v>111</v>
      </c>
      <c r="H3244" s="44">
        <v>44230</v>
      </c>
      <c r="I3244" s="44">
        <v>44246</v>
      </c>
      <c r="J3244">
        <v>1153.93</v>
      </c>
      <c r="K3244">
        <v>18.7</v>
      </c>
      <c r="L3244" t="s">
        <v>7507</v>
      </c>
      <c r="M3244" s="45" t="s">
        <v>98</v>
      </c>
      <c r="N3244" s="38" t="s">
        <v>230</v>
      </c>
      <c r="O3244" s="38" t="s">
        <v>506</v>
      </c>
      <c r="P3244" s="38" t="s">
        <v>60</v>
      </c>
      <c r="Q3244" s="38" t="s">
        <v>46</v>
      </c>
      <c r="R3244" s="38" t="s">
        <v>270</v>
      </c>
      <c r="S3244" s="38" t="s">
        <v>7508</v>
      </c>
      <c r="T3244" s="38" t="s">
        <v>7509</v>
      </c>
      <c r="U3244" s="38"/>
      <c r="V3244" s="38"/>
      <c r="W3244" s="38"/>
      <c r="X3244" s="38"/>
      <c r="Y3244" s="57"/>
      <c r="Z3244" s="7"/>
      <c r="AA3244" s="57"/>
      <c r="AB3244" s="7"/>
      <c r="AC3244" s="57"/>
      <c r="AD3244" s="7"/>
      <c r="AE3244" s="57"/>
      <c r="AF3244" s="7"/>
      <c r="AG3244" s="57"/>
      <c r="AH3244" s="7"/>
      <c r="AI3244" s="57">
        <v>18.7</v>
      </c>
      <c r="AJ3244" s="7"/>
      <c r="AK3244" s="57"/>
      <c r="AL3244" s="7"/>
      <c r="AN3244" s="7" t="s">
        <v>145</v>
      </c>
      <c r="AO3244" s="21">
        <f t="shared" si="161"/>
        <v>18.7</v>
      </c>
      <c r="AP3244" s="7">
        <f t="shared" si="160"/>
        <v>0</v>
      </c>
      <c r="AQ3244" s="31" t="str">
        <f t="shared" si="162"/>
        <v>Complete - With Adjustment</v>
      </c>
    </row>
    <row r="3245" spans="1:43" x14ac:dyDescent="0.2">
      <c r="A3245" s="46">
        <v>3235</v>
      </c>
      <c r="B3245" s="38" t="s">
        <v>266</v>
      </c>
      <c r="C3245" s="38" t="s">
        <v>504</v>
      </c>
      <c r="D3245" s="38" t="s">
        <v>805</v>
      </c>
      <c r="E3245" s="38" t="s">
        <v>7506</v>
      </c>
      <c r="F3245" s="38" t="s">
        <v>7168</v>
      </c>
      <c r="G3245" s="38" t="s">
        <v>111</v>
      </c>
      <c r="H3245" s="44">
        <v>44230</v>
      </c>
      <c r="I3245" s="44">
        <v>44246</v>
      </c>
      <c r="J3245">
        <v>1153.93</v>
      </c>
      <c r="K3245">
        <v>18.7</v>
      </c>
      <c r="L3245" t="s">
        <v>7507</v>
      </c>
      <c r="M3245" s="45" t="s">
        <v>98</v>
      </c>
      <c r="N3245" s="38" t="s">
        <v>230</v>
      </c>
      <c r="O3245" s="38" t="s">
        <v>506</v>
      </c>
      <c r="P3245" s="38" t="s">
        <v>60</v>
      </c>
      <c r="Q3245" s="38" t="s">
        <v>46</v>
      </c>
      <c r="R3245" s="38" t="s">
        <v>270</v>
      </c>
      <c r="S3245" s="38" t="s">
        <v>7508</v>
      </c>
      <c r="T3245" s="38" t="s">
        <v>7509</v>
      </c>
      <c r="U3245" s="38"/>
      <c r="V3245" s="38"/>
      <c r="W3245" s="38"/>
      <c r="X3245" s="38"/>
      <c r="Y3245" s="57"/>
      <c r="Z3245" s="7"/>
      <c r="AA3245" s="57"/>
      <c r="AB3245" s="7"/>
      <c r="AC3245" s="57"/>
      <c r="AD3245" s="7"/>
      <c r="AE3245" s="57"/>
      <c r="AF3245" s="7"/>
      <c r="AG3245" s="57"/>
      <c r="AH3245" s="7"/>
      <c r="AI3245" s="57">
        <v>18.7</v>
      </c>
      <c r="AJ3245" s="7"/>
      <c r="AK3245" s="57"/>
      <c r="AL3245" s="7"/>
      <c r="AN3245" s="7" t="s">
        <v>145</v>
      </c>
      <c r="AO3245" s="21">
        <f t="shared" si="161"/>
        <v>18.7</v>
      </c>
      <c r="AP3245" s="7">
        <f t="shared" si="160"/>
        <v>0</v>
      </c>
      <c r="AQ3245" s="31" t="str">
        <f t="shared" si="162"/>
        <v>Complete - With Adjustment</v>
      </c>
    </row>
    <row r="3246" spans="1:43" x14ac:dyDescent="0.2">
      <c r="A3246" s="46">
        <v>3236</v>
      </c>
      <c r="B3246" s="38" t="s">
        <v>266</v>
      </c>
      <c r="C3246" s="38" t="s">
        <v>504</v>
      </c>
      <c r="D3246" s="38" t="s">
        <v>805</v>
      </c>
      <c r="E3246" s="38" t="s">
        <v>7506</v>
      </c>
      <c r="F3246" s="38" t="s">
        <v>7168</v>
      </c>
      <c r="G3246" s="38" t="s">
        <v>111</v>
      </c>
      <c r="H3246" s="44">
        <v>44230</v>
      </c>
      <c r="I3246" s="44">
        <v>44246</v>
      </c>
      <c r="J3246">
        <v>1153.93</v>
      </c>
      <c r="K3246">
        <v>18.7</v>
      </c>
      <c r="L3246" t="s">
        <v>7507</v>
      </c>
      <c r="M3246" s="45" t="s">
        <v>98</v>
      </c>
      <c r="N3246" s="38" t="s">
        <v>230</v>
      </c>
      <c r="O3246" s="38" t="s">
        <v>506</v>
      </c>
      <c r="P3246" s="38" t="s">
        <v>60</v>
      </c>
      <c r="Q3246" s="38" t="s">
        <v>46</v>
      </c>
      <c r="R3246" s="38" t="s">
        <v>270</v>
      </c>
      <c r="S3246" s="38" t="s">
        <v>7508</v>
      </c>
      <c r="T3246" s="38" t="s">
        <v>7509</v>
      </c>
      <c r="U3246" s="38"/>
      <c r="V3246" s="38"/>
      <c r="W3246" s="38"/>
      <c r="X3246" s="38"/>
      <c r="Y3246" s="57"/>
      <c r="Z3246" s="7"/>
      <c r="AA3246" s="57"/>
      <c r="AB3246" s="7"/>
      <c r="AC3246" s="57"/>
      <c r="AD3246" s="7"/>
      <c r="AE3246" s="57"/>
      <c r="AF3246" s="7"/>
      <c r="AG3246" s="57"/>
      <c r="AH3246" s="7"/>
      <c r="AI3246" s="57">
        <v>18.7</v>
      </c>
      <c r="AJ3246" s="7"/>
      <c r="AK3246" s="57"/>
      <c r="AL3246" s="7"/>
      <c r="AN3246" s="7" t="s">
        <v>145</v>
      </c>
      <c r="AO3246" s="21">
        <f t="shared" si="161"/>
        <v>18.7</v>
      </c>
      <c r="AP3246" s="7">
        <f t="shared" si="160"/>
        <v>0</v>
      </c>
      <c r="AQ3246" s="31" t="str">
        <f t="shared" si="162"/>
        <v>Complete - With Adjustment</v>
      </c>
    </row>
    <row r="3247" spans="1:43" x14ac:dyDescent="0.2">
      <c r="A3247" s="46">
        <v>3237</v>
      </c>
      <c r="B3247" s="38" t="s">
        <v>266</v>
      </c>
      <c r="C3247" s="38" t="s">
        <v>504</v>
      </c>
      <c r="D3247" s="38" t="s">
        <v>805</v>
      </c>
      <c r="E3247" s="38" t="s">
        <v>7506</v>
      </c>
      <c r="F3247" s="38" t="s">
        <v>7168</v>
      </c>
      <c r="G3247" s="38" t="s">
        <v>111</v>
      </c>
      <c r="H3247" s="44">
        <v>44230</v>
      </c>
      <c r="I3247" s="44">
        <v>44246</v>
      </c>
      <c r="J3247">
        <v>1153.93</v>
      </c>
      <c r="K3247">
        <v>18.7</v>
      </c>
      <c r="L3247" t="s">
        <v>7507</v>
      </c>
      <c r="M3247" s="45" t="s">
        <v>98</v>
      </c>
      <c r="N3247" s="38" t="s">
        <v>230</v>
      </c>
      <c r="O3247" s="38" t="s">
        <v>506</v>
      </c>
      <c r="P3247" s="38" t="s">
        <v>60</v>
      </c>
      <c r="Q3247" s="38" t="s">
        <v>46</v>
      </c>
      <c r="R3247" s="38" t="s">
        <v>270</v>
      </c>
      <c r="S3247" s="38" t="s">
        <v>7508</v>
      </c>
      <c r="T3247" s="38" t="s">
        <v>7509</v>
      </c>
      <c r="U3247" s="38"/>
      <c r="V3247" s="38"/>
      <c r="W3247" s="38"/>
      <c r="X3247" s="38"/>
      <c r="Y3247" s="57"/>
      <c r="Z3247" s="7"/>
      <c r="AA3247" s="57"/>
      <c r="AB3247" s="7"/>
      <c r="AC3247" s="57"/>
      <c r="AD3247" s="7"/>
      <c r="AE3247" s="57"/>
      <c r="AF3247" s="7"/>
      <c r="AG3247" s="57"/>
      <c r="AH3247" s="7"/>
      <c r="AI3247" s="57">
        <v>18.7</v>
      </c>
      <c r="AJ3247" s="7"/>
      <c r="AK3247" s="57"/>
      <c r="AL3247" s="7"/>
      <c r="AN3247" s="7" t="s">
        <v>145</v>
      </c>
      <c r="AO3247" s="21">
        <f t="shared" si="161"/>
        <v>18.7</v>
      </c>
      <c r="AP3247" s="7">
        <f t="shared" si="160"/>
        <v>0</v>
      </c>
      <c r="AQ3247" s="31" t="str">
        <f t="shared" si="162"/>
        <v>Complete - With Adjustment</v>
      </c>
    </row>
    <row r="3248" spans="1:43" x14ac:dyDescent="0.2">
      <c r="A3248" s="46">
        <v>3238</v>
      </c>
      <c r="B3248" s="38" t="s">
        <v>266</v>
      </c>
      <c r="C3248" s="38" t="s">
        <v>504</v>
      </c>
      <c r="D3248" s="38" t="s">
        <v>805</v>
      </c>
      <c r="E3248" s="38" t="s">
        <v>7506</v>
      </c>
      <c r="F3248" s="38" t="s">
        <v>7168</v>
      </c>
      <c r="G3248" s="38" t="s">
        <v>111</v>
      </c>
      <c r="H3248" s="44">
        <v>44230</v>
      </c>
      <c r="I3248" s="44">
        <v>44246</v>
      </c>
      <c r="J3248">
        <v>1153.93</v>
      </c>
      <c r="K3248">
        <v>18.7</v>
      </c>
      <c r="L3248" t="s">
        <v>7507</v>
      </c>
      <c r="M3248" s="45" t="s">
        <v>98</v>
      </c>
      <c r="N3248" s="38" t="s">
        <v>230</v>
      </c>
      <c r="O3248" s="38" t="s">
        <v>506</v>
      </c>
      <c r="P3248" s="38" t="s">
        <v>60</v>
      </c>
      <c r="Q3248" s="38" t="s">
        <v>46</v>
      </c>
      <c r="R3248" s="38" t="s">
        <v>270</v>
      </c>
      <c r="S3248" s="38" t="s">
        <v>7508</v>
      </c>
      <c r="T3248" s="38" t="s">
        <v>7509</v>
      </c>
      <c r="U3248" s="38"/>
      <c r="V3248" s="38"/>
      <c r="W3248" s="38"/>
      <c r="X3248" s="38"/>
      <c r="Y3248" s="57"/>
      <c r="Z3248" s="7"/>
      <c r="AA3248" s="57"/>
      <c r="AB3248" s="7"/>
      <c r="AC3248" s="57"/>
      <c r="AD3248" s="7"/>
      <c r="AE3248" s="57"/>
      <c r="AF3248" s="7"/>
      <c r="AG3248" s="57"/>
      <c r="AH3248" s="7"/>
      <c r="AI3248" s="57">
        <v>18.7</v>
      </c>
      <c r="AJ3248" s="7"/>
      <c r="AK3248" s="57"/>
      <c r="AL3248" s="7"/>
      <c r="AN3248" s="7" t="s">
        <v>145</v>
      </c>
      <c r="AO3248" s="21">
        <f t="shared" si="161"/>
        <v>18.7</v>
      </c>
      <c r="AP3248" s="7">
        <f t="shared" si="160"/>
        <v>0</v>
      </c>
      <c r="AQ3248" s="31" t="str">
        <f t="shared" si="162"/>
        <v>Complete - With Adjustment</v>
      </c>
    </row>
    <row r="3249" spans="1:43" x14ac:dyDescent="0.2">
      <c r="A3249" s="46">
        <v>3239</v>
      </c>
      <c r="B3249" s="38" t="s">
        <v>266</v>
      </c>
      <c r="C3249" s="38" t="s">
        <v>504</v>
      </c>
      <c r="D3249" s="38" t="s">
        <v>805</v>
      </c>
      <c r="E3249" s="38" t="s">
        <v>7506</v>
      </c>
      <c r="F3249" s="38" t="s">
        <v>7168</v>
      </c>
      <c r="G3249" s="38" t="s">
        <v>111</v>
      </c>
      <c r="H3249" s="44">
        <v>44230</v>
      </c>
      <c r="I3249" s="44">
        <v>44246</v>
      </c>
      <c r="J3249">
        <v>1153.93</v>
      </c>
      <c r="K3249">
        <v>18.7</v>
      </c>
      <c r="L3249" t="s">
        <v>7507</v>
      </c>
      <c r="M3249" s="45" t="s">
        <v>98</v>
      </c>
      <c r="N3249" s="38" t="s">
        <v>230</v>
      </c>
      <c r="O3249" s="38" t="s">
        <v>506</v>
      </c>
      <c r="P3249" s="38" t="s">
        <v>60</v>
      </c>
      <c r="Q3249" s="38" t="s">
        <v>46</v>
      </c>
      <c r="R3249" s="38" t="s">
        <v>270</v>
      </c>
      <c r="S3249" s="38" t="s">
        <v>7508</v>
      </c>
      <c r="T3249" s="38" t="s">
        <v>7509</v>
      </c>
      <c r="U3249" s="38"/>
      <c r="V3249" s="38"/>
      <c r="W3249" s="38"/>
      <c r="X3249" s="38"/>
      <c r="Y3249" s="57"/>
      <c r="Z3249" s="7"/>
      <c r="AA3249" s="57"/>
      <c r="AB3249" s="7"/>
      <c r="AC3249" s="57"/>
      <c r="AD3249" s="7"/>
      <c r="AE3249" s="57"/>
      <c r="AF3249" s="7"/>
      <c r="AG3249" s="57"/>
      <c r="AH3249" s="7"/>
      <c r="AI3249" s="57">
        <v>18.7</v>
      </c>
      <c r="AJ3249" s="7"/>
      <c r="AK3249" s="57"/>
      <c r="AL3249" s="7"/>
      <c r="AN3249" s="7" t="s">
        <v>145</v>
      </c>
      <c r="AO3249" s="21">
        <f t="shared" si="161"/>
        <v>18.7</v>
      </c>
      <c r="AP3249" s="7">
        <f t="shared" si="160"/>
        <v>0</v>
      </c>
      <c r="AQ3249" s="31" t="str">
        <f t="shared" si="162"/>
        <v>Complete - With Adjustment</v>
      </c>
    </row>
    <row r="3250" spans="1:43" x14ac:dyDescent="0.2">
      <c r="A3250" s="46">
        <v>3240</v>
      </c>
      <c r="B3250" s="38" t="s">
        <v>266</v>
      </c>
      <c r="C3250" s="38" t="s">
        <v>504</v>
      </c>
      <c r="D3250" s="38" t="s">
        <v>805</v>
      </c>
      <c r="E3250" s="38" t="s">
        <v>7506</v>
      </c>
      <c r="F3250" s="38" t="s">
        <v>7168</v>
      </c>
      <c r="G3250" s="38" t="s">
        <v>111</v>
      </c>
      <c r="H3250" s="44">
        <v>44230</v>
      </c>
      <c r="I3250" s="44">
        <v>44246</v>
      </c>
      <c r="J3250">
        <v>1153.93</v>
      </c>
      <c r="K3250">
        <v>17</v>
      </c>
      <c r="L3250" t="s">
        <v>7507</v>
      </c>
      <c r="M3250" s="45" t="s">
        <v>98</v>
      </c>
      <c r="N3250" s="38" t="s">
        <v>230</v>
      </c>
      <c r="O3250" s="38" t="s">
        <v>506</v>
      </c>
      <c r="P3250" s="38" t="s">
        <v>60</v>
      </c>
      <c r="Q3250" s="38" t="s">
        <v>46</v>
      </c>
      <c r="R3250" s="38" t="s">
        <v>270</v>
      </c>
      <c r="S3250" s="38" t="s">
        <v>7508</v>
      </c>
      <c r="T3250" s="38" t="s">
        <v>7509</v>
      </c>
      <c r="U3250" s="38"/>
      <c r="V3250" s="38"/>
      <c r="W3250" s="38"/>
      <c r="X3250" s="38"/>
      <c r="Y3250" s="57"/>
      <c r="Z3250" s="7"/>
      <c r="AA3250" s="57"/>
      <c r="AB3250" s="7"/>
      <c r="AC3250" s="57"/>
      <c r="AD3250" s="7"/>
      <c r="AE3250" s="57"/>
      <c r="AF3250" s="7"/>
      <c r="AG3250" s="57"/>
      <c r="AH3250" s="7"/>
      <c r="AI3250" s="57">
        <v>17</v>
      </c>
      <c r="AJ3250" s="7"/>
      <c r="AK3250" s="57"/>
      <c r="AL3250" s="7"/>
      <c r="AN3250" s="7" t="s">
        <v>145</v>
      </c>
      <c r="AO3250" s="21">
        <f t="shared" si="161"/>
        <v>17</v>
      </c>
      <c r="AP3250" s="7">
        <f t="shared" si="160"/>
        <v>0</v>
      </c>
      <c r="AQ3250" s="31" t="str">
        <f t="shared" si="162"/>
        <v>Complete - With Adjustment</v>
      </c>
    </row>
    <row r="3251" spans="1:43" x14ac:dyDescent="0.2">
      <c r="A3251" s="46">
        <v>3241</v>
      </c>
      <c r="B3251" s="38" t="s">
        <v>266</v>
      </c>
      <c r="C3251" s="38" t="s">
        <v>504</v>
      </c>
      <c r="D3251" s="38" t="s">
        <v>805</v>
      </c>
      <c r="E3251" s="38" t="s">
        <v>7506</v>
      </c>
      <c r="F3251" s="38" t="s">
        <v>7168</v>
      </c>
      <c r="G3251" s="38" t="s">
        <v>111</v>
      </c>
      <c r="H3251" s="44">
        <v>44230</v>
      </c>
      <c r="I3251" s="44">
        <v>44246</v>
      </c>
      <c r="J3251">
        <v>1153.93</v>
      </c>
      <c r="K3251">
        <v>18.7</v>
      </c>
      <c r="L3251" t="s">
        <v>7507</v>
      </c>
      <c r="M3251" s="45" t="s">
        <v>98</v>
      </c>
      <c r="N3251" s="38" t="s">
        <v>230</v>
      </c>
      <c r="O3251" s="38" t="s">
        <v>506</v>
      </c>
      <c r="P3251" s="38" t="s">
        <v>60</v>
      </c>
      <c r="Q3251" s="38" t="s">
        <v>46</v>
      </c>
      <c r="R3251" s="38" t="s">
        <v>270</v>
      </c>
      <c r="S3251" s="38" t="s">
        <v>7508</v>
      </c>
      <c r="T3251" s="38" t="s">
        <v>7509</v>
      </c>
      <c r="U3251" s="38"/>
      <c r="V3251" s="38"/>
      <c r="W3251" s="38"/>
      <c r="X3251" s="38"/>
      <c r="Y3251" s="57"/>
      <c r="Z3251" s="7"/>
      <c r="AA3251" s="57"/>
      <c r="AB3251" s="7"/>
      <c r="AC3251" s="57"/>
      <c r="AD3251" s="7"/>
      <c r="AE3251" s="57"/>
      <c r="AF3251" s="7"/>
      <c r="AG3251" s="57"/>
      <c r="AH3251" s="7"/>
      <c r="AI3251" s="57">
        <v>18.7</v>
      </c>
      <c r="AJ3251" s="7"/>
      <c r="AK3251" s="57"/>
      <c r="AL3251" s="7"/>
      <c r="AN3251" s="7" t="s">
        <v>145</v>
      </c>
      <c r="AO3251" s="21">
        <f t="shared" si="161"/>
        <v>18.7</v>
      </c>
      <c r="AP3251" s="7">
        <f t="shared" si="160"/>
        <v>0</v>
      </c>
      <c r="AQ3251" s="31" t="str">
        <f t="shared" si="162"/>
        <v>Complete - With Adjustment</v>
      </c>
    </row>
    <row r="3252" spans="1:43" x14ac:dyDescent="0.2">
      <c r="A3252" s="46">
        <v>3242</v>
      </c>
      <c r="B3252" s="38" t="s">
        <v>266</v>
      </c>
      <c r="C3252" s="38" t="s">
        <v>504</v>
      </c>
      <c r="D3252" s="38" t="s">
        <v>805</v>
      </c>
      <c r="E3252" s="38" t="s">
        <v>7506</v>
      </c>
      <c r="F3252" s="38" t="s">
        <v>7168</v>
      </c>
      <c r="G3252" s="38" t="s">
        <v>111</v>
      </c>
      <c r="H3252" s="44">
        <v>44230</v>
      </c>
      <c r="I3252" s="44">
        <v>44246</v>
      </c>
      <c r="J3252">
        <v>1153.93</v>
      </c>
      <c r="K3252">
        <v>18.7</v>
      </c>
      <c r="L3252" t="s">
        <v>7507</v>
      </c>
      <c r="M3252" s="45" t="s">
        <v>98</v>
      </c>
      <c r="N3252" s="38" t="s">
        <v>230</v>
      </c>
      <c r="O3252" s="38" t="s">
        <v>506</v>
      </c>
      <c r="P3252" s="38" t="s">
        <v>60</v>
      </c>
      <c r="Q3252" s="38" t="s">
        <v>46</v>
      </c>
      <c r="R3252" s="38" t="s">
        <v>270</v>
      </c>
      <c r="S3252" s="38" t="s">
        <v>7508</v>
      </c>
      <c r="T3252" s="38" t="s">
        <v>7509</v>
      </c>
      <c r="U3252" s="38"/>
      <c r="V3252" s="38"/>
      <c r="W3252" s="38"/>
      <c r="X3252" s="38"/>
      <c r="Y3252" s="57"/>
      <c r="Z3252" s="7"/>
      <c r="AA3252" s="57"/>
      <c r="AB3252" s="7"/>
      <c r="AC3252" s="57"/>
      <c r="AD3252" s="7"/>
      <c r="AE3252" s="57"/>
      <c r="AF3252" s="7"/>
      <c r="AG3252" s="57"/>
      <c r="AH3252" s="7"/>
      <c r="AI3252" s="57">
        <v>18.7</v>
      </c>
      <c r="AJ3252" s="7"/>
      <c r="AK3252" s="57"/>
      <c r="AL3252" s="7"/>
      <c r="AN3252" s="7" t="s">
        <v>145</v>
      </c>
      <c r="AO3252" s="21">
        <f t="shared" si="161"/>
        <v>18.7</v>
      </c>
      <c r="AP3252" s="7">
        <f t="shared" si="160"/>
        <v>0</v>
      </c>
      <c r="AQ3252" s="31" t="str">
        <f t="shared" si="162"/>
        <v>Complete - With Adjustment</v>
      </c>
    </row>
    <row r="3253" spans="1:43" x14ac:dyDescent="0.2">
      <c r="A3253" s="46">
        <v>3243</v>
      </c>
      <c r="B3253" s="38" t="s">
        <v>266</v>
      </c>
      <c r="C3253" s="38" t="s">
        <v>504</v>
      </c>
      <c r="D3253" s="38" t="s">
        <v>805</v>
      </c>
      <c r="E3253" s="38" t="s">
        <v>7506</v>
      </c>
      <c r="F3253" s="38" t="s">
        <v>7168</v>
      </c>
      <c r="G3253" s="38" t="s">
        <v>111</v>
      </c>
      <c r="H3253" s="44">
        <v>44230</v>
      </c>
      <c r="I3253" s="44">
        <v>44246</v>
      </c>
      <c r="J3253">
        <v>1153.93</v>
      </c>
      <c r="K3253">
        <v>18.7</v>
      </c>
      <c r="L3253" t="s">
        <v>7507</v>
      </c>
      <c r="M3253" s="45" t="s">
        <v>98</v>
      </c>
      <c r="N3253" s="38" t="s">
        <v>230</v>
      </c>
      <c r="O3253" s="38" t="s">
        <v>506</v>
      </c>
      <c r="P3253" s="38" t="s">
        <v>60</v>
      </c>
      <c r="Q3253" s="38" t="s">
        <v>46</v>
      </c>
      <c r="R3253" s="38" t="s">
        <v>270</v>
      </c>
      <c r="S3253" s="38" t="s">
        <v>7508</v>
      </c>
      <c r="T3253" s="38" t="s">
        <v>7509</v>
      </c>
      <c r="U3253" s="38"/>
      <c r="V3253" s="38"/>
      <c r="W3253" s="38"/>
      <c r="X3253" s="38"/>
      <c r="Y3253" s="57"/>
      <c r="Z3253" s="7"/>
      <c r="AA3253" s="57"/>
      <c r="AB3253" s="7"/>
      <c r="AC3253" s="57"/>
      <c r="AD3253" s="7"/>
      <c r="AE3253" s="57"/>
      <c r="AF3253" s="7"/>
      <c r="AG3253" s="57"/>
      <c r="AH3253" s="7"/>
      <c r="AI3253" s="57">
        <v>18.7</v>
      </c>
      <c r="AJ3253" s="7"/>
      <c r="AK3253" s="57"/>
      <c r="AL3253" s="7"/>
      <c r="AN3253" s="7" t="s">
        <v>145</v>
      </c>
      <c r="AO3253" s="21">
        <f t="shared" si="161"/>
        <v>18.7</v>
      </c>
      <c r="AP3253" s="7">
        <f t="shared" si="160"/>
        <v>0</v>
      </c>
      <c r="AQ3253" s="31" t="str">
        <f t="shared" si="162"/>
        <v>Complete - With Adjustment</v>
      </c>
    </row>
    <row r="3254" spans="1:43" x14ac:dyDescent="0.2">
      <c r="A3254" s="46">
        <v>3244</v>
      </c>
      <c r="B3254" s="38" t="s">
        <v>266</v>
      </c>
      <c r="C3254" s="38" t="s">
        <v>504</v>
      </c>
      <c r="D3254" s="38" t="s">
        <v>805</v>
      </c>
      <c r="E3254" s="38" t="s">
        <v>7506</v>
      </c>
      <c r="F3254" s="38" t="s">
        <v>7168</v>
      </c>
      <c r="G3254" s="38" t="s">
        <v>111</v>
      </c>
      <c r="H3254" s="44">
        <v>44230</v>
      </c>
      <c r="I3254" s="44">
        <v>44246</v>
      </c>
      <c r="J3254">
        <v>1153.93</v>
      </c>
      <c r="K3254">
        <v>17</v>
      </c>
      <c r="L3254" t="s">
        <v>7507</v>
      </c>
      <c r="M3254" s="45" t="s">
        <v>98</v>
      </c>
      <c r="N3254" s="38" t="s">
        <v>230</v>
      </c>
      <c r="O3254" s="38" t="s">
        <v>506</v>
      </c>
      <c r="P3254" s="38" t="s">
        <v>60</v>
      </c>
      <c r="Q3254" s="38" t="s">
        <v>46</v>
      </c>
      <c r="R3254" s="38" t="s">
        <v>270</v>
      </c>
      <c r="S3254" s="38" t="s">
        <v>7508</v>
      </c>
      <c r="T3254" s="38" t="s">
        <v>7509</v>
      </c>
      <c r="U3254" s="38"/>
      <c r="V3254" s="38"/>
      <c r="W3254" s="38"/>
      <c r="X3254" s="38"/>
      <c r="Y3254" s="57"/>
      <c r="Z3254" s="7"/>
      <c r="AA3254" s="57"/>
      <c r="AB3254" s="7"/>
      <c r="AC3254" s="57"/>
      <c r="AD3254" s="7"/>
      <c r="AE3254" s="57"/>
      <c r="AF3254" s="7"/>
      <c r="AG3254" s="57"/>
      <c r="AH3254" s="7"/>
      <c r="AI3254" s="57">
        <v>17</v>
      </c>
      <c r="AJ3254" s="7"/>
      <c r="AK3254" s="57"/>
      <c r="AL3254" s="7"/>
      <c r="AN3254" s="7" t="s">
        <v>145</v>
      </c>
      <c r="AO3254" s="21">
        <f t="shared" si="161"/>
        <v>17</v>
      </c>
      <c r="AP3254" s="7">
        <f t="shared" si="160"/>
        <v>0</v>
      </c>
      <c r="AQ3254" s="31" t="str">
        <f t="shared" si="162"/>
        <v>Complete - With Adjustment</v>
      </c>
    </row>
    <row r="3255" spans="1:43" x14ac:dyDescent="0.2">
      <c r="A3255" s="46">
        <v>3245</v>
      </c>
      <c r="B3255" s="38" t="s">
        <v>266</v>
      </c>
      <c r="C3255" s="38" t="s">
        <v>504</v>
      </c>
      <c r="D3255" s="38" t="s">
        <v>805</v>
      </c>
      <c r="E3255" s="38" t="s">
        <v>7506</v>
      </c>
      <c r="F3255" s="38" t="s">
        <v>7168</v>
      </c>
      <c r="G3255" s="38" t="s">
        <v>111</v>
      </c>
      <c r="H3255" s="44">
        <v>44230</v>
      </c>
      <c r="I3255" s="44">
        <v>44246</v>
      </c>
      <c r="J3255">
        <v>1153.93</v>
      </c>
      <c r="K3255">
        <v>17</v>
      </c>
      <c r="L3255" t="s">
        <v>7507</v>
      </c>
      <c r="M3255" s="45" t="s">
        <v>98</v>
      </c>
      <c r="N3255" s="38" t="s">
        <v>230</v>
      </c>
      <c r="O3255" s="38" t="s">
        <v>506</v>
      </c>
      <c r="P3255" s="38" t="s">
        <v>60</v>
      </c>
      <c r="Q3255" s="38" t="s">
        <v>46</v>
      </c>
      <c r="R3255" s="38" t="s">
        <v>270</v>
      </c>
      <c r="S3255" s="38" t="s">
        <v>7508</v>
      </c>
      <c r="T3255" s="38" t="s">
        <v>7509</v>
      </c>
      <c r="U3255" s="38"/>
      <c r="V3255" s="38"/>
      <c r="W3255" s="38"/>
      <c r="X3255" s="38"/>
      <c r="Y3255" s="57"/>
      <c r="Z3255" s="7"/>
      <c r="AA3255" s="57"/>
      <c r="AB3255" s="7"/>
      <c r="AC3255" s="57"/>
      <c r="AD3255" s="7"/>
      <c r="AE3255" s="57"/>
      <c r="AF3255" s="7"/>
      <c r="AG3255" s="57"/>
      <c r="AH3255" s="7"/>
      <c r="AI3255" s="57">
        <v>17</v>
      </c>
      <c r="AJ3255" s="7"/>
      <c r="AK3255" s="57"/>
      <c r="AL3255" s="7"/>
      <c r="AN3255" s="7" t="s">
        <v>145</v>
      </c>
      <c r="AO3255" s="21">
        <f t="shared" si="161"/>
        <v>17</v>
      </c>
      <c r="AP3255" s="7">
        <f t="shared" si="160"/>
        <v>0</v>
      </c>
      <c r="AQ3255" s="31" t="str">
        <f t="shared" si="162"/>
        <v>Complete - With Adjustment</v>
      </c>
    </row>
    <row r="3256" spans="1:43" x14ac:dyDescent="0.2">
      <c r="A3256" s="46">
        <v>3246</v>
      </c>
      <c r="B3256" s="38" t="s">
        <v>266</v>
      </c>
      <c r="C3256" s="38" t="s">
        <v>504</v>
      </c>
      <c r="D3256" s="38" t="s">
        <v>805</v>
      </c>
      <c r="E3256" s="38" t="s">
        <v>7506</v>
      </c>
      <c r="F3256" s="38" t="s">
        <v>7168</v>
      </c>
      <c r="G3256" s="38" t="s">
        <v>111</v>
      </c>
      <c r="H3256" s="44">
        <v>44230</v>
      </c>
      <c r="I3256" s="44">
        <v>44246</v>
      </c>
      <c r="J3256">
        <v>1153.93</v>
      </c>
      <c r="K3256">
        <v>17</v>
      </c>
      <c r="L3256" t="s">
        <v>7507</v>
      </c>
      <c r="M3256" s="45" t="s">
        <v>98</v>
      </c>
      <c r="N3256" s="38" t="s">
        <v>230</v>
      </c>
      <c r="O3256" s="38" t="s">
        <v>506</v>
      </c>
      <c r="P3256" s="38" t="s">
        <v>60</v>
      </c>
      <c r="Q3256" s="38" t="s">
        <v>46</v>
      </c>
      <c r="R3256" s="38" t="s">
        <v>270</v>
      </c>
      <c r="S3256" s="38" t="s">
        <v>7508</v>
      </c>
      <c r="T3256" s="38" t="s">
        <v>7509</v>
      </c>
      <c r="U3256" s="38"/>
      <c r="V3256" s="38"/>
      <c r="W3256" s="38"/>
      <c r="X3256" s="38"/>
      <c r="Y3256" s="57"/>
      <c r="Z3256" s="7"/>
      <c r="AA3256" s="57"/>
      <c r="AB3256" s="7"/>
      <c r="AC3256" s="57"/>
      <c r="AD3256" s="7"/>
      <c r="AE3256" s="57"/>
      <c r="AF3256" s="7"/>
      <c r="AG3256" s="57"/>
      <c r="AH3256" s="7"/>
      <c r="AI3256" s="57">
        <v>17</v>
      </c>
      <c r="AJ3256" s="7"/>
      <c r="AK3256" s="57"/>
      <c r="AL3256" s="7"/>
      <c r="AN3256" s="7" t="s">
        <v>145</v>
      </c>
      <c r="AO3256" s="21">
        <f t="shared" si="161"/>
        <v>17</v>
      </c>
      <c r="AP3256" s="7">
        <f t="shared" si="160"/>
        <v>0</v>
      </c>
      <c r="AQ3256" s="31" t="str">
        <f t="shared" si="162"/>
        <v>Complete - With Adjustment</v>
      </c>
    </row>
    <row r="3257" spans="1:43" x14ac:dyDescent="0.2">
      <c r="A3257" s="46">
        <v>3247</v>
      </c>
      <c r="B3257" s="38" t="s">
        <v>266</v>
      </c>
      <c r="C3257" s="38" t="s">
        <v>504</v>
      </c>
      <c r="D3257" s="38" t="s">
        <v>805</v>
      </c>
      <c r="E3257" s="38" t="s">
        <v>7506</v>
      </c>
      <c r="F3257" s="38" t="s">
        <v>7168</v>
      </c>
      <c r="G3257" s="38" t="s">
        <v>111</v>
      </c>
      <c r="H3257" s="44">
        <v>44230</v>
      </c>
      <c r="I3257" s="44">
        <v>44246</v>
      </c>
      <c r="J3257">
        <v>1153.93</v>
      </c>
      <c r="K3257">
        <v>18.7</v>
      </c>
      <c r="L3257" t="s">
        <v>7507</v>
      </c>
      <c r="M3257" s="45" t="s">
        <v>98</v>
      </c>
      <c r="N3257" s="38" t="s">
        <v>230</v>
      </c>
      <c r="O3257" s="38" t="s">
        <v>506</v>
      </c>
      <c r="P3257" s="38" t="s">
        <v>60</v>
      </c>
      <c r="Q3257" s="38" t="s">
        <v>46</v>
      </c>
      <c r="R3257" s="38" t="s">
        <v>270</v>
      </c>
      <c r="S3257" s="38" t="s">
        <v>7508</v>
      </c>
      <c r="T3257" s="38" t="s">
        <v>7509</v>
      </c>
      <c r="U3257" s="38"/>
      <c r="V3257" s="38"/>
      <c r="W3257" s="38"/>
      <c r="X3257" s="38"/>
      <c r="Y3257" s="57"/>
      <c r="Z3257" s="7"/>
      <c r="AA3257" s="57"/>
      <c r="AB3257" s="7"/>
      <c r="AC3257" s="57"/>
      <c r="AD3257" s="7"/>
      <c r="AE3257" s="57"/>
      <c r="AF3257" s="7"/>
      <c r="AG3257" s="57"/>
      <c r="AH3257" s="7"/>
      <c r="AI3257" s="57">
        <v>18.7</v>
      </c>
      <c r="AJ3257" s="7"/>
      <c r="AK3257" s="57"/>
      <c r="AL3257" s="7"/>
      <c r="AN3257" s="7" t="s">
        <v>145</v>
      </c>
      <c r="AO3257" s="21">
        <f t="shared" si="161"/>
        <v>18.7</v>
      </c>
      <c r="AP3257" s="7">
        <f t="shared" si="160"/>
        <v>0</v>
      </c>
      <c r="AQ3257" s="31" t="str">
        <f t="shared" si="162"/>
        <v>Complete - With Adjustment</v>
      </c>
    </row>
    <row r="3258" spans="1:43" x14ac:dyDescent="0.2">
      <c r="A3258" s="46">
        <v>3248</v>
      </c>
      <c r="B3258" s="38" t="s">
        <v>266</v>
      </c>
      <c r="C3258" s="38" t="s">
        <v>504</v>
      </c>
      <c r="D3258" s="38" t="s">
        <v>805</v>
      </c>
      <c r="E3258" s="38" t="s">
        <v>7506</v>
      </c>
      <c r="F3258" s="38" t="s">
        <v>7168</v>
      </c>
      <c r="G3258" s="38" t="s">
        <v>111</v>
      </c>
      <c r="H3258" s="44">
        <v>44230</v>
      </c>
      <c r="I3258" s="44">
        <v>44246</v>
      </c>
      <c r="J3258">
        <v>1153.93</v>
      </c>
      <c r="K3258">
        <v>18.7</v>
      </c>
      <c r="L3258" t="s">
        <v>7507</v>
      </c>
      <c r="M3258" s="45" t="s">
        <v>98</v>
      </c>
      <c r="N3258" s="38" t="s">
        <v>230</v>
      </c>
      <c r="O3258" s="38" t="s">
        <v>506</v>
      </c>
      <c r="P3258" s="38" t="s">
        <v>60</v>
      </c>
      <c r="Q3258" s="38" t="s">
        <v>46</v>
      </c>
      <c r="R3258" s="38" t="s">
        <v>270</v>
      </c>
      <c r="S3258" s="38" t="s">
        <v>7508</v>
      </c>
      <c r="T3258" s="38" t="s">
        <v>7509</v>
      </c>
      <c r="U3258" s="38"/>
      <c r="V3258" s="38"/>
      <c r="W3258" s="38"/>
      <c r="X3258" s="38"/>
      <c r="Y3258" s="57"/>
      <c r="Z3258" s="7"/>
      <c r="AA3258" s="57"/>
      <c r="AB3258" s="7"/>
      <c r="AC3258" s="57"/>
      <c r="AD3258" s="7"/>
      <c r="AE3258" s="57"/>
      <c r="AF3258" s="7"/>
      <c r="AG3258" s="57"/>
      <c r="AH3258" s="7"/>
      <c r="AI3258" s="57">
        <v>18.7</v>
      </c>
      <c r="AJ3258" s="7"/>
      <c r="AK3258" s="57"/>
      <c r="AL3258" s="7"/>
      <c r="AN3258" s="7" t="s">
        <v>145</v>
      </c>
      <c r="AO3258" s="21">
        <f t="shared" si="161"/>
        <v>18.7</v>
      </c>
      <c r="AP3258" s="7">
        <f t="shared" si="160"/>
        <v>0</v>
      </c>
      <c r="AQ3258" s="31" t="str">
        <f t="shared" si="162"/>
        <v>Complete - With Adjustment</v>
      </c>
    </row>
    <row r="3259" spans="1:43" x14ac:dyDescent="0.2">
      <c r="A3259" s="46">
        <v>3249</v>
      </c>
      <c r="B3259" s="38" t="s">
        <v>266</v>
      </c>
      <c r="C3259" s="38" t="s">
        <v>504</v>
      </c>
      <c r="D3259" s="38" t="s">
        <v>805</v>
      </c>
      <c r="E3259" s="38" t="s">
        <v>7506</v>
      </c>
      <c r="F3259" s="38" t="s">
        <v>7168</v>
      </c>
      <c r="G3259" s="38" t="s">
        <v>111</v>
      </c>
      <c r="H3259" s="44">
        <v>44230</v>
      </c>
      <c r="I3259" s="44">
        <v>44246</v>
      </c>
      <c r="J3259">
        <v>1153.93</v>
      </c>
      <c r="K3259">
        <v>18.7</v>
      </c>
      <c r="L3259" t="s">
        <v>7507</v>
      </c>
      <c r="M3259" s="45" t="s">
        <v>98</v>
      </c>
      <c r="N3259" s="38" t="s">
        <v>230</v>
      </c>
      <c r="O3259" s="38" t="s">
        <v>506</v>
      </c>
      <c r="P3259" s="38" t="s">
        <v>60</v>
      </c>
      <c r="Q3259" s="38" t="s">
        <v>46</v>
      </c>
      <c r="R3259" s="38" t="s">
        <v>270</v>
      </c>
      <c r="S3259" s="38" t="s">
        <v>7508</v>
      </c>
      <c r="T3259" s="38" t="s">
        <v>7509</v>
      </c>
      <c r="U3259" s="38"/>
      <c r="V3259" s="38"/>
      <c r="W3259" s="38"/>
      <c r="X3259" s="38"/>
      <c r="Y3259" s="57"/>
      <c r="Z3259" s="7"/>
      <c r="AA3259" s="57"/>
      <c r="AB3259" s="7"/>
      <c r="AC3259" s="57"/>
      <c r="AD3259" s="7"/>
      <c r="AE3259" s="57"/>
      <c r="AF3259" s="7"/>
      <c r="AG3259" s="57"/>
      <c r="AH3259" s="7"/>
      <c r="AI3259" s="57">
        <v>18.7</v>
      </c>
      <c r="AJ3259" s="7"/>
      <c r="AK3259" s="57"/>
      <c r="AL3259" s="7"/>
      <c r="AN3259" s="7" t="s">
        <v>145</v>
      </c>
      <c r="AO3259" s="21">
        <f t="shared" si="161"/>
        <v>18.7</v>
      </c>
      <c r="AP3259" s="7">
        <f t="shared" si="160"/>
        <v>0</v>
      </c>
      <c r="AQ3259" s="31" t="str">
        <f t="shared" si="162"/>
        <v>Complete - With Adjustment</v>
      </c>
    </row>
    <row r="3260" spans="1:43" x14ac:dyDescent="0.2">
      <c r="A3260" s="46">
        <v>3250</v>
      </c>
      <c r="B3260" s="38" t="s">
        <v>266</v>
      </c>
      <c r="C3260" s="38" t="s">
        <v>504</v>
      </c>
      <c r="D3260" s="38" t="s">
        <v>805</v>
      </c>
      <c r="E3260" s="38" t="s">
        <v>7506</v>
      </c>
      <c r="F3260" s="38" t="s">
        <v>7168</v>
      </c>
      <c r="G3260" s="38" t="s">
        <v>111</v>
      </c>
      <c r="H3260" s="44">
        <v>44230</v>
      </c>
      <c r="I3260" s="44">
        <v>44246</v>
      </c>
      <c r="J3260">
        <v>1153.93</v>
      </c>
      <c r="K3260">
        <v>17</v>
      </c>
      <c r="L3260" t="s">
        <v>7507</v>
      </c>
      <c r="M3260" s="45" t="s">
        <v>98</v>
      </c>
      <c r="N3260" s="38" t="s">
        <v>230</v>
      </c>
      <c r="O3260" s="38" t="s">
        <v>506</v>
      </c>
      <c r="P3260" s="38" t="s">
        <v>60</v>
      </c>
      <c r="Q3260" s="38" t="s">
        <v>46</v>
      </c>
      <c r="R3260" s="38" t="s">
        <v>270</v>
      </c>
      <c r="S3260" s="38" t="s">
        <v>7508</v>
      </c>
      <c r="T3260" s="38" t="s">
        <v>7509</v>
      </c>
      <c r="U3260" s="38"/>
      <c r="V3260" s="38"/>
      <c r="W3260" s="38"/>
      <c r="X3260" s="38"/>
      <c r="Y3260" s="57"/>
      <c r="Z3260" s="7"/>
      <c r="AA3260" s="57"/>
      <c r="AB3260" s="7"/>
      <c r="AC3260" s="57"/>
      <c r="AD3260" s="7"/>
      <c r="AE3260" s="57"/>
      <c r="AF3260" s="7"/>
      <c r="AG3260" s="57"/>
      <c r="AH3260" s="7"/>
      <c r="AI3260" s="57">
        <v>17</v>
      </c>
      <c r="AJ3260" s="7"/>
      <c r="AK3260" s="57"/>
      <c r="AL3260" s="7"/>
      <c r="AN3260" s="7" t="s">
        <v>145</v>
      </c>
      <c r="AO3260" s="21">
        <f t="shared" si="161"/>
        <v>17</v>
      </c>
      <c r="AP3260" s="7">
        <f t="shared" si="160"/>
        <v>0</v>
      </c>
      <c r="AQ3260" s="31" t="str">
        <f t="shared" si="162"/>
        <v>Complete - With Adjustment</v>
      </c>
    </row>
    <row r="3261" spans="1:43" x14ac:dyDescent="0.2">
      <c r="A3261" s="46">
        <v>3251</v>
      </c>
      <c r="B3261" s="38" t="s">
        <v>266</v>
      </c>
      <c r="C3261" s="38" t="s">
        <v>504</v>
      </c>
      <c r="D3261" s="38" t="s">
        <v>805</v>
      </c>
      <c r="E3261" s="38" t="s">
        <v>7506</v>
      </c>
      <c r="F3261" s="38" t="s">
        <v>7168</v>
      </c>
      <c r="G3261" s="38" t="s">
        <v>111</v>
      </c>
      <c r="H3261" s="44">
        <v>44230</v>
      </c>
      <c r="I3261" s="44">
        <v>44246</v>
      </c>
      <c r="J3261">
        <v>1153.93</v>
      </c>
      <c r="K3261">
        <v>18.7</v>
      </c>
      <c r="L3261" t="s">
        <v>7507</v>
      </c>
      <c r="M3261" s="45" t="s">
        <v>98</v>
      </c>
      <c r="N3261" s="38" t="s">
        <v>230</v>
      </c>
      <c r="O3261" s="38" t="s">
        <v>506</v>
      </c>
      <c r="P3261" s="38" t="s">
        <v>60</v>
      </c>
      <c r="Q3261" s="38" t="s">
        <v>46</v>
      </c>
      <c r="R3261" s="38" t="s">
        <v>270</v>
      </c>
      <c r="S3261" s="38" t="s">
        <v>7508</v>
      </c>
      <c r="T3261" s="38" t="s">
        <v>7509</v>
      </c>
      <c r="U3261" s="38"/>
      <c r="V3261" s="38"/>
      <c r="W3261" s="38"/>
      <c r="X3261" s="38"/>
      <c r="Y3261" s="57"/>
      <c r="Z3261" s="7"/>
      <c r="AA3261" s="57"/>
      <c r="AB3261" s="7"/>
      <c r="AC3261" s="57"/>
      <c r="AD3261" s="7"/>
      <c r="AE3261" s="57"/>
      <c r="AF3261" s="7"/>
      <c r="AG3261" s="57"/>
      <c r="AH3261" s="7"/>
      <c r="AI3261" s="57">
        <v>18.7</v>
      </c>
      <c r="AJ3261" s="7"/>
      <c r="AK3261" s="57"/>
      <c r="AL3261" s="7"/>
      <c r="AN3261" s="7" t="s">
        <v>145</v>
      </c>
      <c r="AO3261" s="21">
        <f t="shared" si="161"/>
        <v>18.7</v>
      </c>
      <c r="AP3261" s="7">
        <f t="shared" si="160"/>
        <v>0</v>
      </c>
      <c r="AQ3261" s="31" t="str">
        <f t="shared" si="162"/>
        <v>Complete - With Adjustment</v>
      </c>
    </row>
    <row r="3262" spans="1:43" x14ac:dyDescent="0.2">
      <c r="A3262" s="46">
        <v>3252</v>
      </c>
      <c r="B3262" s="38" t="s">
        <v>266</v>
      </c>
      <c r="C3262" s="38" t="s">
        <v>504</v>
      </c>
      <c r="D3262" s="38" t="s">
        <v>805</v>
      </c>
      <c r="E3262" s="38" t="s">
        <v>7506</v>
      </c>
      <c r="F3262" s="38" t="s">
        <v>7168</v>
      </c>
      <c r="G3262" s="38" t="s">
        <v>111</v>
      </c>
      <c r="H3262" s="44">
        <v>44230</v>
      </c>
      <c r="I3262" s="44">
        <v>44246</v>
      </c>
      <c r="J3262">
        <v>1153.93</v>
      </c>
      <c r="K3262">
        <v>18.7</v>
      </c>
      <c r="L3262" t="s">
        <v>7507</v>
      </c>
      <c r="M3262" s="45" t="s">
        <v>98</v>
      </c>
      <c r="N3262" s="38" t="s">
        <v>230</v>
      </c>
      <c r="O3262" s="38" t="s">
        <v>506</v>
      </c>
      <c r="P3262" s="38" t="s">
        <v>60</v>
      </c>
      <c r="Q3262" s="38" t="s">
        <v>46</v>
      </c>
      <c r="R3262" s="38" t="s">
        <v>270</v>
      </c>
      <c r="S3262" s="38" t="s">
        <v>7508</v>
      </c>
      <c r="T3262" s="38" t="s">
        <v>7509</v>
      </c>
      <c r="U3262" s="38"/>
      <c r="V3262" s="38"/>
      <c r="W3262" s="38"/>
      <c r="X3262" s="38"/>
      <c r="Y3262" s="57"/>
      <c r="Z3262" s="7"/>
      <c r="AA3262" s="57"/>
      <c r="AB3262" s="7"/>
      <c r="AC3262" s="57"/>
      <c r="AD3262" s="7"/>
      <c r="AE3262" s="57"/>
      <c r="AF3262" s="7"/>
      <c r="AG3262" s="57"/>
      <c r="AH3262" s="7"/>
      <c r="AI3262" s="57">
        <v>18.7</v>
      </c>
      <c r="AJ3262" s="7"/>
      <c r="AK3262" s="57"/>
      <c r="AL3262" s="7"/>
      <c r="AN3262" s="7" t="s">
        <v>145</v>
      </c>
      <c r="AO3262" s="21">
        <f t="shared" si="161"/>
        <v>18.7</v>
      </c>
      <c r="AP3262" s="7">
        <f t="shared" si="160"/>
        <v>0</v>
      </c>
      <c r="AQ3262" s="31" t="str">
        <f t="shared" si="162"/>
        <v>Complete - With Adjustment</v>
      </c>
    </row>
    <row r="3263" spans="1:43" x14ac:dyDescent="0.2">
      <c r="A3263" s="46">
        <v>3253</v>
      </c>
      <c r="B3263" s="38" t="s">
        <v>266</v>
      </c>
      <c r="C3263" s="38" t="s">
        <v>504</v>
      </c>
      <c r="D3263" s="38" t="s">
        <v>805</v>
      </c>
      <c r="E3263" s="38" t="s">
        <v>7506</v>
      </c>
      <c r="F3263" s="38" t="s">
        <v>7168</v>
      </c>
      <c r="G3263" s="38" t="s">
        <v>111</v>
      </c>
      <c r="H3263" s="44">
        <v>44230</v>
      </c>
      <c r="I3263" s="44">
        <v>44246</v>
      </c>
      <c r="J3263">
        <v>1153.93</v>
      </c>
      <c r="K3263">
        <v>18.7</v>
      </c>
      <c r="L3263" t="s">
        <v>7507</v>
      </c>
      <c r="M3263" s="45" t="s">
        <v>98</v>
      </c>
      <c r="N3263" s="38" t="s">
        <v>230</v>
      </c>
      <c r="O3263" s="38" t="s">
        <v>506</v>
      </c>
      <c r="P3263" s="38" t="s">
        <v>60</v>
      </c>
      <c r="Q3263" s="38" t="s">
        <v>46</v>
      </c>
      <c r="R3263" s="38" t="s">
        <v>270</v>
      </c>
      <c r="S3263" s="38" t="s">
        <v>7508</v>
      </c>
      <c r="T3263" s="38" t="s">
        <v>7509</v>
      </c>
      <c r="U3263" s="38"/>
      <c r="V3263" s="38"/>
      <c r="W3263" s="38"/>
      <c r="X3263" s="38"/>
      <c r="Y3263" s="57"/>
      <c r="Z3263" s="7"/>
      <c r="AA3263" s="57"/>
      <c r="AB3263" s="7"/>
      <c r="AC3263" s="57"/>
      <c r="AD3263" s="7"/>
      <c r="AE3263" s="57"/>
      <c r="AF3263" s="7"/>
      <c r="AG3263" s="57"/>
      <c r="AH3263" s="7"/>
      <c r="AI3263" s="57">
        <v>18.7</v>
      </c>
      <c r="AJ3263" s="7"/>
      <c r="AK3263" s="57"/>
      <c r="AL3263" s="7"/>
      <c r="AN3263" s="7" t="s">
        <v>145</v>
      </c>
      <c r="AO3263" s="21">
        <f t="shared" si="161"/>
        <v>18.7</v>
      </c>
      <c r="AP3263" s="7">
        <f t="shared" si="160"/>
        <v>0</v>
      </c>
      <c r="AQ3263" s="31" t="str">
        <f t="shared" si="162"/>
        <v>Complete - With Adjustment</v>
      </c>
    </row>
    <row r="3264" spans="1:43" x14ac:dyDescent="0.2">
      <c r="A3264" s="46">
        <v>3254</v>
      </c>
      <c r="B3264" s="38" t="s">
        <v>266</v>
      </c>
      <c r="C3264" s="38" t="s">
        <v>504</v>
      </c>
      <c r="D3264" s="38" t="s">
        <v>805</v>
      </c>
      <c r="E3264" s="38" t="s">
        <v>7506</v>
      </c>
      <c r="F3264" s="38" t="s">
        <v>7168</v>
      </c>
      <c r="G3264" s="38" t="s">
        <v>111</v>
      </c>
      <c r="H3264" s="44">
        <v>44230</v>
      </c>
      <c r="I3264" s="44">
        <v>44246</v>
      </c>
      <c r="J3264">
        <v>1153.93</v>
      </c>
      <c r="K3264">
        <v>23.98</v>
      </c>
      <c r="L3264" t="s">
        <v>7507</v>
      </c>
      <c r="M3264" s="45" t="s">
        <v>98</v>
      </c>
      <c r="N3264" s="38" t="s">
        <v>230</v>
      </c>
      <c r="O3264" s="38" t="s">
        <v>506</v>
      </c>
      <c r="P3264" s="38" t="s">
        <v>60</v>
      </c>
      <c r="Q3264" s="38" t="s">
        <v>46</v>
      </c>
      <c r="R3264" s="38" t="s">
        <v>270</v>
      </c>
      <c r="S3264" s="38" t="s">
        <v>7508</v>
      </c>
      <c r="T3264" s="38" t="s">
        <v>7509</v>
      </c>
      <c r="U3264" s="38"/>
      <c r="V3264" s="38"/>
      <c r="W3264" s="38"/>
      <c r="X3264" s="38"/>
      <c r="Y3264" s="57"/>
      <c r="Z3264" s="7"/>
      <c r="AA3264" s="57"/>
      <c r="AB3264" s="7"/>
      <c r="AC3264" s="57"/>
      <c r="AD3264" s="7"/>
      <c r="AE3264" s="57"/>
      <c r="AF3264" s="7"/>
      <c r="AG3264" s="57"/>
      <c r="AH3264" s="7"/>
      <c r="AI3264" s="57">
        <f>23.98</f>
        <v>23.98</v>
      </c>
      <c r="AJ3264" s="7"/>
      <c r="AK3264" s="57"/>
      <c r="AL3264" s="7"/>
      <c r="AN3264" s="7" t="s">
        <v>145</v>
      </c>
      <c r="AO3264" s="21">
        <f t="shared" si="161"/>
        <v>23.98</v>
      </c>
      <c r="AP3264" s="7">
        <f t="shared" ref="AP3264:AP3327" si="163">K3264-AO3264</f>
        <v>0</v>
      </c>
      <c r="AQ3264" s="31" t="str">
        <f t="shared" si="162"/>
        <v>Complete - With Adjustment</v>
      </c>
    </row>
    <row r="3265" spans="1:43" x14ac:dyDescent="0.2">
      <c r="A3265" s="46">
        <v>3255</v>
      </c>
      <c r="B3265" s="38" t="s">
        <v>266</v>
      </c>
      <c r="C3265" s="38" t="s">
        <v>504</v>
      </c>
      <c r="D3265" s="38" t="s">
        <v>805</v>
      </c>
      <c r="E3265" s="38" t="s">
        <v>7506</v>
      </c>
      <c r="F3265" s="38" t="s">
        <v>7168</v>
      </c>
      <c r="G3265" s="38" t="s">
        <v>111</v>
      </c>
      <c r="H3265" s="44">
        <v>44230</v>
      </c>
      <c r="I3265" s="44">
        <v>44246</v>
      </c>
      <c r="J3265">
        <v>1153.93</v>
      </c>
      <c r="K3265">
        <v>17</v>
      </c>
      <c r="L3265" t="s">
        <v>7507</v>
      </c>
      <c r="M3265" s="45" t="s">
        <v>98</v>
      </c>
      <c r="N3265" s="38" t="s">
        <v>230</v>
      </c>
      <c r="O3265" s="38" t="s">
        <v>506</v>
      </c>
      <c r="P3265" s="38" t="s">
        <v>60</v>
      </c>
      <c r="Q3265" s="38" t="s">
        <v>46</v>
      </c>
      <c r="R3265" s="38" t="s">
        <v>270</v>
      </c>
      <c r="S3265" s="38" t="s">
        <v>7508</v>
      </c>
      <c r="T3265" s="38" t="s">
        <v>7509</v>
      </c>
      <c r="U3265" s="38"/>
      <c r="V3265" s="38"/>
      <c r="W3265" s="38"/>
      <c r="X3265" s="38"/>
      <c r="Y3265" s="57"/>
      <c r="Z3265" s="7"/>
      <c r="AA3265" s="57"/>
      <c r="AB3265" s="7"/>
      <c r="AC3265" s="57"/>
      <c r="AD3265" s="7"/>
      <c r="AE3265" s="57"/>
      <c r="AF3265" s="7"/>
      <c r="AG3265" s="57"/>
      <c r="AH3265" s="7"/>
      <c r="AI3265" s="57">
        <v>17</v>
      </c>
      <c r="AJ3265" s="7"/>
      <c r="AK3265" s="57"/>
      <c r="AL3265" s="7"/>
      <c r="AN3265" s="7" t="s">
        <v>145</v>
      </c>
      <c r="AO3265" s="21">
        <f t="shared" si="161"/>
        <v>17</v>
      </c>
      <c r="AP3265" s="7">
        <f t="shared" si="163"/>
        <v>0</v>
      </c>
      <c r="AQ3265" s="31" t="str">
        <f t="shared" si="162"/>
        <v>Complete - With Adjustment</v>
      </c>
    </row>
    <row r="3266" spans="1:43" x14ac:dyDescent="0.2">
      <c r="A3266" s="46">
        <v>3256</v>
      </c>
      <c r="B3266" s="38" t="s">
        <v>266</v>
      </c>
      <c r="C3266" s="38" t="s">
        <v>504</v>
      </c>
      <c r="D3266" s="38" t="s">
        <v>805</v>
      </c>
      <c r="E3266" s="38" t="s">
        <v>7506</v>
      </c>
      <c r="F3266" s="38" t="s">
        <v>7168</v>
      </c>
      <c r="G3266" s="38" t="s">
        <v>111</v>
      </c>
      <c r="H3266" s="44">
        <v>44230</v>
      </c>
      <c r="I3266" s="44">
        <v>44246</v>
      </c>
      <c r="J3266">
        <v>1153.93</v>
      </c>
      <c r="K3266">
        <v>18.7</v>
      </c>
      <c r="L3266" t="s">
        <v>7507</v>
      </c>
      <c r="M3266" s="45" t="s">
        <v>98</v>
      </c>
      <c r="N3266" s="38" t="s">
        <v>230</v>
      </c>
      <c r="O3266" s="38" t="s">
        <v>506</v>
      </c>
      <c r="P3266" s="38" t="s">
        <v>60</v>
      </c>
      <c r="Q3266" s="38" t="s">
        <v>46</v>
      </c>
      <c r="R3266" s="38" t="s">
        <v>270</v>
      </c>
      <c r="S3266" s="38" t="s">
        <v>7508</v>
      </c>
      <c r="T3266" s="38" t="s">
        <v>7509</v>
      </c>
      <c r="U3266" s="38"/>
      <c r="V3266" s="38"/>
      <c r="W3266" s="38"/>
      <c r="X3266" s="38"/>
      <c r="Y3266" s="57"/>
      <c r="Z3266" s="7"/>
      <c r="AA3266" s="57"/>
      <c r="AB3266" s="7"/>
      <c r="AC3266" s="57"/>
      <c r="AD3266" s="7"/>
      <c r="AE3266" s="57"/>
      <c r="AF3266" s="7"/>
      <c r="AG3266" s="57"/>
      <c r="AH3266" s="7"/>
      <c r="AI3266" s="57">
        <v>18.7</v>
      </c>
      <c r="AJ3266" s="7"/>
      <c r="AK3266" s="57"/>
      <c r="AL3266" s="7"/>
      <c r="AN3266" s="7" t="s">
        <v>145</v>
      </c>
      <c r="AO3266" s="21">
        <f t="shared" si="161"/>
        <v>18.7</v>
      </c>
      <c r="AP3266" s="7">
        <f t="shared" si="163"/>
        <v>0</v>
      </c>
      <c r="AQ3266" s="31" t="str">
        <f t="shared" si="162"/>
        <v>Complete - With Adjustment</v>
      </c>
    </row>
    <row r="3267" spans="1:43" x14ac:dyDescent="0.2">
      <c r="A3267" s="46">
        <v>3257</v>
      </c>
      <c r="B3267" s="38" t="s">
        <v>266</v>
      </c>
      <c r="C3267" s="38" t="s">
        <v>504</v>
      </c>
      <c r="D3267" s="38" t="s">
        <v>805</v>
      </c>
      <c r="E3267" s="38" t="s">
        <v>7506</v>
      </c>
      <c r="F3267" s="38" t="s">
        <v>7168</v>
      </c>
      <c r="G3267" s="38" t="s">
        <v>111</v>
      </c>
      <c r="H3267" s="44">
        <v>44230</v>
      </c>
      <c r="I3267" s="44">
        <v>44246</v>
      </c>
      <c r="J3267">
        <v>1153.93</v>
      </c>
      <c r="K3267">
        <v>43.98</v>
      </c>
      <c r="L3267" t="s">
        <v>7507</v>
      </c>
      <c r="M3267" s="45" t="s">
        <v>98</v>
      </c>
      <c r="N3267" s="38" t="s">
        <v>230</v>
      </c>
      <c r="O3267" s="38" t="s">
        <v>506</v>
      </c>
      <c r="P3267" s="38" t="s">
        <v>60</v>
      </c>
      <c r="Q3267" s="38" t="s">
        <v>46</v>
      </c>
      <c r="R3267" s="38" t="s">
        <v>270</v>
      </c>
      <c r="S3267" s="38" t="s">
        <v>7508</v>
      </c>
      <c r="T3267" s="38" t="s">
        <v>7509</v>
      </c>
      <c r="U3267" s="38"/>
      <c r="V3267" s="38"/>
      <c r="W3267" s="38"/>
      <c r="X3267" s="38"/>
      <c r="Y3267" s="57"/>
      <c r="Z3267" s="7"/>
      <c r="AA3267" s="57"/>
      <c r="AB3267" s="7"/>
      <c r="AC3267" s="57"/>
      <c r="AD3267" s="7"/>
      <c r="AE3267" s="57"/>
      <c r="AF3267" s="7"/>
      <c r="AG3267" s="57"/>
      <c r="AH3267" s="7"/>
      <c r="AI3267" s="57">
        <v>43.98</v>
      </c>
      <c r="AJ3267" s="7"/>
      <c r="AK3267" s="57"/>
      <c r="AL3267" s="7"/>
      <c r="AN3267" s="7" t="s">
        <v>145</v>
      </c>
      <c r="AO3267" s="21">
        <f t="shared" si="161"/>
        <v>43.98</v>
      </c>
      <c r="AP3267" s="7">
        <f t="shared" si="163"/>
        <v>0</v>
      </c>
      <c r="AQ3267" s="31" t="str">
        <f t="shared" si="162"/>
        <v>Complete - With Adjustment</v>
      </c>
    </row>
    <row r="3268" spans="1:43" x14ac:dyDescent="0.2">
      <c r="A3268" s="46">
        <v>3258</v>
      </c>
      <c r="B3268" s="38" t="s">
        <v>266</v>
      </c>
      <c r="C3268" s="38" t="s">
        <v>504</v>
      </c>
      <c r="D3268" s="38" t="s">
        <v>805</v>
      </c>
      <c r="E3268" s="38" t="s">
        <v>7506</v>
      </c>
      <c r="F3268" s="38" t="s">
        <v>7168</v>
      </c>
      <c r="G3268" s="38" t="s">
        <v>111</v>
      </c>
      <c r="H3268" s="44">
        <v>44230</v>
      </c>
      <c r="I3268" s="44">
        <v>44246</v>
      </c>
      <c r="J3268">
        <v>1153.93</v>
      </c>
      <c r="K3268">
        <v>21.99</v>
      </c>
      <c r="L3268" t="s">
        <v>7507</v>
      </c>
      <c r="M3268" s="45" t="s">
        <v>98</v>
      </c>
      <c r="N3268" s="38" t="s">
        <v>230</v>
      </c>
      <c r="O3268" s="38" t="s">
        <v>506</v>
      </c>
      <c r="P3268" s="38" t="s">
        <v>60</v>
      </c>
      <c r="Q3268" s="38" t="s">
        <v>46</v>
      </c>
      <c r="R3268" s="38" t="s">
        <v>270</v>
      </c>
      <c r="S3268" s="38" t="s">
        <v>7508</v>
      </c>
      <c r="T3268" s="38" t="s">
        <v>7509</v>
      </c>
      <c r="U3268" s="38"/>
      <c r="V3268" s="38"/>
      <c r="W3268" s="38"/>
      <c r="X3268" s="38"/>
      <c r="Y3268" s="57"/>
      <c r="Z3268" s="7"/>
      <c r="AA3268" s="57"/>
      <c r="AB3268" s="7"/>
      <c r="AC3268" s="57"/>
      <c r="AD3268" s="7"/>
      <c r="AE3268" s="57"/>
      <c r="AF3268" s="7"/>
      <c r="AG3268" s="57"/>
      <c r="AH3268" s="7"/>
      <c r="AI3268" s="57">
        <v>21.99</v>
      </c>
      <c r="AJ3268" s="7"/>
      <c r="AK3268" s="57"/>
      <c r="AL3268" s="7"/>
      <c r="AN3268" s="7" t="s">
        <v>145</v>
      </c>
      <c r="AO3268" s="21">
        <f t="shared" si="161"/>
        <v>21.99</v>
      </c>
      <c r="AP3268" s="7">
        <f t="shared" si="163"/>
        <v>0</v>
      </c>
      <c r="AQ3268" s="31" t="str">
        <f t="shared" si="162"/>
        <v>Complete - With Adjustment</v>
      </c>
    </row>
    <row r="3269" spans="1:43" x14ac:dyDescent="0.2">
      <c r="A3269" s="46">
        <v>3259</v>
      </c>
      <c r="B3269" s="38" t="s">
        <v>266</v>
      </c>
      <c r="C3269" s="38" t="s">
        <v>504</v>
      </c>
      <c r="D3269" s="38" t="s">
        <v>805</v>
      </c>
      <c r="E3269" s="38" t="s">
        <v>7506</v>
      </c>
      <c r="F3269" s="38" t="s">
        <v>7168</v>
      </c>
      <c r="G3269" s="38" t="s">
        <v>111</v>
      </c>
      <c r="H3269" s="44">
        <v>44230</v>
      </c>
      <c r="I3269" s="44">
        <v>44246</v>
      </c>
      <c r="J3269">
        <v>1153.93</v>
      </c>
      <c r="K3269">
        <v>17</v>
      </c>
      <c r="L3269" t="s">
        <v>7507</v>
      </c>
      <c r="M3269" s="45" t="s">
        <v>98</v>
      </c>
      <c r="N3269" s="38" t="s">
        <v>230</v>
      </c>
      <c r="O3269" s="38" t="s">
        <v>506</v>
      </c>
      <c r="P3269" s="38" t="s">
        <v>60</v>
      </c>
      <c r="Q3269" s="38" t="s">
        <v>46</v>
      </c>
      <c r="R3269" s="38" t="s">
        <v>270</v>
      </c>
      <c r="S3269" s="38" t="s">
        <v>7508</v>
      </c>
      <c r="T3269" s="38" t="s">
        <v>7509</v>
      </c>
      <c r="U3269" s="38"/>
      <c r="V3269" s="38"/>
      <c r="W3269" s="38"/>
      <c r="X3269" s="38"/>
      <c r="Y3269" s="57"/>
      <c r="Z3269" s="7"/>
      <c r="AA3269" s="57"/>
      <c r="AB3269" s="7"/>
      <c r="AC3269" s="57"/>
      <c r="AD3269" s="7"/>
      <c r="AE3269" s="57"/>
      <c r="AF3269" s="7"/>
      <c r="AG3269" s="57"/>
      <c r="AH3269" s="7"/>
      <c r="AI3269" s="57">
        <v>17</v>
      </c>
      <c r="AJ3269" s="7"/>
      <c r="AK3269" s="57"/>
      <c r="AL3269" s="7"/>
      <c r="AN3269" s="7" t="s">
        <v>145</v>
      </c>
      <c r="AO3269" s="21">
        <f t="shared" si="161"/>
        <v>17</v>
      </c>
      <c r="AP3269" s="7">
        <f t="shared" si="163"/>
        <v>0</v>
      </c>
      <c r="AQ3269" s="31" t="str">
        <f t="shared" si="162"/>
        <v>Complete - With Adjustment</v>
      </c>
    </row>
    <row r="3270" spans="1:43" x14ac:dyDescent="0.2">
      <c r="A3270" s="46">
        <v>3260</v>
      </c>
      <c r="B3270" s="38" t="s">
        <v>266</v>
      </c>
      <c r="C3270" s="38" t="s">
        <v>504</v>
      </c>
      <c r="D3270" s="38" t="s">
        <v>805</v>
      </c>
      <c r="E3270" s="38" t="s">
        <v>7506</v>
      </c>
      <c r="F3270" s="38" t="s">
        <v>7168</v>
      </c>
      <c r="G3270" s="38" t="s">
        <v>111</v>
      </c>
      <c r="H3270" s="44">
        <v>44230</v>
      </c>
      <c r="I3270" s="44">
        <v>44246</v>
      </c>
      <c r="J3270">
        <v>1153.93</v>
      </c>
      <c r="K3270">
        <v>18.7</v>
      </c>
      <c r="L3270" t="s">
        <v>7507</v>
      </c>
      <c r="M3270" s="45" t="s">
        <v>98</v>
      </c>
      <c r="N3270" s="38" t="s">
        <v>230</v>
      </c>
      <c r="O3270" s="38" t="s">
        <v>506</v>
      </c>
      <c r="P3270" s="38" t="s">
        <v>60</v>
      </c>
      <c r="Q3270" s="38" t="s">
        <v>46</v>
      </c>
      <c r="R3270" s="38" t="s">
        <v>270</v>
      </c>
      <c r="S3270" s="38" t="s">
        <v>7508</v>
      </c>
      <c r="T3270" s="38" t="s">
        <v>7509</v>
      </c>
      <c r="U3270" s="38"/>
      <c r="V3270" s="38"/>
      <c r="W3270" s="38"/>
      <c r="X3270" s="38"/>
      <c r="Y3270" s="57"/>
      <c r="Z3270" s="7"/>
      <c r="AA3270" s="57"/>
      <c r="AB3270" s="7"/>
      <c r="AC3270" s="57"/>
      <c r="AD3270" s="7"/>
      <c r="AE3270" s="57"/>
      <c r="AF3270" s="7"/>
      <c r="AG3270" s="57"/>
      <c r="AH3270" s="7"/>
      <c r="AI3270" s="57">
        <v>18.7</v>
      </c>
      <c r="AJ3270" s="7"/>
      <c r="AK3270" s="57"/>
      <c r="AL3270" s="7"/>
      <c r="AN3270" s="7" t="s">
        <v>145</v>
      </c>
      <c r="AO3270" s="21">
        <f t="shared" si="161"/>
        <v>18.7</v>
      </c>
      <c r="AP3270" s="7">
        <f t="shared" si="163"/>
        <v>0</v>
      </c>
      <c r="AQ3270" s="31" t="str">
        <f t="shared" si="162"/>
        <v>Complete - With Adjustment</v>
      </c>
    </row>
    <row r="3271" spans="1:43" x14ac:dyDescent="0.2">
      <c r="A3271" s="46">
        <v>3261</v>
      </c>
      <c r="B3271" s="38" t="s">
        <v>266</v>
      </c>
      <c r="C3271" s="38" t="s">
        <v>504</v>
      </c>
      <c r="D3271" s="38" t="s">
        <v>805</v>
      </c>
      <c r="E3271" s="38" t="s">
        <v>7506</v>
      </c>
      <c r="F3271" s="38" t="s">
        <v>7168</v>
      </c>
      <c r="G3271" s="38" t="s">
        <v>111</v>
      </c>
      <c r="H3271" s="44">
        <v>44230</v>
      </c>
      <c r="I3271" s="44">
        <v>44246</v>
      </c>
      <c r="J3271">
        <v>1153.93</v>
      </c>
      <c r="K3271">
        <v>18.7</v>
      </c>
      <c r="L3271" t="s">
        <v>7507</v>
      </c>
      <c r="M3271" s="45" t="s">
        <v>98</v>
      </c>
      <c r="N3271" s="38" t="s">
        <v>230</v>
      </c>
      <c r="O3271" s="38" t="s">
        <v>506</v>
      </c>
      <c r="P3271" s="38" t="s">
        <v>60</v>
      </c>
      <c r="Q3271" s="38" t="s">
        <v>46</v>
      </c>
      <c r="R3271" s="38" t="s">
        <v>270</v>
      </c>
      <c r="S3271" s="38" t="s">
        <v>7508</v>
      </c>
      <c r="T3271" s="38" t="s">
        <v>7509</v>
      </c>
      <c r="U3271" s="38"/>
      <c r="V3271" s="38"/>
      <c r="W3271" s="38"/>
      <c r="X3271" s="38"/>
      <c r="Y3271" s="57"/>
      <c r="Z3271" s="7"/>
      <c r="AA3271" s="57"/>
      <c r="AB3271" s="7"/>
      <c r="AC3271" s="57"/>
      <c r="AD3271" s="7"/>
      <c r="AE3271" s="57"/>
      <c r="AF3271" s="7"/>
      <c r="AG3271" s="57"/>
      <c r="AH3271" s="7"/>
      <c r="AI3271" s="57">
        <v>18.7</v>
      </c>
      <c r="AJ3271" s="7"/>
      <c r="AK3271" s="57"/>
      <c r="AL3271" s="7"/>
      <c r="AN3271" s="7" t="s">
        <v>145</v>
      </c>
      <c r="AO3271" s="21">
        <f t="shared" si="161"/>
        <v>18.7</v>
      </c>
      <c r="AP3271" s="7">
        <f t="shared" si="163"/>
        <v>0</v>
      </c>
      <c r="AQ3271" s="31" t="str">
        <f t="shared" si="162"/>
        <v>Complete - With Adjustment</v>
      </c>
    </row>
    <row r="3272" spans="1:43" x14ac:dyDescent="0.2">
      <c r="A3272" s="46">
        <v>3262</v>
      </c>
      <c r="B3272" s="38" t="s">
        <v>266</v>
      </c>
      <c r="C3272" s="38" t="s">
        <v>504</v>
      </c>
      <c r="D3272" s="38" t="s">
        <v>805</v>
      </c>
      <c r="E3272" s="38" t="s">
        <v>7506</v>
      </c>
      <c r="F3272" s="38" t="s">
        <v>7168</v>
      </c>
      <c r="G3272" s="38" t="s">
        <v>111</v>
      </c>
      <c r="H3272" s="44">
        <v>44230</v>
      </c>
      <c r="I3272" s="44">
        <v>44246</v>
      </c>
      <c r="J3272">
        <v>1153.93</v>
      </c>
      <c r="K3272">
        <v>18.7</v>
      </c>
      <c r="L3272" t="s">
        <v>7507</v>
      </c>
      <c r="M3272" s="45" t="s">
        <v>98</v>
      </c>
      <c r="N3272" s="38" t="s">
        <v>230</v>
      </c>
      <c r="O3272" s="38" t="s">
        <v>506</v>
      </c>
      <c r="P3272" s="38" t="s">
        <v>60</v>
      </c>
      <c r="Q3272" s="38" t="s">
        <v>46</v>
      </c>
      <c r="R3272" s="38" t="s">
        <v>270</v>
      </c>
      <c r="S3272" s="38" t="s">
        <v>7508</v>
      </c>
      <c r="T3272" s="38" t="s">
        <v>7509</v>
      </c>
      <c r="U3272" s="38"/>
      <c r="V3272" s="38"/>
      <c r="W3272" s="38"/>
      <c r="X3272" s="38"/>
      <c r="Y3272" s="57"/>
      <c r="Z3272" s="7"/>
      <c r="AA3272" s="57"/>
      <c r="AB3272" s="7"/>
      <c r="AC3272" s="57"/>
      <c r="AD3272" s="7"/>
      <c r="AE3272" s="57"/>
      <c r="AF3272" s="7"/>
      <c r="AG3272" s="57"/>
      <c r="AH3272" s="7"/>
      <c r="AI3272" s="57">
        <v>18.7</v>
      </c>
      <c r="AJ3272" s="7"/>
      <c r="AK3272" s="57"/>
      <c r="AL3272" s="7"/>
      <c r="AN3272" s="7" t="s">
        <v>145</v>
      </c>
      <c r="AO3272" s="21">
        <f t="shared" ref="AO3272:AO3335" si="164">SUM(Y3272:AL3272)</f>
        <v>18.7</v>
      </c>
      <c r="AP3272" s="7">
        <f t="shared" si="163"/>
        <v>0</v>
      </c>
      <c r="AQ3272" s="31" t="str">
        <f t="shared" ref="AQ3272:AQ3335" si="165">IF(AO3272&lt;&gt;0,"Complete - With Adjustment","Complete - No Adjustment")</f>
        <v>Complete - With Adjustment</v>
      </c>
    </row>
    <row r="3273" spans="1:43" x14ac:dyDescent="0.2">
      <c r="A3273" s="46">
        <v>3263</v>
      </c>
      <c r="B3273" s="38" t="s">
        <v>266</v>
      </c>
      <c r="C3273" s="38" t="s">
        <v>504</v>
      </c>
      <c r="D3273" s="38" t="s">
        <v>805</v>
      </c>
      <c r="E3273" s="38" t="s">
        <v>7506</v>
      </c>
      <c r="F3273" s="38" t="s">
        <v>7168</v>
      </c>
      <c r="G3273" s="38" t="s">
        <v>111</v>
      </c>
      <c r="H3273" s="44">
        <v>44230</v>
      </c>
      <c r="I3273" s="44">
        <v>44246</v>
      </c>
      <c r="J3273">
        <v>1153.93</v>
      </c>
      <c r="K3273">
        <v>18.7</v>
      </c>
      <c r="L3273" t="s">
        <v>7507</v>
      </c>
      <c r="M3273" s="45" t="s">
        <v>98</v>
      </c>
      <c r="N3273" s="38" t="s">
        <v>230</v>
      </c>
      <c r="O3273" s="38" t="s">
        <v>506</v>
      </c>
      <c r="P3273" s="38" t="s">
        <v>60</v>
      </c>
      <c r="Q3273" s="38" t="s">
        <v>46</v>
      </c>
      <c r="R3273" s="38" t="s">
        <v>270</v>
      </c>
      <c r="S3273" s="38" t="s">
        <v>7508</v>
      </c>
      <c r="T3273" s="38" t="s">
        <v>7509</v>
      </c>
      <c r="U3273" s="38"/>
      <c r="V3273" s="38"/>
      <c r="W3273" s="38"/>
      <c r="X3273" s="38"/>
      <c r="Y3273" s="57"/>
      <c r="Z3273" s="7"/>
      <c r="AA3273" s="57"/>
      <c r="AB3273" s="7"/>
      <c r="AC3273" s="57"/>
      <c r="AD3273" s="7"/>
      <c r="AE3273" s="57"/>
      <c r="AF3273" s="7"/>
      <c r="AG3273" s="57"/>
      <c r="AH3273" s="7"/>
      <c r="AI3273" s="57">
        <v>18.7</v>
      </c>
      <c r="AJ3273" s="7"/>
      <c r="AK3273" s="57"/>
      <c r="AL3273" s="7"/>
      <c r="AN3273" s="7" t="s">
        <v>145</v>
      </c>
      <c r="AO3273" s="21">
        <f t="shared" si="164"/>
        <v>18.7</v>
      </c>
      <c r="AP3273" s="7">
        <f t="shared" si="163"/>
        <v>0</v>
      </c>
      <c r="AQ3273" s="31" t="str">
        <f t="shared" si="165"/>
        <v>Complete - With Adjustment</v>
      </c>
    </row>
    <row r="3274" spans="1:43" x14ac:dyDescent="0.2">
      <c r="A3274" s="46">
        <v>3264</v>
      </c>
      <c r="B3274" s="38" t="s">
        <v>266</v>
      </c>
      <c r="C3274" s="38" t="s">
        <v>504</v>
      </c>
      <c r="D3274" s="38" t="s">
        <v>805</v>
      </c>
      <c r="E3274" s="38" t="s">
        <v>7506</v>
      </c>
      <c r="F3274" s="38" t="s">
        <v>7168</v>
      </c>
      <c r="G3274" s="38" t="s">
        <v>111</v>
      </c>
      <c r="H3274" s="44">
        <v>44230</v>
      </c>
      <c r="I3274" s="44">
        <v>44246</v>
      </c>
      <c r="J3274">
        <v>1153.93</v>
      </c>
      <c r="K3274">
        <v>19.55</v>
      </c>
      <c r="L3274" t="s">
        <v>7507</v>
      </c>
      <c r="M3274" s="45" t="s">
        <v>98</v>
      </c>
      <c r="N3274" s="38" t="s">
        <v>230</v>
      </c>
      <c r="O3274" s="38" t="s">
        <v>507</v>
      </c>
      <c r="P3274" s="38" t="s">
        <v>60</v>
      </c>
      <c r="Q3274" s="38" t="s">
        <v>46</v>
      </c>
      <c r="R3274" s="38" t="s">
        <v>270</v>
      </c>
      <c r="S3274" s="38" t="s">
        <v>7508</v>
      </c>
      <c r="T3274" s="38" t="s">
        <v>7510</v>
      </c>
      <c r="U3274" s="38"/>
      <c r="V3274" s="38"/>
      <c r="W3274" s="38"/>
      <c r="X3274" s="38"/>
      <c r="Y3274" s="57"/>
      <c r="Z3274" s="7"/>
      <c r="AA3274" s="57"/>
      <c r="AB3274" s="7"/>
      <c r="AC3274" s="57"/>
      <c r="AD3274" s="7"/>
      <c r="AE3274" s="57"/>
      <c r="AF3274" s="7"/>
      <c r="AG3274" s="57"/>
      <c r="AH3274" s="7"/>
      <c r="AI3274" s="57">
        <v>19.55</v>
      </c>
      <c r="AJ3274" s="7"/>
      <c r="AK3274" s="57"/>
      <c r="AL3274" s="7"/>
      <c r="AN3274" s="7" t="s">
        <v>145</v>
      </c>
      <c r="AO3274" s="21">
        <f t="shared" si="164"/>
        <v>19.55</v>
      </c>
      <c r="AP3274" s="7">
        <f t="shared" si="163"/>
        <v>0</v>
      </c>
      <c r="AQ3274" s="31" t="str">
        <f t="shared" si="165"/>
        <v>Complete - With Adjustment</v>
      </c>
    </row>
    <row r="3275" spans="1:43" x14ac:dyDescent="0.2">
      <c r="A3275" s="46">
        <v>3265</v>
      </c>
      <c r="B3275" s="38" t="s">
        <v>266</v>
      </c>
      <c r="C3275" s="38" t="s">
        <v>504</v>
      </c>
      <c r="D3275" s="38" t="s">
        <v>805</v>
      </c>
      <c r="E3275" s="38" t="s">
        <v>7506</v>
      </c>
      <c r="F3275" s="38" t="s">
        <v>7168</v>
      </c>
      <c r="G3275" s="38" t="s">
        <v>111</v>
      </c>
      <c r="H3275" s="44">
        <v>44230</v>
      </c>
      <c r="I3275" s="44">
        <v>44246</v>
      </c>
      <c r="J3275">
        <v>1153.93</v>
      </c>
      <c r="K3275">
        <v>21.99</v>
      </c>
      <c r="L3275" t="s">
        <v>7507</v>
      </c>
      <c r="M3275" s="45" t="s">
        <v>98</v>
      </c>
      <c r="N3275" s="38" t="s">
        <v>230</v>
      </c>
      <c r="O3275" s="38" t="s">
        <v>506</v>
      </c>
      <c r="P3275" s="38" t="s">
        <v>60</v>
      </c>
      <c r="Q3275" s="38" t="s">
        <v>46</v>
      </c>
      <c r="R3275" s="38" t="s">
        <v>270</v>
      </c>
      <c r="S3275" s="38" t="s">
        <v>7508</v>
      </c>
      <c r="T3275" s="38" t="s">
        <v>7509</v>
      </c>
      <c r="U3275" s="38"/>
      <c r="V3275" s="38"/>
      <c r="W3275" s="38"/>
      <c r="X3275" s="38"/>
      <c r="Y3275" s="57"/>
      <c r="Z3275" s="7"/>
      <c r="AA3275" s="57"/>
      <c r="AB3275" s="7"/>
      <c r="AC3275" s="57"/>
      <c r="AD3275" s="7"/>
      <c r="AE3275" s="57"/>
      <c r="AF3275" s="7"/>
      <c r="AG3275" s="57"/>
      <c r="AH3275" s="7"/>
      <c r="AI3275" s="57">
        <v>21.99</v>
      </c>
      <c r="AJ3275" s="7"/>
      <c r="AK3275" s="57"/>
      <c r="AL3275" s="7"/>
      <c r="AN3275" s="7" t="s">
        <v>145</v>
      </c>
      <c r="AO3275" s="21">
        <f t="shared" si="164"/>
        <v>21.99</v>
      </c>
      <c r="AP3275" s="7">
        <f t="shared" si="163"/>
        <v>0</v>
      </c>
      <c r="AQ3275" s="31" t="str">
        <f t="shared" si="165"/>
        <v>Complete - With Adjustment</v>
      </c>
    </row>
    <row r="3276" spans="1:43" x14ac:dyDescent="0.2">
      <c r="A3276" s="46">
        <v>3266</v>
      </c>
      <c r="B3276" s="38" t="s">
        <v>266</v>
      </c>
      <c r="C3276" s="38" t="s">
        <v>504</v>
      </c>
      <c r="D3276" s="38" t="s">
        <v>805</v>
      </c>
      <c r="E3276" s="38" t="s">
        <v>7506</v>
      </c>
      <c r="F3276" s="38" t="s">
        <v>7168</v>
      </c>
      <c r="G3276" s="38" t="s">
        <v>111</v>
      </c>
      <c r="H3276" s="44">
        <v>44230</v>
      </c>
      <c r="I3276" s="44">
        <v>44246</v>
      </c>
      <c r="J3276">
        <v>1153.93</v>
      </c>
      <c r="K3276">
        <v>18.7</v>
      </c>
      <c r="L3276" t="s">
        <v>7507</v>
      </c>
      <c r="M3276" s="45" t="s">
        <v>98</v>
      </c>
      <c r="N3276" s="38" t="s">
        <v>230</v>
      </c>
      <c r="O3276" s="38" t="s">
        <v>506</v>
      </c>
      <c r="P3276" s="38" t="s">
        <v>60</v>
      </c>
      <c r="Q3276" s="38" t="s">
        <v>46</v>
      </c>
      <c r="R3276" s="38" t="s">
        <v>270</v>
      </c>
      <c r="S3276" s="38" t="s">
        <v>7508</v>
      </c>
      <c r="T3276" s="38" t="s">
        <v>7509</v>
      </c>
      <c r="U3276" s="38"/>
      <c r="V3276" s="38"/>
      <c r="W3276" s="38"/>
      <c r="X3276" s="38"/>
      <c r="Y3276" s="57"/>
      <c r="Z3276" s="7"/>
      <c r="AA3276" s="57"/>
      <c r="AB3276" s="7"/>
      <c r="AC3276" s="57"/>
      <c r="AD3276" s="7"/>
      <c r="AE3276" s="57"/>
      <c r="AF3276" s="7"/>
      <c r="AG3276" s="57"/>
      <c r="AH3276" s="7"/>
      <c r="AI3276" s="57">
        <v>18.7</v>
      </c>
      <c r="AJ3276" s="7"/>
      <c r="AK3276" s="57"/>
      <c r="AL3276" s="7"/>
      <c r="AN3276" s="7" t="s">
        <v>145</v>
      </c>
      <c r="AO3276" s="21">
        <f t="shared" si="164"/>
        <v>18.7</v>
      </c>
      <c r="AP3276" s="7">
        <f t="shared" si="163"/>
        <v>0</v>
      </c>
      <c r="AQ3276" s="31" t="str">
        <f t="shared" si="165"/>
        <v>Complete - With Adjustment</v>
      </c>
    </row>
    <row r="3277" spans="1:43" x14ac:dyDescent="0.2">
      <c r="A3277" s="46">
        <v>3267</v>
      </c>
      <c r="B3277" s="38" t="s">
        <v>266</v>
      </c>
      <c r="C3277" s="38" t="s">
        <v>504</v>
      </c>
      <c r="D3277" s="38" t="s">
        <v>805</v>
      </c>
      <c r="E3277" s="38" t="s">
        <v>7506</v>
      </c>
      <c r="F3277" s="38" t="s">
        <v>7168</v>
      </c>
      <c r="G3277" s="38" t="s">
        <v>111</v>
      </c>
      <c r="H3277" s="44">
        <v>44230</v>
      </c>
      <c r="I3277" s="44">
        <v>44246</v>
      </c>
      <c r="J3277">
        <v>1153.93</v>
      </c>
      <c r="K3277">
        <v>18.7</v>
      </c>
      <c r="L3277" t="s">
        <v>7507</v>
      </c>
      <c r="M3277" s="45" t="s">
        <v>98</v>
      </c>
      <c r="N3277" s="38" t="s">
        <v>230</v>
      </c>
      <c r="O3277" s="38" t="s">
        <v>506</v>
      </c>
      <c r="P3277" s="38" t="s">
        <v>60</v>
      </c>
      <c r="Q3277" s="38" t="s">
        <v>46</v>
      </c>
      <c r="R3277" s="38" t="s">
        <v>270</v>
      </c>
      <c r="S3277" s="38" t="s">
        <v>7508</v>
      </c>
      <c r="T3277" s="38" t="s">
        <v>7509</v>
      </c>
      <c r="U3277" s="38"/>
      <c r="V3277" s="38"/>
      <c r="W3277" s="38"/>
      <c r="X3277" s="38"/>
      <c r="Y3277" s="57"/>
      <c r="Z3277" s="7"/>
      <c r="AA3277" s="57"/>
      <c r="AB3277" s="7"/>
      <c r="AC3277" s="57"/>
      <c r="AD3277" s="7"/>
      <c r="AE3277" s="57"/>
      <c r="AF3277" s="7"/>
      <c r="AG3277" s="57"/>
      <c r="AH3277" s="7"/>
      <c r="AI3277" s="57">
        <v>18.7</v>
      </c>
      <c r="AJ3277" s="7"/>
      <c r="AK3277" s="57"/>
      <c r="AL3277" s="7"/>
      <c r="AN3277" s="7" t="s">
        <v>145</v>
      </c>
      <c r="AO3277" s="21">
        <f t="shared" si="164"/>
        <v>18.7</v>
      </c>
      <c r="AP3277" s="7">
        <f t="shared" si="163"/>
        <v>0</v>
      </c>
      <c r="AQ3277" s="31" t="str">
        <f t="shared" si="165"/>
        <v>Complete - With Adjustment</v>
      </c>
    </row>
    <row r="3278" spans="1:43" x14ac:dyDescent="0.2">
      <c r="A3278" s="46">
        <v>3268</v>
      </c>
      <c r="B3278" s="38" t="s">
        <v>266</v>
      </c>
      <c r="C3278" s="38" t="s">
        <v>504</v>
      </c>
      <c r="D3278" s="38" t="s">
        <v>805</v>
      </c>
      <c r="E3278" s="38" t="s">
        <v>7506</v>
      </c>
      <c r="F3278" s="38" t="s">
        <v>7168</v>
      </c>
      <c r="G3278" s="38" t="s">
        <v>111</v>
      </c>
      <c r="H3278" s="44">
        <v>44230</v>
      </c>
      <c r="I3278" s="44">
        <v>44246</v>
      </c>
      <c r="J3278">
        <v>1153.93</v>
      </c>
      <c r="K3278">
        <v>18.7</v>
      </c>
      <c r="L3278" t="s">
        <v>7507</v>
      </c>
      <c r="M3278" s="45" t="s">
        <v>98</v>
      </c>
      <c r="N3278" s="38" t="s">
        <v>230</v>
      </c>
      <c r="O3278" s="38" t="s">
        <v>506</v>
      </c>
      <c r="P3278" s="38" t="s">
        <v>60</v>
      </c>
      <c r="Q3278" s="38" t="s">
        <v>46</v>
      </c>
      <c r="R3278" s="38" t="s">
        <v>270</v>
      </c>
      <c r="S3278" s="38" t="s">
        <v>7508</v>
      </c>
      <c r="T3278" s="38" t="s">
        <v>7509</v>
      </c>
      <c r="U3278" s="38"/>
      <c r="V3278" s="38"/>
      <c r="W3278" s="38"/>
      <c r="X3278" s="38"/>
      <c r="Y3278" s="57"/>
      <c r="Z3278" s="7"/>
      <c r="AA3278" s="57"/>
      <c r="AB3278" s="7"/>
      <c r="AC3278" s="57"/>
      <c r="AD3278" s="7"/>
      <c r="AE3278" s="57"/>
      <c r="AF3278" s="7"/>
      <c r="AG3278" s="57"/>
      <c r="AH3278" s="7"/>
      <c r="AI3278" s="57">
        <v>18.7</v>
      </c>
      <c r="AJ3278" s="7"/>
      <c r="AK3278" s="57"/>
      <c r="AL3278" s="7"/>
      <c r="AN3278" s="7" t="s">
        <v>145</v>
      </c>
      <c r="AO3278" s="21">
        <f t="shared" si="164"/>
        <v>18.7</v>
      </c>
      <c r="AP3278" s="7">
        <f t="shared" si="163"/>
        <v>0</v>
      </c>
      <c r="AQ3278" s="31" t="str">
        <f t="shared" si="165"/>
        <v>Complete - With Adjustment</v>
      </c>
    </row>
    <row r="3279" spans="1:43" x14ac:dyDescent="0.2">
      <c r="A3279" s="46">
        <v>3269</v>
      </c>
      <c r="B3279" s="38" t="s">
        <v>266</v>
      </c>
      <c r="C3279" s="38" t="s">
        <v>504</v>
      </c>
      <c r="D3279" s="38" t="s">
        <v>805</v>
      </c>
      <c r="E3279" s="38" t="s">
        <v>7506</v>
      </c>
      <c r="F3279" s="38" t="s">
        <v>7168</v>
      </c>
      <c r="G3279" s="38" t="s">
        <v>111</v>
      </c>
      <c r="H3279" s="44">
        <v>44230</v>
      </c>
      <c r="I3279" s="44">
        <v>44246</v>
      </c>
      <c r="J3279">
        <v>1153.93</v>
      </c>
      <c r="K3279">
        <v>18.7</v>
      </c>
      <c r="L3279" t="s">
        <v>7507</v>
      </c>
      <c r="M3279" s="45" t="s">
        <v>98</v>
      </c>
      <c r="N3279" s="38" t="s">
        <v>230</v>
      </c>
      <c r="O3279" s="38" t="s">
        <v>506</v>
      </c>
      <c r="P3279" s="38" t="s">
        <v>60</v>
      </c>
      <c r="Q3279" s="38" t="s">
        <v>46</v>
      </c>
      <c r="R3279" s="38" t="s">
        <v>270</v>
      </c>
      <c r="S3279" s="38" t="s">
        <v>7508</v>
      </c>
      <c r="T3279" s="38" t="s">
        <v>7509</v>
      </c>
      <c r="U3279" s="38"/>
      <c r="V3279" s="38"/>
      <c r="W3279" s="38"/>
      <c r="X3279" s="38"/>
      <c r="Y3279" s="57"/>
      <c r="Z3279" s="7"/>
      <c r="AA3279" s="57"/>
      <c r="AB3279" s="7"/>
      <c r="AC3279" s="57"/>
      <c r="AD3279" s="7"/>
      <c r="AE3279" s="57"/>
      <c r="AF3279" s="7"/>
      <c r="AG3279" s="57"/>
      <c r="AH3279" s="7"/>
      <c r="AI3279" s="57">
        <v>18.7</v>
      </c>
      <c r="AJ3279" s="7"/>
      <c r="AK3279" s="57"/>
      <c r="AL3279" s="7"/>
      <c r="AN3279" s="7" t="s">
        <v>145</v>
      </c>
      <c r="AO3279" s="21">
        <f t="shared" si="164"/>
        <v>18.7</v>
      </c>
      <c r="AP3279" s="7">
        <f t="shared" si="163"/>
        <v>0</v>
      </c>
      <c r="AQ3279" s="31" t="str">
        <f t="shared" si="165"/>
        <v>Complete - With Adjustment</v>
      </c>
    </row>
    <row r="3280" spans="1:43" x14ac:dyDescent="0.2">
      <c r="A3280" s="46">
        <v>3270</v>
      </c>
      <c r="B3280" s="38" t="s">
        <v>266</v>
      </c>
      <c r="C3280" s="38" t="s">
        <v>504</v>
      </c>
      <c r="D3280" s="38" t="s">
        <v>805</v>
      </c>
      <c r="E3280" s="38" t="s">
        <v>7506</v>
      </c>
      <c r="F3280" s="38" t="s">
        <v>7168</v>
      </c>
      <c r="G3280" s="38" t="s">
        <v>111</v>
      </c>
      <c r="H3280" s="44">
        <v>44230</v>
      </c>
      <c r="I3280" s="44">
        <v>44246</v>
      </c>
      <c r="J3280">
        <v>1153.93</v>
      </c>
      <c r="K3280">
        <v>17</v>
      </c>
      <c r="L3280" t="s">
        <v>7507</v>
      </c>
      <c r="M3280" s="45" t="s">
        <v>98</v>
      </c>
      <c r="N3280" s="38" t="s">
        <v>230</v>
      </c>
      <c r="O3280" s="38" t="s">
        <v>506</v>
      </c>
      <c r="P3280" s="38" t="s">
        <v>60</v>
      </c>
      <c r="Q3280" s="38" t="s">
        <v>46</v>
      </c>
      <c r="R3280" s="38" t="s">
        <v>270</v>
      </c>
      <c r="S3280" s="38" t="s">
        <v>7508</v>
      </c>
      <c r="T3280" s="38" t="s">
        <v>7509</v>
      </c>
      <c r="U3280" s="38"/>
      <c r="V3280" s="38"/>
      <c r="W3280" s="38"/>
      <c r="X3280" s="38"/>
      <c r="Y3280" s="57"/>
      <c r="Z3280" s="7"/>
      <c r="AA3280" s="57"/>
      <c r="AB3280" s="7"/>
      <c r="AC3280" s="57"/>
      <c r="AD3280" s="7"/>
      <c r="AE3280" s="57"/>
      <c r="AF3280" s="7"/>
      <c r="AG3280" s="57"/>
      <c r="AH3280" s="7"/>
      <c r="AI3280" s="57">
        <v>17</v>
      </c>
      <c r="AJ3280" s="7"/>
      <c r="AK3280" s="57"/>
      <c r="AL3280" s="7"/>
      <c r="AN3280" s="7" t="s">
        <v>145</v>
      </c>
      <c r="AO3280" s="21">
        <f t="shared" si="164"/>
        <v>17</v>
      </c>
      <c r="AP3280" s="7">
        <f t="shared" si="163"/>
        <v>0</v>
      </c>
      <c r="AQ3280" s="31" t="str">
        <f t="shared" si="165"/>
        <v>Complete - With Adjustment</v>
      </c>
    </row>
    <row r="3281" spans="1:43" x14ac:dyDescent="0.2">
      <c r="A3281" s="46">
        <v>3271</v>
      </c>
      <c r="B3281" s="38" t="s">
        <v>266</v>
      </c>
      <c r="C3281" s="38" t="s">
        <v>504</v>
      </c>
      <c r="D3281" s="38" t="s">
        <v>805</v>
      </c>
      <c r="E3281" s="38" t="s">
        <v>7506</v>
      </c>
      <c r="F3281" s="38" t="s">
        <v>7168</v>
      </c>
      <c r="G3281" s="38" t="s">
        <v>111</v>
      </c>
      <c r="H3281" s="44">
        <v>44230</v>
      </c>
      <c r="I3281" s="44">
        <v>44246</v>
      </c>
      <c r="J3281">
        <v>1153.93</v>
      </c>
      <c r="K3281">
        <v>17</v>
      </c>
      <c r="L3281" t="s">
        <v>7507</v>
      </c>
      <c r="M3281" s="45" t="s">
        <v>98</v>
      </c>
      <c r="N3281" s="38" t="s">
        <v>230</v>
      </c>
      <c r="O3281" s="38" t="s">
        <v>506</v>
      </c>
      <c r="P3281" s="38" t="s">
        <v>60</v>
      </c>
      <c r="Q3281" s="38" t="s">
        <v>46</v>
      </c>
      <c r="R3281" s="38" t="s">
        <v>270</v>
      </c>
      <c r="S3281" s="38" t="s">
        <v>7508</v>
      </c>
      <c r="T3281" s="38" t="s">
        <v>7509</v>
      </c>
      <c r="U3281" s="38"/>
      <c r="V3281" s="38"/>
      <c r="W3281" s="38"/>
      <c r="X3281" s="38"/>
      <c r="Y3281" s="57"/>
      <c r="Z3281" s="7"/>
      <c r="AA3281" s="57"/>
      <c r="AB3281" s="7"/>
      <c r="AC3281" s="57"/>
      <c r="AD3281" s="7"/>
      <c r="AE3281" s="57"/>
      <c r="AF3281" s="7"/>
      <c r="AG3281" s="57"/>
      <c r="AH3281" s="7"/>
      <c r="AI3281" s="57">
        <v>17</v>
      </c>
      <c r="AJ3281" s="7"/>
      <c r="AK3281" s="57"/>
      <c r="AL3281" s="7"/>
      <c r="AN3281" s="7" t="s">
        <v>145</v>
      </c>
      <c r="AO3281" s="21">
        <f t="shared" si="164"/>
        <v>17</v>
      </c>
      <c r="AP3281" s="7">
        <f t="shared" si="163"/>
        <v>0</v>
      </c>
      <c r="AQ3281" s="31" t="str">
        <f t="shared" si="165"/>
        <v>Complete - With Adjustment</v>
      </c>
    </row>
    <row r="3282" spans="1:43" x14ac:dyDescent="0.2">
      <c r="A3282" s="46">
        <v>3272</v>
      </c>
      <c r="B3282" s="38" t="s">
        <v>266</v>
      </c>
      <c r="C3282" s="38" t="s">
        <v>504</v>
      </c>
      <c r="D3282" s="38" t="s">
        <v>805</v>
      </c>
      <c r="E3282" s="38" t="s">
        <v>7506</v>
      </c>
      <c r="F3282" s="38" t="s">
        <v>7168</v>
      </c>
      <c r="G3282" s="38" t="s">
        <v>111</v>
      </c>
      <c r="H3282" s="44">
        <v>44230</v>
      </c>
      <c r="I3282" s="44">
        <v>44246</v>
      </c>
      <c r="J3282">
        <v>1153.93</v>
      </c>
      <c r="K3282">
        <v>17</v>
      </c>
      <c r="L3282" t="s">
        <v>7507</v>
      </c>
      <c r="M3282" s="45" t="s">
        <v>98</v>
      </c>
      <c r="N3282" s="38" t="s">
        <v>230</v>
      </c>
      <c r="O3282" s="38" t="s">
        <v>506</v>
      </c>
      <c r="P3282" s="38" t="s">
        <v>60</v>
      </c>
      <c r="Q3282" s="38" t="s">
        <v>46</v>
      </c>
      <c r="R3282" s="38" t="s">
        <v>270</v>
      </c>
      <c r="S3282" s="38" t="s">
        <v>7508</v>
      </c>
      <c r="T3282" s="38" t="s">
        <v>7509</v>
      </c>
      <c r="U3282" s="38"/>
      <c r="V3282" s="38"/>
      <c r="W3282" s="38"/>
      <c r="X3282" s="38"/>
      <c r="Y3282" s="57"/>
      <c r="Z3282" s="7"/>
      <c r="AA3282" s="57"/>
      <c r="AB3282" s="7"/>
      <c r="AC3282" s="57"/>
      <c r="AD3282" s="7"/>
      <c r="AE3282" s="57"/>
      <c r="AF3282" s="7"/>
      <c r="AG3282" s="57"/>
      <c r="AH3282" s="7"/>
      <c r="AI3282" s="57">
        <v>17</v>
      </c>
      <c r="AJ3282" s="7"/>
      <c r="AK3282" s="57"/>
      <c r="AL3282" s="7"/>
      <c r="AN3282" s="7" t="s">
        <v>145</v>
      </c>
      <c r="AO3282" s="21">
        <f t="shared" si="164"/>
        <v>17</v>
      </c>
      <c r="AP3282" s="7">
        <f t="shared" si="163"/>
        <v>0</v>
      </c>
      <c r="AQ3282" s="31" t="str">
        <f t="shared" si="165"/>
        <v>Complete - With Adjustment</v>
      </c>
    </row>
    <row r="3283" spans="1:43" x14ac:dyDescent="0.2">
      <c r="A3283" s="46">
        <v>3273</v>
      </c>
      <c r="B3283" s="38" t="s">
        <v>266</v>
      </c>
      <c r="C3283" s="38" t="s">
        <v>504</v>
      </c>
      <c r="D3283" s="38" t="s">
        <v>805</v>
      </c>
      <c r="E3283" s="38" t="s">
        <v>7506</v>
      </c>
      <c r="F3283" s="38" t="s">
        <v>7168</v>
      </c>
      <c r="G3283" s="38" t="s">
        <v>111</v>
      </c>
      <c r="H3283" s="44">
        <v>44230</v>
      </c>
      <c r="I3283" s="44">
        <v>44246</v>
      </c>
      <c r="J3283">
        <v>1153.93</v>
      </c>
      <c r="K3283">
        <v>18.7</v>
      </c>
      <c r="L3283" t="s">
        <v>7507</v>
      </c>
      <c r="M3283" s="45" t="s">
        <v>98</v>
      </c>
      <c r="N3283" s="38" t="s">
        <v>230</v>
      </c>
      <c r="O3283" s="38" t="s">
        <v>506</v>
      </c>
      <c r="P3283" s="38" t="s">
        <v>60</v>
      </c>
      <c r="Q3283" s="38" t="s">
        <v>46</v>
      </c>
      <c r="R3283" s="38" t="s">
        <v>270</v>
      </c>
      <c r="S3283" s="38" t="s">
        <v>7508</v>
      </c>
      <c r="T3283" s="38" t="s">
        <v>7509</v>
      </c>
      <c r="U3283" s="38"/>
      <c r="V3283" s="38"/>
      <c r="W3283" s="38"/>
      <c r="X3283" s="38"/>
      <c r="Y3283" s="57"/>
      <c r="Z3283" s="7"/>
      <c r="AA3283" s="57"/>
      <c r="AB3283" s="7"/>
      <c r="AC3283" s="57"/>
      <c r="AD3283" s="7"/>
      <c r="AE3283" s="57"/>
      <c r="AF3283" s="7"/>
      <c r="AG3283" s="57"/>
      <c r="AH3283" s="7"/>
      <c r="AI3283" s="57">
        <v>18.7</v>
      </c>
      <c r="AJ3283" s="7"/>
      <c r="AK3283" s="57"/>
      <c r="AL3283" s="7"/>
      <c r="AN3283" s="7" t="s">
        <v>145</v>
      </c>
      <c r="AO3283" s="21">
        <f t="shared" si="164"/>
        <v>18.7</v>
      </c>
      <c r="AP3283" s="7">
        <f t="shared" si="163"/>
        <v>0</v>
      </c>
      <c r="AQ3283" s="31" t="str">
        <f t="shared" si="165"/>
        <v>Complete - With Adjustment</v>
      </c>
    </row>
    <row r="3284" spans="1:43" x14ac:dyDescent="0.2">
      <c r="A3284" s="46">
        <v>3274</v>
      </c>
      <c r="B3284" s="38" t="s">
        <v>266</v>
      </c>
      <c r="C3284" s="38" t="s">
        <v>504</v>
      </c>
      <c r="D3284" s="38" t="s">
        <v>805</v>
      </c>
      <c r="E3284" s="38" t="s">
        <v>7506</v>
      </c>
      <c r="F3284" s="38" t="s">
        <v>7168</v>
      </c>
      <c r="G3284" s="38" t="s">
        <v>111</v>
      </c>
      <c r="H3284" s="44">
        <v>44230</v>
      </c>
      <c r="I3284" s="44">
        <v>44246</v>
      </c>
      <c r="J3284">
        <v>1153.93</v>
      </c>
      <c r="K3284">
        <v>18.7</v>
      </c>
      <c r="L3284" t="s">
        <v>7507</v>
      </c>
      <c r="M3284" s="45" t="s">
        <v>98</v>
      </c>
      <c r="N3284" s="38" t="s">
        <v>230</v>
      </c>
      <c r="O3284" s="38" t="s">
        <v>506</v>
      </c>
      <c r="P3284" s="38" t="s">
        <v>60</v>
      </c>
      <c r="Q3284" s="38" t="s">
        <v>46</v>
      </c>
      <c r="R3284" s="38" t="s">
        <v>270</v>
      </c>
      <c r="S3284" s="38" t="s">
        <v>7508</v>
      </c>
      <c r="T3284" s="38" t="s">
        <v>7509</v>
      </c>
      <c r="U3284" s="38"/>
      <c r="V3284" s="38"/>
      <c r="W3284" s="38"/>
      <c r="X3284" s="38"/>
      <c r="Y3284" s="57"/>
      <c r="Z3284" s="7"/>
      <c r="AA3284" s="57"/>
      <c r="AB3284" s="7"/>
      <c r="AC3284" s="57"/>
      <c r="AD3284" s="7"/>
      <c r="AE3284" s="57"/>
      <c r="AF3284" s="7"/>
      <c r="AG3284" s="57"/>
      <c r="AH3284" s="7"/>
      <c r="AI3284" s="57">
        <v>18.7</v>
      </c>
      <c r="AJ3284" s="7"/>
      <c r="AK3284" s="57"/>
      <c r="AL3284" s="7"/>
      <c r="AN3284" s="7" t="s">
        <v>145</v>
      </c>
      <c r="AO3284" s="21">
        <f t="shared" si="164"/>
        <v>18.7</v>
      </c>
      <c r="AP3284" s="7">
        <f t="shared" si="163"/>
        <v>0</v>
      </c>
      <c r="AQ3284" s="31" t="str">
        <f t="shared" si="165"/>
        <v>Complete - With Adjustment</v>
      </c>
    </row>
    <row r="3285" spans="1:43" x14ac:dyDescent="0.2">
      <c r="A3285" s="46">
        <v>3275</v>
      </c>
      <c r="B3285" s="38" t="s">
        <v>266</v>
      </c>
      <c r="C3285" s="38" t="s">
        <v>504</v>
      </c>
      <c r="D3285" s="38" t="s">
        <v>805</v>
      </c>
      <c r="E3285" s="38" t="s">
        <v>7506</v>
      </c>
      <c r="F3285" s="38" t="s">
        <v>7168</v>
      </c>
      <c r="G3285" s="38" t="s">
        <v>111</v>
      </c>
      <c r="H3285" s="44">
        <v>44230</v>
      </c>
      <c r="I3285" s="44">
        <v>44246</v>
      </c>
      <c r="J3285">
        <v>1153.93</v>
      </c>
      <c r="K3285">
        <v>17</v>
      </c>
      <c r="L3285" t="s">
        <v>7507</v>
      </c>
      <c r="M3285" s="45" t="s">
        <v>98</v>
      </c>
      <c r="N3285" s="38" t="s">
        <v>230</v>
      </c>
      <c r="O3285" s="38" t="s">
        <v>506</v>
      </c>
      <c r="P3285" s="38" t="s">
        <v>60</v>
      </c>
      <c r="Q3285" s="38" t="s">
        <v>46</v>
      </c>
      <c r="R3285" s="38" t="s">
        <v>270</v>
      </c>
      <c r="S3285" s="38" t="s">
        <v>7508</v>
      </c>
      <c r="T3285" s="38" t="s">
        <v>7509</v>
      </c>
      <c r="U3285" s="38"/>
      <c r="V3285" s="38"/>
      <c r="W3285" s="38"/>
      <c r="X3285" s="38"/>
      <c r="Y3285" s="57"/>
      <c r="Z3285" s="7"/>
      <c r="AA3285" s="57"/>
      <c r="AB3285" s="7"/>
      <c r="AC3285" s="57"/>
      <c r="AD3285" s="7"/>
      <c r="AE3285" s="57"/>
      <c r="AF3285" s="7"/>
      <c r="AG3285" s="57"/>
      <c r="AH3285" s="7"/>
      <c r="AI3285" s="57">
        <v>17</v>
      </c>
      <c r="AJ3285" s="7"/>
      <c r="AK3285" s="57"/>
      <c r="AL3285" s="7"/>
      <c r="AN3285" s="7" t="s">
        <v>145</v>
      </c>
      <c r="AO3285" s="21">
        <f t="shared" si="164"/>
        <v>17</v>
      </c>
      <c r="AP3285" s="7">
        <f t="shared" si="163"/>
        <v>0</v>
      </c>
      <c r="AQ3285" s="31" t="str">
        <f t="shared" si="165"/>
        <v>Complete - With Adjustment</v>
      </c>
    </row>
    <row r="3286" spans="1:43" x14ac:dyDescent="0.2">
      <c r="A3286" s="46">
        <v>3276</v>
      </c>
      <c r="B3286" s="38" t="s">
        <v>266</v>
      </c>
      <c r="C3286" s="38" t="s">
        <v>504</v>
      </c>
      <c r="D3286" s="38" t="s">
        <v>805</v>
      </c>
      <c r="E3286" s="38" t="s">
        <v>7506</v>
      </c>
      <c r="F3286" s="38" t="s">
        <v>7168</v>
      </c>
      <c r="G3286" s="38" t="s">
        <v>111</v>
      </c>
      <c r="H3286" s="44">
        <v>44230</v>
      </c>
      <c r="I3286" s="44">
        <v>44246</v>
      </c>
      <c r="J3286">
        <v>1153.93</v>
      </c>
      <c r="K3286">
        <v>17</v>
      </c>
      <c r="L3286" t="s">
        <v>7507</v>
      </c>
      <c r="M3286" s="45" t="s">
        <v>98</v>
      </c>
      <c r="N3286" s="38" t="s">
        <v>230</v>
      </c>
      <c r="O3286" s="38" t="s">
        <v>506</v>
      </c>
      <c r="P3286" s="38" t="s">
        <v>60</v>
      </c>
      <c r="Q3286" s="38" t="s">
        <v>46</v>
      </c>
      <c r="R3286" s="38" t="s">
        <v>270</v>
      </c>
      <c r="S3286" s="38" t="s">
        <v>7508</v>
      </c>
      <c r="T3286" s="38" t="s">
        <v>7509</v>
      </c>
      <c r="U3286" s="38"/>
      <c r="V3286" s="38"/>
      <c r="W3286" s="38"/>
      <c r="X3286" s="38"/>
      <c r="Y3286" s="57"/>
      <c r="Z3286" s="7"/>
      <c r="AA3286" s="57"/>
      <c r="AB3286" s="7"/>
      <c r="AC3286" s="57"/>
      <c r="AD3286" s="7"/>
      <c r="AE3286" s="57"/>
      <c r="AF3286" s="7"/>
      <c r="AG3286" s="57"/>
      <c r="AH3286" s="7"/>
      <c r="AI3286" s="57">
        <v>17</v>
      </c>
      <c r="AJ3286" s="7"/>
      <c r="AK3286" s="57"/>
      <c r="AL3286" s="7"/>
      <c r="AN3286" s="7" t="s">
        <v>145</v>
      </c>
      <c r="AO3286" s="21">
        <f t="shared" si="164"/>
        <v>17</v>
      </c>
      <c r="AP3286" s="7">
        <f t="shared" si="163"/>
        <v>0</v>
      </c>
      <c r="AQ3286" s="31" t="str">
        <f t="shared" si="165"/>
        <v>Complete - With Adjustment</v>
      </c>
    </row>
    <row r="3287" spans="1:43" x14ac:dyDescent="0.2">
      <c r="A3287" s="46">
        <v>3277</v>
      </c>
      <c r="B3287" s="38" t="s">
        <v>266</v>
      </c>
      <c r="C3287" s="38" t="s">
        <v>504</v>
      </c>
      <c r="D3287" s="38" t="s">
        <v>805</v>
      </c>
      <c r="E3287" s="38" t="s">
        <v>7506</v>
      </c>
      <c r="F3287" s="38" t="s">
        <v>7168</v>
      </c>
      <c r="G3287" s="38" t="s">
        <v>111</v>
      </c>
      <c r="H3287" s="44">
        <v>44230</v>
      </c>
      <c r="I3287" s="44">
        <v>44246</v>
      </c>
      <c r="J3287">
        <v>1153.93</v>
      </c>
      <c r="K3287">
        <v>18.7</v>
      </c>
      <c r="L3287" t="s">
        <v>7507</v>
      </c>
      <c r="M3287" s="45" t="s">
        <v>98</v>
      </c>
      <c r="N3287" s="38" t="s">
        <v>230</v>
      </c>
      <c r="O3287" s="38" t="s">
        <v>506</v>
      </c>
      <c r="P3287" s="38" t="s">
        <v>60</v>
      </c>
      <c r="Q3287" s="38" t="s">
        <v>46</v>
      </c>
      <c r="R3287" s="38" t="s">
        <v>270</v>
      </c>
      <c r="S3287" s="38" t="s">
        <v>7508</v>
      </c>
      <c r="T3287" s="38" t="s">
        <v>7509</v>
      </c>
      <c r="U3287" s="38"/>
      <c r="V3287" s="38"/>
      <c r="W3287" s="38"/>
      <c r="X3287" s="38"/>
      <c r="Y3287" s="57"/>
      <c r="Z3287" s="7"/>
      <c r="AA3287" s="57"/>
      <c r="AB3287" s="7"/>
      <c r="AC3287" s="57"/>
      <c r="AD3287" s="7"/>
      <c r="AE3287" s="57"/>
      <c r="AF3287" s="7"/>
      <c r="AG3287" s="57"/>
      <c r="AH3287" s="7"/>
      <c r="AI3287" s="57">
        <v>18.7</v>
      </c>
      <c r="AJ3287" s="7"/>
      <c r="AK3287" s="57"/>
      <c r="AL3287" s="7"/>
      <c r="AN3287" s="7" t="s">
        <v>145</v>
      </c>
      <c r="AO3287" s="21">
        <f t="shared" si="164"/>
        <v>18.7</v>
      </c>
      <c r="AP3287" s="7">
        <f t="shared" si="163"/>
        <v>0</v>
      </c>
      <c r="AQ3287" s="31" t="str">
        <f t="shared" si="165"/>
        <v>Complete - With Adjustment</v>
      </c>
    </row>
    <row r="3288" spans="1:43" x14ac:dyDescent="0.2">
      <c r="A3288" s="46">
        <v>3278</v>
      </c>
      <c r="B3288" s="38" t="s">
        <v>266</v>
      </c>
      <c r="C3288" s="38" t="s">
        <v>504</v>
      </c>
      <c r="D3288" s="38" t="s">
        <v>805</v>
      </c>
      <c r="E3288" s="38" t="s">
        <v>7506</v>
      </c>
      <c r="F3288" s="38" t="s">
        <v>7168</v>
      </c>
      <c r="G3288" s="38" t="s">
        <v>111</v>
      </c>
      <c r="H3288" s="44">
        <v>44230</v>
      </c>
      <c r="I3288" s="44">
        <v>44246</v>
      </c>
      <c r="J3288">
        <v>1153.93</v>
      </c>
      <c r="K3288">
        <v>18.7</v>
      </c>
      <c r="L3288" t="s">
        <v>7507</v>
      </c>
      <c r="M3288" s="45" t="s">
        <v>98</v>
      </c>
      <c r="N3288" s="38" t="s">
        <v>230</v>
      </c>
      <c r="O3288" s="38" t="s">
        <v>506</v>
      </c>
      <c r="P3288" s="38" t="s">
        <v>60</v>
      </c>
      <c r="Q3288" s="38" t="s">
        <v>46</v>
      </c>
      <c r="R3288" s="38" t="s">
        <v>270</v>
      </c>
      <c r="S3288" s="38" t="s">
        <v>7508</v>
      </c>
      <c r="T3288" s="38" t="s">
        <v>7509</v>
      </c>
      <c r="U3288" s="38"/>
      <c r="V3288" s="38"/>
      <c r="W3288" s="38"/>
      <c r="X3288" s="38"/>
      <c r="Y3288" s="57"/>
      <c r="Z3288" s="7"/>
      <c r="AA3288" s="57"/>
      <c r="AB3288" s="7"/>
      <c r="AC3288" s="57"/>
      <c r="AD3288" s="7"/>
      <c r="AE3288" s="57"/>
      <c r="AF3288" s="7"/>
      <c r="AG3288" s="57"/>
      <c r="AH3288" s="7"/>
      <c r="AI3288" s="57">
        <v>18.7</v>
      </c>
      <c r="AJ3288" s="7"/>
      <c r="AK3288" s="57"/>
      <c r="AL3288" s="7"/>
      <c r="AN3288" s="7" t="s">
        <v>145</v>
      </c>
      <c r="AO3288" s="21">
        <f t="shared" si="164"/>
        <v>18.7</v>
      </c>
      <c r="AP3288" s="7">
        <f t="shared" si="163"/>
        <v>0</v>
      </c>
      <c r="AQ3288" s="31" t="str">
        <f t="shared" si="165"/>
        <v>Complete - With Adjustment</v>
      </c>
    </row>
    <row r="3289" spans="1:43" x14ac:dyDescent="0.2">
      <c r="A3289" s="46">
        <v>3279</v>
      </c>
      <c r="B3289" s="38" t="s">
        <v>266</v>
      </c>
      <c r="C3289" s="38" t="s">
        <v>504</v>
      </c>
      <c r="D3289" s="38" t="s">
        <v>805</v>
      </c>
      <c r="E3289" s="38" t="s">
        <v>7506</v>
      </c>
      <c r="F3289" s="38" t="s">
        <v>7168</v>
      </c>
      <c r="G3289" s="38" t="s">
        <v>111</v>
      </c>
      <c r="H3289" s="44">
        <v>44230</v>
      </c>
      <c r="I3289" s="44">
        <v>44246</v>
      </c>
      <c r="J3289">
        <v>1153.93</v>
      </c>
      <c r="K3289">
        <v>18.7</v>
      </c>
      <c r="L3289" t="s">
        <v>7507</v>
      </c>
      <c r="M3289" s="45" t="s">
        <v>98</v>
      </c>
      <c r="N3289" s="38" t="s">
        <v>230</v>
      </c>
      <c r="O3289" s="38" t="s">
        <v>506</v>
      </c>
      <c r="P3289" s="38" t="s">
        <v>60</v>
      </c>
      <c r="Q3289" s="38" t="s">
        <v>46</v>
      </c>
      <c r="R3289" s="38" t="s">
        <v>270</v>
      </c>
      <c r="S3289" s="38" t="s">
        <v>7508</v>
      </c>
      <c r="T3289" s="38" t="s">
        <v>7509</v>
      </c>
      <c r="U3289" s="38"/>
      <c r="V3289" s="38"/>
      <c r="W3289" s="38"/>
      <c r="X3289" s="38"/>
      <c r="Y3289" s="57"/>
      <c r="Z3289" s="7"/>
      <c r="AA3289" s="57"/>
      <c r="AB3289" s="7"/>
      <c r="AC3289" s="57"/>
      <c r="AD3289" s="7"/>
      <c r="AE3289" s="57"/>
      <c r="AF3289" s="7"/>
      <c r="AG3289" s="57"/>
      <c r="AH3289" s="7"/>
      <c r="AI3289" s="57">
        <v>18.7</v>
      </c>
      <c r="AJ3289" s="7"/>
      <c r="AK3289" s="57"/>
      <c r="AL3289" s="7"/>
      <c r="AN3289" s="7" t="s">
        <v>145</v>
      </c>
      <c r="AO3289" s="21">
        <f t="shared" si="164"/>
        <v>18.7</v>
      </c>
      <c r="AP3289" s="7">
        <f t="shared" si="163"/>
        <v>0</v>
      </c>
      <c r="AQ3289" s="31" t="str">
        <f t="shared" si="165"/>
        <v>Complete - With Adjustment</v>
      </c>
    </row>
    <row r="3290" spans="1:43" x14ac:dyDescent="0.2">
      <c r="A3290" s="46">
        <v>3280</v>
      </c>
      <c r="B3290" s="38" t="s">
        <v>266</v>
      </c>
      <c r="C3290" s="38" t="s">
        <v>504</v>
      </c>
      <c r="D3290" s="38" t="s">
        <v>805</v>
      </c>
      <c r="E3290" s="38" t="s">
        <v>7506</v>
      </c>
      <c r="F3290" s="38" t="s">
        <v>7168</v>
      </c>
      <c r="G3290" s="38" t="s">
        <v>111</v>
      </c>
      <c r="H3290" s="44">
        <v>44230</v>
      </c>
      <c r="I3290" s="44">
        <v>44246</v>
      </c>
      <c r="J3290">
        <v>1153.93</v>
      </c>
      <c r="K3290">
        <v>18.7</v>
      </c>
      <c r="L3290" t="s">
        <v>7507</v>
      </c>
      <c r="M3290" s="45" t="s">
        <v>98</v>
      </c>
      <c r="N3290" s="38" t="s">
        <v>230</v>
      </c>
      <c r="O3290" s="38" t="s">
        <v>506</v>
      </c>
      <c r="P3290" s="38" t="s">
        <v>60</v>
      </c>
      <c r="Q3290" s="38" t="s">
        <v>46</v>
      </c>
      <c r="R3290" s="38" t="s">
        <v>270</v>
      </c>
      <c r="S3290" s="38" t="s">
        <v>7508</v>
      </c>
      <c r="T3290" s="38" t="s">
        <v>7509</v>
      </c>
      <c r="U3290" s="38"/>
      <c r="V3290" s="38"/>
      <c r="W3290" s="38"/>
      <c r="X3290" s="38"/>
      <c r="Y3290" s="57"/>
      <c r="Z3290" s="7"/>
      <c r="AA3290" s="57"/>
      <c r="AB3290" s="7"/>
      <c r="AC3290" s="57"/>
      <c r="AD3290" s="7"/>
      <c r="AE3290" s="57"/>
      <c r="AF3290" s="7"/>
      <c r="AG3290" s="57"/>
      <c r="AH3290" s="7"/>
      <c r="AI3290" s="57">
        <v>18.7</v>
      </c>
      <c r="AJ3290" s="7"/>
      <c r="AK3290" s="57"/>
      <c r="AL3290" s="7"/>
      <c r="AN3290" s="7" t="s">
        <v>145</v>
      </c>
      <c r="AO3290" s="21">
        <f t="shared" si="164"/>
        <v>18.7</v>
      </c>
      <c r="AP3290" s="7">
        <f t="shared" si="163"/>
        <v>0</v>
      </c>
      <c r="AQ3290" s="31" t="str">
        <f t="shared" si="165"/>
        <v>Complete - With Adjustment</v>
      </c>
    </row>
    <row r="3291" spans="1:43" x14ac:dyDescent="0.2">
      <c r="A3291" s="46">
        <v>3281</v>
      </c>
      <c r="B3291" s="38" t="s">
        <v>266</v>
      </c>
      <c r="C3291" s="38" t="s">
        <v>504</v>
      </c>
      <c r="D3291" s="38" t="s">
        <v>805</v>
      </c>
      <c r="E3291" s="38" t="s">
        <v>7506</v>
      </c>
      <c r="F3291" s="38" t="s">
        <v>7168</v>
      </c>
      <c r="G3291" s="38" t="s">
        <v>111</v>
      </c>
      <c r="H3291" s="44">
        <v>44230</v>
      </c>
      <c r="I3291" s="44">
        <v>44246</v>
      </c>
      <c r="J3291">
        <v>1153.93</v>
      </c>
      <c r="K3291">
        <v>18.7</v>
      </c>
      <c r="L3291" t="s">
        <v>7507</v>
      </c>
      <c r="M3291" s="45" t="s">
        <v>98</v>
      </c>
      <c r="N3291" s="38" t="s">
        <v>230</v>
      </c>
      <c r="O3291" s="38" t="s">
        <v>506</v>
      </c>
      <c r="P3291" s="38" t="s">
        <v>60</v>
      </c>
      <c r="Q3291" s="38" t="s">
        <v>46</v>
      </c>
      <c r="R3291" s="38" t="s">
        <v>270</v>
      </c>
      <c r="S3291" s="38" t="s">
        <v>7508</v>
      </c>
      <c r="T3291" s="38" t="s">
        <v>7509</v>
      </c>
      <c r="U3291" s="38"/>
      <c r="V3291" s="38"/>
      <c r="W3291" s="38"/>
      <c r="X3291" s="38"/>
      <c r="Y3291" s="57"/>
      <c r="Z3291" s="7"/>
      <c r="AA3291" s="57"/>
      <c r="AB3291" s="7"/>
      <c r="AC3291" s="57"/>
      <c r="AD3291" s="7"/>
      <c r="AE3291" s="57"/>
      <c r="AF3291" s="7"/>
      <c r="AG3291" s="57"/>
      <c r="AH3291" s="7"/>
      <c r="AI3291" s="57">
        <v>18.7</v>
      </c>
      <c r="AJ3291" s="7"/>
      <c r="AK3291" s="57"/>
      <c r="AL3291" s="7"/>
      <c r="AN3291" s="7" t="s">
        <v>145</v>
      </c>
      <c r="AO3291" s="21">
        <f t="shared" si="164"/>
        <v>18.7</v>
      </c>
      <c r="AP3291" s="7">
        <f t="shared" si="163"/>
        <v>0</v>
      </c>
      <c r="AQ3291" s="31" t="str">
        <f t="shared" si="165"/>
        <v>Complete - With Adjustment</v>
      </c>
    </row>
    <row r="3292" spans="1:43" x14ac:dyDescent="0.2">
      <c r="A3292" s="46">
        <v>3282</v>
      </c>
      <c r="B3292" s="38" t="s">
        <v>266</v>
      </c>
      <c r="C3292" s="38" t="s">
        <v>504</v>
      </c>
      <c r="D3292" s="38" t="s">
        <v>805</v>
      </c>
      <c r="E3292" s="38" t="s">
        <v>7506</v>
      </c>
      <c r="F3292" s="38" t="s">
        <v>7168</v>
      </c>
      <c r="G3292" s="38" t="s">
        <v>111</v>
      </c>
      <c r="H3292" s="44">
        <v>44230</v>
      </c>
      <c r="I3292" s="44">
        <v>44246</v>
      </c>
      <c r="J3292">
        <v>1153.93</v>
      </c>
      <c r="K3292">
        <v>17</v>
      </c>
      <c r="L3292" t="s">
        <v>7507</v>
      </c>
      <c r="M3292" s="45" t="s">
        <v>98</v>
      </c>
      <c r="N3292" s="38" t="s">
        <v>230</v>
      </c>
      <c r="O3292" s="38" t="s">
        <v>506</v>
      </c>
      <c r="P3292" s="38" t="s">
        <v>60</v>
      </c>
      <c r="Q3292" s="38" t="s">
        <v>46</v>
      </c>
      <c r="R3292" s="38" t="s">
        <v>270</v>
      </c>
      <c r="S3292" s="38" t="s">
        <v>7508</v>
      </c>
      <c r="T3292" s="38" t="s">
        <v>7509</v>
      </c>
      <c r="U3292" s="38"/>
      <c r="V3292" s="38"/>
      <c r="W3292" s="38"/>
      <c r="X3292" s="38"/>
      <c r="Y3292" s="57"/>
      <c r="Z3292" s="7"/>
      <c r="AA3292" s="57"/>
      <c r="AB3292" s="7"/>
      <c r="AC3292" s="57"/>
      <c r="AD3292" s="7"/>
      <c r="AE3292" s="57"/>
      <c r="AF3292" s="7"/>
      <c r="AG3292" s="57"/>
      <c r="AH3292" s="7"/>
      <c r="AI3292" s="57">
        <v>17</v>
      </c>
      <c r="AJ3292" s="7"/>
      <c r="AK3292" s="57"/>
      <c r="AL3292" s="7"/>
      <c r="AN3292" s="7" t="s">
        <v>145</v>
      </c>
      <c r="AO3292" s="21">
        <f t="shared" si="164"/>
        <v>17</v>
      </c>
      <c r="AP3292" s="7">
        <f t="shared" si="163"/>
        <v>0</v>
      </c>
      <c r="AQ3292" s="31" t="str">
        <f t="shared" si="165"/>
        <v>Complete - With Adjustment</v>
      </c>
    </row>
    <row r="3293" spans="1:43" x14ac:dyDescent="0.2">
      <c r="A3293" s="46">
        <v>3283</v>
      </c>
      <c r="B3293" s="38" t="s">
        <v>266</v>
      </c>
      <c r="C3293" s="38" t="s">
        <v>504</v>
      </c>
      <c r="D3293" s="38" t="s">
        <v>805</v>
      </c>
      <c r="E3293" s="38" t="s">
        <v>7506</v>
      </c>
      <c r="F3293" s="38" t="s">
        <v>7168</v>
      </c>
      <c r="G3293" s="38" t="s">
        <v>111</v>
      </c>
      <c r="H3293" s="44">
        <v>44230</v>
      </c>
      <c r="I3293" s="44">
        <v>44246</v>
      </c>
      <c r="J3293">
        <v>1153.93</v>
      </c>
      <c r="K3293">
        <v>17</v>
      </c>
      <c r="L3293" t="s">
        <v>7507</v>
      </c>
      <c r="M3293" s="45" t="s">
        <v>98</v>
      </c>
      <c r="N3293" s="38" t="s">
        <v>230</v>
      </c>
      <c r="O3293" s="38" t="s">
        <v>506</v>
      </c>
      <c r="P3293" s="38" t="s">
        <v>60</v>
      </c>
      <c r="Q3293" s="38" t="s">
        <v>46</v>
      </c>
      <c r="R3293" s="38" t="s">
        <v>270</v>
      </c>
      <c r="S3293" s="38" t="s">
        <v>7508</v>
      </c>
      <c r="T3293" s="38" t="s">
        <v>7509</v>
      </c>
      <c r="U3293" s="38"/>
      <c r="V3293" s="38"/>
      <c r="W3293" s="38"/>
      <c r="X3293" s="38"/>
      <c r="Y3293" s="57"/>
      <c r="Z3293" s="7"/>
      <c r="AA3293" s="57"/>
      <c r="AB3293" s="7"/>
      <c r="AC3293" s="57"/>
      <c r="AD3293" s="7"/>
      <c r="AE3293" s="57"/>
      <c r="AF3293" s="7"/>
      <c r="AG3293" s="57"/>
      <c r="AH3293" s="7"/>
      <c r="AI3293" s="57">
        <v>17</v>
      </c>
      <c r="AJ3293" s="7"/>
      <c r="AK3293" s="57"/>
      <c r="AL3293" s="7"/>
      <c r="AN3293" s="7" t="s">
        <v>145</v>
      </c>
      <c r="AO3293" s="21">
        <f t="shared" si="164"/>
        <v>17</v>
      </c>
      <c r="AP3293" s="7">
        <f t="shared" si="163"/>
        <v>0</v>
      </c>
      <c r="AQ3293" s="31" t="str">
        <f t="shared" si="165"/>
        <v>Complete - With Adjustment</v>
      </c>
    </row>
    <row r="3294" spans="1:43" x14ac:dyDescent="0.2">
      <c r="A3294" s="46">
        <v>3284</v>
      </c>
      <c r="B3294" s="38" t="s">
        <v>266</v>
      </c>
      <c r="C3294" s="38" t="s">
        <v>509</v>
      </c>
      <c r="D3294" s="38" t="s">
        <v>508</v>
      </c>
      <c r="E3294" s="38" t="s">
        <v>7511</v>
      </c>
      <c r="F3294" s="38" t="s">
        <v>7257</v>
      </c>
      <c r="G3294" s="38" t="s">
        <v>111</v>
      </c>
      <c r="H3294" s="44">
        <v>44224</v>
      </c>
      <c r="I3294" s="44">
        <v>44229</v>
      </c>
      <c r="J3294">
        <v>15</v>
      </c>
      <c r="K3294">
        <v>15</v>
      </c>
      <c r="L3294" t="s">
        <v>7512</v>
      </c>
      <c r="M3294" s="45" t="s">
        <v>98</v>
      </c>
      <c r="N3294" s="38" t="s">
        <v>230</v>
      </c>
      <c r="O3294" s="38" t="s">
        <v>472</v>
      </c>
      <c r="P3294" s="38" t="s">
        <v>60</v>
      </c>
      <c r="Q3294" s="38" t="s">
        <v>41</v>
      </c>
      <c r="R3294" s="38" t="s">
        <v>270</v>
      </c>
      <c r="S3294" s="38" t="s">
        <v>7513</v>
      </c>
      <c r="T3294" s="38" t="s">
        <v>7514</v>
      </c>
      <c r="U3294" s="38"/>
      <c r="V3294" s="38"/>
      <c r="W3294" s="38"/>
      <c r="X3294" s="38"/>
      <c r="Y3294" s="57"/>
      <c r="Z3294" s="7"/>
      <c r="AA3294" s="57"/>
      <c r="AB3294" s="7"/>
      <c r="AC3294" s="57"/>
      <c r="AD3294" s="7"/>
      <c r="AE3294" s="57"/>
      <c r="AF3294" s="7"/>
      <c r="AG3294" s="57"/>
      <c r="AH3294" s="7"/>
      <c r="AI3294" s="57"/>
      <c r="AJ3294" s="7"/>
      <c r="AK3294" s="57"/>
      <c r="AL3294" s="7"/>
      <c r="AN3294" s="7" t="s">
        <v>70</v>
      </c>
      <c r="AO3294" s="21">
        <f t="shared" si="164"/>
        <v>0</v>
      </c>
      <c r="AP3294" s="7">
        <f t="shared" si="163"/>
        <v>15</v>
      </c>
      <c r="AQ3294" s="31" t="str">
        <f t="shared" si="165"/>
        <v>Complete - No Adjustment</v>
      </c>
    </row>
    <row r="3295" spans="1:43" x14ac:dyDescent="0.2">
      <c r="A3295" s="46">
        <v>3285</v>
      </c>
      <c r="B3295" s="38" t="s">
        <v>266</v>
      </c>
      <c r="C3295" s="38" t="s">
        <v>579</v>
      </c>
      <c r="D3295" s="38" t="s">
        <v>578</v>
      </c>
      <c r="E3295" s="38" t="s">
        <v>7515</v>
      </c>
      <c r="F3295" s="38" t="s">
        <v>7300</v>
      </c>
      <c r="G3295" s="38" t="s">
        <v>111</v>
      </c>
      <c r="H3295" s="44">
        <v>44218</v>
      </c>
      <c r="I3295" s="44">
        <v>44232</v>
      </c>
      <c r="J3295">
        <v>41.11</v>
      </c>
      <c r="K3295">
        <v>13.53</v>
      </c>
      <c r="L3295" t="s">
        <v>7516</v>
      </c>
      <c r="M3295" s="45" t="s">
        <v>98</v>
      </c>
      <c r="N3295" s="38" t="s">
        <v>230</v>
      </c>
      <c r="O3295" s="38" t="s">
        <v>297</v>
      </c>
      <c r="P3295" s="38" t="s">
        <v>60</v>
      </c>
      <c r="Q3295" s="38" t="s">
        <v>104</v>
      </c>
      <c r="R3295" s="38" t="s">
        <v>270</v>
      </c>
      <c r="S3295" s="38" t="s">
        <v>7517</v>
      </c>
      <c r="T3295" s="38" t="s">
        <v>7518</v>
      </c>
      <c r="U3295" s="38"/>
      <c r="V3295" s="38"/>
      <c r="W3295" s="38"/>
      <c r="X3295" s="38"/>
      <c r="Y3295" s="57"/>
      <c r="Z3295" s="7"/>
      <c r="AA3295" s="57"/>
      <c r="AB3295" s="7"/>
      <c r="AC3295" s="57"/>
      <c r="AD3295" s="7"/>
      <c r="AE3295" s="57"/>
      <c r="AF3295" s="7"/>
      <c r="AG3295" s="57"/>
      <c r="AH3295" s="7"/>
      <c r="AI3295" s="57"/>
      <c r="AJ3295" s="7"/>
      <c r="AK3295" s="57"/>
      <c r="AL3295" s="7"/>
      <c r="AN3295" s="7" t="s">
        <v>70</v>
      </c>
      <c r="AO3295" s="21">
        <f t="shared" si="164"/>
        <v>0</v>
      </c>
      <c r="AP3295" s="7">
        <f t="shared" si="163"/>
        <v>13.53</v>
      </c>
      <c r="AQ3295" s="31" t="str">
        <f t="shared" si="165"/>
        <v>Complete - No Adjustment</v>
      </c>
    </row>
    <row r="3296" spans="1:43" x14ac:dyDescent="0.2">
      <c r="A3296" s="46">
        <v>3286</v>
      </c>
      <c r="B3296" s="38" t="s">
        <v>266</v>
      </c>
      <c r="C3296" s="38" t="s">
        <v>579</v>
      </c>
      <c r="D3296" s="38" t="s">
        <v>578</v>
      </c>
      <c r="E3296" s="38" t="s">
        <v>7515</v>
      </c>
      <c r="F3296" s="38" t="s">
        <v>7300</v>
      </c>
      <c r="G3296" s="38" t="s">
        <v>111</v>
      </c>
      <c r="H3296" s="44">
        <v>44218</v>
      </c>
      <c r="I3296" s="44">
        <v>44232</v>
      </c>
      <c r="J3296">
        <v>41.11</v>
      </c>
      <c r="K3296">
        <v>13.52</v>
      </c>
      <c r="L3296" t="s">
        <v>7516</v>
      </c>
      <c r="M3296" s="45" t="s">
        <v>98</v>
      </c>
      <c r="N3296" s="38" t="s">
        <v>230</v>
      </c>
      <c r="O3296" s="38" t="s">
        <v>294</v>
      </c>
      <c r="P3296" s="38" t="s">
        <v>60</v>
      </c>
      <c r="Q3296" s="38" t="s">
        <v>104</v>
      </c>
      <c r="R3296" s="38" t="s">
        <v>270</v>
      </c>
      <c r="S3296" s="38" t="s">
        <v>7517</v>
      </c>
      <c r="T3296" s="38" t="s">
        <v>7518</v>
      </c>
      <c r="U3296" s="38"/>
      <c r="V3296" s="38"/>
      <c r="W3296" s="38"/>
      <c r="X3296" s="38"/>
      <c r="Y3296" s="57"/>
      <c r="Z3296" s="7"/>
      <c r="AA3296" s="57"/>
      <c r="AB3296" s="7"/>
      <c r="AC3296" s="57"/>
      <c r="AD3296" s="7"/>
      <c r="AE3296" s="57"/>
      <c r="AF3296" s="7"/>
      <c r="AG3296" s="57"/>
      <c r="AH3296" s="7"/>
      <c r="AI3296" s="57"/>
      <c r="AJ3296" s="7"/>
      <c r="AK3296" s="57"/>
      <c r="AL3296" s="7"/>
      <c r="AN3296" s="7" t="s">
        <v>70</v>
      </c>
      <c r="AO3296" s="21">
        <f t="shared" si="164"/>
        <v>0</v>
      </c>
      <c r="AP3296" s="7">
        <f t="shared" si="163"/>
        <v>13.52</v>
      </c>
      <c r="AQ3296" s="31" t="str">
        <f t="shared" si="165"/>
        <v>Complete - No Adjustment</v>
      </c>
    </row>
    <row r="3297" spans="1:43" x14ac:dyDescent="0.2">
      <c r="A3297" s="46">
        <v>3287</v>
      </c>
      <c r="B3297" s="38" t="s">
        <v>266</v>
      </c>
      <c r="C3297" s="38" t="s">
        <v>579</v>
      </c>
      <c r="D3297" s="38" t="s">
        <v>578</v>
      </c>
      <c r="E3297" s="38" t="s">
        <v>7515</v>
      </c>
      <c r="F3297" s="38" t="s">
        <v>7300</v>
      </c>
      <c r="G3297" s="38" t="s">
        <v>111</v>
      </c>
      <c r="H3297" s="44">
        <v>44218</v>
      </c>
      <c r="I3297" s="44">
        <v>44232</v>
      </c>
      <c r="J3297">
        <v>41.11</v>
      </c>
      <c r="K3297">
        <v>7.03</v>
      </c>
      <c r="L3297" t="s">
        <v>7516</v>
      </c>
      <c r="M3297" s="45" t="s">
        <v>98</v>
      </c>
      <c r="N3297" s="38" t="s">
        <v>230</v>
      </c>
      <c r="O3297" s="38" t="s">
        <v>294</v>
      </c>
      <c r="P3297" s="38" t="s">
        <v>60</v>
      </c>
      <c r="Q3297" s="38" t="s">
        <v>62</v>
      </c>
      <c r="R3297" s="38" t="s">
        <v>270</v>
      </c>
      <c r="S3297" s="38" t="s">
        <v>7517</v>
      </c>
      <c r="T3297" s="38" t="s">
        <v>7519</v>
      </c>
      <c r="U3297" s="38"/>
      <c r="V3297" s="38"/>
      <c r="W3297" s="38"/>
      <c r="X3297" s="38"/>
      <c r="Y3297" s="57"/>
      <c r="Z3297" s="7"/>
      <c r="AA3297" s="57"/>
      <c r="AB3297" s="7"/>
      <c r="AC3297" s="57"/>
      <c r="AD3297" s="7"/>
      <c r="AE3297" s="57"/>
      <c r="AF3297" s="7"/>
      <c r="AG3297" s="57"/>
      <c r="AH3297" s="7"/>
      <c r="AI3297" s="57"/>
      <c r="AJ3297" s="7"/>
      <c r="AK3297" s="57"/>
      <c r="AL3297" s="7"/>
      <c r="AN3297" s="7" t="s">
        <v>70</v>
      </c>
      <c r="AO3297" s="21">
        <f t="shared" si="164"/>
        <v>0</v>
      </c>
      <c r="AP3297" s="7">
        <f t="shared" si="163"/>
        <v>7.03</v>
      </c>
      <c r="AQ3297" s="31" t="str">
        <f t="shared" si="165"/>
        <v>Complete - No Adjustment</v>
      </c>
    </row>
    <row r="3298" spans="1:43" x14ac:dyDescent="0.2">
      <c r="A3298" s="46">
        <v>3288</v>
      </c>
      <c r="B3298" s="38" t="s">
        <v>266</v>
      </c>
      <c r="C3298" s="38" t="s">
        <v>579</v>
      </c>
      <c r="D3298" s="38" t="s">
        <v>578</v>
      </c>
      <c r="E3298" s="38" t="s">
        <v>7515</v>
      </c>
      <c r="F3298" s="38" t="s">
        <v>7300</v>
      </c>
      <c r="G3298" s="38" t="s">
        <v>111</v>
      </c>
      <c r="H3298" s="44">
        <v>44218</v>
      </c>
      <c r="I3298" s="44">
        <v>44232</v>
      </c>
      <c r="J3298">
        <v>41.11</v>
      </c>
      <c r="K3298">
        <v>7.03</v>
      </c>
      <c r="L3298" t="s">
        <v>7516</v>
      </c>
      <c r="M3298" s="45" t="s">
        <v>98</v>
      </c>
      <c r="N3298" s="38" t="s">
        <v>230</v>
      </c>
      <c r="O3298" s="38" t="s">
        <v>297</v>
      </c>
      <c r="P3298" s="38" t="s">
        <v>60</v>
      </c>
      <c r="Q3298" s="38" t="s">
        <v>62</v>
      </c>
      <c r="R3298" s="38" t="s">
        <v>270</v>
      </c>
      <c r="S3298" s="38" t="s">
        <v>7517</v>
      </c>
      <c r="T3298" s="38" t="s">
        <v>7519</v>
      </c>
      <c r="U3298" s="38"/>
      <c r="V3298" s="38"/>
      <c r="W3298" s="38"/>
      <c r="X3298" s="38"/>
      <c r="Y3298" s="57"/>
      <c r="Z3298" s="7"/>
      <c r="AA3298" s="57"/>
      <c r="AB3298" s="7"/>
      <c r="AC3298" s="57"/>
      <c r="AD3298" s="7"/>
      <c r="AE3298" s="57"/>
      <c r="AF3298" s="7"/>
      <c r="AG3298" s="57"/>
      <c r="AH3298" s="7"/>
      <c r="AI3298" s="57"/>
      <c r="AJ3298" s="7"/>
      <c r="AK3298" s="57"/>
      <c r="AL3298" s="7"/>
      <c r="AN3298" s="7" t="s">
        <v>70</v>
      </c>
      <c r="AO3298" s="21">
        <f t="shared" si="164"/>
        <v>0</v>
      </c>
      <c r="AP3298" s="7">
        <f t="shared" si="163"/>
        <v>7.03</v>
      </c>
      <c r="AQ3298" s="31" t="str">
        <f t="shared" si="165"/>
        <v>Complete - No Adjustment</v>
      </c>
    </row>
    <row r="3299" spans="1:43" x14ac:dyDescent="0.2">
      <c r="A3299" s="46">
        <v>3289</v>
      </c>
      <c r="B3299" s="38" t="s">
        <v>266</v>
      </c>
      <c r="C3299" s="38" t="s">
        <v>3664</v>
      </c>
      <c r="D3299" s="38" t="s">
        <v>3665</v>
      </c>
      <c r="E3299" s="38" t="s">
        <v>7520</v>
      </c>
      <c r="F3299" s="38" t="s">
        <v>7216</v>
      </c>
      <c r="G3299" s="38" t="s">
        <v>111</v>
      </c>
      <c r="H3299" s="44">
        <v>44222</v>
      </c>
      <c r="I3299" s="44">
        <v>44228</v>
      </c>
      <c r="J3299">
        <v>15</v>
      </c>
      <c r="K3299">
        <v>15</v>
      </c>
      <c r="L3299" t="s">
        <v>7521</v>
      </c>
      <c r="M3299" s="45" t="s">
        <v>98</v>
      </c>
      <c r="N3299" s="38" t="s">
        <v>230</v>
      </c>
      <c r="O3299" s="38" t="s">
        <v>280</v>
      </c>
      <c r="P3299" s="38" t="s">
        <v>60</v>
      </c>
      <c r="Q3299" s="38" t="s">
        <v>41</v>
      </c>
      <c r="R3299" s="38" t="s">
        <v>270</v>
      </c>
      <c r="S3299" s="38" t="s">
        <v>7522</v>
      </c>
      <c r="T3299" s="38" t="s">
        <v>7523</v>
      </c>
      <c r="U3299" s="38"/>
      <c r="V3299" s="38"/>
      <c r="W3299" s="38"/>
      <c r="X3299" s="38"/>
      <c r="Y3299" s="57"/>
      <c r="Z3299" s="7"/>
      <c r="AA3299" s="57"/>
      <c r="AB3299" s="7"/>
      <c r="AC3299" s="57"/>
      <c r="AD3299" s="7"/>
      <c r="AE3299" s="57"/>
      <c r="AF3299" s="7"/>
      <c r="AG3299" s="57"/>
      <c r="AH3299" s="7"/>
      <c r="AI3299" s="57"/>
      <c r="AJ3299" s="7"/>
      <c r="AK3299" s="57"/>
      <c r="AL3299" s="7"/>
      <c r="AN3299" s="7" t="s">
        <v>155</v>
      </c>
      <c r="AO3299" s="21">
        <f t="shared" si="164"/>
        <v>0</v>
      </c>
      <c r="AP3299" s="7">
        <f t="shared" si="163"/>
        <v>15</v>
      </c>
      <c r="AQ3299" s="31" t="str">
        <f t="shared" si="165"/>
        <v>Complete - No Adjustment</v>
      </c>
    </row>
    <row r="3300" spans="1:43" x14ac:dyDescent="0.2">
      <c r="A3300" s="46">
        <v>3290</v>
      </c>
      <c r="B3300" s="38" t="s">
        <v>266</v>
      </c>
      <c r="C3300" s="38" t="s">
        <v>665</v>
      </c>
      <c r="D3300" s="38" t="s">
        <v>664</v>
      </c>
      <c r="E3300" s="38" t="s">
        <v>7524</v>
      </c>
      <c r="F3300" s="38" t="s">
        <v>7248</v>
      </c>
      <c r="G3300" s="38" t="s">
        <v>111</v>
      </c>
      <c r="H3300" s="44">
        <v>44228</v>
      </c>
      <c r="I3300" s="44">
        <v>44230</v>
      </c>
      <c r="J3300">
        <v>35.39</v>
      </c>
      <c r="K3300">
        <v>35.39</v>
      </c>
      <c r="L3300" t="s">
        <v>7525</v>
      </c>
      <c r="M3300" s="45" t="s">
        <v>98</v>
      </c>
      <c r="N3300" s="38" t="s">
        <v>230</v>
      </c>
      <c r="O3300" s="38" t="s">
        <v>78</v>
      </c>
      <c r="P3300" s="38" t="s">
        <v>60</v>
      </c>
      <c r="Q3300" s="38" t="s">
        <v>41</v>
      </c>
      <c r="R3300" s="38" t="s">
        <v>270</v>
      </c>
      <c r="S3300" s="38" t="s">
        <v>7526</v>
      </c>
      <c r="T3300" s="38" t="s">
        <v>7527</v>
      </c>
      <c r="U3300" s="38"/>
      <c r="V3300" s="38"/>
      <c r="W3300" s="38"/>
      <c r="X3300" s="38"/>
      <c r="Y3300" s="57"/>
      <c r="Z3300" s="7"/>
      <c r="AA3300" s="57"/>
      <c r="AB3300" s="7">
        <f>29-15</f>
        <v>14</v>
      </c>
      <c r="AC3300" s="57"/>
      <c r="AD3300" s="7"/>
      <c r="AE3300" s="57"/>
      <c r="AF3300" s="7"/>
      <c r="AG3300" s="57"/>
      <c r="AH3300" s="7"/>
      <c r="AI3300" s="57"/>
      <c r="AJ3300" s="7"/>
      <c r="AK3300" s="57"/>
      <c r="AL3300" s="7"/>
      <c r="AN3300" s="7" t="s">
        <v>66</v>
      </c>
      <c r="AO3300" s="21">
        <f t="shared" si="164"/>
        <v>14</v>
      </c>
      <c r="AP3300" s="7">
        <f t="shared" si="163"/>
        <v>21.39</v>
      </c>
      <c r="AQ3300" s="31" t="str">
        <f t="shared" si="165"/>
        <v>Complete - With Adjustment</v>
      </c>
    </row>
    <row r="3301" spans="1:43" x14ac:dyDescent="0.2">
      <c r="A3301" s="46">
        <v>3291</v>
      </c>
      <c r="B3301" s="38" t="s">
        <v>266</v>
      </c>
      <c r="C3301" s="38" t="s">
        <v>793</v>
      </c>
      <c r="D3301" s="38" t="s">
        <v>792</v>
      </c>
      <c r="E3301" s="38" t="s">
        <v>7534</v>
      </c>
      <c r="F3301" s="38" t="s">
        <v>7535</v>
      </c>
      <c r="G3301" s="38" t="s">
        <v>111</v>
      </c>
      <c r="H3301" s="44">
        <v>44253</v>
      </c>
      <c r="I3301" s="44">
        <v>44273</v>
      </c>
      <c r="J3301">
        <v>352</v>
      </c>
      <c r="K3301">
        <v>62.5</v>
      </c>
      <c r="L3301" t="s">
        <v>7536</v>
      </c>
      <c r="M3301" s="45" t="s">
        <v>98</v>
      </c>
      <c r="N3301" s="38" t="s">
        <v>230</v>
      </c>
      <c r="O3301" s="38" t="s">
        <v>791</v>
      </c>
      <c r="P3301" s="38" t="s">
        <v>60</v>
      </c>
      <c r="Q3301" s="38" t="s">
        <v>48</v>
      </c>
      <c r="R3301" s="38" t="s">
        <v>270</v>
      </c>
      <c r="S3301" s="38" t="s">
        <v>6030</v>
      </c>
      <c r="T3301" s="38" t="s">
        <v>7537</v>
      </c>
      <c r="U3301" s="38"/>
      <c r="V3301" s="38"/>
      <c r="W3301" s="38"/>
      <c r="X3301" s="7"/>
      <c r="Y3301" s="57"/>
      <c r="Z3301" s="7"/>
      <c r="AA3301" s="57"/>
      <c r="AB3301" s="7"/>
      <c r="AC3301" s="57"/>
      <c r="AD3301" s="7"/>
      <c r="AE3301" s="57"/>
      <c r="AF3301" s="7"/>
      <c r="AG3301" s="57"/>
      <c r="AH3301" s="7"/>
      <c r="AI3301" s="57"/>
      <c r="AJ3301" s="7"/>
      <c r="AK3301" s="57"/>
      <c r="AL3301" s="7"/>
      <c r="AN3301" s="7" t="s">
        <v>70</v>
      </c>
      <c r="AO3301" s="21">
        <f t="shared" si="164"/>
        <v>0</v>
      </c>
      <c r="AP3301" s="7">
        <f t="shared" si="163"/>
        <v>62.5</v>
      </c>
      <c r="AQ3301" s="31" t="str">
        <f t="shared" si="165"/>
        <v>Complete - No Adjustment</v>
      </c>
    </row>
    <row r="3302" spans="1:43" x14ac:dyDescent="0.2">
      <c r="A3302" s="46">
        <v>3292</v>
      </c>
      <c r="B3302" s="38" t="s">
        <v>266</v>
      </c>
      <c r="C3302" s="38" t="s">
        <v>793</v>
      </c>
      <c r="D3302" s="38" t="s">
        <v>792</v>
      </c>
      <c r="E3302" s="38" t="s">
        <v>7534</v>
      </c>
      <c r="F3302" s="38" t="s">
        <v>7535</v>
      </c>
      <c r="G3302" s="38" t="s">
        <v>111</v>
      </c>
      <c r="H3302" s="44">
        <v>44253</v>
      </c>
      <c r="I3302" s="44">
        <v>44273</v>
      </c>
      <c r="J3302">
        <v>352</v>
      </c>
      <c r="K3302">
        <v>98.5</v>
      </c>
      <c r="L3302" t="s">
        <v>7536</v>
      </c>
      <c r="M3302" s="45" t="s">
        <v>98</v>
      </c>
      <c r="N3302" s="38" t="s">
        <v>230</v>
      </c>
      <c r="O3302" s="38" t="s">
        <v>791</v>
      </c>
      <c r="P3302" s="38" t="s">
        <v>60</v>
      </c>
      <c r="Q3302" s="38" t="s">
        <v>104</v>
      </c>
      <c r="R3302" s="38" t="s">
        <v>270</v>
      </c>
      <c r="S3302" s="38" t="s">
        <v>6030</v>
      </c>
      <c r="T3302" s="38" t="s">
        <v>7538</v>
      </c>
      <c r="U3302" s="38"/>
      <c r="V3302" s="38"/>
      <c r="W3302" s="38"/>
      <c r="X3302" s="7"/>
      <c r="Y3302" s="57"/>
      <c r="Z3302" s="7"/>
      <c r="AA3302" s="57"/>
      <c r="AB3302" s="7"/>
      <c r="AC3302" s="57"/>
      <c r="AD3302" s="7"/>
      <c r="AE3302" s="57"/>
      <c r="AF3302" s="7"/>
      <c r="AG3302" s="57"/>
      <c r="AH3302" s="7"/>
      <c r="AI3302" s="57"/>
      <c r="AJ3302" s="7"/>
      <c r="AK3302" s="57"/>
      <c r="AL3302" s="7"/>
      <c r="AN3302" s="7" t="s">
        <v>70</v>
      </c>
      <c r="AO3302" s="21">
        <f t="shared" si="164"/>
        <v>0</v>
      </c>
      <c r="AP3302" s="7">
        <f t="shared" si="163"/>
        <v>98.5</v>
      </c>
      <c r="AQ3302" s="31" t="str">
        <f t="shared" si="165"/>
        <v>Complete - No Adjustment</v>
      </c>
    </row>
    <row r="3303" spans="1:43" x14ac:dyDescent="0.2">
      <c r="A3303" s="46">
        <v>3293</v>
      </c>
      <c r="B3303" s="38" t="s">
        <v>266</v>
      </c>
      <c r="C3303" s="38" t="s">
        <v>793</v>
      </c>
      <c r="D3303" s="38" t="s">
        <v>792</v>
      </c>
      <c r="E3303" s="38" t="s">
        <v>7534</v>
      </c>
      <c r="F3303" s="38" t="s">
        <v>7535</v>
      </c>
      <c r="G3303" s="38" t="s">
        <v>111</v>
      </c>
      <c r="H3303" s="44">
        <v>44253</v>
      </c>
      <c r="I3303" s="44">
        <v>44273</v>
      </c>
      <c r="J3303">
        <v>352</v>
      </c>
      <c r="K3303">
        <v>15</v>
      </c>
      <c r="L3303" t="s">
        <v>7536</v>
      </c>
      <c r="M3303" s="45" t="s">
        <v>98</v>
      </c>
      <c r="N3303" s="38" t="s">
        <v>230</v>
      </c>
      <c r="O3303" s="38" t="s">
        <v>791</v>
      </c>
      <c r="P3303" s="38" t="s">
        <v>60</v>
      </c>
      <c r="Q3303" s="38" t="s">
        <v>46</v>
      </c>
      <c r="R3303" s="38" t="s">
        <v>270</v>
      </c>
      <c r="S3303" s="38" t="s">
        <v>6030</v>
      </c>
      <c r="T3303" s="38" t="s">
        <v>6098</v>
      </c>
      <c r="U3303" s="38"/>
      <c r="V3303" s="38"/>
      <c r="W3303" s="38"/>
      <c r="X3303" s="7"/>
      <c r="Y3303" s="57"/>
      <c r="Z3303" s="7"/>
      <c r="AA3303" s="57"/>
      <c r="AB3303" s="7"/>
      <c r="AC3303" s="57"/>
      <c r="AD3303" s="7"/>
      <c r="AE3303" s="57"/>
      <c r="AF3303" s="7"/>
      <c r="AG3303" s="57"/>
      <c r="AH3303" s="7"/>
      <c r="AI3303" s="57">
        <f>15</f>
        <v>15</v>
      </c>
      <c r="AJ3303" s="7"/>
      <c r="AK3303" s="57"/>
      <c r="AL3303" s="7"/>
      <c r="AN3303" s="7" t="s">
        <v>145</v>
      </c>
      <c r="AO3303" s="21">
        <f t="shared" si="164"/>
        <v>15</v>
      </c>
      <c r="AP3303" s="7">
        <f t="shared" si="163"/>
        <v>0</v>
      </c>
      <c r="AQ3303" s="31" t="str">
        <f t="shared" si="165"/>
        <v>Complete - With Adjustment</v>
      </c>
    </row>
    <row r="3304" spans="1:43" x14ac:dyDescent="0.2">
      <c r="A3304" s="46">
        <v>3294</v>
      </c>
      <c r="B3304" s="38" t="s">
        <v>266</v>
      </c>
      <c r="C3304" s="38" t="s">
        <v>283</v>
      </c>
      <c r="D3304" s="38" t="s">
        <v>282</v>
      </c>
      <c r="E3304" s="38" t="s">
        <v>7539</v>
      </c>
      <c r="F3304" s="38" t="s">
        <v>7540</v>
      </c>
      <c r="G3304" s="38" t="s">
        <v>111</v>
      </c>
      <c r="H3304" s="44">
        <v>44257</v>
      </c>
      <c r="I3304" s="44">
        <v>44260</v>
      </c>
      <c r="J3304">
        <v>5105.83</v>
      </c>
      <c r="K3304">
        <v>5.29</v>
      </c>
      <c r="L3304" t="s">
        <v>7541</v>
      </c>
      <c r="M3304" s="45" t="s">
        <v>97</v>
      </c>
      <c r="N3304" s="38" t="s">
        <v>230</v>
      </c>
      <c r="O3304" s="38" t="s">
        <v>284</v>
      </c>
      <c r="P3304" s="38" t="s">
        <v>64</v>
      </c>
      <c r="Q3304" s="38" t="s">
        <v>46</v>
      </c>
      <c r="R3304" s="38" t="s">
        <v>270</v>
      </c>
      <c r="S3304" s="38" t="s">
        <v>7542</v>
      </c>
      <c r="T3304" s="38" t="s">
        <v>7543</v>
      </c>
      <c r="U3304" s="38"/>
      <c r="V3304" s="38"/>
      <c r="W3304" s="38"/>
      <c r="X3304" s="7"/>
      <c r="Y3304" s="57"/>
      <c r="Z3304" s="7"/>
      <c r="AA3304" s="57"/>
      <c r="AB3304" s="7"/>
      <c r="AC3304" s="57"/>
      <c r="AD3304" s="7"/>
      <c r="AE3304" s="57"/>
      <c r="AF3304" s="7"/>
      <c r="AG3304" s="57">
        <f>5.29</f>
        <v>5.29</v>
      </c>
      <c r="AH3304" s="7"/>
      <c r="AI3304" s="57"/>
      <c r="AJ3304" s="7"/>
      <c r="AK3304" s="57"/>
      <c r="AL3304" s="7"/>
      <c r="AN3304" s="7" t="s">
        <v>69</v>
      </c>
      <c r="AO3304" s="21">
        <f t="shared" si="164"/>
        <v>5.29</v>
      </c>
      <c r="AP3304" s="7">
        <f t="shared" si="163"/>
        <v>0</v>
      </c>
      <c r="AQ3304" s="31" t="str">
        <f t="shared" si="165"/>
        <v>Complete - With Adjustment</v>
      </c>
    </row>
    <row r="3305" spans="1:43" x14ac:dyDescent="0.2">
      <c r="A3305" s="46">
        <v>3295</v>
      </c>
      <c r="B3305" s="38" t="s">
        <v>266</v>
      </c>
      <c r="C3305" s="38" t="s">
        <v>283</v>
      </c>
      <c r="D3305" s="38" t="s">
        <v>282</v>
      </c>
      <c r="E3305" s="38" t="s">
        <v>7539</v>
      </c>
      <c r="F3305" s="38" t="s">
        <v>7540</v>
      </c>
      <c r="G3305" s="38" t="s">
        <v>111</v>
      </c>
      <c r="H3305" s="44">
        <v>44257</v>
      </c>
      <c r="I3305" s="44">
        <v>44260</v>
      </c>
      <c r="J3305">
        <v>5105.83</v>
      </c>
      <c r="K3305">
        <v>5000</v>
      </c>
      <c r="L3305" t="s">
        <v>7541</v>
      </c>
      <c r="M3305" s="45" t="s">
        <v>97</v>
      </c>
      <c r="N3305" s="38" t="s">
        <v>230</v>
      </c>
      <c r="O3305" s="38" t="s">
        <v>284</v>
      </c>
      <c r="P3305" s="38" t="s">
        <v>42</v>
      </c>
      <c r="Q3305" s="38" t="s">
        <v>114</v>
      </c>
      <c r="R3305" s="38" t="s">
        <v>270</v>
      </c>
      <c r="S3305" s="38" t="s">
        <v>7542</v>
      </c>
      <c r="T3305" s="38" t="s">
        <v>7544</v>
      </c>
      <c r="U3305" s="38"/>
      <c r="V3305" s="38"/>
      <c r="W3305" s="38"/>
      <c r="X3305" s="7"/>
      <c r="Y3305" s="57"/>
      <c r="Z3305" s="7"/>
      <c r="AA3305" s="57"/>
      <c r="AB3305" s="7"/>
      <c r="AC3305" s="57"/>
      <c r="AD3305" s="7"/>
      <c r="AE3305" s="57"/>
      <c r="AF3305" s="7"/>
      <c r="AG3305" s="57"/>
      <c r="AH3305" s="7"/>
      <c r="AI3305" s="57"/>
      <c r="AJ3305" s="7"/>
      <c r="AK3305" s="57"/>
      <c r="AL3305" s="7">
        <f>5000</f>
        <v>5000</v>
      </c>
      <c r="AN3305" s="7" t="s">
        <v>6789</v>
      </c>
      <c r="AO3305" s="21">
        <f t="shared" si="164"/>
        <v>5000</v>
      </c>
      <c r="AP3305" s="7">
        <f t="shared" si="163"/>
        <v>0</v>
      </c>
      <c r="AQ3305" s="31" t="str">
        <f t="shared" si="165"/>
        <v>Complete - With Adjustment</v>
      </c>
    </row>
    <row r="3306" spans="1:43" x14ac:dyDescent="0.2">
      <c r="A3306" s="46">
        <v>3296</v>
      </c>
      <c r="B3306" s="38" t="s">
        <v>266</v>
      </c>
      <c r="C3306" s="38" t="s">
        <v>283</v>
      </c>
      <c r="D3306" s="38" t="s">
        <v>282</v>
      </c>
      <c r="E3306" s="38" t="s">
        <v>7539</v>
      </c>
      <c r="F3306" s="38" t="s">
        <v>7540</v>
      </c>
      <c r="G3306" s="38" t="s">
        <v>111</v>
      </c>
      <c r="H3306" s="44">
        <v>44257</v>
      </c>
      <c r="I3306" s="44">
        <v>44260</v>
      </c>
      <c r="J3306">
        <v>5105.83</v>
      </c>
      <c r="K3306">
        <v>100.54</v>
      </c>
      <c r="L3306" t="s">
        <v>7541</v>
      </c>
      <c r="M3306" s="45" t="s">
        <v>98</v>
      </c>
      <c r="N3306" s="38" t="s">
        <v>230</v>
      </c>
      <c r="O3306" s="38" t="s">
        <v>284</v>
      </c>
      <c r="P3306" s="38" t="s">
        <v>60</v>
      </c>
      <c r="Q3306" s="38" t="s">
        <v>46</v>
      </c>
      <c r="R3306" s="38" t="s">
        <v>270</v>
      </c>
      <c r="S3306" s="38" t="s">
        <v>7542</v>
      </c>
      <c r="T3306" s="38" t="s">
        <v>7543</v>
      </c>
      <c r="U3306" s="38"/>
      <c r="V3306" s="38"/>
      <c r="W3306" s="38"/>
      <c r="X3306" s="7"/>
      <c r="Y3306" s="57"/>
      <c r="Z3306" s="7"/>
      <c r="AA3306" s="57"/>
      <c r="AB3306" s="7"/>
      <c r="AC3306" s="57"/>
      <c r="AD3306" s="7"/>
      <c r="AE3306" s="57"/>
      <c r="AF3306" s="7"/>
      <c r="AG3306" s="57"/>
      <c r="AH3306" s="7"/>
      <c r="AI3306" s="57">
        <f>100.54</f>
        <v>100.54</v>
      </c>
      <c r="AJ3306" s="7"/>
      <c r="AK3306" s="57"/>
      <c r="AL3306" s="7"/>
      <c r="AN3306" s="7" t="s">
        <v>145</v>
      </c>
      <c r="AO3306" s="21">
        <f t="shared" si="164"/>
        <v>100.54</v>
      </c>
      <c r="AP3306" s="7">
        <f t="shared" si="163"/>
        <v>0</v>
      </c>
      <c r="AQ3306" s="31" t="str">
        <f t="shared" si="165"/>
        <v>Complete - With Adjustment</v>
      </c>
    </row>
    <row r="3307" spans="1:43" x14ac:dyDescent="0.2">
      <c r="A3307" s="46">
        <v>3297</v>
      </c>
      <c r="B3307" s="38" t="s">
        <v>266</v>
      </c>
      <c r="C3307" s="38" t="s">
        <v>518</v>
      </c>
      <c r="D3307" s="38" t="s">
        <v>517</v>
      </c>
      <c r="E3307" s="38" t="s">
        <v>7545</v>
      </c>
      <c r="F3307" s="38" t="s">
        <v>7546</v>
      </c>
      <c r="G3307" s="38" t="s">
        <v>111</v>
      </c>
      <c r="H3307" s="44">
        <v>44249</v>
      </c>
      <c r="I3307" s="44">
        <v>44256</v>
      </c>
      <c r="J3307">
        <v>229.35</v>
      </c>
      <c r="K3307">
        <v>23.46</v>
      </c>
      <c r="L3307" t="s">
        <v>7547</v>
      </c>
      <c r="M3307" s="45" t="s">
        <v>98</v>
      </c>
      <c r="N3307" s="38" t="s">
        <v>230</v>
      </c>
      <c r="O3307" s="38" t="s">
        <v>519</v>
      </c>
      <c r="P3307" s="38" t="s">
        <v>60</v>
      </c>
      <c r="Q3307" s="38" t="s">
        <v>41</v>
      </c>
      <c r="R3307" s="38" t="s">
        <v>270</v>
      </c>
      <c r="S3307" s="38" t="s">
        <v>7548</v>
      </c>
      <c r="T3307" s="38" t="s">
        <v>7549</v>
      </c>
      <c r="U3307" s="38"/>
      <c r="V3307" s="38"/>
      <c r="W3307" s="38"/>
      <c r="X3307" s="7"/>
      <c r="Y3307" s="57"/>
      <c r="Z3307" s="7"/>
      <c r="AA3307" s="57"/>
      <c r="AB3307" s="7"/>
      <c r="AC3307" s="57"/>
      <c r="AD3307" s="7"/>
      <c r="AE3307" s="57"/>
      <c r="AF3307" s="7"/>
      <c r="AG3307" s="57"/>
      <c r="AH3307" s="7"/>
      <c r="AI3307" s="57">
        <f>23.46</f>
        <v>23.46</v>
      </c>
      <c r="AJ3307" s="7"/>
      <c r="AK3307" s="57"/>
      <c r="AL3307" s="7"/>
      <c r="AN3307" s="7" t="s">
        <v>145</v>
      </c>
      <c r="AO3307" s="21">
        <f t="shared" si="164"/>
        <v>23.46</v>
      </c>
      <c r="AP3307" s="7">
        <f t="shared" si="163"/>
        <v>0</v>
      </c>
      <c r="AQ3307" s="31" t="str">
        <f t="shared" si="165"/>
        <v>Complete - With Adjustment</v>
      </c>
    </row>
    <row r="3308" spans="1:43" x14ac:dyDescent="0.2">
      <c r="A3308" s="46">
        <v>3298</v>
      </c>
      <c r="B3308" s="38" t="s">
        <v>266</v>
      </c>
      <c r="C3308" s="38" t="s">
        <v>518</v>
      </c>
      <c r="D3308" s="38" t="s">
        <v>517</v>
      </c>
      <c r="E3308" s="38" t="s">
        <v>7545</v>
      </c>
      <c r="F3308" s="38" t="s">
        <v>7546</v>
      </c>
      <c r="G3308" s="38" t="s">
        <v>111</v>
      </c>
      <c r="H3308" s="44">
        <v>44249</v>
      </c>
      <c r="I3308" s="44">
        <v>44256</v>
      </c>
      <c r="J3308">
        <v>229.35</v>
      </c>
      <c r="K3308">
        <v>58.79</v>
      </c>
      <c r="L3308" t="s">
        <v>7547</v>
      </c>
      <c r="M3308" s="45" t="s">
        <v>98</v>
      </c>
      <c r="N3308" s="38" t="s">
        <v>230</v>
      </c>
      <c r="O3308" s="38" t="s">
        <v>362</v>
      </c>
      <c r="P3308" s="38" t="s">
        <v>60</v>
      </c>
      <c r="Q3308" s="38" t="s">
        <v>41</v>
      </c>
      <c r="R3308" s="38" t="s">
        <v>270</v>
      </c>
      <c r="S3308" s="38" t="s">
        <v>7548</v>
      </c>
      <c r="T3308" s="38" t="s">
        <v>7550</v>
      </c>
      <c r="U3308" s="38"/>
      <c r="V3308" s="38"/>
      <c r="W3308" s="38"/>
      <c r="X3308" s="7"/>
      <c r="Y3308" s="57"/>
      <c r="Z3308" s="7"/>
      <c r="AA3308" s="57"/>
      <c r="AB3308" s="7"/>
      <c r="AC3308" s="57"/>
      <c r="AD3308" s="7"/>
      <c r="AE3308" s="57"/>
      <c r="AF3308" s="7"/>
      <c r="AG3308" s="57"/>
      <c r="AH3308" s="7"/>
      <c r="AI3308" s="57">
        <f>58.79</f>
        <v>58.79</v>
      </c>
      <c r="AJ3308" s="7"/>
      <c r="AK3308" s="57"/>
      <c r="AL3308" s="7"/>
      <c r="AN3308" s="7" t="s">
        <v>145</v>
      </c>
      <c r="AO3308" s="21">
        <f t="shared" si="164"/>
        <v>58.79</v>
      </c>
      <c r="AP3308" s="7">
        <f t="shared" si="163"/>
        <v>0</v>
      </c>
      <c r="AQ3308" s="31" t="str">
        <f t="shared" si="165"/>
        <v>Complete - With Adjustment</v>
      </c>
    </row>
    <row r="3309" spans="1:43" x14ac:dyDescent="0.2">
      <c r="A3309" s="46">
        <v>3299</v>
      </c>
      <c r="B3309" s="38" t="s">
        <v>266</v>
      </c>
      <c r="C3309" s="38" t="s">
        <v>518</v>
      </c>
      <c r="D3309" s="38" t="s">
        <v>517</v>
      </c>
      <c r="E3309" s="38" t="s">
        <v>7545</v>
      </c>
      <c r="F3309" s="38" t="s">
        <v>7546</v>
      </c>
      <c r="G3309" s="38" t="s">
        <v>111</v>
      </c>
      <c r="H3309" s="44">
        <v>44249</v>
      </c>
      <c r="I3309" s="44">
        <v>44256</v>
      </c>
      <c r="J3309">
        <v>229.35</v>
      </c>
      <c r="K3309">
        <v>28.45</v>
      </c>
      <c r="L3309" t="s">
        <v>7547</v>
      </c>
      <c r="M3309" s="45" t="s">
        <v>98</v>
      </c>
      <c r="N3309" s="38" t="s">
        <v>230</v>
      </c>
      <c r="O3309" s="38" t="s">
        <v>519</v>
      </c>
      <c r="P3309" s="38" t="s">
        <v>60</v>
      </c>
      <c r="Q3309" s="38" t="s">
        <v>41</v>
      </c>
      <c r="R3309" s="38" t="s">
        <v>270</v>
      </c>
      <c r="S3309" s="38" t="s">
        <v>7548</v>
      </c>
      <c r="T3309" s="38" t="s">
        <v>7549</v>
      </c>
      <c r="U3309" s="38"/>
      <c r="V3309" s="38"/>
      <c r="W3309" s="38"/>
      <c r="X3309" s="7"/>
      <c r="Y3309" s="57"/>
      <c r="Z3309" s="7"/>
      <c r="AA3309" s="57"/>
      <c r="AB3309" s="7"/>
      <c r="AC3309" s="57"/>
      <c r="AD3309" s="7"/>
      <c r="AE3309" s="57"/>
      <c r="AF3309" s="7"/>
      <c r="AG3309" s="57"/>
      <c r="AH3309" s="7"/>
      <c r="AI3309" s="57">
        <f>28.45</f>
        <v>28.45</v>
      </c>
      <c r="AJ3309" s="7"/>
      <c r="AK3309" s="57"/>
      <c r="AL3309" s="7"/>
      <c r="AN3309" s="7" t="s">
        <v>145</v>
      </c>
      <c r="AO3309" s="21">
        <f t="shared" si="164"/>
        <v>28.45</v>
      </c>
      <c r="AP3309" s="7">
        <f t="shared" si="163"/>
        <v>0</v>
      </c>
      <c r="AQ3309" s="31" t="str">
        <f t="shared" si="165"/>
        <v>Complete - With Adjustment</v>
      </c>
    </row>
    <row r="3310" spans="1:43" x14ac:dyDescent="0.2">
      <c r="A3310" s="46">
        <v>3300</v>
      </c>
      <c r="B3310" s="38" t="s">
        <v>266</v>
      </c>
      <c r="C3310" s="38" t="s">
        <v>518</v>
      </c>
      <c r="D3310" s="38" t="s">
        <v>517</v>
      </c>
      <c r="E3310" s="38" t="s">
        <v>7545</v>
      </c>
      <c r="F3310" s="38" t="s">
        <v>7546</v>
      </c>
      <c r="G3310" s="38" t="s">
        <v>111</v>
      </c>
      <c r="H3310" s="44">
        <v>44249</v>
      </c>
      <c r="I3310" s="44">
        <v>44256</v>
      </c>
      <c r="J3310">
        <v>229.35</v>
      </c>
      <c r="K3310">
        <v>22.09</v>
      </c>
      <c r="L3310" t="s">
        <v>7547</v>
      </c>
      <c r="M3310" s="45" t="s">
        <v>98</v>
      </c>
      <c r="N3310" s="38" t="s">
        <v>230</v>
      </c>
      <c r="O3310" s="38" t="s">
        <v>519</v>
      </c>
      <c r="P3310" s="38" t="s">
        <v>60</v>
      </c>
      <c r="Q3310" s="38" t="s">
        <v>41</v>
      </c>
      <c r="R3310" s="38" t="s">
        <v>270</v>
      </c>
      <c r="S3310" s="38" t="s">
        <v>7548</v>
      </c>
      <c r="T3310" s="38" t="s">
        <v>7549</v>
      </c>
      <c r="U3310" s="38"/>
      <c r="V3310" s="38"/>
      <c r="W3310" s="38"/>
      <c r="X3310" s="7"/>
      <c r="Y3310" s="57"/>
      <c r="Z3310" s="7"/>
      <c r="AA3310" s="57"/>
      <c r="AB3310" s="7"/>
      <c r="AC3310" s="57"/>
      <c r="AD3310" s="7"/>
      <c r="AE3310" s="57"/>
      <c r="AF3310" s="7"/>
      <c r="AG3310" s="57"/>
      <c r="AH3310" s="7"/>
      <c r="AI3310" s="57">
        <f>22.09</f>
        <v>22.09</v>
      </c>
      <c r="AJ3310" s="7"/>
      <c r="AK3310" s="57"/>
      <c r="AL3310" s="7"/>
      <c r="AN3310" s="7" t="s">
        <v>145</v>
      </c>
      <c r="AO3310" s="21">
        <f t="shared" si="164"/>
        <v>22.09</v>
      </c>
      <c r="AP3310" s="7">
        <f t="shared" si="163"/>
        <v>0</v>
      </c>
      <c r="AQ3310" s="31" t="str">
        <f t="shared" si="165"/>
        <v>Complete - With Adjustment</v>
      </c>
    </row>
    <row r="3311" spans="1:43" x14ac:dyDescent="0.2">
      <c r="A3311" s="46">
        <v>3301</v>
      </c>
      <c r="B3311" s="38" t="s">
        <v>266</v>
      </c>
      <c r="C3311" s="38" t="s">
        <v>518</v>
      </c>
      <c r="D3311" s="38" t="s">
        <v>517</v>
      </c>
      <c r="E3311" s="38" t="s">
        <v>7545</v>
      </c>
      <c r="F3311" s="38" t="s">
        <v>7546</v>
      </c>
      <c r="G3311" s="38" t="s">
        <v>111</v>
      </c>
      <c r="H3311" s="44">
        <v>44249</v>
      </c>
      <c r="I3311" s="44">
        <v>44256</v>
      </c>
      <c r="J3311">
        <v>229.35</v>
      </c>
      <c r="K3311">
        <v>22.09</v>
      </c>
      <c r="L3311" t="s">
        <v>7547</v>
      </c>
      <c r="M3311" s="45" t="s">
        <v>98</v>
      </c>
      <c r="N3311" s="38" t="s">
        <v>230</v>
      </c>
      <c r="O3311" s="38" t="s">
        <v>519</v>
      </c>
      <c r="P3311" s="38" t="s">
        <v>60</v>
      </c>
      <c r="Q3311" s="38" t="s">
        <v>41</v>
      </c>
      <c r="R3311" s="38" t="s">
        <v>270</v>
      </c>
      <c r="S3311" s="38" t="s">
        <v>7548</v>
      </c>
      <c r="T3311" s="38" t="s">
        <v>7549</v>
      </c>
      <c r="U3311" s="38"/>
      <c r="V3311" s="38"/>
      <c r="W3311" s="38"/>
      <c r="X3311" s="7"/>
      <c r="Y3311" s="57"/>
      <c r="Z3311" s="7"/>
      <c r="AA3311" s="57"/>
      <c r="AB3311" s="7"/>
      <c r="AC3311" s="57"/>
      <c r="AD3311" s="7"/>
      <c r="AE3311" s="57"/>
      <c r="AF3311" s="7"/>
      <c r="AG3311" s="57"/>
      <c r="AH3311" s="7"/>
      <c r="AI3311" s="57">
        <f>22.09</f>
        <v>22.09</v>
      </c>
      <c r="AJ3311" s="7"/>
      <c r="AK3311" s="57"/>
      <c r="AL3311" s="7"/>
      <c r="AN3311" s="7" t="s">
        <v>145</v>
      </c>
      <c r="AO3311" s="21">
        <f t="shared" si="164"/>
        <v>22.09</v>
      </c>
      <c r="AP3311" s="7">
        <f t="shared" si="163"/>
        <v>0</v>
      </c>
      <c r="AQ3311" s="31" t="str">
        <f t="shared" si="165"/>
        <v>Complete - With Adjustment</v>
      </c>
    </row>
    <row r="3312" spans="1:43" x14ac:dyDescent="0.2">
      <c r="A3312" s="46">
        <v>3302</v>
      </c>
      <c r="B3312" s="38" t="s">
        <v>266</v>
      </c>
      <c r="C3312" s="38" t="s">
        <v>518</v>
      </c>
      <c r="D3312" s="38" t="s">
        <v>517</v>
      </c>
      <c r="E3312" s="38" t="s">
        <v>7545</v>
      </c>
      <c r="F3312" s="38" t="s">
        <v>7546</v>
      </c>
      <c r="G3312" s="38" t="s">
        <v>111</v>
      </c>
      <c r="H3312" s="44">
        <v>44249</v>
      </c>
      <c r="I3312" s="44">
        <v>44256</v>
      </c>
      <c r="J3312">
        <v>229.35</v>
      </c>
      <c r="K3312">
        <v>31.13</v>
      </c>
      <c r="L3312" t="s">
        <v>7547</v>
      </c>
      <c r="M3312" s="45" t="s">
        <v>98</v>
      </c>
      <c r="N3312" s="38" t="s">
        <v>230</v>
      </c>
      <c r="O3312" s="38" t="s">
        <v>519</v>
      </c>
      <c r="P3312" s="38" t="s">
        <v>60</v>
      </c>
      <c r="Q3312" s="38" t="s">
        <v>41</v>
      </c>
      <c r="R3312" s="38" t="s">
        <v>270</v>
      </c>
      <c r="S3312" s="38" t="s">
        <v>7548</v>
      </c>
      <c r="T3312" s="38" t="s">
        <v>7549</v>
      </c>
      <c r="U3312" s="38"/>
      <c r="V3312" s="38"/>
      <c r="W3312" s="38"/>
      <c r="X3312" s="7"/>
      <c r="Y3312" s="57"/>
      <c r="Z3312" s="7"/>
      <c r="AA3312" s="57"/>
      <c r="AB3312" s="7"/>
      <c r="AC3312" s="57"/>
      <c r="AD3312" s="7"/>
      <c r="AE3312" s="57"/>
      <c r="AF3312" s="7"/>
      <c r="AG3312" s="57"/>
      <c r="AH3312" s="7"/>
      <c r="AI3312" s="57">
        <f>31.13</f>
        <v>31.13</v>
      </c>
      <c r="AJ3312" s="7"/>
      <c r="AK3312" s="57"/>
      <c r="AL3312" s="7"/>
      <c r="AN3312" s="7" t="s">
        <v>145</v>
      </c>
      <c r="AO3312" s="21">
        <f t="shared" si="164"/>
        <v>31.13</v>
      </c>
      <c r="AP3312" s="7">
        <f t="shared" si="163"/>
        <v>0</v>
      </c>
      <c r="AQ3312" s="31" t="str">
        <f t="shared" si="165"/>
        <v>Complete - With Adjustment</v>
      </c>
    </row>
    <row r="3313" spans="1:43" x14ac:dyDescent="0.2">
      <c r="A3313" s="46">
        <v>3303</v>
      </c>
      <c r="B3313" s="38" t="s">
        <v>266</v>
      </c>
      <c r="C3313" s="38" t="s">
        <v>518</v>
      </c>
      <c r="D3313" s="38" t="s">
        <v>517</v>
      </c>
      <c r="E3313" s="38" t="s">
        <v>7545</v>
      </c>
      <c r="F3313" s="38" t="s">
        <v>7546</v>
      </c>
      <c r="G3313" s="38" t="s">
        <v>111</v>
      </c>
      <c r="H3313" s="44">
        <v>44249</v>
      </c>
      <c r="I3313" s="44">
        <v>44256</v>
      </c>
      <c r="J3313">
        <v>229.35</v>
      </c>
      <c r="K3313">
        <v>17.920000000000002</v>
      </c>
      <c r="L3313" t="s">
        <v>7547</v>
      </c>
      <c r="M3313" s="45" t="s">
        <v>98</v>
      </c>
      <c r="N3313" s="38" t="s">
        <v>230</v>
      </c>
      <c r="O3313" s="38" t="s">
        <v>519</v>
      </c>
      <c r="P3313" s="38" t="s">
        <v>60</v>
      </c>
      <c r="Q3313" s="38" t="s">
        <v>41</v>
      </c>
      <c r="R3313" s="38" t="s">
        <v>270</v>
      </c>
      <c r="S3313" s="38" t="s">
        <v>7548</v>
      </c>
      <c r="T3313" s="38" t="s">
        <v>7549</v>
      </c>
      <c r="U3313" s="38"/>
      <c r="V3313" s="38"/>
      <c r="W3313" s="38"/>
      <c r="X3313" s="7"/>
      <c r="Y3313" s="57"/>
      <c r="Z3313" s="7"/>
      <c r="AA3313" s="57"/>
      <c r="AB3313" s="7"/>
      <c r="AC3313" s="57"/>
      <c r="AD3313" s="7"/>
      <c r="AE3313" s="57"/>
      <c r="AF3313" s="7"/>
      <c r="AG3313" s="57"/>
      <c r="AH3313" s="7"/>
      <c r="AI3313" s="57">
        <f>17.92</f>
        <v>17.920000000000002</v>
      </c>
      <c r="AJ3313" s="7"/>
      <c r="AK3313" s="57"/>
      <c r="AL3313" s="7"/>
      <c r="AN3313" s="7" t="s">
        <v>145</v>
      </c>
      <c r="AO3313" s="21">
        <f t="shared" si="164"/>
        <v>17.920000000000002</v>
      </c>
      <c r="AP3313" s="7">
        <f t="shared" si="163"/>
        <v>0</v>
      </c>
      <c r="AQ3313" s="31" t="str">
        <f t="shared" si="165"/>
        <v>Complete - With Adjustment</v>
      </c>
    </row>
    <row r="3314" spans="1:43" x14ac:dyDescent="0.2">
      <c r="A3314" s="46">
        <v>3304</v>
      </c>
      <c r="B3314" s="38" t="s">
        <v>266</v>
      </c>
      <c r="C3314" s="38" t="s">
        <v>518</v>
      </c>
      <c r="D3314" s="38" t="s">
        <v>517</v>
      </c>
      <c r="E3314" s="38" t="s">
        <v>7545</v>
      </c>
      <c r="F3314" s="38" t="s">
        <v>7546</v>
      </c>
      <c r="G3314" s="38" t="s">
        <v>111</v>
      </c>
      <c r="H3314" s="44">
        <v>44249</v>
      </c>
      <c r="I3314" s="44">
        <v>44256</v>
      </c>
      <c r="J3314">
        <v>229.35</v>
      </c>
      <c r="K3314">
        <v>25.42</v>
      </c>
      <c r="L3314" t="s">
        <v>7547</v>
      </c>
      <c r="M3314" s="45" t="s">
        <v>98</v>
      </c>
      <c r="N3314" s="38" t="s">
        <v>230</v>
      </c>
      <c r="O3314" s="38" t="s">
        <v>362</v>
      </c>
      <c r="P3314" s="38" t="s">
        <v>60</v>
      </c>
      <c r="Q3314" s="38" t="s">
        <v>41</v>
      </c>
      <c r="R3314" s="38" t="s">
        <v>270</v>
      </c>
      <c r="S3314" s="38" t="s">
        <v>7548</v>
      </c>
      <c r="T3314" s="38" t="s">
        <v>7550</v>
      </c>
      <c r="U3314" s="38"/>
      <c r="V3314" s="38"/>
      <c r="W3314" s="38"/>
      <c r="X3314" s="7"/>
      <c r="Y3314" s="57"/>
      <c r="Z3314" s="7"/>
      <c r="AA3314" s="57"/>
      <c r="AB3314" s="7"/>
      <c r="AC3314" s="57"/>
      <c r="AD3314" s="7"/>
      <c r="AE3314" s="57"/>
      <c r="AF3314" s="7"/>
      <c r="AG3314" s="57"/>
      <c r="AH3314" s="7"/>
      <c r="AI3314" s="57">
        <f>25.42</f>
        <v>25.42</v>
      </c>
      <c r="AJ3314" s="7"/>
      <c r="AK3314" s="57"/>
      <c r="AL3314" s="7"/>
      <c r="AN3314" s="7" t="s">
        <v>145</v>
      </c>
      <c r="AO3314" s="21">
        <f t="shared" si="164"/>
        <v>25.42</v>
      </c>
      <c r="AP3314" s="7">
        <f t="shared" si="163"/>
        <v>0</v>
      </c>
      <c r="AQ3314" s="31" t="str">
        <f t="shared" si="165"/>
        <v>Complete - With Adjustment</v>
      </c>
    </row>
    <row r="3315" spans="1:43" x14ac:dyDescent="0.2">
      <c r="A3315" s="46">
        <v>3305</v>
      </c>
      <c r="B3315" s="38" t="s">
        <v>266</v>
      </c>
      <c r="C3315" s="38" t="s">
        <v>313</v>
      </c>
      <c r="D3315" s="38" t="s">
        <v>312</v>
      </c>
      <c r="E3315" s="38" t="s">
        <v>7551</v>
      </c>
      <c r="F3315" s="38" t="s">
        <v>7552</v>
      </c>
      <c r="G3315" s="38" t="s">
        <v>111</v>
      </c>
      <c r="H3315" s="44">
        <v>44249</v>
      </c>
      <c r="I3315" s="44">
        <v>44257</v>
      </c>
      <c r="J3315">
        <v>465.06</v>
      </c>
      <c r="K3315">
        <v>39.47</v>
      </c>
      <c r="L3315" t="s">
        <v>7553</v>
      </c>
      <c r="M3315" s="45" t="s">
        <v>98</v>
      </c>
      <c r="N3315" s="38" t="s">
        <v>230</v>
      </c>
      <c r="O3315" s="38" t="s">
        <v>314</v>
      </c>
      <c r="P3315" s="38" t="s">
        <v>60</v>
      </c>
      <c r="Q3315" s="38" t="s">
        <v>62</v>
      </c>
      <c r="R3315" s="38" t="s">
        <v>270</v>
      </c>
      <c r="S3315" s="38" t="s">
        <v>6816</v>
      </c>
      <c r="T3315" s="38" t="s">
        <v>7554</v>
      </c>
      <c r="U3315" s="38"/>
      <c r="V3315" s="38"/>
      <c r="W3315" s="38"/>
      <c r="X3315" s="7"/>
      <c r="Y3315" s="57"/>
      <c r="Z3315" s="7"/>
      <c r="AA3315" s="57"/>
      <c r="AB3315" s="7"/>
      <c r="AC3315" s="57"/>
      <c r="AD3315" s="7"/>
      <c r="AE3315" s="57"/>
      <c r="AF3315" s="7"/>
      <c r="AG3315" s="57"/>
      <c r="AH3315" s="7"/>
      <c r="AI3315" s="57"/>
      <c r="AJ3315" s="7"/>
      <c r="AK3315" s="57"/>
      <c r="AL3315" s="7"/>
      <c r="AN3315" s="7" t="s">
        <v>70</v>
      </c>
      <c r="AO3315" s="21">
        <f t="shared" si="164"/>
        <v>0</v>
      </c>
      <c r="AP3315" s="7">
        <f t="shared" si="163"/>
        <v>39.47</v>
      </c>
      <c r="AQ3315" s="31" t="str">
        <f t="shared" si="165"/>
        <v>Complete - No Adjustment</v>
      </c>
    </row>
    <row r="3316" spans="1:43" x14ac:dyDescent="0.2">
      <c r="A3316" s="46">
        <v>3306</v>
      </c>
      <c r="B3316" s="38" t="s">
        <v>266</v>
      </c>
      <c r="C3316" s="38" t="s">
        <v>313</v>
      </c>
      <c r="D3316" s="38" t="s">
        <v>312</v>
      </c>
      <c r="E3316" s="38" t="s">
        <v>7551</v>
      </c>
      <c r="F3316" s="38" t="s">
        <v>7552</v>
      </c>
      <c r="G3316" s="38" t="s">
        <v>111</v>
      </c>
      <c r="H3316" s="44">
        <v>44249</v>
      </c>
      <c r="I3316" s="44">
        <v>44257</v>
      </c>
      <c r="J3316">
        <v>465.06</v>
      </c>
      <c r="K3316">
        <v>394.23</v>
      </c>
      <c r="L3316" t="s">
        <v>7553</v>
      </c>
      <c r="M3316" s="45" t="s">
        <v>98</v>
      </c>
      <c r="N3316" s="38" t="s">
        <v>230</v>
      </c>
      <c r="O3316" s="38" t="s">
        <v>314</v>
      </c>
      <c r="P3316" s="38" t="s">
        <v>60</v>
      </c>
      <c r="Q3316" s="38" t="s">
        <v>41</v>
      </c>
      <c r="R3316" s="38" t="s">
        <v>270</v>
      </c>
      <c r="S3316" s="38" t="s">
        <v>6816</v>
      </c>
      <c r="T3316" s="38" t="s">
        <v>6820</v>
      </c>
      <c r="U3316" s="38"/>
      <c r="V3316" s="38"/>
      <c r="W3316" s="38"/>
      <c r="X3316" s="7"/>
      <c r="Y3316" s="57"/>
      <c r="Z3316" s="7"/>
      <c r="AA3316" s="57"/>
      <c r="AB3316" s="7"/>
      <c r="AC3316" s="57"/>
      <c r="AD3316" s="7"/>
      <c r="AE3316" s="57"/>
      <c r="AF3316" s="7"/>
      <c r="AG3316" s="57"/>
      <c r="AH3316" s="7"/>
      <c r="AI3316" s="57"/>
      <c r="AJ3316" s="7"/>
      <c r="AK3316" s="57"/>
      <c r="AL3316" s="7"/>
      <c r="AN3316" s="7" t="s">
        <v>70</v>
      </c>
      <c r="AO3316" s="21">
        <f t="shared" si="164"/>
        <v>0</v>
      </c>
      <c r="AP3316" s="7">
        <f t="shared" si="163"/>
        <v>394.23</v>
      </c>
      <c r="AQ3316" s="31" t="str">
        <f t="shared" si="165"/>
        <v>Complete - No Adjustment</v>
      </c>
    </row>
    <row r="3317" spans="1:43" x14ac:dyDescent="0.2">
      <c r="A3317" s="46">
        <v>3307</v>
      </c>
      <c r="B3317" s="38" t="s">
        <v>266</v>
      </c>
      <c r="C3317" s="38" t="s">
        <v>313</v>
      </c>
      <c r="D3317" s="38" t="s">
        <v>312</v>
      </c>
      <c r="E3317" s="38" t="s">
        <v>7551</v>
      </c>
      <c r="F3317" s="38" t="s">
        <v>7552</v>
      </c>
      <c r="G3317" s="38" t="s">
        <v>111</v>
      </c>
      <c r="H3317" s="44">
        <v>44249</v>
      </c>
      <c r="I3317" s="44">
        <v>44257</v>
      </c>
      <c r="J3317">
        <v>465.06</v>
      </c>
      <c r="K3317">
        <v>31.36</v>
      </c>
      <c r="L3317" t="s">
        <v>7553</v>
      </c>
      <c r="M3317" s="45" t="s">
        <v>98</v>
      </c>
      <c r="N3317" s="38" t="s">
        <v>230</v>
      </c>
      <c r="O3317" s="38" t="s">
        <v>314</v>
      </c>
      <c r="P3317" s="38" t="s">
        <v>60</v>
      </c>
      <c r="Q3317" s="38" t="s">
        <v>44</v>
      </c>
      <c r="R3317" s="38" t="s">
        <v>270</v>
      </c>
      <c r="S3317" s="38" t="s">
        <v>6816</v>
      </c>
      <c r="T3317" s="38" t="s">
        <v>7555</v>
      </c>
      <c r="U3317" s="38"/>
      <c r="V3317" s="38"/>
      <c r="W3317" s="38"/>
      <c r="X3317" s="7"/>
      <c r="Y3317" s="57"/>
      <c r="Z3317" s="7"/>
      <c r="AA3317" s="57"/>
      <c r="AB3317" s="7"/>
      <c r="AC3317" s="57"/>
      <c r="AD3317" s="7"/>
      <c r="AE3317" s="57"/>
      <c r="AF3317" s="7"/>
      <c r="AG3317" s="57"/>
      <c r="AH3317" s="7"/>
      <c r="AI3317" s="57"/>
      <c r="AJ3317" s="7"/>
      <c r="AK3317" s="57"/>
      <c r="AL3317" s="7"/>
      <c r="AN3317" s="7" t="s">
        <v>70</v>
      </c>
      <c r="AO3317" s="21">
        <f t="shared" si="164"/>
        <v>0</v>
      </c>
      <c r="AP3317" s="7">
        <f t="shared" si="163"/>
        <v>31.36</v>
      </c>
      <c r="AQ3317" s="31" t="str">
        <f t="shared" si="165"/>
        <v>Complete - No Adjustment</v>
      </c>
    </row>
    <row r="3318" spans="1:43" x14ac:dyDescent="0.2">
      <c r="A3318" s="46">
        <v>3308</v>
      </c>
      <c r="B3318" s="38" t="s">
        <v>266</v>
      </c>
      <c r="C3318" s="38" t="s">
        <v>316</v>
      </c>
      <c r="D3318" s="38" t="s">
        <v>315</v>
      </c>
      <c r="E3318" s="38" t="s">
        <v>7556</v>
      </c>
      <c r="F3318" s="38" t="s">
        <v>7557</v>
      </c>
      <c r="G3318" s="38" t="s">
        <v>111</v>
      </c>
      <c r="H3318" s="44">
        <v>44272</v>
      </c>
      <c r="I3318" s="44">
        <v>44285</v>
      </c>
      <c r="J3318">
        <v>83.32</v>
      </c>
      <c r="K3318">
        <v>23.8</v>
      </c>
      <c r="L3318" t="s">
        <v>7558</v>
      </c>
      <c r="M3318" s="45" t="s">
        <v>98</v>
      </c>
      <c r="N3318" s="38" t="s">
        <v>230</v>
      </c>
      <c r="O3318" s="38" t="s">
        <v>317</v>
      </c>
      <c r="P3318" s="38" t="s">
        <v>60</v>
      </c>
      <c r="Q3318" s="38" t="s">
        <v>41</v>
      </c>
      <c r="R3318" s="38" t="s">
        <v>270</v>
      </c>
      <c r="S3318" s="38" t="s">
        <v>7559</v>
      </c>
      <c r="T3318" s="38" t="s">
        <v>7560</v>
      </c>
      <c r="U3318" s="38"/>
      <c r="V3318" s="38"/>
      <c r="W3318" s="38"/>
      <c r="X3318" s="7"/>
      <c r="Y3318" s="57"/>
      <c r="Z3318" s="7"/>
      <c r="AA3318" s="57"/>
      <c r="AB3318" s="7"/>
      <c r="AC3318" s="57"/>
      <c r="AD3318" s="7"/>
      <c r="AE3318" s="57"/>
      <c r="AF3318" s="7"/>
      <c r="AG3318" s="57"/>
      <c r="AH3318" s="7"/>
      <c r="AI3318" s="57"/>
      <c r="AJ3318" s="7"/>
      <c r="AK3318" s="57"/>
      <c r="AL3318" s="7"/>
      <c r="AN3318" s="7" t="s">
        <v>70</v>
      </c>
      <c r="AO3318" s="21">
        <f t="shared" si="164"/>
        <v>0</v>
      </c>
      <c r="AP3318" s="7">
        <f t="shared" si="163"/>
        <v>23.8</v>
      </c>
      <c r="AQ3318" s="31" t="str">
        <f t="shared" si="165"/>
        <v>Complete - No Adjustment</v>
      </c>
    </row>
    <row r="3319" spans="1:43" x14ac:dyDescent="0.2">
      <c r="A3319" s="46">
        <v>3309</v>
      </c>
      <c r="B3319" s="38" t="s">
        <v>266</v>
      </c>
      <c r="C3319" s="38" t="s">
        <v>316</v>
      </c>
      <c r="D3319" s="38" t="s">
        <v>315</v>
      </c>
      <c r="E3319" s="38" t="s">
        <v>7556</v>
      </c>
      <c r="F3319" s="38" t="s">
        <v>7557</v>
      </c>
      <c r="G3319" s="38" t="s">
        <v>111</v>
      </c>
      <c r="H3319" s="44">
        <v>44272</v>
      </c>
      <c r="I3319" s="44">
        <v>44285</v>
      </c>
      <c r="J3319">
        <v>83.32</v>
      </c>
      <c r="K3319">
        <v>17.86</v>
      </c>
      <c r="L3319" t="s">
        <v>7558</v>
      </c>
      <c r="M3319" s="45" t="s">
        <v>98</v>
      </c>
      <c r="N3319" s="38" t="s">
        <v>230</v>
      </c>
      <c r="O3319" s="38" t="s">
        <v>317</v>
      </c>
      <c r="P3319" s="38" t="s">
        <v>60</v>
      </c>
      <c r="Q3319" s="38" t="s">
        <v>41</v>
      </c>
      <c r="R3319" s="38" t="s">
        <v>270</v>
      </c>
      <c r="S3319" s="38" t="s">
        <v>7559</v>
      </c>
      <c r="T3319" s="38" t="s">
        <v>7560</v>
      </c>
      <c r="U3319" s="38"/>
      <c r="V3319" s="38"/>
      <c r="W3319" s="38"/>
      <c r="X3319" s="7"/>
      <c r="Y3319" s="57"/>
      <c r="Z3319" s="7"/>
      <c r="AA3319" s="57"/>
      <c r="AB3319" s="7"/>
      <c r="AC3319" s="57"/>
      <c r="AD3319" s="7"/>
      <c r="AE3319" s="57"/>
      <c r="AF3319" s="7"/>
      <c r="AG3319" s="57"/>
      <c r="AH3319" s="7"/>
      <c r="AI3319" s="57"/>
      <c r="AJ3319" s="7"/>
      <c r="AK3319" s="57"/>
      <c r="AL3319" s="7"/>
      <c r="AN3319" s="7" t="s">
        <v>70</v>
      </c>
      <c r="AO3319" s="21">
        <f t="shared" si="164"/>
        <v>0</v>
      </c>
      <c r="AP3319" s="7">
        <f t="shared" si="163"/>
        <v>17.86</v>
      </c>
      <c r="AQ3319" s="31" t="str">
        <f t="shared" si="165"/>
        <v>Complete - No Adjustment</v>
      </c>
    </row>
    <row r="3320" spans="1:43" x14ac:dyDescent="0.2">
      <c r="A3320" s="46">
        <v>3310</v>
      </c>
      <c r="B3320" s="38" t="s">
        <v>266</v>
      </c>
      <c r="C3320" s="38" t="s">
        <v>316</v>
      </c>
      <c r="D3320" s="38" t="s">
        <v>315</v>
      </c>
      <c r="E3320" s="38" t="s">
        <v>7556</v>
      </c>
      <c r="F3320" s="38" t="s">
        <v>7557</v>
      </c>
      <c r="G3320" s="38" t="s">
        <v>111</v>
      </c>
      <c r="H3320" s="44">
        <v>44272</v>
      </c>
      <c r="I3320" s="44">
        <v>44285</v>
      </c>
      <c r="J3320">
        <v>83.32</v>
      </c>
      <c r="K3320">
        <v>23.8</v>
      </c>
      <c r="L3320" t="s">
        <v>7558</v>
      </c>
      <c r="M3320" s="45" t="s">
        <v>98</v>
      </c>
      <c r="N3320" s="38" t="s">
        <v>230</v>
      </c>
      <c r="O3320" s="38" t="s">
        <v>317</v>
      </c>
      <c r="P3320" s="38" t="s">
        <v>60</v>
      </c>
      <c r="Q3320" s="38" t="s">
        <v>41</v>
      </c>
      <c r="R3320" s="38" t="s">
        <v>270</v>
      </c>
      <c r="S3320" s="38" t="s">
        <v>7559</v>
      </c>
      <c r="T3320" s="38" t="s">
        <v>7560</v>
      </c>
      <c r="U3320" s="38"/>
      <c r="V3320" s="38"/>
      <c r="W3320" s="38"/>
      <c r="X3320" s="7"/>
      <c r="Y3320" s="57"/>
      <c r="Z3320" s="7"/>
      <c r="AA3320" s="57"/>
      <c r="AB3320" s="7"/>
      <c r="AC3320" s="57"/>
      <c r="AD3320" s="7"/>
      <c r="AE3320" s="57"/>
      <c r="AF3320" s="7"/>
      <c r="AG3320" s="57"/>
      <c r="AH3320" s="7"/>
      <c r="AI3320" s="57"/>
      <c r="AJ3320" s="7"/>
      <c r="AK3320" s="57"/>
      <c r="AL3320" s="7"/>
      <c r="AN3320" s="7" t="s">
        <v>70</v>
      </c>
      <c r="AO3320" s="21">
        <f t="shared" si="164"/>
        <v>0</v>
      </c>
      <c r="AP3320" s="7">
        <f t="shared" si="163"/>
        <v>23.8</v>
      </c>
      <c r="AQ3320" s="31" t="str">
        <f t="shared" si="165"/>
        <v>Complete - No Adjustment</v>
      </c>
    </row>
    <row r="3321" spans="1:43" x14ac:dyDescent="0.2">
      <c r="A3321" s="46">
        <v>3311</v>
      </c>
      <c r="B3321" s="38" t="s">
        <v>266</v>
      </c>
      <c r="C3321" s="38" t="s">
        <v>316</v>
      </c>
      <c r="D3321" s="38" t="s">
        <v>315</v>
      </c>
      <c r="E3321" s="38" t="s">
        <v>7556</v>
      </c>
      <c r="F3321" s="38" t="s">
        <v>7557</v>
      </c>
      <c r="G3321" s="38" t="s">
        <v>111</v>
      </c>
      <c r="H3321" s="44">
        <v>44272</v>
      </c>
      <c r="I3321" s="44">
        <v>44285</v>
      </c>
      <c r="J3321">
        <v>83.32</v>
      </c>
      <c r="K3321">
        <v>17.86</v>
      </c>
      <c r="L3321" t="s">
        <v>7558</v>
      </c>
      <c r="M3321" s="45" t="s">
        <v>98</v>
      </c>
      <c r="N3321" s="38" t="s">
        <v>230</v>
      </c>
      <c r="O3321" s="38" t="s">
        <v>317</v>
      </c>
      <c r="P3321" s="38" t="s">
        <v>60</v>
      </c>
      <c r="Q3321" s="38" t="s">
        <v>41</v>
      </c>
      <c r="R3321" s="38" t="s">
        <v>270</v>
      </c>
      <c r="S3321" s="38" t="s">
        <v>7559</v>
      </c>
      <c r="T3321" s="38" t="s">
        <v>7560</v>
      </c>
      <c r="U3321" s="38"/>
      <c r="V3321" s="38"/>
      <c r="W3321" s="38"/>
      <c r="X3321" s="7"/>
      <c r="Y3321" s="57"/>
      <c r="Z3321" s="7"/>
      <c r="AA3321" s="57"/>
      <c r="AB3321" s="7"/>
      <c r="AC3321" s="57"/>
      <c r="AD3321" s="7"/>
      <c r="AE3321" s="57"/>
      <c r="AF3321" s="7"/>
      <c r="AG3321" s="57"/>
      <c r="AH3321" s="7"/>
      <c r="AI3321" s="57"/>
      <c r="AJ3321" s="7"/>
      <c r="AK3321" s="57"/>
      <c r="AL3321" s="7"/>
      <c r="AN3321" s="7" t="s">
        <v>70</v>
      </c>
      <c r="AO3321" s="21">
        <f t="shared" si="164"/>
        <v>0</v>
      </c>
      <c r="AP3321" s="7">
        <f t="shared" si="163"/>
        <v>17.86</v>
      </c>
      <c r="AQ3321" s="31" t="str">
        <f t="shared" si="165"/>
        <v>Complete - No Adjustment</v>
      </c>
    </row>
    <row r="3322" spans="1:43" x14ac:dyDescent="0.2">
      <c r="A3322" s="46">
        <v>3312</v>
      </c>
      <c r="B3322" s="38" t="s">
        <v>266</v>
      </c>
      <c r="C3322" s="38" t="s">
        <v>232</v>
      </c>
      <c r="D3322" s="38" t="s">
        <v>231</v>
      </c>
      <c r="E3322" s="38" t="s">
        <v>7561</v>
      </c>
      <c r="F3322" s="38" t="s">
        <v>7562</v>
      </c>
      <c r="G3322" s="38" t="s">
        <v>111</v>
      </c>
      <c r="H3322" s="44">
        <v>44273</v>
      </c>
      <c r="I3322" s="44">
        <v>44277</v>
      </c>
      <c r="J3322">
        <v>13.94</v>
      </c>
      <c r="K3322">
        <v>13.94</v>
      </c>
      <c r="L3322" t="s">
        <v>7563</v>
      </c>
      <c r="M3322" s="45" t="s">
        <v>98</v>
      </c>
      <c r="N3322" s="38" t="s">
        <v>230</v>
      </c>
      <c r="O3322" s="38" t="s">
        <v>311</v>
      </c>
      <c r="P3322" s="38" t="s">
        <v>60</v>
      </c>
      <c r="Q3322" s="38" t="s">
        <v>41</v>
      </c>
      <c r="R3322" s="38" t="s">
        <v>270</v>
      </c>
      <c r="S3322" s="38" t="s">
        <v>7564</v>
      </c>
      <c r="T3322" s="38" t="s">
        <v>7565</v>
      </c>
      <c r="U3322" s="38"/>
      <c r="V3322" s="38"/>
      <c r="W3322" s="38"/>
      <c r="X3322" s="7"/>
      <c r="Y3322" s="57"/>
      <c r="Z3322" s="7"/>
      <c r="AA3322" s="57"/>
      <c r="AB3322" s="7"/>
      <c r="AC3322" s="57"/>
      <c r="AD3322" s="7"/>
      <c r="AE3322" s="57"/>
      <c r="AF3322" s="7"/>
      <c r="AG3322" s="57"/>
      <c r="AH3322" s="7"/>
      <c r="AI3322" s="57">
        <f>13.94</f>
        <v>13.94</v>
      </c>
      <c r="AJ3322" s="7"/>
      <c r="AK3322" s="57"/>
      <c r="AL3322" s="7"/>
      <c r="AN3322" s="7" t="s">
        <v>145</v>
      </c>
      <c r="AO3322" s="21">
        <f t="shared" si="164"/>
        <v>13.94</v>
      </c>
      <c r="AP3322" s="7">
        <f t="shared" si="163"/>
        <v>0</v>
      </c>
      <c r="AQ3322" s="31" t="str">
        <f t="shared" si="165"/>
        <v>Complete - With Adjustment</v>
      </c>
    </row>
    <row r="3323" spans="1:43" x14ac:dyDescent="0.2">
      <c r="A3323" s="46">
        <v>3313</v>
      </c>
      <c r="B3323" s="38" t="s">
        <v>266</v>
      </c>
      <c r="C3323" s="38" t="s">
        <v>336</v>
      </c>
      <c r="D3323" s="38" t="s">
        <v>335</v>
      </c>
      <c r="E3323" s="38" t="s">
        <v>7566</v>
      </c>
      <c r="F3323" s="38" t="s">
        <v>7567</v>
      </c>
      <c r="G3323" s="38" t="s">
        <v>111</v>
      </c>
      <c r="H3323" s="44">
        <v>44272</v>
      </c>
      <c r="I3323" s="44">
        <v>44279</v>
      </c>
      <c r="J3323">
        <v>45.88</v>
      </c>
      <c r="K3323">
        <v>2.99</v>
      </c>
      <c r="L3323" t="s">
        <v>7568</v>
      </c>
      <c r="M3323" s="45" t="s">
        <v>98</v>
      </c>
      <c r="N3323" s="38" t="s">
        <v>230</v>
      </c>
      <c r="O3323" s="38" t="s">
        <v>271</v>
      </c>
      <c r="P3323" s="38" t="s">
        <v>60</v>
      </c>
      <c r="Q3323" s="38" t="s">
        <v>65</v>
      </c>
      <c r="R3323" s="38" t="s">
        <v>270</v>
      </c>
      <c r="S3323" s="38" t="s">
        <v>7569</v>
      </c>
      <c r="T3323" s="38" t="s">
        <v>6405</v>
      </c>
      <c r="U3323" s="38"/>
      <c r="V3323" s="38"/>
      <c r="W3323" s="38"/>
      <c r="X3323" s="7"/>
      <c r="Y3323" s="57"/>
      <c r="Z3323" s="7"/>
      <c r="AA3323" s="57"/>
      <c r="AB3323" s="7"/>
      <c r="AC3323" s="57"/>
      <c r="AD3323" s="7"/>
      <c r="AE3323" s="57"/>
      <c r="AF3323" s="7"/>
      <c r="AG3323" s="57"/>
      <c r="AH3323" s="7"/>
      <c r="AI3323" s="57"/>
      <c r="AJ3323" s="7"/>
      <c r="AK3323" s="57"/>
      <c r="AL3323" s="7"/>
      <c r="AN3323" s="7" t="s">
        <v>70</v>
      </c>
      <c r="AO3323" s="21">
        <f t="shared" si="164"/>
        <v>0</v>
      </c>
      <c r="AP3323" s="7">
        <f t="shared" si="163"/>
        <v>2.99</v>
      </c>
      <c r="AQ3323" s="31" t="str">
        <f t="shared" si="165"/>
        <v>Complete - No Adjustment</v>
      </c>
    </row>
    <row r="3324" spans="1:43" x14ac:dyDescent="0.2">
      <c r="A3324" s="46">
        <v>3314</v>
      </c>
      <c r="B3324" s="38" t="s">
        <v>266</v>
      </c>
      <c r="C3324" s="38" t="s">
        <v>336</v>
      </c>
      <c r="D3324" s="38" t="s">
        <v>335</v>
      </c>
      <c r="E3324" s="38" t="s">
        <v>7566</v>
      </c>
      <c r="F3324" s="38" t="s">
        <v>7567</v>
      </c>
      <c r="G3324" s="38" t="s">
        <v>111</v>
      </c>
      <c r="H3324" s="44">
        <v>44272</v>
      </c>
      <c r="I3324" s="44">
        <v>44279</v>
      </c>
      <c r="J3324">
        <v>45.88</v>
      </c>
      <c r="K3324">
        <v>19.47</v>
      </c>
      <c r="L3324" t="s">
        <v>7568</v>
      </c>
      <c r="M3324" s="45" t="s">
        <v>98</v>
      </c>
      <c r="N3324" s="38" t="s">
        <v>230</v>
      </c>
      <c r="O3324" s="38" t="s">
        <v>271</v>
      </c>
      <c r="P3324" s="38" t="s">
        <v>60</v>
      </c>
      <c r="Q3324" s="38" t="s">
        <v>104</v>
      </c>
      <c r="R3324" s="38" t="s">
        <v>270</v>
      </c>
      <c r="S3324" s="38" t="s">
        <v>7569</v>
      </c>
      <c r="T3324" s="38" t="s">
        <v>7570</v>
      </c>
      <c r="U3324" s="38"/>
      <c r="V3324" s="38"/>
      <c r="W3324" s="38"/>
      <c r="X3324" s="7"/>
      <c r="Y3324" s="57"/>
      <c r="Z3324" s="7"/>
      <c r="AA3324" s="57"/>
      <c r="AB3324" s="7"/>
      <c r="AC3324" s="57"/>
      <c r="AD3324" s="7"/>
      <c r="AE3324" s="57"/>
      <c r="AF3324" s="7"/>
      <c r="AG3324" s="57"/>
      <c r="AH3324" s="7"/>
      <c r="AI3324" s="57"/>
      <c r="AJ3324" s="7"/>
      <c r="AK3324" s="57"/>
      <c r="AL3324" s="7"/>
      <c r="AN3324" s="7" t="s">
        <v>70</v>
      </c>
      <c r="AO3324" s="21">
        <f t="shared" si="164"/>
        <v>0</v>
      </c>
      <c r="AP3324" s="7">
        <f t="shared" si="163"/>
        <v>19.47</v>
      </c>
      <c r="AQ3324" s="31" t="str">
        <f t="shared" si="165"/>
        <v>Complete - No Adjustment</v>
      </c>
    </row>
    <row r="3325" spans="1:43" x14ac:dyDescent="0.2">
      <c r="A3325" s="46">
        <v>3315</v>
      </c>
      <c r="B3325" s="38" t="s">
        <v>266</v>
      </c>
      <c r="C3325" s="38" t="s">
        <v>336</v>
      </c>
      <c r="D3325" s="38" t="s">
        <v>335</v>
      </c>
      <c r="E3325" s="38" t="s">
        <v>7566</v>
      </c>
      <c r="F3325" s="38" t="s">
        <v>7567</v>
      </c>
      <c r="G3325" s="38" t="s">
        <v>111</v>
      </c>
      <c r="H3325" s="44">
        <v>44272</v>
      </c>
      <c r="I3325" s="44">
        <v>44279</v>
      </c>
      <c r="J3325">
        <v>45.88</v>
      </c>
      <c r="K3325">
        <v>14.45</v>
      </c>
      <c r="L3325" t="s">
        <v>7568</v>
      </c>
      <c r="M3325" s="45" t="s">
        <v>98</v>
      </c>
      <c r="N3325" s="38" t="s">
        <v>230</v>
      </c>
      <c r="O3325" s="38" t="s">
        <v>271</v>
      </c>
      <c r="P3325" s="38" t="s">
        <v>60</v>
      </c>
      <c r="Q3325" s="38" t="s">
        <v>41</v>
      </c>
      <c r="R3325" s="38" t="s">
        <v>270</v>
      </c>
      <c r="S3325" s="38" t="s">
        <v>7569</v>
      </c>
      <c r="T3325" s="38" t="s">
        <v>7571</v>
      </c>
      <c r="U3325" s="38"/>
      <c r="V3325" s="38"/>
      <c r="W3325" s="38"/>
      <c r="X3325" s="7"/>
      <c r="Y3325" s="57"/>
      <c r="Z3325" s="7"/>
      <c r="AA3325" s="57"/>
      <c r="AB3325" s="7"/>
      <c r="AC3325" s="57"/>
      <c r="AD3325" s="7"/>
      <c r="AE3325" s="57"/>
      <c r="AF3325" s="7"/>
      <c r="AG3325" s="57"/>
      <c r="AH3325" s="7"/>
      <c r="AI3325" s="57"/>
      <c r="AJ3325" s="7"/>
      <c r="AK3325" s="57"/>
      <c r="AL3325" s="7"/>
      <c r="AN3325" s="7" t="s">
        <v>155</v>
      </c>
      <c r="AO3325" s="21">
        <f t="shared" si="164"/>
        <v>0</v>
      </c>
      <c r="AP3325" s="7">
        <f t="shared" si="163"/>
        <v>14.45</v>
      </c>
      <c r="AQ3325" s="31" t="str">
        <f t="shared" si="165"/>
        <v>Complete - No Adjustment</v>
      </c>
    </row>
    <row r="3326" spans="1:43" x14ac:dyDescent="0.2">
      <c r="A3326" s="46">
        <v>3316</v>
      </c>
      <c r="B3326" s="38" t="s">
        <v>266</v>
      </c>
      <c r="C3326" s="38" t="s">
        <v>336</v>
      </c>
      <c r="D3326" s="38" t="s">
        <v>335</v>
      </c>
      <c r="E3326" s="38" t="s">
        <v>7566</v>
      </c>
      <c r="F3326" s="38" t="s">
        <v>7567</v>
      </c>
      <c r="G3326" s="38" t="s">
        <v>111</v>
      </c>
      <c r="H3326" s="44">
        <v>44272</v>
      </c>
      <c r="I3326" s="44">
        <v>44279</v>
      </c>
      <c r="J3326">
        <v>45.88</v>
      </c>
      <c r="K3326">
        <v>2.99</v>
      </c>
      <c r="L3326" t="s">
        <v>7568</v>
      </c>
      <c r="M3326" s="45" t="s">
        <v>98</v>
      </c>
      <c r="N3326" s="38" t="s">
        <v>230</v>
      </c>
      <c r="O3326" s="38" t="s">
        <v>271</v>
      </c>
      <c r="P3326" s="38" t="s">
        <v>60</v>
      </c>
      <c r="Q3326" s="38" t="s">
        <v>65</v>
      </c>
      <c r="R3326" s="38" t="s">
        <v>270</v>
      </c>
      <c r="S3326" s="38" t="s">
        <v>7569</v>
      </c>
      <c r="T3326" s="38" t="s">
        <v>6405</v>
      </c>
      <c r="U3326" s="38"/>
      <c r="V3326" s="38"/>
      <c r="W3326" s="38"/>
      <c r="X3326" s="7"/>
      <c r="Y3326" s="57"/>
      <c r="Z3326" s="7"/>
      <c r="AA3326" s="57"/>
      <c r="AB3326" s="7"/>
      <c r="AC3326" s="57"/>
      <c r="AD3326" s="7"/>
      <c r="AE3326" s="57"/>
      <c r="AF3326" s="7"/>
      <c r="AG3326" s="57"/>
      <c r="AH3326" s="7"/>
      <c r="AI3326" s="57"/>
      <c r="AJ3326" s="7"/>
      <c r="AK3326" s="57"/>
      <c r="AL3326" s="7"/>
      <c r="AN3326" s="7" t="s">
        <v>70</v>
      </c>
      <c r="AO3326" s="21">
        <f t="shared" si="164"/>
        <v>0</v>
      </c>
      <c r="AP3326" s="7">
        <f t="shared" si="163"/>
        <v>2.99</v>
      </c>
      <c r="AQ3326" s="31" t="str">
        <f t="shared" si="165"/>
        <v>Complete - No Adjustment</v>
      </c>
    </row>
    <row r="3327" spans="1:43" x14ac:dyDescent="0.2">
      <c r="A3327" s="46">
        <v>3317</v>
      </c>
      <c r="B3327" s="38" t="s">
        <v>266</v>
      </c>
      <c r="C3327" s="38" t="s">
        <v>336</v>
      </c>
      <c r="D3327" s="38" t="s">
        <v>335</v>
      </c>
      <c r="E3327" s="38" t="s">
        <v>7566</v>
      </c>
      <c r="F3327" s="38" t="s">
        <v>7567</v>
      </c>
      <c r="G3327" s="38" t="s">
        <v>111</v>
      </c>
      <c r="H3327" s="44">
        <v>44272</v>
      </c>
      <c r="I3327" s="44">
        <v>44279</v>
      </c>
      <c r="J3327">
        <v>45.88</v>
      </c>
      <c r="K3327">
        <v>2.99</v>
      </c>
      <c r="L3327" t="s">
        <v>7568</v>
      </c>
      <c r="M3327" s="45" t="s">
        <v>98</v>
      </c>
      <c r="N3327" s="38" t="s">
        <v>230</v>
      </c>
      <c r="O3327" s="38" t="s">
        <v>271</v>
      </c>
      <c r="P3327" s="38" t="s">
        <v>60</v>
      </c>
      <c r="Q3327" s="38" t="s">
        <v>65</v>
      </c>
      <c r="R3327" s="38" t="s">
        <v>270</v>
      </c>
      <c r="S3327" s="38" t="s">
        <v>7569</v>
      </c>
      <c r="T3327" s="38" t="s">
        <v>6405</v>
      </c>
      <c r="U3327" s="38"/>
      <c r="V3327" s="38"/>
      <c r="W3327" s="38"/>
      <c r="X3327" s="7"/>
      <c r="Y3327" s="57"/>
      <c r="Z3327" s="7"/>
      <c r="AA3327" s="57"/>
      <c r="AB3327" s="7"/>
      <c r="AC3327" s="57"/>
      <c r="AD3327" s="7"/>
      <c r="AE3327" s="57"/>
      <c r="AF3327" s="7"/>
      <c r="AG3327" s="57"/>
      <c r="AH3327" s="7"/>
      <c r="AI3327" s="57"/>
      <c r="AJ3327" s="7"/>
      <c r="AK3327" s="57"/>
      <c r="AL3327" s="7"/>
      <c r="AN3327" s="7" t="s">
        <v>70</v>
      </c>
      <c r="AO3327" s="21">
        <f t="shared" si="164"/>
        <v>0</v>
      </c>
      <c r="AP3327" s="7">
        <f t="shared" si="163"/>
        <v>2.99</v>
      </c>
      <c r="AQ3327" s="31" t="str">
        <f t="shared" si="165"/>
        <v>Complete - No Adjustment</v>
      </c>
    </row>
    <row r="3328" spans="1:43" x14ac:dyDescent="0.2">
      <c r="A3328" s="46">
        <v>3318</v>
      </c>
      <c r="B3328" s="38" t="s">
        <v>266</v>
      </c>
      <c r="C3328" s="38" t="s">
        <v>336</v>
      </c>
      <c r="D3328" s="38" t="s">
        <v>335</v>
      </c>
      <c r="E3328" s="38" t="s">
        <v>7566</v>
      </c>
      <c r="F3328" s="38" t="s">
        <v>7567</v>
      </c>
      <c r="G3328" s="38" t="s">
        <v>111</v>
      </c>
      <c r="H3328" s="44">
        <v>44272</v>
      </c>
      <c r="I3328" s="44">
        <v>44279</v>
      </c>
      <c r="J3328">
        <v>45.88</v>
      </c>
      <c r="K3328">
        <v>2.99</v>
      </c>
      <c r="L3328" t="s">
        <v>7568</v>
      </c>
      <c r="M3328" s="45" t="s">
        <v>98</v>
      </c>
      <c r="N3328" s="38" t="s">
        <v>230</v>
      </c>
      <c r="O3328" s="38" t="s">
        <v>271</v>
      </c>
      <c r="P3328" s="38" t="s">
        <v>60</v>
      </c>
      <c r="Q3328" s="38" t="s">
        <v>65</v>
      </c>
      <c r="R3328" s="38" t="s">
        <v>270</v>
      </c>
      <c r="S3328" s="38" t="s">
        <v>7569</v>
      </c>
      <c r="T3328" s="38" t="s">
        <v>6405</v>
      </c>
      <c r="U3328" s="38"/>
      <c r="V3328" s="38"/>
      <c r="W3328" s="38"/>
      <c r="X3328" s="7"/>
      <c r="Y3328" s="57"/>
      <c r="Z3328" s="7"/>
      <c r="AA3328" s="57"/>
      <c r="AB3328" s="7"/>
      <c r="AC3328" s="57"/>
      <c r="AD3328" s="7"/>
      <c r="AE3328" s="57"/>
      <c r="AF3328" s="7"/>
      <c r="AG3328" s="57"/>
      <c r="AH3328" s="7"/>
      <c r="AI3328" s="57"/>
      <c r="AJ3328" s="7"/>
      <c r="AK3328" s="57"/>
      <c r="AL3328" s="7"/>
      <c r="AN3328" s="7" t="s">
        <v>70</v>
      </c>
      <c r="AO3328" s="21">
        <f t="shared" si="164"/>
        <v>0</v>
      </c>
      <c r="AP3328" s="7">
        <f t="shared" ref="AP3328:AP3391" si="166">K3328-AO3328</f>
        <v>2.99</v>
      </c>
      <c r="AQ3328" s="31" t="str">
        <f t="shared" si="165"/>
        <v>Complete - No Adjustment</v>
      </c>
    </row>
    <row r="3329" spans="1:43" x14ac:dyDescent="0.2">
      <c r="A3329" s="46">
        <v>3319</v>
      </c>
      <c r="B3329" s="38" t="s">
        <v>266</v>
      </c>
      <c r="C3329" s="38" t="s">
        <v>352</v>
      </c>
      <c r="D3329" s="38" t="s">
        <v>351</v>
      </c>
      <c r="E3329" s="38" t="s">
        <v>7572</v>
      </c>
      <c r="F3329" s="38" t="s">
        <v>7535</v>
      </c>
      <c r="G3329" s="38" t="s">
        <v>111</v>
      </c>
      <c r="H3329" s="44">
        <v>44271</v>
      </c>
      <c r="I3329" s="44">
        <v>44273</v>
      </c>
      <c r="J3329">
        <v>13.1</v>
      </c>
      <c r="K3329">
        <v>13.1</v>
      </c>
      <c r="L3329" t="s">
        <v>7573</v>
      </c>
      <c r="M3329" s="45" t="s">
        <v>98</v>
      </c>
      <c r="N3329" s="38" t="s">
        <v>230</v>
      </c>
      <c r="O3329" s="38" t="s">
        <v>271</v>
      </c>
      <c r="P3329" s="38" t="s">
        <v>60</v>
      </c>
      <c r="Q3329" s="38" t="s">
        <v>41</v>
      </c>
      <c r="R3329" s="38" t="s">
        <v>270</v>
      </c>
      <c r="S3329" s="38" t="s">
        <v>7574</v>
      </c>
      <c r="T3329" s="38" t="s">
        <v>7575</v>
      </c>
      <c r="U3329" s="38"/>
      <c r="V3329" s="38"/>
      <c r="W3329" s="38"/>
      <c r="X3329" s="7"/>
      <c r="Y3329" s="57"/>
      <c r="Z3329" s="7"/>
      <c r="AA3329" s="57"/>
      <c r="AB3329" s="7"/>
      <c r="AC3329" s="57"/>
      <c r="AD3329" s="7"/>
      <c r="AE3329" s="57"/>
      <c r="AF3329" s="7"/>
      <c r="AG3329" s="57"/>
      <c r="AH3329" s="7"/>
      <c r="AI3329" s="57">
        <f>13.1</f>
        <v>13.1</v>
      </c>
      <c r="AJ3329" s="7"/>
      <c r="AK3329" s="57"/>
      <c r="AL3329" s="7"/>
      <c r="AN3329" s="7" t="s">
        <v>145</v>
      </c>
      <c r="AO3329" s="21">
        <f t="shared" si="164"/>
        <v>13.1</v>
      </c>
      <c r="AP3329" s="7">
        <f t="shared" si="166"/>
        <v>0</v>
      </c>
      <c r="AQ3329" s="31" t="str">
        <f t="shared" si="165"/>
        <v>Complete - With Adjustment</v>
      </c>
    </row>
    <row r="3330" spans="1:43" x14ac:dyDescent="0.2">
      <c r="A3330" s="46">
        <v>3320</v>
      </c>
      <c r="B3330" s="38" t="s">
        <v>266</v>
      </c>
      <c r="C3330" s="38" t="s">
        <v>746</v>
      </c>
      <c r="D3330" s="38" t="s">
        <v>745</v>
      </c>
      <c r="E3330" s="38" t="s">
        <v>7576</v>
      </c>
      <c r="F3330" s="38" t="s">
        <v>7562</v>
      </c>
      <c r="G3330" s="38" t="s">
        <v>111</v>
      </c>
      <c r="H3330" s="44">
        <v>44218</v>
      </c>
      <c r="I3330" s="44">
        <v>44277</v>
      </c>
      <c r="J3330">
        <v>119.06</v>
      </c>
      <c r="K3330">
        <v>119.06</v>
      </c>
      <c r="L3330" t="s">
        <v>7577</v>
      </c>
      <c r="M3330" s="45" t="s">
        <v>97</v>
      </c>
      <c r="N3330" s="38" t="s">
        <v>230</v>
      </c>
      <c r="O3330" s="38" t="s">
        <v>50</v>
      </c>
      <c r="P3330" s="38" t="s">
        <v>51</v>
      </c>
      <c r="Q3330" s="38" t="s">
        <v>57</v>
      </c>
      <c r="R3330" s="38" t="s">
        <v>270</v>
      </c>
      <c r="S3330" s="38" t="s">
        <v>7578</v>
      </c>
      <c r="T3330" s="38" t="s">
        <v>7579</v>
      </c>
      <c r="U3330" s="38" t="s">
        <v>7580</v>
      </c>
      <c r="V3330" s="38" t="s">
        <v>112</v>
      </c>
      <c r="W3330" s="38" t="s">
        <v>58</v>
      </c>
      <c r="X3330" s="7"/>
      <c r="Y3330" s="57"/>
      <c r="Z3330" s="7"/>
      <c r="AA3330" s="57"/>
      <c r="AB3330" s="7"/>
      <c r="AC3330" s="57"/>
      <c r="AD3330" s="7"/>
      <c r="AE3330" s="57"/>
      <c r="AF3330" s="7"/>
      <c r="AG3330" s="57"/>
      <c r="AH3330" s="7"/>
      <c r="AI3330" s="57"/>
      <c r="AJ3330" s="7"/>
      <c r="AK3330" s="57"/>
      <c r="AL3330" s="7"/>
      <c r="AN3330" s="7" t="s">
        <v>70</v>
      </c>
      <c r="AO3330" s="21">
        <f t="shared" si="164"/>
        <v>0</v>
      </c>
      <c r="AP3330" s="7">
        <f t="shared" si="166"/>
        <v>119.06</v>
      </c>
      <c r="AQ3330" s="31" t="str">
        <f t="shared" si="165"/>
        <v>Complete - No Adjustment</v>
      </c>
    </row>
    <row r="3331" spans="1:43" x14ac:dyDescent="0.2">
      <c r="A3331" s="46">
        <v>3321</v>
      </c>
      <c r="B3331" s="38" t="s">
        <v>266</v>
      </c>
      <c r="C3331" s="38" t="s">
        <v>526</v>
      </c>
      <c r="D3331" s="38" t="s">
        <v>525</v>
      </c>
      <c r="E3331" s="38" t="s">
        <v>7581</v>
      </c>
      <c r="F3331" s="38" t="s">
        <v>7582</v>
      </c>
      <c r="G3331" s="38" t="s">
        <v>111</v>
      </c>
      <c r="H3331" s="44">
        <v>44230</v>
      </c>
      <c r="I3331" s="44">
        <v>44270</v>
      </c>
      <c r="J3331">
        <v>123.89</v>
      </c>
      <c r="K3331">
        <v>7.95</v>
      </c>
      <c r="L3331" t="s">
        <v>7583</v>
      </c>
      <c r="M3331" s="45" t="s">
        <v>98</v>
      </c>
      <c r="N3331" s="38" t="s">
        <v>230</v>
      </c>
      <c r="O3331" s="38" t="s">
        <v>277</v>
      </c>
      <c r="P3331" s="38" t="s">
        <v>60</v>
      </c>
      <c r="Q3331" s="38" t="s">
        <v>74</v>
      </c>
      <c r="R3331" s="38" t="s">
        <v>270</v>
      </c>
      <c r="S3331" s="38" t="s">
        <v>7584</v>
      </c>
      <c r="T3331" s="38" t="s">
        <v>7585</v>
      </c>
      <c r="U3331" s="38"/>
      <c r="V3331" s="38"/>
      <c r="W3331" s="38"/>
      <c r="X3331" s="7"/>
      <c r="Y3331" s="57"/>
      <c r="Z3331" s="7"/>
      <c r="AA3331" s="57"/>
      <c r="AB3331" s="7"/>
      <c r="AC3331" s="57"/>
      <c r="AD3331" s="7"/>
      <c r="AE3331" s="57"/>
      <c r="AF3331" s="7"/>
      <c r="AG3331" s="57"/>
      <c r="AH3331" s="7"/>
      <c r="AI3331" s="57"/>
      <c r="AJ3331" s="7"/>
      <c r="AK3331" s="57"/>
      <c r="AL3331" s="7"/>
      <c r="AN3331" s="7" t="s">
        <v>70</v>
      </c>
      <c r="AO3331" s="21">
        <f t="shared" si="164"/>
        <v>0</v>
      </c>
      <c r="AP3331" s="7">
        <f t="shared" si="166"/>
        <v>7.95</v>
      </c>
      <c r="AQ3331" s="31" t="str">
        <f t="shared" si="165"/>
        <v>Complete - No Adjustment</v>
      </c>
    </row>
    <row r="3332" spans="1:43" x14ac:dyDescent="0.2">
      <c r="A3332" s="46">
        <v>3322</v>
      </c>
      <c r="B3332" s="38" t="s">
        <v>266</v>
      </c>
      <c r="C3332" s="38" t="s">
        <v>526</v>
      </c>
      <c r="D3332" s="38" t="s">
        <v>525</v>
      </c>
      <c r="E3332" s="38" t="s">
        <v>7581</v>
      </c>
      <c r="F3332" s="38" t="s">
        <v>7582</v>
      </c>
      <c r="G3332" s="38" t="s">
        <v>111</v>
      </c>
      <c r="H3332" s="44">
        <v>44230</v>
      </c>
      <c r="I3332" s="44">
        <v>44270</v>
      </c>
      <c r="J3332">
        <v>123.89</v>
      </c>
      <c r="K3332">
        <v>56.3</v>
      </c>
      <c r="L3332" t="s">
        <v>7583</v>
      </c>
      <c r="M3332" s="45" t="s">
        <v>98</v>
      </c>
      <c r="N3332" s="38" t="s">
        <v>230</v>
      </c>
      <c r="O3332" s="38" t="s">
        <v>277</v>
      </c>
      <c r="P3332" s="38" t="s">
        <v>60</v>
      </c>
      <c r="Q3332" s="38" t="s">
        <v>46</v>
      </c>
      <c r="R3332" s="38" t="s">
        <v>270</v>
      </c>
      <c r="S3332" s="38" t="s">
        <v>7584</v>
      </c>
      <c r="T3332" s="38" t="s">
        <v>7586</v>
      </c>
      <c r="U3332" s="38"/>
      <c r="V3332" s="38"/>
      <c r="W3332" s="38"/>
      <c r="X3332" s="7"/>
      <c r="Y3332" s="57"/>
      <c r="Z3332" s="7"/>
      <c r="AA3332" s="57"/>
      <c r="AB3332" s="7"/>
      <c r="AC3332" s="57"/>
      <c r="AD3332" s="7"/>
      <c r="AE3332" s="57"/>
      <c r="AF3332" s="7"/>
      <c r="AG3332" s="57"/>
      <c r="AH3332" s="7"/>
      <c r="AI3332" s="57">
        <f>56.3</f>
        <v>56.3</v>
      </c>
      <c r="AJ3332" s="7"/>
      <c r="AK3332" s="57"/>
      <c r="AL3332" s="7"/>
      <c r="AN3332" s="7" t="s">
        <v>145</v>
      </c>
      <c r="AO3332" s="21">
        <f t="shared" si="164"/>
        <v>56.3</v>
      </c>
      <c r="AP3332" s="7">
        <f t="shared" si="166"/>
        <v>0</v>
      </c>
      <c r="AQ3332" s="31" t="str">
        <f t="shared" si="165"/>
        <v>Complete - With Adjustment</v>
      </c>
    </row>
    <row r="3333" spans="1:43" x14ac:dyDescent="0.2">
      <c r="A3333" s="46">
        <v>3323</v>
      </c>
      <c r="B3333" s="38" t="s">
        <v>266</v>
      </c>
      <c r="C3333" s="38" t="s">
        <v>526</v>
      </c>
      <c r="D3333" s="38" t="s">
        <v>525</v>
      </c>
      <c r="E3333" s="38" t="s">
        <v>7581</v>
      </c>
      <c r="F3333" s="38" t="s">
        <v>7582</v>
      </c>
      <c r="G3333" s="38" t="s">
        <v>111</v>
      </c>
      <c r="H3333" s="44">
        <v>44230</v>
      </c>
      <c r="I3333" s="44">
        <v>44270</v>
      </c>
      <c r="J3333">
        <v>123.89</v>
      </c>
      <c r="K3333">
        <v>7.95</v>
      </c>
      <c r="L3333" t="s">
        <v>7583</v>
      </c>
      <c r="M3333" s="45" t="s">
        <v>98</v>
      </c>
      <c r="N3333" s="38" t="s">
        <v>230</v>
      </c>
      <c r="O3333" s="38" t="s">
        <v>277</v>
      </c>
      <c r="P3333" s="38" t="s">
        <v>60</v>
      </c>
      <c r="Q3333" s="38" t="s">
        <v>74</v>
      </c>
      <c r="R3333" s="38" t="s">
        <v>270</v>
      </c>
      <c r="S3333" s="38" t="s">
        <v>7584</v>
      </c>
      <c r="T3333" s="38" t="s">
        <v>7585</v>
      </c>
      <c r="U3333" s="38"/>
      <c r="V3333" s="38"/>
      <c r="W3333" s="38"/>
      <c r="X3333" s="7"/>
      <c r="Y3333" s="57"/>
      <c r="Z3333" s="7"/>
      <c r="AA3333" s="57"/>
      <c r="AB3333" s="7"/>
      <c r="AC3333" s="57"/>
      <c r="AD3333" s="7"/>
      <c r="AE3333" s="57"/>
      <c r="AF3333" s="7"/>
      <c r="AG3333" s="57"/>
      <c r="AH3333" s="7"/>
      <c r="AI3333" s="57"/>
      <c r="AJ3333" s="7"/>
      <c r="AK3333" s="57"/>
      <c r="AL3333" s="7"/>
      <c r="AN3333" s="7" t="s">
        <v>70</v>
      </c>
      <c r="AO3333" s="21">
        <f t="shared" si="164"/>
        <v>0</v>
      </c>
      <c r="AP3333" s="7">
        <f t="shared" si="166"/>
        <v>7.95</v>
      </c>
      <c r="AQ3333" s="31" t="str">
        <f t="shared" si="165"/>
        <v>Complete - No Adjustment</v>
      </c>
    </row>
    <row r="3334" spans="1:43" x14ac:dyDescent="0.2">
      <c r="A3334" s="46">
        <v>3324</v>
      </c>
      <c r="B3334" s="38" t="s">
        <v>266</v>
      </c>
      <c r="C3334" s="38" t="s">
        <v>526</v>
      </c>
      <c r="D3334" s="38" t="s">
        <v>525</v>
      </c>
      <c r="E3334" s="38" t="s">
        <v>7581</v>
      </c>
      <c r="F3334" s="38" t="s">
        <v>7582</v>
      </c>
      <c r="G3334" s="38" t="s">
        <v>111</v>
      </c>
      <c r="H3334" s="44">
        <v>44230</v>
      </c>
      <c r="I3334" s="44">
        <v>44270</v>
      </c>
      <c r="J3334">
        <v>123.89</v>
      </c>
      <c r="K3334">
        <v>51.69</v>
      </c>
      <c r="L3334" t="s">
        <v>7583</v>
      </c>
      <c r="M3334" s="45" t="s">
        <v>98</v>
      </c>
      <c r="N3334" s="38" t="s">
        <v>230</v>
      </c>
      <c r="O3334" s="38" t="s">
        <v>277</v>
      </c>
      <c r="P3334" s="38" t="s">
        <v>60</v>
      </c>
      <c r="Q3334" s="38" t="s">
        <v>62</v>
      </c>
      <c r="R3334" s="38" t="s">
        <v>270</v>
      </c>
      <c r="S3334" s="38" t="s">
        <v>7584</v>
      </c>
      <c r="T3334" s="38" t="s">
        <v>7587</v>
      </c>
      <c r="U3334" s="38"/>
      <c r="V3334" s="38"/>
      <c r="W3334" s="38"/>
      <c r="X3334" s="7"/>
      <c r="Y3334" s="57"/>
      <c r="Z3334" s="7"/>
      <c r="AA3334" s="57"/>
      <c r="AB3334" s="7"/>
      <c r="AC3334" s="57"/>
      <c r="AD3334" s="7"/>
      <c r="AE3334" s="57"/>
      <c r="AF3334" s="7"/>
      <c r="AG3334" s="57"/>
      <c r="AH3334" s="7"/>
      <c r="AI3334" s="57"/>
      <c r="AJ3334" s="7"/>
      <c r="AK3334" s="57"/>
      <c r="AL3334" s="7"/>
      <c r="AN3334" s="7" t="s">
        <v>155</v>
      </c>
      <c r="AO3334" s="21">
        <f t="shared" si="164"/>
        <v>0</v>
      </c>
      <c r="AP3334" s="7">
        <f t="shared" si="166"/>
        <v>51.69</v>
      </c>
      <c r="AQ3334" s="31" t="str">
        <f t="shared" si="165"/>
        <v>Complete - No Adjustment</v>
      </c>
    </row>
    <row r="3335" spans="1:43" x14ac:dyDescent="0.2">
      <c r="A3335" s="46">
        <v>3325</v>
      </c>
      <c r="B3335" s="38" t="s">
        <v>266</v>
      </c>
      <c r="C3335" s="38" t="s">
        <v>528</v>
      </c>
      <c r="D3335" s="38" t="s">
        <v>527</v>
      </c>
      <c r="E3335" s="38" t="s">
        <v>7588</v>
      </c>
      <c r="F3335" s="38" t="s">
        <v>7589</v>
      </c>
      <c r="G3335" s="38" t="s">
        <v>111</v>
      </c>
      <c r="H3335" s="44">
        <v>44278</v>
      </c>
      <c r="I3335" s="44">
        <v>44280</v>
      </c>
      <c r="J3335">
        <v>279</v>
      </c>
      <c r="K3335">
        <v>279</v>
      </c>
      <c r="L3335" t="s">
        <v>7590</v>
      </c>
      <c r="M3335" s="45" t="s">
        <v>98</v>
      </c>
      <c r="N3335" s="38" t="s">
        <v>230</v>
      </c>
      <c r="O3335" s="38" t="s">
        <v>292</v>
      </c>
      <c r="P3335" s="38" t="s">
        <v>60</v>
      </c>
      <c r="Q3335" s="38" t="s">
        <v>56</v>
      </c>
      <c r="R3335" s="38" t="s">
        <v>270</v>
      </c>
      <c r="S3335" s="38" t="s">
        <v>7591</v>
      </c>
      <c r="T3335" s="38" t="s">
        <v>7592</v>
      </c>
      <c r="U3335" s="38"/>
      <c r="V3335" s="38"/>
      <c r="W3335" s="38"/>
      <c r="X3335" s="7"/>
      <c r="Y3335" s="57"/>
      <c r="Z3335" s="7"/>
      <c r="AA3335" s="57"/>
      <c r="AB3335" s="7"/>
      <c r="AC3335" s="57"/>
      <c r="AD3335" s="7"/>
      <c r="AE3335" s="57"/>
      <c r="AF3335" s="7"/>
      <c r="AG3335" s="57"/>
      <c r="AH3335" s="7"/>
      <c r="AI3335" s="57"/>
      <c r="AJ3335" s="7"/>
      <c r="AK3335" s="57"/>
      <c r="AL3335" s="7"/>
      <c r="AN3335" s="7" t="s">
        <v>70</v>
      </c>
      <c r="AO3335" s="21">
        <f t="shared" si="164"/>
        <v>0</v>
      </c>
      <c r="AP3335" s="7">
        <f t="shared" si="166"/>
        <v>279</v>
      </c>
      <c r="AQ3335" s="31" t="str">
        <f t="shared" si="165"/>
        <v>Complete - No Adjustment</v>
      </c>
    </row>
    <row r="3336" spans="1:43" x14ac:dyDescent="0.2">
      <c r="A3336" s="46">
        <v>3326</v>
      </c>
      <c r="B3336" s="38" t="s">
        <v>266</v>
      </c>
      <c r="C3336" s="38" t="s">
        <v>250</v>
      </c>
      <c r="D3336" s="38" t="s">
        <v>249</v>
      </c>
      <c r="E3336" s="38" t="s">
        <v>7593</v>
      </c>
      <c r="F3336" s="38" t="s">
        <v>7594</v>
      </c>
      <c r="G3336" s="38" t="s">
        <v>111</v>
      </c>
      <c r="H3336" s="44">
        <v>44272</v>
      </c>
      <c r="I3336" s="44">
        <v>44274</v>
      </c>
      <c r="J3336">
        <v>40.14</v>
      </c>
      <c r="K3336">
        <v>20.07</v>
      </c>
      <c r="L3336" t="s">
        <v>7595</v>
      </c>
      <c r="M3336" s="45" t="s">
        <v>98</v>
      </c>
      <c r="N3336" s="38" t="s">
        <v>230</v>
      </c>
      <c r="O3336" s="38" t="s">
        <v>326</v>
      </c>
      <c r="P3336" s="38" t="s">
        <v>60</v>
      </c>
      <c r="Q3336" s="38" t="s">
        <v>65</v>
      </c>
      <c r="R3336" s="38" t="s">
        <v>270</v>
      </c>
      <c r="S3336" s="38" t="s">
        <v>7596</v>
      </c>
      <c r="T3336" s="38" t="s">
        <v>7597</v>
      </c>
      <c r="U3336" s="38"/>
      <c r="V3336" s="38"/>
      <c r="W3336" s="38"/>
      <c r="X3336" s="7"/>
      <c r="Y3336" s="57"/>
      <c r="Z3336" s="7"/>
      <c r="AA3336" s="57"/>
      <c r="AB3336" s="7"/>
      <c r="AC3336" s="57"/>
      <c r="AD3336" s="7"/>
      <c r="AE3336" s="57"/>
      <c r="AF3336" s="7"/>
      <c r="AG3336" s="57"/>
      <c r="AH3336" s="7"/>
      <c r="AI3336" s="57"/>
      <c r="AJ3336" s="7"/>
      <c r="AK3336" s="57"/>
      <c r="AL3336" s="7"/>
      <c r="AN3336" s="7" t="s">
        <v>70</v>
      </c>
      <c r="AO3336" s="21">
        <f t="shared" ref="AO3336:AO3399" si="167">SUM(Y3336:AL3336)</f>
        <v>0</v>
      </c>
      <c r="AP3336" s="7">
        <f t="shared" si="166"/>
        <v>20.07</v>
      </c>
      <c r="AQ3336" s="31" t="str">
        <f t="shared" ref="AQ3336:AQ3399" si="168">IF(AO3336&lt;&gt;0,"Complete - With Adjustment","Complete - No Adjustment")</f>
        <v>Complete - No Adjustment</v>
      </c>
    </row>
    <row r="3337" spans="1:43" x14ac:dyDescent="0.2">
      <c r="A3337" s="46">
        <v>3327</v>
      </c>
      <c r="B3337" s="38" t="s">
        <v>266</v>
      </c>
      <c r="C3337" s="38" t="s">
        <v>371</v>
      </c>
      <c r="D3337" s="38" t="s">
        <v>370</v>
      </c>
      <c r="E3337" s="38" t="s">
        <v>7598</v>
      </c>
      <c r="F3337" s="38" t="s">
        <v>7562</v>
      </c>
      <c r="G3337" s="38" t="s">
        <v>111</v>
      </c>
      <c r="H3337" s="44">
        <v>44273</v>
      </c>
      <c r="I3337" s="44">
        <v>44277</v>
      </c>
      <c r="J3337">
        <v>110</v>
      </c>
      <c r="K3337">
        <v>110</v>
      </c>
      <c r="L3337" t="s">
        <v>7599</v>
      </c>
      <c r="M3337" s="45" t="s">
        <v>98</v>
      </c>
      <c r="N3337" s="38" t="s">
        <v>230</v>
      </c>
      <c r="O3337" s="38" t="s">
        <v>269</v>
      </c>
      <c r="P3337" s="38" t="s">
        <v>60</v>
      </c>
      <c r="Q3337" s="38" t="s">
        <v>74</v>
      </c>
      <c r="R3337" s="38" t="s">
        <v>270</v>
      </c>
      <c r="S3337" s="38" t="s">
        <v>7600</v>
      </c>
      <c r="T3337" s="38" t="s">
        <v>7601</v>
      </c>
      <c r="U3337" s="38"/>
      <c r="V3337" s="38"/>
      <c r="W3337" s="38"/>
      <c r="X3337" s="7"/>
      <c r="Y3337" s="57"/>
      <c r="Z3337" s="7"/>
      <c r="AA3337" s="57"/>
      <c r="AB3337" s="7"/>
      <c r="AC3337" s="57"/>
      <c r="AD3337" s="7"/>
      <c r="AE3337" s="57"/>
      <c r="AF3337" s="7"/>
      <c r="AG3337" s="57"/>
      <c r="AH3337" s="7"/>
      <c r="AI3337" s="57"/>
      <c r="AJ3337" s="7"/>
      <c r="AK3337" s="57"/>
      <c r="AL3337" s="7"/>
      <c r="AN3337" s="7" t="s">
        <v>70</v>
      </c>
      <c r="AO3337" s="21">
        <f t="shared" si="167"/>
        <v>0</v>
      </c>
      <c r="AP3337" s="7">
        <f t="shared" si="166"/>
        <v>110</v>
      </c>
      <c r="AQ3337" s="31" t="str">
        <f t="shared" si="168"/>
        <v>Complete - No Adjustment</v>
      </c>
    </row>
    <row r="3338" spans="1:43" x14ac:dyDescent="0.2">
      <c r="A3338" s="46">
        <v>3328</v>
      </c>
      <c r="B3338" s="38" t="s">
        <v>266</v>
      </c>
      <c r="C3338" s="38" t="s">
        <v>371</v>
      </c>
      <c r="D3338" s="38" t="s">
        <v>370</v>
      </c>
      <c r="E3338" s="38" t="s">
        <v>7602</v>
      </c>
      <c r="F3338" s="38" t="s">
        <v>7535</v>
      </c>
      <c r="G3338" s="38" t="s">
        <v>111</v>
      </c>
      <c r="H3338" s="44">
        <v>44237</v>
      </c>
      <c r="I3338" s="44">
        <v>44273</v>
      </c>
      <c r="J3338">
        <v>234.05</v>
      </c>
      <c r="K3338">
        <v>14.05</v>
      </c>
      <c r="L3338" t="s">
        <v>7603</v>
      </c>
      <c r="M3338" s="45" t="s">
        <v>98</v>
      </c>
      <c r="N3338" s="38" t="s">
        <v>230</v>
      </c>
      <c r="O3338" s="38" t="s">
        <v>269</v>
      </c>
      <c r="P3338" s="38" t="s">
        <v>60</v>
      </c>
      <c r="Q3338" s="38" t="s">
        <v>41</v>
      </c>
      <c r="R3338" s="38" t="s">
        <v>270</v>
      </c>
      <c r="S3338" s="38" t="s">
        <v>7604</v>
      </c>
      <c r="T3338" s="38" t="s">
        <v>7605</v>
      </c>
      <c r="U3338" s="38"/>
      <c r="V3338" s="38"/>
      <c r="W3338" s="38"/>
      <c r="X3338" s="7"/>
      <c r="Y3338" s="57"/>
      <c r="Z3338" s="7"/>
      <c r="AA3338" s="57"/>
      <c r="AB3338" s="7"/>
      <c r="AC3338" s="57"/>
      <c r="AD3338" s="7"/>
      <c r="AE3338" s="57"/>
      <c r="AF3338" s="7"/>
      <c r="AG3338" s="57"/>
      <c r="AH3338" s="7"/>
      <c r="AI3338" s="57"/>
      <c r="AJ3338" s="7"/>
      <c r="AK3338" s="57"/>
      <c r="AL3338" s="7"/>
      <c r="AN3338" s="7" t="s">
        <v>70</v>
      </c>
      <c r="AO3338" s="21">
        <f t="shared" si="167"/>
        <v>0</v>
      </c>
      <c r="AP3338" s="7">
        <f t="shared" si="166"/>
        <v>14.05</v>
      </c>
      <c r="AQ3338" s="31" t="str">
        <f t="shared" si="168"/>
        <v>Complete - No Adjustment</v>
      </c>
    </row>
    <row r="3339" spans="1:43" x14ac:dyDescent="0.2">
      <c r="A3339" s="46">
        <v>3329</v>
      </c>
      <c r="B3339" s="38" t="s">
        <v>266</v>
      </c>
      <c r="C3339" s="38" t="s">
        <v>371</v>
      </c>
      <c r="D3339" s="38" t="s">
        <v>370</v>
      </c>
      <c r="E3339" s="38" t="s">
        <v>7602</v>
      </c>
      <c r="F3339" s="38" t="s">
        <v>7535</v>
      </c>
      <c r="G3339" s="38" t="s">
        <v>111</v>
      </c>
      <c r="H3339" s="44">
        <v>44237</v>
      </c>
      <c r="I3339" s="44">
        <v>44273</v>
      </c>
      <c r="J3339">
        <v>234.05</v>
      </c>
      <c r="K3339">
        <v>220</v>
      </c>
      <c r="L3339" t="s">
        <v>7603</v>
      </c>
      <c r="M3339" s="45" t="s">
        <v>98</v>
      </c>
      <c r="N3339" s="38" t="s">
        <v>230</v>
      </c>
      <c r="O3339" s="38" t="s">
        <v>269</v>
      </c>
      <c r="P3339" s="38" t="s">
        <v>60</v>
      </c>
      <c r="Q3339" s="38" t="s">
        <v>74</v>
      </c>
      <c r="R3339" s="38" t="s">
        <v>270</v>
      </c>
      <c r="S3339" s="38" t="s">
        <v>7604</v>
      </c>
      <c r="T3339" s="38" t="s">
        <v>7606</v>
      </c>
      <c r="U3339" s="38"/>
      <c r="V3339" s="38"/>
      <c r="W3339" s="38"/>
      <c r="X3339" s="7"/>
      <c r="Y3339" s="57"/>
      <c r="Z3339" s="7"/>
      <c r="AA3339" s="57"/>
      <c r="AB3339" s="7"/>
      <c r="AC3339" s="57"/>
      <c r="AD3339" s="7"/>
      <c r="AE3339" s="57"/>
      <c r="AF3339" s="7"/>
      <c r="AG3339" s="57"/>
      <c r="AH3339" s="7"/>
      <c r="AI3339" s="57"/>
      <c r="AJ3339" s="7"/>
      <c r="AK3339" s="57"/>
      <c r="AL3339" s="7"/>
      <c r="AN3339" s="7" t="s">
        <v>70</v>
      </c>
      <c r="AO3339" s="21">
        <f t="shared" si="167"/>
        <v>0</v>
      </c>
      <c r="AP3339" s="7">
        <f t="shared" si="166"/>
        <v>220</v>
      </c>
      <c r="AQ3339" s="31" t="str">
        <f t="shared" si="168"/>
        <v>Complete - No Adjustment</v>
      </c>
    </row>
    <row r="3340" spans="1:43" x14ac:dyDescent="0.2">
      <c r="A3340" s="46">
        <v>3330</v>
      </c>
      <c r="B3340" s="38" t="s">
        <v>266</v>
      </c>
      <c r="C3340" s="38" t="s">
        <v>650</v>
      </c>
      <c r="D3340" s="38" t="s">
        <v>649</v>
      </c>
      <c r="E3340" s="38" t="s">
        <v>7607</v>
      </c>
      <c r="F3340" s="38" t="s">
        <v>7582</v>
      </c>
      <c r="G3340" s="38" t="s">
        <v>111</v>
      </c>
      <c r="H3340" s="44">
        <v>44258</v>
      </c>
      <c r="I3340" s="44">
        <v>44270</v>
      </c>
      <c r="J3340">
        <v>30.13</v>
      </c>
      <c r="K3340">
        <v>19.21</v>
      </c>
      <c r="L3340" t="s">
        <v>7608</v>
      </c>
      <c r="M3340" s="45" t="s">
        <v>98</v>
      </c>
      <c r="N3340" s="38" t="s">
        <v>230</v>
      </c>
      <c r="O3340" s="38" t="s">
        <v>317</v>
      </c>
      <c r="P3340" s="38" t="s">
        <v>60</v>
      </c>
      <c r="Q3340" s="38" t="s">
        <v>41</v>
      </c>
      <c r="R3340" s="38" t="s">
        <v>270</v>
      </c>
      <c r="S3340" s="38" t="s">
        <v>7609</v>
      </c>
      <c r="T3340" s="38" t="s">
        <v>7610</v>
      </c>
      <c r="U3340" s="38"/>
      <c r="V3340" s="38"/>
      <c r="W3340" s="38"/>
      <c r="X3340" s="7"/>
      <c r="Y3340" s="57"/>
      <c r="Z3340" s="7"/>
      <c r="AA3340" s="57"/>
      <c r="AB3340" s="7"/>
      <c r="AC3340" s="57"/>
      <c r="AD3340" s="7"/>
      <c r="AE3340" s="57"/>
      <c r="AF3340" s="7"/>
      <c r="AG3340" s="57"/>
      <c r="AH3340" s="7"/>
      <c r="AI3340" s="57"/>
      <c r="AJ3340" s="7"/>
      <c r="AK3340" s="57"/>
      <c r="AL3340" s="7"/>
      <c r="AN3340" s="7" t="s">
        <v>70</v>
      </c>
      <c r="AO3340" s="21">
        <f t="shared" si="167"/>
        <v>0</v>
      </c>
      <c r="AP3340" s="7">
        <f t="shared" si="166"/>
        <v>19.21</v>
      </c>
      <c r="AQ3340" s="31" t="str">
        <f t="shared" si="168"/>
        <v>Complete - No Adjustment</v>
      </c>
    </row>
    <row r="3341" spans="1:43" x14ac:dyDescent="0.2">
      <c r="A3341" s="46">
        <v>3331</v>
      </c>
      <c r="B3341" s="38" t="s">
        <v>266</v>
      </c>
      <c r="C3341" s="38" t="s">
        <v>650</v>
      </c>
      <c r="D3341" s="38" t="s">
        <v>649</v>
      </c>
      <c r="E3341" s="38" t="s">
        <v>7607</v>
      </c>
      <c r="F3341" s="38" t="s">
        <v>7582</v>
      </c>
      <c r="G3341" s="38" t="s">
        <v>111</v>
      </c>
      <c r="H3341" s="44">
        <v>44258</v>
      </c>
      <c r="I3341" s="44">
        <v>44270</v>
      </c>
      <c r="J3341">
        <v>30.13</v>
      </c>
      <c r="K3341">
        <v>10.92</v>
      </c>
      <c r="L3341" t="s">
        <v>7608</v>
      </c>
      <c r="M3341" s="45" t="s">
        <v>98</v>
      </c>
      <c r="N3341" s="38" t="s">
        <v>230</v>
      </c>
      <c r="O3341" s="38" t="s">
        <v>317</v>
      </c>
      <c r="P3341" s="38" t="s">
        <v>60</v>
      </c>
      <c r="Q3341" s="38" t="s">
        <v>41</v>
      </c>
      <c r="R3341" s="38" t="s">
        <v>270</v>
      </c>
      <c r="S3341" s="38" t="s">
        <v>7609</v>
      </c>
      <c r="T3341" s="38" t="s">
        <v>3895</v>
      </c>
      <c r="U3341" s="38"/>
      <c r="V3341" s="38"/>
      <c r="W3341" s="38"/>
      <c r="X3341" s="7"/>
      <c r="Y3341" s="57"/>
      <c r="Z3341" s="7"/>
      <c r="AA3341" s="57"/>
      <c r="AB3341" s="7"/>
      <c r="AC3341" s="57"/>
      <c r="AD3341" s="7"/>
      <c r="AE3341" s="57"/>
      <c r="AF3341" s="7"/>
      <c r="AG3341" s="57"/>
      <c r="AH3341" s="7"/>
      <c r="AI3341" s="57"/>
      <c r="AJ3341" s="7"/>
      <c r="AK3341" s="57"/>
      <c r="AL3341" s="7"/>
      <c r="AN3341" s="7" t="s">
        <v>70</v>
      </c>
      <c r="AO3341" s="21">
        <f t="shared" si="167"/>
        <v>0</v>
      </c>
      <c r="AP3341" s="7">
        <f t="shared" si="166"/>
        <v>10.92</v>
      </c>
      <c r="AQ3341" s="31" t="str">
        <f t="shared" si="168"/>
        <v>Complete - No Adjustment</v>
      </c>
    </row>
    <row r="3342" spans="1:43" x14ac:dyDescent="0.2">
      <c r="A3342" s="46">
        <v>3332</v>
      </c>
      <c r="B3342" s="38" t="s">
        <v>266</v>
      </c>
      <c r="C3342" s="38" t="s">
        <v>650</v>
      </c>
      <c r="D3342" s="38" t="s">
        <v>649</v>
      </c>
      <c r="E3342" s="38" t="s">
        <v>7611</v>
      </c>
      <c r="F3342" s="38" t="s">
        <v>7582</v>
      </c>
      <c r="G3342" s="38" t="s">
        <v>111</v>
      </c>
      <c r="H3342" s="44">
        <v>44231</v>
      </c>
      <c r="I3342" s="44">
        <v>44270</v>
      </c>
      <c r="J3342">
        <v>31.19</v>
      </c>
      <c r="K3342">
        <v>21.13</v>
      </c>
      <c r="L3342" t="s">
        <v>7612</v>
      </c>
      <c r="M3342" s="45" t="s">
        <v>98</v>
      </c>
      <c r="N3342" s="38" t="s">
        <v>230</v>
      </c>
      <c r="O3342" s="38" t="s">
        <v>317</v>
      </c>
      <c r="P3342" s="38" t="s">
        <v>60</v>
      </c>
      <c r="Q3342" s="38" t="s">
        <v>41</v>
      </c>
      <c r="R3342" s="38" t="s">
        <v>270</v>
      </c>
      <c r="S3342" s="38" t="s">
        <v>7609</v>
      </c>
      <c r="T3342" s="38" t="s">
        <v>3895</v>
      </c>
      <c r="U3342" s="38"/>
      <c r="V3342" s="38"/>
      <c r="W3342" s="38"/>
      <c r="X3342" s="7"/>
      <c r="Y3342" s="57"/>
      <c r="Z3342" s="7"/>
      <c r="AA3342" s="57"/>
      <c r="AB3342" s="7"/>
      <c r="AC3342" s="57"/>
      <c r="AD3342" s="7"/>
      <c r="AE3342" s="57"/>
      <c r="AF3342" s="7"/>
      <c r="AG3342" s="57"/>
      <c r="AH3342" s="7"/>
      <c r="AI3342" s="57"/>
      <c r="AJ3342" s="7"/>
      <c r="AK3342" s="57"/>
      <c r="AL3342" s="7"/>
      <c r="AN3342" s="7" t="s">
        <v>70</v>
      </c>
      <c r="AO3342" s="21">
        <f t="shared" si="167"/>
        <v>0</v>
      </c>
      <c r="AP3342" s="7">
        <f t="shared" si="166"/>
        <v>21.13</v>
      </c>
      <c r="AQ3342" s="31" t="str">
        <f t="shared" si="168"/>
        <v>Complete - No Adjustment</v>
      </c>
    </row>
    <row r="3343" spans="1:43" x14ac:dyDescent="0.2">
      <c r="A3343" s="46">
        <v>3333</v>
      </c>
      <c r="B3343" s="38" t="s">
        <v>266</v>
      </c>
      <c r="C3343" s="38" t="s">
        <v>650</v>
      </c>
      <c r="D3343" s="38" t="s">
        <v>649</v>
      </c>
      <c r="E3343" s="38" t="s">
        <v>7611</v>
      </c>
      <c r="F3343" s="38" t="s">
        <v>7582</v>
      </c>
      <c r="G3343" s="38" t="s">
        <v>111</v>
      </c>
      <c r="H3343" s="44">
        <v>44231</v>
      </c>
      <c r="I3343" s="44">
        <v>44270</v>
      </c>
      <c r="J3343">
        <v>31.19</v>
      </c>
      <c r="K3343">
        <v>10.06</v>
      </c>
      <c r="L3343" t="s">
        <v>7612</v>
      </c>
      <c r="M3343" s="45" t="s">
        <v>98</v>
      </c>
      <c r="N3343" s="38" t="s">
        <v>230</v>
      </c>
      <c r="O3343" s="38" t="s">
        <v>317</v>
      </c>
      <c r="P3343" s="38" t="s">
        <v>60</v>
      </c>
      <c r="Q3343" s="38" t="s">
        <v>41</v>
      </c>
      <c r="R3343" s="38" t="s">
        <v>270</v>
      </c>
      <c r="S3343" s="38" t="s">
        <v>7609</v>
      </c>
      <c r="T3343" s="38" t="s">
        <v>3895</v>
      </c>
      <c r="U3343" s="38"/>
      <c r="V3343" s="38"/>
      <c r="W3343" s="38"/>
      <c r="X3343" s="7"/>
      <c r="Y3343" s="57"/>
      <c r="Z3343" s="7"/>
      <c r="AA3343" s="57"/>
      <c r="AB3343" s="7"/>
      <c r="AC3343" s="57"/>
      <c r="AD3343" s="7"/>
      <c r="AE3343" s="57"/>
      <c r="AF3343" s="7"/>
      <c r="AG3343" s="57"/>
      <c r="AH3343" s="7"/>
      <c r="AI3343" s="57"/>
      <c r="AJ3343" s="7"/>
      <c r="AK3343" s="57"/>
      <c r="AL3343" s="7"/>
      <c r="AN3343" s="7" t="s">
        <v>70</v>
      </c>
      <c r="AO3343" s="21">
        <f t="shared" si="167"/>
        <v>0</v>
      </c>
      <c r="AP3343" s="7">
        <f t="shared" si="166"/>
        <v>10.06</v>
      </c>
      <c r="AQ3343" s="31" t="str">
        <f t="shared" si="168"/>
        <v>Complete - No Adjustment</v>
      </c>
    </row>
    <row r="3344" spans="1:43" x14ac:dyDescent="0.2">
      <c r="A3344" s="46">
        <v>3334</v>
      </c>
      <c r="B3344" s="38" t="s">
        <v>266</v>
      </c>
      <c r="C3344" s="38" t="s">
        <v>600</v>
      </c>
      <c r="D3344" s="38" t="s">
        <v>599</v>
      </c>
      <c r="E3344" s="38" t="s">
        <v>7613</v>
      </c>
      <c r="F3344" s="38" t="s">
        <v>7562</v>
      </c>
      <c r="G3344" s="38" t="s">
        <v>111</v>
      </c>
      <c r="H3344" s="44">
        <v>44272</v>
      </c>
      <c r="I3344" s="44">
        <v>44277</v>
      </c>
      <c r="J3344">
        <v>16.55</v>
      </c>
      <c r="K3344">
        <v>16.55</v>
      </c>
      <c r="L3344" t="s">
        <v>7614</v>
      </c>
      <c r="M3344" s="45" t="s">
        <v>98</v>
      </c>
      <c r="N3344" s="38" t="s">
        <v>230</v>
      </c>
      <c r="O3344" s="38" t="s">
        <v>287</v>
      </c>
      <c r="P3344" s="38" t="s">
        <v>60</v>
      </c>
      <c r="Q3344" s="38" t="s">
        <v>41</v>
      </c>
      <c r="R3344" s="38" t="s">
        <v>270</v>
      </c>
      <c r="S3344" s="38" t="s">
        <v>7615</v>
      </c>
      <c r="T3344" s="38" t="s">
        <v>7616</v>
      </c>
      <c r="U3344" s="38"/>
      <c r="V3344" s="38"/>
      <c r="W3344" s="38"/>
      <c r="X3344" s="7"/>
      <c r="Y3344" s="57"/>
      <c r="Z3344" s="7"/>
      <c r="AA3344" s="57"/>
      <c r="AB3344" s="7"/>
      <c r="AC3344" s="57"/>
      <c r="AD3344" s="7"/>
      <c r="AE3344" s="57"/>
      <c r="AF3344" s="7"/>
      <c r="AG3344" s="57"/>
      <c r="AH3344" s="7"/>
      <c r="AI3344" s="57"/>
      <c r="AJ3344" s="7"/>
      <c r="AK3344" s="57"/>
      <c r="AL3344" s="7">
        <f>16.55</f>
        <v>16.55</v>
      </c>
      <c r="AN3344" s="7" t="s">
        <v>146</v>
      </c>
      <c r="AO3344" s="21">
        <f t="shared" si="167"/>
        <v>16.55</v>
      </c>
      <c r="AP3344" s="7">
        <f t="shared" si="166"/>
        <v>0</v>
      </c>
      <c r="AQ3344" s="31" t="str">
        <f t="shared" si="168"/>
        <v>Complete - With Adjustment</v>
      </c>
    </row>
    <row r="3345" spans="1:43" x14ac:dyDescent="0.2">
      <c r="A3345" s="46">
        <v>3335</v>
      </c>
      <c r="B3345" s="38" t="s">
        <v>266</v>
      </c>
      <c r="C3345" s="38" t="s">
        <v>537</v>
      </c>
      <c r="D3345" s="38" t="s">
        <v>536</v>
      </c>
      <c r="E3345" s="38" t="s">
        <v>7617</v>
      </c>
      <c r="F3345" s="38" t="s">
        <v>7535</v>
      </c>
      <c r="G3345" s="38" t="s">
        <v>111</v>
      </c>
      <c r="H3345" s="44">
        <v>44271</v>
      </c>
      <c r="I3345" s="44">
        <v>44273</v>
      </c>
      <c r="J3345">
        <v>38.96</v>
      </c>
      <c r="K3345">
        <v>38.96</v>
      </c>
      <c r="L3345" t="s">
        <v>7618</v>
      </c>
      <c r="M3345" s="45" t="s">
        <v>98</v>
      </c>
      <c r="N3345" s="38" t="s">
        <v>230</v>
      </c>
      <c r="O3345" s="38" t="s">
        <v>298</v>
      </c>
      <c r="P3345" s="38" t="s">
        <v>60</v>
      </c>
      <c r="Q3345" s="38" t="s">
        <v>65</v>
      </c>
      <c r="R3345" s="38" t="s">
        <v>270</v>
      </c>
      <c r="S3345" s="38" t="s">
        <v>7619</v>
      </c>
      <c r="T3345" s="38" t="s">
        <v>7620</v>
      </c>
      <c r="U3345" s="38"/>
      <c r="V3345" s="38"/>
      <c r="W3345" s="38"/>
      <c r="X3345" s="7"/>
      <c r="Y3345" s="57"/>
      <c r="Z3345" s="7"/>
      <c r="AA3345" s="57"/>
      <c r="AB3345" s="7"/>
      <c r="AC3345" s="57"/>
      <c r="AD3345" s="7"/>
      <c r="AE3345" s="57"/>
      <c r="AF3345" s="7"/>
      <c r="AG3345" s="57"/>
      <c r="AH3345" s="7"/>
      <c r="AI3345" s="57"/>
      <c r="AJ3345" s="7"/>
      <c r="AK3345" s="57"/>
      <c r="AL3345" s="7"/>
      <c r="AN3345" s="7" t="s">
        <v>155</v>
      </c>
      <c r="AO3345" s="21">
        <f t="shared" si="167"/>
        <v>0</v>
      </c>
      <c r="AP3345" s="7">
        <f t="shared" si="166"/>
        <v>38.96</v>
      </c>
      <c r="AQ3345" s="31" t="str">
        <f t="shared" si="168"/>
        <v>Complete - No Adjustment</v>
      </c>
    </row>
    <row r="3346" spans="1:43" x14ac:dyDescent="0.2">
      <c r="A3346" s="46">
        <v>3336</v>
      </c>
      <c r="B3346" s="38" t="s">
        <v>266</v>
      </c>
      <c r="C3346" s="38" t="s">
        <v>393</v>
      </c>
      <c r="D3346" s="38" t="s">
        <v>392</v>
      </c>
      <c r="E3346" s="38" t="s">
        <v>7621</v>
      </c>
      <c r="F3346" s="38" t="s">
        <v>7567</v>
      </c>
      <c r="G3346" s="38" t="s">
        <v>111</v>
      </c>
      <c r="H3346" s="44">
        <v>44271</v>
      </c>
      <c r="I3346" s="44">
        <v>44279</v>
      </c>
      <c r="J3346">
        <v>13.95</v>
      </c>
      <c r="K3346">
        <v>13.95</v>
      </c>
      <c r="L3346" t="s">
        <v>7622</v>
      </c>
      <c r="M3346" s="45" t="s">
        <v>98</v>
      </c>
      <c r="N3346" s="38" t="s">
        <v>230</v>
      </c>
      <c r="O3346" s="38" t="s">
        <v>272</v>
      </c>
      <c r="P3346" s="38" t="s">
        <v>60</v>
      </c>
      <c r="Q3346" s="38" t="s">
        <v>41</v>
      </c>
      <c r="R3346" s="38" t="s">
        <v>270</v>
      </c>
      <c r="S3346" s="38" t="s">
        <v>7623</v>
      </c>
      <c r="T3346" s="38" t="s">
        <v>7624</v>
      </c>
      <c r="U3346" s="38"/>
      <c r="V3346" s="38"/>
      <c r="W3346" s="38"/>
      <c r="X3346" s="7"/>
      <c r="Y3346" s="57"/>
      <c r="Z3346" s="7"/>
      <c r="AA3346" s="57"/>
      <c r="AB3346" s="7"/>
      <c r="AC3346" s="57"/>
      <c r="AD3346" s="7"/>
      <c r="AE3346" s="57"/>
      <c r="AF3346" s="7"/>
      <c r="AG3346" s="57"/>
      <c r="AH3346" s="7"/>
      <c r="AI3346" s="57"/>
      <c r="AJ3346" s="7"/>
      <c r="AK3346" s="57"/>
      <c r="AL3346" s="7"/>
      <c r="AN3346" s="7" t="s">
        <v>155</v>
      </c>
      <c r="AO3346" s="21">
        <f t="shared" si="167"/>
        <v>0</v>
      </c>
      <c r="AP3346" s="7">
        <f t="shared" si="166"/>
        <v>13.95</v>
      </c>
      <c r="AQ3346" s="31" t="str">
        <f t="shared" si="168"/>
        <v>Complete - No Adjustment</v>
      </c>
    </row>
    <row r="3347" spans="1:43" x14ac:dyDescent="0.2">
      <c r="A3347" s="46">
        <v>3337</v>
      </c>
      <c r="B3347" s="38" t="s">
        <v>266</v>
      </c>
      <c r="C3347" s="38" t="s">
        <v>395</v>
      </c>
      <c r="D3347" s="38" t="s">
        <v>394</v>
      </c>
      <c r="E3347" s="38" t="s">
        <v>7625</v>
      </c>
      <c r="F3347" s="38" t="s">
        <v>7626</v>
      </c>
      <c r="G3347" s="38" t="s">
        <v>111</v>
      </c>
      <c r="H3347" s="44">
        <v>44279</v>
      </c>
      <c r="I3347" s="44">
        <v>44281</v>
      </c>
      <c r="J3347">
        <v>673</v>
      </c>
      <c r="K3347">
        <v>673</v>
      </c>
      <c r="L3347" t="s">
        <v>7627</v>
      </c>
      <c r="M3347" s="45" t="s">
        <v>98</v>
      </c>
      <c r="N3347" s="38" t="s">
        <v>230</v>
      </c>
      <c r="O3347" s="38" t="s">
        <v>288</v>
      </c>
      <c r="P3347" s="38" t="s">
        <v>60</v>
      </c>
      <c r="Q3347" s="38" t="s">
        <v>73</v>
      </c>
      <c r="R3347" s="38" t="s">
        <v>270</v>
      </c>
      <c r="S3347" s="38" t="s">
        <v>7628</v>
      </c>
      <c r="T3347" s="38" t="s">
        <v>7629</v>
      </c>
      <c r="U3347" s="38"/>
      <c r="V3347" s="38"/>
      <c r="W3347" s="38"/>
      <c r="X3347" s="7"/>
      <c r="Y3347" s="57"/>
      <c r="Z3347" s="7"/>
      <c r="AA3347" s="57"/>
      <c r="AB3347" s="7"/>
      <c r="AC3347" s="57"/>
      <c r="AD3347" s="7"/>
      <c r="AE3347" s="57"/>
      <c r="AF3347" s="7"/>
      <c r="AG3347" s="57"/>
      <c r="AH3347" s="7"/>
      <c r="AI3347" s="57"/>
      <c r="AJ3347" s="7"/>
      <c r="AK3347" s="57"/>
      <c r="AL3347" s="7"/>
      <c r="AN3347" s="7" t="s">
        <v>70</v>
      </c>
      <c r="AO3347" s="21">
        <f t="shared" si="167"/>
        <v>0</v>
      </c>
      <c r="AP3347" s="7">
        <f t="shared" si="166"/>
        <v>673</v>
      </c>
      <c r="AQ3347" s="31" t="str">
        <f t="shared" si="168"/>
        <v>Complete - No Adjustment</v>
      </c>
    </row>
    <row r="3348" spans="1:43" x14ac:dyDescent="0.2">
      <c r="A3348" s="46">
        <v>3338</v>
      </c>
      <c r="B3348" s="38" t="s">
        <v>266</v>
      </c>
      <c r="C3348" s="38" t="s">
        <v>395</v>
      </c>
      <c r="D3348" s="38" t="s">
        <v>394</v>
      </c>
      <c r="E3348" s="38" t="s">
        <v>7630</v>
      </c>
      <c r="F3348" s="38" t="s">
        <v>7631</v>
      </c>
      <c r="G3348" s="38" t="s">
        <v>111</v>
      </c>
      <c r="H3348" s="44">
        <v>44265</v>
      </c>
      <c r="I3348" s="44">
        <v>44272</v>
      </c>
      <c r="J3348">
        <v>5813</v>
      </c>
      <c r="K3348">
        <v>5813</v>
      </c>
      <c r="L3348" t="s">
        <v>7632</v>
      </c>
      <c r="M3348" s="45" t="s">
        <v>98</v>
      </c>
      <c r="N3348" s="38" t="s">
        <v>230</v>
      </c>
      <c r="O3348" s="38" t="s">
        <v>288</v>
      </c>
      <c r="P3348" s="38" t="s">
        <v>60</v>
      </c>
      <c r="Q3348" s="38" t="s">
        <v>73</v>
      </c>
      <c r="R3348" s="38" t="s">
        <v>270</v>
      </c>
      <c r="S3348" s="38" t="s">
        <v>7633</v>
      </c>
      <c r="T3348" s="38" t="s">
        <v>7634</v>
      </c>
      <c r="U3348" s="38"/>
      <c r="V3348" s="38"/>
      <c r="W3348" s="38"/>
      <c r="X3348" s="7"/>
      <c r="Y3348" s="57"/>
      <c r="Z3348" s="7"/>
      <c r="AA3348" s="57"/>
      <c r="AB3348" s="7"/>
      <c r="AC3348" s="57"/>
      <c r="AD3348" s="7"/>
      <c r="AE3348" s="57"/>
      <c r="AF3348" s="7"/>
      <c r="AG3348" s="57"/>
      <c r="AH3348" s="7"/>
      <c r="AI3348" s="57"/>
      <c r="AJ3348" s="7"/>
      <c r="AK3348" s="57"/>
      <c r="AL3348" s="7"/>
      <c r="AN3348" s="7" t="s">
        <v>70</v>
      </c>
      <c r="AO3348" s="21">
        <f t="shared" si="167"/>
        <v>0</v>
      </c>
      <c r="AP3348" s="7">
        <f t="shared" si="166"/>
        <v>5813</v>
      </c>
      <c r="AQ3348" s="31" t="str">
        <f t="shared" si="168"/>
        <v>Complete - No Adjustment</v>
      </c>
    </row>
    <row r="3349" spans="1:43" x14ac:dyDescent="0.2">
      <c r="A3349" s="46">
        <v>3339</v>
      </c>
      <c r="B3349" s="38" t="s">
        <v>266</v>
      </c>
      <c r="C3349" s="38" t="s">
        <v>822</v>
      </c>
      <c r="D3349" s="38" t="s">
        <v>823</v>
      </c>
      <c r="E3349" s="38" t="s">
        <v>7635</v>
      </c>
      <c r="F3349" s="38" t="s">
        <v>7557</v>
      </c>
      <c r="G3349" s="38" t="s">
        <v>111</v>
      </c>
      <c r="H3349" s="44">
        <v>44281</v>
      </c>
      <c r="I3349" s="44">
        <v>44285</v>
      </c>
      <c r="J3349">
        <v>21.01</v>
      </c>
      <c r="K3349">
        <v>12.92</v>
      </c>
      <c r="L3349" t="s">
        <v>7636</v>
      </c>
      <c r="M3349" s="45" t="s">
        <v>98</v>
      </c>
      <c r="N3349" s="38" t="s">
        <v>230</v>
      </c>
      <c r="O3349" s="38" t="s">
        <v>303</v>
      </c>
      <c r="P3349" s="38" t="s">
        <v>60</v>
      </c>
      <c r="Q3349" s="38" t="s">
        <v>41</v>
      </c>
      <c r="R3349" s="38" t="s">
        <v>270</v>
      </c>
      <c r="S3349" s="38" t="s">
        <v>7637</v>
      </c>
      <c r="T3349" s="38" t="s">
        <v>7638</v>
      </c>
      <c r="U3349" s="38"/>
      <c r="V3349" s="38"/>
      <c r="W3349" s="38"/>
      <c r="X3349" s="7"/>
      <c r="Y3349" s="57"/>
      <c r="Z3349" s="7"/>
      <c r="AA3349" s="57"/>
      <c r="AB3349" s="7"/>
      <c r="AC3349" s="57"/>
      <c r="AD3349" s="7"/>
      <c r="AE3349" s="57"/>
      <c r="AF3349" s="7"/>
      <c r="AG3349" s="57"/>
      <c r="AH3349" s="7"/>
      <c r="AI3349" s="57"/>
      <c r="AJ3349" s="7"/>
      <c r="AK3349" s="57"/>
      <c r="AL3349" s="7"/>
      <c r="AN3349" s="7" t="s">
        <v>70</v>
      </c>
      <c r="AO3349" s="21">
        <f t="shared" si="167"/>
        <v>0</v>
      </c>
      <c r="AP3349" s="7">
        <f t="shared" si="166"/>
        <v>12.92</v>
      </c>
      <c r="AQ3349" s="31" t="str">
        <f t="shared" si="168"/>
        <v>Complete - No Adjustment</v>
      </c>
    </row>
    <row r="3350" spans="1:43" x14ac:dyDescent="0.2">
      <c r="A3350" s="46">
        <v>3340</v>
      </c>
      <c r="B3350" s="38" t="s">
        <v>266</v>
      </c>
      <c r="C3350" s="38" t="s">
        <v>822</v>
      </c>
      <c r="D3350" s="38" t="s">
        <v>823</v>
      </c>
      <c r="E3350" s="38" t="s">
        <v>7635</v>
      </c>
      <c r="F3350" s="38" t="s">
        <v>7557</v>
      </c>
      <c r="G3350" s="38" t="s">
        <v>111</v>
      </c>
      <c r="H3350" s="44">
        <v>44281</v>
      </c>
      <c r="I3350" s="44">
        <v>44285</v>
      </c>
      <c r="J3350">
        <v>21.01</v>
      </c>
      <c r="K3350">
        <v>8.09</v>
      </c>
      <c r="L3350" t="s">
        <v>7636</v>
      </c>
      <c r="M3350" s="45" t="s">
        <v>98</v>
      </c>
      <c r="N3350" s="38" t="s">
        <v>230</v>
      </c>
      <c r="O3350" s="38" t="s">
        <v>303</v>
      </c>
      <c r="P3350" s="38" t="s">
        <v>60</v>
      </c>
      <c r="Q3350" s="38" t="s">
        <v>41</v>
      </c>
      <c r="R3350" s="38" t="s">
        <v>270</v>
      </c>
      <c r="S3350" s="38" t="s">
        <v>7637</v>
      </c>
      <c r="T3350" s="38" t="s">
        <v>7638</v>
      </c>
      <c r="U3350" s="38"/>
      <c r="V3350" s="38"/>
      <c r="W3350" s="38"/>
      <c r="X3350" s="7"/>
      <c r="Y3350" s="57"/>
      <c r="Z3350" s="7"/>
      <c r="AA3350" s="57"/>
      <c r="AB3350" s="7"/>
      <c r="AC3350" s="57"/>
      <c r="AD3350" s="7"/>
      <c r="AE3350" s="57"/>
      <c r="AF3350" s="7"/>
      <c r="AG3350" s="57"/>
      <c r="AH3350" s="7"/>
      <c r="AI3350" s="57"/>
      <c r="AJ3350" s="7"/>
      <c r="AK3350" s="57"/>
      <c r="AL3350" s="7"/>
      <c r="AN3350" s="7" t="s">
        <v>70</v>
      </c>
      <c r="AO3350" s="21">
        <f t="shared" si="167"/>
        <v>0</v>
      </c>
      <c r="AP3350" s="7">
        <f t="shared" si="166"/>
        <v>8.09</v>
      </c>
      <c r="AQ3350" s="31" t="str">
        <f t="shared" si="168"/>
        <v>Complete - No Adjustment</v>
      </c>
    </row>
    <row r="3351" spans="1:43" x14ac:dyDescent="0.2">
      <c r="A3351" s="46">
        <v>3341</v>
      </c>
      <c r="B3351" s="38" t="s">
        <v>266</v>
      </c>
      <c r="C3351" s="38" t="s">
        <v>396</v>
      </c>
      <c r="D3351" s="38" t="s">
        <v>655</v>
      </c>
      <c r="E3351" s="38" t="s">
        <v>7639</v>
      </c>
      <c r="F3351" s="38" t="s">
        <v>7535</v>
      </c>
      <c r="G3351" s="38" t="s">
        <v>111</v>
      </c>
      <c r="H3351" s="44">
        <v>44253</v>
      </c>
      <c r="I3351" s="44">
        <v>44273</v>
      </c>
      <c r="J3351">
        <v>1995</v>
      </c>
      <c r="K3351">
        <v>1995</v>
      </c>
      <c r="L3351" t="s">
        <v>7640</v>
      </c>
      <c r="M3351" s="45" t="s">
        <v>98</v>
      </c>
      <c r="N3351" s="38" t="s">
        <v>230</v>
      </c>
      <c r="O3351" s="38" t="s">
        <v>397</v>
      </c>
      <c r="P3351" s="38" t="s">
        <v>60</v>
      </c>
      <c r="Q3351" s="38" t="s">
        <v>48</v>
      </c>
      <c r="R3351" s="38" t="s">
        <v>270</v>
      </c>
      <c r="S3351" s="38" t="s">
        <v>7641</v>
      </c>
      <c r="T3351" s="38" t="s">
        <v>7642</v>
      </c>
      <c r="U3351" s="38"/>
      <c r="V3351" s="38"/>
      <c r="W3351" s="38"/>
      <c r="X3351" s="7"/>
      <c r="Y3351" s="57"/>
      <c r="Z3351" s="7"/>
      <c r="AA3351" s="57"/>
      <c r="AB3351" s="7"/>
      <c r="AC3351" s="57"/>
      <c r="AD3351" s="7"/>
      <c r="AE3351" s="57"/>
      <c r="AF3351" s="7"/>
      <c r="AG3351" s="57"/>
      <c r="AH3351" s="7"/>
      <c r="AI3351" s="57"/>
      <c r="AJ3351" s="7"/>
      <c r="AK3351" s="57"/>
      <c r="AL3351" s="7"/>
      <c r="AN3351" s="7" t="s">
        <v>70</v>
      </c>
      <c r="AO3351" s="21">
        <f t="shared" si="167"/>
        <v>0</v>
      </c>
      <c r="AP3351" s="7">
        <f t="shared" si="166"/>
        <v>1995</v>
      </c>
      <c r="AQ3351" s="31" t="str">
        <f t="shared" si="168"/>
        <v>Complete - No Adjustment</v>
      </c>
    </row>
    <row r="3352" spans="1:43" x14ac:dyDescent="0.2">
      <c r="A3352" s="46">
        <v>3342</v>
      </c>
      <c r="B3352" s="38" t="s">
        <v>266</v>
      </c>
      <c r="C3352" s="38" t="s">
        <v>703</v>
      </c>
      <c r="D3352" s="38" t="s">
        <v>702</v>
      </c>
      <c r="E3352" s="38" t="s">
        <v>7643</v>
      </c>
      <c r="F3352" s="38" t="s">
        <v>7644</v>
      </c>
      <c r="G3352" s="38" t="s">
        <v>111</v>
      </c>
      <c r="H3352" s="44">
        <v>44263</v>
      </c>
      <c r="I3352" s="44">
        <v>44266</v>
      </c>
      <c r="J3352">
        <v>111.46</v>
      </c>
      <c r="K3352">
        <v>32.479999999999997</v>
      </c>
      <c r="L3352" t="s">
        <v>7645</v>
      </c>
      <c r="M3352" s="45" t="s">
        <v>98</v>
      </c>
      <c r="N3352" s="38" t="s">
        <v>230</v>
      </c>
      <c r="O3352" s="38" t="s">
        <v>78</v>
      </c>
      <c r="P3352" s="38" t="s">
        <v>60</v>
      </c>
      <c r="Q3352" s="38" t="s">
        <v>41</v>
      </c>
      <c r="R3352" s="38" t="s">
        <v>270</v>
      </c>
      <c r="S3352" s="38" t="s">
        <v>7646</v>
      </c>
      <c r="T3352" s="38" t="s">
        <v>7647</v>
      </c>
      <c r="U3352" s="38"/>
      <c r="V3352" s="38"/>
      <c r="W3352" s="38"/>
      <c r="X3352" s="7"/>
      <c r="Y3352" s="57"/>
      <c r="Z3352" s="7"/>
      <c r="AA3352" s="57"/>
      <c r="AB3352" s="7"/>
      <c r="AC3352" s="57"/>
      <c r="AD3352" s="7"/>
      <c r="AE3352" s="57"/>
      <c r="AF3352" s="7"/>
      <c r="AG3352" s="57"/>
      <c r="AH3352" s="7"/>
      <c r="AI3352" s="57"/>
      <c r="AJ3352" s="7"/>
      <c r="AK3352" s="57"/>
      <c r="AL3352" s="7">
        <f>32.48</f>
        <v>32.479999999999997</v>
      </c>
      <c r="AN3352" s="7" t="s">
        <v>146</v>
      </c>
      <c r="AO3352" s="21">
        <f t="shared" si="167"/>
        <v>32.479999999999997</v>
      </c>
      <c r="AP3352" s="7">
        <f t="shared" si="166"/>
        <v>0</v>
      </c>
      <c r="AQ3352" s="31" t="str">
        <f t="shared" si="168"/>
        <v>Complete - With Adjustment</v>
      </c>
    </row>
    <row r="3353" spans="1:43" x14ac:dyDescent="0.2">
      <c r="A3353" s="46">
        <v>3343</v>
      </c>
      <c r="B3353" s="38" t="s">
        <v>266</v>
      </c>
      <c r="C3353" s="38" t="s">
        <v>703</v>
      </c>
      <c r="D3353" s="38" t="s">
        <v>702</v>
      </c>
      <c r="E3353" s="38" t="s">
        <v>7643</v>
      </c>
      <c r="F3353" s="38" t="s">
        <v>7644</v>
      </c>
      <c r="G3353" s="38" t="s">
        <v>111</v>
      </c>
      <c r="H3353" s="44">
        <v>44263</v>
      </c>
      <c r="I3353" s="44">
        <v>44266</v>
      </c>
      <c r="J3353">
        <v>111.46</v>
      </c>
      <c r="K3353">
        <v>7.56</v>
      </c>
      <c r="L3353" t="s">
        <v>7645</v>
      </c>
      <c r="M3353" s="45" t="s">
        <v>98</v>
      </c>
      <c r="N3353" s="38" t="s">
        <v>230</v>
      </c>
      <c r="O3353" s="38" t="s">
        <v>78</v>
      </c>
      <c r="P3353" s="38" t="s">
        <v>60</v>
      </c>
      <c r="Q3353" s="38" t="s">
        <v>65</v>
      </c>
      <c r="R3353" s="38" t="s">
        <v>270</v>
      </c>
      <c r="S3353" s="38" t="s">
        <v>7646</v>
      </c>
      <c r="T3353" s="38" t="s">
        <v>7648</v>
      </c>
      <c r="U3353" s="38"/>
      <c r="V3353" s="38"/>
      <c r="W3353" s="38"/>
      <c r="X3353" s="7"/>
      <c r="Y3353" s="57"/>
      <c r="Z3353" s="7"/>
      <c r="AA3353" s="57"/>
      <c r="AB3353" s="7"/>
      <c r="AC3353" s="57"/>
      <c r="AD3353" s="7"/>
      <c r="AE3353" s="57"/>
      <c r="AF3353" s="7"/>
      <c r="AG3353" s="57"/>
      <c r="AH3353" s="7"/>
      <c r="AI3353" s="57"/>
      <c r="AJ3353" s="7"/>
      <c r="AK3353" s="57"/>
      <c r="AL3353" s="7"/>
      <c r="AN3353" s="7" t="s">
        <v>70</v>
      </c>
      <c r="AO3353" s="21">
        <f t="shared" si="167"/>
        <v>0</v>
      </c>
      <c r="AP3353" s="7">
        <f t="shared" si="166"/>
        <v>7.56</v>
      </c>
      <c r="AQ3353" s="31" t="str">
        <f t="shared" si="168"/>
        <v>Complete - No Adjustment</v>
      </c>
    </row>
    <row r="3354" spans="1:43" x14ac:dyDescent="0.2">
      <c r="A3354" s="46">
        <v>3344</v>
      </c>
      <c r="B3354" s="38" t="s">
        <v>266</v>
      </c>
      <c r="C3354" s="38" t="s">
        <v>703</v>
      </c>
      <c r="D3354" s="38" t="s">
        <v>702</v>
      </c>
      <c r="E3354" s="38" t="s">
        <v>7643</v>
      </c>
      <c r="F3354" s="38" t="s">
        <v>7644</v>
      </c>
      <c r="G3354" s="38" t="s">
        <v>111</v>
      </c>
      <c r="H3354" s="44">
        <v>44263</v>
      </c>
      <c r="I3354" s="44">
        <v>44266</v>
      </c>
      <c r="J3354">
        <v>111.46</v>
      </c>
      <c r="K3354">
        <v>71.42</v>
      </c>
      <c r="L3354" t="s">
        <v>7645</v>
      </c>
      <c r="M3354" s="45" t="s">
        <v>98</v>
      </c>
      <c r="N3354" s="38" t="s">
        <v>230</v>
      </c>
      <c r="O3354" s="38" t="s">
        <v>78</v>
      </c>
      <c r="P3354" s="38" t="s">
        <v>60</v>
      </c>
      <c r="Q3354" s="38" t="s">
        <v>62</v>
      </c>
      <c r="R3354" s="38" t="s">
        <v>270</v>
      </c>
      <c r="S3354" s="38" t="s">
        <v>7646</v>
      </c>
      <c r="T3354" s="38" t="s">
        <v>7649</v>
      </c>
      <c r="U3354" s="38"/>
      <c r="V3354" s="38"/>
      <c r="W3354" s="38"/>
      <c r="X3354" s="7"/>
      <c r="Y3354" s="57"/>
      <c r="Z3354" s="7"/>
      <c r="AA3354" s="57"/>
      <c r="AB3354" s="7"/>
      <c r="AC3354" s="57"/>
      <c r="AD3354" s="7"/>
      <c r="AE3354" s="57"/>
      <c r="AF3354" s="7"/>
      <c r="AG3354" s="57"/>
      <c r="AH3354" s="7"/>
      <c r="AI3354" s="57"/>
      <c r="AJ3354" s="7"/>
      <c r="AK3354" s="57"/>
      <c r="AL3354" s="7"/>
      <c r="AN3354" s="7" t="s">
        <v>70</v>
      </c>
      <c r="AO3354" s="21">
        <f t="shared" si="167"/>
        <v>0</v>
      </c>
      <c r="AP3354" s="7">
        <f t="shared" si="166"/>
        <v>71.42</v>
      </c>
      <c r="AQ3354" s="31" t="str">
        <f t="shared" si="168"/>
        <v>Complete - No Adjustment</v>
      </c>
    </row>
    <row r="3355" spans="1:43" x14ac:dyDescent="0.2">
      <c r="A3355" s="46">
        <v>3345</v>
      </c>
      <c r="B3355" s="38" t="s">
        <v>266</v>
      </c>
      <c r="C3355" s="38" t="s">
        <v>542</v>
      </c>
      <c r="D3355" s="38" t="s">
        <v>541</v>
      </c>
      <c r="E3355" s="38" t="s">
        <v>7650</v>
      </c>
      <c r="F3355" s="38" t="s">
        <v>7631</v>
      </c>
      <c r="G3355" s="38" t="s">
        <v>111</v>
      </c>
      <c r="H3355" s="44">
        <v>44266</v>
      </c>
      <c r="I3355" s="44">
        <v>44272</v>
      </c>
      <c r="J3355">
        <v>102.05</v>
      </c>
      <c r="K3355">
        <v>82.67</v>
      </c>
      <c r="L3355" t="s">
        <v>7651</v>
      </c>
      <c r="M3355" s="45" t="s">
        <v>98</v>
      </c>
      <c r="N3355" s="38" t="s">
        <v>230</v>
      </c>
      <c r="O3355" s="38" t="s">
        <v>277</v>
      </c>
      <c r="P3355" s="38" t="s">
        <v>60</v>
      </c>
      <c r="Q3355" s="38" t="s">
        <v>62</v>
      </c>
      <c r="R3355" s="38" t="s">
        <v>270</v>
      </c>
      <c r="S3355" s="38" t="s">
        <v>7652</v>
      </c>
      <c r="T3355" s="38" t="s">
        <v>7653</v>
      </c>
      <c r="U3355" s="38"/>
      <c r="V3355" s="38"/>
      <c r="W3355" s="38"/>
      <c r="X3355" s="7"/>
      <c r="Y3355" s="57"/>
      <c r="Z3355" s="7"/>
      <c r="AA3355" s="57"/>
      <c r="AB3355" s="7"/>
      <c r="AC3355" s="57"/>
      <c r="AD3355" s="7"/>
      <c r="AE3355" s="57"/>
      <c r="AF3355" s="7"/>
      <c r="AG3355" s="57"/>
      <c r="AH3355" s="7"/>
      <c r="AI3355" s="57"/>
      <c r="AJ3355" s="7"/>
      <c r="AK3355" s="57"/>
      <c r="AL3355" s="7"/>
      <c r="AN3355" s="7" t="s">
        <v>70</v>
      </c>
      <c r="AO3355" s="21">
        <f t="shared" si="167"/>
        <v>0</v>
      </c>
      <c r="AP3355" s="7">
        <f t="shared" si="166"/>
        <v>82.67</v>
      </c>
      <c r="AQ3355" s="31" t="str">
        <f t="shared" si="168"/>
        <v>Complete - No Adjustment</v>
      </c>
    </row>
    <row r="3356" spans="1:43" x14ac:dyDescent="0.2">
      <c r="A3356" s="46">
        <v>3346</v>
      </c>
      <c r="B3356" s="38" t="s">
        <v>266</v>
      </c>
      <c r="C3356" s="38" t="s">
        <v>542</v>
      </c>
      <c r="D3356" s="38" t="s">
        <v>541</v>
      </c>
      <c r="E3356" s="38" t="s">
        <v>7650</v>
      </c>
      <c r="F3356" s="38" t="s">
        <v>7631</v>
      </c>
      <c r="G3356" s="38" t="s">
        <v>111</v>
      </c>
      <c r="H3356" s="44">
        <v>44266</v>
      </c>
      <c r="I3356" s="44">
        <v>44272</v>
      </c>
      <c r="J3356">
        <v>102.05</v>
      </c>
      <c r="K3356">
        <v>19.38</v>
      </c>
      <c r="L3356" t="s">
        <v>7651</v>
      </c>
      <c r="M3356" s="45" t="s">
        <v>98</v>
      </c>
      <c r="N3356" s="38" t="s">
        <v>230</v>
      </c>
      <c r="O3356" s="38" t="s">
        <v>277</v>
      </c>
      <c r="P3356" s="38" t="s">
        <v>60</v>
      </c>
      <c r="Q3356" s="38" t="s">
        <v>62</v>
      </c>
      <c r="R3356" s="38" t="s">
        <v>270</v>
      </c>
      <c r="S3356" s="38" t="s">
        <v>7652</v>
      </c>
      <c r="T3356" s="38" t="s">
        <v>7654</v>
      </c>
      <c r="U3356" s="38"/>
      <c r="V3356" s="38"/>
      <c r="W3356" s="38"/>
      <c r="X3356" s="7"/>
      <c r="Y3356" s="57"/>
      <c r="Z3356" s="7"/>
      <c r="AA3356" s="57"/>
      <c r="AB3356" s="7"/>
      <c r="AC3356" s="57"/>
      <c r="AD3356" s="7"/>
      <c r="AE3356" s="57"/>
      <c r="AF3356" s="7"/>
      <c r="AG3356" s="57"/>
      <c r="AH3356" s="7"/>
      <c r="AI3356" s="57"/>
      <c r="AJ3356" s="7"/>
      <c r="AK3356" s="57"/>
      <c r="AL3356" s="7"/>
      <c r="AN3356" s="7" t="s">
        <v>70</v>
      </c>
      <c r="AO3356" s="21">
        <f t="shared" si="167"/>
        <v>0</v>
      </c>
      <c r="AP3356" s="7">
        <f t="shared" si="166"/>
        <v>19.38</v>
      </c>
      <c r="AQ3356" s="31" t="str">
        <f t="shared" si="168"/>
        <v>Complete - No Adjustment</v>
      </c>
    </row>
    <row r="3357" spans="1:43" x14ac:dyDescent="0.2">
      <c r="A3357" s="46">
        <v>3347</v>
      </c>
      <c r="B3357" s="38" t="s">
        <v>266</v>
      </c>
      <c r="C3357" s="38" t="s">
        <v>414</v>
      </c>
      <c r="D3357" s="38" t="s">
        <v>413</v>
      </c>
      <c r="E3357" s="38" t="s">
        <v>7655</v>
      </c>
      <c r="F3357" s="38" t="s">
        <v>7552</v>
      </c>
      <c r="G3357" s="38" t="s">
        <v>111</v>
      </c>
      <c r="H3357" s="44">
        <v>44252</v>
      </c>
      <c r="I3357" s="44">
        <v>44257</v>
      </c>
      <c r="J3357">
        <v>31.31</v>
      </c>
      <c r="K3357">
        <v>11.34</v>
      </c>
      <c r="L3357" t="s">
        <v>7656</v>
      </c>
      <c r="M3357" s="45" t="s">
        <v>98</v>
      </c>
      <c r="N3357" s="38" t="s">
        <v>230</v>
      </c>
      <c r="O3357" s="38" t="s">
        <v>317</v>
      </c>
      <c r="P3357" s="38" t="s">
        <v>60</v>
      </c>
      <c r="Q3357" s="38" t="s">
        <v>41</v>
      </c>
      <c r="R3357" s="38" t="s">
        <v>270</v>
      </c>
      <c r="S3357" s="38" t="s">
        <v>7657</v>
      </c>
      <c r="T3357" s="38" t="s">
        <v>7658</v>
      </c>
      <c r="U3357" s="38"/>
      <c r="V3357" s="38"/>
      <c r="W3357" s="38"/>
      <c r="X3357" s="7"/>
      <c r="Y3357" s="57"/>
      <c r="Z3357" s="7"/>
      <c r="AA3357" s="57"/>
      <c r="AB3357" s="7"/>
      <c r="AC3357" s="57"/>
      <c r="AD3357" s="7"/>
      <c r="AE3357" s="57"/>
      <c r="AF3357" s="7"/>
      <c r="AG3357" s="57"/>
      <c r="AH3357" s="7"/>
      <c r="AI3357" s="57"/>
      <c r="AJ3357" s="7"/>
      <c r="AK3357" s="57"/>
      <c r="AL3357" s="7"/>
      <c r="AN3357" s="7" t="s">
        <v>155</v>
      </c>
      <c r="AO3357" s="21">
        <f t="shared" si="167"/>
        <v>0</v>
      </c>
      <c r="AP3357" s="7">
        <f t="shared" si="166"/>
        <v>11.34</v>
      </c>
      <c r="AQ3357" s="31" t="str">
        <f t="shared" si="168"/>
        <v>Complete - No Adjustment</v>
      </c>
    </row>
    <row r="3358" spans="1:43" x14ac:dyDescent="0.2">
      <c r="A3358" s="46">
        <v>3348</v>
      </c>
      <c r="B3358" s="38" t="s">
        <v>266</v>
      </c>
      <c r="C3358" s="38" t="s">
        <v>414</v>
      </c>
      <c r="D3358" s="38" t="s">
        <v>413</v>
      </c>
      <c r="E3358" s="38" t="s">
        <v>7655</v>
      </c>
      <c r="F3358" s="38" t="s">
        <v>7552</v>
      </c>
      <c r="G3358" s="38" t="s">
        <v>111</v>
      </c>
      <c r="H3358" s="44">
        <v>44252</v>
      </c>
      <c r="I3358" s="44">
        <v>44257</v>
      </c>
      <c r="J3358">
        <v>31.31</v>
      </c>
      <c r="K3358">
        <v>19.97</v>
      </c>
      <c r="L3358" t="s">
        <v>7656</v>
      </c>
      <c r="M3358" s="45" t="s">
        <v>98</v>
      </c>
      <c r="N3358" s="38" t="s">
        <v>230</v>
      </c>
      <c r="O3358" s="38" t="s">
        <v>317</v>
      </c>
      <c r="P3358" s="38" t="s">
        <v>60</v>
      </c>
      <c r="Q3358" s="38" t="s">
        <v>41</v>
      </c>
      <c r="R3358" s="38" t="s">
        <v>270</v>
      </c>
      <c r="S3358" s="38" t="s">
        <v>7657</v>
      </c>
      <c r="T3358" s="38" t="s">
        <v>7659</v>
      </c>
      <c r="U3358" s="38"/>
      <c r="V3358" s="38"/>
      <c r="W3358" s="38"/>
      <c r="X3358" s="7"/>
      <c r="Y3358" s="57"/>
      <c r="Z3358" s="7"/>
      <c r="AA3358" s="57"/>
      <c r="AB3358" s="7"/>
      <c r="AC3358" s="57"/>
      <c r="AD3358" s="7"/>
      <c r="AE3358" s="57"/>
      <c r="AF3358" s="7"/>
      <c r="AG3358" s="57"/>
      <c r="AH3358" s="7"/>
      <c r="AI3358" s="57"/>
      <c r="AJ3358" s="7"/>
      <c r="AK3358" s="57"/>
      <c r="AL3358" s="7"/>
      <c r="AN3358" s="7" t="s">
        <v>155</v>
      </c>
      <c r="AO3358" s="21">
        <f t="shared" si="167"/>
        <v>0</v>
      </c>
      <c r="AP3358" s="7">
        <f t="shared" si="166"/>
        <v>19.97</v>
      </c>
      <c r="AQ3358" s="31" t="str">
        <f t="shared" si="168"/>
        <v>Complete - No Adjustment</v>
      </c>
    </row>
    <row r="3359" spans="1:43" x14ac:dyDescent="0.2">
      <c r="A3359" s="46">
        <v>3349</v>
      </c>
      <c r="B3359" s="38" t="s">
        <v>266</v>
      </c>
      <c r="C3359" s="38" t="s">
        <v>416</v>
      </c>
      <c r="D3359" s="38" t="s">
        <v>415</v>
      </c>
      <c r="E3359" s="38" t="s">
        <v>7660</v>
      </c>
      <c r="F3359" s="38" t="s">
        <v>7589</v>
      </c>
      <c r="G3359" s="38" t="s">
        <v>111</v>
      </c>
      <c r="H3359" s="44">
        <v>44274</v>
      </c>
      <c r="I3359" s="44">
        <v>44280</v>
      </c>
      <c r="J3359">
        <v>27.04</v>
      </c>
      <c r="K3359">
        <v>27.04</v>
      </c>
      <c r="L3359" t="s">
        <v>7661</v>
      </c>
      <c r="M3359" s="45" t="s">
        <v>98</v>
      </c>
      <c r="N3359" s="38" t="s">
        <v>230</v>
      </c>
      <c r="O3359" s="38" t="s">
        <v>288</v>
      </c>
      <c r="P3359" s="38" t="s">
        <v>60</v>
      </c>
      <c r="Q3359" s="38" t="s">
        <v>104</v>
      </c>
      <c r="R3359" s="38" t="s">
        <v>270</v>
      </c>
      <c r="S3359" s="38" t="s">
        <v>7662</v>
      </c>
      <c r="T3359" s="38" t="s">
        <v>7663</v>
      </c>
      <c r="U3359" s="38"/>
      <c r="V3359" s="38"/>
      <c r="W3359" s="38"/>
      <c r="X3359" s="7"/>
      <c r="Y3359" s="57"/>
      <c r="Z3359" s="7"/>
      <c r="AA3359" s="57"/>
      <c r="AB3359" s="7"/>
      <c r="AC3359" s="57"/>
      <c r="AD3359" s="7"/>
      <c r="AE3359" s="57"/>
      <c r="AF3359" s="7"/>
      <c r="AG3359" s="57"/>
      <c r="AH3359" s="7"/>
      <c r="AI3359" s="57"/>
      <c r="AJ3359" s="7"/>
      <c r="AK3359" s="57"/>
      <c r="AL3359" s="7"/>
      <c r="AN3359" s="7" t="s">
        <v>155</v>
      </c>
      <c r="AO3359" s="21">
        <f t="shared" si="167"/>
        <v>0</v>
      </c>
      <c r="AP3359" s="7">
        <f t="shared" si="166"/>
        <v>27.04</v>
      </c>
      <c r="AQ3359" s="31" t="str">
        <f t="shared" si="168"/>
        <v>Complete - No Adjustment</v>
      </c>
    </row>
    <row r="3360" spans="1:43" x14ac:dyDescent="0.2">
      <c r="A3360" s="46">
        <v>3350</v>
      </c>
      <c r="B3360" s="38" t="s">
        <v>266</v>
      </c>
      <c r="C3360" s="38" t="s">
        <v>416</v>
      </c>
      <c r="D3360" s="38" t="s">
        <v>415</v>
      </c>
      <c r="E3360" s="38" t="s">
        <v>7664</v>
      </c>
      <c r="F3360" s="38" t="s">
        <v>7626</v>
      </c>
      <c r="G3360" s="38" t="s">
        <v>111</v>
      </c>
      <c r="H3360" s="44">
        <v>44279</v>
      </c>
      <c r="I3360" s="44">
        <v>44281</v>
      </c>
      <c r="J3360">
        <v>219</v>
      </c>
      <c r="K3360">
        <v>219</v>
      </c>
      <c r="L3360" t="s">
        <v>7665</v>
      </c>
      <c r="M3360" s="45" t="s">
        <v>98</v>
      </c>
      <c r="N3360" s="38" t="s">
        <v>230</v>
      </c>
      <c r="O3360" s="38" t="s">
        <v>331</v>
      </c>
      <c r="P3360" s="38" t="s">
        <v>60</v>
      </c>
      <c r="Q3360" s="38" t="s">
        <v>59</v>
      </c>
      <c r="R3360" s="38" t="s">
        <v>270</v>
      </c>
      <c r="S3360" s="38" t="s">
        <v>7666</v>
      </c>
      <c r="T3360" s="38" t="s">
        <v>7667</v>
      </c>
      <c r="U3360" s="38"/>
      <c r="V3360" s="38"/>
      <c r="W3360" s="38"/>
      <c r="X3360" s="7"/>
      <c r="Y3360" s="57"/>
      <c r="Z3360" s="7"/>
      <c r="AA3360" s="57"/>
      <c r="AB3360" s="7"/>
      <c r="AC3360" s="57"/>
      <c r="AD3360" s="7"/>
      <c r="AE3360" s="57"/>
      <c r="AF3360" s="7"/>
      <c r="AG3360" s="57"/>
      <c r="AH3360" s="7"/>
      <c r="AI3360" s="57"/>
      <c r="AJ3360" s="7"/>
      <c r="AK3360" s="57"/>
      <c r="AL3360" s="7"/>
      <c r="AN3360" s="7" t="s">
        <v>70</v>
      </c>
      <c r="AO3360" s="21">
        <f t="shared" si="167"/>
        <v>0</v>
      </c>
      <c r="AP3360" s="7">
        <f t="shared" si="166"/>
        <v>219</v>
      </c>
      <c r="AQ3360" s="31" t="str">
        <f t="shared" si="168"/>
        <v>Complete - No Adjustment</v>
      </c>
    </row>
    <row r="3361" spans="1:43" x14ac:dyDescent="0.2">
      <c r="A3361" s="46">
        <v>3351</v>
      </c>
      <c r="B3361" s="38" t="s">
        <v>266</v>
      </c>
      <c r="C3361" s="38" t="s">
        <v>609</v>
      </c>
      <c r="D3361" s="38" t="s">
        <v>608</v>
      </c>
      <c r="E3361" s="38" t="s">
        <v>7668</v>
      </c>
      <c r="F3361" s="38" t="s">
        <v>7631</v>
      </c>
      <c r="G3361" s="38" t="s">
        <v>111</v>
      </c>
      <c r="H3361" s="44">
        <v>44270</v>
      </c>
      <c r="I3361" s="44">
        <v>44272</v>
      </c>
      <c r="J3361">
        <v>14.94</v>
      </c>
      <c r="K3361">
        <v>14.94</v>
      </c>
      <c r="L3361" t="s">
        <v>7669</v>
      </c>
      <c r="M3361" s="45" t="s">
        <v>98</v>
      </c>
      <c r="N3361" s="38" t="s">
        <v>230</v>
      </c>
      <c r="O3361" s="38" t="s">
        <v>303</v>
      </c>
      <c r="P3361" s="38" t="s">
        <v>60</v>
      </c>
      <c r="Q3361" s="38" t="s">
        <v>41</v>
      </c>
      <c r="R3361" s="38" t="s">
        <v>270</v>
      </c>
      <c r="S3361" s="38" t="s">
        <v>7670</v>
      </c>
      <c r="T3361" s="38" t="s">
        <v>7671</v>
      </c>
      <c r="U3361" s="38"/>
      <c r="V3361" s="38"/>
      <c r="W3361" s="38"/>
      <c r="X3361" s="7"/>
      <c r="Y3361" s="57"/>
      <c r="Z3361" s="7"/>
      <c r="AA3361" s="57"/>
      <c r="AB3361" s="7"/>
      <c r="AC3361" s="57"/>
      <c r="AD3361" s="7"/>
      <c r="AE3361" s="57"/>
      <c r="AF3361" s="7"/>
      <c r="AG3361" s="57"/>
      <c r="AH3361" s="7"/>
      <c r="AI3361" s="57"/>
      <c r="AJ3361" s="7"/>
      <c r="AK3361" s="57"/>
      <c r="AL3361" s="7"/>
      <c r="AN3361" s="7" t="s">
        <v>70</v>
      </c>
      <c r="AO3361" s="21">
        <f t="shared" si="167"/>
        <v>0</v>
      </c>
      <c r="AP3361" s="7">
        <f t="shared" si="166"/>
        <v>14.94</v>
      </c>
      <c r="AQ3361" s="31" t="str">
        <f t="shared" si="168"/>
        <v>Complete - No Adjustment</v>
      </c>
    </row>
    <row r="3362" spans="1:43" x14ac:dyDescent="0.2">
      <c r="A3362" s="46">
        <v>3352</v>
      </c>
      <c r="B3362" s="38" t="s">
        <v>266</v>
      </c>
      <c r="C3362" s="38" t="s">
        <v>727</v>
      </c>
      <c r="D3362" s="38" t="s">
        <v>726</v>
      </c>
      <c r="E3362" s="38" t="s">
        <v>7672</v>
      </c>
      <c r="F3362" s="38" t="s">
        <v>7673</v>
      </c>
      <c r="G3362" s="38" t="s">
        <v>111</v>
      </c>
      <c r="H3362" s="44">
        <v>44249</v>
      </c>
      <c r="I3362" s="44">
        <v>44258</v>
      </c>
      <c r="J3362">
        <v>215.42</v>
      </c>
      <c r="K3362">
        <v>215.42</v>
      </c>
      <c r="L3362" t="s">
        <v>7674</v>
      </c>
      <c r="M3362" s="45" t="s">
        <v>98</v>
      </c>
      <c r="N3362" s="38" t="s">
        <v>230</v>
      </c>
      <c r="O3362" s="38" t="s">
        <v>397</v>
      </c>
      <c r="P3362" s="38" t="s">
        <v>60</v>
      </c>
      <c r="Q3362" s="38" t="s">
        <v>104</v>
      </c>
      <c r="R3362" s="38" t="s">
        <v>270</v>
      </c>
      <c r="S3362" s="38" t="s">
        <v>7675</v>
      </c>
      <c r="T3362" s="38" t="s">
        <v>7676</v>
      </c>
      <c r="U3362" s="38"/>
      <c r="V3362" s="38"/>
      <c r="W3362" s="38"/>
      <c r="X3362" s="7"/>
      <c r="Y3362" s="57"/>
      <c r="Z3362" s="7"/>
      <c r="AA3362" s="57"/>
      <c r="AB3362" s="7"/>
      <c r="AC3362" s="57"/>
      <c r="AD3362" s="7"/>
      <c r="AE3362" s="57"/>
      <c r="AF3362" s="7"/>
      <c r="AG3362" s="57"/>
      <c r="AH3362" s="7"/>
      <c r="AI3362" s="57"/>
      <c r="AJ3362" s="7"/>
      <c r="AK3362" s="57"/>
      <c r="AL3362" s="7"/>
      <c r="AN3362" s="7" t="s">
        <v>70</v>
      </c>
      <c r="AO3362" s="21">
        <f t="shared" si="167"/>
        <v>0</v>
      </c>
      <c r="AP3362" s="7">
        <f t="shared" si="166"/>
        <v>215.42</v>
      </c>
      <c r="AQ3362" s="31" t="str">
        <f t="shared" si="168"/>
        <v>Complete - No Adjustment</v>
      </c>
    </row>
    <row r="3363" spans="1:43" x14ac:dyDescent="0.2">
      <c r="A3363" s="46">
        <v>3353</v>
      </c>
      <c r="B3363" s="38" t="s">
        <v>266</v>
      </c>
      <c r="C3363" s="38" t="s">
        <v>710</v>
      </c>
      <c r="D3363" s="38" t="s">
        <v>709</v>
      </c>
      <c r="E3363" s="38" t="s">
        <v>7677</v>
      </c>
      <c r="F3363" s="38" t="s">
        <v>7678</v>
      </c>
      <c r="G3363" s="38" t="s">
        <v>111</v>
      </c>
      <c r="H3363" s="44">
        <v>44273</v>
      </c>
      <c r="I3363" s="44">
        <v>44278</v>
      </c>
      <c r="J3363">
        <v>13.81</v>
      </c>
      <c r="K3363">
        <v>13.81</v>
      </c>
      <c r="L3363" t="s">
        <v>7679</v>
      </c>
      <c r="M3363" s="45" t="s">
        <v>98</v>
      </c>
      <c r="N3363" s="38" t="s">
        <v>230</v>
      </c>
      <c r="O3363" s="38" t="s">
        <v>288</v>
      </c>
      <c r="P3363" s="38" t="s">
        <v>60</v>
      </c>
      <c r="Q3363" s="38" t="s">
        <v>41</v>
      </c>
      <c r="R3363" s="38" t="s">
        <v>270</v>
      </c>
      <c r="S3363" s="38" t="s">
        <v>6124</v>
      </c>
      <c r="T3363" s="38" t="s">
        <v>6125</v>
      </c>
      <c r="U3363" s="38"/>
      <c r="V3363" s="38"/>
      <c r="W3363" s="38"/>
      <c r="X3363" s="7"/>
      <c r="Y3363" s="57"/>
      <c r="Z3363" s="7"/>
      <c r="AA3363" s="57"/>
      <c r="AB3363" s="7"/>
      <c r="AC3363" s="57"/>
      <c r="AD3363" s="7"/>
      <c r="AE3363" s="57"/>
      <c r="AF3363" s="7"/>
      <c r="AG3363" s="57"/>
      <c r="AH3363" s="7"/>
      <c r="AI3363" s="57">
        <f>13.81</f>
        <v>13.81</v>
      </c>
      <c r="AJ3363" s="7"/>
      <c r="AK3363" s="57"/>
      <c r="AL3363" s="7"/>
      <c r="AN3363" s="7" t="s">
        <v>145</v>
      </c>
      <c r="AO3363" s="21">
        <f t="shared" si="167"/>
        <v>13.81</v>
      </c>
      <c r="AP3363" s="7">
        <f t="shared" si="166"/>
        <v>0</v>
      </c>
      <c r="AQ3363" s="31" t="str">
        <f t="shared" si="168"/>
        <v>Complete - With Adjustment</v>
      </c>
    </row>
    <row r="3364" spans="1:43" x14ac:dyDescent="0.2">
      <c r="A3364" s="46">
        <v>3354</v>
      </c>
      <c r="B3364" s="38" t="s">
        <v>266</v>
      </c>
      <c r="C3364" s="38" t="s">
        <v>846</v>
      </c>
      <c r="D3364" s="38" t="s">
        <v>847</v>
      </c>
      <c r="E3364" s="38" t="s">
        <v>7680</v>
      </c>
      <c r="F3364" s="38" t="s">
        <v>7678</v>
      </c>
      <c r="G3364" s="38" t="s">
        <v>111</v>
      </c>
      <c r="H3364" s="44">
        <v>44277</v>
      </c>
      <c r="I3364" s="44">
        <v>44278</v>
      </c>
      <c r="J3364">
        <v>50.6</v>
      </c>
      <c r="K3364">
        <v>50.6</v>
      </c>
      <c r="L3364" t="s">
        <v>7681</v>
      </c>
      <c r="M3364" s="45" t="s">
        <v>98</v>
      </c>
      <c r="N3364" s="38" t="s">
        <v>230</v>
      </c>
      <c r="O3364" s="38" t="s">
        <v>314</v>
      </c>
      <c r="P3364" s="38" t="s">
        <v>60</v>
      </c>
      <c r="Q3364" s="38" t="s">
        <v>44</v>
      </c>
      <c r="R3364" s="38" t="s">
        <v>270</v>
      </c>
      <c r="S3364" s="38" t="s">
        <v>4029</v>
      </c>
      <c r="T3364" s="38" t="s">
        <v>4030</v>
      </c>
      <c r="U3364" s="38"/>
      <c r="V3364" s="38"/>
      <c r="W3364" s="38"/>
      <c r="X3364" s="7"/>
      <c r="Y3364" s="57"/>
      <c r="Z3364" s="7"/>
      <c r="AA3364" s="57"/>
      <c r="AB3364" s="7"/>
      <c r="AC3364" s="57"/>
      <c r="AD3364" s="7"/>
      <c r="AE3364" s="57"/>
      <c r="AF3364" s="7"/>
      <c r="AG3364" s="57"/>
      <c r="AH3364" s="7"/>
      <c r="AI3364" s="57"/>
      <c r="AJ3364" s="7"/>
      <c r="AK3364" s="57"/>
      <c r="AL3364" s="7"/>
      <c r="AN3364" s="7" t="s">
        <v>155</v>
      </c>
      <c r="AO3364" s="21">
        <f t="shared" si="167"/>
        <v>0</v>
      </c>
      <c r="AP3364" s="7">
        <f t="shared" si="166"/>
        <v>50.6</v>
      </c>
      <c r="AQ3364" s="31" t="str">
        <f t="shared" si="168"/>
        <v>Complete - No Adjustment</v>
      </c>
    </row>
    <row r="3365" spans="1:43" x14ac:dyDescent="0.2">
      <c r="A3365" s="46">
        <v>3355</v>
      </c>
      <c r="B3365" s="38" t="s">
        <v>266</v>
      </c>
      <c r="C3365" s="38" t="s">
        <v>846</v>
      </c>
      <c r="D3365" s="38" t="s">
        <v>847</v>
      </c>
      <c r="E3365" s="38" t="s">
        <v>7682</v>
      </c>
      <c r="F3365" s="38" t="s">
        <v>7678</v>
      </c>
      <c r="G3365" s="38" t="s">
        <v>111</v>
      </c>
      <c r="H3365" s="44">
        <v>44277</v>
      </c>
      <c r="I3365" s="44">
        <v>44278</v>
      </c>
      <c r="J3365">
        <v>492.8</v>
      </c>
      <c r="K3365">
        <v>492.8</v>
      </c>
      <c r="L3365" t="s">
        <v>7683</v>
      </c>
      <c r="M3365" s="45" t="s">
        <v>98</v>
      </c>
      <c r="N3365" s="38" t="s">
        <v>230</v>
      </c>
      <c r="O3365" s="38" t="s">
        <v>314</v>
      </c>
      <c r="P3365" s="38" t="s">
        <v>60</v>
      </c>
      <c r="Q3365" s="38" t="s">
        <v>44</v>
      </c>
      <c r="R3365" s="38" t="s">
        <v>270</v>
      </c>
      <c r="S3365" s="38" t="s">
        <v>4029</v>
      </c>
      <c r="T3365" s="38" t="s">
        <v>4030</v>
      </c>
      <c r="U3365" s="38"/>
      <c r="V3365" s="38"/>
      <c r="W3365" s="38"/>
      <c r="X3365" s="7"/>
      <c r="Y3365" s="57"/>
      <c r="Z3365" s="7"/>
      <c r="AA3365" s="57"/>
      <c r="AB3365" s="7"/>
      <c r="AC3365" s="57"/>
      <c r="AD3365" s="7"/>
      <c r="AE3365" s="57"/>
      <c r="AF3365" s="7"/>
      <c r="AG3365" s="57"/>
      <c r="AH3365" s="7"/>
      <c r="AI3365" s="57"/>
      <c r="AJ3365" s="7"/>
      <c r="AK3365" s="57"/>
      <c r="AL3365" s="7"/>
      <c r="AN3365" s="7" t="s">
        <v>155</v>
      </c>
      <c r="AO3365" s="21">
        <f t="shared" si="167"/>
        <v>0</v>
      </c>
      <c r="AP3365" s="7">
        <f t="shared" si="166"/>
        <v>492.8</v>
      </c>
      <c r="AQ3365" s="31" t="str">
        <f t="shared" si="168"/>
        <v>Complete - No Adjustment</v>
      </c>
    </row>
    <row r="3366" spans="1:43" x14ac:dyDescent="0.2">
      <c r="A3366" s="46">
        <v>3356</v>
      </c>
      <c r="B3366" s="38" t="s">
        <v>266</v>
      </c>
      <c r="C3366" s="38" t="s">
        <v>439</v>
      </c>
      <c r="D3366" s="38" t="s">
        <v>438</v>
      </c>
      <c r="E3366" s="38" t="s">
        <v>7684</v>
      </c>
      <c r="F3366" s="38" t="s">
        <v>7589</v>
      </c>
      <c r="G3366" s="38" t="s">
        <v>111</v>
      </c>
      <c r="H3366" s="44">
        <v>44250</v>
      </c>
      <c r="I3366" s="44">
        <v>44280</v>
      </c>
      <c r="J3366">
        <v>1430.46</v>
      </c>
      <c r="K3366">
        <v>15</v>
      </c>
      <c r="L3366" t="s">
        <v>7685</v>
      </c>
      <c r="M3366" s="45" t="s">
        <v>98</v>
      </c>
      <c r="N3366" s="38" t="s">
        <v>230</v>
      </c>
      <c r="O3366" s="38" t="s">
        <v>271</v>
      </c>
      <c r="P3366" s="38" t="s">
        <v>60</v>
      </c>
      <c r="Q3366" s="38" t="s">
        <v>41</v>
      </c>
      <c r="R3366" s="38" t="s">
        <v>270</v>
      </c>
      <c r="S3366" s="38" t="s">
        <v>7686</v>
      </c>
      <c r="T3366" s="38" t="s">
        <v>7687</v>
      </c>
      <c r="U3366" s="38"/>
      <c r="V3366" s="38"/>
      <c r="W3366" s="38"/>
      <c r="X3366" s="7"/>
      <c r="Y3366" s="57"/>
      <c r="Z3366" s="7"/>
      <c r="AA3366" s="57"/>
      <c r="AB3366" s="7"/>
      <c r="AC3366" s="57"/>
      <c r="AD3366" s="7"/>
      <c r="AE3366" s="57"/>
      <c r="AF3366" s="7"/>
      <c r="AG3366" s="57"/>
      <c r="AH3366" s="7"/>
      <c r="AI3366" s="57"/>
      <c r="AJ3366" s="7"/>
      <c r="AK3366" s="57"/>
      <c r="AL3366" s="7"/>
      <c r="AN3366" s="7" t="s">
        <v>155</v>
      </c>
      <c r="AO3366" s="21">
        <f t="shared" si="167"/>
        <v>0</v>
      </c>
      <c r="AP3366" s="7">
        <f t="shared" si="166"/>
        <v>15</v>
      </c>
      <c r="AQ3366" s="31" t="str">
        <f t="shared" si="168"/>
        <v>Complete - No Adjustment</v>
      </c>
    </row>
    <row r="3367" spans="1:43" x14ac:dyDescent="0.2">
      <c r="A3367" s="46">
        <v>3357</v>
      </c>
      <c r="B3367" s="38" t="s">
        <v>266</v>
      </c>
      <c r="C3367" s="38" t="s">
        <v>439</v>
      </c>
      <c r="D3367" s="38" t="s">
        <v>438</v>
      </c>
      <c r="E3367" s="38" t="s">
        <v>7684</v>
      </c>
      <c r="F3367" s="38" t="s">
        <v>7589</v>
      </c>
      <c r="G3367" s="38" t="s">
        <v>111</v>
      </c>
      <c r="H3367" s="44">
        <v>44250</v>
      </c>
      <c r="I3367" s="44">
        <v>44280</v>
      </c>
      <c r="J3367">
        <v>1430.46</v>
      </c>
      <c r="K3367">
        <v>948.46</v>
      </c>
      <c r="L3367" t="s">
        <v>7685</v>
      </c>
      <c r="M3367" s="45" t="s">
        <v>98</v>
      </c>
      <c r="N3367" s="38" t="s">
        <v>230</v>
      </c>
      <c r="O3367" s="38" t="s">
        <v>271</v>
      </c>
      <c r="P3367" s="38" t="s">
        <v>60</v>
      </c>
      <c r="Q3367" s="38" t="s">
        <v>46</v>
      </c>
      <c r="R3367" s="38" t="s">
        <v>270</v>
      </c>
      <c r="S3367" s="38" t="s">
        <v>7686</v>
      </c>
      <c r="T3367" s="38" t="s">
        <v>7688</v>
      </c>
      <c r="U3367" s="38"/>
      <c r="V3367" s="38"/>
      <c r="W3367" s="38"/>
      <c r="X3367" s="7"/>
      <c r="Y3367" s="57"/>
      <c r="Z3367" s="7"/>
      <c r="AA3367" s="57"/>
      <c r="AB3367" s="7"/>
      <c r="AC3367" s="57"/>
      <c r="AD3367" s="7"/>
      <c r="AE3367" s="57"/>
      <c r="AF3367" s="7"/>
      <c r="AG3367" s="57"/>
      <c r="AH3367" s="7"/>
      <c r="AI3367" s="57">
        <f>948.46</f>
        <v>948.46</v>
      </c>
      <c r="AJ3367" s="7"/>
      <c r="AK3367" s="57"/>
      <c r="AL3367" s="7"/>
      <c r="AN3367" s="7" t="s">
        <v>145</v>
      </c>
      <c r="AO3367" s="21">
        <f t="shared" si="167"/>
        <v>948.46</v>
      </c>
      <c r="AP3367" s="7">
        <f t="shared" si="166"/>
        <v>0</v>
      </c>
      <c r="AQ3367" s="31" t="str">
        <f t="shared" si="168"/>
        <v>Complete - With Adjustment</v>
      </c>
    </row>
    <row r="3368" spans="1:43" x14ac:dyDescent="0.2">
      <c r="A3368" s="46">
        <v>3358</v>
      </c>
      <c r="B3368" s="38" t="s">
        <v>266</v>
      </c>
      <c r="C3368" s="38" t="s">
        <v>439</v>
      </c>
      <c r="D3368" s="38" t="s">
        <v>438</v>
      </c>
      <c r="E3368" s="38" t="s">
        <v>7684</v>
      </c>
      <c r="F3368" s="38" t="s">
        <v>7589</v>
      </c>
      <c r="G3368" s="38" t="s">
        <v>111</v>
      </c>
      <c r="H3368" s="44">
        <v>44250</v>
      </c>
      <c r="I3368" s="44">
        <v>44280</v>
      </c>
      <c r="J3368">
        <v>1430.46</v>
      </c>
      <c r="K3368">
        <v>252</v>
      </c>
      <c r="L3368" t="s">
        <v>7685</v>
      </c>
      <c r="M3368" s="45" t="s">
        <v>98</v>
      </c>
      <c r="N3368" s="38" t="s">
        <v>230</v>
      </c>
      <c r="O3368" s="38" t="s">
        <v>271</v>
      </c>
      <c r="P3368" s="38" t="s">
        <v>60</v>
      </c>
      <c r="Q3368" s="38" t="s">
        <v>44</v>
      </c>
      <c r="R3368" s="38" t="s">
        <v>270</v>
      </c>
      <c r="S3368" s="38" t="s">
        <v>7686</v>
      </c>
      <c r="T3368" s="38" t="s">
        <v>7689</v>
      </c>
      <c r="U3368" s="38"/>
      <c r="V3368" s="38"/>
      <c r="W3368" s="38"/>
      <c r="X3368" s="7"/>
      <c r="Y3368" s="57"/>
      <c r="Z3368" s="7"/>
      <c r="AA3368" s="57"/>
      <c r="AB3368" s="7"/>
      <c r="AC3368" s="57"/>
      <c r="AD3368" s="7"/>
      <c r="AE3368" s="57"/>
      <c r="AF3368" s="7"/>
      <c r="AG3368" s="57"/>
      <c r="AH3368" s="7"/>
      <c r="AI3368" s="57"/>
      <c r="AJ3368" s="7"/>
      <c r="AK3368" s="57"/>
      <c r="AL3368" s="7"/>
      <c r="AN3368" s="7" t="s">
        <v>70</v>
      </c>
      <c r="AO3368" s="21">
        <f t="shared" si="167"/>
        <v>0</v>
      </c>
      <c r="AP3368" s="7">
        <f t="shared" si="166"/>
        <v>252</v>
      </c>
      <c r="AQ3368" s="31" t="str">
        <f t="shared" si="168"/>
        <v>Complete - No Adjustment</v>
      </c>
    </row>
    <row r="3369" spans="1:43" x14ac:dyDescent="0.2">
      <c r="A3369" s="46">
        <v>3359</v>
      </c>
      <c r="B3369" s="38" t="s">
        <v>266</v>
      </c>
      <c r="C3369" s="38" t="s">
        <v>439</v>
      </c>
      <c r="D3369" s="38" t="s">
        <v>438</v>
      </c>
      <c r="E3369" s="38" t="s">
        <v>7684</v>
      </c>
      <c r="F3369" s="38" t="s">
        <v>7589</v>
      </c>
      <c r="G3369" s="38" t="s">
        <v>111</v>
      </c>
      <c r="H3369" s="44">
        <v>44250</v>
      </c>
      <c r="I3369" s="44">
        <v>44280</v>
      </c>
      <c r="J3369">
        <v>1430.46</v>
      </c>
      <c r="K3369">
        <v>100</v>
      </c>
      <c r="L3369" t="s">
        <v>7685</v>
      </c>
      <c r="M3369" s="45" t="s">
        <v>98</v>
      </c>
      <c r="N3369" s="38" t="s">
        <v>230</v>
      </c>
      <c r="O3369" s="38" t="s">
        <v>271</v>
      </c>
      <c r="P3369" s="38" t="s">
        <v>60</v>
      </c>
      <c r="Q3369" s="38" t="s">
        <v>62</v>
      </c>
      <c r="R3369" s="38" t="s">
        <v>270</v>
      </c>
      <c r="S3369" s="38" t="s">
        <v>7686</v>
      </c>
      <c r="T3369" s="38" t="s">
        <v>7690</v>
      </c>
      <c r="U3369" s="38"/>
      <c r="V3369" s="38"/>
      <c r="W3369" s="38"/>
      <c r="X3369" s="7"/>
      <c r="Y3369" s="57"/>
      <c r="Z3369" s="7"/>
      <c r="AA3369" s="57"/>
      <c r="AB3369" s="7"/>
      <c r="AC3369" s="57"/>
      <c r="AD3369" s="7"/>
      <c r="AE3369" s="57"/>
      <c r="AF3369" s="7"/>
      <c r="AG3369" s="57"/>
      <c r="AH3369" s="7"/>
      <c r="AI3369" s="57"/>
      <c r="AJ3369" s="7"/>
      <c r="AK3369" s="57"/>
      <c r="AL3369" s="7"/>
      <c r="AN3369" s="7" t="s">
        <v>70</v>
      </c>
      <c r="AO3369" s="21">
        <f t="shared" si="167"/>
        <v>0</v>
      </c>
      <c r="AP3369" s="7">
        <f t="shared" si="166"/>
        <v>100</v>
      </c>
      <c r="AQ3369" s="31" t="str">
        <f t="shared" si="168"/>
        <v>Complete - No Adjustment</v>
      </c>
    </row>
    <row r="3370" spans="1:43" x14ac:dyDescent="0.2">
      <c r="A3370" s="46">
        <v>3360</v>
      </c>
      <c r="B3370" s="38" t="s">
        <v>266</v>
      </c>
      <c r="C3370" s="38" t="s">
        <v>439</v>
      </c>
      <c r="D3370" s="38" t="s">
        <v>438</v>
      </c>
      <c r="E3370" s="38" t="s">
        <v>7684</v>
      </c>
      <c r="F3370" s="38" t="s">
        <v>7589</v>
      </c>
      <c r="G3370" s="38" t="s">
        <v>111</v>
      </c>
      <c r="H3370" s="44">
        <v>44250</v>
      </c>
      <c r="I3370" s="44">
        <v>44280</v>
      </c>
      <c r="J3370">
        <v>1430.46</v>
      </c>
      <c r="K3370">
        <v>100</v>
      </c>
      <c r="L3370" t="s">
        <v>7685</v>
      </c>
      <c r="M3370" s="45" t="s">
        <v>98</v>
      </c>
      <c r="N3370" s="38" t="s">
        <v>230</v>
      </c>
      <c r="O3370" s="38" t="s">
        <v>271</v>
      </c>
      <c r="P3370" s="38" t="s">
        <v>60</v>
      </c>
      <c r="Q3370" s="38" t="s">
        <v>62</v>
      </c>
      <c r="R3370" s="38" t="s">
        <v>270</v>
      </c>
      <c r="S3370" s="38" t="s">
        <v>7686</v>
      </c>
      <c r="T3370" s="38" t="s">
        <v>7690</v>
      </c>
      <c r="U3370" s="38"/>
      <c r="V3370" s="38"/>
      <c r="W3370" s="38"/>
      <c r="X3370" s="7"/>
      <c r="Y3370" s="57"/>
      <c r="Z3370" s="7"/>
      <c r="AA3370" s="57"/>
      <c r="AB3370" s="7"/>
      <c r="AC3370" s="57"/>
      <c r="AD3370" s="7"/>
      <c r="AE3370" s="57"/>
      <c r="AF3370" s="7"/>
      <c r="AG3370" s="57"/>
      <c r="AH3370" s="7"/>
      <c r="AI3370" s="57"/>
      <c r="AJ3370" s="7"/>
      <c r="AK3370" s="57"/>
      <c r="AL3370" s="7"/>
      <c r="AN3370" s="7" t="s">
        <v>70</v>
      </c>
      <c r="AO3370" s="21">
        <f t="shared" si="167"/>
        <v>0</v>
      </c>
      <c r="AP3370" s="7">
        <f t="shared" si="166"/>
        <v>100</v>
      </c>
      <c r="AQ3370" s="31" t="str">
        <f t="shared" si="168"/>
        <v>Complete - No Adjustment</v>
      </c>
    </row>
    <row r="3371" spans="1:43" x14ac:dyDescent="0.2">
      <c r="A3371" s="46">
        <v>3361</v>
      </c>
      <c r="B3371" s="38" t="s">
        <v>266</v>
      </c>
      <c r="C3371" s="38" t="s">
        <v>439</v>
      </c>
      <c r="D3371" s="38" t="s">
        <v>438</v>
      </c>
      <c r="E3371" s="38" t="s">
        <v>7684</v>
      </c>
      <c r="F3371" s="38" t="s">
        <v>7589</v>
      </c>
      <c r="G3371" s="38" t="s">
        <v>111</v>
      </c>
      <c r="H3371" s="44">
        <v>44250</v>
      </c>
      <c r="I3371" s="44">
        <v>44280</v>
      </c>
      <c r="J3371">
        <v>1430.46</v>
      </c>
      <c r="K3371">
        <v>15</v>
      </c>
      <c r="L3371" t="s">
        <v>7685</v>
      </c>
      <c r="M3371" s="45" t="s">
        <v>98</v>
      </c>
      <c r="N3371" s="38" t="s">
        <v>230</v>
      </c>
      <c r="O3371" s="38" t="s">
        <v>271</v>
      </c>
      <c r="P3371" s="38" t="s">
        <v>60</v>
      </c>
      <c r="Q3371" s="38" t="s">
        <v>41</v>
      </c>
      <c r="R3371" s="38" t="s">
        <v>270</v>
      </c>
      <c r="S3371" s="38" t="s">
        <v>7686</v>
      </c>
      <c r="T3371" s="38" t="s">
        <v>7691</v>
      </c>
      <c r="U3371" s="38"/>
      <c r="V3371" s="38"/>
      <c r="W3371" s="38"/>
      <c r="X3371" s="7"/>
      <c r="Y3371" s="57"/>
      <c r="Z3371" s="7"/>
      <c r="AA3371" s="57"/>
      <c r="AB3371" s="7"/>
      <c r="AC3371" s="57"/>
      <c r="AD3371" s="7"/>
      <c r="AE3371" s="57"/>
      <c r="AF3371" s="7"/>
      <c r="AG3371" s="57"/>
      <c r="AH3371" s="7"/>
      <c r="AI3371" s="57"/>
      <c r="AJ3371" s="7"/>
      <c r="AK3371" s="57"/>
      <c r="AL3371" s="7"/>
      <c r="AN3371" s="7" t="s">
        <v>155</v>
      </c>
      <c r="AO3371" s="21">
        <f t="shared" si="167"/>
        <v>0</v>
      </c>
      <c r="AP3371" s="7">
        <f t="shared" si="166"/>
        <v>15</v>
      </c>
      <c r="AQ3371" s="31" t="str">
        <f t="shared" si="168"/>
        <v>Complete - No Adjustment</v>
      </c>
    </row>
    <row r="3372" spans="1:43" x14ac:dyDescent="0.2">
      <c r="A3372" s="46">
        <v>3362</v>
      </c>
      <c r="B3372" s="38" t="s">
        <v>266</v>
      </c>
      <c r="C3372" s="38" t="s">
        <v>7692</v>
      </c>
      <c r="D3372" s="38" t="s">
        <v>7693</v>
      </c>
      <c r="E3372" s="38" t="s">
        <v>7694</v>
      </c>
      <c r="F3372" s="38" t="s">
        <v>7673</v>
      </c>
      <c r="G3372" s="38" t="s">
        <v>111</v>
      </c>
      <c r="H3372" s="44">
        <v>44256</v>
      </c>
      <c r="I3372" s="44">
        <v>44258</v>
      </c>
      <c r="J3372">
        <v>85</v>
      </c>
      <c r="K3372">
        <v>85</v>
      </c>
      <c r="L3372" t="s">
        <v>7695</v>
      </c>
      <c r="M3372" s="45" t="s">
        <v>98</v>
      </c>
      <c r="N3372" s="38" t="s">
        <v>230</v>
      </c>
      <c r="O3372" s="38" t="s">
        <v>280</v>
      </c>
      <c r="P3372" s="38" t="s">
        <v>60</v>
      </c>
      <c r="Q3372" s="38" t="s">
        <v>46</v>
      </c>
      <c r="R3372" s="38" t="s">
        <v>270</v>
      </c>
      <c r="S3372" s="38" t="s">
        <v>7696</v>
      </c>
      <c r="T3372" s="38" t="s">
        <v>7697</v>
      </c>
      <c r="U3372" s="38"/>
      <c r="V3372" s="38"/>
      <c r="W3372" s="38"/>
      <c r="X3372" s="7"/>
      <c r="Y3372" s="57"/>
      <c r="Z3372" s="7"/>
      <c r="AA3372" s="57"/>
      <c r="AB3372" s="7"/>
      <c r="AC3372" s="57"/>
      <c r="AD3372" s="7"/>
      <c r="AE3372" s="57"/>
      <c r="AF3372" s="7"/>
      <c r="AG3372" s="57"/>
      <c r="AH3372" s="7"/>
      <c r="AI3372" s="57"/>
      <c r="AJ3372" s="7"/>
      <c r="AK3372" s="57"/>
      <c r="AL3372" s="7">
        <f>85</f>
        <v>85</v>
      </c>
      <c r="AN3372" s="7" t="s">
        <v>146</v>
      </c>
      <c r="AO3372" s="21">
        <f t="shared" si="167"/>
        <v>85</v>
      </c>
      <c r="AP3372" s="7">
        <f t="shared" si="166"/>
        <v>0</v>
      </c>
      <c r="AQ3372" s="31" t="str">
        <f t="shared" si="168"/>
        <v>Complete - With Adjustment</v>
      </c>
    </row>
    <row r="3373" spans="1:43" x14ac:dyDescent="0.2">
      <c r="A3373" s="46">
        <v>3363</v>
      </c>
      <c r="B3373" s="38" t="s">
        <v>266</v>
      </c>
      <c r="C3373" s="38" t="s">
        <v>7692</v>
      </c>
      <c r="D3373" s="38" t="s">
        <v>7693</v>
      </c>
      <c r="E3373" s="38" t="s">
        <v>7698</v>
      </c>
      <c r="F3373" s="38" t="s">
        <v>7673</v>
      </c>
      <c r="G3373" s="38" t="s">
        <v>111</v>
      </c>
      <c r="H3373" s="44">
        <v>44243</v>
      </c>
      <c r="I3373" s="44">
        <v>44258</v>
      </c>
      <c r="J3373">
        <v>90.92</v>
      </c>
      <c r="K3373">
        <v>90.92</v>
      </c>
      <c r="L3373" t="s">
        <v>7699</v>
      </c>
      <c r="M3373" s="45" t="s">
        <v>98</v>
      </c>
      <c r="N3373" s="38" t="s">
        <v>230</v>
      </c>
      <c r="O3373" s="38" t="s">
        <v>280</v>
      </c>
      <c r="P3373" s="38" t="s">
        <v>60</v>
      </c>
      <c r="Q3373" s="38" t="s">
        <v>41</v>
      </c>
      <c r="R3373" s="38" t="s">
        <v>270</v>
      </c>
      <c r="S3373" s="38" t="s">
        <v>7700</v>
      </c>
      <c r="T3373" s="38" t="s">
        <v>7701</v>
      </c>
      <c r="U3373" s="38"/>
      <c r="V3373" s="38"/>
      <c r="W3373" s="38"/>
      <c r="X3373" s="7"/>
      <c r="Y3373" s="57"/>
      <c r="Z3373" s="7"/>
      <c r="AA3373" s="57"/>
      <c r="AB3373" s="7">
        <f>83.99-(25*3)</f>
        <v>8.9899999999999949</v>
      </c>
      <c r="AC3373" s="57"/>
      <c r="AD3373" s="7"/>
      <c r="AE3373" s="57"/>
      <c r="AF3373" s="7"/>
      <c r="AG3373" s="57"/>
      <c r="AH3373" s="7"/>
      <c r="AI3373" s="57"/>
      <c r="AJ3373" s="7"/>
      <c r="AK3373" s="57"/>
      <c r="AL3373" s="7"/>
      <c r="AN3373" s="7" t="s">
        <v>66</v>
      </c>
      <c r="AO3373" s="21">
        <f t="shared" si="167"/>
        <v>8.9899999999999949</v>
      </c>
      <c r="AP3373" s="7">
        <f t="shared" si="166"/>
        <v>81.93</v>
      </c>
      <c r="AQ3373" s="31" t="str">
        <f t="shared" si="168"/>
        <v>Complete - With Adjustment</v>
      </c>
    </row>
    <row r="3374" spans="1:43" x14ac:dyDescent="0.2">
      <c r="A3374" s="46">
        <v>3364</v>
      </c>
      <c r="B3374" s="38" t="s">
        <v>266</v>
      </c>
      <c r="C3374" s="38" t="s">
        <v>446</v>
      </c>
      <c r="D3374" s="38" t="s">
        <v>445</v>
      </c>
      <c r="E3374" s="38" t="s">
        <v>7702</v>
      </c>
      <c r="F3374" s="38" t="s">
        <v>7562</v>
      </c>
      <c r="G3374" s="38" t="s">
        <v>111</v>
      </c>
      <c r="H3374" s="44">
        <v>44273</v>
      </c>
      <c r="I3374" s="44">
        <v>44277</v>
      </c>
      <c r="J3374">
        <v>397.28</v>
      </c>
      <c r="K3374">
        <v>45.47</v>
      </c>
      <c r="L3374" t="s">
        <v>7703</v>
      </c>
      <c r="M3374" s="45" t="s">
        <v>98</v>
      </c>
      <c r="N3374" s="38" t="s">
        <v>230</v>
      </c>
      <c r="O3374" s="38" t="s">
        <v>293</v>
      </c>
      <c r="P3374" s="38" t="s">
        <v>60</v>
      </c>
      <c r="Q3374" s="38" t="s">
        <v>174</v>
      </c>
      <c r="R3374" s="38" t="s">
        <v>270</v>
      </c>
      <c r="S3374" s="38" t="s">
        <v>7704</v>
      </c>
      <c r="T3374" s="38" t="s">
        <v>7705</v>
      </c>
      <c r="U3374" s="38"/>
      <c r="V3374" s="38"/>
      <c r="W3374" s="38"/>
      <c r="X3374" s="7"/>
      <c r="Y3374" s="57"/>
      <c r="Z3374" s="7"/>
      <c r="AA3374" s="57"/>
      <c r="AB3374" s="7"/>
      <c r="AC3374" s="57"/>
      <c r="AD3374" s="7"/>
      <c r="AE3374" s="57"/>
      <c r="AF3374" s="7"/>
      <c r="AG3374" s="57"/>
      <c r="AH3374" s="7"/>
      <c r="AI3374" s="57"/>
      <c r="AJ3374" s="7"/>
      <c r="AK3374" s="57"/>
      <c r="AL3374" s="7"/>
      <c r="AN3374" s="7" t="s">
        <v>70</v>
      </c>
      <c r="AO3374" s="21">
        <f t="shared" si="167"/>
        <v>0</v>
      </c>
      <c r="AP3374" s="7">
        <f t="shared" si="166"/>
        <v>45.47</v>
      </c>
      <c r="AQ3374" s="31" t="str">
        <f t="shared" si="168"/>
        <v>Complete - No Adjustment</v>
      </c>
    </row>
    <row r="3375" spans="1:43" x14ac:dyDescent="0.2">
      <c r="A3375" s="46">
        <v>3365</v>
      </c>
      <c r="B3375" s="38" t="s">
        <v>266</v>
      </c>
      <c r="C3375" s="38" t="s">
        <v>446</v>
      </c>
      <c r="D3375" s="38" t="s">
        <v>445</v>
      </c>
      <c r="E3375" s="38" t="s">
        <v>7702</v>
      </c>
      <c r="F3375" s="38" t="s">
        <v>7562</v>
      </c>
      <c r="G3375" s="38" t="s">
        <v>111</v>
      </c>
      <c r="H3375" s="44">
        <v>44273</v>
      </c>
      <c r="I3375" s="44">
        <v>44277</v>
      </c>
      <c r="J3375">
        <v>397.28</v>
      </c>
      <c r="K3375">
        <v>351.81</v>
      </c>
      <c r="L3375" t="s">
        <v>7703</v>
      </c>
      <c r="M3375" s="45" t="s">
        <v>98</v>
      </c>
      <c r="N3375" s="38" t="s">
        <v>230</v>
      </c>
      <c r="O3375" s="38" t="s">
        <v>293</v>
      </c>
      <c r="P3375" s="38" t="s">
        <v>60</v>
      </c>
      <c r="Q3375" s="38" t="s">
        <v>174</v>
      </c>
      <c r="R3375" s="38" t="s">
        <v>270</v>
      </c>
      <c r="S3375" s="38" t="s">
        <v>7704</v>
      </c>
      <c r="T3375" s="38" t="s">
        <v>7706</v>
      </c>
      <c r="U3375" s="38"/>
      <c r="V3375" s="38"/>
      <c r="W3375" s="38"/>
      <c r="X3375" s="7"/>
      <c r="Y3375" s="57"/>
      <c r="Z3375" s="7"/>
      <c r="AA3375" s="57"/>
      <c r="AB3375" s="7"/>
      <c r="AC3375" s="57"/>
      <c r="AD3375" s="7"/>
      <c r="AE3375" s="57"/>
      <c r="AF3375" s="7"/>
      <c r="AG3375" s="57"/>
      <c r="AH3375" s="7"/>
      <c r="AI3375" s="57"/>
      <c r="AJ3375" s="7"/>
      <c r="AK3375" s="57"/>
      <c r="AL3375" s="7"/>
      <c r="AN3375" s="7" t="s">
        <v>70</v>
      </c>
      <c r="AO3375" s="21">
        <f t="shared" si="167"/>
        <v>0</v>
      </c>
      <c r="AP3375" s="7">
        <f t="shared" si="166"/>
        <v>351.81</v>
      </c>
      <c r="AQ3375" s="31" t="str">
        <f t="shared" si="168"/>
        <v>Complete - No Adjustment</v>
      </c>
    </row>
    <row r="3376" spans="1:43" x14ac:dyDescent="0.2">
      <c r="A3376" s="46">
        <v>3366</v>
      </c>
      <c r="B3376" s="38" t="s">
        <v>266</v>
      </c>
      <c r="C3376" s="38" t="s">
        <v>620</v>
      </c>
      <c r="D3376" s="38" t="s">
        <v>619</v>
      </c>
      <c r="E3376" s="38" t="s">
        <v>7707</v>
      </c>
      <c r="F3376" s="38" t="s">
        <v>7567</v>
      </c>
      <c r="G3376" s="38" t="s">
        <v>111</v>
      </c>
      <c r="H3376" s="44">
        <v>44278</v>
      </c>
      <c r="I3376" s="44">
        <v>44279</v>
      </c>
      <c r="J3376">
        <v>15</v>
      </c>
      <c r="K3376">
        <v>15</v>
      </c>
      <c r="L3376" t="s">
        <v>7708</v>
      </c>
      <c r="M3376" s="45" t="s">
        <v>98</v>
      </c>
      <c r="N3376" s="38" t="s">
        <v>230</v>
      </c>
      <c r="O3376" s="38" t="s">
        <v>320</v>
      </c>
      <c r="P3376" s="38" t="s">
        <v>60</v>
      </c>
      <c r="Q3376" s="38" t="s">
        <v>41</v>
      </c>
      <c r="R3376" s="38" t="s">
        <v>270</v>
      </c>
      <c r="S3376" s="38" t="s">
        <v>7709</v>
      </c>
      <c r="T3376" s="38" t="s">
        <v>7710</v>
      </c>
      <c r="U3376" s="38"/>
      <c r="V3376" s="38"/>
      <c r="W3376" s="38"/>
      <c r="X3376" s="7"/>
      <c r="Y3376" s="57"/>
      <c r="Z3376" s="7"/>
      <c r="AA3376" s="57"/>
      <c r="AB3376" s="7"/>
      <c r="AC3376" s="57"/>
      <c r="AD3376" s="7"/>
      <c r="AE3376" s="57"/>
      <c r="AF3376" s="7"/>
      <c r="AG3376" s="57"/>
      <c r="AH3376" s="7"/>
      <c r="AI3376" s="57">
        <f>15</f>
        <v>15</v>
      </c>
      <c r="AJ3376" s="7"/>
      <c r="AK3376" s="57"/>
      <c r="AL3376" s="7"/>
      <c r="AN3376" s="7" t="s">
        <v>145</v>
      </c>
      <c r="AO3376" s="21">
        <f t="shared" si="167"/>
        <v>15</v>
      </c>
      <c r="AP3376" s="7">
        <f t="shared" si="166"/>
        <v>0</v>
      </c>
      <c r="AQ3376" s="31" t="str">
        <f t="shared" si="168"/>
        <v>Complete - With Adjustment</v>
      </c>
    </row>
    <row r="3377" spans="1:43" x14ac:dyDescent="0.2">
      <c r="A3377" s="46">
        <v>3367</v>
      </c>
      <c r="B3377" s="38" t="s">
        <v>266</v>
      </c>
      <c r="C3377" s="38" t="s">
        <v>568</v>
      </c>
      <c r="D3377" s="38" t="s">
        <v>567</v>
      </c>
      <c r="E3377" s="38" t="s">
        <v>7711</v>
      </c>
      <c r="F3377" s="38" t="s">
        <v>7712</v>
      </c>
      <c r="G3377" s="38" t="s">
        <v>111</v>
      </c>
      <c r="H3377" s="44">
        <v>44256</v>
      </c>
      <c r="I3377" s="44">
        <v>44265</v>
      </c>
      <c r="J3377">
        <v>18.899999999999999</v>
      </c>
      <c r="K3377">
        <v>18.899999999999999</v>
      </c>
      <c r="L3377" t="s">
        <v>7713</v>
      </c>
      <c r="M3377" s="45" t="s">
        <v>98</v>
      </c>
      <c r="N3377" s="38" t="s">
        <v>230</v>
      </c>
      <c r="O3377" s="38" t="s">
        <v>303</v>
      </c>
      <c r="P3377" s="38" t="s">
        <v>60</v>
      </c>
      <c r="Q3377" s="38" t="s">
        <v>41</v>
      </c>
      <c r="R3377" s="38" t="s">
        <v>270</v>
      </c>
      <c r="S3377" s="38" t="s">
        <v>7714</v>
      </c>
      <c r="T3377" s="38" t="s">
        <v>7715</v>
      </c>
      <c r="U3377" s="38"/>
      <c r="V3377" s="38"/>
      <c r="W3377" s="38"/>
      <c r="X3377" s="7"/>
      <c r="Y3377" s="57"/>
      <c r="Z3377" s="7"/>
      <c r="AA3377" s="57"/>
      <c r="AB3377" s="7"/>
      <c r="AC3377" s="57"/>
      <c r="AD3377" s="7"/>
      <c r="AE3377" s="57"/>
      <c r="AF3377" s="7"/>
      <c r="AG3377" s="57"/>
      <c r="AH3377" s="7"/>
      <c r="AI3377" s="57"/>
      <c r="AJ3377" s="7"/>
      <c r="AK3377" s="57"/>
      <c r="AL3377" s="7"/>
      <c r="AN3377" s="7" t="s">
        <v>70</v>
      </c>
      <c r="AO3377" s="21">
        <f t="shared" si="167"/>
        <v>0</v>
      </c>
      <c r="AP3377" s="7">
        <f t="shared" si="166"/>
        <v>18.899999999999999</v>
      </c>
      <c r="AQ3377" s="31" t="str">
        <f t="shared" si="168"/>
        <v>Complete - No Adjustment</v>
      </c>
    </row>
    <row r="3378" spans="1:43" x14ac:dyDescent="0.2">
      <c r="A3378" s="46">
        <v>3368</v>
      </c>
      <c r="B3378" s="38" t="s">
        <v>266</v>
      </c>
      <c r="C3378" s="38" t="s">
        <v>568</v>
      </c>
      <c r="D3378" s="38" t="s">
        <v>567</v>
      </c>
      <c r="E3378" s="38" t="s">
        <v>7716</v>
      </c>
      <c r="F3378" s="38" t="s">
        <v>7717</v>
      </c>
      <c r="G3378" s="38" t="s">
        <v>111</v>
      </c>
      <c r="H3378" s="44">
        <v>44274</v>
      </c>
      <c r="I3378" s="44">
        <v>44284</v>
      </c>
      <c r="J3378">
        <v>27.97</v>
      </c>
      <c r="K3378">
        <v>16.079999999999998</v>
      </c>
      <c r="L3378" t="s">
        <v>7718</v>
      </c>
      <c r="M3378" s="45" t="s">
        <v>98</v>
      </c>
      <c r="N3378" s="38" t="s">
        <v>230</v>
      </c>
      <c r="O3378" s="38" t="s">
        <v>303</v>
      </c>
      <c r="P3378" s="38" t="s">
        <v>60</v>
      </c>
      <c r="Q3378" s="38" t="s">
        <v>41</v>
      </c>
      <c r="R3378" s="38" t="s">
        <v>270</v>
      </c>
      <c r="S3378" s="38" t="s">
        <v>7719</v>
      </c>
      <c r="T3378" s="38" t="s">
        <v>7720</v>
      </c>
      <c r="U3378" s="38"/>
      <c r="V3378" s="38"/>
      <c r="W3378" s="38"/>
      <c r="X3378" s="7"/>
      <c r="Y3378" s="57"/>
      <c r="Z3378" s="7"/>
      <c r="AA3378" s="57"/>
      <c r="AB3378" s="7"/>
      <c r="AC3378" s="57"/>
      <c r="AD3378" s="7"/>
      <c r="AE3378" s="57"/>
      <c r="AF3378" s="7"/>
      <c r="AG3378" s="57"/>
      <c r="AH3378" s="7"/>
      <c r="AI3378" s="57"/>
      <c r="AJ3378" s="7"/>
      <c r="AK3378" s="57"/>
      <c r="AL3378" s="7"/>
      <c r="AN3378" s="7" t="s">
        <v>70</v>
      </c>
      <c r="AO3378" s="21">
        <f t="shared" si="167"/>
        <v>0</v>
      </c>
      <c r="AP3378" s="7">
        <f t="shared" si="166"/>
        <v>16.079999999999998</v>
      </c>
      <c r="AQ3378" s="31" t="str">
        <f t="shared" si="168"/>
        <v>Complete - No Adjustment</v>
      </c>
    </row>
    <row r="3379" spans="1:43" x14ac:dyDescent="0.2">
      <c r="A3379" s="46">
        <v>3369</v>
      </c>
      <c r="B3379" s="38" t="s">
        <v>266</v>
      </c>
      <c r="C3379" s="38" t="s">
        <v>568</v>
      </c>
      <c r="D3379" s="38" t="s">
        <v>567</v>
      </c>
      <c r="E3379" s="38" t="s">
        <v>7716</v>
      </c>
      <c r="F3379" s="38" t="s">
        <v>7717</v>
      </c>
      <c r="G3379" s="38" t="s">
        <v>111</v>
      </c>
      <c r="H3379" s="44">
        <v>44274</v>
      </c>
      <c r="I3379" s="44">
        <v>44284</v>
      </c>
      <c r="J3379">
        <v>27.97</v>
      </c>
      <c r="K3379">
        <v>11.89</v>
      </c>
      <c r="L3379" t="s">
        <v>7718</v>
      </c>
      <c r="M3379" s="45" t="s">
        <v>98</v>
      </c>
      <c r="N3379" s="38" t="s">
        <v>230</v>
      </c>
      <c r="O3379" s="38" t="s">
        <v>303</v>
      </c>
      <c r="P3379" s="38" t="s">
        <v>60</v>
      </c>
      <c r="Q3379" s="38" t="s">
        <v>41</v>
      </c>
      <c r="R3379" s="38" t="s">
        <v>270</v>
      </c>
      <c r="S3379" s="38" t="s">
        <v>7719</v>
      </c>
      <c r="T3379" s="38" t="s">
        <v>7720</v>
      </c>
      <c r="U3379" s="38"/>
      <c r="V3379" s="38"/>
      <c r="W3379" s="38"/>
      <c r="X3379" s="7"/>
      <c r="Y3379" s="57"/>
      <c r="Z3379" s="7"/>
      <c r="AA3379" s="57"/>
      <c r="AB3379" s="7"/>
      <c r="AC3379" s="57"/>
      <c r="AD3379" s="7"/>
      <c r="AE3379" s="57"/>
      <c r="AF3379" s="7"/>
      <c r="AG3379" s="57"/>
      <c r="AH3379" s="7"/>
      <c r="AI3379" s="57"/>
      <c r="AJ3379" s="7"/>
      <c r="AK3379" s="57"/>
      <c r="AL3379" s="7"/>
      <c r="AN3379" s="7" t="s">
        <v>70</v>
      </c>
      <c r="AO3379" s="21">
        <f t="shared" si="167"/>
        <v>0</v>
      </c>
      <c r="AP3379" s="7">
        <f t="shared" si="166"/>
        <v>11.89</v>
      </c>
      <c r="AQ3379" s="31" t="str">
        <f t="shared" si="168"/>
        <v>Complete - No Adjustment</v>
      </c>
    </row>
    <row r="3380" spans="1:43" x14ac:dyDescent="0.2">
      <c r="A3380" s="46">
        <v>3370</v>
      </c>
      <c r="B3380" s="38" t="s">
        <v>266</v>
      </c>
      <c r="C3380" s="38" t="s">
        <v>660</v>
      </c>
      <c r="D3380" s="38" t="s">
        <v>659</v>
      </c>
      <c r="E3380" s="38" t="s">
        <v>7721</v>
      </c>
      <c r="F3380" s="38" t="s">
        <v>7567</v>
      </c>
      <c r="G3380" s="38" t="s">
        <v>111</v>
      </c>
      <c r="H3380" s="44">
        <v>44277</v>
      </c>
      <c r="I3380" s="44">
        <v>44279</v>
      </c>
      <c r="J3380">
        <v>11.47</v>
      </c>
      <c r="K3380">
        <v>11.47</v>
      </c>
      <c r="L3380" t="s">
        <v>7722</v>
      </c>
      <c r="M3380" s="45" t="s">
        <v>98</v>
      </c>
      <c r="N3380" s="38" t="s">
        <v>230</v>
      </c>
      <c r="O3380" s="38" t="s">
        <v>320</v>
      </c>
      <c r="P3380" s="38" t="s">
        <v>60</v>
      </c>
      <c r="Q3380" s="38" t="s">
        <v>41</v>
      </c>
      <c r="R3380" s="38" t="s">
        <v>270</v>
      </c>
      <c r="S3380" s="38" t="s">
        <v>7723</v>
      </c>
      <c r="T3380" s="38" t="s">
        <v>7724</v>
      </c>
      <c r="U3380" s="38"/>
      <c r="V3380" s="38"/>
      <c r="W3380" s="38"/>
      <c r="X3380" s="7"/>
      <c r="Y3380" s="57"/>
      <c r="Z3380" s="7"/>
      <c r="AA3380" s="57"/>
      <c r="AB3380" s="7"/>
      <c r="AC3380" s="57"/>
      <c r="AD3380" s="7"/>
      <c r="AE3380" s="57"/>
      <c r="AF3380" s="7"/>
      <c r="AG3380" s="57"/>
      <c r="AH3380" s="7"/>
      <c r="AI3380" s="57">
        <f>11.47</f>
        <v>11.47</v>
      </c>
      <c r="AJ3380" s="7"/>
      <c r="AK3380" s="57"/>
      <c r="AL3380" s="7"/>
      <c r="AN3380" s="7" t="s">
        <v>145</v>
      </c>
      <c r="AO3380" s="21">
        <f t="shared" si="167"/>
        <v>11.47</v>
      </c>
      <c r="AP3380" s="7">
        <f t="shared" si="166"/>
        <v>0</v>
      </c>
      <c r="AQ3380" s="31" t="str">
        <f t="shared" si="168"/>
        <v>Complete - With Adjustment</v>
      </c>
    </row>
    <row r="3381" spans="1:43" x14ac:dyDescent="0.2">
      <c r="A3381" s="46">
        <v>3371</v>
      </c>
      <c r="B3381" s="38" t="s">
        <v>266</v>
      </c>
      <c r="C3381" s="38" t="s">
        <v>660</v>
      </c>
      <c r="D3381" s="38" t="s">
        <v>659</v>
      </c>
      <c r="E3381" s="38" t="s">
        <v>7725</v>
      </c>
      <c r="F3381" s="38" t="s">
        <v>7673</v>
      </c>
      <c r="G3381" s="38" t="s">
        <v>111</v>
      </c>
      <c r="H3381" s="44">
        <v>44251</v>
      </c>
      <c r="I3381" s="44">
        <v>44258</v>
      </c>
      <c r="J3381">
        <v>17.52</v>
      </c>
      <c r="K3381">
        <v>17.52</v>
      </c>
      <c r="L3381" t="s">
        <v>7726</v>
      </c>
      <c r="M3381" s="45" t="s">
        <v>98</v>
      </c>
      <c r="N3381" s="38" t="s">
        <v>230</v>
      </c>
      <c r="O3381" s="38" t="s">
        <v>320</v>
      </c>
      <c r="P3381" s="38" t="s">
        <v>60</v>
      </c>
      <c r="Q3381" s="38" t="s">
        <v>41</v>
      </c>
      <c r="R3381" s="38" t="s">
        <v>270</v>
      </c>
      <c r="S3381" s="38" t="s">
        <v>7727</v>
      </c>
      <c r="T3381" s="38" t="s">
        <v>7728</v>
      </c>
      <c r="U3381" s="38"/>
      <c r="V3381" s="38"/>
      <c r="W3381" s="38"/>
      <c r="X3381" s="7"/>
      <c r="Y3381" s="57"/>
      <c r="Z3381" s="7"/>
      <c r="AA3381" s="57"/>
      <c r="AB3381" s="7"/>
      <c r="AC3381" s="57"/>
      <c r="AD3381" s="7"/>
      <c r="AE3381" s="57"/>
      <c r="AF3381" s="7"/>
      <c r="AG3381" s="57"/>
      <c r="AH3381" s="7"/>
      <c r="AI3381" s="57"/>
      <c r="AJ3381" s="7"/>
      <c r="AK3381" s="57"/>
      <c r="AL3381" s="7"/>
      <c r="AN3381" s="7" t="s">
        <v>70</v>
      </c>
      <c r="AO3381" s="21">
        <f t="shared" si="167"/>
        <v>0</v>
      </c>
      <c r="AP3381" s="7">
        <f t="shared" si="166"/>
        <v>17.52</v>
      </c>
      <c r="AQ3381" s="31" t="str">
        <f t="shared" si="168"/>
        <v>Complete - No Adjustment</v>
      </c>
    </row>
    <row r="3382" spans="1:43" x14ac:dyDescent="0.2">
      <c r="A3382" s="46">
        <v>3372</v>
      </c>
      <c r="B3382" s="38" t="s">
        <v>266</v>
      </c>
      <c r="C3382" s="38" t="s">
        <v>467</v>
      </c>
      <c r="D3382" s="38" t="s">
        <v>466</v>
      </c>
      <c r="E3382" s="38" t="s">
        <v>7729</v>
      </c>
      <c r="F3382" s="38" t="s">
        <v>7644</v>
      </c>
      <c r="G3382" s="38" t="s">
        <v>111</v>
      </c>
      <c r="H3382" s="44">
        <v>44264</v>
      </c>
      <c r="I3382" s="44">
        <v>44266</v>
      </c>
      <c r="J3382">
        <v>370.98</v>
      </c>
      <c r="K3382">
        <v>48.23</v>
      </c>
      <c r="L3382" t="s">
        <v>7730</v>
      </c>
      <c r="M3382" s="45" t="s">
        <v>97</v>
      </c>
      <c r="N3382" s="38" t="s">
        <v>230</v>
      </c>
      <c r="O3382" s="38" t="s">
        <v>284</v>
      </c>
      <c r="P3382" s="38" t="s">
        <v>64</v>
      </c>
      <c r="Q3382" s="38" t="s">
        <v>41</v>
      </c>
      <c r="R3382" s="38" t="s">
        <v>270</v>
      </c>
      <c r="S3382" s="38" t="s">
        <v>7731</v>
      </c>
      <c r="T3382" s="38" t="s">
        <v>7732</v>
      </c>
      <c r="U3382" s="38"/>
      <c r="V3382" s="38"/>
      <c r="W3382" s="38"/>
      <c r="X3382" s="7"/>
      <c r="Y3382" s="57"/>
      <c r="Z3382" s="7"/>
      <c r="AA3382" s="57"/>
      <c r="AB3382" s="7"/>
      <c r="AC3382" s="57"/>
      <c r="AD3382" s="7"/>
      <c r="AE3382" s="57"/>
      <c r="AF3382" s="7"/>
      <c r="AG3382" s="57">
        <f>48.23</f>
        <v>48.23</v>
      </c>
      <c r="AH3382" s="7"/>
      <c r="AI3382" s="57"/>
      <c r="AJ3382" s="7"/>
      <c r="AK3382" s="57"/>
      <c r="AL3382" s="7"/>
      <c r="AN3382" s="7" t="s">
        <v>69</v>
      </c>
      <c r="AO3382" s="21">
        <f t="shared" si="167"/>
        <v>48.23</v>
      </c>
      <c r="AP3382" s="7">
        <f t="shared" si="166"/>
        <v>0</v>
      </c>
      <c r="AQ3382" s="31" t="str">
        <f t="shared" si="168"/>
        <v>Complete - With Adjustment</v>
      </c>
    </row>
    <row r="3383" spans="1:43" x14ac:dyDescent="0.2">
      <c r="A3383" s="46">
        <v>3373</v>
      </c>
      <c r="B3383" s="38" t="s">
        <v>266</v>
      </c>
      <c r="C3383" s="38" t="s">
        <v>467</v>
      </c>
      <c r="D3383" s="38" t="s">
        <v>466</v>
      </c>
      <c r="E3383" s="38" t="s">
        <v>7729</v>
      </c>
      <c r="F3383" s="38" t="s">
        <v>7644</v>
      </c>
      <c r="G3383" s="38" t="s">
        <v>111</v>
      </c>
      <c r="H3383" s="44">
        <v>44264</v>
      </c>
      <c r="I3383" s="44">
        <v>44266</v>
      </c>
      <c r="J3383">
        <v>370.98</v>
      </c>
      <c r="K3383">
        <v>322.75</v>
      </c>
      <c r="L3383" t="s">
        <v>7730</v>
      </c>
      <c r="M3383" s="45" t="s">
        <v>98</v>
      </c>
      <c r="N3383" s="38" t="s">
        <v>230</v>
      </c>
      <c r="O3383" s="38" t="s">
        <v>284</v>
      </c>
      <c r="P3383" s="38" t="s">
        <v>60</v>
      </c>
      <c r="Q3383" s="38" t="s">
        <v>41</v>
      </c>
      <c r="R3383" s="38" t="s">
        <v>270</v>
      </c>
      <c r="S3383" s="38" t="s">
        <v>7731</v>
      </c>
      <c r="T3383" s="38" t="s">
        <v>7732</v>
      </c>
      <c r="U3383" s="38"/>
      <c r="V3383" s="38"/>
      <c r="W3383" s="38"/>
      <c r="X3383" s="7"/>
      <c r="Y3383" s="57"/>
      <c r="Z3383" s="7"/>
      <c r="AA3383" s="57"/>
      <c r="AB3383" s="7"/>
      <c r="AC3383" s="57"/>
      <c r="AD3383" s="7"/>
      <c r="AE3383" s="57"/>
      <c r="AF3383" s="7"/>
      <c r="AG3383" s="57"/>
      <c r="AH3383" s="7"/>
      <c r="AI3383" s="57"/>
      <c r="AJ3383" s="7"/>
      <c r="AK3383" s="57"/>
      <c r="AL3383" s="7">
        <f>322.75</f>
        <v>322.75</v>
      </c>
      <c r="AN3383" s="7" t="s">
        <v>146</v>
      </c>
      <c r="AO3383" s="21">
        <f t="shared" si="167"/>
        <v>322.75</v>
      </c>
      <c r="AP3383" s="7">
        <f t="shared" si="166"/>
        <v>0</v>
      </c>
      <c r="AQ3383" s="31" t="str">
        <f t="shared" si="168"/>
        <v>Complete - With Adjustment</v>
      </c>
    </row>
    <row r="3384" spans="1:43" x14ac:dyDescent="0.2">
      <c r="A3384" s="46">
        <v>3374</v>
      </c>
      <c r="B3384" s="38" t="s">
        <v>266</v>
      </c>
      <c r="C3384" s="38" t="s">
        <v>471</v>
      </c>
      <c r="D3384" s="38" t="s">
        <v>470</v>
      </c>
      <c r="E3384" s="38" t="s">
        <v>7733</v>
      </c>
      <c r="F3384" s="38" t="s">
        <v>7712</v>
      </c>
      <c r="G3384" s="38" t="s">
        <v>111</v>
      </c>
      <c r="H3384" s="44">
        <v>44254</v>
      </c>
      <c r="I3384" s="44">
        <v>44265</v>
      </c>
      <c r="J3384">
        <v>61.76</v>
      </c>
      <c r="K3384">
        <v>61.76</v>
      </c>
      <c r="L3384" t="s">
        <v>7734</v>
      </c>
      <c r="M3384" s="45" t="s">
        <v>98</v>
      </c>
      <c r="N3384" s="38" t="s">
        <v>230</v>
      </c>
      <c r="O3384" s="38" t="s">
        <v>472</v>
      </c>
      <c r="P3384" s="38" t="s">
        <v>60</v>
      </c>
      <c r="Q3384" s="38" t="s">
        <v>62</v>
      </c>
      <c r="R3384" s="38" t="s">
        <v>270</v>
      </c>
      <c r="S3384" s="38" t="s">
        <v>7735</v>
      </c>
      <c r="T3384" s="38" t="s">
        <v>7736</v>
      </c>
      <c r="U3384" s="38"/>
      <c r="V3384" s="38"/>
      <c r="W3384" s="38"/>
      <c r="X3384" s="7"/>
      <c r="Y3384" s="57"/>
      <c r="Z3384" s="7"/>
      <c r="AA3384" s="57"/>
      <c r="AB3384" s="7"/>
      <c r="AC3384" s="57"/>
      <c r="AD3384" s="7"/>
      <c r="AE3384" s="57"/>
      <c r="AF3384" s="7"/>
      <c r="AG3384" s="57"/>
      <c r="AH3384" s="7"/>
      <c r="AI3384" s="57"/>
      <c r="AJ3384" s="7"/>
      <c r="AK3384" s="57"/>
      <c r="AL3384" s="7"/>
      <c r="AN3384" s="7" t="s">
        <v>155</v>
      </c>
      <c r="AO3384" s="21">
        <f t="shared" si="167"/>
        <v>0</v>
      </c>
      <c r="AP3384" s="7">
        <f t="shared" si="166"/>
        <v>61.76</v>
      </c>
      <c r="AQ3384" s="31" t="str">
        <f t="shared" si="168"/>
        <v>Complete - No Adjustment</v>
      </c>
    </row>
    <row r="3385" spans="1:43" x14ac:dyDescent="0.2">
      <c r="A3385" s="46">
        <v>3375</v>
      </c>
      <c r="B3385" s="38" t="s">
        <v>266</v>
      </c>
      <c r="C3385" s="38" t="s">
        <v>476</v>
      </c>
      <c r="D3385" s="38" t="s">
        <v>475</v>
      </c>
      <c r="E3385" s="38" t="s">
        <v>7737</v>
      </c>
      <c r="F3385" s="38" t="s">
        <v>7626</v>
      </c>
      <c r="G3385" s="38" t="s">
        <v>111</v>
      </c>
      <c r="H3385" s="44">
        <v>44274</v>
      </c>
      <c r="I3385" s="44">
        <v>44281</v>
      </c>
      <c r="J3385">
        <v>15</v>
      </c>
      <c r="K3385">
        <v>15</v>
      </c>
      <c r="L3385" t="s">
        <v>7738</v>
      </c>
      <c r="M3385" s="45" t="s">
        <v>98</v>
      </c>
      <c r="N3385" s="38" t="s">
        <v>230</v>
      </c>
      <c r="O3385" s="38" t="s">
        <v>320</v>
      </c>
      <c r="P3385" s="38" t="s">
        <v>60</v>
      </c>
      <c r="Q3385" s="38" t="s">
        <v>41</v>
      </c>
      <c r="R3385" s="38" t="s">
        <v>270</v>
      </c>
      <c r="S3385" s="38" t="s">
        <v>7739</v>
      </c>
      <c r="T3385" s="38" t="s">
        <v>7740</v>
      </c>
      <c r="U3385" s="38"/>
      <c r="V3385" s="38"/>
      <c r="W3385" s="38"/>
      <c r="X3385" s="7"/>
      <c r="Y3385" s="57"/>
      <c r="Z3385" s="7"/>
      <c r="AA3385" s="57"/>
      <c r="AB3385" s="7"/>
      <c r="AC3385" s="57"/>
      <c r="AD3385" s="7"/>
      <c r="AE3385" s="57"/>
      <c r="AF3385" s="7"/>
      <c r="AG3385" s="57"/>
      <c r="AH3385" s="7"/>
      <c r="AI3385" s="57">
        <f>15</f>
        <v>15</v>
      </c>
      <c r="AJ3385" s="7"/>
      <c r="AK3385" s="57"/>
      <c r="AL3385" s="7"/>
      <c r="AN3385" s="7" t="s">
        <v>145</v>
      </c>
      <c r="AO3385" s="21">
        <f t="shared" si="167"/>
        <v>15</v>
      </c>
      <c r="AP3385" s="7">
        <f t="shared" si="166"/>
        <v>0</v>
      </c>
      <c r="AQ3385" s="31" t="str">
        <f t="shared" si="168"/>
        <v>Complete - With Adjustment</v>
      </c>
    </row>
    <row r="3386" spans="1:43" x14ac:dyDescent="0.2">
      <c r="A3386" s="46">
        <v>3376</v>
      </c>
      <c r="B3386" s="38" t="s">
        <v>266</v>
      </c>
      <c r="C3386" s="38" t="s">
        <v>476</v>
      </c>
      <c r="D3386" s="38" t="s">
        <v>475</v>
      </c>
      <c r="E3386" s="38" t="s">
        <v>7741</v>
      </c>
      <c r="F3386" s="38" t="s">
        <v>7552</v>
      </c>
      <c r="G3386" s="38" t="s">
        <v>111</v>
      </c>
      <c r="H3386" s="44">
        <v>44253</v>
      </c>
      <c r="I3386" s="44">
        <v>44257</v>
      </c>
      <c r="J3386">
        <v>19.100000000000001</v>
      </c>
      <c r="K3386">
        <v>19.100000000000001</v>
      </c>
      <c r="L3386" t="s">
        <v>7742</v>
      </c>
      <c r="M3386" s="45" t="s">
        <v>98</v>
      </c>
      <c r="N3386" s="38" t="s">
        <v>230</v>
      </c>
      <c r="O3386" s="38" t="s">
        <v>320</v>
      </c>
      <c r="P3386" s="38" t="s">
        <v>60</v>
      </c>
      <c r="Q3386" s="38" t="s">
        <v>41</v>
      </c>
      <c r="R3386" s="38" t="s">
        <v>270</v>
      </c>
      <c r="S3386" s="38" t="s">
        <v>7743</v>
      </c>
      <c r="T3386" s="38" t="s">
        <v>7744</v>
      </c>
      <c r="U3386" s="38"/>
      <c r="V3386" s="38"/>
      <c r="W3386" s="38"/>
      <c r="X3386" s="7"/>
      <c r="Y3386" s="57"/>
      <c r="Z3386" s="7"/>
      <c r="AA3386" s="57"/>
      <c r="AB3386" s="7"/>
      <c r="AC3386" s="57"/>
      <c r="AD3386" s="7"/>
      <c r="AE3386" s="57"/>
      <c r="AF3386" s="7"/>
      <c r="AG3386" s="57"/>
      <c r="AH3386" s="7"/>
      <c r="AI3386" s="57">
        <f>19.1</f>
        <v>19.100000000000001</v>
      </c>
      <c r="AJ3386" s="7"/>
      <c r="AK3386" s="57"/>
      <c r="AL3386" s="7"/>
      <c r="AN3386" s="7" t="s">
        <v>145</v>
      </c>
      <c r="AO3386" s="21">
        <f t="shared" si="167"/>
        <v>19.100000000000001</v>
      </c>
      <c r="AP3386" s="7">
        <f t="shared" si="166"/>
        <v>0</v>
      </c>
      <c r="AQ3386" s="31" t="str">
        <f t="shared" si="168"/>
        <v>Complete - With Adjustment</v>
      </c>
    </row>
    <row r="3387" spans="1:43" x14ac:dyDescent="0.2">
      <c r="A3387" s="46">
        <v>3377</v>
      </c>
      <c r="B3387" s="38" t="s">
        <v>266</v>
      </c>
      <c r="C3387" s="38" t="s">
        <v>476</v>
      </c>
      <c r="D3387" s="38" t="s">
        <v>475</v>
      </c>
      <c r="E3387" s="38" t="s">
        <v>7745</v>
      </c>
      <c r="F3387" s="38" t="s">
        <v>7562</v>
      </c>
      <c r="G3387" s="38" t="s">
        <v>111</v>
      </c>
      <c r="H3387" s="44">
        <v>44272</v>
      </c>
      <c r="I3387" s="44">
        <v>44277</v>
      </c>
      <c r="J3387">
        <v>27</v>
      </c>
      <c r="K3387">
        <v>10.77</v>
      </c>
      <c r="L3387" t="s">
        <v>7746</v>
      </c>
      <c r="M3387" s="45" t="s">
        <v>98</v>
      </c>
      <c r="N3387" s="38" t="s">
        <v>230</v>
      </c>
      <c r="O3387" s="38" t="s">
        <v>320</v>
      </c>
      <c r="P3387" s="38" t="s">
        <v>60</v>
      </c>
      <c r="Q3387" s="38" t="s">
        <v>65</v>
      </c>
      <c r="R3387" s="38" t="s">
        <v>270</v>
      </c>
      <c r="S3387" s="38" t="s">
        <v>7747</v>
      </c>
      <c r="T3387" s="38" t="s">
        <v>7748</v>
      </c>
      <c r="U3387" s="38"/>
      <c r="V3387" s="38"/>
      <c r="W3387" s="38"/>
      <c r="X3387" s="7"/>
      <c r="Y3387" s="57"/>
      <c r="Z3387" s="7"/>
      <c r="AA3387" s="57"/>
      <c r="AB3387" s="7"/>
      <c r="AC3387" s="57"/>
      <c r="AD3387" s="7"/>
      <c r="AE3387" s="57"/>
      <c r="AF3387" s="7"/>
      <c r="AG3387" s="57"/>
      <c r="AH3387" s="7"/>
      <c r="AI3387" s="57"/>
      <c r="AJ3387" s="7"/>
      <c r="AK3387" s="57"/>
      <c r="AL3387" s="7"/>
      <c r="AN3387" s="7" t="s">
        <v>70</v>
      </c>
      <c r="AO3387" s="21">
        <f t="shared" si="167"/>
        <v>0</v>
      </c>
      <c r="AP3387" s="7">
        <f t="shared" si="166"/>
        <v>10.77</v>
      </c>
      <c r="AQ3387" s="31" t="str">
        <f t="shared" si="168"/>
        <v>Complete - No Adjustment</v>
      </c>
    </row>
    <row r="3388" spans="1:43" x14ac:dyDescent="0.2">
      <c r="A3388" s="46">
        <v>3378</v>
      </c>
      <c r="B3388" s="38" t="s">
        <v>266</v>
      </c>
      <c r="C3388" s="38" t="s">
        <v>476</v>
      </c>
      <c r="D3388" s="38" t="s">
        <v>475</v>
      </c>
      <c r="E3388" s="38" t="s">
        <v>7745</v>
      </c>
      <c r="F3388" s="38" t="s">
        <v>7562</v>
      </c>
      <c r="G3388" s="38" t="s">
        <v>111</v>
      </c>
      <c r="H3388" s="44">
        <v>44272</v>
      </c>
      <c r="I3388" s="44">
        <v>44277</v>
      </c>
      <c r="J3388">
        <v>27</v>
      </c>
      <c r="K3388">
        <v>16.23</v>
      </c>
      <c r="L3388" t="s">
        <v>7746</v>
      </c>
      <c r="M3388" s="45" t="s">
        <v>98</v>
      </c>
      <c r="N3388" s="38" t="s">
        <v>230</v>
      </c>
      <c r="O3388" s="38" t="s">
        <v>320</v>
      </c>
      <c r="P3388" s="38" t="s">
        <v>60</v>
      </c>
      <c r="Q3388" s="38" t="s">
        <v>65</v>
      </c>
      <c r="R3388" s="38" t="s">
        <v>270</v>
      </c>
      <c r="S3388" s="38" t="s">
        <v>7747</v>
      </c>
      <c r="T3388" s="38" t="s">
        <v>7749</v>
      </c>
      <c r="U3388" s="38"/>
      <c r="V3388" s="38"/>
      <c r="W3388" s="38"/>
      <c r="X3388" s="7"/>
      <c r="Y3388" s="57"/>
      <c r="Z3388" s="7"/>
      <c r="AA3388" s="57"/>
      <c r="AB3388" s="7"/>
      <c r="AC3388" s="57"/>
      <c r="AD3388" s="7"/>
      <c r="AE3388" s="57"/>
      <c r="AF3388" s="7"/>
      <c r="AG3388" s="57"/>
      <c r="AH3388" s="7"/>
      <c r="AI3388" s="57"/>
      <c r="AJ3388" s="7"/>
      <c r="AK3388" s="57"/>
      <c r="AL3388" s="7"/>
      <c r="AN3388" s="7" t="s">
        <v>70</v>
      </c>
      <c r="AO3388" s="21">
        <f t="shared" si="167"/>
        <v>0</v>
      </c>
      <c r="AP3388" s="7">
        <f t="shared" si="166"/>
        <v>16.23</v>
      </c>
      <c r="AQ3388" s="31" t="str">
        <f t="shared" si="168"/>
        <v>Complete - No Adjustment</v>
      </c>
    </row>
    <row r="3389" spans="1:43" x14ac:dyDescent="0.2">
      <c r="A3389" s="46">
        <v>3379</v>
      </c>
      <c r="B3389" s="38" t="s">
        <v>266</v>
      </c>
      <c r="C3389" s="38" t="s">
        <v>625</v>
      </c>
      <c r="D3389" s="38" t="s">
        <v>850</v>
      </c>
      <c r="E3389" s="38" t="s">
        <v>7750</v>
      </c>
      <c r="F3389" s="38" t="s">
        <v>7751</v>
      </c>
      <c r="G3389" s="38" t="s">
        <v>111</v>
      </c>
      <c r="H3389" s="44">
        <v>44257</v>
      </c>
      <c r="I3389" s="44">
        <v>44271</v>
      </c>
      <c r="J3389">
        <v>1392.58</v>
      </c>
      <c r="K3389">
        <v>377.21</v>
      </c>
      <c r="L3389" t="s">
        <v>7752</v>
      </c>
      <c r="M3389" s="45" t="s">
        <v>98</v>
      </c>
      <c r="N3389" s="38" t="s">
        <v>230</v>
      </c>
      <c r="O3389" s="38" t="s">
        <v>387</v>
      </c>
      <c r="P3389" s="38" t="s">
        <v>60</v>
      </c>
      <c r="Q3389" s="38" t="s">
        <v>46</v>
      </c>
      <c r="R3389" s="38" t="s">
        <v>270</v>
      </c>
      <c r="S3389" s="38" t="s">
        <v>7753</v>
      </c>
      <c r="T3389" s="38" t="s">
        <v>7754</v>
      </c>
      <c r="U3389" s="38"/>
      <c r="V3389" s="38"/>
      <c r="W3389" s="38"/>
      <c r="X3389" s="7"/>
      <c r="Y3389" s="57"/>
      <c r="Z3389" s="7"/>
      <c r="AA3389" s="57"/>
      <c r="AB3389" s="7"/>
      <c r="AC3389" s="57"/>
      <c r="AD3389" s="7"/>
      <c r="AE3389" s="57"/>
      <c r="AF3389" s="7"/>
      <c r="AG3389" s="57"/>
      <c r="AH3389" s="7"/>
      <c r="AI3389" s="57">
        <f>377.21</f>
        <v>377.21</v>
      </c>
      <c r="AJ3389" s="7"/>
      <c r="AK3389" s="57"/>
      <c r="AL3389" s="7"/>
      <c r="AN3389" s="7" t="s">
        <v>145</v>
      </c>
      <c r="AO3389" s="21">
        <f t="shared" si="167"/>
        <v>377.21</v>
      </c>
      <c r="AP3389" s="7">
        <f t="shared" si="166"/>
        <v>0</v>
      </c>
      <c r="AQ3389" s="31" t="str">
        <f t="shared" si="168"/>
        <v>Complete - With Adjustment</v>
      </c>
    </row>
    <row r="3390" spans="1:43" x14ac:dyDescent="0.2">
      <c r="A3390" s="46">
        <v>3380</v>
      </c>
      <c r="B3390" s="38" t="s">
        <v>266</v>
      </c>
      <c r="C3390" s="38" t="s">
        <v>625</v>
      </c>
      <c r="D3390" s="38" t="s">
        <v>850</v>
      </c>
      <c r="E3390" s="38" t="s">
        <v>7750</v>
      </c>
      <c r="F3390" s="38" t="s">
        <v>7751</v>
      </c>
      <c r="G3390" s="38" t="s">
        <v>111</v>
      </c>
      <c r="H3390" s="44">
        <v>44257</v>
      </c>
      <c r="I3390" s="44">
        <v>44271</v>
      </c>
      <c r="J3390">
        <v>1392.58</v>
      </c>
      <c r="K3390">
        <v>480.63</v>
      </c>
      <c r="L3390" t="s">
        <v>7752</v>
      </c>
      <c r="M3390" s="45" t="s">
        <v>98</v>
      </c>
      <c r="N3390" s="38" t="s">
        <v>230</v>
      </c>
      <c r="O3390" s="38" t="s">
        <v>387</v>
      </c>
      <c r="P3390" s="38" t="s">
        <v>60</v>
      </c>
      <c r="Q3390" s="38" t="s">
        <v>45</v>
      </c>
      <c r="R3390" s="38" t="s">
        <v>270</v>
      </c>
      <c r="S3390" s="38" t="s">
        <v>7753</v>
      </c>
      <c r="T3390" s="38" t="s">
        <v>7755</v>
      </c>
      <c r="U3390" s="38"/>
      <c r="V3390" s="38"/>
      <c r="W3390" s="38"/>
      <c r="X3390" s="7"/>
      <c r="Y3390" s="57"/>
      <c r="Z3390" s="7"/>
      <c r="AA3390" s="57"/>
      <c r="AB3390" s="7"/>
      <c r="AC3390" s="57"/>
      <c r="AD3390" s="7"/>
      <c r="AE3390" s="57"/>
      <c r="AF3390" s="7"/>
      <c r="AG3390" s="57"/>
      <c r="AH3390" s="7"/>
      <c r="AI3390" s="57"/>
      <c r="AJ3390" s="7"/>
      <c r="AK3390" s="57"/>
      <c r="AL3390" s="7"/>
      <c r="AN3390" s="7" t="s">
        <v>70</v>
      </c>
      <c r="AO3390" s="21">
        <f t="shared" si="167"/>
        <v>0</v>
      </c>
      <c r="AP3390" s="7">
        <f t="shared" si="166"/>
        <v>480.63</v>
      </c>
      <c r="AQ3390" s="31" t="str">
        <f t="shared" si="168"/>
        <v>Complete - No Adjustment</v>
      </c>
    </row>
    <row r="3391" spans="1:43" x14ac:dyDescent="0.2">
      <c r="A3391" s="46">
        <v>3381</v>
      </c>
      <c r="B3391" s="38" t="s">
        <v>266</v>
      </c>
      <c r="C3391" s="38" t="s">
        <v>625</v>
      </c>
      <c r="D3391" s="38" t="s">
        <v>850</v>
      </c>
      <c r="E3391" s="38" t="s">
        <v>7750</v>
      </c>
      <c r="F3391" s="38" t="s">
        <v>7751</v>
      </c>
      <c r="G3391" s="38" t="s">
        <v>111</v>
      </c>
      <c r="H3391" s="44">
        <v>44257</v>
      </c>
      <c r="I3391" s="44">
        <v>44271</v>
      </c>
      <c r="J3391">
        <v>1392.58</v>
      </c>
      <c r="K3391">
        <v>480.63</v>
      </c>
      <c r="L3391" t="s">
        <v>7752</v>
      </c>
      <c r="M3391" s="45" t="s">
        <v>98</v>
      </c>
      <c r="N3391" s="38" t="s">
        <v>230</v>
      </c>
      <c r="O3391" s="38" t="s">
        <v>387</v>
      </c>
      <c r="P3391" s="38" t="s">
        <v>60</v>
      </c>
      <c r="Q3391" s="38" t="s">
        <v>45</v>
      </c>
      <c r="R3391" s="38" t="s">
        <v>270</v>
      </c>
      <c r="S3391" s="38" t="s">
        <v>7753</v>
      </c>
      <c r="T3391" s="38" t="s">
        <v>7756</v>
      </c>
      <c r="U3391" s="38"/>
      <c r="V3391" s="38"/>
      <c r="W3391" s="38"/>
      <c r="X3391" s="7"/>
      <c r="Y3391" s="57"/>
      <c r="Z3391" s="7"/>
      <c r="AA3391" s="57"/>
      <c r="AB3391" s="7"/>
      <c r="AC3391" s="57"/>
      <c r="AD3391" s="7"/>
      <c r="AE3391" s="57"/>
      <c r="AF3391" s="7"/>
      <c r="AG3391" s="57"/>
      <c r="AH3391" s="7"/>
      <c r="AI3391" s="57"/>
      <c r="AJ3391" s="7"/>
      <c r="AK3391" s="57"/>
      <c r="AL3391" s="7"/>
      <c r="AN3391" s="7" t="s">
        <v>70</v>
      </c>
      <c r="AO3391" s="21">
        <f t="shared" si="167"/>
        <v>0</v>
      </c>
      <c r="AP3391" s="7">
        <f t="shared" si="166"/>
        <v>480.63</v>
      </c>
      <c r="AQ3391" s="31" t="str">
        <f t="shared" si="168"/>
        <v>Complete - No Adjustment</v>
      </c>
    </row>
    <row r="3392" spans="1:43" x14ac:dyDescent="0.2">
      <c r="A3392" s="46">
        <v>3382</v>
      </c>
      <c r="B3392" s="38" t="s">
        <v>266</v>
      </c>
      <c r="C3392" s="38" t="s">
        <v>625</v>
      </c>
      <c r="D3392" s="38" t="s">
        <v>850</v>
      </c>
      <c r="E3392" s="38" t="s">
        <v>7750</v>
      </c>
      <c r="F3392" s="38" t="s">
        <v>7751</v>
      </c>
      <c r="G3392" s="38" t="s">
        <v>111</v>
      </c>
      <c r="H3392" s="44">
        <v>44257</v>
      </c>
      <c r="I3392" s="44">
        <v>44271</v>
      </c>
      <c r="J3392">
        <v>1392.58</v>
      </c>
      <c r="K3392">
        <v>54.11</v>
      </c>
      <c r="L3392" t="s">
        <v>7752</v>
      </c>
      <c r="M3392" s="45" t="s">
        <v>98</v>
      </c>
      <c r="N3392" s="38" t="s">
        <v>230</v>
      </c>
      <c r="O3392" s="38" t="s">
        <v>387</v>
      </c>
      <c r="P3392" s="38" t="s">
        <v>60</v>
      </c>
      <c r="Q3392" s="38" t="s">
        <v>62</v>
      </c>
      <c r="R3392" s="38" t="s">
        <v>270</v>
      </c>
      <c r="S3392" s="38" t="s">
        <v>7753</v>
      </c>
      <c r="T3392" s="38" t="s">
        <v>7757</v>
      </c>
      <c r="U3392" s="38"/>
      <c r="V3392" s="38"/>
      <c r="W3392" s="38"/>
      <c r="X3392" s="7"/>
      <c r="Y3392" s="57"/>
      <c r="Z3392" s="7"/>
      <c r="AA3392" s="57"/>
      <c r="AB3392" s="7"/>
      <c r="AC3392" s="57"/>
      <c r="AD3392" s="7"/>
      <c r="AE3392" s="57"/>
      <c r="AF3392" s="7"/>
      <c r="AG3392" s="57"/>
      <c r="AH3392" s="7"/>
      <c r="AI3392" s="57"/>
      <c r="AJ3392" s="7"/>
      <c r="AK3392" s="57"/>
      <c r="AL3392" s="7"/>
      <c r="AN3392" s="7" t="s">
        <v>70</v>
      </c>
      <c r="AO3392" s="21">
        <f t="shared" si="167"/>
        <v>0</v>
      </c>
      <c r="AP3392" s="7">
        <f t="shared" ref="AP3392:AP3455" si="169">K3392-AO3392</f>
        <v>54.11</v>
      </c>
      <c r="AQ3392" s="31" t="str">
        <f t="shared" si="168"/>
        <v>Complete - No Adjustment</v>
      </c>
    </row>
    <row r="3393" spans="1:43" x14ac:dyDescent="0.2">
      <c r="A3393" s="46">
        <v>3383</v>
      </c>
      <c r="B3393" s="38" t="s">
        <v>266</v>
      </c>
      <c r="C3393" s="38" t="s">
        <v>790</v>
      </c>
      <c r="D3393" s="38" t="s">
        <v>789</v>
      </c>
      <c r="E3393" s="38" t="s">
        <v>7758</v>
      </c>
      <c r="F3393" s="38" t="s">
        <v>7712</v>
      </c>
      <c r="G3393" s="38" t="s">
        <v>111</v>
      </c>
      <c r="H3393" s="44">
        <v>44258</v>
      </c>
      <c r="I3393" s="44">
        <v>44265</v>
      </c>
      <c r="J3393">
        <v>15.13</v>
      </c>
      <c r="K3393">
        <v>15.13</v>
      </c>
      <c r="L3393" t="s">
        <v>7759</v>
      </c>
      <c r="M3393" s="45" t="s">
        <v>98</v>
      </c>
      <c r="N3393" s="38" t="s">
        <v>230</v>
      </c>
      <c r="O3393" s="38" t="s">
        <v>303</v>
      </c>
      <c r="P3393" s="38" t="s">
        <v>60</v>
      </c>
      <c r="Q3393" s="38" t="s">
        <v>41</v>
      </c>
      <c r="R3393" s="38" t="s">
        <v>270</v>
      </c>
      <c r="S3393" s="38" t="s">
        <v>7760</v>
      </c>
      <c r="T3393" s="38" t="s">
        <v>7761</v>
      </c>
      <c r="U3393" s="38"/>
      <c r="V3393" s="38"/>
      <c r="W3393" s="38"/>
      <c r="X3393" s="7"/>
      <c r="Y3393" s="57"/>
      <c r="Z3393" s="7"/>
      <c r="AA3393" s="57"/>
      <c r="AB3393" s="7"/>
      <c r="AC3393" s="57"/>
      <c r="AD3393" s="7"/>
      <c r="AE3393" s="57"/>
      <c r="AF3393" s="7"/>
      <c r="AG3393" s="57"/>
      <c r="AH3393" s="7"/>
      <c r="AI3393" s="57"/>
      <c r="AJ3393" s="7"/>
      <c r="AK3393" s="57"/>
      <c r="AL3393" s="7"/>
      <c r="AN3393" s="7" t="s">
        <v>70</v>
      </c>
      <c r="AO3393" s="21">
        <f t="shared" si="167"/>
        <v>0</v>
      </c>
      <c r="AP3393" s="7">
        <f t="shared" si="169"/>
        <v>15.13</v>
      </c>
      <c r="AQ3393" s="31" t="str">
        <f t="shared" si="168"/>
        <v>Complete - No Adjustment</v>
      </c>
    </row>
    <row r="3394" spans="1:43" x14ac:dyDescent="0.2">
      <c r="A3394" s="46">
        <v>3384</v>
      </c>
      <c r="B3394" s="38" t="s">
        <v>266</v>
      </c>
      <c r="C3394" s="38" t="s">
        <v>754</v>
      </c>
      <c r="D3394" s="38" t="s">
        <v>753</v>
      </c>
      <c r="E3394" s="38" t="s">
        <v>7762</v>
      </c>
      <c r="F3394" s="38" t="s">
        <v>7589</v>
      </c>
      <c r="G3394" s="38" t="s">
        <v>111</v>
      </c>
      <c r="H3394" s="44">
        <v>44253</v>
      </c>
      <c r="I3394" s="44">
        <v>44280</v>
      </c>
      <c r="J3394">
        <v>259.70999999999998</v>
      </c>
      <c r="K3394">
        <v>113.65</v>
      </c>
      <c r="L3394" t="s">
        <v>7763</v>
      </c>
      <c r="M3394" s="45" t="s">
        <v>98</v>
      </c>
      <c r="N3394" s="38" t="s">
        <v>230</v>
      </c>
      <c r="O3394" s="38" t="s">
        <v>397</v>
      </c>
      <c r="P3394" s="38" t="s">
        <v>60</v>
      </c>
      <c r="Q3394" s="38" t="s">
        <v>62</v>
      </c>
      <c r="R3394" s="38" t="s">
        <v>270</v>
      </c>
      <c r="S3394" s="38" t="s">
        <v>7764</v>
      </c>
      <c r="T3394" s="38" t="s">
        <v>7765</v>
      </c>
      <c r="U3394" s="38"/>
      <c r="V3394" s="38"/>
      <c r="W3394" s="38"/>
      <c r="X3394" s="7"/>
      <c r="Y3394" s="57"/>
      <c r="Z3394" s="7"/>
      <c r="AA3394" s="57"/>
      <c r="AB3394" s="7"/>
      <c r="AC3394" s="57"/>
      <c r="AD3394" s="7"/>
      <c r="AE3394" s="57"/>
      <c r="AF3394" s="7"/>
      <c r="AG3394" s="57"/>
      <c r="AH3394" s="7"/>
      <c r="AI3394" s="57"/>
      <c r="AJ3394" s="7"/>
      <c r="AK3394" s="57"/>
      <c r="AL3394" s="7"/>
      <c r="AN3394" s="7" t="s">
        <v>155</v>
      </c>
      <c r="AO3394" s="21">
        <f t="shared" si="167"/>
        <v>0</v>
      </c>
      <c r="AP3394" s="7">
        <f t="shared" si="169"/>
        <v>113.65</v>
      </c>
      <c r="AQ3394" s="31" t="str">
        <f t="shared" si="168"/>
        <v>Complete - No Adjustment</v>
      </c>
    </row>
    <row r="3395" spans="1:43" x14ac:dyDescent="0.2">
      <c r="A3395" s="46">
        <v>3385</v>
      </c>
      <c r="B3395" s="38" t="s">
        <v>266</v>
      </c>
      <c r="C3395" s="38" t="s">
        <v>754</v>
      </c>
      <c r="D3395" s="38" t="s">
        <v>753</v>
      </c>
      <c r="E3395" s="38" t="s">
        <v>7762</v>
      </c>
      <c r="F3395" s="38" t="s">
        <v>7589</v>
      </c>
      <c r="G3395" s="38" t="s">
        <v>111</v>
      </c>
      <c r="H3395" s="44">
        <v>44253</v>
      </c>
      <c r="I3395" s="44">
        <v>44280</v>
      </c>
      <c r="J3395">
        <v>259.70999999999998</v>
      </c>
      <c r="K3395">
        <v>146.06</v>
      </c>
      <c r="L3395" t="s">
        <v>7763</v>
      </c>
      <c r="M3395" s="45" t="s">
        <v>98</v>
      </c>
      <c r="N3395" s="38" t="s">
        <v>230</v>
      </c>
      <c r="O3395" s="38" t="s">
        <v>397</v>
      </c>
      <c r="P3395" s="38" t="s">
        <v>60</v>
      </c>
      <c r="Q3395" s="38" t="s">
        <v>62</v>
      </c>
      <c r="R3395" s="38" t="s">
        <v>270</v>
      </c>
      <c r="S3395" s="38" t="s">
        <v>7764</v>
      </c>
      <c r="T3395" s="38" t="s">
        <v>7766</v>
      </c>
      <c r="U3395" s="38"/>
      <c r="V3395" s="38"/>
      <c r="W3395" s="38"/>
      <c r="X3395" s="7"/>
      <c r="Y3395" s="57"/>
      <c r="Z3395" s="7"/>
      <c r="AA3395" s="57"/>
      <c r="AB3395" s="7"/>
      <c r="AC3395" s="57"/>
      <c r="AD3395" s="7"/>
      <c r="AE3395" s="57"/>
      <c r="AF3395" s="7"/>
      <c r="AG3395" s="57"/>
      <c r="AH3395" s="7"/>
      <c r="AI3395" s="57"/>
      <c r="AJ3395" s="7"/>
      <c r="AK3395" s="57"/>
      <c r="AL3395" s="7"/>
      <c r="AN3395" s="7" t="s">
        <v>155</v>
      </c>
      <c r="AO3395" s="21">
        <f t="shared" si="167"/>
        <v>0</v>
      </c>
      <c r="AP3395" s="7">
        <f t="shared" si="169"/>
        <v>146.06</v>
      </c>
      <c r="AQ3395" s="31" t="str">
        <f t="shared" si="168"/>
        <v>Complete - No Adjustment</v>
      </c>
    </row>
    <row r="3396" spans="1:43" x14ac:dyDescent="0.2">
      <c r="A3396" s="46">
        <v>3386</v>
      </c>
      <c r="B3396" s="38" t="s">
        <v>266</v>
      </c>
      <c r="C3396" s="38" t="s">
        <v>486</v>
      </c>
      <c r="D3396" s="38" t="s">
        <v>485</v>
      </c>
      <c r="E3396" s="38" t="s">
        <v>7767</v>
      </c>
      <c r="F3396" s="38" t="s">
        <v>7582</v>
      </c>
      <c r="G3396" s="38" t="s">
        <v>111</v>
      </c>
      <c r="H3396" s="44">
        <v>44249</v>
      </c>
      <c r="I3396" s="44">
        <v>44270</v>
      </c>
      <c r="J3396">
        <v>80.5</v>
      </c>
      <c r="K3396">
        <v>27</v>
      </c>
      <c r="L3396" t="s">
        <v>7768</v>
      </c>
      <c r="M3396" s="45" t="s">
        <v>98</v>
      </c>
      <c r="N3396" s="38" t="s">
        <v>230</v>
      </c>
      <c r="O3396" s="38" t="s">
        <v>317</v>
      </c>
      <c r="P3396" s="38" t="s">
        <v>60</v>
      </c>
      <c r="Q3396" s="38" t="s">
        <v>41</v>
      </c>
      <c r="R3396" s="38" t="s">
        <v>270</v>
      </c>
      <c r="S3396" s="38" t="s">
        <v>7769</v>
      </c>
      <c r="T3396" s="38" t="s">
        <v>7770</v>
      </c>
      <c r="U3396" s="38"/>
      <c r="V3396" s="38"/>
      <c r="W3396" s="38"/>
      <c r="X3396" s="7"/>
      <c r="Y3396" s="57"/>
      <c r="Z3396" s="7"/>
      <c r="AA3396" s="57"/>
      <c r="AB3396" s="7"/>
      <c r="AC3396" s="57"/>
      <c r="AD3396" s="7"/>
      <c r="AE3396" s="57"/>
      <c r="AF3396" s="7"/>
      <c r="AG3396" s="57"/>
      <c r="AH3396" s="7"/>
      <c r="AI3396" s="57"/>
      <c r="AJ3396" s="7"/>
      <c r="AK3396" s="57"/>
      <c r="AL3396" s="7"/>
      <c r="AN3396" s="7" t="s">
        <v>70</v>
      </c>
      <c r="AO3396" s="21">
        <f t="shared" si="167"/>
        <v>0</v>
      </c>
      <c r="AP3396" s="7">
        <f t="shared" si="169"/>
        <v>27</v>
      </c>
      <c r="AQ3396" s="31" t="str">
        <f t="shared" si="168"/>
        <v>Complete - No Adjustment</v>
      </c>
    </row>
    <row r="3397" spans="1:43" x14ac:dyDescent="0.2">
      <c r="A3397" s="46">
        <v>3387</v>
      </c>
      <c r="B3397" s="38" t="s">
        <v>266</v>
      </c>
      <c r="C3397" s="38" t="s">
        <v>486</v>
      </c>
      <c r="D3397" s="38" t="s">
        <v>485</v>
      </c>
      <c r="E3397" s="38" t="s">
        <v>7767</v>
      </c>
      <c r="F3397" s="38" t="s">
        <v>7582</v>
      </c>
      <c r="G3397" s="38" t="s">
        <v>111</v>
      </c>
      <c r="H3397" s="44">
        <v>44249</v>
      </c>
      <c r="I3397" s="44">
        <v>44270</v>
      </c>
      <c r="J3397">
        <v>80.5</v>
      </c>
      <c r="K3397">
        <v>53.5</v>
      </c>
      <c r="L3397" t="s">
        <v>7768</v>
      </c>
      <c r="M3397" s="45" t="s">
        <v>98</v>
      </c>
      <c r="N3397" s="38" t="s">
        <v>230</v>
      </c>
      <c r="O3397" s="38" t="s">
        <v>317</v>
      </c>
      <c r="P3397" s="38" t="s">
        <v>60</v>
      </c>
      <c r="Q3397" s="38" t="s">
        <v>41</v>
      </c>
      <c r="R3397" s="38" t="s">
        <v>270</v>
      </c>
      <c r="S3397" s="38" t="s">
        <v>7769</v>
      </c>
      <c r="T3397" s="38" t="s">
        <v>7770</v>
      </c>
      <c r="U3397" s="38"/>
      <c r="V3397" s="38"/>
      <c r="W3397" s="38"/>
      <c r="X3397" s="7"/>
      <c r="Y3397" s="57"/>
      <c r="Z3397" s="7"/>
      <c r="AA3397" s="57"/>
      <c r="AB3397" s="7">
        <f>44.8-25</f>
        <v>19.799999999999997</v>
      </c>
      <c r="AC3397" s="57"/>
      <c r="AD3397" s="7"/>
      <c r="AE3397" s="57"/>
      <c r="AF3397" s="7"/>
      <c r="AG3397" s="57"/>
      <c r="AH3397" s="7"/>
      <c r="AI3397" s="57"/>
      <c r="AJ3397" s="7"/>
      <c r="AK3397" s="57"/>
      <c r="AL3397" s="7"/>
      <c r="AN3397" s="7" t="s">
        <v>66</v>
      </c>
      <c r="AO3397" s="21">
        <f t="shared" si="167"/>
        <v>19.799999999999997</v>
      </c>
      <c r="AP3397" s="7">
        <f t="shared" si="169"/>
        <v>33.700000000000003</v>
      </c>
      <c r="AQ3397" s="31" t="str">
        <f t="shared" si="168"/>
        <v>Complete - With Adjustment</v>
      </c>
    </row>
    <row r="3398" spans="1:43" x14ac:dyDescent="0.2">
      <c r="A3398" s="46">
        <v>3388</v>
      </c>
      <c r="B3398" s="38" t="s">
        <v>266</v>
      </c>
      <c r="C3398" s="38" t="s">
        <v>238</v>
      </c>
      <c r="D3398" s="38" t="s">
        <v>237</v>
      </c>
      <c r="E3398" s="38" t="s">
        <v>7771</v>
      </c>
      <c r="F3398" s="38" t="s">
        <v>7772</v>
      </c>
      <c r="G3398" s="38" t="s">
        <v>111</v>
      </c>
      <c r="H3398" s="44">
        <v>44258</v>
      </c>
      <c r="I3398" s="44">
        <v>44264</v>
      </c>
      <c r="J3398">
        <v>71.42</v>
      </c>
      <c r="K3398">
        <v>43.29</v>
      </c>
      <c r="L3398" t="s">
        <v>7773</v>
      </c>
      <c r="M3398" s="45" t="s">
        <v>98</v>
      </c>
      <c r="N3398" s="38" t="s">
        <v>230</v>
      </c>
      <c r="O3398" s="38" t="s">
        <v>784</v>
      </c>
      <c r="P3398" s="38" t="s">
        <v>60</v>
      </c>
      <c r="Q3398" s="38" t="s">
        <v>62</v>
      </c>
      <c r="R3398" s="38" t="s">
        <v>270</v>
      </c>
      <c r="S3398" s="38" t="s">
        <v>7774</v>
      </c>
      <c r="T3398" s="38" t="s">
        <v>7775</v>
      </c>
      <c r="U3398" s="38"/>
      <c r="V3398" s="38"/>
      <c r="W3398" s="38"/>
      <c r="X3398" s="7"/>
      <c r="Y3398" s="57"/>
      <c r="Z3398" s="7"/>
      <c r="AA3398" s="57"/>
      <c r="AB3398" s="7"/>
      <c r="AC3398" s="57"/>
      <c r="AD3398" s="7"/>
      <c r="AE3398" s="57"/>
      <c r="AF3398" s="7"/>
      <c r="AG3398" s="57"/>
      <c r="AH3398" s="7"/>
      <c r="AI3398" s="57"/>
      <c r="AJ3398" s="7"/>
      <c r="AK3398" s="57"/>
      <c r="AL3398" s="7"/>
      <c r="AN3398" s="7" t="s">
        <v>155</v>
      </c>
      <c r="AO3398" s="21">
        <f t="shared" si="167"/>
        <v>0</v>
      </c>
      <c r="AP3398" s="7">
        <f t="shared" si="169"/>
        <v>43.29</v>
      </c>
      <c r="AQ3398" s="31" t="str">
        <f t="shared" si="168"/>
        <v>Complete - No Adjustment</v>
      </c>
    </row>
    <row r="3399" spans="1:43" x14ac:dyDescent="0.2">
      <c r="A3399" s="46">
        <v>3389</v>
      </c>
      <c r="B3399" s="38" t="s">
        <v>266</v>
      </c>
      <c r="C3399" s="38" t="s">
        <v>238</v>
      </c>
      <c r="D3399" s="38" t="s">
        <v>237</v>
      </c>
      <c r="E3399" s="38" t="s">
        <v>7771</v>
      </c>
      <c r="F3399" s="38" t="s">
        <v>7772</v>
      </c>
      <c r="G3399" s="38" t="s">
        <v>111</v>
      </c>
      <c r="H3399" s="44">
        <v>44258</v>
      </c>
      <c r="I3399" s="44">
        <v>44264</v>
      </c>
      <c r="J3399">
        <v>71.42</v>
      </c>
      <c r="K3399">
        <v>28.13</v>
      </c>
      <c r="L3399" t="s">
        <v>7773</v>
      </c>
      <c r="M3399" s="45" t="s">
        <v>98</v>
      </c>
      <c r="N3399" s="38" t="s">
        <v>230</v>
      </c>
      <c r="O3399" s="38" t="s">
        <v>784</v>
      </c>
      <c r="P3399" s="38" t="s">
        <v>60</v>
      </c>
      <c r="Q3399" s="38" t="s">
        <v>62</v>
      </c>
      <c r="R3399" s="38" t="s">
        <v>270</v>
      </c>
      <c r="S3399" s="38" t="s">
        <v>7774</v>
      </c>
      <c r="T3399" s="38" t="s">
        <v>7776</v>
      </c>
      <c r="U3399" s="38"/>
      <c r="V3399" s="38"/>
      <c r="W3399" s="38"/>
      <c r="X3399" s="7"/>
      <c r="Y3399" s="57"/>
      <c r="Z3399" s="7"/>
      <c r="AA3399" s="57"/>
      <c r="AB3399" s="7"/>
      <c r="AC3399" s="57"/>
      <c r="AD3399" s="7"/>
      <c r="AE3399" s="57"/>
      <c r="AF3399" s="7"/>
      <c r="AG3399" s="57"/>
      <c r="AH3399" s="7"/>
      <c r="AI3399" s="57"/>
      <c r="AJ3399" s="7"/>
      <c r="AK3399" s="57"/>
      <c r="AL3399" s="7"/>
      <c r="AN3399" s="7" t="s">
        <v>155</v>
      </c>
      <c r="AO3399" s="21">
        <f t="shared" si="167"/>
        <v>0</v>
      </c>
      <c r="AP3399" s="7">
        <f t="shared" si="169"/>
        <v>28.13</v>
      </c>
      <c r="AQ3399" s="31" t="str">
        <f t="shared" si="168"/>
        <v>Complete - No Adjustment</v>
      </c>
    </row>
    <row r="3400" spans="1:43" x14ac:dyDescent="0.2">
      <c r="A3400" s="46">
        <v>3390</v>
      </c>
      <c r="B3400" s="38" t="s">
        <v>266</v>
      </c>
      <c r="C3400" s="38" t="s">
        <v>492</v>
      </c>
      <c r="D3400" s="38" t="s">
        <v>491</v>
      </c>
      <c r="E3400" s="38" t="s">
        <v>7777</v>
      </c>
      <c r="F3400" s="38" t="s">
        <v>7567</v>
      </c>
      <c r="G3400" s="38" t="s">
        <v>111</v>
      </c>
      <c r="H3400" s="44">
        <v>44277</v>
      </c>
      <c r="I3400" s="44">
        <v>44279</v>
      </c>
      <c r="J3400">
        <v>115.85</v>
      </c>
      <c r="K3400">
        <v>23.86</v>
      </c>
      <c r="L3400" t="s">
        <v>7778</v>
      </c>
      <c r="M3400" s="45" t="s">
        <v>98</v>
      </c>
      <c r="N3400" s="38" t="s">
        <v>230</v>
      </c>
      <c r="O3400" s="38" t="s">
        <v>292</v>
      </c>
      <c r="P3400" s="38" t="s">
        <v>60</v>
      </c>
      <c r="Q3400" s="38" t="s">
        <v>41</v>
      </c>
      <c r="R3400" s="38" t="s">
        <v>270</v>
      </c>
      <c r="S3400" s="38" t="s">
        <v>7779</v>
      </c>
      <c r="T3400" s="38" t="s">
        <v>7780</v>
      </c>
      <c r="U3400" s="38"/>
      <c r="V3400" s="38"/>
      <c r="W3400" s="38"/>
      <c r="X3400" s="7"/>
      <c r="Y3400" s="57"/>
      <c r="Z3400" s="7"/>
      <c r="AA3400" s="57"/>
      <c r="AB3400" s="7"/>
      <c r="AC3400" s="57"/>
      <c r="AD3400" s="7"/>
      <c r="AE3400" s="57"/>
      <c r="AF3400" s="7"/>
      <c r="AG3400" s="57"/>
      <c r="AH3400" s="7"/>
      <c r="AI3400" s="57">
        <f>23.86</f>
        <v>23.86</v>
      </c>
      <c r="AJ3400" s="7"/>
      <c r="AK3400" s="57"/>
      <c r="AL3400" s="7"/>
      <c r="AN3400" s="7" t="s">
        <v>145</v>
      </c>
      <c r="AO3400" s="21">
        <f t="shared" ref="AO3400:AO3420" si="170">SUM(Y3400:AL3400)</f>
        <v>23.86</v>
      </c>
      <c r="AP3400" s="7">
        <f t="shared" si="169"/>
        <v>0</v>
      </c>
      <c r="AQ3400" s="31" t="str">
        <f t="shared" ref="AQ3400:AQ3420" si="171">IF(AO3400&lt;&gt;0,"Complete - With Adjustment","Complete - No Adjustment")</f>
        <v>Complete - With Adjustment</v>
      </c>
    </row>
    <row r="3401" spans="1:43" x14ac:dyDescent="0.2">
      <c r="A3401" s="46">
        <v>3391</v>
      </c>
      <c r="B3401" s="38" t="s">
        <v>266</v>
      </c>
      <c r="C3401" s="38" t="s">
        <v>492</v>
      </c>
      <c r="D3401" s="38" t="s">
        <v>491</v>
      </c>
      <c r="E3401" s="38" t="s">
        <v>7777</v>
      </c>
      <c r="F3401" s="38" t="s">
        <v>7567</v>
      </c>
      <c r="G3401" s="38" t="s">
        <v>111</v>
      </c>
      <c r="H3401" s="44">
        <v>44277</v>
      </c>
      <c r="I3401" s="44">
        <v>44279</v>
      </c>
      <c r="J3401">
        <v>115.85</v>
      </c>
      <c r="K3401">
        <v>28.83</v>
      </c>
      <c r="L3401" t="s">
        <v>7778</v>
      </c>
      <c r="M3401" s="45" t="s">
        <v>98</v>
      </c>
      <c r="N3401" s="38" t="s">
        <v>230</v>
      </c>
      <c r="O3401" s="38" t="s">
        <v>292</v>
      </c>
      <c r="P3401" s="38" t="s">
        <v>60</v>
      </c>
      <c r="Q3401" s="38" t="s">
        <v>46</v>
      </c>
      <c r="R3401" s="38" t="s">
        <v>270</v>
      </c>
      <c r="S3401" s="38" t="s">
        <v>7779</v>
      </c>
      <c r="T3401" s="38" t="s">
        <v>7781</v>
      </c>
      <c r="U3401" s="38"/>
      <c r="V3401" s="38"/>
      <c r="W3401" s="38"/>
      <c r="X3401" s="7"/>
      <c r="Y3401" s="57"/>
      <c r="Z3401" s="7"/>
      <c r="AA3401" s="57"/>
      <c r="AB3401" s="7"/>
      <c r="AC3401" s="57"/>
      <c r="AD3401" s="7"/>
      <c r="AE3401" s="57"/>
      <c r="AF3401" s="7"/>
      <c r="AG3401" s="57"/>
      <c r="AH3401" s="7"/>
      <c r="AI3401" s="57">
        <f>28.83</f>
        <v>28.83</v>
      </c>
      <c r="AJ3401" s="7"/>
      <c r="AK3401" s="57"/>
      <c r="AL3401" s="7"/>
      <c r="AN3401" s="7" t="s">
        <v>145</v>
      </c>
      <c r="AO3401" s="21">
        <f t="shared" si="170"/>
        <v>28.83</v>
      </c>
      <c r="AP3401" s="7">
        <f t="shared" si="169"/>
        <v>0</v>
      </c>
      <c r="AQ3401" s="31" t="str">
        <f t="shared" si="171"/>
        <v>Complete - With Adjustment</v>
      </c>
    </row>
    <row r="3402" spans="1:43" x14ac:dyDescent="0.2">
      <c r="A3402" s="46">
        <v>3392</v>
      </c>
      <c r="B3402" s="38" t="s">
        <v>266</v>
      </c>
      <c r="C3402" s="38" t="s">
        <v>492</v>
      </c>
      <c r="D3402" s="38" t="s">
        <v>491</v>
      </c>
      <c r="E3402" s="38" t="s">
        <v>7777</v>
      </c>
      <c r="F3402" s="38" t="s">
        <v>7567</v>
      </c>
      <c r="G3402" s="38" t="s">
        <v>111</v>
      </c>
      <c r="H3402" s="44">
        <v>44277</v>
      </c>
      <c r="I3402" s="44">
        <v>44279</v>
      </c>
      <c r="J3402">
        <v>115.85</v>
      </c>
      <c r="K3402">
        <v>42.87</v>
      </c>
      <c r="L3402" t="s">
        <v>7778</v>
      </c>
      <c r="M3402" s="45" t="s">
        <v>98</v>
      </c>
      <c r="N3402" s="38" t="s">
        <v>230</v>
      </c>
      <c r="O3402" s="38" t="s">
        <v>292</v>
      </c>
      <c r="P3402" s="38" t="s">
        <v>60</v>
      </c>
      <c r="Q3402" s="38" t="s">
        <v>41</v>
      </c>
      <c r="R3402" s="38" t="s">
        <v>270</v>
      </c>
      <c r="S3402" s="38" t="s">
        <v>7779</v>
      </c>
      <c r="T3402" s="38" t="s">
        <v>7782</v>
      </c>
      <c r="U3402" s="38"/>
      <c r="V3402" s="38"/>
      <c r="W3402" s="38"/>
      <c r="X3402" s="7"/>
      <c r="Y3402" s="57"/>
      <c r="Z3402" s="7"/>
      <c r="AA3402" s="57"/>
      <c r="AB3402" s="7"/>
      <c r="AC3402" s="57"/>
      <c r="AD3402" s="7"/>
      <c r="AE3402" s="57"/>
      <c r="AF3402" s="7"/>
      <c r="AG3402" s="57"/>
      <c r="AH3402" s="7"/>
      <c r="AI3402" s="57">
        <f>42.87</f>
        <v>42.87</v>
      </c>
      <c r="AJ3402" s="7"/>
      <c r="AK3402" s="57"/>
      <c r="AL3402" s="7"/>
      <c r="AN3402" s="7" t="s">
        <v>145</v>
      </c>
      <c r="AO3402" s="21">
        <f t="shared" si="170"/>
        <v>42.87</v>
      </c>
      <c r="AP3402" s="7">
        <f t="shared" si="169"/>
        <v>0</v>
      </c>
      <c r="AQ3402" s="31" t="str">
        <f t="shared" si="171"/>
        <v>Complete - With Adjustment</v>
      </c>
    </row>
    <row r="3403" spans="1:43" x14ac:dyDescent="0.2">
      <c r="A3403" s="46">
        <v>3393</v>
      </c>
      <c r="B3403" s="38" t="s">
        <v>266</v>
      </c>
      <c r="C3403" s="38" t="s">
        <v>492</v>
      </c>
      <c r="D3403" s="38" t="s">
        <v>491</v>
      </c>
      <c r="E3403" s="38" t="s">
        <v>7777</v>
      </c>
      <c r="F3403" s="38" t="s">
        <v>7567</v>
      </c>
      <c r="G3403" s="38" t="s">
        <v>111</v>
      </c>
      <c r="H3403" s="44">
        <v>44277</v>
      </c>
      <c r="I3403" s="44">
        <v>44279</v>
      </c>
      <c r="J3403">
        <v>115.85</v>
      </c>
      <c r="K3403">
        <v>20.29</v>
      </c>
      <c r="L3403" t="s">
        <v>7778</v>
      </c>
      <c r="M3403" s="45" t="s">
        <v>98</v>
      </c>
      <c r="N3403" s="38" t="s">
        <v>230</v>
      </c>
      <c r="O3403" s="38" t="s">
        <v>292</v>
      </c>
      <c r="P3403" s="38" t="s">
        <v>60</v>
      </c>
      <c r="Q3403" s="38" t="s">
        <v>41</v>
      </c>
      <c r="R3403" s="38" t="s">
        <v>270</v>
      </c>
      <c r="S3403" s="38" t="s">
        <v>7779</v>
      </c>
      <c r="T3403" s="38" t="s">
        <v>7783</v>
      </c>
      <c r="U3403" s="38"/>
      <c r="V3403" s="38"/>
      <c r="W3403" s="38"/>
      <c r="X3403" s="7"/>
      <c r="Y3403" s="57"/>
      <c r="Z3403" s="7"/>
      <c r="AA3403" s="57"/>
      <c r="AB3403" s="7"/>
      <c r="AC3403" s="57"/>
      <c r="AD3403" s="7"/>
      <c r="AE3403" s="57"/>
      <c r="AF3403" s="7"/>
      <c r="AG3403" s="57"/>
      <c r="AH3403" s="7"/>
      <c r="AI3403" s="57">
        <f>20.29</f>
        <v>20.29</v>
      </c>
      <c r="AJ3403" s="7"/>
      <c r="AK3403" s="57"/>
      <c r="AL3403" s="7"/>
      <c r="AN3403" s="7" t="s">
        <v>145</v>
      </c>
      <c r="AO3403" s="21">
        <f t="shared" si="170"/>
        <v>20.29</v>
      </c>
      <c r="AP3403" s="7">
        <f t="shared" si="169"/>
        <v>0</v>
      </c>
      <c r="AQ3403" s="31" t="str">
        <f t="shared" si="171"/>
        <v>Complete - With Adjustment</v>
      </c>
    </row>
    <row r="3404" spans="1:43" x14ac:dyDescent="0.2">
      <c r="A3404" s="46">
        <v>3394</v>
      </c>
      <c r="B3404" s="38" t="s">
        <v>266</v>
      </c>
      <c r="C3404" s="38" t="s">
        <v>577</v>
      </c>
      <c r="D3404" s="38" t="s">
        <v>576</v>
      </c>
      <c r="E3404" s="38" t="s">
        <v>7784</v>
      </c>
      <c r="F3404" s="38" t="s">
        <v>7712</v>
      </c>
      <c r="G3404" s="38" t="s">
        <v>111</v>
      </c>
      <c r="H3404" s="44">
        <v>44263</v>
      </c>
      <c r="I3404" s="44">
        <v>44265</v>
      </c>
      <c r="J3404">
        <v>1049.5899999999999</v>
      </c>
      <c r="K3404">
        <v>547.53</v>
      </c>
      <c r="L3404" t="s">
        <v>7785</v>
      </c>
      <c r="M3404" s="45" t="s">
        <v>98</v>
      </c>
      <c r="N3404" s="38" t="s">
        <v>230</v>
      </c>
      <c r="O3404" s="38" t="s">
        <v>78</v>
      </c>
      <c r="P3404" s="38" t="s">
        <v>60</v>
      </c>
      <c r="Q3404" s="38" t="s">
        <v>62</v>
      </c>
      <c r="R3404" s="38" t="s">
        <v>270</v>
      </c>
      <c r="S3404" s="38" t="s">
        <v>7786</v>
      </c>
      <c r="T3404" s="38" t="s">
        <v>7787</v>
      </c>
      <c r="U3404" s="38"/>
      <c r="V3404" s="38"/>
      <c r="W3404" s="38"/>
      <c r="X3404" s="7"/>
      <c r="Y3404" s="57"/>
      <c r="Z3404" s="7"/>
      <c r="AA3404" s="57"/>
      <c r="AB3404" s="7"/>
      <c r="AC3404" s="57"/>
      <c r="AD3404" s="7"/>
      <c r="AE3404" s="57"/>
      <c r="AF3404" s="7"/>
      <c r="AG3404" s="57"/>
      <c r="AH3404" s="7"/>
      <c r="AI3404" s="57"/>
      <c r="AJ3404" s="7"/>
      <c r="AK3404" s="57"/>
      <c r="AL3404" s="7"/>
      <c r="AN3404" s="7" t="s">
        <v>70</v>
      </c>
      <c r="AO3404" s="21">
        <f t="shared" si="170"/>
        <v>0</v>
      </c>
      <c r="AP3404" s="7">
        <f t="shared" si="169"/>
        <v>547.53</v>
      </c>
      <c r="AQ3404" s="31" t="str">
        <f t="shared" si="171"/>
        <v>Complete - No Adjustment</v>
      </c>
    </row>
    <row r="3405" spans="1:43" x14ac:dyDescent="0.2">
      <c r="A3405" s="46">
        <v>3395</v>
      </c>
      <c r="B3405" s="38" t="s">
        <v>266</v>
      </c>
      <c r="C3405" s="38" t="s">
        <v>577</v>
      </c>
      <c r="D3405" s="38" t="s">
        <v>576</v>
      </c>
      <c r="E3405" s="38" t="s">
        <v>7784</v>
      </c>
      <c r="F3405" s="38" t="s">
        <v>7712</v>
      </c>
      <c r="G3405" s="38" t="s">
        <v>111</v>
      </c>
      <c r="H3405" s="44">
        <v>44263</v>
      </c>
      <c r="I3405" s="44">
        <v>44265</v>
      </c>
      <c r="J3405">
        <v>1049.5899999999999</v>
      </c>
      <c r="K3405">
        <v>14.67</v>
      </c>
      <c r="L3405" t="s">
        <v>7785</v>
      </c>
      <c r="M3405" s="45" t="s">
        <v>98</v>
      </c>
      <c r="N3405" s="38" t="s">
        <v>230</v>
      </c>
      <c r="O3405" s="38" t="s">
        <v>78</v>
      </c>
      <c r="P3405" s="38" t="s">
        <v>60</v>
      </c>
      <c r="Q3405" s="38" t="s">
        <v>74</v>
      </c>
      <c r="R3405" s="38" t="s">
        <v>270</v>
      </c>
      <c r="S3405" s="38" t="s">
        <v>7786</v>
      </c>
      <c r="T3405" s="38" t="s">
        <v>7788</v>
      </c>
      <c r="U3405" s="38"/>
      <c r="V3405" s="38"/>
      <c r="W3405" s="38"/>
      <c r="X3405" s="7"/>
      <c r="Y3405" s="57"/>
      <c r="Z3405" s="7"/>
      <c r="AA3405" s="57"/>
      <c r="AB3405" s="7"/>
      <c r="AC3405" s="57"/>
      <c r="AD3405" s="7"/>
      <c r="AE3405" s="57"/>
      <c r="AF3405" s="7"/>
      <c r="AG3405" s="57"/>
      <c r="AH3405" s="7"/>
      <c r="AI3405" s="57"/>
      <c r="AJ3405" s="7"/>
      <c r="AK3405" s="57"/>
      <c r="AL3405" s="7"/>
      <c r="AN3405" s="7" t="s">
        <v>70</v>
      </c>
      <c r="AO3405" s="21">
        <f t="shared" si="170"/>
        <v>0</v>
      </c>
      <c r="AP3405" s="7">
        <f t="shared" si="169"/>
        <v>14.67</v>
      </c>
      <c r="AQ3405" s="31" t="str">
        <f t="shared" si="171"/>
        <v>Complete - No Adjustment</v>
      </c>
    </row>
    <row r="3406" spans="1:43" x14ac:dyDescent="0.2">
      <c r="A3406" s="46">
        <v>3396</v>
      </c>
      <c r="B3406" s="38" t="s">
        <v>266</v>
      </c>
      <c r="C3406" s="38" t="s">
        <v>577</v>
      </c>
      <c r="D3406" s="38" t="s">
        <v>576</v>
      </c>
      <c r="E3406" s="38" t="s">
        <v>7784</v>
      </c>
      <c r="F3406" s="38" t="s">
        <v>7712</v>
      </c>
      <c r="G3406" s="38" t="s">
        <v>111</v>
      </c>
      <c r="H3406" s="44">
        <v>44263</v>
      </c>
      <c r="I3406" s="44">
        <v>44265</v>
      </c>
      <c r="J3406">
        <v>1049.5899999999999</v>
      </c>
      <c r="K3406">
        <v>27.93</v>
      </c>
      <c r="L3406" t="s">
        <v>7785</v>
      </c>
      <c r="M3406" s="45" t="s">
        <v>98</v>
      </c>
      <c r="N3406" s="38" t="s">
        <v>230</v>
      </c>
      <c r="O3406" s="38" t="s">
        <v>78</v>
      </c>
      <c r="P3406" s="38" t="s">
        <v>60</v>
      </c>
      <c r="Q3406" s="38" t="s">
        <v>46</v>
      </c>
      <c r="R3406" s="38" t="s">
        <v>270</v>
      </c>
      <c r="S3406" s="38" t="s">
        <v>7786</v>
      </c>
      <c r="T3406" s="38" t="s">
        <v>7789</v>
      </c>
      <c r="U3406" s="38"/>
      <c r="V3406" s="38"/>
      <c r="W3406" s="38"/>
      <c r="X3406" s="7"/>
      <c r="Y3406" s="57"/>
      <c r="Z3406" s="7"/>
      <c r="AA3406" s="57"/>
      <c r="AB3406" s="7"/>
      <c r="AC3406" s="57"/>
      <c r="AD3406" s="7"/>
      <c r="AE3406" s="57"/>
      <c r="AF3406" s="7"/>
      <c r="AG3406" s="57"/>
      <c r="AH3406" s="7"/>
      <c r="AI3406" s="57"/>
      <c r="AJ3406" s="7"/>
      <c r="AK3406" s="57"/>
      <c r="AL3406" s="7">
        <f>27.93</f>
        <v>27.93</v>
      </c>
      <c r="AN3406" s="7" t="s">
        <v>146</v>
      </c>
      <c r="AO3406" s="21">
        <f t="shared" si="170"/>
        <v>27.93</v>
      </c>
      <c r="AP3406" s="7">
        <f t="shared" si="169"/>
        <v>0</v>
      </c>
      <c r="AQ3406" s="31" t="str">
        <f t="shared" si="171"/>
        <v>Complete - With Adjustment</v>
      </c>
    </row>
    <row r="3407" spans="1:43" x14ac:dyDescent="0.2">
      <c r="A3407" s="46">
        <v>3397</v>
      </c>
      <c r="B3407" s="38" t="s">
        <v>266</v>
      </c>
      <c r="C3407" s="38" t="s">
        <v>577</v>
      </c>
      <c r="D3407" s="38" t="s">
        <v>576</v>
      </c>
      <c r="E3407" s="38" t="s">
        <v>7784</v>
      </c>
      <c r="F3407" s="38" t="s">
        <v>7712</v>
      </c>
      <c r="G3407" s="38" t="s">
        <v>111</v>
      </c>
      <c r="H3407" s="44">
        <v>44263</v>
      </c>
      <c r="I3407" s="44">
        <v>44265</v>
      </c>
      <c r="J3407">
        <v>1049.5899999999999</v>
      </c>
      <c r="K3407">
        <v>68.010000000000005</v>
      </c>
      <c r="L3407" t="s">
        <v>7785</v>
      </c>
      <c r="M3407" s="45" t="s">
        <v>98</v>
      </c>
      <c r="N3407" s="38" t="s">
        <v>230</v>
      </c>
      <c r="O3407" s="38" t="s">
        <v>78</v>
      </c>
      <c r="P3407" s="38" t="s">
        <v>60</v>
      </c>
      <c r="Q3407" s="38" t="s">
        <v>62</v>
      </c>
      <c r="R3407" s="38" t="s">
        <v>270</v>
      </c>
      <c r="S3407" s="38" t="s">
        <v>7786</v>
      </c>
      <c r="T3407" s="38" t="s">
        <v>7790</v>
      </c>
      <c r="U3407" s="38"/>
      <c r="V3407" s="38"/>
      <c r="W3407" s="38"/>
      <c r="X3407" s="7"/>
      <c r="Y3407" s="57"/>
      <c r="Z3407" s="7"/>
      <c r="AA3407" s="57"/>
      <c r="AB3407" s="7"/>
      <c r="AC3407" s="57"/>
      <c r="AD3407" s="7"/>
      <c r="AE3407" s="57"/>
      <c r="AF3407" s="7"/>
      <c r="AG3407" s="57"/>
      <c r="AH3407" s="7"/>
      <c r="AI3407" s="57"/>
      <c r="AJ3407" s="7"/>
      <c r="AK3407" s="57"/>
      <c r="AL3407" s="7"/>
      <c r="AN3407" s="7" t="s">
        <v>70</v>
      </c>
      <c r="AO3407" s="21">
        <f t="shared" si="170"/>
        <v>0</v>
      </c>
      <c r="AP3407" s="7">
        <f t="shared" si="169"/>
        <v>68.010000000000005</v>
      </c>
      <c r="AQ3407" s="31" t="str">
        <f t="shared" si="171"/>
        <v>Complete - No Adjustment</v>
      </c>
    </row>
    <row r="3408" spans="1:43" x14ac:dyDescent="0.2">
      <c r="A3408" s="46">
        <v>3398</v>
      </c>
      <c r="B3408" s="38" t="s">
        <v>266</v>
      </c>
      <c r="C3408" s="38" t="s">
        <v>577</v>
      </c>
      <c r="D3408" s="38" t="s">
        <v>576</v>
      </c>
      <c r="E3408" s="38" t="s">
        <v>7784</v>
      </c>
      <c r="F3408" s="38" t="s">
        <v>7712</v>
      </c>
      <c r="G3408" s="38" t="s">
        <v>111</v>
      </c>
      <c r="H3408" s="44">
        <v>44263</v>
      </c>
      <c r="I3408" s="44">
        <v>44265</v>
      </c>
      <c r="J3408">
        <v>1049.5899999999999</v>
      </c>
      <c r="K3408">
        <v>130.36000000000001</v>
      </c>
      <c r="L3408" t="s">
        <v>7785</v>
      </c>
      <c r="M3408" s="45" t="s">
        <v>98</v>
      </c>
      <c r="N3408" s="38" t="s">
        <v>230</v>
      </c>
      <c r="O3408" s="38" t="s">
        <v>78</v>
      </c>
      <c r="P3408" s="38" t="s">
        <v>60</v>
      </c>
      <c r="Q3408" s="38" t="s">
        <v>62</v>
      </c>
      <c r="R3408" s="38" t="s">
        <v>270</v>
      </c>
      <c r="S3408" s="38" t="s">
        <v>7786</v>
      </c>
      <c r="T3408" s="38" t="s">
        <v>7791</v>
      </c>
      <c r="U3408" s="38"/>
      <c r="V3408" s="38"/>
      <c r="W3408" s="38"/>
      <c r="X3408" s="7"/>
      <c r="Y3408" s="57"/>
      <c r="Z3408" s="7"/>
      <c r="AA3408" s="57"/>
      <c r="AB3408" s="7"/>
      <c r="AC3408" s="57"/>
      <c r="AD3408" s="7"/>
      <c r="AE3408" s="57"/>
      <c r="AF3408" s="7"/>
      <c r="AG3408" s="57"/>
      <c r="AH3408" s="7"/>
      <c r="AI3408" s="57"/>
      <c r="AJ3408" s="7"/>
      <c r="AK3408" s="57"/>
      <c r="AL3408" s="7"/>
      <c r="AN3408" s="7" t="s">
        <v>70</v>
      </c>
      <c r="AO3408" s="21">
        <f t="shared" si="170"/>
        <v>0</v>
      </c>
      <c r="AP3408" s="7">
        <f t="shared" si="169"/>
        <v>130.36000000000001</v>
      </c>
      <c r="AQ3408" s="31" t="str">
        <f t="shared" si="171"/>
        <v>Complete - No Adjustment</v>
      </c>
    </row>
    <row r="3409" spans="1:43" x14ac:dyDescent="0.2">
      <c r="A3409" s="46">
        <v>3399</v>
      </c>
      <c r="B3409" s="38" t="s">
        <v>266</v>
      </c>
      <c r="C3409" s="38" t="s">
        <v>577</v>
      </c>
      <c r="D3409" s="38" t="s">
        <v>576</v>
      </c>
      <c r="E3409" s="38" t="s">
        <v>7784</v>
      </c>
      <c r="F3409" s="38" t="s">
        <v>7712</v>
      </c>
      <c r="G3409" s="38" t="s">
        <v>111</v>
      </c>
      <c r="H3409" s="44">
        <v>44263</v>
      </c>
      <c r="I3409" s="44">
        <v>44265</v>
      </c>
      <c r="J3409">
        <v>1049.5899999999999</v>
      </c>
      <c r="K3409">
        <v>129.59</v>
      </c>
      <c r="L3409" t="s">
        <v>7785</v>
      </c>
      <c r="M3409" s="45" t="s">
        <v>98</v>
      </c>
      <c r="N3409" s="38" t="s">
        <v>230</v>
      </c>
      <c r="O3409" s="38" t="s">
        <v>78</v>
      </c>
      <c r="P3409" s="38" t="s">
        <v>60</v>
      </c>
      <c r="Q3409" s="38" t="s">
        <v>62</v>
      </c>
      <c r="R3409" s="38" t="s">
        <v>270</v>
      </c>
      <c r="S3409" s="38" t="s">
        <v>7786</v>
      </c>
      <c r="T3409" s="38" t="s">
        <v>7787</v>
      </c>
      <c r="U3409" s="38"/>
      <c r="V3409" s="38"/>
      <c r="W3409" s="38"/>
      <c r="X3409" s="7"/>
      <c r="Y3409" s="57"/>
      <c r="Z3409" s="7"/>
      <c r="AA3409" s="57"/>
      <c r="AB3409" s="7"/>
      <c r="AC3409" s="57"/>
      <c r="AD3409" s="7"/>
      <c r="AE3409" s="57"/>
      <c r="AF3409" s="7"/>
      <c r="AG3409" s="57"/>
      <c r="AH3409" s="7"/>
      <c r="AI3409" s="57"/>
      <c r="AJ3409" s="7"/>
      <c r="AK3409" s="57"/>
      <c r="AL3409" s="7"/>
      <c r="AN3409" s="7" t="s">
        <v>70</v>
      </c>
      <c r="AO3409" s="21">
        <f t="shared" si="170"/>
        <v>0</v>
      </c>
      <c r="AP3409" s="7">
        <f t="shared" si="169"/>
        <v>129.59</v>
      </c>
      <c r="AQ3409" s="31" t="str">
        <f t="shared" si="171"/>
        <v>Complete - No Adjustment</v>
      </c>
    </row>
    <row r="3410" spans="1:43" x14ac:dyDescent="0.2">
      <c r="A3410" s="46">
        <v>3400</v>
      </c>
      <c r="B3410" s="38" t="s">
        <v>266</v>
      </c>
      <c r="C3410" s="38" t="s">
        <v>577</v>
      </c>
      <c r="D3410" s="38" t="s">
        <v>576</v>
      </c>
      <c r="E3410" s="38" t="s">
        <v>7784</v>
      </c>
      <c r="F3410" s="38" t="s">
        <v>7712</v>
      </c>
      <c r="G3410" s="38" t="s">
        <v>111</v>
      </c>
      <c r="H3410" s="44">
        <v>44263</v>
      </c>
      <c r="I3410" s="44">
        <v>44265</v>
      </c>
      <c r="J3410">
        <v>1049.5899999999999</v>
      </c>
      <c r="K3410">
        <v>107.74</v>
      </c>
      <c r="L3410" t="s">
        <v>7785</v>
      </c>
      <c r="M3410" s="45" t="s">
        <v>98</v>
      </c>
      <c r="N3410" s="38" t="s">
        <v>230</v>
      </c>
      <c r="O3410" s="38" t="s">
        <v>78</v>
      </c>
      <c r="P3410" s="38" t="s">
        <v>60</v>
      </c>
      <c r="Q3410" s="38" t="s">
        <v>62</v>
      </c>
      <c r="R3410" s="38" t="s">
        <v>270</v>
      </c>
      <c r="S3410" s="38" t="s">
        <v>7786</v>
      </c>
      <c r="T3410" s="38" t="s">
        <v>7787</v>
      </c>
      <c r="U3410" s="38"/>
      <c r="V3410" s="38"/>
      <c r="W3410" s="38"/>
      <c r="X3410" s="7"/>
      <c r="Y3410" s="57"/>
      <c r="Z3410" s="7"/>
      <c r="AA3410" s="57"/>
      <c r="AB3410" s="7"/>
      <c r="AC3410" s="57"/>
      <c r="AD3410" s="7"/>
      <c r="AE3410" s="57"/>
      <c r="AF3410" s="7"/>
      <c r="AG3410" s="57"/>
      <c r="AH3410" s="7"/>
      <c r="AI3410" s="57"/>
      <c r="AJ3410" s="7"/>
      <c r="AK3410" s="57"/>
      <c r="AL3410" s="7"/>
      <c r="AN3410" s="7" t="s">
        <v>70</v>
      </c>
      <c r="AO3410" s="21">
        <f t="shared" si="170"/>
        <v>0</v>
      </c>
      <c r="AP3410" s="7">
        <f t="shared" si="169"/>
        <v>107.74</v>
      </c>
      <c r="AQ3410" s="31" t="str">
        <f t="shared" si="171"/>
        <v>Complete - No Adjustment</v>
      </c>
    </row>
    <row r="3411" spans="1:43" x14ac:dyDescent="0.2">
      <c r="A3411" s="46">
        <v>3401</v>
      </c>
      <c r="B3411" s="38" t="s">
        <v>266</v>
      </c>
      <c r="C3411" s="38" t="s">
        <v>577</v>
      </c>
      <c r="D3411" s="38" t="s">
        <v>576</v>
      </c>
      <c r="E3411" s="38" t="s">
        <v>7784</v>
      </c>
      <c r="F3411" s="38" t="s">
        <v>7712</v>
      </c>
      <c r="G3411" s="38" t="s">
        <v>111</v>
      </c>
      <c r="H3411" s="44">
        <v>44263</v>
      </c>
      <c r="I3411" s="44">
        <v>44265</v>
      </c>
      <c r="J3411">
        <v>1049.5899999999999</v>
      </c>
      <c r="K3411">
        <v>23.76</v>
      </c>
      <c r="L3411" t="s">
        <v>7785</v>
      </c>
      <c r="M3411" s="45" t="s">
        <v>98</v>
      </c>
      <c r="N3411" s="38" t="s">
        <v>230</v>
      </c>
      <c r="O3411" s="38" t="s">
        <v>78</v>
      </c>
      <c r="P3411" s="38" t="s">
        <v>60</v>
      </c>
      <c r="Q3411" s="38" t="s">
        <v>62</v>
      </c>
      <c r="R3411" s="38" t="s">
        <v>270</v>
      </c>
      <c r="S3411" s="38" t="s">
        <v>7786</v>
      </c>
      <c r="T3411" s="38" t="s">
        <v>7792</v>
      </c>
      <c r="U3411" s="38"/>
      <c r="V3411" s="38"/>
      <c r="W3411" s="38"/>
      <c r="X3411" s="7"/>
      <c r="Y3411" s="57"/>
      <c r="Z3411" s="7"/>
      <c r="AA3411" s="57"/>
      <c r="AB3411" s="7"/>
      <c r="AC3411" s="57"/>
      <c r="AD3411" s="7"/>
      <c r="AE3411" s="57"/>
      <c r="AF3411" s="7"/>
      <c r="AG3411" s="57"/>
      <c r="AH3411" s="7"/>
      <c r="AI3411" s="57"/>
      <c r="AJ3411" s="7"/>
      <c r="AK3411" s="57"/>
      <c r="AL3411" s="7"/>
      <c r="AN3411" s="7" t="s">
        <v>70</v>
      </c>
      <c r="AO3411" s="21">
        <f t="shared" si="170"/>
        <v>0</v>
      </c>
      <c r="AP3411" s="7">
        <f t="shared" si="169"/>
        <v>23.76</v>
      </c>
      <c r="AQ3411" s="31" t="str">
        <f t="shared" si="171"/>
        <v>Complete - No Adjustment</v>
      </c>
    </row>
    <row r="3412" spans="1:43" x14ac:dyDescent="0.2">
      <c r="A3412" s="46">
        <v>3402</v>
      </c>
      <c r="B3412" s="38" t="s">
        <v>266</v>
      </c>
      <c r="C3412" s="38" t="s">
        <v>501</v>
      </c>
      <c r="D3412" s="38" t="s">
        <v>500</v>
      </c>
      <c r="E3412" s="38" t="s">
        <v>7793</v>
      </c>
      <c r="F3412" s="38" t="s">
        <v>7540</v>
      </c>
      <c r="G3412" s="38" t="s">
        <v>111</v>
      </c>
      <c r="H3412" s="44">
        <v>44258</v>
      </c>
      <c r="I3412" s="44">
        <v>44260</v>
      </c>
      <c r="J3412">
        <v>9363.6</v>
      </c>
      <c r="K3412">
        <v>9363.6</v>
      </c>
      <c r="L3412" t="s">
        <v>7794</v>
      </c>
      <c r="M3412" s="45" t="s">
        <v>98</v>
      </c>
      <c r="N3412" s="38" t="s">
        <v>230</v>
      </c>
      <c r="O3412" s="38" t="s">
        <v>288</v>
      </c>
      <c r="P3412" s="38" t="s">
        <v>60</v>
      </c>
      <c r="Q3412" s="38" t="s">
        <v>174</v>
      </c>
      <c r="R3412" s="38" t="s">
        <v>270</v>
      </c>
      <c r="S3412" s="38" t="s">
        <v>7795</v>
      </c>
      <c r="T3412" s="38" t="s">
        <v>7796</v>
      </c>
      <c r="U3412" s="38"/>
      <c r="V3412" s="38"/>
      <c r="W3412" s="38"/>
      <c r="X3412" s="7"/>
      <c r="Y3412" s="57"/>
      <c r="Z3412" s="7"/>
      <c r="AA3412" s="57"/>
      <c r="AB3412" s="7"/>
      <c r="AC3412" s="57"/>
      <c r="AD3412" s="7"/>
      <c r="AE3412" s="57"/>
      <c r="AF3412" s="7"/>
      <c r="AG3412" s="57"/>
      <c r="AH3412" s="7"/>
      <c r="AI3412" s="57"/>
      <c r="AJ3412" s="7"/>
      <c r="AK3412" s="57"/>
      <c r="AL3412" s="7"/>
      <c r="AN3412" s="7" t="s">
        <v>70</v>
      </c>
      <c r="AO3412" s="21">
        <f t="shared" si="170"/>
        <v>0</v>
      </c>
      <c r="AP3412" s="7">
        <f t="shared" si="169"/>
        <v>9363.6</v>
      </c>
      <c r="AQ3412" s="31" t="str">
        <f t="shared" si="171"/>
        <v>Complete - No Adjustment</v>
      </c>
    </row>
    <row r="3413" spans="1:43" x14ac:dyDescent="0.2">
      <c r="A3413" s="46">
        <v>3403</v>
      </c>
      <c r="B3413" s="38" t="s">
        <v>266</v>
      </c>
      <c r="C3413" s="38" t="s">
        <v>503</v>
      </c>
      <c r="D3413" s="38" t="s">
        <v>502</v>
      </c>
      <c r="E3413" s="38" t="s">
        <v>7797</v>
      </c>
      <c r="F3413" s="38" t="s">
        <v>7717</v>
      </c>
      <c r="G3413" s="38" t="s">
        <v>111</v>
      </c>
      <c r="H3413" s="44">
        <v>44277</v>
      </c>
      <c r="I3413" s="44">
        <v>44284</v>
      </c>
      <c r="J3413">
        <v>595</v>
      </c>
      <c r="K3413">
        <v>595</v>
      </c>
      <c r="L3413" t="s">
        <v>7798</v>
      </c>
      <c r="M3413" s="45" t="s">
        <v>98</v>
      </c>
      <c r="N3413" s="38" t="s">
        <v>230</v>
      </c>
      <c r="O3413" s="38" t="s">
        <v>277</v>
      </c>
      <c r="P3413" s="38" t="s">
        <v>60</v>
      </c>
      <c r="Q3413" s="38" t="s">
        <v>56</v>
      </c>
      <c r="R3413" s="38" t="s">
        <v>270</v>
      </c>
      <c r="S3413" s="38" t="s">
        <v>7799</v>
      </c>
      <c r="T3413" s="38" t="s">
        <v>7800</v>
      </c>
      <c r="U3413" s="38"/>
      <c r="V3413" s="38"/>
      <c r="W3413" s="38"/>
      <c r="X3413" s="7"/>
      <c r="Y3413" s="57"/>
      <c r="Z3413" s="7"/>
      <c r="AA3413" s="57"/>
      <c r="AB3413" s="7"/>
      <c r="AC3413" s="57"/>
      <c r="AD3413" s="7"/>
      <c r="AE3413" s="57"/>
      <c r="AF3413" s="7"/>
      <c r="AG3413" s="57"/>
      <c r="AH3413" s="7"/>
      <c r="AI3413" s="57"/>
      <c r="AJ3413" s="7"/>
      <c r="AK3413" s="57"/>
      <c r="AL3413" s="7"/>
      <c r="AN3413" s="7" t="s">
        <v>70</v>
      </c>
      <c r="AO3413" s="21">
        <f t="shared" si="170"/>
        <v>0</v>
      </c>
      <c r="AP3413" s="7">
        <f t="shared" si="169"/>
        <v>595</v>
      </c>
      <c r="AQ3413" s="31" t="str">
        <f t="shared" si="171"/>
        <v>Complete - No Adjustment</v>
      </c>
    </row>
    <row r="3414" spans="1:43" x14ac:dyDescent="0.2">
      <c r="A3414" s="46">
        <v>3404</v>
      </c>
      <c r="B3414" s="38" t="s">
        <v>266</v>
      </c>
      <c r="C3414" s="38" t="s">
        <v>504</v>
      </c>
      <c r="D3414" s="38" t="s">
        <v>805</v>
      </c>
      <c r="E3414" s="38" t="s">
        <v>7801</v>
      </c>
      <c r="F3414" s="38" t="s">
        <v>7594</v>
      </c>
      <c r="G3414" s="38" t="s">
        <v>111</v>
      </c>
      <c r="H3414" s="44">
        <v>44272</v>
      </c>
      <c r="I3414" s="44">
        <v>44274</v>
      </c>
      <c r="J3414">
        <v>1353.35</v>
      </c>
      <c r="K3414">
        <v>670.45</v>
      </c>
      <c r="L3414" t="s">
        <v>7802</v>
      </c>
      <c r="M3414" s="45" t="s">
        <v>98</v>
      </c>
      <c r="N3414" s="38" t="s">
        <v>230</v>
      </c>
      <c r="O3414" s="38" t="s">
        <v>507</v>
      </c>
      <c r="P3414" s="38" t="s">
        <v>60</v>
      </c>
      <c r="Q3414" s="38" t="s">
        <v>46</v>
      </c>
      <c r="R3414" s="38" t="s">
        <v>270</v>
      </c>
      <c r="S3414" s="38" t="s">
        <v>7803</v>
      </c>
      <c r="T3414" s="38" t="s">
        <v>7804</v>
      </c>
      <c r="U3414" s="38"/>
      <c r="V3414" s="38"/>
      <c r="W3414" s="38"/>
      <c r="X3414" s="7"/>
      <c r="Y3414" s="57"/>
      <c r="Z3414" s="7"/>
      <c r="AA3414" s="57"/>
      <c r="AB3414" s="7"/>
      <c r="AC3414" s="57"/>
      <c r="AD3414" s="7"/>
      <c r="AE3414" s="57"/>
      <c r="AF3414" s="7"/>
      <c r="AG3414" s="57"/>
      <c r="AH3414" s="7"/>
      <c r="AI3414" s="57">
        <f>670.45</f>
        <v>670.45</v>
      </c>
      <c r="AJ3414" s="7"/>
      <c r="AK3414" s="57"/>
      <c r="AL3414" s="7"/>
      <c r="AN3414" s="7" t="s">
        <v>145</v>
      </c>
      <c r="AO3414" s="21">
        <f t="shared" si="170"/>
        <v>670.45</v>
      </c>
      <c r="AP3414" s="7">
        <f t="shared" si="169"/>
        <v>0</v>
      </c>
      <c r="AQ3414" s="31" t="str">
        <f t="shared" si="171"/>
        <v>Complete - With Adjustment</v>
      </c>
    </row>
    <row r="3415" spans="1:43" x14ac:dyDescent="0.2">
      <c r="A3415" s="46">
        <v>3405</v>
      </c>
      <c r="B3415" s="38" t="s">
        <v>266</v>
      </c>
      <c r="C3415" s="38" t="s">
        <v>504</v>
      </c>
      <c r="D3415" s="38" t="s">
        <v>805</v>
      </c>
      <c r="E3415" s="38" t="s">
        <v>7801</v>
      </c>
      <c r="F3415" s="38" t="s">
        <v>7594</v>
      </c>
      <c r="G3415" s="38" t="s">
        <v>111</v>
      </c>
      <c r="H3415" s="44">
        <v>44272</v>
      </c>
      <c r="I3415" s="44">
        <v>44274</v>
      </c>
      <c r="J3415">
        <v>1353.35</v>
      </c>
      <c r="K3415">
        <v>291.60000000000002</v>
      </c>
      <c r="L3415" t="s">
        <v>7802</v>
      </c>
      <c r="M3415" s="45" t="s">
        <v>98</v>
      </c>
      <c r="N3415" s="38" t="s">
        <v>230</v>
      </c>
      <c r="O3415" s="38" t="s">
        <v>592</v>
      </c>
      <c r="P3415" s="38" t="s">
        <v>60</v>
      </c>
      <c r="Q3415" s="38" t="s">
        <v>41</v>
      </c>
      <c r="R3415" s="38" t="s">
        <v>270</v>
      </c>
      <c r="S3415" s="38" t="s">
        <v>7803</v>
      </c>
      <c r="T3415" s="38" t="s">
        <v>7805</v>
      </c>
      <c r="U3415" s="38"/>
      <c r="V3415" s="38"/>
      <c r="W3415" s="38"/>
      <c r="X3415" s="7"/>
      <c r="Y3415" s="57"/>
      <c r="Z3415" s="7"/>
      <c r="AA3415" s="57"/>
      <c r="AB3415" s="7"/>
      <c r="AC3415" s="57"/>
      <c r="AD3415" s="7"/>
      <c r="AE3415" s="57"/>
      <c r="AF3415" s="7"/>
      <c r="AG3415" s="57"/>
      <c r="AH3415" s="7"/>
      <c r="AI3415" s="57"/>
      <c r="AJ3415" s="7"/>
      <c r="AK3415" s="57"/>
      <c r="AL3415" s="7"/>
      <c r="AN3415" s="7" t="s">
        <v>70</v>
      </c>
      <c r="AO3415" s="21">
        <f t="shared" si="170"/>
        <v>0</v>
      </c>
      <c r="AP3415" s="7">
        <f t="shared" si="169"/>
        <v>291.60000000000002</v>
      </c>
      <c r="AQ3415" s="31" t="str">
        <f t="shared" si="171"/>
        <v>Complete - No Adjustment</v>
      </c>
    </row>
    <row r="3416" spans="1:43" x14ac:dyDescent="0.2">
      <c r="A3416" s="46">
        <v>3406</v>
      </c>
      <c r="B3416" s="38" t="s">
        <v>266</v>
      </c>
      <c r="C3416" s="38" t="s">
        <v>504</v>
      </c>
      <c r="D3416" s="38" t="s">
        <v>805</v>
      </c>
      <c r="E3416" s="38" t="s">
        <v>7801</v>
      </c>
      <c r="F3416" s="38" t="s">
        <v>7594</v>
      </c>
      <c r="G3416" s="38" t="s">
        <v>111</v>
      </c>
      <c r="H3416" s="44">
        <v>44272</v>
      </c>
      <c r="I3416" s="44">
        <v>44274</v>
      </c>
      <c r="J3416">
        <v>1353.35</v>
      </c>
      <c r="K3416">
        <v>358.8</v>
      </c>
      <c r="L3416" t="s">
        <v>7802</v>
      </c>
      <c r="M3416" s="45" t="s">
        <v>98</v>
      </c>
      <c r="N3416" s="38" t="s">
        <v>230</v>
      </c>
      <c r="O3416" s="38" t="s">
        <v>484</v>
      </c>
      <c r="P3416" s="38" t="s">
        <v>60</v>
      </c>
      <c r="Q3416" s="38" t="s">
        <v>46</v>
      </c>
      <c r="R3416" s="38" t="s">
        <v>270</v>
      </c>
      <c r="S3416" s="38" t="s">
        <v>7803</v>
      </c>
      <c r="T3416" s="38" t="s">
        <v>7806</v>
      </c>
      <c r="U3416" s="38"/>
      <c r="V3416" s="38"/>
      <c r="W3416" s="38"/>
      <c r="X3416" s="7"/>
      <c r="Y3416" s="57"/>
      <c r="Z3416" s="7"/>
      <c r="AA3416" s="57"/>
      <c r="AB3416" s="7"/>
      <c r="AC3416" s="57"/>
      <c r="AD3416" s="7"/>
      <c r="AE3416" s="57"/>
      <c r="AF3416" s="7"/>
      <c r="AG3416" s="57"/>
      <c r="AH3416" s="7"/>
      <c r="AI3416" s="57">
        <f>358.8</f>
        <v>358.8</v>
      </c>
      <c r="AJ3416" s="7"/>
      <c r="AK3416" s="57"/>
      <c r="AL3416" s="7"/>
      <c r="AN3416" s="7" t="s">
        <v>145</v>
      </c>
      <c r="AO3416" s="21">
        <f t="shared" si="170"/>
        <v>358.8</v>
      </c>
      <c r="AP3416" s="7">
        <f t="shared" si="169"/>
        <v>0</v>
      </c>
      <c r="AQ3416" s="31" t="str">
        <f t="shared" si="171"/>
        <v>Complete - With Adjustment</v>
      </c>
    </row>
    <row r="3417" spans="1:43" x14ac:dyDescent="0.2">
      <c r="A3417" s="46">
        <v>3407</v>
      </c>
      <c r="B3417" s="38" t="s">
        <v>266</v>
      </c>
      <c r="C3417" s="38" t="s">
        <v>504</v>
      </c>
      <c r="D3417" s="38" t="s">
        <v>805</v>
      </c>
      <c r="E3417" s="38" t="s">
        <v>7801</v>
      </c>
      <c r="F3417" s="38" t="s">
        <v>7594</v>
      </c>
      <c r="G3417" s="38" t="s">
        <v>111</v>
      </c>
      <c r="H3417" s="44">
        <v>44272</v>
      </c>
      <c r="I3417" s="44">
        <v>44274</v>
      </c>
      <c r="J3417">
        <v>1353.35</v>
      </c>
      <c r="K3417">
        <v>21.69</v>
      </c>
      <c r="L3417" t="s">
        <v>7802</v>
      </c>
      <c r="M3417" s="45" t="s">
        <v>98</v>
      </c>
      <c r="N3417" s="38" t="s">
        <v>230</v>
      </c>
      <c r="O3417" s="38" t="s">
        <v>484</v>
      </c>
      <c r="P3417" s="38" t="s">
        <v>60</v>
      </c>
      <c r="Q3417" s="38" t="s">
        <v>41</v>
      </c>
      <c r="R3417" s="38" t="s">
        <v>270</v>
      </c>
      <c r="S3417" s="38" t="s">
        <v>7803</v>
      </c>
      <c r="T3417" s="38" t="s">
        <v>7807</v>
      </c>
      <c r="U3417" s="38"/>
      <c r="V3417" s="38"/>
      <c r="W3417" s="38"/>
      <c r="X3417" s="7"/>
      <c r="Y3417" s="57"/>
      <c r="Z3417" s="7"/>
      <c r="AA3417" s="57"/>
      <c r="AB3417" s="7"/>
      <c r="AC3417" s="57"/>
      <c r="AD3417" s="7"/>
      <c r="AE3417" s="57"/>
      <c r="AF3417" s="7"/>
      <c r="AG3417" s="57"/>
      <c r="AH3417" s="7"/>
      <c r="AI3417" s="57"/>
      <c r="AJ3417" s="7"/>
      <c r="AK3417" s="57"/>
      <c r="AL3417" s="7"/>
      <c r="AN3417" s="7" t="s">
        <v>70</v>
      </c>
      <c r="AO3417" s="21">
        <f t="shared" si="170"/>
        <v>0</v>
      </c>
      <c r="AP3417" s="7">
        <f t="shared" si="169"/>
        <v>21.69</v>
      </c>
      <c r="AQ3417" s="31" t="str">
        <f t="shared" si="171"/>
        <v>Complete - No Adjustment</v>
      </c>
    </row>
    <row r="3418" spans="1:43" x14ac:dyDescent="0.2">
      <c r="A3418" s="46">
        <v>3408</v>
      </c>
      <c r="B3418" s="38" t="s">
        <v>266</v>
      </c>
      <c r="C3418" s="38" t="s">
        <v>504</v>
      </c>
      <c r="D3418" s="38" t="s">
        <v>805</v>
      </c>
      <c r="E3418" s="38" t="s">
        <v>7801</v>
      </c>
      <c r="F3418" s="38" t="s">
        <v>7594</v>
      </c>
      <c r="G3418" s="38" t="s">
        <v>111</v>
      </c>
      <c r="H3418" s="44">
        <v>44272</v>
      </c>
      <c r="I3418" s="44">
        <v>44274</v>
      </c>
      <c r="J3418">
        <v>1353.35</v>
      </c>
      <c r="K3418">
        <v>10.81</v>
      </c>
      <c r="L3418" t="s">
        <v>7802</v>
      </c>
      <c r="M3418" s="45" t="s">
        <v>98</v>
      </c>
      <c r="N3418" s="38" t="s">
        <v>230</v>
      </c>
      <c r="O3418" s="38" t="s">
        <v>484</v>
      </c>
      <c r="P3418" s="38" t="s">
        <v>60</v>
      </c>
      <c r="Q3418" s="38" t="s">
        <v>79</v>
      </c>
      <c r="R3418" s="38" t="s">
        <v>270</v>
      </c>
      <c r="S3418" s="38" t="s">
        <v>7803</v>
      </c>
      <c r="T3418" s="38" t="s">
        <v>7808</v>
      </c>
      <c r="U3418" s="38"/>
      <c r="V3418" s="38"/>
      <c r="W3418" s="38"/>
      <c r="X3418" s="7"/>
      <c r="Y3418" s="57"/>
      <c r="Z3418" s="7"/>
      <c r="AA3418" s="57"/>
      <c r="AB3418" s="7"/>
      <c r="AC3418" s="57"/>
      <c r="AD3418" s="7"/>
      <c r="AE3418" s="57"/>
      <c r="AF3418" s="7">
        <f>10.81</f>
        <v>10.81</v>
      </c>
      <c r="AG3418" s="57"/>
      <c r="AH3418" s="7"/>
      <c r="AI3418" s="57"/>
      <c r="AJ3418" s="7"/>
      <c r="AK3418" s="57"/>
      <c r="AL3418" s="7"/>
      <c r="AN3418" s="7" t="s">
        <v>110</v>
      </c>
      <c r="AO3418" s="21">
        <f t="shared" si="170"/>
        <v>10.81</v>
      </c>
      <c r="AP3418" s="7">
        <f t="shared" si="169"/>
        <v>0</v>
      </c>
      <c r="AQ3418" s="31" t="str">
        <f t="shared" si="171"/>
        <v>Complete - With Adjustment</v>
      </c>
    </row>
    <row r="3419" spans="1:43" x14ac:dyDescent="0.2">
      <c r="A3419" s="46">
        <v>3409</v>
      </c>
      <c r="B3419" s="38" t="s">
        <v>266</v>
      </c>
      <c r="C3419" s="38" t="s">
        <v>511</v>
      </c>
      <c r="D3419" s="38" t="s">
        <v>510</v>
      </c>
      <c r="E3419" s="38" t="s">
        <v>7809</v>
      </c>
      <c r="F3419" s="38" t="s">
        <v>7810</v>
      </c>
      <c r="G3419" s="38" t="s">
        <v>111</v>
      </c>
      <c r="H3419" s="44">
        <v>44257</v>
      </c>
      <c r="I3419" s="44">
        <v>44259</v>
      </c>
      <c r="J3419">
        <v>19.47</v>
      </c>
      <c r="K3419">
        <v>19.47</v>
      </c>
      <c r="L3419" t="s">
        <v>7811</v>
      </c>
      <c r="M3419" s="45" t="s">
        <v>98</v>
      </c>
      <c r="N3419" s="38" t="s">
        <v>230</v>
      </c>
      <c r="O3419" s="38" t="s">
        <v>320</v>
      </c>
      <c r="P3419" s="38" t="s">
        <v>60</v>
      </c>
      <c r="Q3419" s="38" t="s">
        <v>41</v>
      </c>
      <c r="R3419" s="38" t="s">
        <v>270</v>
      </c>
      <c r="S3419" s="38" t="s">
        <v>7812</v>
      </c>
      <c r="T3419" s="38" t="s">
        <v>7813</v>
      </c>
      <c r="U3419" s="38"/>
      <c r="V3419" s="38"/>
      <c r="W3419" s="38"/>
      <c r="X3419" s="7"/>
      <c r="Y3419" s="57"/>
      <c r="Z3419" s="7"/>
      <c r="AA3419" s="57"/>
      <c r="AB3419" s="7"/>
      <c r="AC3419" s="57"/>
      <c r="AD3419" s="7"/>
      <c r="AE3419" s="57"/>
      <c r="AF3419" s="7"/>
      <c r="AG3419" s="57"/>
      <c r="AH3419" s="7"/>
      <c r="AI3419" s="57">
        <f>19.47</f>
        <v>19.47</v>
      </c>
      <c r="AJ3419" s="7"/>
      <c r="AK3419" s="57"/>
      <c r="AL3419" s="7"/>
      <c r="AN3419" s="7" t="s">
        <v>145</v>
      </c>
      <c r="AO3419" s="21">
        <f t="shared" si="170"/>
        <v>19.47</v>
      </c>
      <c r="AP3419" s="7">
        <f t="shared" si="169"/>
        <v>0</v>
      </c>
      <c r="AQ3419" s="31" t="str">
        <f t="shared" si="171"/>
        <v>Complete - With Adjustment</v>
      </c>
    </row>
    <row r="3420" spans="1:43" x14ac:dyDescent="0.2">
      <c r="A3420" s="46">
        <v>3410</v>
      </c>
      <c r="B3420" s="38" t="s">
        <v>266</v>
      </c>
      <c r="C3420" s="38" t="s">
        <v>511</v>
      </c>
      <c r="D3420" s="38" t="s">
        <v>510</v>
      </c>
      <c r="E3420" s="38" t="s">
        <v>7814</v>
      </c>
      <c r="F3420" s="38" t="s">
        <v>7810</v>
      </c>
      <c r="G3420" s="38" t="s">
        <v>111</v>
      </c>
      <c r="H3420" s="44">
        <v>44257</v>
      </c>
      <c r="I3420" s="44">
        <v>44259</v>
      </c>
      <c r="J3420">
        <v>265</v>
      </c>
      <c r="K3420">
        <v>265</v>
      </c>
      <c r="L3420" t="s">
        <v>7815</v>
      </c>
      <c r="M3420" s="45" t="s">
        <v>98</v>
      </c>
      <c r="N3420" s="38" t="s">
        <v>230</v>
      </c>
      <c r="O3420" s="38" t="s">
        <v>320</v>
      </c>
      <c r="P3420" s="38" t="s">
        <v>60</v>
      </c>
      <c r="Q3420" s="38" t="s">
        <v>59</v>
      </c>
      <c r="R3420" s="38" t="s">
        <v>270</v>
      </c>
      <c r="S3420" s="38" t="s">
        <v>7816</v>
      </c>
      <c r="T3420" s="38" t="s">
        <v>7817</v>
      </c>
      <c r="U3420" s="38"/>
      <c r="V3420" s="38"/>
      <c r="W3420" s="38"/>
      <c r="X3420" s="7"/>
      <c r="Y3420" s="57"/>
      <c r="Z3420" s="7"/>
      <c r="AA3420" s="57"/>
      <c r="AB3420" s="7"/>
      <c r="AC3420" s="57"/>
      <c r="AD3420" s="7"/>
      <c r="AE3420" s="57"/>
      <c r="AF3420" s="7"/>
      <c r="AG3420" s="57"/>
      <c r="AH3420" s="7"/>
      <c r="AI3420" s="57"/>
      <c r="AJ3420" s="7"/>
      <c r="AK3420" s="57"/>
      <c r="AL3420" s="7"/>
      <c r="AN3420" s="7" t="s">
        <v>70</v>
      </c>
      <c r="AO3420" s="21">
        <f t="shared" si="170"/>
        <v>0</v>
      </c>
      <c r="AP3420" s="7">
        <f t="shared" si="169"/>
        <v>265</v>
      </c>
      <c r="AQ3420" s="31" t="str">
        <f t="shared" si="171"/>
        <v>Complete - No Adjustment</v>
      </c>
    </row>
    <row r="3421" spans="1:43" x14ac:dyDescent="0.2">
      <c r="A3421" s="17"/>
      <c r="B3421" s="13"/>
      <c r="C3421" s="13"/>
      <c r="D3421" s="13"/>
      <c r="E3421" s="13"/>
      <c r="F3421" s="13"/>
      <c r="G3421" s="13"/>
      <c r="H3421" s="16"/>
      <c r="I3421" s="16"/>
      <c r="J3421" s="15"/>
      <c r="K3421" s="15"/>
      <c r="L3421" s="13"/>
      <c r="M3421" s="42"/>
      <c r="N3421" s="24"/>
      <c r="O3421" s="13"/>
      <c r="P3421" s="13"/>
      <c r="Q3421" s="13"/>
      <c r="R3421" s="13"/>
      <c r="S3421" s="13"/>
      <c r="T3421" s="13"/>
      <c r="U3421" s="13"/>
      <c r="V3421" s="13"/>
      <c r="W3421" s="13"/>
      <c r="X3421" s="13"/>
      <c r="Y3421" s="57"/>
      <c r="Z3421" s="7"/>
      <c r="AA3421" s="57"/>
      <c r="AB3421" s="7"/>
      <c r="AC3421" s="57"/>
      <c r="AD3421" s="7"/>
      <c r="AE3421" s="57"/>
      <c r="AF3421" s="7"/>
      <c r="AG3421" s="57"/>
      <c r="AH3421" s="7"/>
      <c r="AI3421" s="57"/>
      <c r="AJ3421" s="7"/>
      <c r="AK3421" s="57"/>
      <c r="AL3421" s="7"/>
      <c r="AM3421" s="14"/>
      <c r="AN3421" s="14"/>
      <c r="AO3421" s="21" t="s">
        <v>99</v>
      </c>
      <c r="AP3421" s="7" t="s">
        <v>99</v>
      </c>
      <c r="AQ3421" s="31"/>
    </row>
    <row r="3422" spans="1:43" ht="13.5" thickBot="1" x14ac:dyDescent="0.25">
      <c r="A3422" s="17"/>
      <c r="B3422" s="17"/>
      <c r="C3422" s="17"/>
      <c r="D3422" s="18"/>
      <c r="E3422" s="17"/>
      <c r="F3422" s="17"/>
      <c r="G3422" s="17"/>
      <c r="H3422" s="17"/>
      <c r="I3422" s="17"/>
      <c r="J3422" s="19"/>
      <c r="K3422" s="25">
        <f>SUM(K11:K3421)</f>
        <v>470394.79000000056</v>
      </c>
      <c r="L3422" s="17"/>
      <c r="M3422" s="18"/>
      <c r="N3422" s="20"/>
      <c r="O3422" s="17"/>
      <c r="P3422" s="17"/>
      <c r="Q3422" s="17"/>
      <c r="R3422" s="17"/>
      <c r="S3422" s="17"/>
      <c r="T3422" s="17"/>
      <c r="U3422" s="17"/>
      <c r="V3422" s="17"/>
      <c r="W3422" s="17"/>
      <c r="Y3422" s="25">
        <f t="shared" ref="Y3422:AL3422" si="172">SUM(Y11:Y3421)</f>
        <v>1141.05</v>
      </c>
      <c r="Z3422" s="25">
        <f t="shared" si="172"/>
        <v>33186.550000000003</v>
      </c>
      <c r="AA3422" s="25">
        <f t="shared" si="172"/>
        <v>1395.9900000000002</v>
      </c>
      <c r="AB3422" s="25">
        <f t="shared" si="172"/>
        <v>1038.2930540010873</v>
      </c>
      <c r="AC3422" s="25">
        <f t="shared" si="172"/>
        <v>112.39679384556004</v>
      </c>
      <c r="AD3422" s="25">
        <f t="shared" si="172"/>
        <v>425.88280270926481</v>
      </c>
      <c r="AE3422" s="25">
        <f t="shared" si="172"/>
        <v>1199.0585097059898</v>
      </c>
      <c r="AF3422" s="25">
        <f t="shared" si="172"/>
        <v>268.45</v>
      </c>
      <c r="AG3422" s="25">
        <f t="shared" si="172"/>
        <v>22610.390000000003</v>
      </c>
      <c r="AH3422" s="25">
        <f t="shared" si="172"/>
        <v>918.51999999999987</v>
      </c>
      <c r="AI3422" s="25">
        <f t="shared" si="172"/>
        <v>77661.229999999923</v>
      </c>
      <c r="AJ3422" s="25">
        <f t="shared" si="172"/>
        <v>4814.5200000000004</v>
      </c>
      <c r="AK3422" s="25">
        <f t="shared" si="172"/>
        <v>895.40999999999985</v>
      </c>
      <c r="AL3422" s="25">
        <f t="shared" si="172"/>
        <v>74269.39</v>
      </c>
      <c r="AM3422" s="14"/>
      <c r="AN3422" s="14"/>
      <c r="AO3422" s="27">
        <f>SUM(Y3422:AL3422)</f>
        <v>219937.13116026181</v>
      </c>
      <c r="AP3422" s="32">
        <f>K3422-AO3422</f>
        <v>250457.65883973875</v>
      </c>
      <c r="AQ3422" s="31"/>
    </row>
    <row r="3423" spans="1:43" ht="13.5" thickTop="1" x14ac:dyDescent="0.2">
      <c r="A3423" s="1"/>
      <c r="B3423" s="17"/>
      <c r="C3423" s="17"/>
      <c r="D3423" s="18"/>
      <c r="E3423" s="17"/>
      <c r="F3423" s="17"/>
      <c r="G3423" s="17"/>
      <c r="H3423" s="17"/>
      <c r="I3423" s="17"/>
      <c r="J3423" s="19"/>
      <c r="K3423" s="23"/>
      <c r="L3423" s="17"/>
      <c r="M3423" s="18"/>
      <c r="N3423" s="20"/>
      <c r="O3423" s="17"/>
      <c r="P3423" s="17"/>
      <c r="Q3423" s="17"/>
      <c r="R3423" s="17"/>
      <c r="S3423" s="17"/>
      <c r="T3423" s="17"/>
      <c r="U3423" s="17"/>
      <c r="V3423" s="17"/>
      <c r="W3423" s="17"/>
      <c r="Y3423" s="14"/>
      <c r="AA3423" s="14"/>
      <c r="AC3423" s="14"/>
      <c r="AE3423" s="14"/>
      <c r="AG3423" s="14"/>
      <c r="AI3423" s="14"/>
      <c r="AK3423" s="14"/>
      <c r="AM3423" s="14"/>
      <c r="AN3423" s="14"/>
      <c r="AQ3423" s="31"/>
    </row>
    <row r="3424" spans="1:43" ht="13.5" thickBot="1" x14ac:dyDescent="0.25">
      <c r="A3424" s="1"/>
      <c r="B3424" s="17"/>
      <c r="C3424" s="17"/>
      <c r="D3424" s="18"/>
      <c r="E3424" s="17"/>
      <c r="F3424" s="17"/>
      <c r="G3424" s="17"/>
      <c r="H3424" s="17"/>
      <c r="I3424" s="17"/>
      <c r="J3424" s="19"/>
      <c r="K3424" s="23"/>
      <c r="L3424" s="17"/>
      <c r="M3424" s="18"/>
      <c r="N3424" s="20"/>
      <c r="O3424" s="17"/>
      <c r="P3424" s="17"/>
      <c r="Q3424" s="17"/>
      <c r="R3424" s="17"/>
      <c r="S3424" s="17"/>
      <c r="T3424" s="17"/>
      <c r="U3424" s="17"/>
      <c r="V3424" s="17"/>
      <c r="W3424" s="17"/>
      <c r="Y3424" s="14"/>
      <c r="AA3424" s="14"/>
      <c r="AC3424" s="14"/>
      <c r="AE3424" s="14"/>
      <c r="AG3424" s="14"/>
      <c r="AI3424" s="14"/>
      <c r="AK3424" s="14"/>
      <c r="AM3424" s="14"/>
      <c r="AN3424" s="14"/>
      <c r="AO3424" s="32">
        <f>SUM(AO11:AO3421)</f>
        <v>219937.13116026216</v>
      </c>
      <c r="AP3424" s="32">
        <f>SUM(AP11:AP3421)</f>
        <v>250457.65883973823</v>
      </c>
      <c r="AQ3424" s="31"/>
    </row>
    <row r="3425" spans="1:43" ht="13.5" thickTop="1" x14ac:dyDescent="0.2">
      <c r="AQ3425" s="31"/>
    </row>
    <row r="3426" spans="1:43" x14ac:dyDescent="0.2">
      <c r="AQ3426" s="31"/>
    </row>
    <row r="3427" spans="1:43" x14ac:dyDescent="0.2">
      <c r="A3427" s="1"/>
      <c r="D3427" s="1"/>
      <c r="H3427" s="39"/>
      <c r="I3427" s="39"/>
      <c r="K3427" s="10"/>
      <c r="L3427" s="1" t="s">
        <v>260</v>
      </c>
      <c r="AM3427" s="14"/>
      <c r="AN3427" s="14"/>
      <c r="AO3427" s="10"/>
      <c r="AP3427" s="1" t="s">
        <v>260</v>
      </c>
      <c r="AQ3427" s="31"/>
    </row>
    <row r="3428" spans="1:43" x14ac:dyDescent="0.2">
      <c r="A3428" s="1"/>
      <c r="K3428" s="40">
        <v>46914.950000000012</v>
      </c>
      <c r="L3428" s="1" t="s">
        <v>90</v>
      </c>
      <c r="AO3428" s="40">
        <v>15334.574660261902</v>
      </c>
      <c r="AP3428" s="1" t="s">
        <v>90</v>
      </c>
      <c r="AQ3428" s="31"/>
    </row>
    <row r="3429" spans="1:43" x14ac:dyDescent="0.2">
      <c r="A3429" s="1"/>
      <c r="K3429" s="40">
        <v>25116.449999999997</v>
      </c>
      <c r="AO3429" s="40">
        <v>25116.452000000005</v>
      </c>
      <c r="AQ3429" s="31"/>
    </row>
    <row r="3430" spans="1:43" x14ac:dyDescent="0.2">
      <c r="A3430" s="1"/>
      <c r="K3430" s="40">
        <v>18678.839999999993</v>
      </c>
      <c r="L3430" s="1" t="s">
        <v>91</v>
      </c>
      <c r="AO3430" s="40">
        <v>2949.7819999999997</v>
      </c>
      <c r="AP3430" s="1" t="s">
        <v>91</v>
      </c>
      <c r="AQ3430" s="31"/>
    </row>
    <row r="3431" spans="1:43" x14ac:dyDescent="0.2">
      <c r="A3431" s="1"/>
      <c r="K3431" s="40">
        <v>6860.6</v>
      </c>
      <c r="AO3431" s="40">
        <v>6860.6</v>
      </c>
      <c r="AQ3431" s="31"/>
    </row>
    <row r="3432" spans="1:43" x14ac:dyDescent="0.2">
      <c r="A3432" s="1"/>
      <c r="K3432" s="40">
        <v>35353.619999999995</v>
      </c>
      <c r="L3432" s="1" t="s">
        <v>92</v>
      </c>
      <c r="AO3432" s="40">
        <v>9524.2345000000005</v>
      </c>
      <c r="AP3432" s="1" t="s">
        <v>92</v>
      </c>
      <c r="AQ3432" s="31"/>
    </row>
    <row r="3433" spans="1:43" x14ac:dyDescent="0.2">
      <c r="A3433" s="1"/>
      <c r="K3433" s="40">
        <v>3300.9</v>
      </c>
      <c r="AO3433" s="40">
        <v>3300.8999999999996</v>
      </c>
      <c r="AQ3433" s="31"/>
    </row>
    <row r="3434" spans="1:43" x14ac:dyDescent="0.2">
      <c r="A3434" s="1"/>
      <c r="K3434" s="40">
        <v>36621.270000000019</v>
      </c>
      <c r="L3434" s="1" t="s">
        <v>261</v>
      </c>
      <c r="AO3434" s="40">
        <v>14655.650000000001</v>
      </c>
      <c r="AP3434" s="1" t="s">
        <v>261</v>
      </c>
      <c r="AQ3434" s="31"/>
    </row>
    <row r="3435" spans="1:43" x14ac:dyDescent="0.2">
      <c r="A3435" s="1"/>
      <c r="K3435" s="40">
        <v>575.12</v>
      </c>
      <c r="AO3435" s="40">
        <v>575.12</v>
      </c>
      <c r="AQ3435" s="31"/>
    </row>
    <row r="3436" spans="1:43" x14ac:dyDescent="0.2">
      <c r="A3436" s="1"/>
      <c r="K3436" s="40">
        <v>22274.75</v>
      </c>
      <c r="L3436" s="1" t="s">
        <v>93</v>
      </c>
      <c r="AO3436" s="40">
        <v>2151.0300000000011</v>
      </c>
      <c r="AP3436" s="1" t="s">
        <v>93</v>
      </c>
      <c r="AQ3436" s="31"/>
    </row>
    <row r="3437" spans="1:43" x14ac:dyDescent="0.2">
      <c r="A3437" s="1"/>
      <c r="K3437" s="40">
        <v>644.23</v>
      </c>
      <c r="AO3437" s="40">
        <v>644.23</v>
      </c>
      <c r="AQ3437" s="31"/>
    </row>
    <row r="3438" spans="1:43" x14ac:dyDescent="0.2">
      <c r="A3438" s="1"/>
      <c r="K3438" s="40">
        <v>84571.289999999964</v>
      </c>
      <c r="L3438" s="1" t="s">
        <v>94</v>
      </c>
      <c r="AO3438" s="40">
        <v>45094.959999999985</v>
      </c>
      <c r="AP3438" s="1" t="s">
        <v>94</v>
      </c>
      <c r="AQ3438" s="31"/>
    </row>
    <row r="3439" spans="1:43" x14ac:dyDescent="0.2">
      <c r="A3439" s="1"/>
      <c r="K3439" s="40">
        <v>5959.73</v>
      </c>
      <c r="AO3439" s="40">
        <v>5959.73</v>
      </c>
      <c r="AQ3439" s="31"/>
    </row>
    <row r="3440" spans="1:43" x14ac:dyDescent="0.2">
      <c r="A3440" s="1"/>
      <c r="K3440" s="40">
        <v>34863.939999999995</v>
      </c>
      <c r="L3440" s="1" t="s">
        <v>84</v>
      </c>
      <c r="AO3440" s="40">
        <v>18300.396000000004</v>
      </c>
      <c r="AP3440" s="1" t="s">
        <v>84</v>
      </c>
      <c r="AQ3440" s="31"/>
    </row>
    <row r="3441" spans="1:43" x14ac:dyDescent="0.2">
      <c r="A3441" s="1"/>
      <c r="K3441" s="40">
        <v>9776.93</v>
      </c>
      <c r="AO3441" s="40">
        <v>9776.93</v>
      </c>
      <c r="AQ3441" s="31"/>
    </row>
    <row r="3442" spans="1:43" x14ac:dyDescent="0.2">
      <c r="A3442" s="1"/>
      <c r="K3442" s="40">
        <v>10122.479999999998</v>
      </c>
      <c r="L3442" s="1" t="s">
        <v>85</v>
      </c>
      <c r="AO3442" s="40">
        <v>3259.1140000000005</v>
      </c>
      <c r="AP3442" s="1" t="s">
        <v>85</v>
      </c>
      <c r="AQ3442" s="31"/>
    </row>
    <row r="3443" spans="1:43" x14ac:dyDescent="0.2">
      <c r="A3443" s="1"/>
      <c r="K3443" s="40">
        <v>4906.2599999999993</v>
      </c>
      <c r="AO3443" s="40">
        <v>4906.2599999999993</v>
      </c>
      <c r="AQ3443" s="31"/>
    </row>
    <row r="3444" spans="1:43" x14ac:dyDescent="0.2">
      <c r="A3444" s="1"/>
      <c r="K3444" s="40">
        <v>28790.040000000008</v>
      </c>
      <c r="L3444" s="1" t="s">
        <v>86</v>
      </c>
      <c r="AO3444" s="40">
        <v>18807.340000000004</v>
      </c>
      <c r="AP3444" s="1" t="s">
        <v>86</v>
      </c>
      <c r="AQ3444" s="31"/>
    </row>
    <row r="3445" spans="1:43" x14ac:dyDescent="0.2">
      <c r="A3445" s="1"/>
      <c r="K3445" s="40">
        <v>675</v>
      </c>
      <c r="AO3445" s="40">
        <v>675</v>
      </c>
      <c r="AQ3445" s="31"/>
    </row>
    <row r="3446" spans="1:43" x14ac:dyDescent="0.2">
      <c r="A3446" s="1"/>
      <c r="K3446" s="40">
        <v>39372.160000000011</v>
      </c>
      <c r="L3446" s="1" t="s">
        <v>87</v>
      </c>
      <c r="AO3446" s="40">
        <v>16303.525999999994</v>
      </c>
      <c r="AP3446" s="1" t="s">
        <v>87</v>
      </c>
      <c r="AQ3446" s="31"/>
    </row>
    <row r="3447" spans="1:43" x14ac:dyDescent="0.2">
      <c r="A3447" s="1"/>
      <c r="K3447" s="40">
        <v>1059.51</v>
      </c>
      <c r="AO3447" s="40">
        <v>1059.51</v>
      </c>
      <c r="AQ3447" s="31"/>
    </row>
    <row r="3448" spans="1:43" x14ac:dyDescent="0.2">
      <c r="A3448" s="1"/>
      <c r="K3448" s="40">
        <v>18477.850000000013</v>
      </c>
      <c r="L3448" s="1" t="s">
        <v>88</v>
      </c>
      <c r="AO3448" s="40">
        <v>4731.5719999999983</v>
      </c>
      <c r="AP3448" s="1" t="s">
        <v>88</v>
      </c>
      <c r="AQ3448" s="31"/>
    </row>
    <row r="3449" spans="1:43" x14ac:dyDescent="0.2">
      <c r="A3449" s="1"/>
      <c r="K3449" s="40">
        <v>1379.54</v>
      </c>
      <c r="AO3449" s="40">
        <v>1379.54</v>
      </c>
      <c r="AQ3449" s="31"/>
    </row>
    <row r="3450" spans="1:43" x14ac:dyDescent="0.2">
      <c r="A3450" s="1"/>
      <c r="K3450" s="40">
        <v>34099.33</v>
      </c>
      <c r="L3450" s="1" t="s">
        <v>89</v>
      </c>
      <c r="AO3450" s="40">
        <v>8570.6799999999985</v>
      </c>
      <c r="AP3450" s="1" t="s">
        <v>89</v>
      </c>
      <c r="AQ3450" s="31"/>
    </row>
    <row r="3451" spans="1:43" ht="13.5" thickBot="1" x14ac:dyDescent="0.25">
      <c r="A3451" s="1"/>
      <c r="K3451" s="41">
        <f>SUM(K3428:K3450)</f>
        <v>470394.7900000001</v>
      </c>
      <c r="AO3451" s="41">
        <f>SUM(AO3428:AO3450)</f>
        <v>219937.13116026187</v>
      </c>
      <c r="AQ3451" s="31"/>
    </row>
    <row r="3452" spans="1:43" customFormat="1" ht="13.5" thickTop="1" x14ac:dyDescent="0.2">
      <c r="M3452" s="45"/>
    </row>
    <row r="3453" spans="1:43" customFormat="1" x14ac:dyDescent="0.2">
      <c r="M3453" s="45"/>
    </row>
    <row r="3454" spans="1:43" x14ac:dyDescent="0.2">
      <c r="AQ3454" s="31"/>
    </row>
    <row r="3455" spans="1:43" x14ac:dyDescent="0.2">
      <c r="AQ3455" s="31"/>
    </row>
    <row r="3456" spans="1:43" x14ac:dyDescent="0.2">
      <c r="AQ3456" s="31"/>
    </row>
    <row r="3457" spans="43:43" x14ac:dyDescent="0.2">
      <c r="AQ3457" s="31"/>
    </row>
    <row r="3458" spans="43:43" x14ac:dyDescent="0.2">
      <c r="AQ3458" s="31"/>
    </row>
    <row r="3459" spans="43:43" x14ac:dyDescent="0.2">
      <c r="AQ3459" s="31"/>
    </row>
    <row r="3460" spans="43:43" x14ac:dyDescent="0.2">
      <c r="AQ3460" s="31"/>
    </row>
    <row r="3461" spans="43:43" x14ac:dyDescent="0.2">
      <c r="AQ3461" s="31"/>
    </row>
    <row r="3462" spans="43:43" x14ac:dyDescent="0.2">
      <c r="AQ3462" s="31"/>
    </row>
    <row r="3463" spans="43:43" x14ac:dyDescent="0.2">
      <c r="AQ3463" s="31"/>
    </row>
    <row r="3464" spans="43:43" x14ac:dyDescent="0.2">
      <c r="AQ3464" s="31"/>
    </row>
    <row r="3465" spans="43:43" x14ac:dyDescent="0.2">
      <c r="AQ3465" s="31"/>
    </row>
    <row r="3466" spans="43:43" x14ac:dyDescent="0.2">
      <c r="AQ3466" s="31"/>
    </row>
    <row r="3467" spans="43:43" x14ac:dyDescent="0.2">
      <c r="AQ3467" s="31"/>
    </row>
    <row r="3468" spans="43:43" x14ac:dyDescent="0.2">
      <c r="AQ3468" s="31"/>
    </row>
    <row r="3469" spans="43:43" x14ac:dyDescent="0.2">
      <c r="AQ3469" s="31"/>
    </row>
    <row r="3470" spans="43:43" x14ac:dyDescent="0.2">
      <c r="AQ3470" s="31"/>
    </row>
    <row r="3471" spans="43:43" x14ac:dyDescent="0.2">
      <c r="AQ3471" s="31"/>
    </row>
    <row r="3472" spans="43:43" x14ac:dyDescent="0.2">
      <c r="AQ3472" s="31"/>
    </row>
    <row r="3473" spans="43:43" x14ac:dyDescent="0.2">
      <c r="AQ3473" s="31"/>
    </row>
    <row r="3474" spans="43:43" x14ac:dyDescent="0.2">
      <c r="AQ3474" s="31"/>
    </row>
    <row r="3475" spans="43:43" x14ac:dyDescent="0.2">
      <c r="AQ3475" s="31"/>
    </row>
    <row r="3476" spans="43:43" x14ac:dyDescent="0.2">
      <c r="AQ3476" s="31"/>
    </row>
    <row r="3477" spans="43:43" x14ac:dyDescent="0.2">
      <c r="AQ3477" s="31"/>
    </row>
    <row r="3478" spans="43:43" x14ac:dyDescent="0.2">
      <c r="AQ3478" s="31"/>
    </row>
    <row r="3479" spans="43:43" x14ac:dyDescent="0.2">
      <c r="AQ3479" s="31"/>
    </row>
    <row r="3480" spans="43:43" x14ac:dyDescent="0.2">
      <c r="AQ3480" s="31"/>
    </row>
    <row r="3481" spans="43:43" x14ac:dyDescent="0.2">
      <c r="AQ3481" s="31"/>
    </row>
    <row r="3482" spans="43:43" x14ac:dyDescent="0.2">
      <c r="AQ3482" s="31"/>
    </row>
    <row r="3483" spans="43:43" x14ac:dyDescent="0.2">
      <c r="AQ3483" s="31"/>
    </row>
    <row r="3484" spans="43:43" x14ac:dyDescent="0.2">
      <c r="AQ3484" s="31"/>
    </row>
    <row r="3485" spans="43:43" x14ac:dyDescent="0.2">
      <c r="AQ3485" s="31"/>
    </row>
    <row r="3486" spans="43:43" x14ac:dyDescent="0.2">
      <c r="AQ3486" s="31"/>
    </row>
    <row r="3487" spans="43:43" x14ac:dyDescent="0.2">
      <c r="AQ3487" s="31"/>
    </row>
    <row r="3488" spans="43:43" x14ac:dyDescent="0.2">
      <c r="AQ3488" s="31"/>
    </row>
    <row r="3489" spans="43:43" x14ac:dyDescent="0.2">
      <c r="AQ3489" s="31"/>
    </row>
    <row r="3490" spans="43:43" x14ac:dyDescent="0.2">
      <c r="AQ3490" s="31"/>
    </row>
    <row r="3491" spans="43:43" x14ac:dyDescent="0.2">
      <c r="AQ3491" s="31"/>
    </row>
    <row r="3492" spans="43:43" x14ac:dyDescent="0.2">
      <c r="AQ3492" s="31"/>
    </row>
    <row r="3493" spans="43:43" x14ac:dyDescent="0.2">
      <c r="AQ3493" s="31"/>
    </row>
    <row r="3494" spans="43:43" x14ac:dyDescent="0.2">
      <c r="AQ3494" s="31"/>
    </row>
    <row r="3495" spans="43:43" x14ac:dyDescent="0.2">
      <c r="AQ3495" s="31"/>
    </row>
    <row r="3496" spans="43:43" x14ac:dyDescent="0.2">
      <c r="AQ3496" s="31"/>
    </row>
    <row r="3497" spans="43:43" x14ac:dyDescent="0.2">
      <c r="AQ3497" s="31"/>
    </row>
    <row r="3498" spans="43:43" x14ac:dyDescent="0.2">
      <c r="AQ3498" s="31"/>
    </row>
    <row r="3499" spans="43:43" x14ac:dyDescent="0.2">
      <c r="AQ3499" s="31"/>
    </row>
    <row r="3500" spans="43:43" x14ac:dyDescent="0.2">
      <c r="AQ3500" s="31"/>
    </row>
    <row r="3501" spans="43:43" x14ac:dyDescent="0.2">
      <c r="AQ3501" s="31"/>
    </row>
    <row r="3502" spans="43:43" x14ac:dyDescent="0.2">
      <c r="AQ3502" s="31"/>
    </row>
    <row r="3503" spans="43:43" x14ac:dyDescent="0.2">
      <c r="AQ3503" s="31"/>
    </row>
    <row r="3504" spans="43:43" x14ac:dyDescent="0.2">
      <c r="AQ3504" s="31"/>
    </row>
    <row r="3505" spans="43:43" x14ac:dyDescent="0.2">
      <c r="AQ3505" s="31"/>
    </row>
    <row r="3506" spans="43:43" x14ac:dyDescent="0.2">
      <c r="AQ3506" s="31"/>
    </row>
    <row r="3507" spans="43:43" x14ac:dyDescent="0.2">
      <c r="AQ3507" s="31"/>
    </row>
    <row r="3508" spans="43:43" x14ac:dyDescent="0.2">
      <c r="AQ3508" s="31"/>
    </row>
    <row r="3509" spans="43:43" x14ac:dyDescent="0.2">
      <c r="AQ3509" s="31"/>
    </row>
    <row r="3510" spans="43:43" x14ac:dyDescent="0.2">
      <c r="AQ3510" s="31"/>
    </row>
    <row r="3511" spans="43:43" x14ac:dyDescent="0.2">
      <c r="AQ3511" s="31"/>
    </row>
    <row r="3512" spans="43:43" x14ac:dyDescent="0.2">
      <c r="AQ3512" s="31"/>
    </row>
    <row r="3513" spans="43:43" x14ac:dyDescent="0.2">
      <c r="AQ3513" s="31"/>
    </row>
    <row r="3514" spans="43:43" x14ac:dyDescent="0.2">
      <c r="AQ3514" s="31"/>
    </row>
    <row r="3515" spans="43:43" x14ac:dyDescent="0.2">
      <c r="AQ3515" s="31"/>
    </row>
    <row r="3516" spans="43:43" x14ac:dyDescent="0.2">
      <c r="AQ3516" s="31"/>
    </row>
    <row r="3517" spans="43:43" x14ac:dyDescent="0.2">
      <c r="AQ3517" s="31"/>
    </row>
    <row r="3518" spans="43:43" x14ac:dyDescent="0.2">
      <c r="AQ3518" s="31"/>
    </row>
    <row r="3519" spans="43:43" x14ac:dyDescent="0.2">
      <c r="AQ3519" s="31"/>
    </row>
    <row r="3520" spans="43:43" x14ac:dyDescent="0.2">
      <c r="AQ3520" s="31"/>
    </row>
    <row r="3521" spans="43:43" x14ac:dyDescent="0.2">
      <c r="AQ3521" s="31"/>
    </row>
    <row r="3522" spans="43:43" x14ac:dyDescent="0.2">
      <c r="AQ3522" s="31"/>
    </row>
    <row r="3523" spans="43:43" x14ac:dyDescent="0.2">
      <c r="AQ3523" s="31"/>
    </row>
    <row r="3524" spans="43:43" x14ac:dyDescent="0.2">
      <c r="AQ3524" s="31"/>
    </row>
    <row r="3525" spans="43:43" x14ac:dyDescent="0.2">
      <c r="AQ3525" s="31"/>
    </row>
    <row r="3526" spans="43:43" x14ac:dyDescent="0.2">
      <c r="AQ3526" s="31"/>
    </row>
    <row r="3527" spans="43:43" x14ac:dyDescent="0.2">
      <c r="AQ3527" s="31"/>
    </row>
    <row r="3528" spans="43:43" x14ac:dyDescent="0.2">
      <c r="AQ3528" s="31"/>
    </row>
    <row r="3529" spans="43:43" x14ac:dyDescent="0.2">
      <c r="AQ3529" s="31"/>
    </row>
    <row r="3530" spans="43:43" x14ac:dyDescent="0.2">
      <c r="AQ3530" s="31"/>
    </row>
    <row r="3531" spans="43:43" x14ac:dyDescent="0.2">
      <c r="AQ3531" s="31"/>
    </row>
    <row r="3532" spans="43:43" x14ac:dyDescent="0.2">
      <c r="AQ3532" s="31"/>
    </row>
    <row r="3533" spans="43:43" x14ac:dyDescent="0.2">
      <c r="AQ3533" s="31"/>
    </row>
    <row r="3534" spans="43:43" x14ac:dyDescent="0.2">
      <c r="AQ3534" s="31"/>
    </row>
    <row r="3535" spans="43:43" x14ac:dyDescent="0.2">
      <c r="AQ3535" s="31"/>
    </row>
    <row r="3536" spans="43:43" x14ac:dyDescent="0.2">
      <c r="AQ3536" s="31"/>
    </row>
    <row r="3537" spans="43:43" x14ac:dyDescent="0.2">
      <c r="AQ3537" s="31"/>
    </row>
    <row r="3538" spans="43:43" x14ac:dyDescent="0.2">
      <c r="AQ3538" s="31"/>
    </row>
    <row r="3539" spans="43:43" x14ac:dyDescent="0.2">
      <c r="AQ3539" s="31"/>
    </row>
    <row r="3540" spans="43:43" x14ac:dyDescent="0.2">
      <c r="AQ3540" s="31"/>
    </row>
    <row r="3541" spans="43:43" x14ac:dyDescent="0.2">
      <c r="AQ3541" s="31"/>
    </row>
    <row r="3542" spans="43:43" x14ac:dyDescent="0.2">
      <c r="AQ3542" s="31"/>
    </row>
    <row r="3543" spans="43:43" x14ac:dyDescent="0.2">
      <c r="AQ3543" s="31"/>
    </row>
    <row r="3544" spans="43:43" x14ac:dyDescent="0.2">
      <c r="AQ3544" s="31"/>
    </row>
    <row r="3545" spans="43:43" x14ac:dyDescent="0.2">
      <c r="AQ3545" s="31"/>
    </row>
    <row r="3546" spans="43:43" x14ac:dyDescent="0.2">
      <c r="AQ3546" s="31"/>
    </row>
    <row r="3547" spans="43:43" x14ac:dyDescent="0.2">
      <c r="AQ3547" s="31"/>
    </row>
    <row r="3548" spans="43:43" x14ac:dyDescent="0.2">
      <c r="AQ3548" s="31"/>
    </row>
    <row r="3549" spans="43:43" x14ac:dyDescent="0.2">
      <c r="AQ3549" s="31"/>
    </row>
    <row r="3550" spans="43:43" x14ac:dyDescent="0.2">
      <c r="AQ3550" s="31"/>
    </row>
    <row r="3551" spans="43:43" x14ac:dyDescent="0.2">
      <c r="AQ3551" s="31"/>
    </row>
    <row r="3552" spans="43:43" x14ac:dyDescent="0.2">
      <c r="AQ3552" s="31"/>
    </row>
    <row r="3553" spans="43:43" x14ac:dyDescent="0.2">
      <c r="AQ3553" s="31"/>
    </row>
    <row r="3554" spans="43:43" x14ac:dyDescent="0.2">
      <c r="AQ3554" s="31"/>
    </row>
    <row r="3555" spans="43:43" x14ac:dyDescent="0.2">
      <c r="AQ3555" s="31"/>
    </row>
    <row r="3556" spans="43:43" x14ac:dyDescent="0.2">
      <c r="AQ3556" s="31"/>
    </row>
    <row r="3557" spans="43:43" x14ac:dyDescent="0.2">
      <c r="AQ3557" s="31"/>
    </row>
    <row r="3558" spans="43:43" x14ac:dyDescent="0.2">
      <c r="AQ3558" s="31"/>
    </row>
    <row r="3559" spans="43:43" x14ac:dyDescent="0.2">
      <c r="AQ3559" s="31"/>
    </row>
    <row r="3560" spans="43:43" x14ac:dyDescent="0.2">
      <c r="AQ3560" s="31"/>
    </row>
    <row r="3561" spans="43:43" x14ac:dyDescent="0.2">
      <c r="AQ3561" s="31"/>
    </row>
    <row r="3562" spans="43:43" x14ac:dyDescent="0.2">
      <c r="AQ3562" s="31"/>
    </row>
    <row r="3563" spans="43:43" x14ac:dyDescent="0.2">
      <c r="AQ3563" s="31"/>
    </row>
    <row r="3564" spans="43:43" x14ac:dyDescent="0.2">
      <c r="AQ3564" s="31"/>
    </row>
    <row r="3565" spans="43:43" x14ac:dyDescent="0.2">
      <c r="AQ3565" s="31"/>
    </row>
    <row r="3566" spans="43:43" x14ac:dyDescent="0.2">
      <c r="AQ3566" s="31"/>
    </row>
    <row r="3567" spans="43:43" x14ac:dyDescent="0.2">
      <c r="AQ3567" s="31"/>
    </row>
    <row r="3568" spans="43:43" x14ac:dyDescent="0.2">
      <c r="AQ3568" s="31"/>
    </row>
    <row r="3569" spans="43:43" x14ac:dyDescent="0.2">
      <c r="AQ3569" s="31"/>
    </row>
    <row r="3570" spans="43:43" x14ac:dyDescent="0.2">
      <c r="AQ3570" s="31"/>
    </row>
    <row r="3571" spans="43:43" x14ac:dyDescent="0.2">
      <c r="AQ3571" s="31"/>
    </row>
    <row r="3572" spans="43:43" x14ac:dyDescent="0.2">
      <c r="AQ3572" s="31"/>
    </row>
    <row r="3573" spans="43:43" x14ac:dyDescent="0.2">
      <c r="AQ3573" s="31"/>
    </row>
    <row r="3574" spans="43:43" x14ac:dyDescent="0.2">
      <c r="AQ3574" s="31"/>
    </row>
    <row r="3575" spans="43:43" x14ac:dyDescent="0.2">
      <c r="AQ3575" s="31"/>
    </row>
    <row r="3576" spans="43:43" x14ac:dyDescent="0.2">
      <c r="AQ3576" s="31"/>
    </row>
    <row r="3577" spans="43:43" x14ac:dyDescent="0.2">
      <c r="AQ3577" s="31"/>
    </row>
    <row r="3578" spans="43:43" x14ac:dyDescent="0.2">
      <c r="AQ3578" s="31"/>
    </row>
    <row r="3579" spans="43:43" x14ac:dyDescent="0.2">
      <c r="AQ3579" s="31"/>
    </row>
    <row r="3580" spans="43:43" x14ac:dyDescent="0.2">
      <c r="AQ3580" s="31"/>
    </row>
    <row r="3581" spans="43:43" x14ac:dyDescent="0.2">
      <c r="AQ3581" s="31"/>
    </row>
    <row r="3582" spans="43:43" x14ac:dyDescent="0.2">
      <c r="AQ3582" s="31"/>
    </row>
    <row r="3583" spans="43:43" x14ac:dyDescent="0.2">
      <c r="AQ3583" s="31"/>
    </row>
    <row r="3584" spans="43:43" x14ac:dyDescent="0.2">
      <c r="AQ3584" s="31"/>
    </row>
    <row r="3585" spans="43:43" x14ac:dyDescent="0.2">
      <c r="AQ3585" s="31"/>
    </row>
    <row r="3586" spans="43:43" x14ac:dyDescent="0.2">
      <c r="AQ3586" s="31"/>
    </row>
    <row r="3587" spans="43:43" x14ac:dyDescent="0.2">
      <c r="AQ3587" s="31"/>
    </row>
    <row r="3588" spans="43:43" x14ac:dyDescent="0.2">
      <c r="AQ3588" s="31"/>
    </row>
    <row r="3589" spans="43:43" x14ac:dyDescent="0.2">
      <c r="AQ3589" s="31"/>
    </row>
    <row r="3590" spans="43:43" x14ac:dyDescent="0.2">
      <c r="AQ3590" s="31"/>
    </row>
    <row r="3591" spans="43:43" x14ac:dyDescent="0.2">
      <c r="AQ3591" s="31"/>
    </row>
    <row r="3592" spans="43:43" x14ac:dyDescent="0.2">
      <c r="AQ3592" s="31"/>
    </row>
    <row r="3593" spans="43:43" x14ac:dyDescent="0.2">
      <c r="AQ3593" s="31"/>
    </row>
    <row r="3594" spans="43:43" x14ac:dyDescent="0.2">
      <c r="AQ3594" s="31"/>
    </row>
    <row r="3595" spans="43:43" x14ac:dyDescent="0.2">
      <c r="AQ3595" s="31"/>
    </row>
    <row r="3596" spans="43:43" x14ac:dyDescent="0.2">
      <c r="AQ3596" s="31"/>
    </row>
    <row r="3597" spans="43:43" x14ac:dyDescent="0.2">
      <c r="AQ3597" s="31"/>
    </row>
    <row r="3598" spans="43:43" x14ac:dyDescent="0.2">
      <c r="AQ3598" s="31"/>
    </row>
    <row r="3599" spans="43:43" x14ac:dyDescent="0.2">
      <c r="AQ3599" s="31"/>
    </row>
    <row r="3600" spans="43:43" x14ac:dyDescent="0.2">
      <c r="AQ3600" s="31"/>
    </row>
    <row r="3601" spans="43:43" x14ac:dyDescent="0.2">
      <c r="AQ3601" s="31"/>
    </row>
    <row r="3602" spans="43:43" x14ac:dyDescent="0.2">
      <c r="AQ3602" s="31"/>
    </row>
    <row r="3603" spans="43:43" x14ac:dyDescent="0.2">
      <c r="AQ3603" s="31"/>
    </row>
    <row r="3604" spans="43:43" x14ac:dyDescent="0.2">
      <c r="AQ3604" s="31"/>
    </row>
    <row r="3605" spans="43:43" x14ac:dyDescent="0.2">
      <c r="AQ3605" s="31"/>
    </row>
    <row r="3606" spans="43:43" x14ac:dyDescent="0.2">
      <c r="AQ3606" s="31"/>
    </row>
    <row r="3607" spans="43:43" x14ac:dyDescent="0.2">
      <c r="AQ3607" s="31"/>
    </row>
    <row r="3608" spans="43:43" x14ac:dyDescent="0.2">
      <c r="AQ3608" s="31"/>
    </row>
    <row r="3609" spans="43:43" x14ac:dyDescent="0.2">
      <c r="AQ3609" s="31"/>
    </row>
    <row r="3610" spans="43:43" x14ac:dyDescent="0.2">
      <c r="AQ3610" s="31"/>
    </row>
    <row r="3611" spans="43:43" x14ac:dyDescent="0.2">
      <c r="AQ3611" s="31"/>
    </row>
    <row r="3612" spans="43:43" x14ac:dyDescent="0.2">
      <c r="AQ3612" s="31"/>
    </row>
    <row r="3613" spans="43:43" x14ac:dyDescent="0.2">
      <c r="AQ3613" s="31"/>
    </row>
    <row r="3614" spans="43:43" x14ac:dyDescent="0.2">
      <c r="AQ3614" s="31"/>
    </row>
    <row r="3615" spans="43:43" x14ac:dyDescent="0.2">
      <c r="AQ3615" s="31"/>
    </row>
    <row r="3616" spans="43:43" x14ac:dyDescent="0.2">
      <c r="AQ3616" s="31"/>
    </row>
    <row r="3617" spans="43:43" x14ac:dyDescent="0.2">
      <c r="AQ3617" s="31"/>
    </row>
    <row r="3618" spans="43:43" x14ac:dyDescent="0.2">
      <c r="AQ3618" s="31"/>
    </row>
    <row r="3619" spans="43:43" x14ac:dyDescent="0.2">
      <c r="AQ3619" s="31"/>
    </row>
    <row r="3620" spans="43:43" x14ac:dyDescent="0.2">
      <c r="AQ3620" s="31"/>
    </row>
    <row r="3621" spans="43:43" x14ac:dyDescent="0.2">
      <c r="AQ3621" s="31"/>
    </row>
    <row r="3622" spans="43:43" x14ac:dyDescent="0.2">
      <c r="AQ3622" s="31"/>
    </row>
    <row r="3623" spans="43:43" x14ac:dyDescent="0.2">
      <c r="AQ3623" s="31"/>
    </row>
    <row r="3624" spans="43:43" x14ac:dyDescent="0.2">
      <c r="AQ3624" s="31"/>
    </row>
    <row r="3625" spans="43:43" x14ac:dyDescent="0.2">
      <c r="AQ3625" s="31"/>
    </row>
    <row r="3626" spans="43:43" x14ac:dyDescent="0.2">
      <c r="AQ3626" s="31"/>
    </row>
    <row r="3627" spans="43:43" x14ac:dyDescent="0.2">
      <c r="AQ3627" s="31"/>
    </row>
    <row r="3628" spans="43:43" x14ac:dyDescent="0.2">
      <c r="AQ3628" s="31"/>
    </row>
    <row r="3629" spans="43:43" x14ac:dyDescent="0.2">
      <c r="AQ3629" s="31"/>
    </row>
    <row r="3630" spans="43:43" x14ac:dyDescent="0.2">
      <c r="AQ3630" s="31"/>
    </row>
    <row r="3631" spans="43:43" x14ac:dyDescent="0.2">
      <c r="AQ3631" s="31"/>
    </row>
    <row r="3632" spans="43:43" x14ac:dyDescent="0.2">
      <c r="AQ3632" s="31"/>
    </row>
    <row r="3633" spans="43:43" x14ac:dyDescent="0.2">
      <c r="AQ3633" s="31"/>
    </row>
    <row r="3634" spans="43:43" x14ac:dyDescent="0.2">
      <c r="AQ3634" s="31"/>
    </row>
    <row r="3635" spans="43:43" x14ac:dyDescent="0.2">
      <c r="AQ3635" s="31"/>
    </row>
    <row r="3636" spans="43:43" x14ac:dyDescent="0.2">
      <c r="AQ3636" s="31"/>
    </row>
    <row r="3637" spans="43:43" x14ac:dyDescent="0.2">
      <c r="AQ3637" s="31"/>
    </row>
    <row r="3638" spans="43:43" x14ac:dyDescent="0.2">
      <c r="AQ3638" s="31"/>
    </row>
    <row r="3639" spans="43:43" x14ac:dyDescent="0.2">
      <c r="AQ3639" s="31"/>
    </row>
    <row r="3640" spans="43:43" x14ac:dyDescent="0.2">
      <c r="AQ3640" s="31"/>
    </row>
    <row r="3641" spans="43:43" x14ac:dyDescent="0.2">
      <c r="AQ3641" s="31"/>
    </row>
    <row r="3642" spans="43:43" x14ac:dyDescent="0.2">
      <c r="AQ3642" s="31"/>
    </row>
    <row r="3643" spans="43:43" x14ac:dyDescent="0.2">
      <c r="AQ3643" s="31"/>
    </row>
    <row r="3644" spans="43:43" x14ac:dyDescent="0.2">
      <c r="AQ3644" s="31"/>
    </row>
    <row r="3645" spans="43:43" x14ac:dyDescent="0.2">
      <c r="AQ3645" s="31"/>
    </row>
    <row r="3646" spans="43:43" x14ac:dyDescent="0.2">
      <c r="AQ3646" s="31"/>
    </row>
    <row r="3647" spans="43:43" x14ac:dyDescent="0.2">
      <c r="AQ3647" s="31"/>
    </row>
    <row r="3648" spans="43:43" x14ac:dyDescent="0.2">
      <c r="AQ3648" s="31"/>
    </row>
    <row r="3649" spans="43:43" x14ac:dyDescent="0.2">
      <c r="AQ3649" s="31"/>
    </row>
    <row r="3650" spans="43:43" x14ac:dyDescent="0.2">
      <c r="AQ3650" s="31"/>
    </row>
    <row r="3651" spans="43:43" x14ac:dyDescent="0.2">
      <c r="AQ3651" s="31"/>
    </row>
    <row r="3652" spans="43:43" x14ac:dyDescent="0.2">
      <c r="AQ3652" s="31"/>
    </row>
    <row r="3653" spans="43:43" x14ac:dyDescent="0.2">
      <c r="AQ3653" s="31"/>
    </row>
    <row r="3654" spans="43:43" x14ac:dyDescent="0.2">
      <c r="AQ3654" s="31"/>
    </row>
    <row r="3655" spans="43:43" x14ac:dyDescent="0.2">
      <c r="AQ3655" s="31"/>
    </row>
    <row r="3656" spans="43:43" x14ac:dyDescent="0.2">
      <c r="AQ3656" s="31"/>
    </row>
    <row r="3657" spans="43:43" x14ac:dyDescent="0.2">
      <c r="AQ3657" s="31"/>
    </row>
    <row r="3658" spans="43:43" x14ac:dyDescent="0.2">
      <c r="AQ3658" s="31"/>
    </row>
    <row r="3659" spans="43:43" x14ac:dyDescent="0.2">
      <c r="AQ3659" s="31"/>
    </row>
    <row r="3660" spans="43:43" x14ac:dyDescent="0.2">
      <c r="AQ3660" s="31"/>
    </row>
    <row r="3661" spans="43:43" x14ac:dyDescent="0.2">
      <c r="AQ3661" s="31"/>
    </row>
    <row r="3662" spans="43:43" x14ac:dyDescent="0.2">
      <c r="AQ3662" s="31"/>
    </row>
    <row r="3663" spans="43:43" x14ac:dyDescent="0.2">
      <c r="AQ3663" s="31"/>
    </row>
    <row r="3664" spans="43:43" x14ac:dyDescent="0.2">
      <c r="AQ3664" s="31"/>
    </row>
    <row r="3665" spans="43:43" x14ac:dyDescent="0.2">
      <c r="AQ3665" s="31"/>
    </row>
    <row r="3666" spans="43:43" x14ac:dyDescent="0.2">
      <c r="AQ3666" s="31"/>
    </row>
    <row r="3667" spans="43:43" x14ac:dyDescent="0.2">
      <c r="AQ3667" s="31"/>
    </row>
    <row r="3668" spans="43:43" x14ac:dyDescent="0.2">
      <c r="AQ3668" s="31"/>
    </row>
    <row r="3669" spans="43:43" x14ac:dyDescent="0.2">
      <c r="AQ3669" s="31"/>
    </row>
    <row r="3670" spans="43:43" x14ac:dyDescent="0.2">
      <c r="AQ3670" s="31"/>
    </row>
    <row r="3671" spans="43:43" x14ac:dyDescent="0.2">
      <c r="AQ3671" s="31"/>
    </row>
    <row r="3672" spans="43:43" x14ac:dyDescent="0.2">
      <c r="AQ3672" s="31"/>
    </row>
    <row r="3673" spans="43:43" x14ac:dyDescent="0.2">
      <c r="AQ3673" s="31"/>
    </row>
    <row r="3674" spans="43:43" x14ac:dyDescent="0.2">
      <c r="AQ3674" s="31"/>
    </row>
    <row r="3675" spans="43:43" x14ac:dyDescent="0.2">
      <c r="AQ3675" s="31"/>
    </row>
    <row r="3676" spans="43:43" x14ac:dyDescent="0.2">
      <c r="AQ3676" s="31"/>
    </row>
    <row r="3677" spans="43:43" x14ac:dyDescent="0.2">
      <c r="AQ3677" s="31"/>
    </row>
    <row r="3678" spans="43:43" x14ac:dyDescent="0.2">
      <c r="AQ3678" s="31"/>
    </row>
    <row r="3679" spans="43:43" x14ac:dyDescent="0.2">
      <c r="AQ3679" s="31"/>
    </row>
    <row r="3680" spans="43:43" x14ac:dyDescent="0.2">
      <c r="AQ3680" s="31"/>
    </row>
    <row r="3681" spans="43:43" x14ac:dyDescent="0.2">
      <c r="AQ3681" s="31"/>
    </row>
    <row r="3682" spans="43:43" x14ac:dyDescent="0.2">
      <c r="AQ3682" s="31"/>
    </row>
    <row r="3683" spans="43:43" x14ac:dyDescent="0.2">
      <c r="AQ3683" s="31"/>
    </row>
    <row r="3684" spans="43:43" x14ac:dyDescent="0.2">
      <c r="AQ3684" s="31"/>
    </row>
    <row r="3685" spans="43:43" x14ac:dyDescent="0.2">
      <c r="AQ3685" s="31"/>
    </row>
    <row r="3686" spans="43:43" x14ac:dyDescent="0.2">
      <c r="AQ3686" s="31"/>
    </row>
    <row r="3687" spans="43:43" x14ac:dyDescent="0.2">
      <c r="AQ3687" s="31"/>
    </row>
    <row r="3688" spans="43:43" x14ac:dyDescent="0.2">
      <c r="AQ3688" s="31"/>
    </row>
    <row r="3689" spans="43:43" x14ac:dyDescent="0.2">
      <c r="AQ3689" s="31"/>
    </row>
    <row r="3690" spans="43:43" x14ac:dyDescent="0.2">
      <c r="AQ3690" s="31"/>
    </row>
    <row r="3691" spans="43:43" x14ac:dyDescent="0.2">
      <c r="AQ3691" s="31"/>
    </row>
    <row r="3692" spans="43:43" x14ac:dyDescent="0.2">
      <c r="AQ3692" s="31"/>
    </row>
    <row r="3693" spans="43:43" x14ac:dyDescent="0.2">
      <c r="AQ3693" s="31"/>
    </row>
    <row r="3694" spans="43:43" x14ac:dyDescent="0.2">
      <c r="AQ3694" s="31"/>
    </row>
    <row r="3695" spans="43:43" x14ac:dyDescent="0.2">
      <c r="AQ3695" s="31"/>
    </row>
    <row r="3696" spans="43:43" x14ac:dyDescent="0.2">
      <c r="AQ3696" s="31"/>
    </row>
    <row r="3697" spans="43:43" x14ac:dyDescent="0.2">
      <c r="AQ3697" s="31"/>
    </row>
    <row r="3698" spans="43:43" x14ac:dyDescent="0.2">
      <c r="AQ3698" s="31"/>
    </row>
    <row r="3699" spans="43:43" x14ac:dyDescent="0.2">
      <c r="AQ3699" s="31"/>
    </row>
    <row r="3700" spans="43:43" x14ac:dyDescent="0.2">
      <c r="AQ3700" s="31"/>
    </row>
    <row r="3701" spans="43:43" x14ac:dyDescent="0.2">
      <c r="AQ3701" s="31"/>
    </row>
    <row r="3702" spans="43:43" x14ac:dyDescent="0.2">
      <c r="AQ3702" s="31"/>
    </row>
    <row r="3703" spans="43:43" x14ac:dyDescent="0.2">
      <c r="AQ3703" s="31"/>
    </row>
    <row r="3704" spans="43:43" x14ac:dyDescent="0.2">
      <c r="AQ3704" s="31"/>
    </row>
    <row r="3705" spans="43:43" x14ac:dyDescent="0.2">
      <c r="AQ3705" s="31"/>
    </row>
    <row r="3706" spans="43:43" x14ac:dyDescent="0.2">
      <c r="AQ3706" s="31"/>
    </row>
    <row r="3707" spans="43:43" x14ac:dyDescent="0.2">
      <c r="AQ3707" s="31"/>
    </row>
    <row r="3708" spans="43:43" x14ac:dyDescent="0.2">
      <c r="AQ3708" s="31"/>
    </row>
    <row r="3709" spans="43:43" x14ac:dyDescent="0.2">
      <c r="AQ3709" s="31"/>
    </row>
    <row r="3710" spans="43:43" x14ac:dyDescent="0.2">
      <c r="AQ3710" s="31"/>
    </row>
    <row r="3711" spans="43:43" x14ac:dyDescent="0.2">
      <c r="AQ3711" s="31"/>
    </row>
    <row r="3712" spans="43:43" x14ac:dyDescent="0.2">
      <c r="AQ3712" s="31"/>
    </row>
    <row r="3713" spans="43:43" x14ac:dyDescent="0.2">
      <c r="AQ3713" s="31"/>
    </row>
    <row r="3714" spans="43:43" x14ac:dyDescent="0.2">
      <c r="AQ3714" s="31"/>
    </row>
    <row r="3715" spans="43:43" x14ac:dyDescent="0.2">
      <c r="AQ3715" s="31"/>
    </row>
    <row r="3716" spans="43:43" x14ac:dyDescent="0.2">
      <c r="AQ3716" s="31"/>
    </row>
    <row r="3717" spans="43:43" x14ac:dyDescent="0.2">
      <c r="AQ3717" s="31"/>
    </row>
    <row r="3718" spans="43:43" x14ac:dyDescent="0.2">
      <c r="AQ3718" s="31"/>
    </row>
    <row r="3719" spans="43:43" x14ac:dyDescent="0.2">
      <c r="AQ3719" s="31"/>
    </row>
    <row r="3720" spans="43:43" x14ac:dyDescent="0.2">
      <c r="AQ3720" s="31"/>
    </row>
    <row r="3721" spans="43:43" x14ac:dyDescent="0.2">
      <c r="AQ3721" s="31"/>
    </row>
    <row r="3722" spans="43:43" x14ac:dyDescent="0.2">
      <c r="AQ3722" s="31"/>
    </row>
    <row r="3723" spans="43:43" x14ac:dyDescent="0.2">
      <c r="AQ3723" s="31"/>
    </row>
    <row r="3724" spans="43:43" x14ac:dyDescent="0.2">
      <c r="AQ3724" s="31"/>
    </row>
    <row r="3725" spans="43:43" x14ac:dyDescent="0.2">
      <c r="AQ3725" s="31"/>
    </row>
    <row r="3726" spans="43:43" x14ac:dyDescent="0.2">
      <c r="AQ3726" s="31"/>
    </row>
    <row r="3727" spans="43:43" x14ac:dyDescent="0.2">
      <c r="AQ3727" s="31"/>
    </row>
    <row r="3728" spans="43:43" x14ac:dyDescent="0.2">
      <c r="AQ3728" s="31"/>
    </row>
    <row r="3729" spans="43:43" x14ac:dyDescent="0.2">
      <c r="AQ3729" s="31"/>
    </row>
    <row r="3730" spans="43:43" x14ac:dyDescent="0.2">
      <c r="AQ3730" s="31"/>
    </row>
    <row r="3731" spans="43:43" x14ac:dyDescent="0.2">
      <c r="AQ3731" s="31"/>
    </row>
    <row r="3732" spans="43:43" x14ac:dyDescent="0.2">
      <c r="AQ3732" s="31"/>
    </row>
    <row r="3733" spans="43:43" x14ac:dyDescent="0.2">
      <c r="AQ3733" s="31"/>
    </row>
    <row r="3734" spans="43:43" x14ac:dyDescent="0.2">
      <c r="AQ3734" s="31"/>
    </row>
    <row r="3735" spans="43:43" x14ac:dyDescent="0.2">
      <c r="AQ3735" s="31"/>
    </row>
    <row r="3736" spans="43:43" x14ac:dyDescent="0.2">
      <c r="AQ3736" s="31"/>
    </row>
    <row r="3737" spans="43:43" x14ac:dyDescent="0.2">
      <c r="AQ3737" s="31"/>
    </row>
    <row r="3738" spans="43:43" x14ac:dyDescent="0.2">
      <c r="AQ3738" s="31"/>
    </row>
    <row r="3739" spans="43:43" x14ac:dyDescent="0.2">
      <c r="AQ3739" s="31"/>
    </row>
    <row r="3740" spans="43:43" x14ac:dyDescent="0.2">
      <c r="AQ3740" s="31"/>
    </row>
    <row r="3741" spans="43:43" x14ac:dyDescent="0.2">
      <c r="AQ3741" s="31"/>
    </row>
    <row r="3742" spans="43:43" x14ac:dyDescent="0.2">
      <c r="AQ3742" s="31"/>
    </row>
    <row r="3743" spans="43:43" x14ac:dyDescent="0.2">
      <c r="AQ3743" s="31"/>
    </row>
    <row r="3744" spans="43:43" x14ac:dyDescent="0.2">
      <c r="AQ3744" s="31"/>
    </row>
    <row r="3745" spans="43:43" x14ac:dyDescent="0.2">
      <c r="AQ3745" s="31"/>
    </row>
    <row r="3746" spans="43:43" x14ac:dyDescent="0.2">
      <c r="AQ3746" s="31"/>
    </row>
    <row r="3747" spans="43:43" x14ac:dyDescent="0.2">
      <c r="AQ3747" s="31"/>
    </row>
    <row r="3748" spans="43:43" x14ac:dyDescent="0.2">
      <c r="AQ3748" s="31"/>
    </row>
    <row r="3749" spans="43:43" x14ac:dyDescent="0.2">
      <c r="AQ3749" s="31"/>
    </row>
    <row r="3750" spans="43:43" x14ac:dyDescent="0.2">
      <c r="AQ3750" s="31"/>
    </row>
    <row r="3751" spans="43:43" x14ac:dyDescent="0.2">
      <c r="AQ3751" s="31"/>
    </row>
    <row r="3752" spans="43:43" x14ac:dyDescent="0.2">
      <c r="AQ3752" s="31"/>
    </row>
    <row r="3753" spans="43:43" x14ac:dyDescent="0.2">
      <c r="AQ3753" s="31"/>
    </row>
    <row r="3754" spans="43:43" x14ac:dyDescent="0.2">
      <c r="AQ3754" s="31"/>
    </row>
    <row r="3755" spans="43:43" x14ac:dyDescent="0.2">
      <c r="AQ3755" s="31"/>
    </row>
    <row r="3756" spans="43:43" x14ac:dyDescent="0.2">
      <c r="AQ3756" s="31"/>
    </row>
    <row r="3757" spans="43:43" x14ac:dyDescent="0.2">
      <c r="AQ3757" s="31"/>
    </row>
    <row r="3758" spans="43:43" x14ac:dyDescent="0.2">
      <c r="AQ3758" s="31"/>
    </row>
    <row r="3759" spans="43:43" x14ac:dyDescent="0.2">
      <c r="AQ3759" s="31"/>
    </row>
    <row r="3760" spans="43:43" x14ac:dyDescent="0.2">
      <c r="AQ3760" s="31"/>
    </row>
    <row r="3761" spans="43:43" x14ac:dyDescent="0.2">
      <c r="AQ3761" s="31"/>
    </row>
    <row r="3762" spans="43:43" x14ac:dyDescent="0.2">
      <c r="AQ3762" s="31"/>
    </row>
    <row r="3763" spans="43:43" x14ac:dyDescent="0.2">
      <c r="AQ3763" s="31"/>
    </row>
    <row r="3764" spans="43:43" x14ac:dyDescent="0.2">
      <c r="AQ3764" s="31"/>
    </row>
    <row r="3765" spans="43:43" x14ac:dyDescent="0.2">
      <c r="AQ3765" s="31"/>
    </row>
    <row r="3766" spans="43:43" x14ac:dyDescent="0.2">
      <c r="AQ3766" s="31"/>
    </row>
    <row r="3767" spans="43:43" x14ac:dyDescent="0.2">
      <c r="AQ3767" s="31"/>
    </row>
    <row r="3768" spans="43:43" x14ac:dyDescent="0.2">
      <c r="AQ3768" s="31"/>
    </row>
    <row r="3769" spans="43:43" x14ac:dyDescent="0.2">
      <c r="AQ3769" s="31"/>
    </row>
    <row r="3770" spans="43:43" x14ac:dyDescent="0.2">
      <c r="AQ3770" s="31"/>
    </row>
    <row r="3771" spans="43:43" x14ac:dyDescent="0.2">
      <c r="AQ3771" s="31"/>
    </row>
    <row r="3772" spans="43:43" x14ac:dyDescent="0.2">
      <c r="AQ3772" s="31"/>
    </row>
    <row r="3773" spans="43:43" x14ac:dyDescent="0.2">
      <c r="AQ3773" s="31"/>
    </row>
    <row r="3774" spans="43:43" x14ac:dyDescent="0.2">
      <c r="AQ3774" s="31"/>
    </row>
    <row r="3775" spans="43:43" x14ac:dyDescent="0.2">
      <c r="AQ3775" s="31"/>
    </row>
    <row r="3776" spans="43:43" x14ac:dyDescent="0.2">
      <c r="AQ3776" s="31"/>
    </row>
    <row r="3777" spans="43:43" x14ac:dyDescent="0.2">
      <c r="AQ3777" s="31"/>
    </row>
    <row r="3778" spans="43:43" x14ac:dyDescent="0.2">
      <c r="AQ3778" s="31"/>
    </row>
    <row r="3779" spans="43:43" x14ac:dyDescent="0.2">
      <c r="AQ3779" s="31"/>
    </row>
    <row r="3780" spans="43:43" x14ac:dyDescent="0.2">
      <c r="AQ3780" s="31"/>
    </row>
    <row r="3781" spans="43:43" x14ac:dyDescent="0.2">
      <c r="AQ3781" s="31"/>
    </row>
    <row r="3782" spans="43:43" x14ac:dyDescent="0.2">
      <c r="AQ3782" s="31"/>
    </row>
    <row r="3783" spans="43:43" x14ac:dyDescent="0.2">
      <c r="AQ3783" s="31"/>
    </row>
    <row r="3784" spans="43:43" x14ac:dyDescent="0.2">
      <c r="AQ3784" s="31"/>
    </row>
    <row r="3785" spans="43:43" x14ac:dyDescent="0.2">
      <c r="AQ3785" s="31"/>
    </row>
    <row r="3786" spans="43:43" x14ac:dyDescent="0.2">
      <c r="AQ3786" s="31"/>
    </row>
    <row r="3787" spans="43:43" x14ac:dyDescent="0.2">
      <c r="AQ3787" s="31"/>
    </row>
    <row r="3788" spans="43:43" x14ac:dyDescent="0.2">
      <c r="AQ3788" s="31"/>
    </row>
    <row r="3789" spans="43:43" x14ac:dyDescent="0.2">
      <c r="AQ3789" s="31"/>
    </row>
    <row r="3790" spans="43:43" x14ac:dyDescent="0.2">
      <c r="AQ3790" s="31"/>
    </row>
    <row r="3791" spans="43:43" x14ac:dyDescent="0.2">
      <c r="AQ3791" s="31"/>
    </row>
    <row r="3792" spans="43:43" x14ac:dyDescent="0.2">
      <c r="AQ3792" s="31"/>
    </row>
    <row r="3793" spans="43:43" x14ac:dyDescent="0.2">
      <c r="AQ3793" s="31"/>
    </row>
    <row r="3794" spans="43:43" x14ac:dyDescent="0.2">
      <c r="AQ3794" s="31"/>
    </row>
    <row r="3795" spans="43:43" x14ac:dyDescent="0.2">
      <c r="AQ3795" s="31"/>
    </row>
    <row r="3796" spans="43:43" x14ac:dyDescent="0.2">
      <c r="AQ3796" s="31"/>
    </row>
    <row r="3797" spans="43:43" x14ac:dyDescent="0.2">
      <c r="AQ3797" s="31"/>
    </row>
    <row r="3798" spans="43:43" x14ac:dyDescent="0.2">
      <c r="AQ3798" s="31"/>
    </row>
    <row r="3799" spans="43:43" x14ac:dyDescent="0.2">
      <c r="AQ3799" s="31"/>
    </row>
    <row r="3800" spans="43:43" x14ac:dyDescent="0.2">
      <c r="AQ3800" s="31"/>
    </row>
    <row r="3801" spans="43:43" x14ac:dyDescent="0.2">
      <c r="AQ3801" s="31"/>
    </row>
    <row r="3802" spans="43:43" x14ac:dyDescent="0.2">
      <c r="AQ3802" s="31"/>
    </row>
    <row r="3803" spans="43:43" x14ac:dyDescent="0.2">
      <c r="AQ3803" s="31"/>
    </row>
    <row r="3804" spans="43:43" x14ac:dyDescent="0.2">
      <c r="AQ3804" s="31"/>
    </row>
    <row r="3805" spans="43:43" x14ac:dyDescent="0.2">
      <c r="AQ3805" s="31"/>
    </row>
    <row r="3806" spans="43:43" x14ac:dyDescent="0.2">
      <c r="AQ3806" s="31"/>
    </row>
    <row r="3807" spans="43:43" x14ac:dyDescent="0.2">
      <c r="AQ3807" s="31"/>
    </row>
    <row r="3808" spans="43:43" x14ac:dyDescent="0.2">
      <c r="AQ3808" s="31"/>
    </row>
    <row r="3809" spans="43:43" x14ac:dyDescent="0.2">
      <c r="AQ3809" s="31"/>
    </row>
    <row r="3810" spans="43:43" x14ac:dyDescent="0.2">
      <c r="AQ3810" s="31"/>
    </row>
    <row r="3811" spans="43:43" x14ac:dyDescent="0.2">
      <c r="AQ3811" s="31"/>
    </row>
    <row r="3812" spans="43:43" x14ac:dyDescent="0.2">
      <c r="AQ3812" s="31"/>
    </row>
    <row r="3813" spans="43:43" x14ac:dyDescent="0.2">
      <c r="AQ3813" s="31"/>
    </row>
    <row r="3814" spans="43:43" x14ac:dyDescent="0.2">
      <c r="AQ3814" s="31"/>
    </row>
    <row r="3815" spans="43:43" x14ac:dyDescent="0.2">
      <c r="AQ3815" s="31"/>
    </row>
    <row r="3816" spans="43:43" x14ac:dyDescent="0.2">
      <c r="AQ3816" s="31"/>
    </row>
    <row r="3817" spans="43:43" x14ac:dyDescent="0.2">
      <c r="AQ3817" s="31"/>
    </row>
    <row r="3818" spans="43:43" x14ac:dyDescent="0.2">
      <c r="AQ3818" s="31"/>
    </row>
    <row r="3819" spans="43:43" x14ac:dyDescent="0.2">
      <c r="AQ3819" s="31"/>
    </row>
    <row r="3820" spans="43:43" x14ac:dyDescent="0.2">
      <c r="AQ3820" s="31"/>
    </row>
    <row r="3821" spans="43:43" x14ac:dyDescent="0.2">
      <c r="AQ3821" s="31"/>
    </row>
    <row r="3822" spans="43:43" x14ac:dyDescent="0.2">
      <c r="AQ3822" s="31"/>
    </row>
    <row r="3823" spans="43:43" x14ac:dyDescent="0.2">
      <c r="AQ3823" s="31"/>
    </row>
    <row r="3824" spans="43:43" x14ac:dyDescent="0.2">
      <c r="AQ3824" s="31"/>
    </row>
    <row r="3825" spans="43:43" x14ac:dyDescent="0.2">
      <c r="AQ3825" s="31"/>
    </row>
    <row r="3826" spans="43:43" x14ac:dyDescent="0.2">
      <c r="AQ3826" s="31"/>
    </row>
    <row r="3827" spans="43:43" x14ac:dyDescent="0.2">
      <c r="AQ3827" s="31"/>
    </row>
    <row r="3828" spans="43:43" x14ac:dyDescent="0.2">
      <c r="AQ3828" s="31"/>
    </row>
    <row r="3829" spans="43:43" x14ac:dyDescent="0.2">
      <c r="AQ3829" s="31"/>
    </row>
    <row r="3830" spans="43:43" x14ac:dyDescent="0.2">
      <c r="AQ3830" s="31"/>
    </row>
    <row r="3831" spans="43:43" x14ac:dyDescent="0.2">
      <c r="AQ3831" s="31"/>
    </row>
    <row r="3832" spans="43:43" x14ac:dyDescent="0.2">
      <c r="AQ3832" s="31"/>
    </row>
    <row r="3833" spans="43:43" x14ac:dyDescent="0.2">
      <c r="AQ3833" s="31"/>
    </row>
    <row r="3834" spans="43:43" x14ac:dyDescent="0.2">
      <c r="AQ3834" s="31"/>
    </row>
    <row r="3835" spans="43:43" x14ac:dyDescent="0.2">
      <c r="AQ3835" s="31"/>
    </row>
    <row r="3836" spans="43:43" x14ac:dyDescent="0.2">
      <c r="AQ3836" s="31"/>
    </row>
    <row r="3837" spans="43:43" x14ac:dyDescent="0.2">
      <c r="AQ3837" s="31"/>
    </row>
    <row r="3838" spans="43:43" x14ac:dyDescent="0.2">
      <c r="AQ3838" s="31"/>
    </row>
    <row r="3839" spans="43:43" x14ac:dyDescent="0.2">
      <c r="AQ3839" s="31"/>
    </row>
    <row r="3840" spans="43:43" x14ac:dyDescent="0.2">
      <c r="AQ3840" s="31"/>
    </row>
    <row r="3841" spans="43:43" x14ac:dyDescent="0.2">
      <c r="AQ3841" s="31"/>
    </row>
    <row r="3842" spans="43:43" x14ac:dyDescent="0.2">
      <c r="AQ3842" s="31"/>
    </row>
    <row r="3843" spans="43:43" x14ac:dyDescent="0.2">
      <c r="AQ3843" s="31"/>
    </row>
    <row r="3844" spans="43:43" x14ac:dyDescent="0.2">
      <c r="AQ3844" s="31"/>
    </row>
    <row r="3845" spans="43:43" x14ac:dyDescent="0.2">
      <c r="AQ3845" s="31"/>
    </row>
    <row r="3846" spans="43:43" x14ac:dyDescent="0.2">
      <c r="AQ3846" s="31"/>
    </row>
    <row r="3847" spans="43:43" x14ac:dyDescent="0.2">
      <c r="AQ3847" s="31"/>
    </row>
    <row r="3848" spans="43:43" x14ac:dyDescent="0.2">
      <c r="AQ3848" s="31"/>
    </row>
    <row r="3849" spans="43:43" x14ac:dyDescent="0.2">
      <c r="AQ3849" s="31"/>
    </row>
    <row r="3850" spans="43:43" x14ac:dyDescent="0.2">
      <c r="AQ3850" s="31"/>
    </row>
    <row r="3851" spans="43:43" x14ac:dyDescent="0.2">
      <c r="AQ3851" s="31"/>
    </row>
    <row r="3852" spans="43:43" x14ac:dyDescent="0.2">
      <c r="AQ3852" s="31"/>
    </row>
    <row r="3853" spans="43:43" x14ac:dyDescent="0.2">
      <c r="AQ3853" s="31"/>
    </row>
    <row r="3854" spans="43:43" x14ac:dyDescent="0.2">
      <c r="AQ3854" s="31"/>
    </row>
    <row r="3855" spans="43:43" x14ac:dyDescent="0.2">
      <c r="AQ3855" s="31"/>
    </row>
    <row r="3856" spans="43:43" x14ac:dyDescent="0.2">
      <c r="AQ3856" s="31"/>
    </row>
    <row r="3857" spans="43:43" x14ac:dyDescent="0.2">
      <c r="AQ3857" s="31"/>
    </row>
    <row r="3858" spans="43:43" x14ac:dyDescent="0.2">
      <c r="AQ3858" s="31"/>
    </row>
    <row r="3859" spans="43:43" x14ac:dyDescent="0.2">
      <c r="AQ3859" s="31"/>
    </row>
    <row r="3860" spans="43:43" x14ac:dyDescent="0.2">
      <c r="AQ3860" s="31"/>
    </row>
    <row r="3861" spans="43:43" x14ac:dyDescent="0.2">
      <c r="AQ3861" s="31"/>
    </row>
    <row r="3862" spans="43:43" x14ac:dyDescent="0.2">
      <c r="AQ3862" s="31"/>
    </row>
    <row r="3863" spans="43:43" x14ac:dyDescent="0.2">
      <c r="AQ3863" s="31"/>
    </row>
    <row r="3864" spans="43:43" x14ac:dyDescent="0.2">
      <c r="AQ3864" s="31"/>
    </row>
    <row r="3865" spans="43:43" x14ac:dyDescent="0.2">
      <c r="AQ3865" s="31"/>
    </row>
    <row r="3866" spans="43:43" x14ac:dyDescent="0.2">
      <c r="AQ3866" s="31"/>
    </row>
    <row r="3867" spans="43:43" x14ac:dyDescent="0.2">
      <c r="AQ3867" s="31"/>
    </row>
    <row r="3868" spans="43:43" x14ac:dyDescent="0.2">
      <c r="AQ3868" s="31"/>
    </row>
    <row r="3869" spans="43:43" x14ac:dyDescent="0.2">
      <c r="AQ3869" s="31"/>
    </row>
    <row r="3870" spans="43:43" x14ac:dyDescent="0.2">
      <c r="AQ3870" s="31"/>
    </row>
    <row r="3871" spans="43:43" x14ac:dyDescent="0.2">
      <c r="AQ3871" s="31"/>
    </row>
    <row r="3872" spans="43:43" x14ac:dyDescent="0.2">
      <c r="AQ3872" s="31"/>
    </row>
    <row r="3873" spans="43:43" x14ac:dyDescent="0.2">
      <c r="AQ3873" s="31"/>
    </row>
    <row r="3874" spans="43:43" x14ac:dyDescent="0.2">
      <c r="AQ3874" s="31"/>
    </row>
    <row r="3875" spans="43:43" x14ac:dyDescent="0.2">
      <c r="AQ3875" s="31"/>
    </row>
    <row r="3876" spans="43:43" x14ac:dyDescent="0.2">
      <c r="AQ3876" s="31"/>
    </row>
    <row r="3877" spans="43:43" x14ac:dyDescent="0.2">
      <c r="AQ3877" s="31"/>
    </row>
    <row r="3878" spans="43:43" x14ac:dyDescent="0.2">
      <c r="AQ3878" s="31"/>
    </row>
    <row r="3879" spans="43:43" x14ac:dyDescent="0.2">
      <c r="AQ3879" s="31"/>
    </row>
    <row r="3880" spans="43:43" x14ac:dyDescent="0.2">
      <c r="AQ3880" s="31"/>
    </row>
    <row r="3881" spans="43:43" x14ac:dyDescent="0.2">
      <c r="AQ3881" s="31"/>
    </row>
    <row r="3882" spans="43:43" x14ac:dyDescent="0.2">
      <c r="AQ3882" s="31"/>
    </row>
    <row r="3883" spans="43:43" x14ac:dyDescent="0.2">
      <c r="AQ3883" s="31"/>
    </row>
    <row r="3884" spans="43:43" x14ac:dyDescent="0.2">
      <c r="AQ3884" s="31"/>
    </row>
    <row r="3885" spans="43:43" x14ac:dyDescent="0.2">
      <c r="AQ3885" s="31"/>
    </row>
    <row r="3886" spans="43:43" x14ac:dyDescent="0.2">
      <c r="AQ3886" s="31"/>
    </row>
    <row r="3887" spans="43:43" x14ac:dyDescent="0.2">
      <c r="AQ3887" s="31"/>
    </row>
    <row r="3888" spans="43:43" x14ac:dyDescent="0.2">
      <c r="AQ3888" s="31"/>
    </row>
    <row r="3889" spans="43:43" x14ac:dyDescent="0.2">
      <c r="AQ3889" s="31"/>
    </row>
    <row r="3890" spans="43:43" x14ac:dyDescent="0.2">
      <c r="AQ3890" s="31"/>
    </row>
    <row r="3891" spans="43:43" x14ac:dyDescent="0.2">
      <c r="AQ3891" s="31"/>
    </row>
    <row r="3892" spans="43:43" x14ac:dyDescent="0.2">
      <c r="AQ3892" s="31"/>
    </row>
    <row r="3893" spans="43:43" x14ac:dyDescent="0.2">
      <c r="AQ3893" s="31"/>
    </row>
    <row r="3894" spans="43:43" x14ac:dyDescent="0.2">
      <c r="AQ3894" s="31"/>
    </row>
    <row r="3895" spans="43:43" x14ac:dyDescent="0.2">
      <c r="AQ3895" s="31"/>
    </row>
    <row r="3896" spans="43:43" x14ac:dyDescent="0.2">
      <c r="AQ3896" s="31"/>
    </row>
    <row r="3897" spans="43:43" x14ac:dyDescent="0.2">
      <c r="AQ3897" s="31"/>
    </row>
    <row r="3898" spans="43:43" x14ac:dyDescent="0.2">
      <c r="AQ3898" s="31"/>
    </row>
    <row r="3899" spans="43:43" x14ac:dyDescent="0.2">
      <c r="AQ3899" s="31"/>
    </row>
    <row r="3900" spans="43:43" x14ac:dyDescent="0.2">
      <c r="AQ3900" s="31"/>
    </row>
    <row r="3901" spans="43:43" x14ac:dyDescent="0.2">
      <c r="AQ3901" s="31"/>
    </row>
    <row r="3902" spans="43:43" x14ac:dyDescent="0.2">
      <c r="AQ3902" s="31"/>
    </row>
    <row r="3903" spans="43:43" x14ac:dyDescent="0.2">
      <c r="AQ3903" s="31"/>
    </row>
    <row r="3904" spans="43:43" x14ac:dyDescent="0.2">
      <c r="AQ3904" s="31"/>
    </row>
    <row r="3905" spans="43:43" x14ac:dyDescent="0.2">
      <c r="AQ3905" s="31"/>
    </row>
    <row r="3906" spans="43:43" x14ac:dyDescent="0.2">
      <c r="AQ3906" s="31"/>
    </row>
    <row r="3907" spans="43:43" x14ac:dyDescent="0.2">
      <c r="AQ3907" s="31"/>
    </row>
    <row r="3908" spans="43:43" x14ac:dyDescent="0.2">
      <c r="AQ3908" s="31"/>
    </row>
    <row r="3909" spans="43:43" x14ac:dyDescent="0.2">
      <c r="AQ3909" s="31"/>
    </row>
    <row r="3910" spans="43:43" x14ac:dyDescent="0.2">
      <c r="AQ3910" s="31"/>
    </row>
    <row r="3911" spans="43:43" x14ac:dyDescent="0.2">
      <c r="AQ3911" s="31"/>
    </row>
    <row r="3912" spans="43:43" x14ac:dyDescent="0.2">
      <c r="AQ3912" s="31"/>
    </row>
    <row r="3913" spans="43:43" x14ac:dyDescent="0.2">
      <c r="AQ3913" s="31"/>
    </row>
    <row r="3914" spans="43:43" x14ac:dyDescent="0.2">
      <c r="AQ3914" s="31"/>
    </row>
    <row r="3915" spans="43:43" x14ac:dyDescent="0.2">
      <c r="AQ3915" s="31"/>
    </row>
    <row r="3916" spans="43:43" x14ac:dyDescent="0.2">
      <c r="AQ3916" s="31"/>
    </row>
    <row r="3917" spans="43:43" x14ac:dyDescent="0.2">
      <c r="AQ3917" s="31"/>
    </row>
    <row r="3918" spans="43:43" x14ac:dyDescent="0.2">
      <c r="AQ3918" s="31"/>
    </row>
    <row r="3919" spans="43:43" x14ac:dyDescent="0.2">
      <c r="AQ3919" s="31"/>
    </row>
    <row r="3920" spans="43:43" x14ac:dyDescent="0.2">
      <c r="AQ3920" s="31"/>
    </row>
    <row r="3921" spans="43:43" x14ac:dyDescent="0.2">
      <c r="AQ3921" s="31"/>
    </row>
    <row r="3922" spans="43:43" x14ac:dyDescent="0.2">
      <c r="AQ3922" s="31"/>
    </row>
    <row r="3923" spans="43:43" x14ac:dyDescent="0.2">
      <c r="AQ3923" s="31"/>
    </row>
    <row r="3924" spans="43:43" x14ac:dyDescent="0.2">
      <c r="AQ3924" s="31"/>
    </row>
    <row r="3925" spans="43:43" x14ac:dyDescent="0.2">
      <c r="AQ3925" s="31"/>
    </row>
    <row r="3926" spans="43:43" x14ac:dyDescent="0.2">
      <c r="AQ3926" s="31"/>
    </row>
    <row r="3927" spans="43:43" x14ac:dyDescent="0.2">
      <c r="AQ3927" s="31"/>
    </row>
    <row r="3928" spans="43:43" x14ac:dyDescent="0.2">
      <c r="AQ3928" s="31"/>
    </row>
    <row r="3929" spans="43:43" x14ac:dyDescent="0.2">
      <c r="AQ3929" s="31"/>
    </row>
    <row r="3930" spans="43:43" x14ac:dyDescent="0.2">
      <c r="AQ3930" s="31"/>
    </row>
    <row r="3931" spans="43:43" x14ac:dyDescent="0.2">
      <c r="AQ3931" s="31"/>
    </row>
    <row r="3932" spans="43:43" x14ac:dyDescent="0.2">
      <c r="AQ3932" s="31"/>
    </row>
    <row r="3933" spans="43:43" x14ac:dyDescent="0.2">
      <c r="AQ3933" s="31"/>
    </row>
    <row r="3934" spans="43:43" x14ac:dyDescent="0.2">
      <c r="AQ3934" s="31"/>
    </row>
    <row r="3935" spans="43:43" x14ac:dyDescent="0.2">
      <c r="AQ3935" s="31"/>
    </row>
    <row r="3936" spans="43:43" x14ac:dyDescent="0.2">
      <c r="AQ3936" s="31"/>
    </row>
    <row r="3937" spans="43:43" x14ac:dyDescent="0.2">
      <c r="AQ3937" s="31"/>
    </row>
    <row r="3938" spans="43:43" x14ac:dyDescent="0.2">
      <c r="AQ3938" s="31"/>
    </row>
    <row r="3939" spans="43:43" x14ac:dyDescent="0.2">
      <c r="AQ3939" s="31"/>
    </row>
    <row r="3940" spans="43:43" x14ac:dyDescent="0.2">
      <c r="AQ3940" s="31"/>
    </row>
    <row r="3941" spans="43:43" x14ac:dyDescent="0.2">
      <c r="AQ3941" s="31"/>
    </row>
    <row r="3942" spans="43:43" x14ac:dyDescent="0.2">
      <c r="AQ3942" s="31"/>
    </row>
    <row r="3943" spans="43:43" x14ac:dyDescent="0.2">
      <c r="AQ3943" s="31"/>
    </row>
    <row r="3944" spans="43:43" x14ac:dyDescent="0.2">
      <c r="AQ3944" s="31"/>
    </row>
    <row r="3945" spans="43:43" x14ac:dyDescent="0.2">
      <c r="AQ3945" s="31"/>
    </row>
    <row r="3946" spans="43:43" x14ac:dyDescent="0.2">
      <c r="AQ3946" s="31"/>
    </row>
    <row r="3947" spans="43:43" x14ac:dyDescent="0.2">
      <c r="AQ3947" s="31"/>
    </row>
    <row r="3948" spans="43:43" x14ac:dyDescent="0.2">
      <c r="AQ3948" s="31"/>
    </row>
    <row r="3949" spans="43:43" x14ac:dyDescent="0.2">
      <c r="AQ3949" s="31"/>
    </row>
    <row r="3950" spans="43:43" x14ac:dyDescent="0.2">
      <c r="AQ3950" s="31"/>
    </row>
    <row r="3951" spans="43:43" x14ac:dyDescent="0.2">
      <c r="AQ3951" s="31"/>
    </row>
    <row r="3952" spans="43:43" x14ac:dyDescent="0.2">
      <c r="AQ3952" s="31"/>
    </row>
    <row r="3953" spans="43:43" x14ac:dyDescent="0.2">
      <c r="AQ3953" s="31"/>
    </row>
    <row r="3954" spans="43:43" x14ac:dyDescent="0.2">
      <c r="AQ3954" s="31"/>
    </row>
    <row r="3955" spans="43:43" x14ac:dyDescent="0.2">
      <c r="AQ3955" s="31"/>
    </row>
    <row r="3956" spans="43:43" x14ac:dyDescent="0.2">
      <c r="AQ3956" s="31"/>
    </row>
    <row r="3957" spans="43:43" x14ac:dyDescent="0.2">
      <c r="AQ3957" s="31"/>
    </row>
    <row r="3958" spans="43:43" x14ac:dyDescent="0.2">
      <c r="AQ3958" s="31"/>
    </row>
    <row r="3959" spans="43:43" x14ac:dyDescent="0.2">
      <c r="AQ3959" s="31"/>
    </row>
    <row r="3960" spans="43:43" x14ac:dyDescent="0.2">
      <c r="AQ3960" s="31"/>
    </row>
    <row r="3961" spans="43:43" x14ac:dyDescent="0.2">
      <c r="AQ3961" s="31"/>
    </row>
    <row r="3962" spans="43:43" x14ac:dyDescent="0.2">
      <c r="AQ3962" s="31"/>
    </row>
    <row r="3963" spans="43:43" x14ac:dyDescent="0.2">
      <c r="AQ3963" s="31"/>
    </row>
    <row r="3964" spans="43:43" x14ac:dyDescent="0.2">
      <c r="AQ3964" s="31"/>
    </row>
    <row r="3965" spans="43:43" x14ac:dyDescent="0.2">
      <c r="AQ3965" s="31"/>
    </row>
    <row r="3966" spans="43:43" x14ac:dyDescent="0.2">
      <c r="AQ3966" s="31"/>
    </row>
    <row r="3967" spans="43:43" x14ac:dyDescent="0.2">
      <c r="AQ3967" s="31"/>
    </row>
    <row r="3968" spans="43:43" x14ac:dyDescent="0.2">
      <c r="AQ3968" s="31"/>
    </row>
    <row r="3969" spans="43:43" x14ac:dyDescent="0.2">
      <c r="AQ3969" s="31"/>
    </row>
    <row r="3970" spans="43:43" x14ac:dyDescent="0.2">
      <c r="AQ3970" s="31"/>
    </row>
    <row r="3971" spans="43:43" x14ac:dyDescent="0.2">
      <c r="AQ3971" s="31"/>
    </row>
    <row r="3972" spans="43:43" x14ac:dyDescent="0.2">
      <c r="AQ3972" s="31"/>
    </row>
    <row r="3973" spans="43:43" x14ac:dyDescent="0.2">
      <c r="AQ3973" s="31"/>
    </row>
    <row r="3974" spans="43:43" x14ac:dyDescent="0.2">
      <c r="AQ3974" s="31"/>
    </row>
    <row r="3975" spans="43:43" x14ac:dyDescent="0.2">
      <c r="AQ3975" s="31"/>
    </row>
    <row r="3976" spans="43:43" x14ac:dyDescent="0.2">
      <c r="AQ3976" s="31"/>
    </row>
    <row r="3977" spans="43:43" x14ac:dyDescent="0.2">
      <c r="AQ3977" s="31"/>
    </row>
    <row r="3978" spans="43:43" x14ac:dyDescent="0.2">
      <c r="AQ3978" s="31"/>
    </row>
    <row r="3979" spans="43:43" x14ac:dyDescent="0.2">
      <c r="AQ3979" s="31"/>
    </row>
    <row r="3980" spans="43:43" x14ac:dyDescent="0.2">
      <c r="AQ3980" s="31"/>
    </row>
    <row r="3981" spans="43:43" x14ac:dyDescent="0.2">
      <c r="AQ3981" s="31"/>
    </row>
    <row r="3982" spans="43:43" x14ac:dyDescent="0.2">
      <c r="AQ3982" s="31"/>
    </row>
    <row r="3983" spans="43:43" x14ac:dyDescent="0.2">
      <c r="AQ3983" s="31"/>
    </row>
    <row r="3984" spans="43:43" x14ac:dyDescent="0.2">
      <c r="AQ3984" s="31"/>
    </row>
    <row r="3985" spans="43:43" x14ac:dyDescent="0.2">
      <c r="AQ3985" s="31"/>
    </row>
    <row r="3986" spans="43:43" x14ac:dyDescent="0.2">
      <c r="AQ3986" s="31"/>
    </row>
    <row r="3987" spans="43:43" x14ac:dyDescent="0.2">
      <c r="AQ3987" s="31"/>
    </row>
    <row r="3988" spans="43:43" x14ac:dyDescent="0.2">
      <c r="AQ3988" s="31"/>
    </row>
    <row r="3989" spans="43:43" x14ac:dyDescent="0.2">
      <c r="AQ3989" s="31"/>
    </row>
    <row r="3990" spans="43:43" x14ac:dyDescent="0.2">
      <c r="AQ3990" s="31"/>
    </row>
    <row r="3991" spans="43:43" x14ac:dyDescent="0.2">
      <c r="AQ3991" s="31"/>
    </row>
    <row r="3992" spans="43:43" x14ac:dyDescent="0.2">
      <c r="AQ3992" s="31"/>
    </row>
    <row r="3993" spans="43:43" x14ac:dyDescent="0.2">
      <c r="AQ3993" s="31"/>
    </row>
    <row r="3994" spans="43:43" x14ac:dyDescent="0.2">
      <c r="AQ3994" s="31"/>
    </row>
    <row r="3995" spans="43:43" x14ac:dyDescent="0.2">
      <c r="AQ3995" s="31"/>
    </row>
    <row r="3996" spans="43:43" x14ac:dyDescent="0.2">
      <c r="AQ3996" s="31"/>
    </row>
    <row r="3997" spans="43:43" x14ac:dyDescent="0.2">
      <c r="AQ3997" s="31"/>
    </row>
    <row r="3998" spans="43:43" x14ac:dyDescent="0.2">
      <c r="AQ3998" s="31"/>
    </row>
    <row r="3999" spans="43:43" x14ac:dyDescent="0.2">
      <c r="AQ3999" s="31"/>
    </row>
    <row r="4000" spans="43:43" x14ac:dyDescent="0.2">
      <c r="AQ4000" s="31"/>
    </row>
    <row r="4001" spans="43:43" x14ac:dyDescent="0.2">
      <c r="AQ4001" s="31"/>
    </row>
    <row r="4002" spans="43:43" x14ac:dyDescent="0.2">
      <c r="AQ4002" s="31"/>
    </row>
    <row r="4003" spans="43:43" x14ac:dyDescent="0.2">
      <c r="AQ4003" s="31"/>
    </row>
    <row r="4004" spans="43:43" x14ac:dyDescent="0.2">
      <c r="AQ4004" s="31"/>
    </row>
    <row r="4005" spans="43:43" x14ac:dyDescent="0.2">
      <c r="AQ4005" s="31"/>
    </row>
    <row r="4006" spans="43:43" x14ac:dyDescent="0.2">
      <c r="AQ4006" s="31"/>
    </row>
    <row r="4007" spans="43:43" x14ac:dyDescent="0.2">
      <c r="AQ4007" s="31"/>
    </row>
    <row r="4008" spans="43:43" x14ac:dyDescent="0.2">
      <c r="AQ4008" s="31"/>
    </row>
    <row r="4009" spans="43:43" x14ac:dyDescent="0.2">
      <c r="AQ4009" s="31"/>
    </row>
    <row r="4010" spans="43:43" x14ac:dyDescent="0.2">
      <c r="AQ4010" s="31"/>
    </row>
    <row r="4011" spans="43:43" x14ac:dyDescent="0.2">
      <c r="AQ4011" s="31"/>
    </row>
    <row r="4012" spans="43:43" x14ac:dyDescent="0.2">
      <c r="AQ4012" s="31"/>
    </row>
    <row r="4013" spans="43:43" x14ac:dyDescent="0.2">
      <c r="AQ4013" s="31"/>
    </row>
    <row r="4014" spans="43:43" x14ac:dyDescent="0.2">
      <c r="AQ4014" s="31"/>
    </row>
    <row r="4015" spans="43:43" x14ac:dyDescent="0.2">
      <c r="AQ4015" s="31"/>
    </row>
    <row r="4016" spans="43:43" x14ac:dyDescent="0.2">
      <c r="AQ4016" s="31"/>
    </row>
    <row r="4017" spans="43:43" x14ac:dyDescent="0.2">
      <c r="AQ4017" s="31"/>
    </row>
    <row r="4018" spans="43:43" x14ac:dyDescent="0.2">
      <c r="AQ4018" s="31"/>
    </row>
    <row r="4019" spans="43:43" x14ac:dyDescent="0.2">
      <c r="AQ4019" s="31"/>
    </row>
    <row r="4020" spans="43:43" x14ac:dyDescent="0.2">
      <c r="AQ4020" s="31"/>
    </row>
    <row r="4021" spans="43:43" x14ac:dyDescent="0.2">
      <c r="AQ4021" s="31"/>
    </row>
    <row r="4022" spans="43:43" x14ac:dyDescent="0.2">
      <c r="AQ4022" s="31"/>
    </row>
    <row r="4023" spans="43:43" x14ac:dyDescent="0.2">
      <c r="AQ4023" s="31"/>
    </row>
    <row r="4024" spans="43:43" x14ac:dyDescent="0.2">
      <c r="AQ4024" s="31"/>
    </row>
    <row r="4025" spans="43:43" x14ac:dyDescent="0.2">
      <c r="AQ4025" s="31"/>
    </row>
    <row r="4026" spans="43:43" x14ac:dyDescent="0.2">
      <c r="AQ4026" s="31"/>
    </row>
    <row r="4027" spans="43:43" x14ac:dyDescent="0.2">
      <c r="AQ4027" s="31"/>
    </row>
    <row r="4028" spans="43:43" x14ac:dyDescent="0.2">
      <c r="AQ4028" s="31"/>
    </row>
    <row r="4029" spans="43:43" x14ac:dyDescent="0.2">
      <c r="AQ4029" s="31"/>
    </row>
    <row r="4030" spans="43:43" x14ac:dyDescent="0.2">
      <c r="AQ4030" s="31"/>
    </row>
    <row r="4031" spans="43:43" x14ac:dyDescent="0.2">
      <c r="AQ4031" s="31"/>
    </row>
    <row r="4032" spans="43:43" x14ac:dyDescent="0.2">
      <c r="AQ4032" s="31"/>
    </row>
    <row r="4033" spans="43:43" x14ac:dyDescent="0.2">
      <c r="AQ4033" s="31"/>
    </row>
    <row r="4034" spans="43:43" x14ac:dyDescent="0.2">
      <c r="AQ4034" s="31"/>
    </row>
    <row r="4035" spans="43:43" x14ac:dyDescent="0.2">
      <c r="AQ4035" s="31"/>
    </row>
    <row r="4036" spans="43:43" x14ac:dyDescent="0.2">
      <c r="AQ4036" s="31"/>
    </row>
    <row r="4037" spans="43:43" x14ac:dyDescent="0.2">
      <c r="AQ4037" s="31"/>
    </row>
    <row r="4038" spans="43:43" x14ac:dyDescent="0.2">
      <c r="AQ4038" s="31"/>
    </row>
    <row r="4039" spans="43:43" x14ac:dyDescent="0.2">
      <c r="AQ4039" s="31"/>
    </row>
    <row r="4040" spans="43:43" x14ac:dyDescent="0.2">
      <c r="AQ4040" s="31"/>
    </row>
    <row r="4041" spans="43:43" x14ac:dyDescent="0.2">
      <c r="AQ4041" s="31"/>
    </row>
    <row r="4042" spans="43:43" x14ac:dyDescent="0.2">
      <c r="AQ4042" s="31"/>
    </row>
    <row r="4043" spans="43:43" x14ac:dyDescent="0.2">
      <c r="AQ4043" s="31"/>
    </row>
    <row r="4044" spans="43:43" x14ac:dyDescent="0.2">
      <c r="AQ4044" s="31"/>
    </row>
    <row r="4045" spans="43:43" x14ac:dyDescent="0.2">
      <c r="AQ4045" s="31"/>
    </row>
    <row r="4046" spans="43:43" x14ac:dyDescent="0.2">
      <c r="AQ4046" s="31"/>
    </row>
    <row r="4047" spans="43:43" x14ac:dyDescent="0.2">
      <c r="AQ4047" s="31"/>
    </row>
    <row r="4048" spans="43:43" x14ac:dyDescent="0.2">
      <c r="AQ4048" s="31"/>
    </row>
    <row r="4049" spans="43:43" x14ac:dyDescent="0.2">
      <c r="AQ4049" s="31"/>
    </row>
    <row r="4050" spans="43:43" x14ac:dyDescent="0.2">
      <c r="AQ4050" s="31"/>
    </row>
    <row r="4051" spans="43:43" x14ac:dyDescent="0.2">
      <c r="AQ4051" s="31"/>
    </row>
    <row r="4052" spans="43:43" x14ac:dyDescent="0.2">
      <c r="AQ4052" s="31"/>
    </row>
    <row r="4053" spans="43:43" x14ac:dyDescent="0.2">
      <c r="AQ4053" s="31"/>
    </row>
    <row r="4054" spans="43:43" x14ac:dyDescent="0.2">
      <c r="AQ4054" s="31"/>
    </row>
    <row r="4055" spans="43:43" x14ac:dyDescent="0.2">
      <c r="AQ4055" s="31"/>
    </row>
    <row r="4056" spans="43:43" x14ac:dyDescent="0.2">
      <c r="AQ4056" s="31"/>
    </row>
    <row r="4057" spans="43:43" x14ac:dyDescent="0.2">
      <c r="AQ4057" s="31"/>
    </row>
    <row r="4058" spans="43:43" x14ac:dyDescent="0.2">
      <c r="AQ4058" s="31"/>
    </row>
    <row r="4059" spans="43:43" x14ac:dyDescent="0.2">
      <c r="AQ4059" s="31"/>
    </row>
    <row r="4060" spans="43:43" x14ac:dyDescent="0.2">
      <c r="AQ4060" s="31"/>
    </row>
    <row r="4061" spans="43:43" x14ac:dyDescent="0.2">
      <c r="AQ4061" s="31"/>
    </row>
    <row r="4062" spans="43:43" x14ac:dyDescent="0.2">
      <c r="AQ4062" s="31"/>
    </row>
    <row r="4063" spans="43:43" x14ac:dyDescent="0.2">
      <c r="AQ4063" s="31"/>
    </row>
    <row r="4064" spans="43:43" x14ac:dyDescent="0.2">
      <c r="AQ4064" s="31"/>
    </row>
    <row r="4065" spans="43:43" x14ac:dyDescent="0.2">
      <c r="AQ4065" s="31"/>
    </row>
    <row r="4066" spans="43:43" x14ac:dyDescent="0.2">
      <c r="AQ4066" s="31"/>
    </row>
    <row r="4067" spans="43:43" x14ac:dyDescent="0.2">
      <c r="AQ4067" s="31"/>
    </row>
    <row r="4068" spans="43:43" x14ac:dyDescent="0.2">
      <c r="AQ4068" s="31"/>
    </row>
    <row r="4069" spans="43:43" x14ac:dyDescent="0.2">
      <c r="AQ4069" s="31"/>
    </row>
    <row r="4070" spans="43:43" x14ac:dyDescent="0.2">
      <c r="AQ4070" s="31"/>
    </row>
    <row r="4071" spans="43:43" x14ac:dyDescent="0.2">
      <c r="AQ4071" s="31"/>
    </row>
    <row r="4072" spans="43:43" x14ac:dyDescent="0.2">
      <c r="AQ4072" s="31"/>
    </row>
    <row r="4073" spans="43:43" x14ac:dyDescent="0.2">
      <c r="AQ4073" s="31"/>
    </row>
    <row r="4074" spans="43:43" x14ac:dyDescent="0.2">
      <c r="AQ4074" s="31"/>
    </row>
    <row r="4075" spans="43:43" x14ac:dyDescent="0.2">
      <c r="AQ4075" s="31"/>
    </row>
    <row r="4076" spans="43:43" x14ac:dyDescent="0.2">
      <c r="AQ4076" s="31"/>
    </row>
    <row r="4077" spans="43:43" x14ac:dyDescent="0.2">
      <c r="AQ4077" s="31"/>
    </row>
    <row r="4078" spans="43:43" x14ac:dyDescent="0.2">
      <c r="AQ4078" s="31"/>
    </row>
    <row r="4079" spans="43:43" x14ac:dyDescent="0.2">
      <c r="AQ4079" s="31"/>
    </row>
    <row r="4080" spans="43:43" x14ac:dyDescent="0.2">
      <c r="AQ4080" s="31"/>
    </row>
    <row r="4081" spans="43:43" x14ac:dyDescent="0.2">
      <c r="AQ4081" s="31"/>
    </row>
    <row r="4082" spans="43:43" x14ac:dyDescent="0.2">
      <c r="AQ4082" s="31"/>
    </row>
    <row r="4083" spans="43:43" x14ac:dyDescent="0.2">
      <c r="AQ4083" s="31"/>
    </row>
    <row r="4084" spans="43:43" x14ac:dyDescent="0.2">
      <c r="AQ4084" s="31"/>
    </row>
    <row r="4085" spans="43:43" x14ac:dyDescent="0.2">
      <c r="AQ4085" s="31"/>
    </row>
    <row r="4086" spans="43:43" x14ac:dyDescent="0.2">
      <c r="AQ4086" s="31"/>
    </row>
    <row r="4087" spans="43:43" x14ac:dyDescent="0.2">
      <c r="AQ4087" s="31"/>
    </row>
    <row r="4088" spans="43:43" x14ac:dyDescent="0.2">
      <c r="AQ4088" s="31"/>
    </row>
    <row r="4089" spans="43:43" x14ac:dyDescent="0.2">
      <c r="AQ4089" s="31"/>
    </row>
    <row r="4090" spans="43:43" x14ac:dyDescent="0.2">
      <c r="AQ4090" s="31"/>
    </row>
    <row r="4091" spans="43:43" x14ac:dyDescent="0.2">
      <c r="AQ4091" s="31"/>
    </row>
    <row r="4092" spans="43:43" x14ac:dyDescent="0.2">
      <c r="AQ4092" s="31"/>
    </row>
    <row r="4093" spans="43:43" x14ac:dyDescent="0.2">
      <c r="AQ4093" s="31"/>
    </row>
    <row r="4094" spans="43:43" x14ac:dyDescent="0.2">
      <c r="AQ4094" s="31"/>
    </row>
    <row r="4095" spans="43:43" x14ac:dyDescent="0.2">
      <c r="AQ4095" s="31"/>
    </row>
    <row r="4096" spans="43:43" x14ac:dyDescent="0.2">
      <c r="AQ4096" s="31"/>
    </row>
    <row r="4097" spans="43:43" x14ac:dyDescent="0.2">
      <c r="AQ4097" s="31"/>
    </row>
    <row r="4098" spans="43:43" x14ac:dyDescent="0.2">
      <c r="AQ4098" s="31"/>
    </row>
    <row r="4099" spans="43:43" x14ac:dyDescent="0.2">
      <c r="AQ4099" s="31"/>
    </row>
    <row r="4100" spans="43:43" x14ac:dyDescent="0.2">
      <c r="AQ4100" s="31"/>
    </row>
    <row r="4101" spans="43:43" x14ac:dyDescent="0.2">
      <c r="AQ4101" s="31"/>
    </row>
    <row r="4102" spans="43:43" x14ac:dyDescent="0.2">
      <c r="AQ4102" s="31"/>
    </row>
    <row r="4103" spans="43:43" x14ac:dyDescent="0.2">
      <c r="AQ4103" s="31"/>
    </row>
    <row r="4104" spans="43:43" x14ac:dyDescent="0.2">
      <c r="AQ4104" s="31"/>
    </row>
    <row r="4105" spans="43:43" x14ac:dyDescent="0.2">
      <c r="AQ4105" s="31"/>
    </row>
    <row r="4106" spans="43:43" x14ac:dyDescent="0.2">
      <c r="AQ4106" s="31"/>
    </row>
    <row r="4107" spans="43:43" x14ac:dyDescent="0.2">
      <c r="AQ4107" s="31"/>
    </row>
    <row r="4108" spans="43:43" x14ac:dyDescent="0.2">
      <c r="AQ4108" s="31"/>
    </row>
    <row r="4109" spans="43:43" x14ac:dyDescent="0.2">
      <c r="AQ4109" s="31"/>
    </row>
    <row r="4110" spans="43:43" x14ac:dyDescent="0.2">
      <c r="AQ4110" s="31"/>
    </row>
    <row r="4111" spans="43:43" x14ac:dyDescent="0.2">
      <c r="AQ4111" s="31"/>
    </row>
    <row r="4112" spans="43:43" x14ac:dyDescent="0.2">
      <c r="AQ4112" s="31"/>
    </row>
    <row r="4113" spans="43:43" x14ac:dyDescent="0.2">
      <c r="AQ4113" s="31"/>
    </row>
    <row r="4114" spans="43:43" x14ac:dyDescent="0.2">
      <c r="AQ4114" s="31"/>
    </row>
    <row r="4115" spans="43:43" x14ac:dyDescent="0.2">
      <c r="AQ4115" s="31"/>
    </row>
    <row r="4116" spans="43:43" x14ac:dyDescent="0.2">
      <c r="AQ4116" s="31"/>
    </row>
    <row r="4117" spans="43:43" x14ac:dyDescent="0.2">
      <c r="AQ4117" s="31"/>
    </row>
    <row r="4118" spans="43:43" x14ac:dyDescent="0.2">
      <c r="AQ4118" s="31"/>
    </row>
    <row r="4119" spans="43:43" x14ac:dyDescent="0.2">
      <c r="AQ4119" s="31"/>
    </row>
    <row r="4120" spans="43:43" x14ac:dyDescent="0.2">
      <c r="AQ4120" s="31"/>
    </row>
    <row r="4121" spans="43:43" x14ac:dyDescent="0.2">
      <c r="AQ4121" s="31"/>
    </row>
    <row r="4122" spans="43:43" x14ac:dyDescent="0.2">
      <c r="AQ4122" s="31"/>
    </row>
    <row r="4123" spans="43:43" x14ac:dyDescent="0.2">
      <c r="AQ4123" s="31"/>
    </row>
    <row r="4124" spans="43:43" x14ac:dyDescent="0.2">
      <c r="AQ4124" s="31"/>
    </row>
    <row r="4125" spans="43:43" x14ac:dyDescent="0.2">
      <c r="AQ4125" s="31"/>
    </row>
    <row r="4126" spans="43:43" x14ac:dyDescent="0.2">
      <c r="AQ4126" s="31"/>
    </row>
    <row r="4127" spans="43:43" x14ac:dyDescent="0.2">
      <c r="AQ4127" s="31"/>
    </row>
    <row r="4128" spans="43:43" x14ac:dyDescent="0.2">
      <c r="AQ4128" s="31"/>
    </row>
    <row r="4129" spans="43:43" x14ac:dyDescent="0.2">
      <c r="AQ4129" s="31"/>
    </row>
    <row r="4130" spans="43:43" x14ac:dyDescent="0.2">
      <c r="AQ4130" s="31"/>
    </row>
    <row r="4131" spans="43:43" x14ac:dyDescent="0.2">
      <c r="AQ4131" s="31"/>
    </row>
    <row r="4132" spans="43:43" x14ac:dyDescent="0.2">
      <c r="AQ4132" s="31"/>
    </row>
    <row r="4133" spans="43:43" x14ac:dyDescent="0.2">
      <c r="AQ4133" s="31"/>
    </row>
    <row r="4134" spans="43:43" x14ac:dyDescent="0.2">
      <c r="AQ4134" s="31"/>
    </row>
    <row r="4135" spans="43:43" x14ac:dyDescent="0.2">
      <c r="AQ4135" s="31"/>
    </row>
    <row r="4136" spans="43:43" x14ac:dyDescent="0.2">
      <c r="AQ4136" s="31"/>
    </row>
    <row r="4137" spans="43:43" x14ac:dyDescent="0.2">
      <c r="AQ4137" s="31"/>
    </row>
    <row r="4138" spans="43:43" x14ac:dyDescent="0.2">
      <c r="AQ4138" s="31"/>
    </row>
    <row r="4139" spans="43:43" x14ac:dyDescent="0.2">
      <c r="AQ4139" s="31"/>
    </row>
    <row r="4140" spans="43:43" x14ac:dyDescent="0.2">
      <c r="AQ4140" s="31"/>
    </row>
    <row r="4141" spans="43:43" x14ac:dyDescent="0.2">
      <c r="AQ4141" s="31"/>
    </row>
    <row r="4142" spans="43:43" x14ac:dyDescent="0.2">
      <c r="AQ4142" s="31"/>
    </row>
    <row r="4143" spans="43:43" x14ac:dyDescent="0.2">
      <c r="AQ4143" s="31"/>
    </row>
    <row r="4144" spans="43:43" x14ac:dyDescent="0.2">
      <c r="AQ4144" s="31"/>
    </row>
    <row r="4145" spans="43:43" x14ac:dyDescent="0.2">
      <c r="AQ4145" s="31"/>
    </row>
    <row r="4146" spans="43:43" x14ac:dyDescent="0.2">
      <c r="AQ4146" s="31"/>
    </row>
    <row r="4147" spans="43:43" x14ac:dyDescent="0.2">
      <c r="AQ4147" s="31"/>
    </row>
    <row r="4148" spans="43:43" x14ac:dyDescent="0.2">
      <c r="AQ4148" s="31"/>
    </row>
    <row r="4149" spans="43:43" x14ac:dyDescent="0.2">
      <c r="AQ4149" s="31"/>
    </row>
    <row r="4150" spans="43:43" x14ac:dyDescent="0.2">
      <c r="AQ4150" s="31"/>
    </row>
    <row r="4151" spans="43:43" x14ac:dyDescent="0.2">
      <c r="AQ4151" s="31"/>
    </row>
    <row r="4152" spans="43:43" x14ac:dyDescent="0.2">
      <c r="AQ4152" s="31"/>
    </row>
    <row r="4153" spans="43:43" x14ac:dyDescent="0.2">
      <c r="AQ4153" s="31"/>
    </row>
    <row r="4154" spans="43:43" x14ac:dyDescent="0.2">
      <c r="AQ4154" s="31"/>
    </row>
    <row r="4155" spans="43:43" x14ac:dyDescent="0.2">
      <c r="AQ4155" s="31"/>
    </row>
    <row r="4156" spans="43:43" x14ac:dyDescent="0.2">
      <c r="AQ4156" s="31"/>
    </row>
    <row r="4157" spans="43:43" x14ac:dyDescent="0.2">
      <c r="AQ4157" s="31"/>
    </row>
    <row r="4158" spans="43:43" x14ac:dyDescent="0.2">
      <c r="AQ4158" s="31"/>
    </row>
    <row r="4159" spans="43:43" x14ac:dyDescent="0.2">
      <c r="AQ4159" s="31"/>
    </row>
    <row r="4160" spans="43:43" x14ac:dyDescent="0.2">
      <c r="AQ4160" s="31"/>
    </row>
    <row r="4161" spans="43:43" x14ac:dyDescent="0.2">
      <c r="AQ4161" s="31"/>
    </row>
    <row r="4162" spans="43:43" x14ac:dyDescent="0.2">
      <c r="AQ4162" s="31"/>
    </row>
    <row r="4163" spans="43:43" x14ac:dyDescent="0.2">
      <c r="AQ4163" s="31"/>
    </row>
    <row r="4164" spans="43:43" x14ac:dyDescent="0.2">
      <c r="AQ4164" s="31"/>
    </row>
    <row r="4165" spans="43:43" x14ac:dyDescent="0.2">
      <c r="AQ4165" s="31"/>
    </row>
    <row r="4166" spans="43:43" x14ac:dyDescent="0.2">
      <c r="AQ4166" s="31"/>
    </row>
    <row r="4167" spans="43:43" x14ac:dyDescent="0.2">
      <c r="AQ4167" s="31"/>
    </row>
    <row r="4168" spans="43:43" x14ac:dyDescent="0.2">
      <c r="AQ4168" s="31"/>
    </row>
    <row r="4169" spans="43:43" x14ac:dyDescent="0.2">
      <c r="AQ4169" s="31"/>
    </row>
    <row r="4170" spans="43:43" x14ac:dyDescent="0.2">
      <c r="AQ4170" s="31"/>
    </row>
    <row r="4171" spans="43:43" x14ac:dyDescent="0.2">
      <c r="AQ4171" s="31"/>
    </row>
    <row r="4172" spans="43:43" x14ac:dyDescent="0.2">
      <c r="AQ4172" s="31"/>
    </row>
    <row r="4173" spans="43:43" x14ac:dyDescent="0.2">
      <c r="AQ4173" s="31"/>
    </row>
    <row r="4174" spans="43:43" x14ac:dyDescent="0.2">
      <c r="AQ4174" s="31"/>
    </row>
    <row r="4175" spans="43:43" x14ac:dyDescent="0.2">
      <c r="AQ4175" s="31"/>
    </row>
    <row r="4176" spans="43:43" x14ac:dyDescent="0.2">
      <c r="AQ4176" s="31"/>
    </row>
    <row r="4177" spans="43:43" x14ac:dyDescent="0.2">
      <c r="AQ4177" s="31"/>
    </row>
    <row r="4178" spans="43:43" x14ac:dyDescent="0.2">
      <c r="AQ4178" s="31"/>
    </row>
    <row r="4179" spans="43:43" x14ac:dyDescent="0.2">
      <c r="AQ4179" s="31"/>
    </row>
    <row r="4180" spans="43:43" x14ac:dyDescent="0.2">
      <c r="AQ4180" s="31"/>
    </row>
    <row r="4181" spans="43:43" x14ac:dyDescent="0.2">
      <c r="AQ4181" s="31"/>
    </row>
    <row r="4182" spans="43:43" x14ac:dyDescent="0.2">
      <c r="AQ4182" s="31"/>
    </row>
    <row r="4183" spans="43:43" x14ac:dyDescent="0.2">
      <c r="AQ4183" s="31"/>
    </row>
    <row r="4184" spans="43:43" x14ac:dyDescent="0.2">
      <c r="AQ4184" s="31"/>
    </row>
    <row r="4185" spans="43:43" x14ac:dyDescent="0.2">
      <c r="AQ4185" s="31"/>
    </row>
    <row r="4186" spans="43:43" x14ac:dyDescent="0.2">
      <c r="AQ4186" s="31"/>
    </row>
    <row r="4187" spans="43:43" x14ac:dyDescent="0.2">
      <c r="AQ4187" s="31"/>
    </row>
    <row r="4188" spans="43:43" x14ac:dyDescent="0.2">
      <c r="AQ4188" s="31"/>
    </row>
    <row r="4189" spans="43:43" x14ac:dyDescent="0.2">
      <c r="AQ4189" s="31"/>
    </row>
    <row r="4190" spans="43:43" x14ac:dyDescent="0.2">
      <c r="AQ4190" s="31"/>
    </row>
    <row r="4191" spans="43:43" x14ac:dyDescent="0.2">
      <c r="AQ4191" s="31"/>
    </row>
    <row r="4192" spans="43:43" x14ac:dyDescent="0.2">
      <c r="AQ4192" s="31"/>
    </row>
    <row r="4193" spans="43:43" x14ac:dyDescent="0.2">
      <c r="AQ4193" s="31"/>
    </row>
    <row r="4194" spans="43:43" x14ac:dyDescent="0.2">
      <c r="AQ4194" s="31"/>
    </row>
    <row r="4195" spans="43:43" x14ac:dyDescent="0.2">
      <c r="AQ4195" s="31"/>
    </row>
    <row r="4196" spans="43:43" x14ac:dyDescent="0.2">
      <c r="AQ4196" s="31"/>
    </row>
    <row r="4197" spans="43:43" x14ac:dyDescent="0.2">
      <c r="AQ4197" s="31"/>
    </row>
    <row r="4198" spans="43:43" x14ac:dyDescent="0.2">
      <c r="AQ4198" s="31"/>
    </row>
    <row r="4199" spans="43:43" x14ac:dyDescent="0.2">
      <c r="AQ4199" s="31"/>
    </row>
    <row r="4200" spans="43:43" x14ac:dyDescent="0.2">
      <c r="AQ4200" s="31"/>
    </row>
    <row r="4201" spans="43:43" x14ac:dyDescent="0.2">
      <c r="AQ4201" s="31"/>
    </row>
    <row r="4202" spans="43:43" x14ac:dyDescent="0.2">
      <c r="AQ4202" s="31"/>
    </row>
    <row r="4203" spans="43:43" x14ac:dyDescent="0.2">
      <c r="AQ4203" s="31"/>
    </row>
    <row r="4204" spans="43:43" x14ac:dyDescent="0.2">
      <c r="AQ4204" s="31"/>
    </row>
    <row r="4205" spans="43:43" x14ac:dyDescent="0.2">
      <c r="AQ4205" s="31"/>
    </row>
    <row r="4206" spans="43:43" x14ac:dyDescent="0.2">
      <c r="AQ4206" s="31"/>
    </row>
    <row r="4207" spans="43:43" x14ac:dyDescent="0.2">
      <c r="AQ4207" s="31"/>
    </row>
    <row r="4208" spans="43:43" x14ac:dyDescent="0.2">
      <c r="AQ4208" s="31"/>
    </row>
    <row r="4209" spans="43:43" x14ac:dyDescent="0.2">
      <c r="AQ4209" s="31"/>
    </row>
    <row r="4210" spans="43:43" x14ac:dyDescent="0.2">
      <c r="AQ4210" s="31"/>
    </row>
    <row r="4211" spans="43:43" x14ac:dyDescent="0.2">
      <c r="AQ4211" s="31"/>
    </row>
    <row r="4212" spans="43:43" x14ac:dyDescent="0.2">
      <c r="AQ4212" s="31"/>
    </row>
    <row r="4213" spans="43:43" x14ac:dyDescent="0.2">
      <c r="AQ4213" s="31"/>
    </row>
    <row r="4214" spans="43:43" x14ac:dyDescent="0.2">
      <c r="AQ4214" s="31"/>
    </row>
    <row r="4215" spans="43:43" x14ac:dyDescent="0.2">
      <c r="AQ4215" s="31"/>
    </row>
    <row r="4216" spans="43:43" x14ac:dyDescent="0.2">
      <c r="AQ4216" s="31"/>
    </row>
    <row r="4217" spans="43:43" x14ac:dyDescent="0.2">
      <c r="AQ4217" s="31"/>
    </row>
    <row r="4218" spans="43:43" x14ac:dyDescent="0.2">
      <c r="AQ4218" s="31"/>
    </row>
    <row r="4219" spans="43:43" x14ac:dyDescent="0.2">
      <c r="AQ4219" s="31"/>
    </row>
    <row r="4220" spans="43:43" x14ac:dyDescent="0.2">
      <c r="AQ4220" s="31"/>
    </row>
    <row r="4221" spans="43:43" x14ac:dyDescent="0.2">
      <c r="AQ4221" s="31"/>
    </row>
    <row r="4222" spans="43:43" x14ac:dyDescent="0.2">
      <c r="AQ4222" s="31"/>
    </row>
    <row r="4223" spans="43:43" x14ac:dyDescent="0.2">
      <c r="AQ4223" s="31"/>
    </row>
    <row r="4224" spans="43:43" x14ac:dyDescent="0.2">
      <c r="AQ4224" s="31"/>
    </row>
    <row r="4225" spans="43:43" x14ac:dyDescent="0.2">
      <c r="AQ4225" s="31"/>
    </row>
    <row r="4226" spans="43:43" x14ac:dyDescent="0.2">
      <c r="AQ4226" s="31"/>
    </row>
    <row r="4227" spans="43:43" x14ac:dyDescent="0.2">
      <c r="AQ4227" s="31"/>
    </row>
    <row r="4228" spans="43:43" x14ac:dyDescent="0.2">
      <c r="AQ4228" s="31"/>
    </row>
    <row r="4229" spans="43:43" x14ac:dyDescent="0.2">
      <c r="AQ4229" s="31"/>
    </row>
    <row r="4230" spans="43:43" x14ac:dyDescent="0.2">
      <c r="AQ4230" s="31"/>
    </row>
    <row r="4231" spans="43:43" x14ac:dyDescent="0.2">
      <c r="AQ4231" s="31"/>
    </row>
    <row r="4232" spans="43:43" x14ac:dyDescent="0.2">
      <c r="AQ4232" s="31"/>
    </row>
    <row r="4233" spans="43:43" x14ac:dyDescent="0.2">
      <c r="AQ4233" s="31"/>
    </row>
    <row r="4234" spans="43:43" x14ac:dyDescent="0.2">
      <c r="AQ4234" s="31"/>
    </row>
    <row r="4235" spans="43:43" x14ac:dyDescent="0.2">
      <c r="AQ4235" s="31"/>
    </row>
    <row r="4236" spans="43:43" x14ac:dyDescent="0.2">
      <c r="AQ4236" s="31"/>
    </row>
    <row r="4237" spans="43:43" x14ac:dyDescent="0.2">
      <c r="AQ4237" s="31"/>
    </row>
    <row r="4238" spans="43:43" x14ac:dyDescent="0.2">
      <c r="AQ4238" s="31"/>
    </row>
    <row r="4239" spans="43:43" x14ac:dyDescent="0.2">
      <c r="AQ4239" s="31"/>
    </row>
    <row r="4240" spans="43:43" x14ac:dyDescent="0.2">
      <c r="AQ4240" s="31"/>
    </row>
    <row r="4241" spans="43:43" x14ac:dyDescent="0.2">
      <c r="AQ4241" s="31"/>
    </row>
    <row r="4242" spans="43:43" x14ac:dyDescent="0.2">
      <c r="AQ4242" s="31"/>
    </row>
    <row r="4243" spans="43:43" x14ac:dyDescent="0.2">
      <c r="AQ4243" s="31"/>
    </row>
    <row r="4244" spans="43:43" x14ac:dyDescent="0.2">
      <c r="AQ4244" s="31"/>
    </row>
    <row r="4245" spans="43:43" x14ac:dyDescent="0.2">
      <c r="AQ4245" s="31"/>
    </row>
    <row r="4246" spans="43:43" x14ac:dyDescent="0.2">
      <c r="AQ4246" s="31"/>
    </row>
    <row r="4247" spans="43:43" x14ac:dyDescent="0.2">
      <c r="AQ4247" s="31"/>
    </row>
    <row r="4248" spans="43:43" x14ac:dyDescent="0.2">
      <c r="AQ4248" s="31"/>
    </row>
    <row r="4249" spans="43:43" x14ac:dyDescent="0.2">
      <c r="AQ4249" s="31"/>
    </row>
    <row r="4250" spans="43:43" x14ac:dyDescent="0.2">
      <c r="AQ4250" s="31"/>
    </row>
    <row r="4251" spans="43:43" x14ac:dyDescent="0.2">
      <c r="AQ4251" s="31"/>
    </row>
    <row r="4252" spans="43:43" x14ac:dyDescent="0.2">
      <c r="AQ4252" s="31"/>
    </row>
    <row r="4253" spans="43:43" x14ac:dyDescent="0.2">
      <c r="AQ4253" s="31"/>
    </row>
    <row r="4254" spans="43:43" x14ac:dyDescent="0.2">
      <c r="AQ4254" s="31"/>
    </row>
    <row r="4255" spans="43:43" x14ac:dyDescent="0.2">
      <c r="AQ4255" s="31"/>
    </row>
    <row r="4256" spans="43:43" x14ac:dyDescent="0.2">
      <c r="AQ4256" s="31"/>
    </row>
    <row r="4257" spans="43:43" x14ac:dyDescent="0.2">
      <c r="AQ4257" s="31"/>
    </row>
    <row r="4258" spans="43:43" x14ac:dyDescent="0.2">
      <c r="AQ4258" s="31"/>
    </row>
    <row r="4259" spans="43:43" x14ac:dyDescent="0.2">
      <c r="AQ4259" s="31"/>
    </row>
    <row r="4260" spans="43:43" x14ac:dyDescent="0.2">
      <c r="AQ4260" s="31"/>
    </row>
    <row r="4261" spans="43:43" x14ac:dyDescent="0.2">
      <c r="AQ4261" s="31"/>
    </row>
    <row r="4262" spans="43:43" x14ac:dyDescent="0.2">
      <c r="AQ4262" s="31"/>
    </row>
    <row r="4263" spans="43:43" x14ac:dyDescent="0.2">
      <c r="AQ4263" s="31"/>
    </row>
    <row r="4264" spans="43:43" x14ac:dyDescent="0.2">
      <c r="AQ4264" s="31"/>
    </row>
    <row r="4265" spans="43:43" x14ac:dyDescent="0.2">
      <c r="AQ4265" s="31"/>
    </row>
    <row r="4266" spans="43:43" x14ac:dyDescent="0.2">
      <c r="AQ4266" s="31"/>
    </row>
    <row r="4267" spans="43:43" x14ac:dyDescent="0.2">
      <c r="AQ4267" s="31"/>
    </row>
    <row r="4268" spans="43:43" x14ac:dyDescent="0.2">
      <c r="AQ4268" s="31"/>
    </row>
    <row r="4269" spans="43:43" x14ac:dyDescent="0.2">
      <c r="AQ4269" s="31"/>
    </row>
    <row r="4270" spans="43:43" x14ac:dyDescent="0.2">
      <c r="AQ4270" s="31"/>
    </row>
    <row r="4271" spans="43:43" x14ac:dyDescent="0.2">
      <c r="AQ4271" s="31"/>
    </row>
    <row r="4272" spans="43:43" x14ac:dyDescent="0.2">
      <c r="AQ4272" s="31"/>
    </row>
    <row r="4273" spans="43:43" x14ac:dyDescent="0.2">
      <c r="AQ4273" s="31"/>
    </row>
    <row r="4274" spans="43:43" x14ac:dyDescent="0.2">
      <c r="AQ4274" s="31"/>
    </row>
    <row r="4275" spans="43:43" x14ac:dyDescent="0.2">
      <c r="AQ4275" s="31"/>
    </row>
    <row r="4276" spans="43:43" x14ac:dyDescent="0.2">
      <c r="AQ4276" s="31"/>
    </row>
    <row r="4277" spans="43:43" x14ac:dyDescent="0.2">
      <c r="AQ4277" s="31"/>
    </row>
    <row r="4278" spans="43:43" x14ac:dyDescent="0.2">
      <c r="AQ4278" s="31"/>
    </row>
    <row r="4279" spans="43:43" x14ac:dyDescent="0.2">
      <c r="AQ4279" s="31"/>
    </row>
    <row r="4280" spans="43:43" x14ac:dyDescent="0.2">
      <c r="AQ4280" s="31"/>
    </row>
    <row r="4281" spans="43:43" x14ac:dyDescent="0.2">
      <c r="AQ4281" s="31"/>
    </row>
    <row r="4282" spans="43:43" x14ac:dyDescent="0.2">
      <c r="AQ4282" s="31"/>
    </row>
    <row r="4283" spans="43:43" x14ac:dyDescent="0.2">
      <c r="AQ4283" s="31"/>
    </row>
    <row r="4284" spans="43:43" x14ac:dyDescent="0.2">
      <c r="AQ4284" s="31"/>
    </row>
    <row r="4285" spans="43:43" x14ac:dyDescent="0.2">
      <c r="AQ4285" s="31"/>
    </row>
    <row r="4286" spans="43:43" x14ac:dyDescent="0.2">
      <c r="AQ4286" s="31"/>
    </row>
    <row r="4287" spans="43:43" x14ac:dyDescent="0.2">
      <c r="AQ4287" s="31"/>
    </row>
    <row r="4288" spans="43:43" x14ac:dyDescent="0.2">
      <c r="AQ4288" s="31"/>
    </row>
    <row r="4289" spans="43:43" x14ac:dyDescent="0.2">
      <c r="AQ4289" s="31"/>
    </row>
    <row r="4290" spans="43:43" x14ac:dyDescent="0.2">
      <c r="AQ4290" s="31"/>
    </row>
    <row r="4291" spans="43:43" x14ac:dyDescent="0.2">
      <c r="AQ4291" s="31"/>
    </row>
    <row r="4292" spans="43:43" x14ac:dyDescent="0.2">
      <c r="AQ4292" s="31"/>
    </row>
    <row r="4293" spans="43:43" x14ac:dyDescent="0.2">
      <c r="AQ4293" s="31"/>
    </row>
    <row r="4294" spans="43:43" x14ac:dyDescent="0.2">
      <c r="AQ4294" s="31"/>
    </row>
    <row r="4295" spans="43:43" x14ac:dyDescent="0.2">
      <c r="AQ4295" s="31"/>
    </row>
    <row r="4296" spans="43:43" x14ac:dyDescent="0.2">
      <c r="AQ4296" s="31"/>
    </row>
    <row r="4297" spans="43:43" x14ac:dyDescent="0.2">
      <c r="AQ4297" s="31"/>
    </row>
    <row r="4298" spans="43:43" x14ac:dyDescent="0.2">
      <c r="AQ4298" s="31"/>
    </row>
    <row r="4299" spans="43:43" x14ac:dyDescent="0.2">
      <c r="AQ4299" s="31"/>
    </row>
    <row r="4300" spans="43:43" x14ac:dyDescent="0.2">
      <c r="AQ4300" s="31"/>
    </row>
    <row r="4301" spans="43:43" x14ac:dyDescent="0.2">
      <c r="AQ4301" s="31"/>
    </row>
    <row r="4302" spans="43:43" x14ac:dyDescent="0.2">
      <c r="AQ4302" s="31"/>
    </row>
    <row r="4303" spans="43:43" x14ac:dyDescent="0.2">
      <c r="AQ4303" s="31"/>
    </row>
    <row r="4304" spans="43:43" x14ac:dyDescent="0.2">
      <c r="AQ4304" s="31"/>
    </row>
    <row r="4305" spans="43:43" x14ac:dyDescent="0.2">
      <c r="AQ4305" s="31"/>
    </row>
    <row r="4306" spans="43:43" x14ac:dyDescent="0.2">
      <c r="AQ4306" s="31"/>
    </row>
    <row r="4307" spans="43:43" x14ac:dyDescent="0.2">
      <c r="AQ4307" s="31"/>
    </row>
    <row r="4308" spans="43:43" x14ac:dyDescent="0.2">
      <c r="AQ4308" s="31"/>
    </row>
    <row r="4309" spans="43:43" x14ac:dyDescent="0.2">
      <c r="AQ4309" s="31"/>
    </row>
    <row r="4310" spans="43:43" x14ac:dyDescent="0.2">
      <c r="AQ4310" s="31"/>
    </row>
    <row r="4311" spans="43:43" x14ac:dyDescent="0.2">
      <c r="AQ4311" s="31"/>
    </row>
    <row r="4312" spans="43:43" x14ac:dyDescent="0.2">
      <c r="AQ4312" s="31"/>
    </row>
    <row r="4313" spans="43:43" x14ac:dyDescent="0.2">
      <c r="AQ4313" s="31"/>
    </row>
    <row r="4314" spans="43:43" x14ac:dyDescent="0.2">
      <c r="AQ4314" s="31"/>
    </row>
    <row r="4315" spans="43:43" x14ac:dyDescent="0.2">
      <c r="AQ4315" s="31"/>
    </row>
    <row r="4316" spans="43:43" x14ac:dyDescent="0.2">
      <c r="AQ4316" s="31"/>
    </row>
    <row r="4317" spans="43:43" x14ac:dyDescent="0.2">
      <c r="AQ4317" s="31"/>
    </row>
    <row r="4318" spans="43:43" x14ac:dyDescent="0.2">
      <c r="AQ4318" s="31"/>
    </row>
    <row r="4319" spans="43:43" x14ac:dyDescent="0.2">
      <c r="AQ4319" s="31"/>
    </row>
    <row r="4320" spans="43:43" x14ac:dyDescent="0.2">
      <c r="AQ4320" s="31"/>
    </row>
    <row r="4321" spans="43:43" x14ac:dyDescent="0.2">
      <c r="AQ4321" s="31"/>
    </row>
    <row r="4322" spans="43:43" x14ac:dyDescent="0.2">
      <c r="AQ4322" s="31"/>
    </row>
    <row r="4323" spans="43:43" x14ac:dyDescent="0.2">
      <c r="AQ4323" s="31"/>
    </row>
    <row r="4324" spans="43:43" x14ac:dyDescent="0.2">
      <c r="AQ4324" s="31"/>
    </row>
    <row r="4325" spans="43:43" x14ac:dyDescent="0.2">
      <c r="AQ4325" s="31"/>
    </row>
    <row r="4326" spans="43:43" x14ac:dyDescent="0.2">
      <c r="AQ4326" s="31"/>
    </row>
    <row r="4327" spans="43:43" x14ac:dyDescent="0.2">
      <c r="AQ4327" s="31"/>
    </row>
    <row r="4328" spans="43:43" x14ac:dyDescent="0.2">
      <c r="AQ4328" s="31"/>
    </row>
    <row r="4329" spans="43:43" x14ac:dyDescent="0.2">
      <c r="AQ4329" s="31"/>
    </row>
    <row r="4330" spans="43:43" x14ac:dyDescent="0.2">
      <c r="AQ4330" s="31"/>
    </row>
    <row r="4331" spans="43:43" x14ac:dyDescent="0.2">
      <c r="AQ4331" s="31"/>
    </row>
    <row r="4332" spans="43:43" x14ac:dyDescent="0.2">
      <c r="AQ4332" s="31"/>
    </row>
    <row r="4333" spans="43:43" x14ac:dyDescent="0.2">
      <c r="AQ4333" s="31"/>
    </row>
    <row r="4334" spans="43:43" x14ac:dyDescent="0.2">
      <c r="AQ4334" s="31"/>
    </row>
    <row r="4335" spans="43:43" x14ac:dyDescent="0.2">
      <c r="AQ4335" s="31"/>
    </row>
    <row r="4336" spans="43:43" x14ac:dyDescent="0.2">
      <c r="AQ4336" s="31"/>
    </row>
    <row r="4337" spans="43:43" x14ac:dyDescent="0.2">
      <c r="AQ4337" s="31"/>
    </row>
    <row r="4338" spans="43:43" x14ac:dyDescent="0.2">
      <c r="AQ4338" s="31"/>
    </row>
    <row r="4339" spans="43:43" x14ac:dyDescent="0.2">
      <c r="AQ4339" s="31"/>
    </row>
    <row r="4340" spans="43:43" x14ac:dyDescent="0.2">
      <c r="AQ4340" s="31"/>
    </row>
    <row r="4341" spans="43:43" x14ac:dyDescent="0.2">
      <c r="AQ4341" s="31"/>
    </row>
    <row r="4342" spans="43:43" x14ac:dyDescent="0.2">
      <c r="AQ4342" s="31"/>
    </row>
    <row r="4343" spans="43:43" x14ac:dyDescent="0.2">
      <c r="AQ4343" s="31"/>
    </row>
    <row r="4344" spans="43:43" x14ac:dyDescent="0.2">
      <c r="AQ4344" s="31"/>
    </row>
    <row r="4345" spans="43:43" x14ac:dyDescent="0.2">
      <c r="AQ4345" s="31"/>
    </row>
    <row r="4346" spans="43:43" x14ac:dyDescent="0.2">
      <c r="AQ4346" s="31"/>
    </row>
    <row r="4347" spans="43:43" x14ac:dyDescent="0.2">
      <c r="AQ4347" s="31"/>
    </row>
    <row r="4348" spans="43:43" x14ac:dyDescent="0.2">
      <c r="AQ4348" s="31"/>
    </row>
    <row r="4349" spans="43:43" x14ac:dyDescent="0.2">
      <c r="AQ4349" s="31"/>
    </row>
    <row r="4350" spans="43:43" x14ac:dyDescent="0.2">
      <c r="AQ4350" s="31"/>
    </row>
    <row r="4351" spans="43:43" x14ac:dyDescent="0.2">
      <c r="AQ4351" s="31"/>
    </row>
    <row r="4352" spans="43:43" x14ac:dyDescent="0.2">
      <c r="AQ4352" s="31"/>
    </row>
    <row r="4353" spans="43:43" x14ac:dyDescent="0.2">
      <c r="AQ4353" s="31"/>
    </row>
    <row r="4354" spans="43:43" x14ac:dyDescent="0.2">
      <c r="AQ4354" s="31"/>
    </row>
    <row r="4355" spans="43:43" x14ac:dyDescent="0.2">
      <c r="AQ4355" s="31"/>
    </row>
    <row r="4356" spans="43:43" x14ac:dyDescent="0.2">
      <c r="AQ4356" s="31"/>
    </row>
    <row r="4357" spans="43:43" x14ac:dyDescent="0.2">
      <c r="AQ4357" s="31"/>
    </row>
    <row r="4358" spans="43:43" x14ac:dyDescent="0.2">
      <c r="AQ4358" s="31"/>
    </row>
    <row r="4359" spans="43:43" x14ac:dyDescent="0.2">
      <c r="AQ4359" s="31"/>
    </row>
    <row r="4360" spans="43:43" x14ac:dyDescent="0.2">
      <c r="AQ4360" s="31"/>
    </row>
    <row r="4361" spans="43:43" x14ac:dyDescent="0.2">
      <c r="AQ4361" s="31"/>
    </row>
    <row r="4362" spans="43:43" x14ac:dyDescent="0.2">
      <c r="AQ4362" s="31"/>
    </row>
    <row r="4363" spans="43:43" x14ac:dyDescent="0.2">
      <c r="AQ4363" s="31"/>
    </row>
    <row r="4364" spans="43:43" x14ac:dyDescent="0.2">
      <c r="AQ4364" s="31"/>
    </row>
    <row r="4365" spans="43:43" x14ac:dyDescent="0.2">
      <c r="AQ4365" s="31"/>
    </row>
    <row r="4366" spans="43:43" x14ac:dyDescent="0.2">
      <c r="AQ4366" s="31"/>
    </row>
    <row r="4367" spans="43:43" x14ac:dyDescent="0.2">
      <c r="AQ4367" s="31"/>
    </row>
    <row r="4368" spans="43:43" x14ac:dyDescent="0.2">
      <c r="AQ4368" s="31"/>
    </row>
    <row r="4369" spans="43:43" x14ac:dyDescent="0.2">
      <c r="AQ4369" s="31"/>
    </row>
    <row r="4370" spans="43:43" x14ac:dyDescent="0.2">
      <c r="AQ4370" s="31"/>
    </row>
    <row r="4371" spans="43:43" x14ac:dyDescent="0.2">
      <c r="AQ4371" s="31"/>
    </row>
    <row r="4372" spans="43:43" x14ac:dyDescent="0.2">
      <c r="AQ4372" s="31"/>
    </row>
    <row r="4373" spans="43:43" x14ac:dyDescent="0.2">
      <c r="AQ4373" s="31"/>
    </row>
    <row r="4374" spans="43:43" x14ac:dyDescent="0.2">
      <c r="AQ4374" s="31"/>
    </row>
    <row r="4375" spans="43:43" x14ac:dyDescent="0.2">
      <c r="AQ4375" s="31"/>
    </row>
    <row r="4376" spans="43:43" x14ac:dyDescent="0.2">
      <c r="AQ4376" s="31"/>
    </row>
    <row r="4377" spans="43:43" x14ac:dyDescent="0.2">
      <c r="AQ4377" s="31"/>
    </row>
    <row r="4378" spans="43:43" x14ac:dyDescent="0.2">
      <c r="AQ4378" s="31"/>
    </row>
    <row r="4379" spans="43:43" x14ac:dyDescent="0.2">
      <c r="AQ4379" s="31"/>
    </row>
    <row r="4380" spans="43:43" x14ac:dyDescent="0.2">
      <c r="AQ4380" s="31"/>
    </row>
    <row r="4381" spans="43:43" x14ac:dyDescent="0.2">
      <c r="AQ4381" s="31"/>
    </row>
    <row r="4382" spans="43:43" x14ac:dyDescent="0.2">
      <c r="AQ4382" s="31"/>
    </row>
    <row r="4383" spans="43:43" x14ac:dyDescent="0.2">
      <c r="AQ4383" s="31"/>
    </row>
    <row r="4384" spans="43:43" x14ac:dyDescent="0.2">
      <c r="AQ4384" s="31"/>
    </row>
    <row r="4385" spans="43:43" x14ac:dyDescent="0.2">
      <c r="AQ4385" s="31"/>
    </row>
    <row r="4386" spans="43:43" x14ac:dyDescent="0.2">
      <c r="AQ4386" s="31"/>
    </row>
    <row r="4387" spans="43:43" x14ac:dyDescent="0.2">
      <c r="AQ4387" s="31"/>
    </row>
    <row r="4388" spans="43:43" x14ac:dyDescent="0.2">
      <c r="AQ4388" s="31"/>
    </row>
    <row r="4389" spans="43:43" x14ac:dyDescent="0.2">
      <c r="AQ4389" s="31"/>
    </row>
    <row r="4390" spans="43:43" x14ac:dyDescent="0.2">
      <c r="AQ4390" s="31"/>
    </row>
    <row r="4391" spans="43:43" x14ac:dyDescent="0.2">
      <c r="AQ4391" s="31"/>
    </row>
    <row r="4392" spans="43:43" x14ac:dyDescent="0.2">
      <c r="AQ4392" s="31"/>
    </row>
    <row r="4393" spans="43:43" x14ac:dyDescent="0.2">
      <c r="AQ4393" s="31"/>
    </row>
    <row r="4394" spans="43:43" x14ac:dyDescent="0.2">
      <c r="AQ4394" s="31"/>
    </row>
    <row r="4395" spans="43:43" x14ac:dyDescent="0.2">
      <c r="AQ4395" s="31"/>
    </row>
    <row r="4396" spans="43:43" x14ac:dyDescent="0.2">
      <c r="AQ4396" s="31"/>
    </row>
    <row r="4397" spans="43:43" x14ac:dyDescent="0.2">
      <c r="AQ4397" s="31"/>
    </row>
    <row r="4398" spans="43:43" x14ac:dyDescent="0.2">
      <c r="AQ4398" s="31"/>
    </row>
    <row r="4399" spans="43:43" x14ac:dyDescent="0.2">
      <c r="AQ4399" s="31"/>
    </row>
    <row r="4400" spans="43:43" x14ac:dyDescent="0.2">
      <c r="AQ4400" s="31"/>
    </row>
    <row r="4401" spans="43:43" x14ac:dyDescent="0.2">
      <c r="AQ4401" s="31"/>
    </row>
    <row r="4402" spans="43:43" x14ac:dyDescent="0.2">
      <c r="AQ4402" s="31"/>
    </row>
    <row r="4403" spans="43:43" x14ac:dyDescent="0.2">
      <c r="AQ4403" s="31"/>
    </row>
    <row r="4404" spans="43:43" x14ac:dyDescent="0.2">
      <c r="AQ4404" s="31"/>
    </row>
    <row r="4405" spans="43:43" x14ac:dyDescent="0.2">
      <c r="AQ4405" s="31"/>
    </row>
    <row r="4406" spans="43:43" x14ac:dyDescent="0.2">
      <c r="AQ4406" s="31"/>
    </row>
    <row r="4407" spans="43:43" x14ac:dyDescent="0.2">
      <c r="AQ4407" s="31"/>
    </row>
    <row r="4408" spans="43:43" x14ac:dyDescent="0.2">
      <c r="AQ4408" s="31"/>
    </row>
    <row r="4409" spans="43:43" x14ac:dyDescent="0.2">
      <c r="AQ4409" s="31"/>
    </row>
    <row r="4410" spans="43:43" x14ac:dyDescent="0.2">
      <c r="AQ4410" s="31"/>
    </row>
    <row r="4411" spans="43:43" x14ac:dyDescent="0.2">
      <c r="AQ4411" s="31"/>
    </row>
    <row r="4412" spans="43:43" x14ac:dyDescent="0.2">
      <c r="AQ4412" s="31"/>
    </row>
    <row r="4413" spans="43:43" x14ac:dyDescent="0.2">
      <c r="AQ4413" s="31"/>
    </row>
    <row r="4414" spans="43:43" x14ac:dyDescent="0.2">
      <c r="AQ4414" s="31"/>
    </row>
    <row r="4415" spans="43:43" x14ac:dyDescent="0.2">
      <c r="AQ4415" s="31"/>
    </row>
    <row r="4416" spans="43:43" x14ac:dyDescent="0.2">
      <c r="AQ4416" s="31"/>
    </row>
    <row r="4417" spans="43:43" x14ac:dyDescent="0.2">
      <c r="AQ4417" s="31"/>
    </row>
    <row r="4418" spans="43:43" x14ac:dyDescent="0.2">
      <c r="AQ4418" s="31"/>
    </row>
    <row r="4419" spans="43:43" x14ac:dyDescent="0.2">
      <c r="AQ4419" s="31"/>
    </row>
    <row r="4420" spans="43:43" x14ac:dyDescent="0.2">
      <c r="AQ4420" s="31"/>
    </row>
    <row r="4421" spans="43:43" x14ac:dyDescent="0.2">
      <c r="AQ4421" s="31"/>
    </row>
    <row r="4422" spans="43:43" x14ac:dyDescent="0.2">
      <c r="AQ4422" s="31"/>
    </row>
    <row r="4423" spans="43:43" x14ac:dyDescent="0.2">
      <c r="AQ4423" s="31"/>
    </row>
    <row r="4424" spans="43:43" x14ac:dyDescent="0.2">
      <c r="AQ4424" s="31"/>
    </row>
    <row r="4425" spans="43:43" x14ac:dyDescent="0.2">
      <c r="AQ4425" s="31"/>
    </row>
    <row r="4426" spans="43:43" x14ac:dyDescent="0.2">
      <c r="AQ4426" s="31"/>
    </row>
    <row r="4427" spans="43:43" x14ac:dyDescent="0.2">
      <c r="AQ4427" s="31"/>
    </row>
    <row r="4428" spans="43:43" x14ac:dyDescent="0.2">
      <c r="AQ4428" s="31"/>
    </row>
    <row r="4429" spans="43:43" x14ac:dyDescent="0.2">
      <c r="AQ4429" s="31"/>
    </row>
    <row r="4430" spans="43:43" x14ac:dyDescent="0.2">
      <c r="AQ4430" s="31"/>
    </row>
    <row r="4431" spans="43:43" x14ac:dyDescent="0.2">
      <c r="AQ4431" s="31"/>
    </row>
    <row r="4432" spans="43:43" x14ac:dyDescent="0.2">
      <c r="AQ4432" s="31"/>
    </row>
    <row r="4433" spans="43:43" x14ac:dyDescent="0.2">
      <c r="AQ4433" s="31"/>
    </row>
    <row r="4434" spans="43:43" x14ac:dyDescent="0.2">
      <c r="AQ4434" s="31"/>
    </row>
    <row r="4435" spans="43:43" x14ac:dyDescent="0.2">
      <c r="AQ4435" s="31"/>
    </row>
    <row r="4436" spans="43:43" x14ac:dyDescent="0.2">
      <c r="AQ4436" s="31"/>
    </row>
    <row r="4437" spans="43:43" x14ac:dyDescent="0.2">
      <c r="AQ4437" s="31"/>
    </row>
    <row r="4438" spans="43:43" x14ac:dyDescent="0.2">
      <c r="AQ4438" s="31"/>
    </row>
    <row r="4439" spans="43:43" x14ac:dyDescent="0.2">
      <c r="AQ4439" s="31"/>
    </row>
    <row r="4440" spans="43:43" x14ac:dyDescent="0.2">
      <c r="AQ4440" s="31"/>
    </row>
    <row r="4441" spans="43:43" x14ac:dyDescent="0.2">
      <c r="AQ4441" s="31"/>
    </row>
    <row r="4442" spans="43:43" x14ac:dyDescent="0.2">
      <c r="AQ4442" s="31"/>
    </row>
    <row r="4443" spans="43:43" x14ac:dyDescent="0.2">
      <c r="AQ4443" s="31"/>
    </row>
    <row r="4444" spans="43:43" x14ac:dyDescent="0.2">
      <c r="AQ4444" s="31"/>
    </row>
    <row r="4445" spans="43:43" x14ac:dyDescent="0.2">
      <c r="AQ4445" s="31"/>
    </row>
    <row r="4446" spans="43:43" x14ac:dyDescent="0.2">
      <c r="AQ4446" s="31"/>
    </row>
    <row r="4447" spans="43:43" x14ac:dyDescent="0.2">
      <c r="AQ4447" s="31"/>
    </row>
    <row r="4448" spans="43:43" x14ac:dyDescent="0.2">
      <c r="AQ4448" s="31"/>
    </row>
    <row r="4449" spans="43:43" x14ac:dyDescent="0.2">
      <c r="AQ4449" s="31"/>
    </row>
    <row r="4450" spans="43:43" x14ac:dyDescent="0.2">
      <c r="AQ4450" s="31"/>
    </row>
    <row r="4451" spans="43:43" x14ac:dyDescent="0.2">
      <c r="AQ4451" s="31"/>
    </row>
    <row r="4452" spans="43:43" x14ac:dyDescent="0.2">
      <c r="AQ4452" s="31"/>
    </row>
    <row r="4453" spans="43:43" x14ac:dyDescent="0.2">
      <c r="AQ4453" s="31"/>
    </row>
    <row r="4454" spans="43:43" x14ac:dyDescent="0.2">
      <c r="AQ4454" s="31"/>
    </row>
    <row r="4455" spans="43:43" x14ac:dyDescent="0.2">
      <c r="AQ4455" s="31"/>
    </row>
    <row r="4456" spans="43:43" x14ac:dyDescent="0.2">
      <c r="AQ4456" s="31"/>
    </row>
    <row r="4457" spans="43:43" x14ac:dyDescent="0.2">
      <c r="AQ4457" s="31"/>
    </row>
    <row r="4458" spans="43:43" x14ac:dyDescent="0.2">
      <c r="AQ4458" s="31"/>
    </row>
    <row r="4459" spans="43:43" x14ac:dyDescent="0.2">
      <c r="AQ4459" s="31"/>
    </row>
    <row r="4460" spans="43:43" x14ac:dyDescent="0.2">
      <c r="AQ4460" s="31"/>
    </row>
    <row r="4461" spans="43:43" x14ac:dyDescent="0.2">
      <c r="AQ4461" s="31"/>
    </row>
    <row r="4462" spans="43:43" x14ac:dyDescent="0.2">
      <c r="AQ4462" s="31"/>
    </row>
    <row r="4463" spans="43:43" x14ac:dyDescent="0.2">
      <c r="AQ4463" s="31"/>
    </row>
    <row r="4464" spans="43:43" x14ac:dyDescent="0.2">
      <c r="AQ4464" s="31"/>
    </row>
    <row r="4465" spans="43:43" x14ac:dyDescent="0.2">
      <c r="AQ4465" s="31"/>
    </row>
    <row r="4466" spans="43:43" x14ac:dyDescent="0.2">
      <c r="AQ4466" s="31"/>
    </row>
    <row r="4467" spans="43:43" x14ac:dyDescent="0.2">
      <c r="AQ4467" s="31"/>
    </row>
    <row r="4468" spans="43:43" x14ac:dyDescent="0.2">
      <c r="AQ4468" s="31"/>
    </row>
    <row r="4469" spans="43:43" x14ac:dyDescent="0.2">
      <c r="AQ4469" s="31"/>
    </row>
    <row r="4470" spans="43:43" x14ac:dyDescent="0.2">
      <c r="AQ4470" s="31"/>
    </row>
    <row r="4471" spans="43:43" x14ac:dyDescent="0.2">
      <c r="AQ4471" s="31"/>
    </row>
    <row r="4472" spans="43:43" x14ac:dyDescent="0.2">
      <c r="AQ4472" s="31"/>
    </row>
    <row r="4473" spans="43:43" x14ac:dyDescent="0.2">
      <c r="AQ4473" s="31"/>
    </row>
    <row r="4474" spans="43:43" x14ac:dyDescent="0.2">
      <c r="AQ4474" s="31"/>
    </row>
    <row r="4475" spans="43:43" x14ac:dyDescent="0.2">
      <c r="AQ4475" s="31"/>
    </row>
    <row r="4476" spans="43:43" x14ac:dyDescent="0.2">
      <c r="AQ4476" s="31"/>
    </row>
    <row r="4477" spans="43:43" x14ac:dyDescent="0.2">
      <c r="AQ4477" s="31"/>
    </row>
    <row r="4478" spans="43:43" x14ac:dyDescent="0.2">
      <c r="AQ4478" s="31"/>
    </row>
    <row r="4479" spans="43:43" x14ac:dyDescent="0.2">
      <c r="AQ4479" s="31"/>
    </row>
    <row r="4480" spans="43:43" x14ac:dyDescent="0.2">
      <c r="AQ4480" s="31"/>
    </row>
    <row r="4481" spans="43:43" x14ac:dyDescent="0.2">
      <c r="AQ4481" s="31"/>
    </row>
    <row r="4482" spans="43:43" x14ac:dyDescent="0.2">
      <c r="AQ4482" s="31"/>
    </row>
    <row r="4483" spans="43:43" x14ac:dyDescent="0.2">
      <c r="AQ4483" s="31"/>
    </row>
    <row r="4484" spans="43:43" x14ac:dyDescent="0.2">
      <c r="AQ4484" s="31"/>
    </row>
    <row r="4485" spans="43:43" x14ac:dyDescent="0.2">
      <c r="AQ4485" s="31"/>
    </row>
    <row r="4486" spans="43:43" x14ac:dyDescent="0.2">
      <c r="AQ4486" s="31"/>
    </row>
    <row r="4487" spans="43:43" x14ac:dyDescent="0.2">
      <c r="AQ4487" s="31"/>
    </row>
    <row r="4488" spans="43:43" x14ac:dyDescent="0.2">
      <c r="AQ4488" s="31"/>
    </row>
    <row r="4489" spans="43:43" x14ac:dyDescent="0.2">
      <c r="AQ4489" s="31"/>
    </row>
    <row r="4490" spans="43:43" x14ac:dyDescent="0.2">
      <c r="AQ4490" s="31"/>
    </row>
    <row r="4491" spans="43:43" x14ac:dyDescent="0.2">
      <c r="AQ4491" s="31"/>
    </row>
    <row r="4492" spans="43:43" x14ac:dyDescent="0.2">
      <c r="AQ4492" s="31"/>
    </row>
    <row r="4493" spans="43:43" x14ac:dyDescent="0.2">
      <c r="AQ4493" s="31"/>
    </row>
    <row r="4494" spans="43:43" x14ac:dyDescent="0.2">
      <c r="AQ4494" s="31"/>
    </row>
    <row r="4495" spans="43:43" x14ac:dyDescent="0.2">
      <c r="AQ4495" s="31"/>
    </row>
    <row r="4496" spans="43:43" x14ac:dyDescent="0.2">
      <c r="AQ4496" s="31"/>
    </row>
    <row r="4497" spans="43:43" x14ac:dyDescent="0.2">
      <c r="AQ4497" s="31"/>
    </row>
    <row r="4498" spans="43:43" x14ac:dyDescent="0.2">
      <c r="AQ4498" s="31"/>
    </row>
    <row r="4499" spans="43:43" x14ac:dyDescent="0.2">
      <c r="AQ4499" s="31"/>
    </row>
    <row r="4500" spans="43:43" x14ac:dyDescent="0.2">
      <c r="AQ4500" s="31"/>
    </row>
    <row r="4501" spans="43:43" x14ac:dyDescent="0.2">
      <c r="AQ4501" s="31"/>
    </row>
    <row r="4502" spans="43:43" x14ac:dyDescent="0.2">
      <c r="AQ4502" s="31"/>
    </row>
    <row r="4503" spans="43:43" x14ac:dyDescent="0.2">
      <c r="AQ4503" s="31"/>
    </row>
    <row r="4504" spans="43:43" x14ac:dyDescent="0.2">
      <c r="AQ4504" s="31"/>
    </row>
    <row r="4505" spans="43:43" x14ac:dyDescent="0.2">
      <c r="AQ4505" s="31"/>
    </row>
    <row r="4506" spans="43:43" x14ac:dyDescent="0.2">
      <c r="AQ4506" s="31"/>
    </row>
    <row r="4507" spans="43:43" x14ac:dyDescent="0.2">
      <c r="AQ4507" s="31"/>
    </row>
    <row r="4508" spans="43:43" x14ac:dyDescent="0.2">
      <c r="AQ4508" s="31"/>
    </row>
    <row r="4509" spans="43:43" x14ac:dyDescent="0.2">
      <c r="AQ4509" s="31"/>
    </row>
    <row r="4510" spans="43:43" x14ac:dyDescent="0.2">
      <c r="AQ4510" s="31"/>
    </row>
    <row r="4511" spans="43:43" x14ac:dyDescent="0.2">
      <c r="AQ4511" s="31"/>
    </row>
    <row r="4512" spans="43:43" x14ac:dyDescent="0.2">
      <c r="AQ4512" s="31"/>
    </row>
    <row r="4513" spans="43:43" x14ac:dyDescent="0.2">
      <c r="AQ4513" s="31"/>
    </row>
    <row r="4514" spans="43:43" x14ac:dyDescent="0.2">
      <c r="AQ4514" s="31"/>
    </row>
    <row r="4515" spans="43:43" x14ac:dyDescent="0.2">
      <c r="AQ4515" s="31"/>
    </row>
    <row r="4516" spans="43:43" x14ac:dyDescent="0.2">
      <c r="AQ4516" s="31"/>
    </row>
    <row r="4517" spans="43:43" x14ac:dyDescent="0.2">
      <c r="AQ4517" s="31"/>
    </row>
    <row r="4518" spans="43:43" x14ac:dyDescent="0.2">
      <c r="AQ4518" s="31"/>
    </row>
    <row r="4519" spans="43:43" x14ac:dyDescent="0.2">
      <c r="AQ4519" s="31"/>
    </row>
    <row r="4520" spans="43:43" x14ac:dyDescent="0.2">
      <c r="AQ4520" s="31"/>
    </row>
    <row r="4521" spans="43:43" x14ac:dyDescent="0.2">
      <c r="AQ4521" s="31"/>
    </row>
    <row r="4522" spans="43:43" x14ac:dyDescent="0.2">
      <c r="AQ4522" s="31"/>
    </row>
    <row r="4523" spans="43:43" x14ac:dyDescent="0.2">
      <c r="AQ4523" s="31"/>
    </row>
    <row r="4524" spans="43:43" x14ac:dyDescent="0.2">
      <c r="AQ4524" s="31"/>
    </row>
    <row r="4525" spans="43:43" x14ac:dyDescent="0.2">
      <c r="AQ4525" s="31"/>
    </row>
    <row r="4526" spans="43:43" x14ac:dyDescent="0.2">
      <c r="AQ4526" s="31"/>
    </row>
    <row r="4527" spans="43:43" x14ac:dyDescent="0.2">
      <c r="AQ4527" s="31"/>
    </row>
    <row r="4528" spans="43:43" x14ac:dyDescent="0.2">
      <c r="AQ4528" s="31"/>
    </row>
    <row r="4529" spans="43:43" x14ac:dyDescent="0.2">
      <c r="AQ4529" s="31"/>
    </row>
    <row r="4530" spans="43:43" x14ac:dyDescent="0.2">
      <c r="AQ4530" s="31"/>
    </row>
    <row r="4531" spans="43:43" x14ac:dyDescent="0.2">
      <c r="AQ4531" s="31"/>
    </row>
    <row r="4532" spans="43:43" x14ac:dyDescent="0.2">
      <c r="AQ4532" s="31"/>
    </row>
    <row r="4533" spans="43:43" x14ac:dyDescent="0.2">
      <c r="AQ4533" s="31"/>
    </row>
    <row r="4534" spans="43:43" x14ac:dyDescent="0.2">
      <c r="AQ4534" s="31"/>
    </row>
    <row r="4535" spans="43:43" x14ac:dyDescent="0.2">
      <c r="AQ4535" s="31"/>
    </row>
    <row r="4536" spans="43:43" x14ac:dyDescent="0.2">
      <c r="AQ4536" s="31"/>
    </row>
    <row r="4537" spans="43:43" x14ac:dyDescent="0.2">
      <c r="AQ4537" s="31"/>
    </row>
    <row r="4538" spans="43:43" x14ac:dyDescent="0.2">
      <c r="AQ4538" s="31"/>
    </row>
    <row r="4539" spans="43:43" x14ac:dyDescent="0.2">
      <c r="AQ4539" s="31"/>
    </row>
    <row r="4540" spans="43:43" x14ac:dyDescent="0.2">
      <c r="AQ4540" s="31"/>
    </row>
    <row r="4541" spans="43:43" x14ac:dyDescent="0.2">
      <c r="AQ4541" s="31"/>
    </row>
    <row r="4542" spans="43:43" x14ac:dyDescent="0.2">
      <c r="AQ4542" s="31"/>
    </row>
    <row r="4543" spans="43:43" x14ac:dyDescent="0.2">
      <c r="AQ4543" s="31"/>
    </row>
    <row r="4544" spans="43:43" x14ac:dyDescent="0.2">
      <c r="AQ4544" s="31"/>
    </row>
    <row r="4545" spans="43:43" x14ac:dyDescent="0.2">
      <c r="AQ4545" s="31"/>
    </row>
    <row r="4546" spans="43:43" x14ac:dyDescent="0.2">
      <c r="AQ4546" s="31"/>
    </row>
    <row r="4547" spans="43:43" x14ac:dyDescent="0.2">
      <c r="AQ4547" s="31"/>
    </row>
    <row r="4548" spans="43:43" x14ac:dyDescent="0.2">
      <c r="AQ4548" s="31"/>
    </row>
    <row r="4549" spans="43:43" x14ac:dyDescent="0.2">
      <c r="AQ4549" s="31"/>
    </row>
    <row r="4550" spans="43:43" x14ac:dyDescent="0.2">
      <c r="AQ4550" s="31"/>
    </row>
    <row r="4551" spans="43:43" x14ac:dyDescent="0.2">
      <c r="AQ4551" s="31"/>
    </row>
    <row r="4552" spans="43:43" x14ac:dyDescent="0.2">
      <c r="AQ4552" s="31"/>
    </row>
    <row r="4553" spans="43:43" x14ac:dyDescent="0.2">
      <c r="AQ4553" s="31"/>
    </row>
    <row r="4554" spans="43:43" x14ac:dyDescent="0.2">
      <c r="AQ4554" s="31"/>
    </row>
    <row r="4555" spans="43:43" x14ac:dyDescent="0.2">
      <c r="AQ4555" s="31"/>
    </row>
    <row r="4556" spans="43:43" x14ac:dyDescent="0.2">
      <c r="AQ4556" s="31"/>
    </row>
    <row r="4557" spans="43:43" x14ac:dyDescent="0.2">
      <c r="AQ4557" s="31"/>
    </row>
    <row r="4558" spans="43:43" x14ac:dyDescent="0.2">
      <c r="AQ4558" s="31"/>
    </row>
    <row r="4559" spans="43:43" x14ac:dyDescent="0.2">
      <c r="AQ4559" s="31"/>
    </row>
    <row r="4560" spans="43:43" x14ac:dyDescent="0.2">
      <c r="AQ4560" s="31"/>
    </row>
    <row r="4561" spans="43:43" x14ac:dyDescent="0.2">
      <c r="AQ4561" s="31"/>
    </row>
    <row r="4562" spans="43:43" x14ac:dyDescent="0.2">
      <c r="AQ4562" s="31"/>
    </row>
    <row r="4563" spans="43:43" x14ac:dyDescent="0.2">
      <c r="AQ4563" s="31"/>
    </row>
    <row r="4564" spans="43:43" x14ac:dyDescent="0.2">
      <c r="AQ4564" s="31"/>
    </row>
    <row r="4565" spans="43:43" x14ac:dyDescent="0.2">
      <c r="AQ4565" s="31"/>
    </row>
    <row r="4566" spans="43:43" x14ac:dyDescent="0.2">
      <c r="AQ4566" s="31"/>
    </row>
    <row r="4567" spans="43:43" x14ac:dyDescent="0.2">
      <c r="AQ4567" s="31"/>
    </row>
    <row r="4568" spans="43:43" x14ac:dyDescent="0.2">
      <c r="AQ4568" s="31"/>
    </row>
    <row r="4569" spans="43:43" x14ac:dyDescent="0.2">
      <c r="AQ4569" s="31"/>
    </row>
    <row r="4570" spans="43:43" x14ac:dyDescent="0.2">
      <c r="AQ4570" s="31"/>
    </row>
    <row r="4571" spans="43:43" x14ac:dyDescent="0.2">
      <c r="AQ4571" s="31"/>
    </row>
    <row r="4572" spans="43:43" x14ac:dyDescent="0.2">
      <c r="AQ4572" s="31"/>
    </row>
    <row r="4573" spans="43:43" x14ac:dyDescent="0.2">
      <c r="AQ4573" s="31"/>
    </row>
    <row r="4574" spans="43:43" x14ac:dyDescent="0.2">
      <c r="AQ4574" s="31"/>
    </row>
    <row r="4575" spans="43:43" x14ac:dyDescent="0.2">
      <c r="AQ4575" s="31"/>
    </row>
    <row r="4576" spans="43:43" x14ac:dyDescent="0.2">
      <c r="AQ4576" s="31"/>
    </row>
    <row r="4577" spans="43:43" x14ac:dyDescent="0.2">
      <c r="AQ4577" s="31"/>
    </row>
    <row r="4578" spans="43:43" x14ac:dyDescent="0.2">
      <c r="AQ4578" s="31"/>
    </row>
    <row r="4579" spans="43:43" x14ac:dyDescent="0.2">
      <c r="AQ4579" s="31"/>
    </row>
    <row r="4580" spans="43:43" x14ac:dyDescent="0.2">
      <c r="AQ4580" s="31"/>
    </row>
    <row r="4581" spans="43:43" x14ac:dyDescent="0.2">
      <c r="AQ4581" s="31"/>
    </row>
    <row r="4582" spans="43:43" x14ac:dyDescent="0.2">
      <c r="AQ4582" s="31"/>
    </row>
    <row r="4583" spans="43:43" x14ac:dyDescent="0.2">
      <c r="AQ4583" s="31"/>
    </row>
    <row r="4584" spans="43:43" x14ac:dyDescent="0.2">
      <c r="AQ4584" s="31"/>
    </row>
    <row r="4585" spans="43:43" x14ac:dyDescent="0.2">
      <c r="AQ4585" s="31"/>
    </row>
    <row r="4586" spans="43:43" x14ac:dyDescent="0.2">
      <c r="AQ4586" s="31"/>
    </row>
    <row r="4587" spans="43:43" x14ac:dyDescent="0.2">
      <c r="AQ4587" s="31"/>
    </row>
    <row r="4588" spans="43:43" x14ac:dyDescent="0.2">
      <c r="AQ4588" s="31"/>
    </row>
    <row r="4589" spans="43:43" x14ac:dyDescent="0.2">
      <c r="AQ4589" s="31"/>
    </row>
    <row r="4590" spans="43:43" x14ac:dyDescent="0.2">
      <c r="AQ4590" s="31"/>
    </row>
    <row r="4591" spans="43:43" x14ac:dyDescent="0.2">
      <c r="AQ4591" s="31"/>
    </row>
    <row r="4592" spans="43:43" x14ac:dyDescent="0.2">
      <c r="AQ4592" s="31"/>
    </row>
    <row r="4593" spans="43:43" x14ac:dyDescent="0.2">
      <c r="AQ4593" s="31"/>
    </row>
    <row r="4594" spans="43:43" x14ac:dyDescent="0.2">
      <c r="AQ4594" s="31"/>
    </row>
    <row r="4595" spans="43:43" x14ac:dyDescent="0.2">
      <c r="AQ4595" s="31"/>
    </row>
    <row r="4596" spans="43:43" x14ac:dyDescent="0.2">
      <c r="AQ4596" s="31"/>
    </row>
    <row r="4597" spans="43:43" x14ac:dyDescent="0.2">
      <c r="AQ4597" s="31"/>
    </row>
    <row r="4598" spans="43:43" x14ac:dyDescent="0.2">
      <c r="AQ4598" s="31"/>
    </row>
    <row r="4599" spans="43:43" x14ac:dyDescent="0.2">
      <c r="AQ4599" s="31"/>
    </row>
    <row r="4600" spans="43:43" x14ac:dyDescent="0.2">
      <c r="AQ4600" s="31"/>
    </row>
    <row r="4601" spans="43:43" x14ac:dyDescent="0.2">
      <c r="AQ4601" s="31"/>
    </row>
    <row r="4602" spans="43:43" x14ac:dyDescent="0.2">
      <c r="AQ4602" s="31"/>
    </row>
    <row r="4603" spans="43:43" x14ac:dyDescent="0.2">
      <c r="AQ4603" s="31"/>
    </row>
    <row r="4604" spans="43:43" x14ac:dyDescent="0.2">
      <c r="AQ4604" s="31"/>
    </row>
    <row r="4605" spans="43:43" x14ac:dyDescent="0.2">
      <c r="AQ4605" s="31"/>
    </row>
    <row r="4606" spans="43:43" x14ac:dyDescent="0.2">
      <c r="AQ4606" s="31"/>
    </row>
    <row r="4607" spans="43:43" x14ac:dyDescent="0.2">
      <c r="AQ4607" s="31"/>
    </row>
    <row r="4608" spans="43:43" x14ac:dyDescent="0.2">
      <c r="AQ4608" s="31"/>
    </row>
    <row r="4609" spans="43:43" x14ac:dyDescent="0.2">
      <c r="AQ4609" s="31"/>
    </row>
    <row r="4610" spans="43:43" x14ac:dyDescent="0.2">
      <c r="AQ4610" s="31"/>
    </row>
    <row r="4611" spans="43:43" x14ac:dyDescent="0.2">
      <c r="AQ4611" s="31"/>
    </row>
    <row r="4612" spans="43:43" x14ac:dyDescent="0.2">
      <c r="AQ4612" s="31"/>
    </row>
    <row r="4613" spans="43:43" x14ac:dyDescent="0.2">
      <c r="AQ4613" s="31"/>
    </row>
    <row r="4614" spans="43:43" x14ac:dyDescent="0.2">
      <c r="AQ4614" s="31"/>
    </row>
    <row r="4615" spans="43:43" x14ac:dyDescent="0.2">
      <c r="AQ4615" s="31"/>
    </row>
    <row r="4616" spans="43:43" x14ac:dyDescent="0.2">
      <c r="AQ4616" s="31"/>
    </row>
    <row r="4617" spans="43:43" x14ac:dyDescent="0.2">
      <c r="AQ4617" s="31"/>
    </row>
    <row r="4618" spans="43:43" x14ac:dyDescent="0.2">
      <c r="AQ4618" s="31"/>
    </row>
    <row r="4619" spans="43:43" x14ac:dyDescent="0.2">
      <c r="AQ4619" s="31"/>
    </row>
    <row r="4620" spans="43:43" x14ac:dyDescent="0.2">
      <c r="AQ4620" s="31"/>
    </row>
    <row r="4621" spans="43:43" x14ac:dyDescent="0.2">
      <c r="AQ4621" s="31"/>
    </row>
    <row r="4622" spans="43:43" x14ac:dyDescent="0.2">
      <c r="AQ4622" s="31"/>
    </row>
    <row r="4623" spans="43:43" x14ac:dyDescent="0.2">
      <c r="AQ4623" s="31"/>
    </row>
    <row r="4624" spans="43:43" x14ac:dyDescent="0.2">
      <c r="AQ4624" s="31"/>
    </row>
    <row r="4625" spans="43:43" x14ac:dyDescent="0.2">
      <c r="AQ4625" s="31"/>
    </row>
    <row r="4626" spans="43:43" x14ac:dyDescent="0.2">
      <c r="AQ4626" s="31"/>
    </row>
    <row r="4627" spans="43:43" x14ac:dyDescent="0.2">
      <c r="AQ4627" s="31"/>
    </row>
    <row r="4628" spans="43:43" x14ac:dyDescent="0.2">
      <c r="AQ4628" s="31"/>
    </row>
    <row r="4629" spans="43:43" x14ac:dyDescent="0.2">
      <c r="AQ4629" s="31"/>
    </row>
    <row r="4630" spans="43:43" x14ac:dyDescent="0.2">
      <c r="AQ4630" s="31"/>
    </row>
    <row r="4631" spans="43:43" x14ac:dyDescent="0.2">
      <c r="AQ4631" s="31"/>
    </row>
    <row r="4632" spans="43:43" x14ac:dyDescent="0.2">
      <c r="AQ4632" s="31"/>
    </row>
    <row r="4633" spans="43:43" x14ac:dyDescent="0.2">
      <c r="AQ4633" s="31"/>
    </row>
    <row r="4634" spans="43:43" x14ac:dyDescent="0.2">
      <c r="AQ4634" s="31"/>
    </row>
    <row r="4635" spans="43:43" x14ac:dyDescent="0.2">
      <c r="AQ4635" s="31"/>
    </row>
    <row r="4636" spans="43:43" x14ac:dyDescent="0.2">
      <c r="AQ4636" s="31"/>
    </row>
    <row r="4637" spans="43:43" x14ac:dyDescent="0.2">
      <c r="AQ4637" s="31"/>
    </row>
    <row r="4638" spans="43:43" x14ac:dyDescent="0.2">
      <c r="AQ4638" s="31"/>
    </row>
    <row r="4639" spans="43:43" x14ac:dyDescent="0.2">
      <c r="AQ4639" s="31"/>
    </row>
    <row r="4640" spans="43:43" x14ac:dyDescent="0.2">
      <c r="AQ4640" s="31"/>
    </row>
    <row r="4641" spans="43:43" x14ac:dyDescent="0.2">
      <c r="AQ4641" s="31"/>
    </row>
    <row r="4642" spans="43:43" x14ac:dyDescent="0.2">
      <c r="AQ4642" s="31"/>
    </row>
    <row r="4643" spans="43:43" x14ac:dyDescent="0.2">
      <c r="AQ4643" s="31"/>
    </row>
    <row r="4644" spans="43:43" x14ac:dyDescent="0.2">
      <c r="AQ4644" s="31"/>
    </row>
    <row r="4645" spans="43:43" x14ac:dyDescent="0.2">
      <c r="AQ4645" s="31"/>
    </row>
    <row r="4646" spans="43:43" x14ac:dyDescent="0.2">
      <c r="AQ4646" s="31"/>
    </row>
    <row r="4647" spans="43:43" x14ac:dyDescent="0.2">
      <c r="AQ4647" s="31"/>
    </row>
    <row r="4648" spans="43:43" x14ac:dyDescent="0.2">
      <c r="AQ4648" s="31"/>
    </row>
    <row r="4649" spans="43:43" x14ac:dyDescent="0.2">
      <c r="AQ4649" s="31"/>
    </row>
    <row r="4650" spans="43:43" x14ac:dyDescent="0.2">
      <c r="AQ4650" s="31"/>
    </row>
    <row r="4651" spans="43:43" x14ac:dyDescent="0.2">
      <c r="AQ4651" s="31"/>
    </row>
    <row r="4652" spans="43:43" x14ac:dyDescent="0.2">
      <c r="AQ4652" s="31"/>
    </row>
    <row r="4653" spans="43:43" x14ac:dyDescent="0.2">
      <c r="AQ4653" s="31"/>
    </row>
    <row r="4654" spans="43:43" x14ac:dyDescent="0.2">
      <c r="AQ4654" s="31"/>
    </row>
    <row r="4655" spans="43:43" x14ac:dyDescent="0.2">
      <c r="AQ4655" s="31"/>
    </row>
    <row r="4656" spans="43:43" x14ac:dyDescent="0.2">
      <c r="AQ4656" s="31"/>
    </row>
    <row r="4657" spans="43:43" x14ac:dyDescent="0.2">
      <c r="AQ4657" s="31"/>
    </row>
    <row r="4658" spans="43:43" x14ac:dyDescent="0.2">
      <c r="AQ4658" s="31"/>
    </row>
    <row r="4659" spans="43:43" x14ac:dyDescent="0.2">
      <c r="AQ4659" s="31"/>
    </row>
    <row r="4660" spans="43:43" x14ac:dyDescent="0.2">
      <c r="AQ4660" s="31"/>
    </row>
    <row r="4661" spans="43:43" x14ac:dyDescent="0.2">
      <c r="AQ4661" s="31"/>
    </row>
    <row r="4662" spans="43:43" x14ac:dyDescent="0.2">
      <c r="AQ4662" s="31"/>
    </row>
    <row r="4663" spans="43:43" x14ac:dyDescent="0.2">
      <c r="AQ4663" s="31"/>
    </row>
    <row r="4664" spans="43:43" x14ac:dyDescent="0.2">
      <c r="AQ4664" s="31"/>
    </row>
    <row r="4665" spans="43:43" x14ac:dyDescent="0.2">
      <c r="AQ4665" s="31"/>
    </row>
    <row r="4666" spans="43:43" x14ac:dyDescent="0.2">
      <c r="AQ4666" s="31"/>
    </row>
    <row r="4667" spans="43:43" x14ac:dyDescent="0.2">
      <c r="AQ4667" s="31"/>
    </row>
    <row r="4668" spans="43:43" x14ac:dyDescent="0.2">
      <c r="AQ4668" s="31"/>
    </row>
    <row r="4669" spans="43:43" x14ac:dyDescent="0.2">
      <c r="AQ4669" s="31"/>
    </row>
    <row r="4670" spans="43:43" x14ac:dyDescent="0.2">
      <c r="AQ4670" s="31"/>
    </row>
    <row r="4671" spans="43:43" x14ac:dyDescent="0.2">
      <c r="AQ4671" s="31"/>
    </row>
    <row r="4672" spans="43:43" x14ac:dyDescent="0.2">
      <c r="AQ4672" s="31"/>
    </row>
    <row r="4673" spans="43:43" x14ac:dyDescent="0.2">
      <c r="AQ4673" s="31"/>
    </row>
    <row r="4674" spans="43:43" x14ac:dyDescent="0.2">
      <c r="AQ4674" s="31"/>
    </row>
    <row r="4675" spans="43:43" x14ac:dyDescent="0.2">
      <c r="AQ4675" s="31"/>
    </row>
    <row r="4676" spans="43:43" x14ac:dyDescent="0.2">
      <c r="AQ4676" s="31"/>
    </row>
    <row r="4677" spans="43:43" x14ac:dyDescent="0.2">
      <c r="AQ4677" s="31"/>
    </row>
    <row r="4678" spans="43:43" x14ac:dyDescent="0.2">
      <c r="AQ4678" s="31"/>
    </row>
    <row r="4679" spans="43:43" x14ac:dyDescent="0.2">
      <c r="AQ4679" s="31"/>
    </row>
    <row r="4680" spans="43:43" x14ac:dyDescent="0.2">
      <c r="AQ4680" s="31"/>
    </row>
    <row r="4681" spans="43:43" x14ac:dyDescent="0.2">
      <c r="AQ4681" s="31"/>
    </row>
    <row r="4682" spans="43:43" x14ac:dyDescent="0.2">
      <c r="AQ4682" s="31"/>
    </row>
    <row r="4683" spans="43:43" x14ac:dyDescent="0.2">
      <c r="AQ4683" s="31"/>
    </row>
    <row r="4684" spans="43:43" x14ac:dyDescent="0.2">
      <c r="AQ4684" s="31"/>
    </row>
    <row r="4685" spans="43:43" x14ac:dyDescent="0.2">
      <c r="AQ4685" s="31"/>
    </row>
    <row r="4686" spans="43:43" x14ac:dyDescent="0.2">
      <c r="AQ4686" s="31"/>
    </row>
    <row r="4687" spans="43:43" x14ac:dyDescent="0.2">
      <c r="AQ4687" s="31"/>
    </row>
    <row r="4688" spans="43:43" x14ac:dyDescent="0.2">
      <c r="AQ4688" s="31"/>
    </row>
    <row r="4689" spans="43:43" x14ac:dyDescent="0.2">
      <c r="AQ4689" s="31"/>
    </row>
    <row r="4690" spans="43:43" x14ac:dyDescent="0.2">
      <c r="AQ4690" s="31"/>
    </row>
    <row r="4691" spans="43:43" x14ac:dyDescent="0.2">
      <c r="AQ4691" s="31"/>
    </row>
    <row r="4692" spans="43:43" x14ac:dyDescent="0.2">
      <c r="AQ4692" s="31"/>
    </row>
    <row r="4693" spans="43:43" x14ac:dyDescent="0.2">
      <c r="AQ4693" s="31"/>
    </row>
    <row r="4694" spans="43:43" x14ac:dyDescent="0.2">
      <c r="AQ4694" s="31"/>
    </row>
    <row r="4695" spans="43:43" x14ac:dyDescent="0.2">
      <c r="AQ4695" s="31"/>
    </row>
    <row r="4696" spans="43:43" x14ac:dyDescent="0.2">
      <c r="AQ4696" s="31"/>
    </row>
    <row r="4697" spans="43:43" x14ac:dyDescent="0.2">
      <c r="AQ4697" s="31"/>
    </row>
    <row r="4698" spans="43:43" x14ac:dyDescent="0.2">
      <c r="AQ4698" s="31"/>
    </row>
    <row r="4699" spans="43:43" x14ac:dyDescent="0.2">
      <c r="AQ4699" s="31"/>
    </row>
    <row r="4700" spans="43:43" x14ac:dyDescent="0.2">
      <c r="AQ4700" s="31"/>
    </row>
    <row r="4701" spans="43:43" x14ac:dyDescent="0.2">
      <c r="AQ4701" s="31"/>
    </row>
    <row r="4702" spans="43:43" x14ac:dyDescent="0.2">
      <c r="AQ4702" s="31"/>
    </row>
    <row r="4703" spans="43:43" x14ac:dyDescent="0.2">
      <c r="AQ4703" s="31"/>
    </row>
    <row r="4704" spans="43:43" x14ac:dyDescent="0.2">
      <c r="AQ4704" s="31"/>
    </row>
    <row r="4705" spans="43:43" x14ac:dyDescent="0.2">
      <c r="AQ4705" s="31"/>
    </row>
    <row r="4706" spans="43:43" x14ac:dyDescent="0.2">
      <c r="AQ4706" s="31"/>
    </row>
    <row r="4707" spans="43:43" x14ac:dyDescent="0.2">
      <c r="AQ4707" s="31"/>
    </row>
    <row r="4708" spans="43:43" x14ac:dyDescent="0.2">
      <c r="AQ4708" s="31"/>
    </row>
    <row r="4709" spans="43:43" x14ac:dyDescent="0.2">
      <c r="AQ4709" s="31"/>
    </row>
    <row r="4710" spans="43:43" x14ac:dyDescent="0.2">
      <c r="AQ4710" s="31"/>
    </row>
    <row r="4711" spans="43:43" x14ac:dyDescent="0.2">
      <c r="AQ4711" s="31"/>
    </row>
    <row r="4712" spans="43:43" x14ac:dyDescent="0.2">
      <c r="AQ4712" s="31"/>
    </row>
    <row r="4713" spans="43:43" x14ac:dyDescent="0.2">
      <c r="AQ4713" s="31"/>
    </row>
    <row r="4714" spans="43:43" x14ac:dyDescent="0.2">
      <c r="AQ4714" s="31"/>
    </row>
    <row r="4715" spans="43:43" x14ac:dyDescent="0.2">
      <c r="AQ4715" s="31"/>
    </row>
    <row r="4716" spans="43:43" x14ac:dyDescent="0.2">
      <c r="AQ4716" s="31"/>
    </row>
    <row r="4717" spans="43:43" x14ac:dyDescent="0.2">
      <c r="AQ4717" s="31"/>
    </row>
    <row r="4718" spans="43:43" x14ac:dyDescent="0.2">
      <c r="AQ4718" s="31"/>
    </row>
    <row r="4719" spans="43:43" x14ac:dyDescent="0.2">
      <c r="AQ4719" s="31"/>
    </row>
    <row r="4720" spans="43:43" x14ac:dyDescent="0.2">
      <c r="AQ4720" s="31"/>
    </row>
    <row r="4721" spans="43:43" x14ac:dyDescent="0.2">
      <c r="AQ4721" s="31"/>
    </row>
    <row r="4722" spans="43:43" x14ac:dyDescent="0.2">
      <c r="AQ4722" s="31"/>
    </row>
    <row r="4723" spans="43:43" x14ac:dyDescent="0.2">
      <c r="AQ4723" s="31"/>
    </row>
    <row r="4724" spans="43:43" x14ac:dyDescent="0.2">
      <c r="AQ4724" s="31"/>
    </row>
    <row r="4725" spans="43:43" x14ac:dyDescent="0.2">
      <c r="AQ4725" s="31"/>
    </row>
    <row r="4726" spans="43:43" x14ac:dyDescent="0.2">
      <c r="AQ4726" s="31"/>
    </row>
    <row r="4727" spans="43:43" x14ac:dyDescent="0.2">
      <c r="AQ4727" s="31"/>
    </row>
    <row r="4728" spans="43:43" x14ac:dyDescent="0.2">
      <c r="AQ4728" s="31"/>
    </row>
    <row r="4729" spans="43:43" x14ac:dyDescent="0.2">
      <c r="AQ4729" s="31"/>
    </row>
    <row r="4730" spans="43:43" x14ac:dyDescent="0.2">
      <c r="AQ4730" s="31"/>
    </row>
    <row r="4731" spans="43:43" x14ac:dyDescent="0.2">
      <c r="AQ4731" s="31"/>
    </row>
    <row r="4732" spans="43:43" x14ac:dyDescent="0.2">
      <c r="AQ4732" s="31"/>
    </row>
    <row r="4733" spans="43:43" x14ac:dyDescent="0.2">
      <c r="AQ4733" s="31"/>
    </row>
    <row r="4734" spans="43:43" x14ac:dyDescent="0.2">
      <c r="AQ4734" s="31"/>
    </row>
    <row r="4735" spans="43:43" x14ac:dyDescent="0.2">
      <c r="AQ4735" s="31"/>
    </row>
    <row r="4736" spans="43:43" x14ac:dyDescent="0.2">
      <c r="AQ4736" s="31"/>
    </row>
    <row r="4737" spans="43:43" x14ac:dyDescent="0.2">
      <c r="AQ4737" s="31"/>
    </row>
    <row r="4738" spans="43:43" x14ac:dyDescent="0.2">
      <c r="AQ4738" s="31"/>
    </row>
    <row r="4739" spans="43:43" x14ac:dyDescent="0.2">
      <c r="AQ4739" s="31"/>
    </row>
    <row r="4740" spans="43:43" x14ac:dyDescent="0.2">
      <c r="AQ4740" s="31"/>
    </row>
    <row r="4741" spans="43:43" x14ac:dyDescent="0.2">
      <c r="AQ4741" s="31"/>
    </row>
    <row r="4742" spans="43:43" x14ac:dyDescent="0.2">
      <c r="AQ4742" s="31"/>
    </row>
    <row r="4743" spans="43:43" x14ac:dyDescent="0.2">
      <c r="AQ4743" s="31"/>
    </row>
    <row r="4744" spans="43:43" x14ac:dyDescent="0.2">
      <c r="AQ4744" s="31"/>
    </row>
    <row r="4745" spans="43:43" x14ac:dyDescent="0.2">
      <c r="AQ4745" s="31"/>
    </row>
    <row r="4746" spans="43:43" x14ac:dyDescent="0.2">
      <c r="AQ4746" s="31"/>
    </row>
    <row r="4747" spans="43:43" x14ac:dyDescent="0.2">
      <c r="AQ4747" s="31"/>
    </row>
    <row r="4748" spans="43:43" x14ac:dyDescent="0.2">
      <c r="AQ4748" s="31"/>
    </row>
    <row r="4749" spans="43:43" x14ac:dyDescent="0.2">
      <c r="AQ4749" s="31"/>
    </row>
    <row r="4750" spans="43:43" x14ac:dyDescent="0.2">
      <c r="AQ4750" s="31"/>
    </row>
    <row r="4751" spans="43:43" x14ac:dyDescent="0.2">
      <c r="AQ4751" s="31"/>
    </row>
    <row r="4752" spans="43:43" x14ac:dyDescent="0.2">
      <c r="AQ4752" s="31"/>
    </row>
    <row r="4753" spans="43:43" x14ac:dyDescent="0.2">
      <c r="AQ4753" s="31"/>
    </row>
    <row r="4754" spans="43:43" x14ac:dyDescent="0.2">
      <c r="AQ4754" s="31"/>
    </row>
    <row r="4755" spans="43:43" x14ac:dyDescent="0.2">
      <c r="AQ4755" s="31"/>
    </row>
    <row r="4756" spans="43:43" x14ac:dyDescent="0.2">
      <c r="AQ4756" s="31"/>
    </row>
    <row r="4757" spans="43:43" x14ac:dyDescent="0.2">
      <c r="AQ4757" s="31"/>
    </row>
    <row r="4758" spans="43:43" x14ac:dyDescent="0.2">
      <c r="AQ4758" s="31"/>
    </row>
    <row r="4759" spans="43:43" x14ac:dyDescent="0.2">
      <c r="AQ4759" s="31"/>
    </row>
    <row r="4760" spans="43:43" x14ac:dyDescent="0.2">
      <c r="AQ4760" s="31"/>
    </row>
    <row r="4761" spans="43:43" x14ac:dyDescent="0.2">
      <c r="AQ4761" s="31"/>
    </row>
    <row r="4762" spans="43:43" x14ac:dyDescent="0.2">
      <c r="AQ4762" s="31"/>
    </row>
    <row r="4763" spans="43:43" x14ac:dyDescent="0.2">
      <c r="AQ4763" s="31"/>
    </row>
    <row r="4764" spans="43:43" x14ac:dyDescent="0.2">
      <c r="AQ4764" s="31"/>
    </row>
    <row r="4765" spans="43:43" x14ac:dyDescent="0.2">
      <c r="AQ4765" s="31"/>
    </row>
    <row r="4766" spans="43:43" x14ac:dyDescent="0.2">
      <c r="AQ4766" s="31"/>
    </row>
    <row r="4767" spans="43:43" x14ac:dyDescent="0.2">
      <c r="AQ4767" s="31"/>
    </row>
    <row r="4768" spans="43:43" x14ac:dyDescent="0.2">
      <c r="AQ4768" s="31"/>
    </row>
    <row r="4769" spans="43:43" x14ac:dyDescent="0.2">
      <c r="AQ4769" s="31"/>
    </row>
    <row r="4770" spans="43:43" x14ac:dyDescent="0.2">
      <c r="AQ4770" s="31"/>
    </row>
    <row r="4771" spans="43:43" x14ac:dyDescent="0.2">
      <c r="AQ4771" s="31"/>
    </row>
    <row r="4772" spans="43:43" x14ac:dyDescent="0.2">
      <c r="AQ4772" s="31"/>
    </row>
    <row r="4773" spans="43:43" x14ac:dyDescent="0.2">
      <c r="AQ4773" s="31"/>
    </row>
    <row r="4774" spans="43:43" x14ac:dyDescent="0.2">
      <c r="AQ4774" s="31"/>
    </row>
    <row r="4775" spans="43:43" x14ac:dyDescent="0.2">
      <c r="AQ4775" s="31"/>
    </row>
    <row r="4776" spans="43:43" x14ac:dyDescent="0.2">
      <c r="AQ4776" s="31"/>
    </row>
    <row r="4777" spans="43:43" x14ac:dyDescent="0.2">
      <c r="AQ4777" s="31"/>
    </row>
    <row r="4778" spans="43:43" x14ac:dyDescent="0.2">
      <c r="AQ4778" s="31"/>
    </row>
    <row r="4779" spans="43:43" x14ac:dyDescent="0.2">
      <c r="AQ4779" s="31"/>
    </row>
    <row r="4780" spans="43:43" x14ac:dyDescent="0.2">
      <c r="AQ4780" s="31"/>
    </row>
    <row r="4781" spans="43:43" x14ac:dyDescent="0.2">
      <c r="AQ4781" s="31"/>
    </row>
    <row r="4782" spans="43:43" x14ac:dyDescent="0.2">
      <c r="AQ4782" s="31"/>
    </row>
    <row r="4783" spans="43:43" x14ac:dyDescent="0.2">
      <c r="AQ4783" s="31"/>
    </row>
    <row r="4784" spans="43:43" x14ac:dyDescent="0.2">
      <c r="AQ4784" s="31"/>
    </row>
    <row r="4785" spans="43:43" x14ac:dyDescent="0.2">
      <c r="AQ4785" s="31"/>
    </row>
    <row r="4786" spans="43:43" x14ac:dyDescent="0.2">
      <c r="AQ4786" s="31"/>
    </row>
    <row r="4787" spans="43:43" x14ac:dyDescent="0.2">
      <c r="AQ4787" s="31"/>
    </row>
    <row r="4788" spans="43:43" x14ac:dyDescent="0.2">
      <c r="AQ4788" s="31"/>
    </row>
    <row r="4789" spans="43:43" x14ac:dyDescent="0.2">
      <c r="AQ4789" s="31"/>
    </row>
    <row r="4790" spans="43:43" x14ac:dyDescent="0.2">
      <c r="AQ4790" s="31"/>
    </row>
    <row r="4791" spans="43:43" x14ac:dyDescent="0.2">
      <c r="AQ4791" s="31"/>
    </row>
    <row r="4792" spans="43:43" x14ac:dyDescent="0.2">
      <c r="AQ4792" s="31"/>
    </row>
    <row r="4793" spans="43:43" x14ac:dyDescent="0.2">
      <c r="AQ4793" s="31"/>
    </row>
    <row r="4794" spans="43:43" x14ac:dyDescent="0.2">
      <c r="AQ4794" s="31"/>
    </row>
    <row r="4795" spans="43:43" x14ac:dyDescent="0.2">
      <c r="AQ4795" s="31"/>
    </row>
    <row r="4796" spans="43:43" x14ac:dyDescent="0.2">
      <c r="AQ4796" s="31"/>
    </row>
    <row r="4797" spans="43:43" x14ac:dyDescent="0.2">
      <c r="AQ4797" s="31"/>
    </row>
    <row r="4798" spans="43:43" x14ac:dyDescent="0.2">
      <c r="AQ4798" s="31"/>
    </row>
    <row r="4799" spans="43:43" x14ac:dyDescent="0.2">
      <c r="AQ4799" s="31"/>
    </row>
    <row r="4800" spans="43:43" x14ac:dyDescent="0.2">
      <c r="AQ4800" s="31"/>
    </row>
    <row r="4801" spans="43:43" x14ac:dyDescent="0.2">
      <c r="AQ4801" s="31"/>
    </row>
    <row r="4802" spans="43:43" x14ac:dyDescent="0.2">
      <c r="AQ4802" s="31"/>
    </row>
    <row r="4803" spans="43:43" x14ac:dyDescent="0.2">
      <c r="AQ4803" s="31"/>
    </row>
    <row r="4804" spans="43:43" x14ac:dyDescent="0.2">
      <c r="AQ4804" s="31"/>
    </row>
    <row r="4805" spans="43:43" x14ac:dyDescent="0.2">
      <c r="AQ4805" s="31"/>
    </row>
    <row r="4806" spans="43:43" x14ac:dyDescent="0.2">
      <c r="AQ4806" s="31"/>
    </row>
    <row r="4807" spans="43:43" x14ac:dyDescent="0.2">
      <c r="AQ4807" s="31"/>
    </row>
    <row r="4808" spans="43:43" x14ac:dyDescent="0.2">
      <c r="AQ4808" s="31"/>
    </row>
    <row r="4809" spans="43:43" x14ac:dyDescent="0.2">
      <c r="AQ4809" s="31"/>
    </row>
    <row r="4810" spans="43:43" x14ac:dyDescent="0.2">
      <c r="AQ4810" s="31"/>
    </row>
    <row r="4811" spans="43:43" x14ac:dyDescent="0.2">
      <c r="AQ4811" s="31"/>
    </row>
    <row r="4812" spans="43:43" x14ac:dyDescent="0.2">
      <c r="AQ4812" s="31"/>
    </row>
    <row r="4813" spans="43:43" x14ac:dyDescent="0.2">
      <c r="AQ4813" s="31"/>
    </row>
    <row r="4814" spans="43:43" x14ac:dyDescent="0.2">
      <c r="AQ4814" s="31"/>
    </row>
    <row r="4815" spans="43:43" x14ac:dyDescent="0.2">
      <c r="AQ4815" s="31"/>
    </row>
    <row r="4816" spans="43:43" x14ac:dyDescent="0.2">
      <c r="AQ4816" s="31"/>
    </row>
    <row r="4817" spans="43:43" x14ac:dyDescent="0.2">
      <c r="AQ4817" s="31"/>
    </row>
    <row r="4818" spans="43:43" x14ac:dyDescent="0.2">
      <c r="AQ4818" s="31"/>
    </row>
    <row r="4819" spans="43:43" x14ac:dyDescent="0.2">
      <c r="AQ4819" s="31"/>
    </row>
    <row r="4820" spans="43:43" x14ac:dyDescent="0.2">
      <c r="AQ4820" s="31"/>
    </row>
    <row r="4821" spans="43:43" x14ac:dyDescent="0.2">
      <c r="AQ4821" s="31"/>
    </row>
    <row r="4822" spans="43:43" x14ac:dyDescent="0.2">
      <c r="AQ4822" s="31"/>
    </row>
    <row r="4823" spans="43:43" x14ac:dyDescent="0.2">
      <c r="AQ4823" s="31"/>
    </row>
    <row r="4824" spans="43:43" x14ac:dyDescent="0.2">
      <c r="AQ4824" s="31"/>
    </row>
    <row r="4825" spans="43:43" x14ac:dyDescent="0.2">
      <c r="AQ4825" s="31"/>
    </row>
    <row r="4826" spans="43:43" x14ac:dyDescent="0.2">
      <c r="AQ4826" s="31"/>
    </row>
    <row r="4827" spans="43:43" x14ac:dyDescent="0.2">
      <c r="AQ4827" s="31"/>
    </row>
    <row r="4828" spans="43:43" x14ac:dyDescent="0.2">
      <c r="AQ4828" s="31"/>
    </row>
    <row r="4829" spans="43:43" x14ac:dyDescent="0.2">
      <c r="AQ4829" s="31"/>
    </row>
    <row r="4830" spans="43:43" x14ac:dyDescent="0.2">
      <c r="AQ4830" s="31"/>
    </row>
    <row r="4831" spans="43:43" x14ac:dyDescent="0.2">
      <c r="AQ4831" s="31"/>
    </row>
    <row r="4832" spans="43:43" x14ac:dyDescent="0.2">
      <c r="AQ4832" s="31"/>
    </row>
    <row r="4833" spans="43:43" x14ac:dyDescent="0.2">
      <c r="AQ4833" s="31"/>
    </row>
    <row r="4834" spans="43:43" x14ac:dyDescent="0.2">
      <c r="AQ4834" s="31"/>
    </row>
    <row r="4835" spans="43:43" x14ac:dyDescent="0.2">
      <c r="AQ4835" s="31"/>
    </row>
    <row r="4836" spans="43:43" x14ac:dyDescent="0.2">
      <c r="AQ4836" s="31"/>
    </row>
    <row r="4837" spans="43:43" x14ac:dyDescent="0.2">
      <c r="AQ4837" s="31"/>
    </row>
    <row r="4838" spans="43:43" x14ac:dyDescent="0.2">
      <c r="AQ4838" s="31"/>
    </row>
    <row r="4839" spans="43:43" x14ac:dyDescent="0.2">
      <c r="AQ4839" s="31"/>
    </row>
    <row r="4840" spans="43:43" x14ac:dyDescent="0.2">
      <c r="AQ4840" s="31"/>
    </row>
    <row r="4841" spans="43:43" x14ac:dyDescent="0.2">
      <c r="AQ4841" s="31"/>
    </row>
    <row r="4842" spans="43:43" x14ac:dyDescent="0.2">
      <c r="AQ4842" s="31"/>
    </row>
    <row r="4843" spans="43:43" x14ac:dyDescent="0.2">
      <c r="AQ4843" s="31"/>
    </row>
    <row r="4844" spans="43:43" x14ac:dyDescent="0.2">
      <c r="AQ4844" s="31"/>
    </row>
    <row r="4845" spans="43:43" x14ac:dyDescent="0.2">
      <c r="AQ4845" s="31"/>
    </row>
    <row r="4846" spans="43:43" x14ac:dyDescent="0.2">
      <c r="AQ4846" s="31"/>
    </row>
    <row r="4847" spans="43:43" x14ac:dyDescent="0.2">
      <c r="AQ4847" s="31"/>
    </row>
    <row r="4848" spans="43:43" x14ac:dyDescent="0.2">
      <c r="AQ4848" s="31"/>
    </row>
    <row r="4849" spans="43:43" x14ac:dyDescent="0.2">
      <c r="AQ4849" s="31"/>
    </row>
    <row r="4850" spans="43:43" x14ac:dyDescent="0.2">
      <c r="AQ4850" s="31"/>
    </row>
    <row r="4851" spans="43:43" x14ac:dyDescent="0.2">
      <c r="AQ4851" s="31"/>
    </row>
    <row r="4852" spans="43:43" x14ac:dyDescent="0.2">
      <c r="AQ4852" s="31"/>
    </row>
    <row r="4853" spans="43:43" x14ac:dyDescent="0.2">
      <c r="AQ4853" s="31"/>
    </row>
    <row r="4854" spans="43:43" x14ac:dyDescent="0.2">
      <c r="AQ4854" s="31"/>
    </row>
    <row r="4855" spans="43:43" x14ac:dyDescent="0.2">
      <c r="AQ4855" s="31"/>
    </row>
    <row r="4856" spans="43:43" x14ac:dyDescent="0.2">
      <c r="AQ4856" s="31"/>
    </row>
    <row r="4857" spans="43:43" x14ac:dyDescent="0.2">
      <c r="AQ4857" s="31"/>
    </row>
    <row r="4858" spans="43:43" x14ac:dyDescent="0.2">
      <c r="AQ4858" s="31"/>
    </row>
    <row r="4859" spans="43:43" x14ac:dyDescent="0.2">
      <c r="AQ4859" s="31"/>
    </row>
    <row r="4860" spans="43:43" x14ac:dyDescent="0.2">
      <c r="AQ4860" s="31"/>
    </row>
    <row r="4861" spans="43:43" x14ac:dyDescent="0.2">
      <c r="AQ4861" s="31"/>
    </row>
    <row r="4862" spans="43:43" x14ac:dyDescent="0.2">
      <c r="AQ4862" s="31"/>
    </row>
    <row r="4863" spans="43:43" x14ac:dyDescent="0.2">
      <c r="AQ4863" s="31"/>
    </row>
    <row r="4864" spans="43:43" x14ac:dyDescent="0.2">
      <c r="AQ4864" s="31"/>
    </row>
    <row r="4865" spans="43:43" x14ac:dyDescent="0.2">
      <c r="AQ4865" s="31"/>
    </row>
    <row r="4866" spans="43:43" x14ac:dyDescent="0.2">
      <c r="AQ4866" s="31"/>
    </row>
    <row r="4867" spans="43:43" x14ac:dyDescent="0.2">
      <c r="AQ4867" s="31"/>
    </row>
    <row r="4868" spans="43:43" x14ac:dyDescent="0.2">
      <c r="AQ4868" s="31"/>
    </row>
    <row r="4869" spans="43:43" x14ac:dyDescent="0.2">
      <c r="AQ4869" s="31"/>
    </row>
    <row r="4870" spans="43:43" x14ac:dyDescent="0.2">
      <c r="AQ4870" s="31"/>
    </row>
    <row r="4871" spans="43:43" x14ac:dyDescent="0.2">
      <c r="AQ4871" s="31"/>
    </row>
    <row r="4872" spans="43:43" x14ac:dyDescent="0.2">
      <c r="AQ4872" s="31"/>
    </row>
    <row r="4873" spans="43:43" x14ac:dyDescent="0.2">
      <c r="AQ4873" s="31"/>
    </row>
    <row r="4874" spans="43:43" x14ac:dyDescent="0.2">
      <c r="AQ4874" s="31"/>
    </row>
    <row r="4875" spans="43:43" x14ac:dyDescent="0.2">
      <c r="AQ4875" s="31"/>
    </row>
    <row r="4876" spans="43:43" x14ac:dyDescent="0.2">
      <c r="AQ4876" s="31"/>
    </row>
    <row r="4877" spans="43:43" x14ac:dyDescent="0.2">
      <c r="AQ4877" s="31"/>
    </row>
    <row r="4878" spans="43:43" x14ac:dyDescent="0.2">
      <c r="AQ4878" s="31"/>
    </row>
    <row r="4879" spans="43:43" x14ac:dyDescent="0.2">
      <c r="AQ4879" s="31"/>
    </row>
    <row r="4880" spans="43:43" x14ac:dyDescent="0.2">
      <c r="AQ4880" s="31"/>
    </row>
    <row r="4881" spans="43:43" x14ac:dyDescent="0.2">
      <c r="AQ4881" s="31"/>
    </row>
    <row r="4882" spans="43:43" x14ac:dyDescent="0.2">
      <c r="AQ4882" s="31"/>
    </row>
    <row r="4883" spans="43:43" x14ac:dyDescent="0.2">
      <c r="AQ4883" s="31"/>
    </row>
    <row r="4884" spans="43:43" x14ac:dyDescent="0.2">
      <c r="AQ4884" s="31"/>
    </row>
    <row r="4885" spans="43:43" x14ac:dyDescent="0.2">
      <c r="AQ4885" s="31"/>
    </row>
    <row r="4886" spans="43:43" x14ac:dyDescent="0.2">
      <c r="AQ4886" s="31"/>
    </row>
    <row r="4887" spans="43:43" x14ac:dyDescent="0.2">
      <c r="AQ4887" s="31"/>
    </row>
    <row r="4888" spans="43:43" x14ac:dyDescent="0.2">
      <c r="AQ4888" s="31"/>
    </row>
    <row r="4889" spans="43:43" x14ac:dyDescent="0.2">
      <c r="AQ4889" s="31"/>
    </row>
    <row r="4890" spans="43:43" x14ac:dyDescent="0.2">
      <c r="AQ4890" s="31"/>
    </row>
    <row r="4891" spans="43:43" x14ac:dyDescent="0.2">
      <c r="AQ4891" s="31"/>
    </row>
    <row r="4892" spans="43:43" x14ac:dyDescent="0.2">
      <c r="AQ4892" s="31"/>
    </row>
    <row r="4893" spans="43:43" x14ac:dyDescent="0.2">
      <c r="AQ4893" s="31"/>
    </row>
    <row r="4894" spans="43:43" x14ac:dyDescent="0.2">
      <c r="AQ4894" s="31"/>
    </row>
    <row r="4895" spans="43:43" x14ac:dyDescent="0.2">
      <c r="AQ4895" s="31"/>
    </row>
    <row r="4896" spans="43:43" x14ac:dyDescent="0.2">
      <c r="AQ4896" s="31"/>
    </row>
    <row r="4897" spans="43:43" x14ac:dyDescent="0.2">
      <c r="AQ4897" s="31"/>
    </row>
    <row r="4898" spans="43:43" x14ac:dyDescent="0.2">
      <c r="AQ4898" s="31"/>
    </row>
    <row r="4899" spans="43:43" x14ac:dyDescent="0.2">
      <c r="AQ4899" s="31"/>
    </row>
    <row r="4900" spans="43:43" x14ac:dyDescent="0.2">
      <c r="AQ4900" s="31"/>
    </row>
    <row r="4901" spans="43:43" x14ac:dyDescent="0.2">
      <c r="AQ4901" s="31"/>
    </row>
    <row r="4902" spans="43:43" x14ac:dyDescent="0.2">
      <c r="AQ4902" s="31"/>
    </row>
    <row r="4903" spans="43:43" x14ac:dyDescent="0.2">
      <c r="AQ4903" s="31"/>
    </row>
    <row r="4904" spans="43:43" x14ac:dyDescent="0.2">
      <c r="AQ4904" s="31"/>
    </row>
    <row r="4905" spans="43:43" x14ac:dyDescent="0.2">
      <c r="AQ4905" s="31"/>
    </row>
    <row r="4906" spans="43:43" x14ac:dyDescent="0.2">
      <c r="AQ4906" s="31"/>
    </row>
    <row r="4907" spans="43:43" x14ac:dyDescent="0.2">
      <c r="AQ4907" s="31"/>
    </row>
    <row r="4908" spans="43:43" x14ac:dyDescent="0.2">
      <c r="AQ4908" s="31"/>
    </row>
    <row r="4909" spans="43:43" x14ac:dyDescent="0.2">
      <c r="AQ4909" s="31"/>
    </row>
    <row r="4910" spans="43:43" x14ac:dyDescent="0.2">
      <c r="AQ4910" s="31"/>
    </row>
    <row r="4911" spans="43:43" x14ac:dyDescent="0.2">
      <c r="AQ4911" s="31"/>
    </row>
    <row r="4912" spans="43:43" x14ac:dyDescent="0.2">
      <c r="AQ4912" s="31"/>
    </row>
    <row r="4913" spans="43:43" x14ac:dyDescent="0.2">
      <c r="AQ4913" s="31"/>
    </row>
    <row r="4914" spans="43:43" x14ac:dyDescent="0.2">
      <c r="AQ4914" s="31"/>
    </row>
    <row r="4915" spans="43:43" x14ac:dyDescent="0.2">
      <c r="AQ4915" s="31"/>
    </row>
    <row r="4916" spans="43:43" x14ac:dyDescent="0.2">
      <c r="AQ4916" s="31"/>
    </row>
    <row r="4917" spans="43:43" x14ac:dyDescent="0.2">
      <c r="AQ4917" s="31"/>
    </row>
    <row r="4918" spans="43:43" x14ac:dyDescent="0.2">
      <c r="AQ4918" s="31"/>
    </row>
    <row r="4919" spans="43:43" x14ac:dyDescent="0.2">
      <c r="AQ4919" s="31"/>
    </row>
    <row r="4920" spans="43:43" x14ac:dyDescent="0.2">
      <c r="AQ4920" s="31"/>
    </row>
    <row r="4921" spans="43:43" x14ac:dyDescent="0.2">
      <c r="AQ4921" s="31"/>
    </row>
    <row r="4922" spans="43:43" x14ac:dyDescent="0.2">
      <c r="AQ4922" s="31"/>
    </row>
    <row r="4923" spans="43:43" x14ac:dyDescent="0.2">
      <c r="AQ4923" s="31"/>
    </row>
    <row r="4924" spans="43:43" x14ac:dyDescent="0.2">
      <c r="AQ4924" s="31"/>
    </row>
    <row r="4925" spans="43:43" x14ac:dyDescent="0.2">
      <c r="AQ4925" s="31"/>
    </row>
    <row r="4926" spans="43:43" x14ac:dyDescent="0.2">
      <c r="AQ4926" s="31"/>
    </row>
    <row r="4927" spans="43:43" x14ac:dyDescent="0.2">
      <c r="AQ4927" s="31"/>
    </row>
    <row r="4928" spans="43:43" x14ac:dyDescent="0.2">
      <c r="AQ4928" s="31"/>
    </row>
    <row r="4929" spans="43:43" x14ac:dyDescent="0.2">
      <c r="AQ4929" s="31"/>
    </row>
    <row r="4930" spans="43:43" x14ac:dyDescent="0.2">
      <c r="AQ4930" s="31"/>
    </row>
    <row r="4931" spans="43:43" x14ac:dyDescent="0.2">
      <c r="AQ4931" s="31"/>
    </row>
    <row r="4932" spans="43:43" x14ac:dyDescent="0.2">
      <c r="AQ4932" s="31"/>
    </row>
    <row r="4933" spans="43:43" x14ac:dyDescent="0.2">
      <c r="AQ4933" s="31"/>
    </row>
    <row r="4934" spans="43:43" x14ac:dyDescent="0.2">
      <c r="AQ4934" s="31"/>
    </row>
    <row r="4935" spans="43:43" x14ac:dyDescent="0.2">
      <c r="AQ4935" s="31"/>
    </row>
    <row r="4936" spans="43:43" x14ac:dyDescent="0.2">
      <c r="AQ4936" s="31"/>
    </row>
    <row r="4937" spans="43:43" x14ac:dyDescent="0.2">
      <c r="AQ4937" s="31"/>
    </row>
    <row r="4938" spans="43:43" x14ac:dyDescent="0.2">
      <c r="AQ4938" s="31"/>
    </row>
    <row r="4939" spans="43:43" x14ac:dyDescent="0.2">
      <c r="AQ4939" s="31"/>
    </row>
    <row r="4940" spans="43:43" x14ac:dyDescent="0.2">
      <c r="AQ4940" s="31"/>
    </row>
    <row r="4941" spans="43:43" x14ac:dyDescent="0.2">
      <c r="AQ4941" s="31"/>
    </row>
    <row r="4942" spans="43:43" x14ac:dyDescent="0.2">
      <c r="AQ4942" s="31"/>
    </row>
    <row r="4943" spans="43:43" x14ac:dyDescent="0.2">
      <c r="AQ4943" s="31"/>
    </row>
    <row r="4944" spans="43:43" x14ac:dyDescent="0.2">
      <c r="AQ4944" s="31"/>
    </row>
    <row r="4945" spans="43:43" x14ac:dyDescent="0.2">
      <c r="AQ4945" s="31"/>
    </row>
    <row r="4946" spans="43:43" x14ac:dyDescent="0.2">
      <c r="AQ4946" s="31"/>
    </row>
    <row r="4947" spans="43:43" x14ac:dyDescent="0.2">
      <c r="AQ4947" s="31"/>
    </row>
    <row r="4948" spans="43:43" x14ac:dyDescent="0.2">
      <c r="AQ4948" s="31"/>
    </row>
    <row r="4949" spans="43:43" x14ac:dyDescent="0.2">
      <c r="AQ4949" s="31"/>
    </row>
    <row r="4950" spans="43:43" x14ac:dyDescent="0.2">
      <c r="AQ4950" s="31"/>
    </row>
    <row r="4951" spans="43:43" x14ac:dyDescent="0.2">
      <c r="AQ4951" s="31"/>
    </row>
    <row r="4952" spans="43:43" x14ac:dyDescent="0.2">
      <c r="AQ4952" s="31"/>
    </row>
    <row r="4953" spans="43:43" x14ac:dyDescent="0.2">
      <c r="AQ4953" s="31"/>
    </row>
    <row r="4954" spans="43:43" x14ac:dyDescent="0.2">
      <c r="AQ4954" s="31"/>
    </row>
    <row r="4955" spans="43:43" x14ac:dyDescent="0.2">
      <c r="AQ4955" s="31"/>
    </row>
    <row r="4956" spans="43:43" x14ac:dyDescent="0.2">
      <c r="AQ4956" s="31"/>
    </row>
    <row r="4957" spans="43:43" x14ac:dyDescent="0.2">
      <c r="AQ4957" s="31"/>
    </row>
    <row r="4958" spans="43:43" x14ac:dyDescent="0.2">
      <c r="AQ4958" s="31"/>
    </row>
    <row r="4959" spans="43:43" x14ac:dyDescent="0.2">
      <c r="AQ4959" s="31"/>
    </row>
    <row r="4960" spans="43:43" x14ac:dyDescent="0.2">
      <c r="AQ4960" s="31"/>
    </row>
    <row r="4961" spans="43:43" x14ac:dyDescent="0.2">
      <c r="AQ4961" s="31"/>
    </row>
    <row r="4962" spans="43:43" x14ac:dyDescent="0.2">
      <c r="AQ4962" s="31"/>
    </row>
    <row r="4963" spans="43:43" x14ac:dyDescent="0.2">
      <c r="AQ4963" s="31"/>
    </row>
    <row r="4964" spans="43:43" x14ac:dyDescent="0.2">
      <c r="AQ4964" s="31"/>
    </row>
    <row r="4965" spans="43:43" x14ac:dyDescent="0.2">
      <c r="AQ4965" s="31"/>
    </row>
    <row r="4966" spans="43:43" x14ac:dyDescent="0.2">
      <c r="AQ4966" s="31"/>
    </row>
    <row r="4967" spans="43:43" x14ac:dyDescent="0.2">
      <c r="AQ4967" s="31"/>
    </row>
    <row r="4968" spans="43:43" x14ac:dyDescent="0.2">
      <c r="AQ4968" s="31"/>
    </row>
    <row r="4969" spans="43:43" x14ac:dyDescent="0.2">
      <c r="AQ4969" s="31"/>
    </row>
    <row r="4970" spans="43:43" x14ac:dyDescent="0.2">
      <c r="AQ4970" s="31"/>
    </row>
    <row r="4971" spans="43:43" x14ac:dyDescent="0.2">
      <c r="AQ4971" s="31"/>
    </row>
    <row r="4972" spans="43:43" x14ac:dyDescent="0.2">
      <c r="AQ4972" s="31"/>
    </row>
    <row r="4973" spans="43:43" x14ac:dyDescent="0.2">
      <c r="AQ4973" s="31"/>
    </row>
    <row r="4974" spans="43:43" x14ac:dyDescent="0.2">
      <c r="AQ4974" s="31"/>
    </row>
    <row r="4975" spans="43:43" x14ac:dyDescent="0.2">
      <c r="AQ4975" s="31"/>
    </row>
    <row r="4976" spans="43:43" x14ac:dyDescent="0.2">
      <c r="AQ4976" s="31"/>
    </row>
    <row r="4977" spans="43:43" x14ac:dyDescent="0.2">
      <c r="AQ4977" s="31"/>
    </row>
    <row r="4978" spans="43:43" x14ac:dyDescent="0.2">
      <c r="AQ4978" s="31"/>
    </row>
    <row r="4979" spans="43:43" x14ac:dyDescent="0.2">
      <c r="AQ4979" s="31"/>
    </row>
    <row r="4980" spans="43:43" x14ac:dyDescent="0.2">
      <c r="AQ4980" s="31"/>
    </row>
    <row r="4981" spans="43:43" x14ac:dyDescent="0.2">
      <c r="AQ4981" s="31"/>
    </row>
    <row r="4982" spans="43:43" x14ac:dyDescent="0.2">
      <c r="AQ4982" s="31"/>
    </row>
    <row r="4983" spans="43:43" x14ac:dyDescent="0.2">
      <c r="AQ4983" s="31"/>
    </row>
    <row r="4984" spans="43:43" x14ac:dyDescent="0.2">
      <c r="AQ4984" s="31"/>
    </row>
    <row r="4985" spans="43:43" x14ac:dyDescent="0.2">
      <c r="AQ4985" s="31"/>
    </row>
    <row r="4986" spans="43:43" x14ac:dyDescent="0.2">
      <c r="AQ4986" s="31"/>
    </row>
    <row r="4987" spans="43:43" x14ac:dyDescent="0.2">
      <c r="AQ4987" s="31"/>
    </row>
    <row r="4988" spans="43:43" x14ac:dyDescent="0.2">
      <c r="AQ4988" s="31"/>
    </row>
    <row r="4989" spans="43:43" x14ac:dyDescent="0.2">
      <c r="AQ4989" s="31"/>
    </row>
    <row r="4990" spans="43:43" x14ac:dyDescent="0.2">
      <c r="AQ4990" s="31"/>
    </row>
    <row r="4991" spans="43:43" x14ac:dyDescent="0.2">
      <c r="AQ4991" s="31"/>
    </row>
    <row r="4992" spans="43:43" x14ac:dyDescent="0.2">
      <c r="AQ4992" s="31"/>
    </row>
    <row r="4993" spans="43:43" x14ac:dyDescent="0.2">
      <c r="AQ4993" s="31"/>
    </row>
    <row r="4994" spans="43:43" x14ac:dyDescent="0.2">
      <c r="AQ4994" s="31"/>
    </row>
    <row r="4995" spans="43:43" x14ac:dyDescent="0.2">
      <c r="AQ4995" s="31"/>
    </row>
    <row r="4996" spans="43:43" x14ac:dyDescent="0.2">
      <c r="AQ4996" s="31"/>
    </row>
    <row r="4997" spans="43:43" x14ac:dyDescent="0.2">
      <c r="AQ4997" s="31"/>
    </row>
    <row r="4998" spans="43:43" x14ac:dyDescent="0.2">
      <c r="AQ4998" s="31"/>
    </row>
    <row r="4999" spans="43:43" x14ac:dyDescent="0.2">
      <c r="AQ4999" s="31"/>
    </row>
    <row r="5000" spans="43:43" x14ac:dyDescent="0.2">
      <c r="AQ5000" s="31"/>
    </row>
    <row r="5001" spans="43:43" x14ac:dyDescent="0.2">
      <c r="AQ5001" s="31"/>
    </row>
    <row r="5002" spans="43:43" x14ac:dyDescent="0.2">
      <c r="AQ5002" s="31"/>
    </row>
    <row r="5003" spans="43:43" x14ac:dyDescent="0.2">
      <c r="AQ5003" s="31"/>
    </row>
    <row r="5004" spans="43:43" x14ac:dyDescent="0.2">
      <c r="AQ5004" s="31"/>
    </row>
    <row r="5005" spans="43:43" x14ac:dyDescent="0.2">
      <c r="AQ5005" s="31"/>
    </row>
    <row r="5006" spans="43:43" x14ac:dyDescent="0.2">
      <c r="AQ5006" s="31"/>
    </row>
    <row r="5007" spans="43:43" x14ac:dyDescent="0.2">
      <c r="AQ5007" s="31"/>
    </row>
    <row r="5008" spans="43:43" x14ac:dyDescent="0.2">
      <c r="AQ5008" s="31"/>
    </row>
    <row r="5009" spans="43:43" x14ac:dyDescent="0.2">
      <c r="AQ5009" s="31"/>
    </row>
    <row r="5010" spans="43:43" x14ac:dyDescent="0.2">
      <c r="AQ5010" s="31"/>
    </row>
    <row r="5011" spans="43:43" x14ac:dyDescent="0.2">
      <c r="AQ5011" s="31"/>
    </row>
    <row r="5012" spans="43:43" x14ac:dyDescent="0.2">
      <c r="AQ5012" s="31"/>
    </row>
    <row r="5013" spans="43:43" x14ac:dyDescent="0.2">
      <c r="AQ5013" s="31"/>
    </row>
    <row r="5014" spans="43:43" x14ac:dyDescent="0.2">
      <c r="AQ5014" s="31"/>
    </row>
    <row r="5015" spans="43:43" x14ac:dyDescent="0.2">
      <c r="AQ5015" s="31"/>
    </row>
    <row r="5016" spans="43:43" x14ac:dyDescent="0.2">
      <c r="AQ5016" s="31"/>
    </row>
    <row r="5017" spans="43:43" x14ac:dyDescent="0.2">
      <c r="AQ5017" s="31"/>
    </row>
    <row r="5018" spans="43:43" x14ac:dyDescent="0.2">
      <c r="AQ5018" s="31"/>
    </row>
    <row r="5019" spans="43:43" x14ac:dyDescent="0.2">
      <c r="AQ5019" s="31"/>
    </row>
    <row r="5020" spans="43:43" x14ac:dyDescent="0.2">
      <c r="AQ5020" s="31"/>
    </row>
    <row r="5021" spans="43:43" x14ac:dyDescent="0.2">
      <c r="AQ5021" s="31"/>
    </row>
    <row r="5022" spans="43:43" x14ac:dyDescent="0.2">
      <c r="AQ5022" s="31"/>
    </row>
    <row r="5023" spans="43:43" x14ac:dyDescent="0.2">
      <c r="AQ5023" s="31"/>
    </row>
    <row r="5024" spans="43:43" x14ac:dyDescent="0.2">
      <c r="AQ5024" s="31"/>
    </row>
    <row r="5025" spans="43:43" x14ac:dyDescent="0.2">
      <c r="AQ5025" s="31"/>
    </row>
    <row r="5026" spans="43:43" x14ac:dyDescent="0.2">
      <c r="AQ5026" s="31"/>
    </row>
    <row r="5027" spans="43:43" x14ac:dyDescent="0.2">
      <c r="AQ5027" s="31"/>
    </row>
    <row r="5028" spans="43:43" x14ac:dyDescent="0.2">
      <c r="AQ5028" s="31"/>
    </row>
    <row r="5029" spans="43:43" x14ac:dyDescent="0.2">
      <c r="AQ5029" s="31"/>
    </row>
    <row r="5030" spans="43:43" x14ac:dyDescent="0.2">
      <c r="AQ5030" s="31"/>
    </row>
    <row r="5031" spans="43:43" x14ac:dyDescent="0.2">
      <c r="AQ5031" s="31"/>
    </row>
    <row r="5032" spans="43:43" x14ac:dyDescent="0.2">
      <c r="AQ5032" s="31"/>
    </row>
    <row r="5033" spans="43:43" x14ac:dyDescent="0.2">
      <c r="AQ5033" s="31"/>
    </row>
    <row r="5034" spans="43:43" x14ac:dyDescent="0.2">
      <c r="AQ5034" s="31"/>
    </row>
    <row r="5035" spans="43:43" x14ac:dyDescent="0.2">
      <c r="AQ5035" s="31"/>
    </row>
    <row r="5036" spans="43:43" x14ac:dyDescent="0.2">
      <c r="AQ5036" s="31"/>
    </row>
    <row r="5037" spans="43:43" x14ac:dyDescent="0.2">
      <c r="AQ5037" s="31"/>
    </row>
    <row r="5038" spans="43:43" x14ac:dyDescent="0.2">
      <c r="AQ5038" s="31"/>
    </row>
    <row r="5039" spans="43:43" x14ac:dyDescent="0.2">
      <c r="AQ5039" s="31"/>
    </row>
    <row r="5040" spans="43:43" x14ac:dyDescent="0.2">
      <c r="AQ5040" s="31"/>
    </row>
    <row r="5041" spans="43:43" x14ac:dyDescent="0.2">
      <c r="AQ5041" s="31"/>
    </row>
    <row r="5042" spans="43:43" x14ac:dyDescent="0.2">
      <c r="AQ5042" s="31"/>
    </row>
    <row r="5043" spans="43:43" x14ac:dyDescent="0.2">
      <c r="AQ5043" s="31"/>
    </row>
    <row r="5044" spans="43:43" x14ac:dyDescent="0.2">
      <c r="AQ5044" s="31"/>
    </row>
    <row r="5045" spans="43:43" x14ac:dyDescent="0.2">
      <c r="AQ5045" s="31"/>
    </row>
    <row r="5046" spans="43:43" x14ac:dyDescent="0.2">
      <c r="AQ5046" s="31"/>
    </row>
    <row r="5047" spans="43:43" x14ac:dyDescent="0.2">
      <c r="AQ5047" s="31"/>
    </row>
    <row r="5048" spans="43:43" x14ac:dyDescent="0.2">
      <c r="AQ5048" s="31"/>
    </row>
    <row r="5049" spans="43:43" x14ac:dyDescent="0.2">
      <c r="AQ5049" s="31"/>
    </row>
    <row r="5050" spans="43:43" x14ac:dyDescent="0.2">
      <c r="AQ5050" s="31"/>
    </row>
    <row r="5051" spans="43:43" x14ac:dyDescent="0.2">
      <c r="AQ5051" s="31"/>
    </row>
    <row r="5052" spans="43:43" x14ac:dyDescent="0.2">
      <c r="AQ5052" s="31"/>
    </row>
    <row r="5053" spans="43:43" x14ac:dyDescent="0.2">
      <c r="AQ5053" s="31"/>
    </row>
    <row r="5054" spans="43:43" x14ac:dyDescent="0.2">
      <c r="AQ5054" s="31"/>
    </row>
    <row r="5055" spans="43:43" x14ac:dyDescent="0.2">
      <c r="AQ5055" s="31"/>
    </row>
    <row r="5056" spans="43:43" x14ac:dyDescent="0.2">
      <c r="AQ5056" s="31"/>
    </row>
    <row r="5057" spans="43:43" x14ac:dyDescent="0.2">
      <c r="AQ5057" s="31"/>
    </row>
    <row r="5058" spans="43:43" x14ac:dyDescent="0.2">
      <c r="AQ5058" s="31"/>
    </row>
    <row r="5059" spans="43:43" x14ac:dyDescent="0.2">
      <c r="AQ5059" s="31"/>
    </row>
    <row r="5060" spans="43:43" x14ac:dyDescent="0.2">
      <c r="AQ5060" s="31"/>
    </row>
    <row r="5061" spans="43:43" x14ac:dyDescent="0.2">
      <c r="AQ5061" s="31"/>
    </row>
    <row r="5062" spans="43:43" x14ac:dyDescent="0.2">
      <c r="AQ5062" s="31"/>
    </row>
    <row r="5063" spans="43:43" x14ac:dyDescent="0.2">
      <c r="AQ5063" s="31"/>
    </row>
    <row r="5064" spans="43:43" x14ac:dyDescent="0.2">
      <c r="AQ5064" s="31"/>
    </row>
    <row r="5065" spans="43:43" x14ac:dyDescent="0.2">
      <c r="AQ5065" s="31"/>
    </row>
    <row r="5066" spans="43:43" x14ac:dyDescent="0.2">
      <c r="AQ5066" s="31"/>
    </row>
    <row r="5067" spans="43:43" x14ac:dyDescent="0.2">
      <c r="AQ5067" s="31"/>
    </row>
    <row r="5068" spans="43:43" x14ac:dyDescent="0.2">
      <c r="AQ5068" s="31"/>
    </row>
    <row r="5069" spans="43:43" x14ac:dyDescent="0.2">
      <c r="AQ5069" s="31"/>
    </row>
    <row r="5070" spans="43:43" x14ac:dyDescent="0.2">
      <c r="AQ5070" s="31"/>
    </row>
    <row r="5071" spans="43:43" x14ac:dyDescent="0.2">
      <c r="AQ5071" s="31"/>
    </row>
    <row r="5072" spans="43:43" x14ac:dyDescent="0.2">
      <c r="AQ5072" s="31"/>
    </row>
    <row r="5073" spans="43:43" x14ac:dyDescent="0.2">
      <c r="AQ5073" s="31"/>
    </row>
    <row r="5074" spans="43:43" x14ac:dyDescent="0.2">
      <c r="AQ5074" s="31"/>
    </row>
    <row r="5075" spans="43:43" x14ac:dyDescent="0.2">
      <c r="AQ5075" s="31"/>
    </row>
    <row r="5076" spans="43:43" x14ac:dyDescent="0.2">
      <c r="AQ5076" s="31"/>
    </row>
    <row r="5077" spans="43:43" x14ac:dyDescent="0.2">
      <c r="AQ5077" s="31"/>
    </row>
    <row r="5078" spans="43:43" x14ac:dyDescent="0.2">
      <c r="AQ5078" s="31"/>
    </row>
    <row r="5079" spans="43:43" x14ac:dyDescent="0.2">
      <c r="AQ5079" s="31"/>
    </row>
    <row r="5080" spans="43:43" x14ac:dyDescent="0.2">
      <c r="AQ5080" s="31"/>
    </row>
    <row r="5081" spans="43:43" x14ac:dyDescent="0.2">
      <c r="AQ5081" s="31"/>
    </row>
    <row r="5082" spans="43:43" x14ac:dyDescent="0.2">
      <c r="AQ5082" s="31"/>
    </row>
    <row r="5083" spans="43:43" x14ac:dyDescent="0.2">
      <c r="AQ5083" s="31"/>
    </row>
    <row r="5084" spans="43:43" x14ac:dyDescent="0.2">
      <c r="AQ5084" s="31"/>
    </row>
    <row r="5085" spans="43:43" x14ac:dyDescent="0.2">
      <c r="AQ5085" s="31"/>
    </row>
    <row r="5086" spans="43:43" x14ac:dyDescent="0.2">
      <c r="AQ5086" s="31"/>
    </row>
    <row r="5087" spans="43:43" x14ac:dyDescent="0.2">
      <c r="AQ5087" s="31"/>
    </row>
    <row r="5088" spans="43:43" x14ac:dyDescent="0.2">
      <c r="AQ5088" s="31"/>
    </row>
    <row r="5089" spans="43:43" x14ac:dyDescent="0.2">
      <c r="AQ5089" s="31"/>
    </row>
    <row r="5090" spans="43:43" x14ac:dyDescent="0.2">
      <c r="AQ5090" s="31"/>
    </row>
    <row r="5091" spans="43:43" x14ac:dyDescent="0.2">
      <c r="AQ5091" s="31"/>
    </row>
    <row r="5092" spans="43:43" x14ac:dyDescent="0.2">
      <c r="AQ5092" s="31"/>
    </row>
    <row r="5093" spans="43:43" x14ac:dyDescent="0.2">
      <c r="AQ5093" s="31"/>
    </row>
    <row r="5094" spans="43:43" x14ac:dyDescent="0.2">
      <c r="AQ5094" s="31"/>
    </row>
    <row r="5095" spans="43:43" x14ac:dyDescent="0.2">
      <c r="AQ5095" s="31"/>
    </row>
    <row r="5096" spans="43:43" x14ac:dyDescent="0.2">
      <c r="AQ5096" s="31"/>
    </row>
    <row r="5097" spans="43:43" x14ac:dyDescent="0.2">
      <c r="AQ5097" s="31"/>
    </row>
    <row r="5098" spans="43:43" x14ac:dyDescent="0.2">
      <c r="AQ5098" s="31"/>
    </row>
    <row r="5099" spans="43:43" x14ac:dyDescent="0.2">
      <c r="AQ5099" s="31"/>
    </row>
    <row r="5100" spans="43:43" x14ac:dyDescent="0.2">
      <c r="AQ5100" s="31"/>
    </row>
    <row r="5101" spans="43:43" x14ac:dyDescent="0.2">
      <c r="AQ5101" s="31"/>
    </row>
    <row r="5102" spans="43:43" x14ac:dyDescent="0.2">
      <c r="AQ5102" s="31"/>
    </row>
    <row r="5103" spans="43:43" x14ac:dyDescent="0.2">
      <c r="AQ5103" s="31"/>
    </row>
    <row r="5104" spans="43:43" x14ac:dyDescent="0.2">
      <c r="AQ5104" s="31"/>
    </row>
    <row r="5105" spans="43:43" x14ac:dyDescent="0.2">
      <c r="AQ5105" s="31"/>
    </row>
    <row r="5106" spans="43:43" x14ac:dyDescent="0.2">
      <c r="AQ5106" s="31"/>
    </row>
    <row r="5107" spans="43:43" x14ac:dyDescent="0.2">
      <c r="AQ5107" s="31"/>
    </row>
    <row r="5108" spans="43:43" x14ac:dyDescent="0.2">
      <c r="AQ5108" s="31"/>
    </row>
    <row r="5109" spans="43:43" x14ac:dyDescent="0.2">
      <c r="AQ5109" s="31"/>
    </row>
    <row r="5110" spans="43:43" x14ac:dyDescent="0.2">
      <c r="AQ5110" s="31"/>
    </row>
    <row r="5111" spans="43:43" x14ac:dyDescent="0.2">
      <c r="AQ5111" s="31"/>
    </row>
    <row r="5112" spans="43:43" x14ac:dyDescent="0.2">
      <c r="AQ5112" s="31"/>
    </row>
    <row r="5113" spans="43:43" x14ac:dyDescent="0.2">
      <c r="AQ5113" s="31"/>
    </row>
    <row r="5114" spans="43:43" x14ac:dyDescent="0.2">
      <c r="AQ5114" s="31"/>
    </row>
    <row r="5115" spans="43:43" x14ac:dyDescent="0.2">
      <c r="AQ5115" s="31"/>
    </row>
    <row r="5116" spans="43:43" x14ac:dyDescent="0.2">
      <c r="AQ5116" s="31"/>
    </row>
    <row r="5117" spans="43:43" x14ac:dyDescent="0.2">
      <c r="AQ5117" s="31"/>
    </row>
    <row r="5118" spans="43:43" x14ac:dyDescent="0.2">
      <c r="AQ5118" s="31"/>
    </row>
    <row r="5119" spans="43:43" x14ac:dyDescent="0.2">
      <c r="AQ5119" s="31"/>
    </row>
    <row r="5120" spans="43:43" x14ac:dyDescent="0.2">
      <c r="AQ5120" s="31"/>
    </row>
    <row r="5121" spans="43:43" x14ac:dyDescent="0.2">
      <c r="AQ5121" s="31"/>
    </row>
    <row r="5122" spans="43:43" x14ac:dyDescent="0.2">
      <c r="AQ5122" s="31"/>
    </row>
    <row r="5123" spans="43:43" x14ac:dyDescent="0.2">
      <c r="AQ5123" s="31"/>
    </row>
    <row r="5124" spans="43:43" x14ac:dyDescent="0.2">
      <c r="AQ5124" s="31"/>
    </row>
    <row r="5125" spans="43:43" x14ac:dyDescent="0.2">
      <c r="AQ5125" s="31"/>
    </row>
    <row r="5126" spans="43:43" x14ac:dyDescent="0.2">
      <c r="AQ5126" s="31"/>
    </row>
    <row r="5127" spans="43:43" x14ac:dyDescent="0.2">
      <c r="AQ5127" s="31"/>
    </row>
    <row r="5128" spans="43:43" x14ac:dyDescent="0.2">
      <c r="AQ5128" s="31"/>
    </row>
    <row r="5129" spans="43:43" x14ac:dyDescent="0.2">
      <c r="AQ5129" s="31"/>
    </row>
    <row r="5130" spans="43:43" x14ac:dyDescent="0.2">
      <c r="AQ5130" s="31"/>
    </row>
    <row r="5131" spans="43:43" x14ac:dyDescent="0.2">
      <c r="AQ5131" s="31"/>
    </row>
    <row r="5132" spans="43:43" x14ac:dyDescent="0.2">
      <c r="AQ5132" s="31"/>
    </row>
    <row r="5133" spans="43:43" x14ac:dyDescent="0.2">
      <c r="AQ5133" s="31"/>
    </row>
    <row r="5134" spans="43:43" x14ac:dyDescent="0.2">
      <c r="AQ5134" s="31"/>
    </row>
    <row r="5135" spans="43:43" x14ac:dyDescent="0.2">
      <c r="AQ5135" s="31"/>
    </row>
    <row r="5136" spans="43:43" x14ac:dyDescent="0.2">
      <c r="AQ5136" s="31"/>
    </row>
    <row r="5137" spans="43:43" x14ac:dyDescent="0.2">
      <c r="AQ5137" s="31"/>
    </row>
    <row r="5138" spans="43:43" x14ac:dyDescent="0.2">
      <c r="AQ5138" s="31"/>
    </row>
    <row r="5139" spans="43:43" x14ac:dyDescent="0.2">
      <c r="AQ5139" s="31"/>
    </row>
    <row r="5140" spans="43:43" x14ac:dyDescent="0.2">
      <c r="AQ5140" s="31"/>
    </row>
    <row r="5141" spans="43:43" x14ac:dyDescent="0.2">
      <c r="AQ5141" s="31"/>
    </row>
    <row r="5142" spans="43:43" x14ac:dyDescent="0.2">
      <c r="AQ5142" s="31"/>
    </row>
    <row r="5143" spans="43:43" x14ac:dyDescent="0.2">
      <c r="AQ5143" s="31"/>
    </row>
    <row r="5144" spans="43:43" x14ac:dyDescent="0.2">
      <c r="AQ5144" s="31"/>
    </row>
    <row r="5145" spans="43:43" x14ac:dyDescent="0.2">
      <c r="AQ5145" s="31"/>
    </row>
    <row r="5146" spans="43:43" x14ac:dyDescent="0.2">
      <c r="AQ5146" s="31"/>
    </row>
    <row r="5147" spans="43:43" x14ac:dyDescent="0.2">
      <c r="AQ5147" s="31"/>
    </row>
    <row r="5148" spans="43:43" x14ac:dyDescent="0.2">
      <c r="AQ5148" s="31"/>
    </row>
    <row r="5149" spans="43:43" x14ac:dyDescent="0.2">
      <c r="AQ5149" s="31"/>
    </row>
    <row r="5150" spans="43:43" x14ac:dyDescent="0.2">
      <c r="AQ5150" s="31"/>
    </row>
    <row r="5151" spans="43:43" x14ac:dyDescent="0.2">
      <c r="AQ5151" s="31"/>
    </row>
    <row r="5152" spans="43:43" x14ac:dyDescent="0.2">
      <c r="AQ5152" s="31"/>
    </row>
    <row r="5153" spans="43:43" x14ac:dyDescent="0.2">
      <c r="AQ5153" s="31"/>
    </row>
    <row r="5154" spans="43:43" x14ac:dyDescent="0.2">
      <c r="AQ5154" s="31"/>
    </row>
    <row r="5155" spans="43:43" x14ac:dyDescent="0.2">
      <c r="AQ5155" s="31"/>
    </row>
    <row r="5156" spans="43:43" x14ac:dyDescent="0.2">
      <c r="AQ5156" s="31"/>
    </row>
    <row r="5157" spans="43:43" x14ac:dyDescent="0.2">
      <c r="AQ5157" s="31"/>
    </row>
    <row r="5158" spans="43:43" x14ac:dyDescent="0.2">
      <c r="AQ5158" s="31"/>
    </row>
    <row r="5159" spans="43:43" x14ac:dyDescent="0.2">
      <c r="AQ5159" s="31"/>
    </row>
    <row r="5160" spans="43:43" x14ac:dyDescent="0.2">
      <c r="AQ5160" s="31"/>
    </row>
    <row r="5161" spans="43:43" x14ac:dyDescent="0.2">
      <c r="AQ5161" s="31"/>
    </row>
    <row r="5162" spans="43:43" x14ac:dyDescent="0.2">
      <c r="AQ5162" s="31"/>
    </row>
    <row r="5163" spans="43:43" x14ac:dyDescent="0.2">
      <c r="AQ5163" s="31"/>
    </row>
    <row r="5164" spans="43:43" x14ac:dyDescent="0.2">
      <c r="AQ5164" s="31"/>
    </row>
    <row r="5165" spans="43:43" x14ac:dyDescent="0.2">
      <c r="AQ5165" s="31"/>
    </row>
    <row r="5166" spans="43:43" x14ac:dyDescent="0.2">
      <c r="AQ5166" s="31"/>
    </row>
    <row r="5167" spans="43:43" x14ac:dyDescent="0.2">
      <c r="AQ5167" s="31"/>
    </row>
    <row r="5168" spans="43:43" x14ac:dyDescent="0.2">
      <c r="AQ5168" s="31"/>
    </row>
    <row r="5169" spans="43:43" x14ac:dyDescent="0.2">
      <c r="AQ5169" s="31"/>
    </row>
    <row r="5170" spans="43:43" x14ac:dyDescent="0.2">
      <c r="AQ5170" s="31"/>
    </row>
    <row r="5171" spans="43:43" x14ac:dyDescent="0.2">
      <c r="AQ5171" s="31"/>
    </row>
    <row r="5172" spans="43:43" x14ac:dyDescent="0.2">
      <c r="AQ5172" s="31"/>
    </row>
    <row r="5173" spans="43:43" x14ac:dyDescent="0.2">
      <c r="AQ5173" s="31"/>
    </row>
    <row r="5174" spans="43:43" x14ac:dyDescent="0.2">
      <c r="AQ5174" s="31"/>
    </row>
    <row r="5175" spans="43:43" x14ac:dyDescent="0.2">
      <c r="AQ5175" s="31"/>
    </row>
    <row r="5176" spans="43:43" x14ac:dyDescent="0.2">
      <c r="AQ5176" s="31"/>
    </row>
    <row r="5177" spans="43:43" x14ac:dyDescent="0.2">
      <c r="AQ5177" s="31"/>
    </row>
    <row r="5178" spans="43:43" x14ac:dyDescent="0.2">
      <c r="AQ5178" s="31"/>
    </row>
    <row r="5179" spans="43:43" x14ac:dyDescent="0.2">
      <c r="AQ5179" s="31"/>
    </row>
    <row r="5180" spans="43:43" x14ac:dyDescent="0.2">
      <c r="AQ5180" s="31"/>
    </row>
    <row r="5181" spans="43:43" x14ac:dyDescent="0.2">
      <c r="AQ5181" s="31"/>
    </row>
    <row r="5182" spans="43:43" x14ac:dyDescent="0.2">
      <c r="AQ5182" s="31"/>
    </row>
    <row r="5183" spans="43:43" x14ac:dyDescent="0.2">
      <c r="AQ5183" s="31"/>
    </row>
    <row r="5184" spans="43:43" x14ac:dyDescent="0.2">
      <c r="AQ5184" s="31"/>
    </row>
    <row r="5185" spans="43:43" x14ac:dyDescent="0.2">
      <c r="AQ5185" s="31"/>
    </row>
    <row r="5186" spans="43:43" x14ac:dyDescent="0.2">
      <c r="AQ5186" s="31"/>
    </row>
    <row r="5187" spans="43:43" x14ac:dyDescent="0.2">
      <c r="AQ5187" s="31"/>
    </row>
    <row r="5188" spans="43:43" x14ac:dyDescent="0.2">
      <c r="AQ5188" s="31"/>
    </row>
    <row r="5189" spans="43:43" x14ac:dyDescent="0.2">
      <c r="AQ5189" s="31"/>
    </row>
    <row r="5190" spans="43:43" x14ac:dyDescent="0.2">
      <c r="AQ5190" s="31"/>
    </row>
    <row r="5191" spans="43:43" x14ac:dyDescent="0.2">
      <c r="AQ5191" s="31"/>
    </row>
    <row r="5192" spans="43:43" x14ac:dyDescent="0.2">
      <c r="AQ5192" s="31"/>
    </row>
    <row r="5193" spans="43:43" x14ac:dyDescent="0.2">
      <c r="AQ5193" s="31"/>
    </row>
    <row r="5194" spans="43:43" x14ac:dyDescent="0.2">
      <c r="AQ5194" s="31"/>
    </row>
    <row r="5195" spans="43:43" x14ac:dyDescent="0.2">
      <c r="AQ5195" s="31"/>
    </row>
    <row r="5196" spans="43:43" x14ac:dyDescent="0.2">
      <c r="AQ5196" s="31"/>
    </row>
    <row r="5197" spans="43:43" x14ac:dyDescent="0.2">
      <c r="AQ5197" s="31"/>
    </row>
    <row r="5198" spans="43:43" x14ac:dyDescent="0.2">
      <c r="AQ5198" s="31"/>
    </row>
    <row r="5199" spans="43:43" x14ac:dyDescent="0.2">
      <c r="AQ5199" s="31"/>
    </row>
    <row r="5200" spans="43:43" x14ac:dyDescent="0.2">
      <c r="AQ5200" s="31"/>
    </row>
    <row r="5201" spans="43:43" x14ac:dyDescent="0.2">
      <c r="AQ5201" s="31"/>
    </row>
    <row r="5202" spans="43:43" x14ac:dyDescent="0.2">
      <c r="AQ5202" s="31"/>
    </row>
    <row r="5203" spans="43:43" x14ac:dyDescent="0.2">
      <c r="AQ5203" s="31"/>
    </row>
    <row r="5204" spans="43:43" x14ac:dyDescent="0.2">
      <c r="AQ5204" s="31"/>
    </row>
    <row r="5205" spans="43:43" x14ac:dyDescent="0.2">
      <c r="AQ5205" s="31"/>
    </row>
    <row r="5206" spans="43:43" x14ac:dyDescent="0.2">
      <c r="AQ5206" s="31"/>
    </row>
    <row r="5207" spans="43:43" x14ac:dyDescent="0.2">
      <c r="AQ5207" s="31"/>
    </row>
    <row r="5208" spans="43:43" x14ac:dyDescent="0.2">
      <c r="AQ5208" s="31"/>
    </row>
    <row r="5209" spans="43:43" x14ac:dyDescent="0.2">
      <c r="AQ5209" s="31"/>
    </row>
    <row r="5210" spans="43:43" x14ac:dyDescent="0.2">
      <c r="AQ5210" s="31"/>
    </row>
    <row r="5211" spans="43:43" x14ac:dyDescent="0.2">
      <c r="AQ5211" s="31"/>
    </row>
    <row r="5212" spans="43:43" x14ac:dyDescent="0.2">
      <c r="AQ5212" s="31"/>
    </row>
    <row r="5213" spans="43:43" x14ac:dyDescent="0.2">
      <c r="AQ5213" s="31"/>
    </row>
    <row r="5214" spans="43:43" x14ac:dyDescent="0.2">
      <c r="AQ5214" s="31"/>
    </row>
    <row r="5215" spans="43:43" x14ac:dyDescent="0.2">
      <c r="AQ5215" s="31"/>
    </row>
    <row r="5216" spans="43:43" x14ac:dyDescent="0.2">
      <c r="AQ5216" s="31"/>
    </row>
    <row r="5217" spans="43:43" x14ac:dyDescent="0.2">
      <c r="AQ5217" s="31"/>
    </row>
    <row r="5218" spans="43:43" x14ac:dyDescent="0.2">
      <c r="AQ5218" s="31"/>
    </row>
    <row r="5219" spans="43:43" x14ac:dyDescent="0.2">
      <c r="AQ5219" s="31"/>
    </row>
    <row r="5220" spans="43:43" x14ac:dyDescent="0.2">
      <c r="AQ5220" s="31"/>
    </row>
    <row r="5221" spans="43:43" x14ac:dyDescent="0.2">
      <c r="AQ5221" s="31"/>
    </row>
    <row r="5222" spans="43:43" x14ac:dyDescent="0.2">
      <c r="AQ5222" s="31"/>
    </row>
    <row r="5223" spans="43:43" x14ac:dyDescent="0.2">
      <c r="AQ5223" s="31"/>
    </row>
    <row r="5224" spans="43:43" x14ac:dyDescent="0.2">
      <c r="AQ5224" s="31"/>
    </row>
    <row r="5225" spans="43:43" x14ac:dyDescent="0.2">
      <c r="AQ5225" s="31"/>
    </row>
    <row r="5226" spans="43:43" x14ac:dyDescent="0.2">
      <c r="AQ5226" s="31"/>
    </row>
    <row r="5227" spans="43:43" x14ac:dyDescent="0.2">
      <c r="AQ5227" s="31"/>
    </row>
    <row r="5228" spans="43:43" x14ac:dyDescent="0.2">
      <c r="AQ5228" s="31"/>
    </row>
    <row r="5229" spans="43:43" x14ac:dyDescent="0.2">
      <c r="AQ5229" s="31"/>
    </row>
    <row r="5230" spans="43:43" x14ac:dyDescent="0.2">
      <c r="AQ5230" s="31"/>
    </row>
    <row r="5231" spans="43:43" x14ac:dyDescent="0.2">
      <c r="AQ5231" s="31"/>
    </row>
    <row r="5232" spans="43:43" x14ac:dyDescent="0.2">
      <c r="AQ5232" s="31"/>
    </row>
    <row r="5233" spans="43:43" x14ac:dyDescent="0.2">
      <c r="AQ5233" s="31"/>
    </row>
    <row r="5234" spans="43:43" x14ac:dyDescent="0.2">
      <c r="AQ5234" s="31"/>
    </row>
    <row r="5235" spans="43:43" x14ac:dyDescent="0.2">
      <c r="AQ5235" s="31"/>
    </row>
    <row r="5236" spans="43:43" x14ac:dyDescent="0.2">
      <c r="AQ5236" s="31"/>
    </row>
    <row r="5237" spans="43:43" x14ac:dyDescent="0.2">
      <c r="AQ5237" s="31"/>
    </row>
    <row r="5238" spans="43:43" x14ac:dyDescent="0.2">
      <c r="AQ5238" s="31"/>
    </row>
    <row r="5239" spans="43:43" x14ac:dyDescent="0.2">
      <c r="AQ5239" s="31"/>
    </row>
    <row r="5240" spans="43:43" x14ac:dyDescent="0.2">
      <c r="AQ5240" s="31"/>
    </row>
    <row r="5241" spans="43:43" x14ac:dyDescent="0.2">
      <c r="AQ5241" s="31"/>
    </row>
    <row r="5242" spans="43:43" x14ac:dyDescent="0.2">
      <c r="AQ5242" s="31"/>
    </row>
    <row r="5243" spans="43:43" x14ac:dyDescent="0.2">
      <c r="AQ5243" s="31"/>
    </row>
    <row r="5244" spans="43:43" x14ac:dyDescent="0.2">
      <c r="AQ5244" s="31"/>
    </row>
    <row r="5245" spans="43:43" x14ac:dyDescent="0.2">
      <c r="AQ5245" s="31"/>
    </row>
    <row r="5246" spans="43:43" x14ac:dyDescent="0.2">
      <c r="AQ5246" s="31"/>
    </row>
    <row r="5247" spans="43:43" x14ac:dyDescent="0.2">
      <c r="AQ5247" s="31"/>
    </row>
    <row r="5248" spans="43:43" x14ac:dyDescent="0.2">
      <c r="AQ5248" s="31"/>
    </row>
    <row r="5249" spans="43:43" x14ac:dyDescent="0.2">
      <c r="AQ5249" s="31"/>
    </row>
    <row r="5250" spans="43:43" x14ac:dyDescent="0.2">
      <c r="AQ5250" s="31"/>
    </row>
    <row r="5251" spans="43:43" x14ac:dyDescent="0.2">
      <c r="AQ5251" s="31"/>
    </row>
    <row r="5252" spans="43:43" x14ac:dyDescent="0.2">
      <c r="AQ5252" s="31"/>
    </row>
    <row r="5253" spans="43:43" x14ac:dyDescent="0.2">
      <c r="AQ5253" s="31"/>
    </row>
    <row r="5254" spans="43:43" x14ac:dyDescent="0.2">
      <c r="AQ5254" s="31"/>
    </row>
    <row r="5255" spans="43:43" x14ac:dyDescent="0.2">
      <c r="AQ5255" s="31"/>
    </row>
    <row r="5256" spans="43:43" x14ac:dyDescent="0.2">
      <c r="AQ5256" s="31"/>
    </row>
    <row r="5257" spans="43:43" x14ac:dyDescent="0.2">
      <c r="AQ5257" s="31"/>
    </row>
    <row r="5258" spans="43:43" x14ac:dyDescent="0.2">
      <c r="AQ5258" s="31"/>
    </row>
    <row r="5259" spans="43:43" x14ac:dyDescent="0.2">
      <c r="AQ5259" s="31"/>
    </row>
    <row r="5260" spans="43:43" x14ac:dyDescent="0.2">
      <c r="AQ5260" s="31"/>
    </row>
    <row r="5261" spans="43:43" x14ac:dyDescent="0.2">
      <c r="AQ5261" s="31"/>
    </row>
    <row r="5262" spans="43:43" x14ac:dyDescent="0.2">
      <c r="AQ5262" s="31"/>
    </row>
    <row r="5263" spans="43:43" x14ac:dyDescent="0.2">
      <c r="AQ5263" s="31"/>
    </row>
    <row r="5264" spans="43:43" x14ac:dyDescent="0.2">
      <c r="AQ5264" s="31"/>
    </row>
    <row r="5265" spans="43:43" x14ac:dyDescent="0.2">
      <c r="AQ5265" s="31"/>
    </row>
    <row r="5266" spans="43:43" x14ac:dyDescent="0.2">
      <c r="AQ5266" s="31"/>
    </row>
    <row r="5267" spans="43:43" x14ac:dyDescent="0.2">
      <c r="AQ5267" s="31"/>
    </row>
    <row r="5268" spans="43:43" x14ac:dyDescent="0.2">
      <c r="AQ5268" s="31"/>
    </row>
    <row r="5269" spans="43:43" x14ac:dyDescent="0.2">
      <c r="AQ5269" s="31"/>
    </row>
    <row r="5270" spans="43:43" x14ac:dyDescent="0.2">
      <c r="AQ5270" s="31"/>
    </row>
    <row r="5271" spans="43:43" x14ac:dyDescent="0.2">
      <c r="AQ5271" s="31"/>
    </row>
    <row r="5272" spans="43:43" x14ac:dyDescent="0.2">
      <c r="AQ5272" s="31"/>
    </row>
    <row r="5273" spans="43:43" x14ac:dyDescent="0.2">
      <c r="AQ5273" s="31"/>
    </row>
    <row r="5274" spans="43:43" x14ac:dyDescent="0.2">
      <c r="AQ5274" s="31"/>
    </row>
    <row r="5275" spans="43:43" x14ac:dyDescent="0.2">
      <c r="AQ5275" s="31"/>
    </row>
    <row r="5276" spans="43:43" x14ac:dyDescent="0.2">
      <c r="AQ5276" s="31"/>
    </row>
    <row r="5277" spans="43:43" x14ac:dyDescent="0.2">
      <c r="AQ5277" s="31"/>
    </row>
    <row r="5278" spans="43:43" x14ac:dyDescent="0.2">
      <c r="AQ5278" s="31"/>
    </row>
    <row r="5279" spans="43:43" x14ac:dyDescent="0.2">
      <c r="AQ5279" s="31"/>
    </row>
    <row r="5280" spans="43:43" x14ac:dyDescent="0.2">
      <c r="AQ5280" s="31"/>
    </row>
    <row r="5281" spans="43:43" x14ac:dyDescent="0.2">
      <c r="AQ5281" s="31"/>
    </row>
    <row r="5282" spans="43:43" x14ac:dyDescent="0.2">
      <c r="AQ5282" s="31"/>
    </row>
    <row r="5283" spans="43:43" x14ac:dyDescent="0.2">
      <c r="AQ5283" s="31"/>
    </row>
    <row r="5284" spans="43:43" x14ac:dyDescent="0.2">
      <c r="AQ5284" s="31"/>
    </row>
    <row r="5285" spans="43:43" x14ac:dyDescent="0.2">
      <c r="AQ5285" s="31"/>
    </row>
    <row r="5286" spans="43:43" x14ac:dyDescent="0.2">
      <c r="AQ5286" s="31"/>
    </row>
    <row r="5287" spans="43:43" x14ac:dyDescent="0.2">
      <c r="AQ5287" s="31"/>
    </row>
    <row r="5288" spans="43:43" x14ac:dyDescent="0.2">
      <c r="AQ5288" s="31"/>
    </row>
    <row r="5289" spans="43:43" x14ac:dyDescent="0.2">
      <c r="AQ5289" s="31"/>
    </row>
    <row r="5290" spans="43:43" x14ac:dyDescent="0.2">
      <c r="AQ5290" s="31"/>
    </row>
    <row r="5291" spans="43:43" x14ac:dyDescent="0.2">
      <c r="AQ5291" s="31"/>
    </row>
    <row r="5292" spans="43:43" x14ac:dyDescent="0.2">
      <c r="AQ5292" s="31"/>
    </row>
    <row r="5293" spans="43:43" x14ac:dyDescent="0.2">
      <c r="AQ5293" s="31"/>
    </row>
    <row r="5294" spans="43:43" x14ac:dyDescent="0.2">
      <c r="AQ5294" s="31"/>
    </row>
    <row r="5295" spans="43:43" x14ac:dyDescent="0.2">
      <c r="AQ5295" s="31"/>
    </row>
    <row r="5296" spans="43:43" x14ac:dyDescent="0.2">
      <c r="AQ5296" s="31"/>
    </row>
    <row r="5297" spans="43:43" x14ac:dyDescent="0.2">
      <c r="AQ5297" s="31"/>
    </row>
    <row r="5298" spans="43:43" x14ac:dyDescent="0.2">
      <c r="AQ5298" s="31"/>
    </row>
    <row r="5299" spans="43:43" x14ac:dyDescent="0.2">
      <c r="AQ5299" s="31"/>
    </row>
    <row r="5300" spans="43:43" x14ac:dyDescent="0.2">
      <c r="AQ5300" s="31"/>
    </row>
    <row r="5301" spans="43:43" x14ac:dyDescent="0.2">
      <c r="AQ5301" s="31"/>
    </row>
    <row r="5302" spans="43:43" x14ac:dyDescent="0.2">
      <c r="AQ5302" s="31"/>
    </row>
    <row r="5303" spans="43:43" x14ac:dyDescent="0.2">
      <c r="AQ5303" s="31"/>
    </row>
    <row r="5304" spans="43:43" x14ac:dyDescent="0.2">
      <c r="AQ5304" s="31"/>
    </row>
    <row r="5305" spans="43:43" x14ac:dyDescent="0.2">
      <c r="AQ5305" s="31"/>
    </row>
    <row r="5306" spans="43:43" x14ac:dyDescent="0.2">
      <c r="AQ5306" s="31"/>
    </row>
    <row r="5307" spans="43:43" x14ac:dyDescent="0.2">
      <c r="AQ5307" s="31"/>
    </row>
    <row r="5308" spans="43:43" x14ac:dyDescent="0.2">
      <c r="AQ5308" s="31"/>
    </row>
    <row r="5309" spans="43:43" x14ac:dyDescent="0.2">
      <c r="AQ5309" s="31"/>
    </row>
    <row r="5310" spans="43:43" x14ac:dyDescent="0.2">
      <c r="AQ5310" s="31"/>
    </row>
    <row r="5311" spans="43:43" x14ac:dyDescent="0.2">
      <c r="AQ5311" s="31"/>
    </row>
    <row r="5312" spans="43:43" x14ac:dyDescent="0.2">
      <c r="AQ5312" s="31"/>
    </row>
    <row r="5313" spans="43:43" x14ac:dyDescent="0.2">
      <c r="AQ5313" s="31"/>
    </row>
    <row r="5314" spans="43:43" x14ac:dyDescent="0.2">
      <c r="AQ5314" s="31"/>
    </row>
    <row r="5315" spans="43:43" x14ac:dyDescent="0.2">
      <c r="AQ5315" s="31"/>
    </row>
    <row r="5316" spans="43:43" x14ac:dyDescent="0.2">
      <c r="AQ5316" s="31"/>
    </row>
    <row r="5317" spans="43:43" x14ac:dyDescent="0.2">
      <c r="AQ5317" s="31"/>
    </row>
    <row r="5318" spans="43:43" x14ac:dyDescent="0.2">
      <c r="AQ5318" s="31"/>
    </row>
    <row r="5319" spans="43:43" x14ac:dyDescent="0.2">
      <c r="AQ5319" s="31"/>
    </row>
    <row r="5320" spans="43:43" x14ac:dyDescent="0.2">
      <c r="AQ5320" s="31"/>
    </row>
    <row r="5321" spans="43:43" x14ac:dyDescent="0.2">
      <c r="AQ5321" s="31"/>
    </row>
    <row r="5322" spans="43:43" x14ac:dyDescent="0.2">
      <c r="AQ5322" s="31"/>
    </row>
    <row r="5323" spans="43:43" x14ac:dyDescent="0.2">
      <c r="AQ5323" s="31"/>
    </row>
    <row r="5324" spans="43:43" x14ac:dyDescent="0.2">
      <c r="AQ5324" s="31"/>
    </row>
    <row r="5325" spans="43:43" x14ac:dyDescent="0.2">
      <c r="AQ5325" s="31"/>
    </row>
    <row r="5326" spans="43:43" x14ac:dyDescent="0.2">
      <c r="AQ5326" s="31"/>
    </row>
    <row r="5327" spans="43:43" x14ac:dyDescent="0.2">
      <c r="AQ5327" s="31"/>
    </row>
    <row r="5328" spans="43:43" x14ac:dyDescent="0.2">
      <c r="AQ5328" s="31"/>
    </row>
    <row r="5329" spans="43:43" x14ac:dyDescent="0.2">
      <c r="AQ5329" s="31"/>
    </row>
    <row r="5330" spans="43:43" x14ac:dyDescent="0.2">
      <c r="AQ5330" s="31"/>
    </row>
    <row r="5331" spans="43:43" x14ac:dyDescent="0.2">
      <c r="AQ5331" s="31"/>
    </row>
    <row r="5332" spans="43:43" x14ac:dyDescent="0.2">
      <c r="AQ5332" s="31"/>
    </row>
    <row r="5333" spans="43:43" x14ac:dyDescent="0.2">
      <c r="AQ5333" s="31"/>
    </row>
    <row r="5334" spans="43:43" x14ac:dyDescent="0.2">
      <c r="AQ5334" s="31"/>
    </row>
    <row r="5335" spans="43:43" x14ac:dyDescent="0.2">
      <c r="AQ5335" s="31"/>
    </row>
    <row r="5336" spans="43:43" x14ac:dyDescent="0.2">
      <c r="AQ5336" s="31"/>
    </row>
    <row r="5337" spans="43:43" x14ac:dyDescent="0.2">
      <c r="AQ5337" s="31"/>
    </row>
    <row r="5338" spans="43:43" x14ac:dyDescent="0.2">
      <c r="AQ5338" s="31"/>
    </row>
    <row r="5339" spans="43:43" x14ac:dyDescent="0.2">
      <c r="AQ5339" s="31"/>
    </row>
    <row r="5340" spans="43:43" x14ac:dyDescent="0.2">
      <c r="AQ5340" s="31"/>
    </row>
    <row r="5341" spans="43:43" x14ac:dyDescent="0.2">
      <c r="AQ5341" s="31"/>
    </row>
    <row r="5342" spans="43:43" x14ac:dyDescent="0.2">
      <c r="AQ5342" s="31"/>
    </row>
    <row r="5343" spans="43:43" x14ac:dyDescent="0.2">
      <c r="AQ5343" s="31"/>
    </row>
    <row r="5344" spans="43:43" x14ac:dyDescent="0.2">
      <c r="AQ5344" s="31"/>
    </row>
    <row r="5345" spans="43:43" x14ac:dyDescent="0.2">
      <c r="AQ5345" s="31"/>
    </row>
    <row r="5346" spans="43:43" x14ac:dyDescent="0.2">
      <c r="AQ5346" s="31"/>
    </row>
    <row r="5347" spans="43:43" x14ac:dyDescent="0.2">
      <c r="AQ5347" s="31"/>
    </row>
    <row r="5348" spans="43:43" x14ac:dyDescent="0.2">
      <c r="AQ5348" s="31"/>
    </row>
    <row r="5349" spans="43:43" x14ac:dyDescent="0.2">
      <c r="AQ5349" s="31"/>
    </row>
    <row r="5350" spans="43:43" x14ac:dyDescent="0.2">
      <c r="AQ5350" s="31"/>
    </row>
    <row r="5351" spans="43:43" x14ac:dyDescent="0.2">
      <c r="AQ5351" s="31"/>
    </row>
    <row r="5352" spans="43:43" x14ac:dyDescent="0.2">
      <c r="AQ5352" s="31"/>
    </row>
    <row r="5353" spans="43:43" x14ac:dyDescent="0.2">
      <c r="AQ5353" s="31"/>
    </row>
    <row r="5354" spans="43:43" x14ac:dyDescent="0.2">
      <c r="AQ5354" s="31"/>
    </row>
    <row r="5355" spans="43:43" x14ac:dyDescent="0.2">
      <c r="AQ5355" s="31"/>
    </row>
    <row r="5356" spans="43:43" x14ac:dyDescent="0.2">
      <c r="AQ5356" s="31"/>
    </row>
    <row r="5357" spans="43:43" x14ac:dyDescent="0.2">
      <c r="AQ5357" s="31"/>
    </row>
    <row r="5358" spans="43:43" x14ac:dyDescent="0.2">
      <c r="AQ5358" s="31"/>
    </row>
    <row r="5359" spans="43:43" x14ac:dyDescent="0.2">
      <c r="AQ5359" s="31"/>
    </row>
    <row r="5360" spans="43:43" x14ac:dyDescent="0.2">
      <c r="AQ5360" s="31"/>
    </row>
    <row r="5361" spans="43:43" x14ac:dyDescent="0.2">
      <c r="AQ5361" s="31"/>
    </row>
    <row r="5362" spans="43:43" x14ac:dyDescent="0.2">
      <c r="AQ5362" s="31"/>
    </row>
    <row r="5363" spans="43:43" x14ac:dyDescent="0.2">
      <c r="AQ5363" s="31"/>
    </row>
    <row r="5364" spans="43:43" x14ac:dyDescent="0.2">
      <c r="AQ5364" s="31"/>
    </row>
    <row r="5365" spans="43:43" x14ac:dyDescent="0.2">
      <c r="AQ5365" s="31"/>
    </row>
    <row r="5366" spans="43:43" x14ac:dyDescent="0.2">
      <c r="AQ5366" s="31"/>
    </row>
    <row r="5367" spans="43:43" x14ac:dyDescent="0.2">
      <c r="AQ5367" s="31"/>
    </row>
    <row r="5368" spans="43:43" x14ac:dyDescent="0.2">
      <c r="AQ5368" s="31"/>
    </row>
    <row r="5369" spans="43:43" x14ac:dyDescent="0.2">
      <c r="AQ5369" s="31"/>
    </row>
    <row r="5370" spans="43:43" x14ac:dyDescent="0.2">
      <c r="AQ5370" s="31"/>
    </row>
    <row r="5371" spans="43:43" x14ac:dyDescent="0.2">
      <c r="AQ5371" s="31"/>
    </row>
    <row r="5372" spans="43:43" x14ac:dyDescent="0.2">
      <c r="AQ5372" s="31"/>
    </row>
    <row r="5373" spans="43:43" x14ac:dyDescent="0.2">
      <c r="AQ5373" s="31"/>
    </row>
    <row r="5374" spans="43:43" x14ac:dyDescent="0.2">
      <c r="AQ5374" s="31"/>
    </row>
    <row r="5375" spans="43:43" x14ac:dyDescent="0.2">
      <c r="AQ5375" s="31"/>
    </row>
    <row r="5376" spans="43:43" x14ac:dyDescent="0.2">
      <c r="AQ5376" s="31"/>
    </row>
    <row r="5377" spans="43:43" x14ac:dyDescent="0.2">
      <c r="AQ5377" s="31"/>
    </row>
    <row r="5378" spans="43:43" x14ac:dyDescent="0.2">
      <c r="AQ5378" s="31"/>
    </row>
    <row r="5379" spans="43:43" x14ac:dyDescent="0.2">
      <c r="AQ5379" s="31"/>
    </row>
    <row r="5380" spans="43:43" x14ac:dyDescent="0.2">
      <c r="AQ5380" s="31"/>
    </row>
    <row r="5381" spans="43:43" x14ac:dyDescent="0.2">
      <c r="AQ5381" s="31"/>
    </row>
    <row r="5382" spans="43:43" x14ac:dyDescent="0.2">
      <c r="AQ5382" s="31"/>
    </row>
    <row r="5383" spans="43:43" x14ac:dyDescent="0.2">
      <c r="AQ5383" s="31"/>
    </row>
    <row r="5384" spans="43:43" x14ac:dyDescent="0.2">
      <c r="AQ5384" s="31"/>
    </row>
    <row r="5385" spans="43:43" x14ac:dyDescent="0.2">
      <c r="AQ5385" s="31"/>
    </row>
    <row r="5386" spans="43:43" x14ac:dyDescent="0.2">
      <c r="AQ5386" s="31"/>
    </row>
    <row r="5387" spans="43:43" x14ac:dyDescent="0.2">
      <c r="AQ5387" s="31"/>
    </row>
    <row r="5388" spans="43:43" x14ac:dyDescent="0.2">
      <c r="AQ5388" s="31"/>
    </row>
    <row r="5389" spans="43:43" x14ac:dyDescent="0.2">
      <c r="AQ5389" s="31"/>
    </row>
    <row r="5390" spans="43:43" x14ac:dyDescent="0.2">
      <c r="AQ5390" s="31"/>
    </row>
    <row r="5391" spans="43:43" x14ac:dyDescent="0.2">
      <c r="AQ5391" s="31"/>
    </row>
    <row r="5392" spans="43:43" x14ac:dyDescent="0.2">
      <c r="AQ5392" s="31"/>
    </row>
    <row r="5393" spans="43:43" x14ac:dyDescent="0.2">
      <c r="AQ5393" s="31"/>
    </row>
    <row r="5394" spans="43:43" x14ac:dyDescent="0.2">
      <c r="AQ5394" s="31"/>
    </row>
    <row r="5395" spans="43:43" x14ac:dyDescent="0.2">
      <c r="AQ5395" s="31"/>
    </row>
    <row r="5396" spans="43:43" x14ac:dyDescent="0.2">
      <c r="AQ5396" s="31"/>
    </row>
    <row r="5397" spans="43:43" x14ac:dyDescent="0.2">
      <c r="AQ5397" s="31"/>
    </row>
    <row r="5398" spans="43:43" x14ac:dyDescent="0.2">
      <c r="AQ5398" s="31"/>
    </row>
    <row r="5399" spans="43:43" x14ac:dyDescent="0.2">
      <c r="AQ5399" s="31"/>
    </row>
    <row r="5400" spans="43:43" x14ac:dyDescent="0.2">
      <c r="AQ5400" s="31"/>
    </row>
    <row r="5401" spans="43:43" x14ac:dyDescent="0.2">
      <c r="AQ5401" s="31"/>
    </row>
    <row r="5402" spans="43:43" x14ac:dyDescent="0.2">
      <c r="AQ5402" s="31"/>
    </row>
    <row r="5403" spans="43:43" x14ac:dyDescent="0.2">
      <c r="AQ5403" s="31"/>
    </row>
    <row r="5404" spans="43:43" x14ac:dyDescent="0.2">
      <c r="AQ5404" s="31"/>
    </row>
    <row r="5405" spans="43:43" x14ac:dyDescent="0.2">
      <c r="AQ5405" s="31"/>
    </row>
    <row r="5406" spans="43:43" x14ac:dyDescent="0.2">
      <c r="AQ5406" s="31"/>
    </row>
    <row r="5407" spans="43:43" x14ac:dyDescent="0.2">
      <c r="AQ5407" s="31"/>
    </row>
    <row r="5408" spans="43:43" x14ac:dyDescent="0.2">
      <c r="AQ5408" s="31"/>
    </row>
    <row r="5409" spans="43:43" x14ac:dyDescent="0.2">
      <c r="AQ5409" s="31"/>
    </row>
    <row r="5410" spans="43:43" x14ac:dyDescent="0.2">
      <c r="AQ5410" s="31"/>
    </row>
    <row r="5411" spans="43:43" x14ac:dyDescent="0.2">
      <c r="AQ5411" s="31"/>
    </row>
    <row r="5412" spans="43:43" x14ac:dyDescent="0.2">
      <c r="AQ5412" s="31"/>
    </row>
    <row r="5413" spans="43:43" x14ac:dyDescent="0.2">
      <c r="AQ5413" s="31"/>
    </row>
    <row r="5414" spans="43:43" x14ac:dyDescent="0.2">
      <c r="AQ5414" s="31"/>
    </row>
    <row r="5415" spans="43:43" x14ac:dyDescent="0.2">
      <c r="AQ5415" s="31"/>
    </row>
    <row r="5416" spans="43:43" x14ac:dyDescent="0.2">
      <c r="AQ5416" s="31"/>
    </row>
    <row r="5417" spans="43:43" x14ac:dyDescent="0.2">
      <c r="AQ5417" s="31"/>
    </row>
    <row r="5418" spans="43:43" x14ac:dyDescent="0.2">
      <c r="AQ5418" s="31"/>
    </row>
    <row r="5419" spans="43:43" x14ac:dyDescent="0.2">
      <c r="AQ5419" s="31"/>
    </row>
    <row r="5420" spans="43:43" x14ac:dyDescent="0.2">
      <c r="AQ5420" s="31"/>
    </row>
    <row r="5421" spans="43:43" x14ac:dyDescent="0.2">
      <c r="AQ5421" s="31"/>
    </row>
    <row r="5422" spans="43:43" x14ac:dyDescent="0.2">
      <c r="AQ5422" s="31"/>
    </row>
    <row r="5423" spans="43:43" x14ac:dyDescent="0.2">
      <c r="AQ5423" s="31"/>
    </row>
    <row r="5424" spans="43:43" x14ac:dyDescent="0.2">
      <c r="AQ5424" s="31"/>
    </row>
    <row r="5425" spans="43:43" x14ac:dyDescent="0.2">
      <c r="AQ5425" s="31"/>
    </row>
    <row r="5426" spans="43:43" x14ac:dyDescent="0.2">
      <c r="AQ5426" s="31"/>
    </row>
    <row r="5427" spans="43:43" x14ac:dyDescent="0.2">
      <c r="AQ5427" s="31"/>
    </row>
    <row r="5428" spans="43:43" x14ac:dyDescent="0.2">
      <c r="AQ5428" s="31"/>
    </row>
    <row r="5429" spans="43:43" x14ac:dyDescent="0.2">
      <c r="AQ5429" s="31"/>
    </row>
    <row r="5430" spans="43:43" x14ac:dyDescent="0.2">
      <c r="AQ5430" s="31"/>
    </row>
    <row r="5431" spans="43:43" x14ac:dyDescent="0.2">
      <c r="AQ5431" s="31"/>
    </row>
    <row r="5432" spans="43:43" x14ac:dyDescent="0.2">
      <c r="AQ5432" s="31"/>
    </row>
    <row r="5433" spans="43:43" x14ac:dyDescent="0.2">
      <c r="AQ5433" s="31"/>
    </row>
    <row r="5434" spans="43:43" x14ac:dyDescent="0.2">
      <c r="AQ5434" s="31"/>
    </row>
    <row r="5435" spans="43:43" x14ac:dyDescent="0.2">
      <c r="AQ5435" s="31"/>
    </row>
    <row r="5436" spans="43:43" x14ac:dyDescent="0.2">
      <c r="AQ5436" s="31"/>
    </row>
    <row r="5437" spans="43:43" x14ac:dyDescent="0.2">
      <c r="AQ5437" s="31"/>
    </row>
    <row r="5438" spans="43:43" x14ac:dyDescent="0.2">
      <c r="AQ5438" s="31"/>
    </row>
    <row r="5439" spans="43:43" x14ac:dyDescent="0.2">
      <c r="AQ5439" s="31"/>
    </row>
    <row r="5440" spans="43:43" x14ac:dyDescent="0.2">
      <c r="AQ5440" s="31"/>
    </row>
    <row r="5441" spans="43:43" x14ac:dyDescent="0.2">
      <c r="AQ5441" s="31"/>
    </row>
    <row r="5442" spans="43:43" x14ac:dyDescent="0.2">
      <c r="AQ5442" s="31"/>
    </row>
    <row r="5443" spans="43:43" x14ac:dyDescent="0.2">
      <c r="AQ5443" s="31"/>
    </row>
    <row r="5444" spans="43:43" x14ac:dyDescent="0.2">
      <c r="AQ5444" s="31"/>
    </row>
    <row r="5445" spans="43:43" x14ac:dyDescent="0.2">
      <c r="AQ5445" s="31"/>
    </row>
    <row r="5446" spans="43:43" x14ac:dyDescent="0.2">
      <c r="AQ5446" s="31"/>
    </row>
    <row r="5447" spans="43:43" x14ac:dyDescent="0.2">
      <c r="AQ5447" s="31"/>
    </row>
    <row r="5448" spans="43:43" x14ac:dyDescent="0.2">
      <c r="AQ5448" s="31"/>
    </row>
    <row r="5449" spans="43:43" x14ac:dyDescent="0.2">
      <c r="AQ5449" s="31"/>
    </row>
    <row r="5450" spans="43:43" x14ac:dyDescent="0.2">
      <c r="AQ5450" s="31"/>
    </row>
    <row r="5451" spans="43:43" x14ac:dyDescent="0.2">
      <c r="AQ5451" s="31"/>
    </row>
    <row r="5452" spans="43:43" x14ac:dyDescent="0.2">
      <c r="AQ5452" s="31"/>
    </row>
    <row r="5453" spans="43:43" x14ac:dyDescent="0.2">
      <c r="AQ5453" s="31"/>
    </row>
    <row r="5454" spans="43:43" x14ac:dyDescent="0.2">
      <c r="AQ5454" s="31"/>
    </row>
    <row r="5455" spans="43:43" x14ac:dyDescent="0.2">
      <c r="AQ5455" s="31"/>
    </row>
    <row r="5456" spans="43:43" x14ac:dyDescent="0.2">
      <c r="AQ5456" s="31"/>
    </row>
    <row r="5457" spans="43:43" x14ac:dyDescent="0.2">
      <c r="AQ5457" s="31"/>
    </row>
    <row r="5458" spans="43:43" x14ac:dyDescent="0.2">
      <c r="AQ5458" s="31"/>
    </row>
    <row r="5459" spans="43:43" x14ac:dyDescent="0.2">
      <c r="AQ5459" s="31"/>
    </row>
    <row r="5460" spans="43:43" x14ac:dyDescent="0.2">
      <c r="AQ5460" s="31"/>
    </row>
    <row r="5461" spans="43:43" x14ac:dyDescent="0.2">
      <c r="AQ5461" s="31"/>
    </row>
    <row r="5462" spans="43:43" x14ac:dyDescent="0.2">
      <c r="AQ5462" s="31"/>
    </row>
    <row r="5463" spans="43:43" x14ac:dyDescent="0.2">
      <c r="AQ5463" s="31"/>
    </row>
    <row r="5464" spans="43:43" x14ac:dyDescent="0.2">
      <c r="AQ5464" s="31"/>
    </row>
    <row r="5465" spans="43:43" x14ac:dyDescent="0.2">
      <c r="AQ5465" s="31"/>
    </row>
    <row r="5466" spans="43:43" x14ac:dyDescent="0.2">
      <c r="AQ5466" s="31"/>
    </row>
    <row r="5467" spans="43:43" x14ac:dyDescent="0.2">
      <c r="AQ5467" s="31"/>
    </row>
    <row r="5468" spans="43:43" x14ac:dyDescent="0.2">
      <c r="AQ5468" s="31"/>
    </row>
    <row r="5469" spans="43:43" x14ac:dyDescent="0.2">
      <c r="AQ5469" s="31"/>
    </row>
    <row r="5470" spans="43:43" x14ac:dyDescent="0.2">
      <c r="AQ5470" s="31"/>
    </row>
    <row r="5471" spans="43:43" x14ac:dyDescent="0.2">
      <c r="AQ5471" s="31"/>
    </row>
    <row r="5472" spans="43:43" x14ac:dyDescent="0.2">
      <c r="AQ5472" s="31"/>
    </row>
    <row r="5473" spans="43:43" x14ac:dyDescent="0.2">
      <c r="AQ5473" s="31"/>
    </row>
    <row r="5474" spans="43:43" x14ac:dyDescent="0.2">
      <c r="AQ5474" s="31"/>
    </row>
    <row r="5475" spans="43:43" x14ac:dyDescent="0.2">
      <c r="AQ5475" s="31"/>
    </row>
    <row r="5476" spans="43:43" x14ac:dyDescent="0.2">
      <c r="AQ5476" s="31"/>
    </row>
    <row r="5477" spans="43:43" x14ac:dyDescent="0.2">
      <c r="AQ5477" s="31"/>
    </row>
    <row r="5478" spans="43:43" x14ac:dyDescent="0.2">
      <c r="AQ5478" s="31"/>
    </row>
    <row r="5479" spans="43:43" x14ac:dyDescent="0.2">
      <c r="AQ5479" s="31"/>
    </row>
    <row r="5480" spans="43:43" x14ac:dyDescent="0.2">
      <c r="AQ5480" s="31"/>
    </row>
    <row r="5481" spans="43:43" x14ac:dyDescent="0.2">
      <c r="AQ5481" s="31"/>
    </row>
    <row r="5482" spans="43:43" x14ac:dyDescent="0.2">
      <c r="AQ5482" s="31"/>
    </row>
    <row r="5483" spans="43:43" x14ac:dyDescent="0.2">
      <c r="AQ5483" s="31"/>
    </row>
    <row r="5484" spans="43:43" x14ac:dyDescent="0.2">
      <c r="AQ5484" s="31"/>
    </row>
    <row r="5485" spans="43:43" x14ac:dyDescent="0.2">
      <c r="AQ5485" s="31"/>
    </row>
    <row r="5486" spans="43:43" x14ac:dyDescent="0.2">
      <c r="AQ5486" s="31"/>
    </row>
    <row r="5487" spans="43:43" x14ac:dyDescent="0.2">
      <c r="AQ5487" s="31"/>
    </row>
    <row r="5488" spans="43:43" x14ac:dyDescent="0.2">
      <c r="AQ5488" s="31"/>
    </row>
    <row r="5489" spans="43:43" x14ac:dyDescent="0.2">
      <c r="AQ5489" s="31"/>
    </row>
    <row r="5490" spans="43:43" x14ac:dyDescent="0.2">
      <c r="AQ5490" s="31"/>
    </row>
    <row r="5491" spans="43:43" x14ac:dyDescent="0.2">
      <c r="AQ5491" s="31"/>
    </row>
    <row r="5492" spans="43:43" x14ac:dyDescent="0.2">
      <c r="AQ5492" s="31"/>
    </row>
    <row r="5493" spans="43:43" x14ac:dyDescent="0.2">
      <c r="AQ5493" s="31"/>
    </row>
    <row r="5494" spans="43:43" x14ac:dyDescent="0.2">
      <c r="AQ5494" s="31"/>
    </row>
    <row r="5495" spans="43:43" x14ac:dyDescent="0.2">
      <c r="AQ5495" s="31"/>
    </row>
    <row r="5496" spans="43:43" x14ac:dyDescent="0.2">
      <c r="AQ5496" s="31"/>
    </row>
    <row r="5497" spans="43:43" x14ac:dyDescent="0.2">
      <c r="AQ5497" s="31"/>
    </row>
    <row r="5498" spans="43:43" x14ac:dyDescent="0.2">
      <c r="AQ5498" s="31"/>
    </row>
    <row r="5499" spans="43:43" x14ac:dyDescent="0.2">
      <c r="AQ5499" s="31"/>
    </row>
    <row r="5500" spans="43:43" x14ac:dyDescent="0.2">
      <c r="AQ5500" s="31"/>
    </row>
    <row r="5501" spans="43:43" x14ac:dyDescent="0.2">
      <c r="AQ5501" s="31"/>
    </row>
    <row r="5502" spans="43:43" x14ac:dyDescent="0.2">
      <c r="AQ5502" s="31"/>
    </row>
    <row r="5503" spans="43:43" x14ac:dyDescent="0.2">
      <c r="AQ5503" s="31"/>
    </row>
    <row r="5504" spans="43:43" x14ac:dyDescent="0.2">
      <c r="AQ5504" s="31"/>
    </row>
    <row r="5505" spans="43:43" x14ac:dyDescent="0.2">
      <c r="AQ5505" s="31"/>
    </row>
    <row r="5506" spans="43:43" x14ac:dyDescent="0.2">
      <c r="AQ5506" s="31"/>
    </row>
    <row r="5507" spans="43:43" x14ac:dyDescent="0.2">
      <c r="AQ5507" s="31"/>
    </row>
    <row r="5508" spans="43:43" x14ac:dyDescent="0.2">
      <c r="AQ5508" s="31"/>
    </row>
    <row r="5509" spans="43:43" x14ac:dyDescent="0.2">
      <c r="AQ5509" s="31"/>
    </row>
    <row r="5510" spans="43:43" x14ac:dyDescent="0.2">
      <c r="AQ5510" s="31"/>
    </row>
    <row r="5511" spans="43:43" x14ac:dyDescent="0.2">
      <c r="AQ5511" s="31"/>
    </row>
    <row r="5512" spans="43:43" x14ac:dyDescent="0.2">
      <c r="AQ5512" s="31"/>
    </row>
    <row r="5513" spans="43:43" x14ac:dyDescent="0.2">
      <c r="AQ5513" s="31"/>
    </row>
    <row r="5514" spans="43:43" x14ac:dyDescent="0.2">
      <c r="AQ5514" s="31"/>
    </row>
    <row r="5515" spans="43:43" x14ac:dyDescent="0.2">
      <c r="AQ5515" s="31"/>
    </row>
    <row r="5516" spans="43:43" x14ac:dyDescent="0.2">
      <c r="AQ5516" s="31"/>
    </row>
    <row r="5517" spans="43:43" x14ac:dyDescent="0.2">
      <c r="AQ5517" s="31"/>
    </row>
    <row r="5518" spans="43:43" x14ac:dyDescent="0.2">
      <c r="AQ5518" s="31"/>
    </row>
    <row r="5519" spans="43:43" x14ac:dyDescent="0.2">
      <c r="AQ5519" s="31"/>
    </row>
    <row r="5520" spans="43:43" x14ac:dyDescent="0.2">
      <c r="AQ5520" s="31"/>
    </row>
    <row r="5521" spans="43:43" x14ac:dyDescent="0.2">
      <c r="AQ5521" s="31"/>
    </row>
    <row r="5522" spans="43:43" x14ac:dyDescent="0.2">
      <c r="AQ5522" s="31"/>
    </row>
    <row r="5523" spans="43:43" x14ac:dyDescent="0.2">
      <c r="AQ5523" s="31"/>
    </row>
    <row r="5524" spans="43:43" x14ac:dyDescent="0.2">
      <c r="AQ5524" s="31"/>
    </row>
    <row r="5525" spans="43:43" x14ac:dyDescent="0.2">
      <c r="AQ5525" s="31"/>
    </row>
    <row r="5526" spans="43:43" x14ac:dyDescent="0.2">
      <c r="AQ5526" s="31"/>
    </row>
    <row r="5527" spans="43:43" x14ac:dyDescent="0.2">
      <c r="AQ5527" s="31"/>
    </row>
    <row r="5528" spans="43:43" x14ac:dyDescent="0.2">
      <c r="AQ5528" s="31"/>
    </row>
    <row r="5529" spans="43:43" x14ac:dyDescent="0.2">
      <c r="AQ5529" s="31"/>
    </row>
    <row r="5530" spans="43:43" x14ac:dyDescent="0.2">
      <c r="AQ5530" s="31"/>
    </row>
    <row r="5531" spans="43:43" x14ac:dyDescent="0.2">
      <c r="AQ5531" s="31"/>
    </row>
    <row r="5532" spans="43:43" x14ac:dyDescent="0.2">
      <c r="AQ5532" s="31"/>
    </row>
    <row r="5533" spans="43:43" x14ac:dyDescent="0.2">
      <c r="AQ5533" s="31"/>
    </row>
    <row r="5534" spans="43:43" x14ac:dyDescent="0.2">
      <c r="AQ5534" s="31"/>
    </row>
    <row r="5535" spans="43:43" x14ac:dyDescent="0.2">
      <c r="AQ5535" s="31"/>
    </row>
    <row r="5536" spans="43:43" x14ac:dyDescent="0.2">
      <c r="AQ5536" s="31"/>
    </row>
    <row r="5537" spans="43:43" x14ac:dyDescent="0.2">
      <c r="AQ5537" s="31"/>
    </row>
    <row r="5538" spans="43:43" x14ac:dyDescent="0.2">
      <c r="AQ5538" s="31"/>
    </row>
    <row r="5539" spans="43:43" x14ac:dyDescent="0.2">
      <c r="AQ5539" s="31"/>
    </row>
    <row r="5540" spans="43:43" x14ac:dyDescent="0.2">
      <c r="AQ5540" s="31"/>
    </row>
    <row r="5541" spans="43:43" x14ac:dyDescent="0.2">
      <c r="AQ5541" s="31"/>
    </row>
    <row r="5542" spans="43:43" x14ac:dyDescent="0.2">
      <c r="AQ5542" s="31"/>
    </row>
    <row r="5543" spans="43:43" x14ac:dyDescent="0.2">
      <c r="AQ5543" s="31"/>
    </row>
    <row r="5544" spans="43:43" x14ac:dyDescent="0.2">
      <c r="AQ5544" s="31"/>
    </row>
    <row r="5545" spans="43:43" x14ac:dyDescent="0.2">
      <c r="AQ5545" s="31"/>
    </row>
    <row r="5546" spans="43:43" x14ac:dyDescent="0.2">
      <c r="AQ5546" s="31"/>
    </row>
    <row r="5547" spans="43:43" x14ac:dyDescent="0.2">
      <c r="AQ5547" s="31"/>
    </row>
    <row r="5548" spans="43:43" x14ac:dyDescent="0.2">
      <c r="AQ5548" s="31"/>
    </row>
    <row r="5549" spans="43:43" x14ac:dyDescent="0.2">
      <c r="AQ5549" s="31"/>
    </row>
    <row r="5550" spans="43:43" x14ac:dyDescent="0.2">
      <c r="AQ5550" s="31"/>
    </row>
    <row r="5551" spans="43:43" x14ac:dyDescent="0.2">
      <c r="AQ5551" s="31"/>
    </row>
    <row r="5552" spans="43:43" x14ac:dyDescent="0.2">
      <c r="AQ5552" s="31"/>
    </row>
    <row r="5553" spans="43:43" x14ac:dyDescent="0.2">
      <c r="AQ5553" s="31"/>
    </row>
    <row r="5554" spans="43:43" x14ac:dyDescent="0.2">
      <c r="AQ5554" s="31"/>
    </row>
    <row r="5555" spans="43:43" x14ac:dyDescent="0.2">
      <c r="AQ5555" s="31"/>
    </row>
    <row r="5556" spans="43:43" x14ac:dyDescent="0.2">
      <c r="AQ5556" s="31"/>
    </row>
    <row r="5557" spans="43:43" x14ac:dyDescent="0.2">
      <c r="AQ5557" s="31"/>
    </row>
    <row r="5558" spans="43:43" x14ac:dyDescent="0.2">
      <c r="AQ5558" s="31"/>
    </row>
    <row r="5559" spans="43:43" x14ac:dyDescent="0.2">
      <c r="AQ5559" s="31"/>
    </row>
    <row r="5560" spans="43:43" x14ac:dyDescent="0.2">
      <c r="AQ5560" s="31"/>
    </row>
    <row r="5561" spans="43:43" x14ac:dyDescent="0.2">
      <c r="AQ5561" s="31"/>
    </row>
    <row r="5562" spans="43:43" x14ac:dyDescent="0.2">
      <c r="AQ5562" s="31"/>
    </row>
    <row r="5563" spans="43:43" x14ac:dyDescent="0.2">
      <c r="AQ5563" s="31"/>
    </row>
    <row r="5564" spans="43:43" x14ac:dyDescent="0.2">
      <c r="AQ5564" s="31"/>
    </row>
    <row r="5565" spans="43:43" x14ac:dyDescent="0.2">
      <c r="AQ5565" s="31"/>
    </row>
    <row r="5566" spans="43:43" x14ac:dyDescent="0.2">
      <c r="AQ5566" s="31"/>
    </row>
    <row r="5567" spans="43:43" x14ac:dyDescent="0.2">
      <c r="AQ5567" s="31"/>
    </row>
    <row r="5568" spans="43:43" x14ac:dyDescent="0.2">
      <c r="AQ5568" s="31"/>
    </row>
    <row r="5569" spans="43:43" x14ac:dyDescent="0.2">
      <c r="AQ5569" s="31"/>
    </row>
    <row r="5570" spans="43:43" x14ac:dyDescent="0.2">
      <c r="AQ5570" s="31"/>
    </row>
    <row r="5571" spans="43:43" x14ac:dyDescent="0.2">
      <c r="AQ5571" s="31"/>
    </row>
    <row r="5572" spans="43:43" x14ac:dyDescent="0.2">
      <c r="AQ5572" s="31"/>
    </row>
    <row r="5573" spans="43:43" x14ac:dyDescent="0.2">
      <c r="AQ5573" s="31"/>
    </row>
    <row r="5574" spans="43:43" x14ac:dyDescent="0.2">
      <c r="AQ5574" s="31"/>
    </row>
    <row r="5575" spans="43:43" x14ac:dyDescent="0.2">
      <c r="AQ5575" s="31"/>
    </row>
    <row r="5576" spans="43:43" x14ac:dyDescent="0.2">
      <c r="AQ5576" s="31"/>
    </row>
    <row r="5577" spans="43:43" x14ac:dyDescent="0.2">
      <c r="AQ5577" s="31"/>
    </row>
    <row r="5578" spans="43:43" x14ac:dyDescent="0.2">
      <c r="AQ5578" s="31"/>
    </row>
    <row r="5579" spans="43:43" x14ac:dyDescent="0.2">
      <c r="AQ5579" s="31"/>
    </row>
    <row r="5580" spans="43:43" x14ac:dyDescent="0.2">
      <c r="AQ5580" s="31"/>
    </row>
    <row r="5581" spans="43:43" x14ac:dyDescent="0.2">
      <c r="AQ5581" s="31"/>
    </row>
    <row r="5582" spans="43:43" x14ac:dyDescent="0.2">
      <c r="AQ5582" s="31"/>
    </row>
    <row r="5583" spans="43:43" x14ac:dyDescent="0.2">
      <c r="AQ5583" s="31"/>
    </row>
    <row r="5584" spans="43:43" x14ac:dyDescent="0.2">
      <c r="AQ5584" s="31"/>
    </row>
    <row r="5585" spans="43:43" x14ac:dyDescent="0.2">
      <c r="AQ5585" s="31"/>
    </row>
    <row r="5586" spans="43:43" x14ac:dyDescent="0.2">
      <c r="AQ5586" s="31"/>
    </row>
    <row r="5587" spans="43:43" x14ac:dyDescent="0.2">
      <c r="AQ5587" s="31"/>
    </row>
    <row r="5588" spans="43:43" x14ac:dyDescent="0.2">
      <c r="AQ5588" s="31"/>
    </row>
    <row r="5589" spans="43:43" x14ac:dyDescent="0.2">
      <c r="AQ5589" s="31"/>
    </row>
    <row r="5590" spans="43:43" x14ac:dyDescent="0.2">
      <c r="AQ5590" s="31"/>
    </row>
    <row r="5591" spans="43:43" x14ac:dyDescent="0.2">
      <c r="AQ5591" s="31"/>
    </row>
    <row r="5592" spans="43:43" x14ac:dyDescent="0.2">
      <c r="AQ5592" s="31"/>
    </row>
    <row r="5593" spans="43:43" x14ac:dyDescent="0.2">
      <c r="AQ5593" s="31"/>
    </row>
    <row r="5594" spans="43:43" x14ac:dyDescent="0.2">
      <c r="AQ5594" s="31"/>
    </row>
    <row r="5595" spans="43:43" x14ac:dyDescent="0.2">
      <c r="AQ5595" s="31"/>
    </row>
    <row r="5596" spans="43:43" x14ac:dyDescent="0.2">
      <c r="AQ5596" s="31"/>
    </row>
    <row r="5597" spans="43:43" x14ac:dyDescent="0.2">
      <c r="AQ5597" s="31"/>
    </row>
    <row r="5598" spans="43:43" x14ac:dyDescent="0.2">
      <c r="AQ5598" s="31"/>
    </row>
    <row r="5599" spans="43:43" x14ac:dyDescent="0.2">
      <c r="AQ5599" s="31"/>
    </row>
    <row r="5600" spans="43:43" x14ac:dyDescent="0.2">
      <c r="AQ5600" s="31"/>
    </row>
    <row r="5601" spans="43:43" x14ac:dyDescent="0.2">
      <c r="AQ5601" s="31"/>
    </row>
    <row r="5602" spans="43:43" x14ac:dyDescent="0.2">
      <c r="AQ5602" s="31"/>
    </row>
    <row r="5603" spans="43:43" x14ac:dyDescent="0.2">
      <c r="AQ5603" s="31"/>
    </row>
    <row r="5604" spans="43:43" x14ac:dyDescent="0.2">
      <c r="AQ5604" s="31"/>
    </row>
    <row r="5605" spans="43:43" x14ac:dyDescent="0.2">
      <c r="AQ5605" s="31"/>
    </row>
    <row r="5606" spans="43:43" x14ac:dyDescent="0.2">
      <c r="AQ5606" s="31"/>
    </row>
    <row r="5607" spans="43:43" x14ac:dyDescent="0.2">
      <c r="AQ5607" s="31"/>
    </row>
    <row r="5608" spans="43:43" x14ac:dyDescent="0.2">
      <c r="AQ5608" s="31"/>
    </row>
    <row r="5609" spans="43:43" x14ac:dyDescent="0.2">
      <c r="AQ5609" s="31"/>
    </row>
    <row r="5610" spans="43:43" x14ac:dyDescent="0.2">
      <c r="AQ5610" s="31"/>
    </row>
    <row r="5611" spans="43:43" x14ac:dyDescent="0.2">
      <c r="AQ5611" s="31"/>
    </row>
    <row r="5612" spans="43:43" x14ac:dyDescent="0.2">
      <c r="AQ5612" s="31"/>
    </row>
    <row r="5613" spans="43:43" x14ac:dyDescent="0.2">
      <c r="AQ5613" s="31"/>
    </row>
    <row r="5614" spans="43:43" x14ac:dyDescent="0.2">
      <c r="AQ5614" s="31"/>
    </row>
    <row r="5615" spans="43:43" x14ac:dyDescent="0.2">
      <c r="AQ5615" s="31"/>
    </row>
    <row r="5616" spans="43:43" x14ac:dyDescent="0.2">
      <c r="AQ5616" s="31"/>
    </row>
    <row r="5617" spans="43:43" x14ac:dyDescent="0.2">
      <c r="AQ5617" s="31"/>
    </row>
    <row r="5618" spans="43:43" x14ac:dyDescent="0.2">
      <c r="AQ5618" s="31"/>
    </row>
    <row r="5619" spans="43:43" x14ac:dyDescent="0.2">
      <c r="AQ5619" s="31"/>
    </row>
    <row r="5620" spans="43:43" x14ac:dyDescent="0.2">
      <c r="AQ5620" s="31"/>
    </row>
    <row r="5621" spans="43:43" x14ac:dyDescent="0.2">
      <c r="AQ5621" s="31"/>
    </row>
    <row r="5622" spans="43:43" x14ac:dyDescent="0.2">
      <c r="AQ5622" s="31"/>
    </row>
    <row r="5623" spans="43:43" x14ac:dyDescent="0.2">
      <c r="AQ5623" s="31"/>
    </row>
    <row r="5624" spans="43:43" x14ac:dyDescent="0.2">
      <c r="AQ5624" s="31"/>
    </row>
    <row r="5625" spans="43:43" x14ac:dyDescent="0.2">
      <c r="AQ5625" s="31"/>
    </row>
    <row r="5626" spans="43:43" x14ac:dyDescent="0.2">
      <c r="AQ5626" s="31"/>
    </row>
    <row r="5627" spans="43:43" x14ac:dyDescent="0.2">
      <c r="AQ5627" s="31"/>
    </row>
    <row r="5628" spans="43:43" x14ac:dyDescent="0.2">
      <c r="AQ5628" s="31"/>
    </row>
    <row r="5629" spans="43:43" x14ac:dyDescent="0.2">
      <c r="AQ5629" s="31"/>
    </row>
    <row r="5630" spans="43:43" x14ac:dyDescent="0.2">
      <c r="AQ5630" s="31"/>
    </row>
    <row r="5631" spans="43:43" x14ac:dyDescent="0.2">
      <c r="AQ5631" s="31"/>
    </row>
    <row r="5632" spans="43:43" x14ac:dyDescent="0.2">
      <c r="AQ5632" s="31"/>
    </row>
    <row r="5633" spans="43:43" x14ac:dyDescent="0.2">
      <c r="AQ5633" s="31"/>
    </row>
    <row r="5634" spans="43:43" x14ac:dyDescent="0.2">
      <c r="AQ5634" s="31"/>
    </row>
    <row r="5635" spans="43:43" x14ac:dyDescent="0.2">
      <c r="AQ5635" s="31"/>
    </row>
    <row r="5636" spans="43:43" x14ac:dyDescent="0.2">
      <c r="AQ5636" s="31"/>
    </row>
    <row r="5637" spans="43:43" x14ac:dyDescent="0.2">
      <c r="AQ5637" s="31"/>
    </row>
    <row r="5638" spans="43:43" x14ac:dyDescent="0.2">
      <c r="AQ5638" s="31"/>
    </row>
    <row r="5639" spans="43:43" x14ac:dyDescent="0.2">
      <c r="AQ5639" s="31"/>
    </row>
    <row r="5640" spans="43:43" x14ac:dyDescent="0.2">
      <c r="AQ5640" s="31"/>
    </row>
    <row r="5641" spans="43:43" x14ac:dyDescent="0.2">
      <c r="AQ5641" s="31"/>
    </row>
    <row r="5642" spans="43:43" x14ac:dyDescent="0.2">
      <c r="AQ5642" s="31"/>
    </row>
    <row r="5643" spans="43:43" x14ac:dyDescent="0.2">
      <c r="AQ5643" s="31"/>
    </row>
    <row r="5644" spans="43:43" x14ac:dyDescent="0.2">
      <c r="AQ5644" s="31"/>
    </row>
    <row r="5645" spans="43:43" x14ac:dyDescent="0.2">
      <c r="AQ5645" s="31"/>
    </row>
    <row r="5646" spans="43:43" x14ac:dyDescent="0.2">
      <c r="AQ5646" s="31"/>
    </row>
    <row r="5647" spans="43:43" x14ac:dyDescent="0.2">
      <c r="AQ5647" s="31"/>
    </row>
    <row r="5648" spans="43:43" x14ac:dyDescent="0.2">
      <c r="AQ5648" s="31"/>
    </row>
    <row r="5649" spans="43:43" x14ac:dyDescent="0.2">
      <c r="AQ5649" s="31"/>
    </row>
    <row r="5650" spans="43:43" x14ac:dyDescent="0.2">
      <c r="AQ5650" s="31"/>
    </row>
    <row r="5651" spans="43:43" x14ac:dyDescent="0.2">
      <c r="AQ5651" s="31"/>
    </row>
    <row r="5652" spans="43:43" x14ac:dyDescent="0.2">
      <c r="AQ5652" s="31"/>
    </row>
    <row r="5653" spans="43:43" x14ac:dyDescent="0.2">
      <c r="AQ5653" s="31"/>
    </row>
    <row r="5654" spans="43:43" x14ac:dyDescent="0.2">
      <c r="AQ5654" s="31"/>
    </row>
    <row r="5655" spans="43:43" x14ac:dyDescent="0.2">
      <c r="AQ5655" s="31"/>
    </row>
    <row r="5656" spans="43:43" x14ac:dyDescent="0.2">
      <c r="AQ5656" s="31"/>
    </row>
    <row r="5657" spans="43:43" x14ac:dyDescent="0.2">
      <c r="AQ5657" s="31"/>
    </row>
    <row r="5658" spans="43:43" x14ac:dyDescent="0.2">
      <c r="AQ5658" s="31"/>
    </row>
    <row r="5659" spans="43:43" x14ac:dyDescent="0.2">
      <c r="AQ5659" s="31"/>
    </row>
    <row r="5660" spans="43:43" x14ac:dyDescent="0.2">
      <c r="AQ5660" s="31"/>
    </row>
    <row r="5661" spans="43:43" x14ac:dyDescent="0.2">
      <c r="AQ5661" s="31"/>
    </row>
    <row r="5662" spans="43:43" x14ac:dyDescent="0.2">
      <c r="AQ5662" s="31"/>
    </row>
    <row r="5663" spans="43:43" x14ac:dyDescent="0.2">
      <c r="AQ5663" s="31"/>
    </row>
    <row r="5664" spans="43:43" x14ac:dyDescent="0.2">
      <c r="AQ5664" s="31"/>
    </row>
    <row r="5665" spans="43:43" x14ac:dyDescent="0.2">
      <c r="AQ5665" s="31"/>
    </row>
    <row r="5666" spans="43:43" x14ac:dyDescent="0.2">
      <c r="AQ5666" s="31"/>
    </row>
    <row r="5667" spans="43:43" x14ac:dyDescent="0.2">
      <c r="AQ5667" s="31"/>
    </row>
    <row r="5668" spans="43:43" x14ac:dyDescent="0.2">
      <c r="AQ5668" s="31"/>
    </row>
    <row r="5669" spans="43:43" x14ac:dyDescent="0.2">
      <c r="AQ5669" s="31"/>
    </row>
    <row r="5670" spans="43:43" x14ac:dyDescent="0.2">
      <c r="AQ5670" s="31"/>
    </row>
    <row r="5671" spans="43:43" x14ac:dyDescent="0.2">
      <c r="AQ5671" s="31"/>
    </row>
    <row r="5672" spans="43:43" x14ac:dyDescent="0.2">
      <c r="AQ5672" s="31"/>
    </row>
    <row r="5673" spans="43:43" x14ac:dyDescent="0.2">
      <c r="AQ5673" s="31"/>
    </row>
    <row r="5674" spans="43:43" x14ac:dyDescent="0.2">
      <c r="AQ5674" s="31"/>
    </row>
    <row r="5675" spans="43:43" x14ac:dyDescent="0.2">
      <c r="AQ5675" s="31"/>
    </row>
    <row r="5676" spans="43:43" x14ac:dyDescent="0.2">
      <c r="AQ5676" s="31"/>
    </row>
    <row r="5677" spans="43:43" x14ac:dyDescent="0.2">
      <c r="AQ5677" s="31"/>
    </row>
    <row r="5678" spans="43:43" x14ac:dyDescent="0.2">
      <c r="AQ5678" s="31"/>
    </row>
    <row r="5679" spans="43:43" x14ac:dyDescent="0.2">
      <c r="AQ5679" s="31"/>
    </row>
    <row r="5680" spans="43:43" x14ac:dyDescent="0.2">
      <c r="AQ5680" s="31"/>
    </row>
    <row r="5681" spans="43:43" x14ac:dyDescent="0.2">
      <c r="AQ5681" s="31"/>
    </row>
    <row r="5682" spans="43:43" x14ac:dyDescent="0.2">
      <c r="AQ5682" s="31"/>
    </row>
    <row r="5683" spans="43:43" x14ac:dyDescent="0.2">
      <c r="AQ5683" s="31"/>
    </row>
    <row r="5684" spans="43:43" x14ac:dyDescent="0.2">
      <c r="AQ5684" s="31"/>
    </row>
    <row r="5685" spans="43:43" x14ac:dyDescent="0.2">
      <c r="AQ5685" s="31"/>
    </row>
    <row r="5686" spans="43:43" x14ac:dyDescent="0.2">
      <c r="AQ5686" s="31"/>
    </row>
    <row r="5687" spans="43:43" x14ac:dyDescent="0.2">
      <c r="AQ5687" s="31"/>
    </row>
    <row r="5688" spans="43:43" x14ac:dyDescent="0.2">
      <c r="AQ5688" s="31"/>
    </row>
    <row r="5689" spans="43:43" x14ac:dyDescent="0.2">
      <c r="AQ5689" s="31"/>
    </row>
    <row r="5690" spans="43:43" x14ac:dyDescent="0.2">
      <c r="AQ5690" s="31"/>
    </row>
    <row r="5691" spans="43:43" x14ac:dyDescent="0.2">
      <c r="AQ5691" s="31"/>
    </row>
    <row r="5692" spans="43:43" x14ac:dyDescent="0.2">
      <c r="AQ5692" s="31"/>
    </row>
    <row r="5693" spans="43:43" x14ac:dyDescent="0.2">
      <c r="AQ5693" s="31"/>
    </row>
    <row r="5694" spans="43:43" x14ac:dyDescent="0.2">
      <c r="AQ5694" s="31"/>
    </row>
    <row r="5695" spans="43:43" x14ac:dyDescent="0.2">
      <c r="AQ5695" s="31"/>
    </row>
    <row r="5696" spans="43:43" x14ac:dyDescent="0.2">
      <c r="AQ5696" s="31"/>
    </row>
    <row r="5697" spans="43:43" x14ac:dyDescent="0.2">
      <c r="AQ5697" s="31"/>
    </row>
    <row r="5698" spans="43:43" x14ac:dyDescent="0.2">
      <c r="AQ5698" s="31"/>
    </row>
    <row r="5699" spans="43:43" x14ac:dyDescent="0.2">
      <c r="AQ5699" s="31"/>
    </row>
    <row r="5700" spans="43:43" x14ac:dyDescent="0.2">
      <c r="AQ5700" s="31"/>
    </row>
    <row r="5701" spans="43:43" x14ac:dyDescent="0.2">
      <c r="AQ5701" s="31"/>
    </row>
    <row r="5702" spans="43:43" x14ac:dyDescent="0.2">
      <c r="AQ5702" s="31"/>
    </row>
    <row r="5703" spans="43:43" x14ac:dyDescent="0.2">
      <c r="AQ5703" s="31"/>
    </row>
    <row r="5704" spans="43:43" x14ac:dyDescent="0.2">
      <c r="AQ5704" s="31"/>
    </row>
    <row r="5705" spans="43:43" x14ac:dyDescent="0.2">
      <c r="AQ5705" s="31"/>
    </row>
    <row r="5706" spans="43:43" x14ac:dyDescent="0.2">
      <c r="AQ5706" s="31"/>
    </row>
    <row r="5707" spans="43:43" x14ac:dyDescent="0.2">
      <c r="AQ5707" s="31"/>
    </row>
    <row r="5708" spans="43:43" x14ac:dyDescent="0.2">
      <c r="AQ5708" s="31"/>
    </row>
    <row r="5709" spans="43:43" x14ac:dyDescent="0.2">
      <c r="AQ5709" s="31"/>
    </row>
    <row r="5710" spans="43:43" x14ac:dyDescent="0.2">
      <c r="AQ5710" s="31"/>
    </row>
    <row r="5711" spans="43:43" x14ac:dyDescent="0.2">
      <c r="AQ5711" s="31"/>
    </row>
    <row r="5712" spans="43:43" x14ac:dyDescent="0.2">
      <c r="AQ5712" s="31"/>
    </row>
    <row r="5713" spans="43:43" x14ac:dyDescent="0.2">
      <c r="AQ5713" s="31"/>
    </row>
    <row r="5714" spans="43:43" x14ac:dyDescent="0.2">
      <c r="AQ5714" s="31"/>
    </row>
    <row r="5715" spans="43:43" x14ac:dyDescent="0.2">
      <c r="AQ5715" s="31"/>
    </row>
    <row r="5716" spans="43:43" x14ac:dyDescent="0.2">
      <c r="AQ5716" s="31"/>
    </row>
    <row r="5717" spans="43:43" x14ac:dyDescent="0.2">
      <c r="AQ5717" s="31"/>
    </row>
    <row r="5718" spans="43:43" x14ac:dyDescent="0.2">
      <c r="AQ5718" s="31"/>
    </row>
    <row r="5719" spans="43:43" x14ac:dyDescent="0.2">
      <c r="AQ5719" s="31"/>
    </row>
    <row r="5720" spans="43:43" x14ac:dyDescent="0.2">
      <c r="AQ5720" s="31"/>
    </row>
    <row r="5721" spans="43:43" x14ac:dyDescent="0.2">
      <c r="AQ5721" s="31"/>
    </row>
    <row r="5722" spans="43:43" x14ac:dyDescent="0.2">
      <c r="AQ5722" s="31"/>
    </row>
    <row r="5723" spans="43:43" x14ac:dyDescent="0.2">
      <c r="AQ5723" s="31"/>
    </row>
    <row r="5724" spans="43:43" x14ac:dyDescent="0.2">
      <c r="AQ5724" s="31"/>
    </row>
    <row r="5725" spans="43:43" x14ac:dyDescent="0.2">
      <c r="AQ5725" s="31"/>
    </row>
    <row r="5726" spans="43:43" x14ac:dyDescent="0.2">
      <c r="AQ5726" s="31"/>
    </row>
    <row r="5727" spans="43:43" x14ac:dyDescent="0.2">
      <c r="AQ5727" s="31"/>
    </row>
    <row r="5728" spans="43:43" x14ac:dyDescent="0.2">
      <c r="AQ5728" s="31"/>
    </row>
    <row r="5729" spans="43:43" x14ac:dyDescent="0.2">
      <c r="AQ5729" s="31"/>
    </row>
    <row r="5730" spans="43:43" x14ac:dyDescent="0.2">
      <c r="AQ5730" s="31"/>
    </row>
    <row r="5731" spans="43:43" x14ac:dyDescent="0.2">
      <c r="AQ5731" s="31"/>
    </row>
    <row r="5732" spans="43:43" x14ac:dyDescent="0.2">
      <c r="AQ5732" s="31"/>
    </row>
    <row r="5733" spans="43:43" x14ac:dyDescent="0.2">
      <c r="AQ5733" s="31"/>
    </row>
    <row r="5734" spans="43:43" x14ac:dyDescent="0.2">
      <c r="AQ5734" s="31"/>
    </row>
    <row r="5735" spans="43:43" x14ac:dyDescent="0.2">
      <c r="AQ5735" s="31"/>
    </row>
    <row r="5736" spans="43:43" x14ac:dyDescent="0.2">
      <c r="AQ5736" s="31"/>
    </row>
    <row r="5737" spans="43:43" x14ac:dyDescent="0.2">
      <c r="AQ5737" s="31"/>
    </row>
    <row r="5738" spans="43:43" x14ac:dyDescent="0.2">
      <c r="AQ5738" s="31"/>
    </row>
    <row r="5739" spans="43:43" x14ac:dyDescent="0.2">
      <c r="AQ5739" s="31"/>
    </row>
    <row r="5740" spans="43:43" x14ac:dyDescent="0.2">
      <c r="AQ5740" s="31"/>
    </row>
    <row r="5741" spans="43:43" x14ac:dyDescent="0.2">
      <c r="AQ5741" s="31"/>
    </row>
    <row r="5742" spans="43:43" x14ac:dyDescent="0.2">
      <c r="AQ5742" s="31"/>
    </row>
    <row r="5743" spans="43:43" x14ac:dyDescent="0.2">
      <c r="AQ5743" s="31"/>
    </row>
    <row r="5744" spans="43:43" x14ac:dyDescent="0.2">
      <c r="AQ5744" s="31"/>
    </row>
    <row r="5745" spans="43:43" x14ac:dyDescent="0.2">
      <c r="AQ5745" s="31"/>
    </row>
    <row r="5746" spans="43:43" x14ac:dyDescent="0.2">
      <c r="AQ5746" s="31"/>
    </row>
    <row r="5747" spans="43:43" x14ac:dyDescent="0.2">
      <c r="AQ5747" s="31"/>
    </row>
    <row r="5748" spans="43:43" x14ac:dyDescent="0.2">
      <c r="AQ5748" s="31"/>
    </row>
    <row r="5749" spans="43:43" x14ac:dyDescent="0.2">
      <c r="AQ5749" s="31"/>
    </row>
    <row r="5750" spans="43:43" x14ac:dyDescent="0.2">
      <c r="AQ5750" s="31"/>
    </row>
    <row r="5751" spans="43:43" x14ac:dyDescent="0.2">
      <c r="AQ5751" s="31"/>
    </row>
    <row r="5752" spans="43:43" x14ac:dyDescent="0.2">
      <c r="AQ5752" s="31"/>
    </row>
    <row r="5753" spans="43:43" x14ac:dyDescent="0.2">
      <c r="AQ5753" s="31"/>
    </row>
    <row r="5754" spans="43:43" x14ac:dyDescent="0.2">
      <c r="AQ5754" s="31"/>
    </row>
    <row r="5755" spans="43:43" x14ac:dyDescent="0.2">
      <c r="AQ5755" s="31"/>
    </row>
    <row r="5756" spans="43:43" x14ac:dyDescent="0.2">
      <c r="AQ5756" s="31"/>
    </row>
    <row r="5757" spans="43:43" x14ac:dyDescent="0.2">
      <c r="AQ5757" s="31"/>
    </row>
    <row r="5758" spans="43:43" x14ac:dyDescent="0.2">
      <c r="AQ5758" s="31"/>
    </row>
    <row r="5759" spans="43:43" x14ac:dyDescent="0.2">
      <c r="AQ5759" s="31"/>
    </row>
    <row r="5760" spans="43:43" x14ac:dyDescent="0.2">
      <c r="AQ5760" s="31"/>
    </row>
    <row r="5761" spans="43:43" x14ac:dyDescent="0.2">
      <c r="AQ5761" s="31"/>
    </row>
    <row r="5762" spans="43:43" x14ac:dyDescent="0.2">
      <c r="AQ5762" s="31"/>
    </row>
    <row r="5763" spans="43:43" x14ac:dyDescent="0.2">
      <c r="AQ5763" s="31"/>
    </row>
    <row r="5764" spans="43:43" x14ac:dyDescent="0.2">
      <c r="AQ5764" s="31"/>
    </row>
    <row r="5765" spans="43:43" x14ac:dyDescent="0.2">
      <c r="AQ5765" s="31"/>
    </row>
    <row r="5766" spans="43:43" x14ac:dyDescent="0.2">
      <c r="AQ5766" s="31"/>
    </row>
    <row r="5767" spans="43:43" x14ac:dyDescent="0.2">
      <c r="AQ5767" s="31"/>
    </row>
    <row r="5768" spans="43:43" x14ac:dyDescent="0.2">
      <c r="AQ5768" s="31"/>
    </row>
    <row r="5769" spans="43:43" x14ac:dyDescent="0.2">
      <c r="AQ5769" s="31"/>
    </row>
    <row r="5770" spans="43:43" x14ac:dyDescent="0.2">
      <c r="AQ5770" s="31"/>
    </row>
    <row r="5771" spans="43:43" x14ac:dyDescent="0.2">
      <c r="AQ5771" s="31"/>
    </row>
    <row r="5772" spans="43:43" x14ac:dyDescent="0.2">
      <c r="AQ5772" s="31"/>
    </row>
    <row r="5773" spans="43:43" x14ac:dyDescent="0.2">
      <c r="AQ5773" s="31"/>
    </row>
    <row r="5774" spans="43:43" x14ac:dyDescent="0.2">
      <c r="AQ5774" s="31"/>
    </row>
    <row r="5775" spans="43:43" x14ac:dyDescent="0.2">
      <c r="AQ5775" s="31"/>
    </row>
    <row r="5776" spans="43:43" x14ac:dyDescent="0.2">
      <c r="AQ5776" s="31"/>
    </row>
    <row r="5777" spans="43:43" x14ac:dyDescent="0.2">
      <c r="AQ5777" s="31"/>
    </row>
    <row r="5778" spans="43:43" x14ac:dyDescent="0.2">
      <c r="AQ5778" s="31"/>
    </row>
    <row r="5779" spans="43:43" x14ac:dyDescent="0.2">
      <c r="AQ5779" s="31"/>
    </row>
    <row r="5780" spans="43:43" x14ac:dyDescent="0.2">
      <c r="AQ5780" s="31"/>
    </row>
    <row r="5781" spans="43:43" x14ac:dyDescent="0.2">
      <c r="AQ5781" s="31"/>
    </row>
    <row r="5782" spans="43:43" x14ac:dyDescent="0.2">
      <c r="AQ5782" s="31"/>
    </row>
    <row r="5783" spans="43:43" x14ac:dyDescent="0.2">
      <c r="AQ5783" s="31"/>
    </row>
    <row r="5784" spans="43:43" x14ac:dyDescent="0.2">
      <c r="AQ5784" s="31"/>
    </row>
    <row r="5785" spans="43:43" x14ac:dyDescent="0.2">
      <c r="AQ5785" s="31"/>
    </row>
    <row r="5786" spans="43:43" x14ac:dyDescent="0.2">
      <c r="AQ5786" s="31"/>
    </row>
    <row r="5787" spans="43:43" x14ac:dyDescent="0.2">
      <c r="AQ5787" s="31"/>
    </row>
    <row r="5788" spans="43:43" x14ac:dyDescent="0.2">
      <c r="AQ5788" s="31"/>
    </row>
    <row r="5789" spans="43:43" x14ac:dyDescent="0.2">
      <c r="AQ5789" s="31"/>
    </row>
    <row r="5790" spans="43:43" x14ac:dyDescent="0.2">
      <c r="AQ5790" s="31"/>
    </row>
    <row r="5791" spans="43:43" x14ac:dyDescent="0.2">
      <c r="AQ5791" s="31"/>
    </row>
    <row r="5792" spans="43:43" x14ac:dyDescent="0.2">
      <c r="AQ5792" s="31"/>
    </row>
    <row r="5793" spans="43:43" x14ac:dyDescent="0.2">
      <c r="AQ5793" s="31"/>
    </row>
    <row r="5794" spans="43:43" x14ac:dyDescent="0.2">
      <c r="AQ5794" s="31"/>
    </row>
    <row r="5795" spans="43:43" x14ac:dyDescent="0.2">
      <c r="AQ5795" s="31"/>
    </row>
    <row r="5796" spans="43:43" x14ac:dyDescent="0.2">
      <c r="AQ5796" s="31"/>
    </row>
    <row r="5797" spans="43:43" x14ac:dyDescent="0.2">
      <c r="AQ5797" s="31"/>
    </row>
    <row r="5798" spans="43:43" x14ac:dyDescent="0.2">
      <c r="AQ5798" s="31"/>
    </row>
    <row r="5799" spans="43:43" x14ac:dyDescent="0.2">
      <c r="AQ5799" s="31"/>
    </row>
    <row r="5800" spans="43:43" x14ac:dyDescent="0.2">
      <c r="AQ5800" s="31"/>
    </row>
    <row r="5801" spans="43:43" x14ac:dyDescent="0.2">
      <c r="AQ5801" s="31"/>
    </row>
    <row r="5802" spans="43:43" x14ac:dyDescent="0.2">
      <c r="AQ5802" s="31"/>
    </row>
    <row r="5803" spans="43:43" x14ac:dyDescent="0.2">
      <c r="AQ5803" s="31"/>
    </row>
    <row r="5804" spans="43:43" x14ac:dyDescent="0.2">
      <c r="AQ5804" s="31"/>
    </row>
    <row r="5805" spans="43:43" x14ac:dyDescent="0.2">
      <c r="AQ5805" s="31"/>
    </row>
    <row r="5806" spans="43:43" x14ac:dyDescent="0.2">
      <c r="AQ5806" s="31"/>
    </row>
    <row r="5807" spans="43:43" x14ac:dyDescent="0.2">
      <c r="AQ5807" s="31"/>
    </row>
    <row r="5808" spans="43:43" x14ac:dyDescent="0.2">
      <c r="AQ5808" s="31"/>
    </row>
    <row r="5809" spans="43:43" x14ac:dyDescent="0.2">
      <c r="AQ5809" s="31"/>
    </row>
    <row r="5810" spans="43:43" x14ac:dyDescent="0.2">
      <c r="AQ5810" s="31"/>
    </row>
    <row r="5811" spans="43:43" x14ac:dyDescent="0.2">
      <c r="AQ5811" s="31"/>
    </row>
    <row r="5812" spans="43:43" x14ac:dyDescent="0.2">
      <c r="AQ5812" s="31"/>
    </row>
    <row r="5813" spans="43:43" x14ac:dyDescent="0.2">
      <c r="AQ5813" s="31"/>
    </row>
    <row r="5814" spans="43:43" x14ac:dyDescent="0.2">
      <c r="AQ5814" s="31"/>
    </row>
    <row r="5815" spans="43:43" x14ac:dyDescent="0.2">
      <c r="AQ5815" s="31"/>
    </row>
    <row r="5816" spans="43:43" x14ac:dyDescent="0.2">
      <c r="AQ5816" s="31"/>
    </row>
    <row r="5817" spans="43:43" x14ac:dyDescent="0.2">
      <c r="AQ5817" s="31"/>
    </row>
    <row r="5818" spans="43:43" x14ac:dyDescent="0.2">
      <c r="AQ5818" s="31"/>
    </row>
    <row r="5819" spans="43:43" x14ac:dyDescent="0.2">
      <c r="AQ5819" s="31"/>
    </row>
    <row r="5820" spans="43:43" x14ac:dyDescent="0.2">
      <c r="AQ5820" s="31"/>
    </row>
    <row r="5821" spans="43:43" x14ac:dyDescent="0.2">
      <c r="AQ5821" s="31"/>
    </row>
    <row r="5822" spans="43:43" x14ac:dyDescent="0.2">
      <c r="AQ5822" s="31"/>
    </row>
    <row r="5823" spans="43:43" x14ac:dyDescent="0.2">
      <c r="AQ5823" s="31"/>
    </row>
    <row r="5824" spans="43:43" x14ac:dyDescent="0.2">
      <c r="AQ5824" s="31"/>
    </row>
    <row r="5825" spans="43:43" x14ac:dyDescent="0.2">
      <c r="AQ5825" s="31"/>
    </row>
    <row r="5826" spans="43:43" x14ac:dyDescent="0.2">
      <c r="AQ5826" s="31"/>
    </row>
    <row r="5827" spans="43:43" x14ac:dyDescent="0.2">
      <c r="AQ5827" s="31"/>
    </row>
    <row r="5828" spans="43:43" x14ac:dyDescent="0.2">
      <c r="AQ5828" s="31"/>
    </row>
    <row r="5829" spans="43:43" x14ac:dyDescent="0.2">
      <c r="AQ5829" s="31"/>
    </row>
    <row r="5830" spans="43:43" x14ac:dyDescent="0.2">
      <c r="AQ5830" s="31"/>
    </row>
    <row r="5831" spans="43:43" x14ac:dyDescent="0.2">
      <c r="AQ5831" s="31"/>
    </row>
    <row r="5832" spans="43:43" x14ac:dyDescent="0.2">
      <c r="AQ5832" s="31"/>
    </row>
    <row r="5833" spans="43:43" x14ac:dyDescent="0.2">
      <c r="AQ5833" s="31"/>
    </row>
    <row r="5834" spans="43:43" x14ac:dyDescent="0.2">
      <c r="AQ5834" s="31"/>
    </row>
    <row r="5835" spans="43:43" x14ac:dyDescent="0.2">
      <c r="AQ5835" s="31"/>
    </row>
    <row r="5836" spans="43:43" x14ac:dyDescent="0.2">
      <c r="AQ5836" s="31"/>
    </row>
    <row r="5837" spans="43:43" x14ac:dyDescent="0.2">
      <c r="AQ5837" s="31"/>
    </row>
    <row r="5838" spans="43:43" x14ac:dyDescent="0.2">
      <c r="AQ5838" s="31"/>
    </row>
    <row r="5839" spans="43:43" x14ac:dyDescent="0.2">
      <c r="AQ5839" s="31"/>
    </row>
    <row r="5840" spans="43:43" x14ac:dyDescent="0.2">
      <c r="AQ5840" s="31"/>
    </row>
    <row r="5841" spans="43:43" x14ac:dyDescent="0.2">
      <c r="AQ5841" s="31"/>
    </row>
    <row r="5842" spans="43:43" x14ac:dyDescent="0.2">
      <c r="AQ5842" s="31"/>
    </row>
    <row r="5843" spans="43:43" x14ac:dyDescent="0.2">
      <c r="AQ5843" s="31"/>
    </row>
    <row r="5844" spans="43:43" x14ac:dyDescent="0.2">
      <c r="AQ5844" s="31"/>
    </row>
    <row r="5845" spans="43:43" x14ac:dyDescent="0.2">
      <c r="AQ5845" s="31"/>
    </row>
    <row r="5846" spans="43:43" x14ac:dyDescent="0.2">
      <c r="AQ5846" s="31"/>
    </row>
    <row r="5847" spans="43:43" x14ac:dyDescent="0.2">
      <c r="AQ5847" s="31"/>
    </row>
    <row r="5848" spans="43:43" x14ac:dyDescent="0.2">
      <c r="AQ5848" s="31"/>
    </row>
    <row r="5849" spans="43:43" x14ac:dyDescent="0.2">
      <c r="AQ5849" s="31"/>
    </row>
    <row r="5850" spans="43:43" x14ac:dyDescent="0.2">
      <c r="AQ5850" s="31"/>
    </row>
    <row r="5851" spans="43:43" x14ac:dyDescent="0.2">
      <c r="AQ5851" s="31"/>
    </row>
    <row r="5852" spans="43:43" x14ac:dyDescent="0.2">
      <c r="AQ5852" s="31"/>
    </row>
    <row r="5853" spans="43:43" x14ac:dyDescent="0.2">
      <c r="AQ5853" s="31"/>
    </row>
    <row r="5854" spans="43:43" x14ac:dyDescent="0.2">
      <c r="AQ5854" s="31"/>
    </row>
    <row r="5855" spans="43:43" x14ac:dyDescent="0.2">
      <c r="AQ5855" s="31"/>
    </row>
    <row r="5856" spans="43:43" x14ac:dyDescent="0.2">
      <c r="AQ5856" s="31"/>
    </row>
    <row r="5857" spans="43:43" x14ac:dyDescent="0.2">
      <c r="AQ5857" s="31"/>
    </row>
    <row r="5858" spans="43:43" x14ac:dyDescent="0.2">
      <c r="AQ5858" s="31"/>
    </row>
    <row r="5859" spans="43:43" x14ac:dyDescent="0.2">
      <c r="AQ5859" s="31"/>
    </row>
    <row r="5860" spans="43:43" x14ac:dyDescent="0.2">
      <c r="AQ5860" s="31"/>
    </row>
    <row r="5861" spans="43:43" x14ac:dyDescent="0.2">
      <c r="AQ5861" s="31"/>
    </row>
    <row r="5862" spans="43:43" x14ac:dyDescent="0.2">
      <c r="AQ5862" s="31"/>
    </row>
    <row r="5863" spans="43:43" x14ac:dyDescent="0.2">
      <c r="AQ5863" s="31"/>
    </row>
    <row r="5864" spans="43:43" x14ac:dyDescent="0.2">
      <c r="AQ5864" s="31"/>
    </row>
    <row r="5865" spans="43:43" x14ac:dyDescent="0.2">
      <c r="AQ5865" s="31"/>
    </row>
    <row r="5866" spans="43:43" x14ac:dyDescent="0.2">
      <c r="AQ5866" s="31"/>
    </row>
    <row r="5867" spans="43:43" x14ac:dyDescent="0.2">
      <c r="AQ5867" s="31"/>
    </row>
    <row r="5868" spans="43:43" x14ac:dyDescent="0.2">
      <c r="AQ5868" s="31"/>
    </row>
    <row r="5869" spans="43:43" x14ac:dyDescent="0.2">
      <c r="AQ5869" s="31"/>
    </row>
    <row r="5870" spans="43:43" x14ac:dyDescent="0.2">
      <c r="AQ5870" s="31"/>
    </row>
    <row r="5871" spans="43:43" x14ac:dyDescent="0.2">
      <c r="AQ5871" s="31"/>
    </row>
    <row r="5872" spans="43:43" x14ac:dyDescent="0.2">
      <c r="AQ5872" s="31"/>
    </row>
    <row r="5873" spans="43:43" x14ac:dyDescent="0.2">
      <c r="AQ5873" s="31"/>
    </row>
    <row r="5874" spans="43:43" x14ac:dyDescent="0.2">
      <c r="AQ5874" s="31"/>
    </row>
    <row r="5875" spans="43:43" x14ac:dyDescent="0.2">
      <c r="AQ5875" s="31"/>
    </row>
    <row r="5876" spans="43:43" x14ac:dyDescent="0.2">
      <c r="AQ5876" s="31"/>
    </row>
    <row r="5877" spans="43:43" x14ac:dyDescent="0.2">
      <c r="AQ5877" s="31"/>
    </row>
    <row r="5878" spans="43:43" x14ac:dyDescent="0.2">
      <c r="AQ5878" s="31"/>
    </row>
    <row r="5879" spans="43:43" x14ac:dyDescent="0.2">
      <c r="AQ5879" s="31"/>
    </row>
    <row r="5880" spans="43:43" x14ac:dyDescent="0.2">
      <c r="AQ5880" s="31"/>
    </row>
    <row r="5881" spans="43:43" x14ac:dyDescent="0.2">
      <c r="AQ5881" s="31"/>
    </row>
    <row r="5882" spans="43:43" x14ac:dyDescent="0.2">
      <c r="AQ5882" s="31"/>
    </row>
    <row r="5883" spans="43:43" x14ac:dyDescent="0.2">
      <c r="AQ5883" s="31"/>
    </row>
    <row r="5884" spans="43:43" x14ac:dyDescent="0.2">
      <c r="AQ5884" s="31"/>
    </row>
    <row r="5885" spans="43:43" x14ac:dyDescent="0.2">
      <c r="AQ5885" s="31"/>
    </row>
    <row r="5886" spans="43:43" x14ac:dyDescent="0.2">
      <c r="AQ5886" s="31"/>
    </row>
    <row r="5887" spans="43:43" x14ac:dyDescent="0.2">
      <c r="AQ5887" s="31"/>
    </row>
    <row r="5888" spans="43:43" x14ac:dyDescent="0.2">
      <c r="AQ5888" s="31"/>
    </row>
    <row r="5889" spans="43:43" x14ac:dyDescent="0.2">
      <c r="AQ5889" s="31"/>
    </row>
    <row r="5890" spans="43:43" x14ac:dyDescent="0.2">
      <c r="AQ5890" s="31"/>
    </row>
    <row r="5891" spans="43:43" x14ac:dyDescent="0.2">
      <c r="AQ5891" s="31"/>
    </row>
    <row r="5892" spans="43:43" x14ac:dyDescent="0.2">
      <c r="AQ5892" s="31"/>
    </row>
    <row r="5893" spans="43:43" x14ac:dyDescent="0.2">
      <c r="AQ5893" s="31"/>
    </row>
    <row r="5894" spans="43:43" x14ac:dyDescent="0.2">
      <c r="AQ5894" s="31"/>
    </row>
    <row r="5895" spans="43:43" x14ac:dyDescent="0.2">
      <c r="AQ5895" s="31"/>
    </row>
    <row r="5896" spans="43:43" x14ac:dyDescent="0.2">
      <c r="AQ5896" s="31"/>
    </row>
    <row r="5897" spans="43:43" x14ac:dyDescent="0.2">
      <c r="AQ5897" s="31"/>
    </row>
    <row r="5898" spans="43:43" x14ac:dyDescent="0.2">
      <c r="AQ5898" s="31"/>
    </row>
    <row r="5899" spans="43:43" x14ac:dyDescent="0.2">
      <c r="AQ5899" s="31"/>
    </row>
    <row r="5900" spans="43:43" x14ac:dyDescent="0.2">
      <c r="AQ5900" s="31"/>
    </row>
    <row r="5901" spans="43:43" x14ac:dyDescent="0.2">
      <c r="AQ5901" s="31"/>
    </row>
    <row r="5902" spans="43:43" x14ac:dyDescent="0.2">
      <c r="AQ5902" s="31"/>
    </row>
    <row r="5903" spans="43:43" x14ac:dyDescent="0.2">
      <c r="AQ5903" s="31"/>
    </row>
    <row r="5904" spans="43:43" x14ac:dyDescent="0.2">
      <c r="AQ5904" s="31"/>
    </row>
    <row r="5905" spans="43:43" x14ac:dyDescent="0.2">
      <c r="AQ5905" s="31"/>
    </row>
    <row r="5906" spans="43:43" x14ac:dyDescent="0.2">
      <c r="AQ5906" s="31"/>
    </row>
    <row r="5907" spans="43:43" x14ac:dyDescent="0.2">
      <c r="AQ5907" s="31"/>
    </row>
    <row r="5908" spans="43:43" x14ac:dyDescent="0.2">
      <c r="AQ5908" s="31"/>
    </row>
    <row r="5909" spans="43:43" x14ac:dyDescent="0.2">
      <c r="AQ5909" s="31"/>
    </row>
    <row r="5910" spans="43:43" x14ac:dyDescent="0.2">
      <c r="AQ5910" s="31"/>
    </row>
    <row r="5911" spans="43:43" x14ac:dyDescent="0.2">
      <c r="AQ5911" s="31"/>
    </row>
    <row r="5912" spans="43:43" x14ac:dyDescent="0.2">
      <c r="AQ5912" s="31"/>
    </row>
    <row r="5913" spans="43:43" x14ac:dyDescent="0.2">
      <c r="AQ5913" s="31"/>
    </row>
    <row r="5914" spans="43:43" x14ac:dyDescent="0.2">
      <c r="AQ5914" s="31"/>
    </row>
    <row r="5915" spans="43:43" x14ac:dyDescent="0.2">
      <c r="AQ5915" s="31"/>
    </row>
    <row r="5916" spans="43:43" x14ac:dyDescent="0.2">
      <c r="AQ5916" s="31"/>
    </row>
    <row r="5917" spans="43:43" x14ac:dyDescent="0.2">
      <c r="AQ5917" s="31"/>
    </row>
    <row r="5918" spans="43:43" x14ac:dyDescent="0.2">
      <c r="AQ5918" s="31"/>
    </row>
    <row r="5919" spans="43:43" x14ac:dyDescent="0.2">
      <c r="AQ5919" s="31"/>
    </row>
    <row r="5920" spans="43:43" x14ac:dyDescent="0.2">
      <c r="AQ5920" s="31"/>
    </row>
    <row r="5921" spans="43:43" x14ac:dyDescent="0.2">
      <c r="AQ5921" s="31"/>
    </row>
    <row r="5922" spans="43:43" x14ac:dyDescent="0.2">
      <c r="AQ5922" s="31"/>
    </row>
    <row r="5923" spans="43:43" x14ac:dyDescent="0.2">
      <c r="AQ5923" s="31"/>
    </row>
    <row r="5924" spans="43:43" x14ac:dyDescent="0.2">
      <c r="AQ5924" s="31"/>
    </row>
    <row r="5925" spans="43:43" x14ac:dyDescent="0.2">
      <c r="AQ5925" s="31"/>
    </row>
    <row r="5926" spans="43:43" x14ac:dyDescent="0.2">
      <c r="AQ5926" s="31"/>
    </row>
    <row r="5927" spans="43:43" x14ac:dyDescent="0.2">
      <c r="AQ5927" s="31"/>
    </row>
    <row r="5928" spans="43:43" x14ac:dyDescent="0.2">
      <c r="AQ5928" s="31"/>
    </row>
    <row r="5929" spans="43:43" x14ac:dyDescent="0.2">
      <c r="AQ5929" s="31"/>
    </row>
    <row r="5930" spans="43:43" x14ac:dyDescent="0.2">
      <c r="AQ5930" s="31"/>
    </row>
    <row r="5931" spans="43:43" x14ac:dyDescent="0.2">
      <c r="AQ5931" s="31"/>
    </row>
    <row r="5932" spans="43:43" x14ac:dyDescent="0.2">
      <c r="AQ5932" s="31"/>
    </row>
    <row r="5933" spans="43:43" x14ac:dyDescent="0.2">
      <c r="AQ5933" s="31"/>
    </row>
    <row r="5934" spans="43:43" x14ac:dyDescent="0.2">
      <c r="AQ5934" s="31"/>
    </row>
    <row r="5935" spans="43:43" x14ac:dyDescent="0.2">
      <c r="AQ5935" s="31"/>
    </row>
    <row r="5936" spans="43:43" x14ac:dyDescent="0.2">
      <c r="AQ5936" s="31"/>
    </row>
    <row r="5937" spans="43:43" x14ac:dyDescent="0.2">
      <c r="AQ5937" s="31"/>
    </row>
    <row r="5938" spans="43:43" x14ac:dyDescent="0.2">
      <c r="AQ5938" s="31"/>
    </row>
    <row r="5939" spans="43:43" x14ac:dyDescent="0.2">
      <c r="AQ5939" s="31"/>
    </row>
    <row r="5940" spans="43:43" x14ac:dyDescent="0.2">
      <c r="AQ5940" s="31"/>
    </row>
    <row r="5941" spans="43:43" x14ac:dyDescent="0.2">
      <c r="AQ5941" s="31"/>
    </row>
    <row r="5942" spans="43:43" x14ac:dyDescent="0.2">
      <c r="AQ5942" s="31"/>
    </row>
    <row r="5943" spans="43:43" x14ac:dyDescent="0.2">
      <c r="AQ5943" s="31"/>
    </row>
    <row r="5944" spans="43:43" x14ac:dyDescent="0.2">
      <c r="AQ5944" s="31"/>
    </row>
    <row r="5945" spans="43:43" x14ac:dyDescent="0.2">
      <c r="AQ5945" s="31"/>
    </row>
    <row r="5946" spans="43:43" x14ac:dyDescent="0.2">
      <c r="AQ5946" s="31"/>
    </row>
    <row r="5947" spans="43:43" x14ac:dyDescent="0.2">
      <c r="AQ5947" s="31"/>
    </row>
    <row r="5948" spans="43:43" x14ac:dyDescent="0.2">
      <c r="AQ5948" s="31"/>
    </row>
    <row r="5949" spans="43:43" x14ac:dyDescent="0.2">
      <c r="AQ5949" s="31"/>
    </row>
    <row r="5950" spans="43:43" x14ac:dyDescent="0.2">
      <c r="AQ5950" s="31"/>
    </row>
    <row r="5951" spans="43:43" x14ac:dyDescent="0.2">
      <c r="AQ5951" s="31"/>
    </row>
    <row r="5952" spans="43:43" x14ac:dyDescent="0.2">
      <c r="AQ5952" s="31"/>
    </row>
    <row r="5953" spans="43:43" x14ac:dyDescent="0.2">
      <c r="AQ5953" s="31"/>
    </row>
    <row r="5954" spans="43:43" x14ac:dyDescent="0.2">
      <c r="AQ5954" s="31"/>
    </row>
    <row r="5955" spans="43:43" x14ac:dyDescent="0.2">
      <c r="AQ5955" s="31"/>
    </row>
    <row r="5956" spans="43:43" x14ac:dyDescent="0.2">
      <c r="AQ5956" s="31"/>
    </row>
    <row r="5957" spans="43:43" x14ac:dyDescent="0.2">
      <c r="AQ5957" s="31"/>
    </row>
    <row r="5958" spans="43:43" x14ac:dyDescent="0.2">
      <c r="AQ5958" s="31"/>
    </row>
    <row r="5959" spans="43:43" x14ac:dyDescent="0.2">
      <c r="AQ5959" s="31"/>
    </row>
    <row r="5960" spans="43:43" x14ac:dyDescent="0.2">
      <c r="AQ5960" s="31"/>
    </row>
    <row r="5961" spans="43:43" x14ac:dyDescent="0.2">
      <c r="AQ5961" s="31"/>
    </row>
    <row r="5962" spans="43:43" x14ac:dyDescent="0.2">
      <c r="AQ5962" s="31"/>
    </row>
    <row r="5963" spans="43:43" x14ac:dyDescent="0.2">
      <c r="AQ5963" s="31"/>
    </row>
    <row r="5964" spans="43:43" x14ac:dyDescent="0.2">
      <c r="AQ5964" s="31"/>
    </row>
    <row r="5965" spans="43:43" x14ac:dyDescent="0.2">
      <c r="AQ5965" s="31"/>
    </row>
    <row r="5966" spans="43:43" x14ac:dyDescent="0.2">
      <c r="AQ5966" s="31"/>
    </row>
    <row r="5967" spans="43:43" x14ac:dyDescent="0.2">
      <c r="AQ5967" s="31"/>
    </row>
    <row r="5968" spans="43:43" x14ac:dyDescent="0.2">
      <c r="AQ5968" s="31"/>
    </row>
    <row r="5969" spans="43:43" x14ac:dyDescent="0.2">
      <c r="AQ5969" s="31"/>
    </row>
    <row r="5970" spans="43:43" x14ac:dyDescent="0.2">
      <c r="AQ5970" s="31"/>
    </row>
    <row r="5971" spans="43:43" x14ac:dyDescent="0.2">
      <c r="AQ5971" s="31"/>
    </row>
    <row r="5972" spans="43:43" x14ac:dyDescent="0.2">
      <c r="AQ5972" s="31"/>
    </row>
    <row r="5973" spans="43:43" x14ac:dyDescent="0.2">
      <c r="AQ5973" s="31"/>
    </row>
    <row r="5974" spans="43:43" x14ac:dyDescent="0.2">
      <c r="AQ5974" s="31"/>
    </row>
    <row r="5975" spans="43:43" x14ac:dyDescent="0.2">
      <c r="AQ5975" s="31"/>
    </row>
    <row r="5976" spans="43:43" x14ac:dyDescent="0.2">
      <c r="AQ5976" s="31"/>
    </row>
    <row r="5977" spans="43:43" x14ac:dyDescent="0.2">
      <c r="AQ5977" s="31"/>
    </row>
    <row r="5978" spans="43:43" x14ac:dyDescent="0.2">
      <c r="AQ5978" s="31"/>
    </row>
    <row r="5979" spans="43:43" x14ac:dyDescent="0.2">
      <c r="AQ5979" s="31"/>
    </row>
    <row r="5980" spans="43:43" x14ac:dyDescent="0.2">
      <c r="AQ5980" s="31"/>
    </row>
    <row r="5981" spans="43:43" x14ac:dyDescent="0.2">
      <c r="AQ5981" s="31"/>
    </row>
    <row r="5982" spans="43:43" x14ac:dyDescent="0.2">
      <c r="AQ5982" s="31"/>
    </row>
    <row r="5983" spans="43:43" x14ac:dyDescent="0.2">
      <c r="AQ5983" s="31"/>
    </row>
    <row r="5984" spans="43:43" x14ac:dyDescent="0.2">
      <c r="AQ5984" s="31"/>
    </row>
    <row r="5985" spans="43:43" x14ac:dyDescent="0.2">
      <c r="AQ5985" s="31"/>
    </row>
    <row r="5986" spans="43:43" x14ac:dyDescent="0.2">
      <c r="AQ5986" s="31"/>
    </row>
    <row r="5987" spans="43:43" x14ac:dyDescent="0.2">
      <c r="AQ5987" s="31"/>
    </row>
    <row r="5988" spans="43:43" x14ac:dyDescent="0.2">
      <c r="AQ5988" s="31"/>
    </row>
    <row r="5989" spans="43:43" x14ac:dyDescent="0.2">
      <c r="AQ5989" s="31"/>
    </row>
    <row r="5990" spans="43:43" x14ac:dyDescent="0.2">
      <c r="AQ5990" s="31"/>
    </row>
    <row r="5991" spans="43:43" x14ac:dyDescent="0.2">
      <c r="AQ5991" s="31"/>
    </row>
    <row r="5992" spans="43:43" x14ac:dyDescent="0.2">
      <c r="AQ5992" s="31"/>
    </row>
    <row r="5993" spans="43:43" x14ac:dyDescent="0.2">
      <c r="AQ5993" s="31"/>
    </row>
    <row r="5994" spans="43:43" x14ac:dyDescent="0.2">
      <c r="AQ5994" s="31"/>
    </row>
    <row r="5995" spans="43:43" x14ac:dyDescent="0.2">
      <c r="AQ5995" s="31"/>
    </row>
    <row r="5996" spans="43:43" x14ac:dyDescent="0.2">
      <c r="AQ5996" s="31"/>
    </row>
    <row r="5997" spans="43:43" x14ac:dyDescent="0.2">
      <c r="AQ5997" s="31"/>
    </row>
    <row r="5998" spans="43:43" x14ac:dyDescent="0.2">
      <c r="AQ5998" s="31"/>
    </row>
    <row r="5999" spans="43:43" x14ac:dyDescent="0.2">
      <c r="AQ5999" s="31"/>
    </row>
    <row r="6000" spans="43:43" x14ac:dyDescent="0.2">
      <c r="AQ6000" s="31"/>
    </row>
    <row r="6001" spans="43:43" x14ac:dyDescent="0.2">
      <c r="AQ6001" s="31"/>
    </row>
    <row r="6002" spans="43:43" x14ac:dyDescent="0.2">
      <c r="AQ6002" s="31"/>
    </row>
    <row r="6003" spans="43:43" x14ac:dyDescent="0.2">
      <c r="AQ6003" s="31"/>
    </row>
    <row r="6004" spans="43:43" x14ac:dyDescent="0.2">
      <c r="AQ6004" s="31"/>
    </row>
    <row r="6005" spans="43:43" x14ac:dyDescent="0.2">
      <c r="AQ6005" s="31"/>
    </row>
    <row r="6006" spans="43:43" x14ac:dyDescent="0.2">
      <c r="AQ6006" s="31"/>
    </row>
    <row r="6007" spans="43:43" x14ac:dyDescent="0.2">
      <c r="AQ6007" s="31"/>
    </row>
    <row r="6008" spans="43:43" x14ac:dyDescent="0.2">
      <c r="AQ6008" s="31"/>
    </row>
    <row r="6009" spans="43:43" x14ac:dyDescent="0.2">
      <c r="AQ6009" s="31"/>
    </row>
    <row r="6010" spans="43:43" x14ac:dyDescent="0.2">
      <c r="AQ6010" s="31"/>
    </row>
    <row r="6011" spans="43:43" x14ac:dyDescent="0.2">
      <c r="AQ6011" s="31"/>
    </row>
    <row r="6012" spans="43:43" x14ac:dyDescent="0.2">
      <c r="AQ6012" s="31"/>
    </row>
    <row r="6013" spans="43:43" x14ac:dyDescent="0.2">
      <c r="AQ6013" s="31"/>
    </row>
    <row r="6014" spans="43:43" x14ac:dyDescent="0.2">
      <c r="AQ6014" s="31"/>
    </row>
    <row r="6015" spans="43:43" x14ac:dyDescent="0.2">
      <c r="AQ6015" s="31"/>
    </row>
    <row r="6016" spans="43:43" x14ac:dyDescent="0.2">
      <c r="AQ6016" s="31"/>
    </row>
    <row r="6017" spans="43:43" x14ac:dyDescent="0.2">
      <c r="AQ6017" s="31"/>
    </row>
    <row r="6018" spans="43:43" x14ac:dyDescent="0.2">
      <c r="AQ6018" s="31"/>
    </row>
    <row r="6019" spans="43:43" x14ac:dyDescent="0.2">
      <c r="AQ6019" s="31"/>
    </row>
    <row r="6020" spans="43:43" x14ac:dyDescent="0.2">
      <c r="AQ6020" s="31"/>
    </row>
    <row r="6021" spans="43:43" x14ac:dyDescent="0.2">
      <c r="AQ6021" s="31"/>
    </row>
    <row r="6022" spans="43:43" x14ac:dyDescent="0.2">
      <c r="AQ6022" s="31"/>
    </row>
    <row r="6023" spans="43:43" x14ac:dyDescent="0.2">
      <c r="AQ6023" s="31"/>
    </row>
    <row r="6024" spans="43:43" x14ac:dyDescent="0.2">
      <c r="AQ6024" s="31"/>
    </row>
    <row r="6025" spans="43:43" x14ac:dyDescent="0.2">
      <c r="AQ6025" s="31"/>
    </row>
    <row r="6026" spans="43:43" x14ac:dyDescent="0.2">
      <c r="AQ6026" s="31"/>
    </row>
    <row r="6027" spans="43:43" x14ac:dyDescent="0.2">
      <c r="AQ6027" s="31"/>
    </row>
    <row r="6028" spans="43:43" x14ac:dyDescent="0.2">
      <c r="AQ6028" s="31"/>
    </row>
    <row r="6029" spans="43:43" x14ac:dyDescent="0.2">
      <c r="AQ6029" s="31"/>
    </row>
    <row r="6030" spans="43:43" x14ac:dyDescent="0.2">
      <c r="AQ6030" s="31"/>
    </row>
    <row r="6031" spans="43:43" x14ac:dyDescent="0.2">
      <c r="AQ6031" s="31"/>
    </row>
    <row r="6032" spans="43:43" x14ac:dyDescent="0.2">
      <c r="AQ6032" s="31"/>
    </row>
    <row r="6033" spans="43:43" x14ac:dyDescent="0.2">
      <c r="AQ6033" s="31"/>
    </row>
    <row r="6034" spans="43:43" x14ac:dyDescent="0.2">
      <c r="AQ6034" s="31"/>
    </row>
    <row r="6035" spans="43:43" x14ac:dyDescent="0.2">
      <c r="AQ6035" s="31"/>
    </row>
    <row r="6036" spans="43:43" x14ac:dyDescent="0.2">
      <c r="AQ6036" s="31"/>
    </row>
    <row r="6037" spans="43:43" x14ac:dyDescent="0.2">
      <c r="AQ6037" s="31"/>
    </row>
    <row r="6038" spans="43:43" x14ac:dyDescent="0.2">
      <c r="AQ6038" s="31"/>
    </row>
    <row r="6039" spans="43:43" x14ac:dyDescent="0.2">
      <c r="AQ6039" s="31"/>
    </row>
    <row r="6040" spans="43:43" x14ac:dyDescent="0.2">
      <c r="AQ6040" s="31"/>
    </row>
    <row r="6041" spans="43:43" x14ac:dyDescent="0.2">
      <c r="AQ6041" s="31"/>
    </row>
    <row r="6042" spans="43:43" x14ac:dyDescent="0.2">
      <c r="AQ6042" s="31"/>
    </row>
    <row r="6043" spans="43:43" x14ac:dyDescent="0.2">
      <c r="AQ6043" s="31"/>
    </row>
    <row r="6044" spans="43:43" x14ac:dyDescent="0.2">
      <c r="AQ6044" s="31"/>
    </row>
    <row r="6045" spans="43:43" x14ac:dyDescent="0.2">
      <c r="AQ6045" s="31"/>
    </row>
    <row r="6046" spans="43:43" x14ac:dyDescent="0.2">
      <c r="AQ6046" s="31"/>
    </row>
    <row r="6047" spans="43:43" x14ac:dyDescent="0.2">
      <c r="AQ6047" s="31"/>
    </row>
    <row r="6048" spans="43:43" x14ac:dyDescent="0.2">
      <c r="AQ6048" s="31"/>
    </row>
    <row r="6049" spans="43:43" x14ac:dyDescent="0.2">
      <c r="AQ6049" s="31"/>
    </row>
    <row r="6050" spans="43:43" x14ac:dyDescent="0.2">
      <c r="AQ6050" s="31"/>
    </row>
    <row r="6051" spans="43:43" x14ac:dyDescent="0.2">
      <c r="AQ6051" s="31"/>
    </row>
    <row r="6052" spans="43:43" x14ac:dyDescent="0.2">
      <c r="AQ6052" s="31"/>
    </row>
    <row r="6053" spans="43:43" x14ac:dyDescent="0.2">
      <c r="AQ6053" s="31"/>
    </row>
    <row r="6054" spans="43:43" x14ac:dyDescent="0.2">
      <c r="AQ6054" s="31"/>
    </row>
    <row r="6055" spans="43:43" x14ac:dyDescent="0.2">
      <c r="AQ6055" s="31"/>
    </row>
    <row r="6056" spans="43:43" x14ac:dyDescent="0.2">
      <c r="AQ6056" s="31"/>
    </row>
    <row r="6057" spans="43:43" x14ac:dyDescent="0.2">
      <c r="AQ6057" s="31"/>
    </row>
    <row r="6058" spans="43:43" x14ac:dyDescent="0.2">
      <c r="AQ6058" s="31"/>
    </row>
    <row r="6059" spans="43:43" x14ac:dyDescent="0.2">
      <c r="AQ6059" s="31"/>
    </row>
    <row r="6060" spans="43:43" x14ac:dyDescent="0.2">
      <c r="AQ6060" s="31"/>
    </row>
    <row r="6061" spans="43:43" x14ac:dyDescent="0.2">
      <c r="AQ6061" s="31"/>
    </row>
    <row r="6062" spans="43:43" x14ac:dyDescent="0.2">
      <c r="AQ6062" s="31"/>
    </row>
    <row r="6063" spans="43:43" x14ac:dyDescent="0.2">
      <c r="AQ6063" s="31"/>
    </row>
    <row r="6064" spans="43:43" x14ac:dyDescent="0.2">
      <c r="AQ6064" s="31"/>
    </row>
    <row r="6065" spans="43:43" x14ac:dyDescent="0.2">
      <c r="AQ6065" s="31"/>
    </row>
    <row r="6066" spans="43:43" x14ac:dyDescent="0.2">
      <c r="AQ6066" s="31"/>
    </row>
    <row r="6067" spans="43:43" x14ac:dyDescent="0.2">
      <c r="AQ6067" s="31"/>
    </row>
    <row r="6068" spans="43:43" x14ac:dyDescent="0.2">
      <c r="AQ6068" s="31"/>
    </row>
    <row r="6069" spans="43:43" x14ac:dyDescent="0.2">
      <c r="AQ6069" s="31"/>
    </row>
    <row r="6070" spans="43:43" x14ac:dyDescent="0.2">
      <c r="AQ6070" s="31"/>
    </row>
    <row r="6071" spans="43:43" x14ac:dyDescent="0.2">
      <c r="AQ6071" s="31"/>
    </row>
    <row r="6072" spans="43:43" x14ac:dyDescent="0.2">
      <c r="AQ6072" s="31"/>
    </row>
    <row r="6073" spans="43:43" x14ac:dyDescent="0.2">
      <c r="AQ6073" s="31"/>
    </row>
    <row r="6074" spans="43:43" x14ac:dyDescent="0.2">
      <c r="AQ6074" s="31"/>
    </row>
    <row r="6075" spans="43:43" x14ac:dyDescent="0.2">
      <c r="AQ6075" s="31"/>
    </row>
    <row r="6076" spans="43:43" x14ac:dyDescent="0.2">
      <c r="AQ6076" s="31"/>
    </row>
    <row r="6077" spans="43:43" x14ac:dyDescent="0.2">
      <c r="AQ6077" s="31"/>
    </row>
    <row r="6078" spans="43:43" x14ac:dyDescent="0.2">
      <c r="AQ6078" s="31"/>
    </row>
    <row r="6079" spans="43:43" x14ac:dyDescent="0.2">
      <c r="AQ6079" s="31"/>
    </row>
    <row r="6080" spans="43:43" x14ac:dyDescent="0.2">
      <c r="AQ6080" s="31"/>
    </row>
    <row r="6081" spans="43:43" x14ac:dyDescent="0.2">
      <c r="AQ6081" s="31"/>
    </row>
    <row r="6082" spans="43:43" x14ac:dyDescent="0.2">
      <c r="AQ6082" s="31"/>
    </row>
    <row r="6083" spans="43:43" x14ac:dyDescent="0.2">
      <c r="AQ6083" s="31"/>
    </row>
    <row r="6084" spans="43:43" x14ac:dyDescent="0.2">
      <c r="AQ6084" s="31"/>
    </row>
    <row r="6085" spans="43:43" x14ac:dyDescent="0.2">
      <c r="AQ6085" s="31"/>
    </row>
    <row r="6086" spans="43:43" x14ac:dyDescent="0.2">
      <c r="AQ6086" s="31"/>
    </row>
    <row r="6087" spans="43:43" x14ac:dyDescent="0.2">
      <c r="AQ6087" s="31"/>
    </row>
    <row r="6088" spans="43:43" x14ac:dyDescent="0.2">
      <c r="AQ6088" s="31"/>
    </row>
    <row r="6089" spans="43:43" x14ac:dyDescent="0.2">
      <c r="AQ6089" s="31"/>
    </row>
    <row r="6090" spans="43:43" x14ac:dyDescent="0.2">
      <c r="AQ6090" s="31"/>
    </row>
    <row r="6091" spans="43:43" x14ac:dyDescent="0.2">
      <c r="AQ6091" s="31"/>
    </row>
    <row r="6092" spans="43:43" x14ac:dyDescent="0.2">
      <c r="AQ6092" s="31"/>
    </row>
    <row r="6093" spans="43:43" x14ac:dyDescent="0.2">
      <c r="AQ6093" s="31"/>
    </row>
    <row r="6094" spans="43:43" x14ac:dyDescent="0.2">
      <c r="AQ6094" s="31"/>
    </row>
    <row r="6095" spans="43:43" x14ac:dyDescent="0.2">
      <c r="AQ6095" s="31"/>
    </row>
    <row r="6096" spans="43:43" x14ac:dyDescent="0.2">
      <c r="AQ6096" s="31"/>
    </row>
    <row r="6097" spans="43:43" x14ac:dyDescent="0.2">
      <c r="AQ6097" s="31"/>
    </row>
    <row r="6098" spans="43:43" x14ac:dyDescent="0.2">
      <c r="AQ6098" s="31"/>
    </row>
    <row r="6099" spans="43:43" x14ac:dyDescent="0.2">
      <c r="AQ6099" s="31"/>
    </row>
    <row r="6100" spans="43:43" x14ac:dyDescent="0.2">
      <c r="AQ6100" s="31"/>
    </row>
    <row r="6101" spans="43:43" x14ac:dyDescent="0.2">
      <c r="AQ6101" s="31"/>
    </row>
    <row r="6102" spans="43:43" x14ac:dyDescent="0.2">
      <c r="AQ6102" s="31"/>
    </row>
    <row r="6103" spans="43:43" x14ac:dyDescent="0.2">
      <c r="AQ6103" s="31"/>
    </row>
    <row r="6104" spans="43:43" x14ac:dyDescent="0.2">
      <c r="AQ6104" s="31"/>
    </row>
    <row r="6105" spans="43:43" x14ac:dyDescent="0.2">
      <c r="AQ6105" s="31"/>
    </row>
    <row r="6106" spans="43:43" x14ac:dyDescent="0.2">
      <c r="AQ6106" s="31"/>
    </row>
    <row r="6107" spans="43:43" x14ac:dyDescent="0.2">
      <c r="AQ6107" s="31"/>
    </row>
    <row r="6108" spans="43:43" x14ac:dyDescent="0.2">
      <c r="AQ6108" s="31"/>
    </row>
    <row r="6109" spans="43:43" x14ac:dyDescent="0.2">
      <c r="AQ6109" s="31"/>
    </row>
    <row r="6110" spans="43:43" x14ac:dyDescent="0.2">
      <c r="AQ6110" s="31"/>
    </row>
    <row r="6111" spans="43:43" x14ac:dyDescent="0.2">
      <c r="AQ6111" s="31"/>
    </row>
    <row r="6112" spans="43:43" x14ac:dyDescent="0.2">
      <c r="AQ6112" s="31"/>
    </row>
    <row r="6113" spans="43:43" x14ac:dyDescent="0.2">
      <c r="AQ6113" s="31"/>
    </row>
    <row r="6114" spans="43:43" x14ac:dyDescent="0.2">
      <c r="AQ6114" s="31"/>
    </row>
    <row r="6115" spans="43:43" x14ac:dyDescent="0.2">
      <c r="AQ6115" s="31"/>
    </row>
    <row r="6116" spans="43:43" x14ac:dyDescent="0.2">
      <c r="AQ6116" s="31"/>
    </row>
    <row r="6117" spans="43:43" x14ac:dyDescent="0.2">
      <c r="AQ6117" s="31"/>
    </row>
    <row r="6118" spans="43:43" x14ac:dyDescent="0.2">
      <c r="AQ6118" s="31"/>
    </row>
    <row r="6119" spans="43:43" x14ac:dyDescent="0.2">
      <c r="AQ6119" s="31"/>
    </row>
    <row r="6120" spans="43:43" x14ac:dyDescent="0.2">
      <c r="AQ6120" s="31"/>
    </row>
    <row r="6121" spans="43:43" x14ac:dyDescent="0.2">
      <c r="AQ6121" s="31"/>
    </row>
    <row r="6122" spans="43:43" x14ac:dyDescent="0.2">
      <c r="AQ6122" s="31"/>
    </row>
    <row r="6123" spans="43:43" x14ac:dyDescent="0.2">
      <c r="AQ6123" s="31"/>
    </row>
    <row r="6124" spans="43:43" x14ac:dyDescent="0.2">
      <c r="AQ6124" s="31"/>
    </row>
    <row r="6125" spans="43:43" x14ac:dyDescent="0.2">
      <c r="AQ6125" s="31"/>
    </row>
    <row r="6126" spans="43:43" x14ac:dyDescent="0.2">
      <c r="AQ6126" s="31"/>
    </row>
    <row r="6127" spans="43:43" x14ac:dyDescent="0.2">
      <c r="AQ6127" s="31"/>
    </row>
    <row r="6128" spans="43:43" x14ac:dyDescent="0.2">
      <c r="AQ6128" s="31"/>
    </row>
    <row r="6129" spans="43:43" x14ac:dyDescent="0.2">
      <c r="AQ6129" s="31"/>
    </row>
    <row r="6130" spans="43:43" x14ac:dyDescent="0.2">
      <c r="AQ6130" s="31"/>
    </row>
    <row r="6131" spans="43:43" x14ac:dyDescent="0.2">
      <c r="AQ6131" s="31"/>
    </row>
    <row r="6132" spans="43:43" x14ac:dyDescent="0.2">
      <c r="AQ6132" s="31"/>
    </row>
    <row r="6133" spans="43:43" x14ac:dyDescent="0.2">
      <c r="AQ6133" s="31"/>
    </row>
    <row r="6134" spans="43:43" x14ac:dyDescent="0.2">
      <c r="AQ6134" s="31"/>
    </row>
    <row r="6135" spans="43:43" x14ac:dyDescent="0.2">
      <c r="AQ6135" s="31"/>
    </row>
    <row r="6136" spans="43:43" x14ac:dyDescent="0.2">
      <c r="AQ6136" s="31"/>
    </row>
    <row r="6137" spans="43:43" x14ac:dyDescent="0.2">
      <c r="AQ6137" s="31"/>
    </row>
    <row r="6138" spans="43:43" x14ac:dyDescent="0.2">
      <c r="AQ6138" s="31"/>
    </row>
    <row r="6139" spans="43:43" x14ac:dyDescent="0.2">
      <c r="AQ6139" s="31"/>
    </row>
    <row r="6140" spans="43:43" x14ac:dyDescent="0.2">
      <c r="AQ6140" s="31"/>
    </row>
    <row r="6141" spans="43:43" x14ac:dyDescent="0.2">
      <c r="AQ6141" s="31"/>
    </row>
    <row r="6142" spans="43:43" x14ac:dyDescent="0.2">
      <c r="AQ6142" s="31"/>
    </row>
    <row r="6143" spans="43:43" x14ac:dyDescent="0.2">
      <c r="AQ6143" s="31"/>
    </row>
    <row r="6144" spans="43:43" x14ac:dyDescent="0.2">
      <c r="AQ6144" s="31"/>
    </row>
    <row r="6145" spans="43:43" x14ac:dyDescent="0.2">
      <c r="AQ6145" s="31"/>
    </row>
    <row r="6146" spans="43:43" x14ac:dyDescent="0.2">
      <c r="AQ6146" s="31"/>
    </row>
    <row r="6147" spans="43:43" x14ac:dyDescent="0.2">
      <c r="AQ6147" s="31"/>
    </row>
    <row r="6148" spans="43:43" x14ac:dyDescent="0.2">
      <c r="AQ6148" s="31"/>
    </row>
    <row r="6149" spans="43:43" x14ac:dyDescent="0.2">
      <c r="AQ6149" s="31"/>
    </row>
    <row r="6150" spans="43:43" x14ac:dyDescent="0.2">
      <c r="AQ6150" s="31"/>
    </row>
    <row r="6151" spans="43:43" x14ac:dyDescent="0.2">
      <c r="AQ6151" s="31"/>
    </row>
    <row r="6152" spans="43:43" x14ac:dyDescent="0.2">
      <c r="AQ6152" s="31"/>
    </row>
    <row r="6153" spans="43:43" x14ac:dyDescent="0.2">
      <c r="AQ6153" s="31"/>
    </row>
    <row r="6154" spans="43:43" x14ac:dyDescent="0.2">
      <c r="AQ6154" s="31"/>
    </row>
    <row r="6155" spans="43:43" x14ac:dyDescent="0.2">
      <c r="AQ6155" s="31"/>
    </row>
    <row r="6156" spans="43:43" x14ac:dyDescent="0.2">
      <c r="AQ6156" s="31"/>
    </row>
    <row r="6157" spans="43:43" x14ac:dyDescent="0.2">
      <c r="AQ6157" s="31"/>
    </row>
    <row r="6158" spans="43:43" x14ac:dyDescent="0.2">
      <c r="AQ6158" s="31"/>
    </row>
    <row r="6159" spans="43:43" x14ac:dyDescent="0.2">
      <c r="AQ6159" s="31"/>
    </row>
    <row r="6160" spans="43:43" x14ac:dyDescent="0.2">
      <c r="AQ6160" s="31"/>
    </row>
    <row r="6161" spans="43:43" x14ac:dyDescent="0.2">
      <c r="AQ6161" s="31"/>
    </row>
    <row r="6162" spans="43:43" x14ac:dyDescent="0.2">
      <c r="AQ6162" s="31"/>
    </row>
    <row r="6163" spans="43:43" x14ac:dyDescent="0.2">
      <c r="AQ6163" s="31"/>
    </row>
    <row r="6164" spans="43:43" x14ac:dyDescent="0.2">
      <c r="AQ6164" s="31"/>
    </row>
    <row r="6165" spans="43:43" x14ac:dyDescent="0.2">
      <c r="AQ6165" s="31"/>
    </row>
    <row r="6166" spans="43:43" x14ac:dyDescent="0.2">
      <c r="AQ6166" s="31"/>
    </row>
    <row r="6167" spans="43:43" x14ac:dyDescent="0.2">
      <c r="AQ6167" s="31"/>
    </row>
    <row r="6168" spans="43:43" x14ac:dyDescent="0.2">
      <c r="AQ6168" s="31"/>
    </row>
    <row r="6169" spans="43:43" x14ac:dyDescent="0.2">
      <c r="AQ6169" s="31"/>
    </row>
    <row r="6170" spans="43:43" x14ac:dyDescent="0.2">
      <c r="AQ6170" s="31"/>
    </row>
    <row r="6171" spans="43:43" x14ac:dyDescent="0.2">
      <c r="AQ6171" s="31"/>
    </row>
    <row r="6172" spans="43:43" x14ac:dyDescent="0.2">
      <c r="AQ6172" s="31"/>
    </row>
    <row r="6173" spans="43:43" x14ac:dyDescent="0.2">
      <c r="AQ6173" s="31"/>
    </row>
    <row r="6174" spans="43:43" x14ac:dyDescent="0.2">
      <c r="AQ6174" s="31"/>
    </row>
    <row r="6175" spans="43:43" x14ac:dyDescent="0.2">
      <c r="AQ6175" s="31"/>
    </row>
    <row r="6176" spans="43:43" x14ac:dyDescent="0.2">
      <c r="AQ6176" s="31"/>
    </row>
    <row r="6177" spans="43:43" x14ac:dyDescent="0.2">
      <c r="AQ6177" s="31"/>
    </row>
    <row r="6178" spans="43:43" x14ac:dyDescent="0.2">
      <c r="AQ6178" s="31"/>
    </row>
    <row r="6179" spans="43:43" x14ac:dyDescent="0.2">
      <c r="AQ6179" s="31"/>
    </row>
    <row r="6180" spans="43:43" x14ac:dyDescent="0.2">
      <c r="AQ6180" s="31"/>
    </row>
    <row r="6181" spans="43:43" x14ac:dyDescent="0.2">
      <c r="AQ6181" s="31"/>
    </row>
    <row r="6182" spans="43:43" x14ac:dyDescent="0.2">
      <c r="AQ6182" s="31"/>
    </row>
    <row r="6183" spans="43:43" x14ac:dyDescent="0.2">
      <c r="AQ6183" s="31"/>
    </row>
    <row r="6184" spans="43:43" x14ac:dyDescent="0.2">
      <c r="AQ6184" s="31"/>
    </row>
    <row r="6185" spans="43:43" x14ac:dyDescent="0.2">
      <c r="AQ6185" s="31"/>
    </row>
    <row r="6186" spans="43:43" x14ac:dyDescent="0.2">
      <c r="AQ6186" s="31"/>
    </row>
    <row r="6187" spans="43:43" x14ac:dyDescent="0.2">
      <c r="AQ6187" s="31"/>
    </row>
    <row r="6188" spans="43:43" x14ac:dyDescent="0.2">
      <c r="AQ6188" s="31"/>
    </row>
    <row r="6189" spans="43:43" x14ac:dyDescent="0.2">
      <c r="AQ6189" s="31"/>
    </row>
    <row r="6190" spans="43:43" x14ac:dyDescent="0.2">
      <c r="AQ6190" s="31"/>
    </row>
    <row r="6191" spans="43:43" x14ac:dyDescent="0.2">
      <c r="AQ6191" s="31"/>
    </row>
    <row r="6192" spans="43:43" x14ac:dyDescent="0.2">
      <c r="AQ6192" s="31"/>
    </row>
    <row r="6193" spans="43:43" x14ac:dyDescent="0.2">
      <c r="AQ6193" s="31"/>
    </row>
    <row r="6194" spans="43:43" x14ac:dyDescent="0.2">
      <c r="AQ6194" s="31"/>
    </row>
    <row r="6195" spans="43:43" x14ac:dyDescent="0.2">
      <c r="AQ6195" s="31"/>
    </row>
    <row r="6196" spans="43:43" x14ac:dyDescent="0.2">
      <c r="AQ6196" s="31"/>
    </row>
    <row r="6197" spans="43:43" x14ac:dyDescent="0.2">
      <c r="AQ6197" s="31"/>
    </row>
    <row r="6198" spans="43:43" x14ac:dyDescent="0.2">
      <c r="AQ6198" s="31"/>
    </row>
    <row r="6199" spans="43:43" x14ac:dyDescent="0.2">
      <c r="AQ6199" s="31"/>
    </row>
    <row r="6200" spans="43:43" x14ac:dyDescent="0.2">
      <c r="AQ6200" s="31"/>
    </row>
    <row r="6201" spans="43:43" x14ac:dyDescent="0.2">
      <c r="AQ6201" s="31"/>
    </row>
    <row r="6202" spans="43:43" x14ac:dyDescent="0.2">
      <c r="AQ6202" s="31"/>
    </row>
    <row r="6203" spans="43:43" x14ac:dyDescent="0.2">
      <c r="AQ6203" s="31"/>
    </row>
    <row r="6204" spans="43:43" x14ac:dyDescent="0.2">
      <c r="AQ6204" s="31"/>
    </row>
    <row r="6205" spans="43:43" x14ac:dyDescent="0.2">
      <c r="AQ6205" s="31"/>
    </row>
    <row r="6206" spans="43:43" x14ac:dyDescent="0.2">
      <c r="AQ6206" s="31"/>
    </row>
    <row r="6207" spans="43:43" x14ac:dyDescent="0.2">
      <c r="AQ6207" s="31"/>
    </row>
    <row r="6208" spans="43:43" x14ac:dyDescent="0.2">
      <c r="AQ6208" s="31"/>
    </row>
    <row r="6209" spans="43:43" x14ac:dyDescent="0.2">
      <c r="AQ6209" s="31"/>
    </row>
    <row r="6210" spans="43:43" x14ac:dyDescent="0.2">
      <c r="AQ6210" s="31"/>
    </row>
    <row r="6211" spans="43:43" x14ac:dyDescent="0.2">
      <c r="AQ6211" s="31"/>
    </row>
    <row r="6212" spans="43:43" x14ac:dyDescent="0.2">
      <c r="AQ6212" s="31"/>
    </row>
    <row r="6213" spans="43:43" x14ac:dyDescent="0.2">
      <c r="AQ6213" s="31"/>
    </row>
    <row r="6214" spans="43:43" x14ac:dyDescent="0.2">
      <c r="AQ6214" s="31"/>
    </row>
    <row r="6215" spans="43:43" x14ac:dyDescent="0.2">
      <c r="AQ6215" s="31"/>
    </row>
    <row r="6216" spans="43:43" x14ac:dyDescent="0.2">
      <c r="AQ6216" s="31"/>
    </row>
    <row r="6217" spans="43:43" x14ac:dyDescent="0.2">
      <c r="AQ6217" s="31"/>
    </row>
    <row r="6218" spans="43:43" x14ac:dyDescent="0.2">
      <c r="AQ6218" s="31"/>
    </row>
    <row r="6219" spans="43:43" x14ac:dyDescent="0.2">
      <c r="AQ6219" s="31"/>
    </row>
    <row r="6220" spans="43:43" x14ac:dyDescent="0.2">
      <c r="AQ6220" s="31"/>
    </row>
    <row r="6221" spans="43:43" x14ac:dyDescent="0.2">
      <c r="AQ6221" s="31"/>
    </row>
    <row r="6222" spans="43:43" x14ac:dyDescent="0.2">
      <c r="AQ6222" s="31"/>
    </row>
    <row r="6223" spans="43:43" x14ac:dyDescent="0.2">
      <c r="AQ6223" s="31"/>
    </row>
    <row r="6224" spans="43:43" x14ac:dyDescent="0.2">
      <c r="AQ6224" s="31"/>
    </row>
    <row r="6225" spans="43:43" x14ac:dyDescent="0.2">
      <c r="AQ6225" s="31"/>
    </row>
    <row r="6226" spans="43:43" x14ac:dyDescent="0.2">
      <c r="AQ6226" s="31"/>
    </row>
    <row r="6227" spans="43:43" x14ac:dyDescent="0.2">
      <c r="AQ6227" s="31"/>
    </row>
    <row r="6228" spans="43:43" x14ac:dyDescent="0.2">
      <c r="AQ6228" s="31"/>
    </row>
    <row r="6229" spans="43:43" x14ac:dyDescent="0.2">
      <c r="AQ6229" s="31"/>
    </row>
    <row r="6230" spans="43:43" x14ac:dyDescent="0.2">
      <c r="AQ6230" s="31"/>
    </row>
    <row r="6231" spans="43:43" x14ac:dyDescent="0.2">
      <c r="AQ6231" s="31"/>
    </row>
    <row r="6232" spans="43:43" x14ac:dyDescent="0.2">
      <c r="AQ6232" s="31"/>
    </row>
    <row r="6233" spans="43:43" x14ac:dyDescent="0.2">
      <c r="AQ6233" s="31"/>
    </row>
    <row r="6234" spans="43:43" x14ac:dyDescent="0.2">
      <c r="AQ6234" s="31"/>
    </row>
    <row r="6235" spans="43:43" x14ac:dyDescent="0.2">
      <c r="AQ6235" s="31"/>
    </row>
    <row r="6236" spans="43:43" x14ac:dyDescent="0.2">
      <c r="AQ6236" s="31"/>
    </row>
    <row r="6237" spans="43:43" x14ac:dyDescent="0.2">
      <c r="AQ6237" s="31"/>
    </row>
    <row r="6238" spans="43:43" x14ac:dyDescent="0.2">
      <c r="AQ6238" s="31"/>
    </row>
    <row r="6239" spans="43:43" x14ac:dyDescent="0.2">
      <c r="AQ6239" s="31"/>
    </row>
    <row r="6240" spans="43:43" x14ac:dyDescent="0.2">
      <c r="AQ6240" s="31"/>
    </row>
    <row r="6241" spans="43:43" x14ac:dyDescent="0.2">
      <c r="AQ6241" s="31"/>
    </row>
    <row r="6242" spans="43:43" x14ac:dyDescent="0.2">
      <c r="AQ6242" s="31"/>
    </row>
    <row r="6243" spans="43:43" x14ac:dyDescent="0.2">
      <c r="AQ6243" s="31"/>
    </row>
    <row r="6244" spans="43:43" x14ac:dyDescent="0.2">
      <c r="AQ6244" s="31"/>
    </row>
    <row r="6245" spans="43:43" x14ac:dyDescent="0.2">
      <c r="AQ6245" s="31"/>
    </row>
    <row r="6246" spans="43:43" x14ac:dyDescent="0.2">
      <c r="AQ6246" s="31"/>
    </row>
    <row r="6247" spans="43:43" x14ac:dyDescent="0.2">
      <c r="AQ6247" s="31"/>
    </row>
    <row r="6248" spans="43:43" x14ac:dyDescent="0.2">
      <c r="AQ6248" s="31"/>
    </row>
    <row r="6249" spans="43:43" x14ac:dyDescent="0.2">
      <c r="AQ6249" s="31"/>
    </row>
    <row r="6250" spans="43:43" x14ac:dyDescent="0.2">
      <c r="AQ6250" s="31"/>
    </row>
    <row r="6251" spans="43:43" x14ac:dyDescent="0.2">
      <c r="AQ6251" s="31"/>
    </row>
    <row r="6252" spans="43:43" x14ac:dyDescent="0.2">
      <c r="AQ6252" s="31"/>
    </row>
    <row r="6253" spans="43:43" x14ac:dyDescent="0.2">
      <c r="AQ6253" s="31"/>
    </row>
    <row r="6254" spans="43:43" x14ac:dyDescent="0.2">
      <c r="AQ6254" s="31"/>
    </row>
    <row r="6255" spans="43:43" x14ac:dyDescent="0.2">
      <c r="AQ6255" s="31"/>
    </row>
    <row r="6256" spans="43:43" x14ac:dyDescent="0.2">
      <c r="AQ6256" s="31"/>
    </row>
    <row r="6257" spans="43:43" x14ac:dyDescent="0.2">
      <c r="AQ6257" s="31"/>
    </row>
    <row r="6258" spans="43:43" x14ac:dyDescent="0.2">
      <c r="AQ6258" s="31"/>
    </row>
    <row r="6259" spans="43:43" x14ac:dyDescent="0.2">
      <c r="AQ6259" s="31"/>
    </row>
    <row r="6260" spans="43:43" x14ac:dyDescent="0.2">
      <c r="AQ6260" s="31"/>
    </row>
    <row r="6261" spans="43:43" x14ac:dyDescent="0.2">
      <c r="AQ6261" s="31"/>
    </row>
    <row r="6262" spans="43:43" x14ac:dyDescent="0.2">
      <c r="AQ6262" s="31"/>
    </row>
    <row r="6263" spans="43:43" x14ac:dyDescent="0.2">
      <c r="AQ6263" s="31"/>
    </row>
    <row r="6264" spans="43:43" x14ac:dyDescent="0.2">
      <c r="AQ6264" s="31"/>
    </row>
    <row r="6265" spans="43:43" x14ac:dyDescent="0.2">
      <c r="AQ6265" s="31"/>
    </row>
    <row r="6266" spans="43:43" x14ac:dyDescent="0.2">
      <c r="AQ6266" s="31"/>
    </row>
    <row r="6267" spans="43:43" x14ac:dyDescent="0.2">
      <c r="AQ6267" s="31"/>
    </row>
    <row r="6268" spans="43:43" x14ac:dyDescent="0.2">
      <c r="AQ6268" s="31"/>
    </row>
    <row r="6269" spans="43:43" x14ac:dyDescent="0.2">
      <c r="AQ6269" s="31"/>
    </row>
    <row r="6270" spans="43:43" x14ac:dyDescent="0.2">
      <c r="AQ6270" s="31"/>
    </row>
    <row r="6271" spans="43:43" x14ac:dyDescent="0.2">
      <c r="AQ6271" s="31"/>
    </row>
    <row r="6272" spans="43:43" x14ac:dyDescent="0.2">
      <c r="AQ6272" s="31"/>
    </row>
    <row r="6273" spans="43:43" x14ac:dyDescent="0.2">
      <c r="AQ6273" s="31"/>
    </row>
    <row r="6274" spans="43:43" x14ac:dyDescent="0.2">
      <c r="AQ6274" s="31"/>
    </row>
    <row r="6275" spans="43:43" x14ac:dyDescent="0.2">
      <c r="AQ6275" s="31"/>
    </row>
    <row r="6276" spans="43:43" x14ac:dyDescent="0.2">
      <c r="AQ6276" s="31"/>
    </row>
    <row r="6277" spans="43:43" x14ac:dyDescent="0.2">
      <c r="AQ6277" s="31"/>
    </row>
    <row r="6278" spans="43:43" x14ac:dyDescent="0.2">
      <c r="AQ6278" s="31"/>
    </row>
    <row r="6279" spans="43:43" x14ac:dyDescent="0.2">
      <c r="AQ6279" s="31"/>
    </row>
    <row r="6280" spans="43:43" x14ac:dyDescent="0.2">
      <c r="AQ6280" s="31"/>
    </row>
    <row r="6281" spans="43:43" x14ac:dyDescent="0.2">
      <c r="AQ6281" s="31"/>
    </row>
    <row r="6282" spans="43:43" x14ac:dyDescent="0.2">
      <c r="AQ6282" s="31"/>
    </row>
    <row r="6283" spans="43:43" x14ac:dyDescent="0.2">
      <c r="AQ6283" s="31"/>
    </row>
    <row r="6284" spans="43:43" x14ac:dyDescent="0.2">
      <c r="AQ6284" s="31"/>
    </row>
    <row r="6285" spans="43:43" x14ac:dyDescent="0.2">
      <c r="AQ6285" s="31"/>
    </row>
    <row r="6286" spans="43:43" x14ac:dyDescent="0.2">
      <c r="AQ6286" s="31"/>
    </row>
    <row r="6287" spans="43:43" x14ac:dyDescent="0.2">
      <c r="AQ6287" s="31"/>
    </row>
    <row r="6288" spans="43:43" x14ac:dyDescent="0.2">
      <c r="AQ6288" s="31"/>
    </row>
    <row r="6289" spans="43:43" x14ac:dyDescent="0.2">
      <c r="AQ6289" s="31"/>
    </row>
    <row r="6290" spans="43:43" x14ac:dyDescent="0.2">
      <c r="AQ6290" s="31"/>
    </row>
    <row r="6291" spans="43:43" x14ac:dyDescent="0.2">
      <c r="AQ6291" s="31"/>
    </row>
    <row r="6292" spans="43:43" x14ac:dyDescent="0.2">
      <c r="AQ6292" s="31"/>
    </row>
    <row r="6293" spans="43:43" x14ac:dyDescent="0.2">
      <c r="AQ6293" s="31"/>
    </row>
    <row r="6294" spans="43:43" x14ac:dyDescent="0.2">
      <c r="AQ6294" s="31"/>
    </row>
    <row r="6295" spans="43:43" x14ac:dyDescent="0.2">
      <c r="AQ6295" s="31"/>
    </row>
    <row r="6296" spans="43:43" x14ac:dyDescent="0.2">
      <c r="AQ6296" s="31"/>
    </row>
    <row r="6297" spans="43:43" x14ac:dyDescent="0.2">
      <c r="AQ6297" s="31"/>
    </row>
    <row r="6298" spans="43:43" x14ac:dyDescent="0.2">
      <c r="AQ6298" s="31"/>
    </row>
    <row r="6299" spans="43:43" x14ac:dyDescent="0.2">
      <c r="AQ6299" s="31"/>
    </row>
    <row r="6300" spans="43:43" x14ac:dyDescent="0.2">
      <c r="AQ6300" s="31"/>
    </row>
    <row r="6301" spans="43:43" x14ac:dyDescent="0.2">
      <c r="AQ6301" s="31"/>
    </row>
    <row r="6302" spans="43:43" x14ac:dyDescent="0.2">
      <c r="AQ6302" s="31"/>
    </row>
    <row r="6303" spans="43:43" x14ac:dyDescent="0.2">
      <c r="AQ6303" s="31"/>
    </row>
    <row r="6304" spans="43:43" x14ac:dyDescent="0.2">
      <c r="AQ6304" s="31"/>
    </row>
    <row r="6305" spans="43:43" x14ac:dyDescent="0.2">
      <c r="AQ6305" s="31"/>
    </row>
    <row r="6306" spans="43:43" x14ac:dyDescent="0.2">
      <c r="AQ6306" s="31"/>
    </row>
    <row r="6307" spans="43:43" x14ac:dyDescent="0.2">
      <c r="AQ6307" s="31"/>
    </row>
    <row r="6308" spans="43:43" x14ac:dyDescent="0.2">
      <c r="AQ6308" s="31"/>
    </row>
    <row r="6309" spans="43:43" x14ac:dyDescent="0.2">
      <c r="AQ6309" s="31"/>
    </row>
    <row r="6310" spans="43:43" x14ac:dyDescent="0.2">
      <c r="AQ6310" s="31"/>
    </row>
    <row r="6311" spans="43:43" x14ac:dyDescent="0.2">
      <c r="AQ6311" s="31"/>
    </row>
    <row r="6312" spans="43:43" x14ac:dyDescent="0.2">
      <c r="AQ6312" s="31"/>
    </row>
    <row r="6313" spans="43:43" x14ac:dyDescent="0.2">
      <c r="AQ6313" s="31"/>
    </row>
    <row r="6314" spans="43:43" x14ac:dyDescent="0.2">
      <c r="AQ6314" s="31"/>
    </row>
    <row r="6315" spans="43:43" x14ac:dyDescent="0.2">
      <c r="AQ6315" s="31"/>
    </row>
    <row r="6316" spans="43:43" x14ac:dyDescent="0.2">
      <c r="AQ6316" s="31"/>
    </row>
    <row r="6317" spans="43:43" x14ac:dyDescent="0.2">
      <c r="AQ6317" s="31"/>
    </row>
    <row r="6318" spans="43:43" x14ac:dyDescent="0.2">
      <c r="AQ6318" s="31"/>
    </row>
    <row r="6319" spans="43:43" x14ac:dyDescent="0.2">
      <c r="AQ6319" s="31"/>
    </row>
    <row r="6320" spans="43:43" x14ac:dyDescent="0.2">
      <c r="AQ6320" s="31"/>
    </row>
    <row r="6321" spans="43:43" x14ac:dyDescent="0.2">
      <c r="AQ6321" s="31"/>
    </row>
    <row r="6322" spans="43:43" x14ac:dyDescent="0.2">
      <c r="AQ6322" s="31"/>
    </row>
    <row r="6323" spans="43:43" x14ac:dyDescent="0.2">
      <c r="AQ6323" s="31"/>
    </row>
    <row r="6324" spans="43:43" x14ac:dyDescent="0.2">
      <c r="AQ6324" s="31"/>
    </row>
    <row r="6325" spans="43:43" x14ac:dyDescent="0.2">
      <c r="AQ6325" s="31"/>
    </row>
    <row r="6326" spans="43:43" x14ac:dyDescent="0.2">
      <c r="AQ6326" s="31"/>
    </row>
    <row r="6327" spans="43:43" x14ac:dyDescent="0.2">
      <c r="AQ6327" s="31"/>
    </row>
    <row r="6328" spans="43:43" x14ac:dyDescent="0.2">
      <c r="AQ6328" s="31"/>
    </row>
    <row r="6329" spans="43:43" x14ac:dyDescent="0.2">
      <c r="AQ6329" s="31"/>
    </row>
    <row r="6330" spans="43:43" x14ac:dyDescent="0.2">
      <c r="AQ6330" s="31"/>
    </row>
    <row r="6331" spans="43:43" x14ac:dyDescent="0.2">
      <c r="AQ6331" s="31"/>
    </row>
    <row r="6332" spans="43:43" x14ac:dyDescent="0.2">
      <c r="AQ6332" s="31"/>
    </row>
    <row r="6333" spans="43:43" x14ac:dyDescent="0.2">
      <c r="AQ6333" s="31"/>
    </row>
    <row r="6334" spans="43:43" x14ac:dyDescent="0.2">
      <c r="AQ6334" s="31"/>
    </row>
    <row r="6335" spans="43:43" x14ac:dyDescent="0.2">
      <c r="AQ6335" s="31"/>
    </row>
    <row r="6336" spans="43:43" x14ac:dyDescent="0.2">
      <c r="AQ6336" s="31"/>
    </row>
    <row r="6337" spans="43:43" x14ac:dyDescent="0.2">
      <c r="AQ6337" s="31"/>
    </row>
    <row r="6338" spans="43:43" x14ac:dyDescent="0.2">
      <c r="AQ6338" s="31"/>
    </row>
    <row r="6339" spans="43:43" x14ac:dyDescent="0.2">
      <c r="AQ6339" s="31"/>
    </row>
    <row r="6340" spans="43:43" x14ac:dyDescent="0.2">
      <c r="AQ6340" s="31"/>
    </row>
    <row r="6341" spans="43:43" x14ac:dyDescent="0.2">
      <c r="AQ6341" s="31"/>
    </row>
    <row r="6342" spans="43:43" x14ac:dyDescent="0.2">
      <c r="AQ6342" s="31"/>
    </row>
    <row r="6343" spans="43:43" x14ac:dyDescent="0.2">
      <c r="AQ6343" s="31"/>
    </row>
    <row r="6344" spans="43:43" x14ac:dyDescent="0.2">
      <c r="AQ6344" s="31"/>
    </row>
    <row r="6345" spans="43:43" x14ac:dyDescent="0.2">
      <c r="AQ6345" s="31"/>
    </row>
    <row r="6346" spans="43:43" x14ac:dyDescent="0.2">
      <c r="AQ6346" s="31"/>
    </row>
    <row r="6347" spans="43:43" x14ac:dyDescent="0.2">
      <c r="AQ6347" s="31"/>
    </row>
    <row r="6348" spans="43:43" x14ac:dyDescent="0.2">
      <c r="AQ6348" s="31"/>
    </row>
    <row r="6349" spans="43:43" x14ac:dyDescent="0.2">
      <c r="AQ6349" s="31"/>
    </row>
    <row r="6350" spans="43:43" x14ac:dyDescent="0.2">
      <c r="AQ6350" s="31"/>
    </row>
    <row r="6351" spans="43:43" x14ac:dyDescent="0.2">
      <c r="AQ6351" s="31"/>
    </row>
    <row r="6352" spans="43:43" x14ac:dyDescent="0.2">
      <c r="AQ6352" s="31"/>
    </row>
    <row r="6353" spans="43:43" x14ac:dyDescent="0.2">
      <c r="AQ6353" s="31"/>
    </row>
    <row r="6354" spans="43:43" x14ac:dyDescent="0.2">
      <c r="AQ6354" s="31"/>
    </row>
    <row r="6355" spans="43:43" x14ac:dyDescent="0.2">
      <c r="AQ6355" s="31"/>
    </row>
    <row r="6356" spans="43:43" x14ac:dyDescent="0.2">
      <c r="AQ6356" s="31"/>
    </row>
    <row r="6357" spans="43:43" x14ac:dyDescent="0.2">
      <c r="AQ6357" s="31"/>
    </row>
    <row r="6358" spans="43:43" x14ac:dyDescent="0.2">
      <c r="AQ6358" s="31"/>
    </row>
    <row r="6359" spans="43:43" x14ac:dyDescent="0.2">
      <c r="AQ6359" s="31"/>
    </row>
    <row r="6360" spans="43:43" x14ac:dyDescent="0.2">
      <c r="AQ6360" s="31"/>
    </row>
    <row r="6361" spans="43:43" x14ac:dyDescent="0.2">
      <c r="AQ6361" s="31"/>
    </row>
    <row r="6362" spans="43:43" x14ac:dyDescent="0.2">
      <c r="AQ6362" s="31"/>
    </row>
    <row r="6363" spans="43:43" x14ac:dyDescent="0.2">
      <c r="AQ6363" s="31"/>
    </row>
    <row r="6364" spans="43:43" x14ac:dyDescent="0.2">
      <c r="AQ6364" s="31"/>
    </row>
    <row r="6365" spans="43:43" x14ac:dyDescent="0.2">
      <c r="AQ6365" s="31"/>
    </row>
    <row r="6366" spans="43:43" x14ac:dyDescent="0.2">
      <c r="AQ6366" s="31"/>
    </row>
    <row r="6367" spans="43:43" x14ac:dyDescent="0.2">
      <c r="AQ6367" s="31"/>
    </row>
    <row r="6368" spans="43:43" x14ac:dyDescent="0.2">
      <c r="AQ6368" s="31"/>
    </row>
    <row r="6369" spans="43:43" x14ac:dyDescent="0.2">
      <c r="AQ6369" s="31"/>
    </row>
    <row r="6370" spans="43:43" x14ac:dyDescent="0.2">
      <c r="AQ6370" s="31"/>
    </row>
    <row r="6371" spans="43:43" x14ac:dyDescent="0.2">
      <c r="AQ6371" s="31"/>
    </row>
    <row r="6372" spans="43:43" x14ac:dyDescent="0.2">
      <c r="AQ6372" s="31"/>
    </row>
    <row r="6373" spans="43:43" x14ac:dyDescent="0.2">
      <c r="AQ6373" s="31"/>
    </row>
    <row r="6374" spans="43:43" x14ac:dyDescent="0.2">
      <c r="AQ6374" s="31"/>
    </row>
    <row r="6375" spans="43:43" x14ac:dyDescent="0.2">
      <c r="AQ6375" s="31"/>
    </row>
    <row r="6376" spans="43:43" x14ac:dyDescent="0.2">
      <c r="AQ6376" s="31"/>
    </row>
    <row r="6377" spans="43:43" x14ac:dyDescent="0.2">
      <c r="AQ6377" s="31"/>
    </row>
    <row r="6378" spans="43:43" x14ac:dyDescent="0.2">
      <c r="AQ6378" s="31"/>
    </row>
    <row r="6379" spans="43:43" x14ac:dyDescent="0.2">
      <c r="AQ6379" s="31"/>
    </row>
    <row r="6380" spans="43:43" x14ac:dyDescent="0.2">
      <c r="AQ6380" s="31"/>
    </row>
    <row r="6381" spans="43:43" x14ac:dyDescent="0.2">
      <c r="AQ6381" s="31"/>
    </row>
    <row r="6382" spans="43:43" x14ac:dyDescent="0.2">
      <c r="AQ6382" s="31"/>
    </row>
    <row r="6383" spans="43:43" x14ac:dyDescent="0.2">
      <c r="AQ6383" s="31"/>
    </row>
    <row r="6384" spans="43:43" x14ac:dyDescent="0.2">
      <c r="AQ6384" s="31"/>
    </row>
    <row r="6385" spans="43:43" x14ac:dyDescent="0.2">
      <c r="AQ6385" s="31"/>
    </row>
    <row r="6386" spans="43:43" x14ac:dyDescent="0.2">
      <c r="AQ6386" s="31"/>
    </row>
    <row r="6387" spans="43:43" x14ac:dyDescent="0.2">
      <c r="AQ6387" s="31"/>
    </row>
    <row r="6388" spans="43:43" x14ac:dyDescent="0.2">
      <c r="AQ6388" s="31"/>
    </row>
    <row r="6389" spans="43:43" x14ac:dyDescent="0.2">
      <c r="AQ6389" s="31"/>
    </row>
    <row r="6390" spans="43:43" x14ac:dyDescent="0.2">
      <c r="AQ6390" s="31"/>
    </row>
    <row r="6391" spans="43:43" x14ac:dyDescent="0.2">
      <c r="AQ6391" s="31"/>
    </row>
    <row r="6392" spans="43:43" x14ac:dyDescent="0.2">
      <c r="AQ6392" s="31"/>
    </row>
    <row r="6393" spans="43:43" x14ac:dyDescent="0.2">
      <c r="AQ6393" s="31"/>
    </row>
    <row r="6394" spans="43:43" x14ac:dyDescent="0.2">
      <c r="AQ6394" s="31"/>
    </row>
    <row r="6395" spans="43:43" x14ac:dyDescent="0.2">
      <c r="AQ6395" s="31"/>
    </row>
    <row r="6396" spans="43:43" x14ac:dyDescent="0.2">
      <c r="AQ6396" s="31"/>
    </row>
    <row r="6397" spans="43:43" x14ac:dyDescent="0.2">
      <c r="AQ6397" s="31"/>
    </row>
    <row r="6398" spans="43:43" x14ac:dyDescent="0.2">
      <c r="AQ6398" s="31"/>
    </row>
    <row r="6399" spans="43:43" x14ac:dyDescent="0.2">
      <c r="AQ6399" s="31"/>
    </row>
    <row r="6400" spans="43:43" x14ac:dyDescent="0.2">
      <c r="AQ6400" s="31"/>
    </row>
    <row r="6401" spans="43:43" x14ac:dyDescent="0.2">
      <c r="AQ6401" s="31"/>
    </row>
    <row r="6402" spans="43:43" x14ac:dyDescent="0.2">
      <c r="AQ6402" s="31"/>
    </row>
    <row r="6403" spans="43:43" x14ac:dyDescent="0.2">
      <c r="AQ6403" s="31"/>
    </row>
    <row r="6404" spans="43:43" x14ac:dyDescent="0.2">
      <c r="AQ6404" s="31"/>
    </row>
    <row r="6405" spans="43:43" x14ac:dyDescent="0.2">
      <c r="AQ6405" s="31"/>
    </row>
    <row r="6406" spans="43:43" x14ac:dyDescent="0.2">
      <c r="AQ6406" s="31"/>
    </row>
    <row r="6407" spans="43:43" x14ac:dyDescent="0.2">
      <c r="AQ6407" s="31"/>
    </row>
    <row r="6408" spans="43:43" x14ac:dyDescent="0.2">
      <c r="AQ6408" s="31"/>
    </row>
    <row r="6409" spans="43:43" x14ac:dyDescent="0.2">
      <c r="AQ6409" s="31"/>
    </row>
    <row r="6410" spans="43:43" x14ac:dyDescent="0.2">
      <c r="AQ6410" s="31"/>
    </row>
    <row r="6411" spans="43:43" x14ac:dyDescent="0.2">
      <c r="AQ6411" s="31"/>
    </row>
    <row r="6412" spans="43:43" x14ac:dyDescent="0.2">
      <c r="AQ6412" s="31"/>
    </row>
    <row r="6413" spans="43:43" x14ac:dyDescent="0.2">
      <c r="AQ6413" s="31"/>
    </row>
    <row r="6414" spans="43:43" x14ac:dyDescent="0.2">
      <c r="AQ6414" s="31"/>
    </row>
    <row r="6415" spans="43:43" x14ac:dyDescent="0.2">
      <c r="AQ6415" s="31"/>
    </row>
    <row r="6416" spans="43:43" x14ac:dyDescent="0.2">
      <c r="AQ6416" s="31"/>
    </row>
    <row r="6417" spans="43:43" x14ac:dyDescent="0.2">
      <c r="AQ6417" s="31"/>
    </row>
    <row r="6418" spans="43:43" x14ac:dyDescent="0.2">
      <c r="AQ6418" s="31"/>
    </row>
    <row r="6419" spans="43:43" x14ac:dyDescent="0.2">
      <c r="AQ6419" s="31"/>
    </row>
    <row r="6420" spans="43:43" x14ac:dyDescent="0.2">
      <c r="AQ6420" s="31"/>
    </row>
    <row r="6421" spans="43:43" x14ac:dyDescent="0.2">
      <c r="AQ6421" s="31"/>
    </row>
    <row r="6422" spans="43:43" x14ac:dyDescent="0.2">
      <c r="AQ6422" s="31"/>
    </row>
    <row r="6423" spans="43:43" x14ac:dyDescent="0.2">
      <c r="AQ6423" s="31"/>
    </row>
    <row r="6424" spans="43:43" x14ac:dyDescent="0.2">
      <c r="AQ6424" s="31"/>
    </row>
    <row r="6425" spans="43:43" x14ac:dyDescent="0.2">
      <c r="AQ6425" s="31"/>
    </row>
    <row r="6426" spans="43:43" x14ac:dyDescent="0.2">
      <c r="AQ6426" s="31"/>
    </row>
    <row r="6427" spans="43:43" x14ac:dyDescent="0.2">
      <c r="AQ6427" s="31"/>
    </row>
    <row r="6428" spans="43:43" x14ac:dyDescent="0.2">
      <c r="AQ6428" s="31"/>
    </row>
    <row r="6429" spans="43:43" x14ac:dyDescent="0.2">
      <c r="AQ6429" s="31"/>
    </row>
    <row r="6430" spans="43:43" x14ac:dyDescent="0.2">
      <c r="AQ6430" s="31"/>
    </row>
    <row r="6431" spans="43:43" x14ac:dyDescent="0.2">
      <c r="AQ6431" s="31"/>
    </row>
    <row r="6432" spans="43:43" x14ac:dyDescent="0.2">
      <c r="AQ6432" s="31"/>
    </row>
    <row r="6433" spans="43:43" x14ac:dyDescent="0.2">
      <c r="AQ6433" s="31"/>
    </row>
    <row r="6434" spans="43:43" x14ac:dyDescent="0.2">
      <c r="AQ6434" s="31"/>
    </row>
    <row r="6435" spans="43:43" x14ac:dyDescent="0.2">
      <c r="AQ6435" s="31"/>
    </row>
    <row r="6436" spans="43:43" x14ac:dyDescent="0.2">
      <c r="AQ6436" s="31"/>
    </row>
    <row r="6437" spans="43:43" x14ac:dyDescent="0.2">
      <c r="AQ6437" s="31"/>
    </row>
    <row r="6438" spans="43:43" x14ac:dyDescent="0.2">
      <c r="AQ6438" s="31"/>
    </row>
    <row r="6439" spans="43:43" x14ac:dyDescent="0.2">
      <c r="AQ6439" s="31"/>
    </row>
    <row r="6440" spans="43:43" x14ac:dyDescent="0.2">
      <c r="AQ6440" s="31"/>
    </row>
    <row r="6441" spans="43:43" x14ac:dyDescent="0.2">
      <c r="AQ6441" s="31"/>
    </row>
    <row r="6442" spans="43:43" x14ac:dyDescent="0.2">
      <c r="AQ6442" s="31"/>
    </row>
    <row r="6443" spans="43:43" x14ac:dyDescent="0.2">
      <c r="AQ6443" s="31"/>
    </row>
    <row r="6444" spans="43:43" x14ac:dyDescent="0.2">
      <c r="AQ6444" s="31"/>
    </row>
    <row r="6445" spans="43:43" x14ac:dyDescent="0.2">
      <c r="AQ6445" s="31"/>
    </row>
    <row r="6446" spans="43:43" x14ac:dyDescent="0.2">
      <c r="AQ6446" s="31"/>
    </row>
    <row r="6447" spans="43:43" x14ac:dyDescent="0.2">
      <c r="AQ6447" s="31"/>
    </row>
    <row r="6448" spans="43:43" x14ac:dyDescent="0.2">
      <c r="AQ6448" s="31"/>
    </row>
    <row r="6449" spans="43:43" x14ac:dyDescent="0.2">
      <c r="AQ6449" s="31"/>
    </row>
    <row r="6450" spans="43:43" x14ac:dyDescent="0.2">
      <c r="AQ6450" s="31"/>
    </row>
    <row r="6451" spans="43:43" x14ac:dyDescent="0.2">
      <c r="AQ6451" s="31"/>
    </row>
    <row r="6452" spans="43:43" x14ac:dyDescent="0.2">
      <c r="AQ6452" s="31"/>
    </row>
    <row r="6453" spans="43:43" x14ac:dyDescent="0.2">
      <c r="AQ6453" s="31"/>
    </row>
    <row r="6454" spans="43:43" x14ac:dyDescent="0.2">
      <c r="AQ6454" s="31"/>
    </row>
    <row r="6455" spans="43:43" x14ac:dyDescent="0.2">
      <c r="AQ6455" s="31"/>
    </row>
    <row r="6456" spans="43:43" x14ac:dyDescent="0.2">
      <c r="AQ6456" s="31"/>
    </row>
    <row r="6457" spans="43:43" x14ac:dyDescent="0.2">
      <c r="AQ6457" s="31"/>
    </row>
    <row r="6458" spans="43:43" x14ac:dyDescent="0.2">
      <c r="AQ6458" s="31"/>
    </row>
    <row r="6459" spans="43:43" x14ac:dyDescent="0.2">
      <c r="AQ6459" s="31"/>
    </row>
    <row r="6460" spans="43:43" x14ac:dyDescent="0.2">
      <c r="AQ6460" s="31"/>
    </row>
    <row r="6461" spans="43:43" x14ac:dyDescent="0.2">
      <c r="AQ6461" s="31"/>
    </row>
    <row r="6462" spans="43:43" x14ac:dyDescent="0.2">
      <c r="AQ6462" s="31"/>
    </row>
    <row r="6463" spans="43:43" x14ac:dyDescent="0.2">
      <c r="AQ6463" s="31"/>
    </row>
    <row r="6464" spans="43:43" x14ac:dyDescent="0.2">
      <c r="AQ6464" s="31"/>
    </row>
    <row r="6465" spans="43:43" x14ac:dyDescent="0.2">
      <c r="AQ6465" s="31"/>
    </row>
    <row r="6466" spans="43:43" x14ac:dyDescent="0.2">
      <c r="AQ6466" s="31"/>
    </row>
    <row r="6467" spans="43:43" x14ac:dyDescent="0.2">
      <c r="AQ6467" s="31"/>
    </row>
    <row r="6468" spans="43:43" x14ac:dyDescent="0.2">
      <c r="AQ6468" s="31"/>
    </row>
    <row r="6469" spans="43:43" x14ac:dyDescent="0.2">
      <c r="AQ6469" s="31"/>
    </row>
    <row r="6470" spans="43:43" x14ac:dyDescent="0.2">
      <c r="AQ6470" s="31"/>
    </row>
    <row r="6471" spans="43:43" x14ac:dyDescent="0.2">
      <c r="AQ6471" s="31"/>
    </row>
    <row r="6472" spans="43:43" x14ac:dyDescent="0.2">
      <c r="AQ6472" s="31"/>
    </row>
    <row r="6473" spans="43:43" x14ac:dyDescent="0.2">
      <c r="AQ6473" s="31"/>
    </row>
    <row r="6474" spans="43:43" x14ac:dyDescent="0.2">
      <c r="AQ6474" s="31"/>
    </row>
    <row r="6475" spans="43:43" x14ac:dyDescent="0.2">
      <c r="AQ6475" s="31"/>
    </row>
    <row r="6476" spans="43:43" x14ac:dyDescent="0.2">
      <c r="AQ6476" s="31"/>
    </row>
    <row r="6477" spans="43:43" x14ac:dyDescent="0.2">
      <c r="AQ6477" s="31"/>
    </row>
    <row r="6478" spans="43:43" x14ac:dyDescent="0.2">
      <c r="AQ6478" s="31"/>
    </row>
    <row r="6479" spans="43:43" x14ac:dyDescent="0.2">
      <c r="AQ6479" s="31"/>
    </row>
    <row r="6480" spans="43:43" x14ac:dyDescent="0.2">
      <c r="AQ6480" s="31"/>
    </row>
    <row r="6481" spans="43:43" x14ac:dyDescent="0.2">
      <c r="AQ6481" s="31"/>
    </row>
    <row r="6482" spans="43:43" x14ac:dyDescent="0.2">
      <c r="AQ6482" s="31"/>
    </row>
    <row r="6483" spans="43:43" x14ac:dyDescent="0.2">
      <c r="AQ6483" s="31"/>
    </row>
    <row r="6484" spans="43:43" x14ac:dyDescent="0.2">
      <c r="AQ6484" s="31"/>
    </row>
    <row r="6485" spans="43:43" x14ac:dyDescent="0.2">
      <c r="AQ6485" s="31"/>
    </row>
    <row r="6486" spans="43:43" x14ac:dyDescent="0.2">
      <c r="AQ6486" s="31"/>
    </row>
    <row r="6487" spans="43:43" x14ac:dyDescent="0.2">
      <c r="AQ6487" s="31"/>
    </row>
    <row r="6488" spans="43:43" x14ac:dyDescent="0.2">
      <c r="AQ6488" s="31"/>
    </row>
    <row r="6489" spans="43:43" x14ac:dyDescent="0.2">
      <c r="AQ6489" s="31"/>
    </row>
    <row r="6490" spans="43:43" x14ac:dyDescent="0.2">
      <c r="AQ6490" s="31"/>
    </row>
    <row r="6491" spans="43:43" x14ac:dyDescent="0.2">
      <c r="AQ6491" s="31"/>
    </row>
    <row r="6492" spans="43:43" x14ac:dyDescent="0.2">
      <c r="AQ6492" s="31"/>
    </row>
    <row r="6493" spans="43:43" x14ac:dyDescent="0.2">
      <c r="AQ6493" s="31"/>
    </row>
    <row r="6494" spans="43:43" x14ac:dyDescent="0.2">
      <c r="AQ6494" s="31"/>
    </row>
    <row r="6495" spans="43:43" x14ac:dyDescent="0.2">
      <c r="AQ6495" s="31"/>
    </row>
    <row r="6496" spans="43:43" x14ac:dyDescent="0.2">
      <c r="AQ6496" s="31"/>
    </row>
    <row r="6497" spans="43:43" x14ac:dyDescent="0.2">
      <c r="AQ6497" s="31"/>
    </row>
    <row r="6498" spans="43:43" x14ac:dyDescent="0.2">
      <c r="AQ6498" s="31"/>
    </row>
    <row r="6499" spans="43:43" x14ac:dyDescent="0.2">
      <c r="AQ6499" s="31"/>
    </row>
    <row r="6500" spans="43:43" x14ac:dyDescent="0.2">
      <c r="AQ6500" s="31"/>
    </row>
    <row r="6501" spans="43:43" x14ac:dyDescent="0.2">
      <c r="AQ6501" s="31"/>
    </row>
    <row r="6502" spans="43:43" x14ac:dyDescent="0.2">
      <c r="AQ6502" s="31"/>
    </row>
    <row r="6503" spans="43:43" x14ac:dyDescent="0.2">
      <c r="AQ6503" s="31"/>
    </row>
    <row r="6504" spans="43:43" x14ac:dyDescent="0.2">
      <c r="AQ6504" s="31"/>
    </row>
    <row r="6505" spans="43:43" x14ac:dyDescent="0.2">
      <c r="AQ6505" s="31"/>
    </row>
    <row r="6506" spans="43:43" x14ac:dyDescent="0.2">
      <c r="AQ6506" s="31"/>
    </row>
    <row r="6507" spans="43:43" x14ac:dyDescent="0.2">
      <c r="AQ6507" s="31"/>
    </row>
    <row r="6508" spans="43:43" x14ac:dyDescent="0.2">
      <c r="AQ6508" s="31"/>
    </row>
    <row r="6509" spans="43:43" x14ac:dyDescent="0.2">
      <c r="AQ6509" s="31"/>
    </row>
    <row r="6510" spans="43:43" x14ac:dyDescent="0.2">
      <c r="AQ6510" s="31"/>
    </row>
    <row r="6511" spans="43:43" x14ac:dyDescent="0.2">
      <c r="AQ6511" s="31"/>
    </row>
    <row r="6512" spans="43:43" x14ac:dyDescent="0.2">
      <c r="AQ6512" s="31"/>
    </row>
    <row r="6513" spans="43:43" x14ac:dyDescent="0.2">
      <c r="AQ6513" s="31"/>
    </row>
    <row r="6514" spans="43:43" x14ac:dyDescent="0.2">
      <c r="AQ6514" s="31"/>
    </row>
    <row r="6515" spans="43:43" x14ac:dyDescent="0.2">
      <c r="AQ6515" s="31"/>
    </row>
    <row r="6516" spans="43:43" x14ac:dyDescent="0.2">
      <c r="AQ6516" s="31"/>
    </row>
    <row r="6517" spans="43:43" x14ac:dyDescent="0.2">
      <c r="AQ6517" s="31"/>
    </row>
    <row r="6518" spans="43:43" x14ac:dyDescent="0.2">
      <c r="AQ6518" s="31"/>
    </row>
    <row r="6519" spans="43:43" x14ac:dyDescent="0.2">
      <c r="AQ6519" s="31"/>
    </row>
    <row r="6520" spans="43:43" x14ac:dyDescent="0.2">
      <c r="AQ6520" s="31"/>
    </row>
    <row r="6521" spans="43:43" x14ac:dyDescent="0.2">
      <c r="AQ6521" s="31"/>
    </row>
    <row r="6522" spans="43:43" x14ac:dyDescent="0.2">
      <c r="AQ6522" s="31"/>
    </row>
    <row r="6523" spans="43:43" x14ac:dyDescent="0.2">
      <c r="AQ6523" s="31"/>
    </row>
    <row r="6524" spans="43:43" x14ac:dyDescent="0.2">
      <c r="AQ6524" s="31"/>
    </row>
    <row r="6525" spans="43:43" x14ac:dyDescent="0.2">
      <c r="AQ6525" s="31"/>
    </row>
    <row r="6526" spans="43:43" x14ac:dyDescent="0.2">
      <c r="AQ6526" s="31"/>
    </row>
    <row r="6527" spans="43:43" x14ac:dyDescent="0.2">
      <c r="AQ6527" s="31"/>
    </row>
    <row r="6528" spans="43:43" x14ac:dyDescent="0.2">
      <c r="AQ6528" s="31"/>
    </row>
    <row r="6529" spans="43:43" x14ac:dyDescent="0.2">
      <c r="AQ6529" s="31"/>
    </row>
    <row r="6530" spans="43:43" x14ac:dyDescent="0.2">
      <c r="AQ6530" s="31"/>
    </row>
    <row r="6531" spans="43:43" x14ac:dyDescent="0.2">
      <c r="AQ6531" s="31"/>
    </row>
    <row r="6532" spans="43:43" x14ac:dyDescent="0.2">
      <c r="AQ6532" s="31"/>
    </row>
    <row r="6533" spans="43:43" x14ac:dyDescent="0.2">
      <c r="AQ6533" s="31"/>
    </row>
    <row r="6534" spans="43:43" x14ac:dyDescent="0.2">
      <c r="AQ6534" s="31"/>
    </row>
    <row r="6535" spans="43:43" x14ac:dyDescent="0.2">
      <c r="AQ6535" s="31"/>
    </row>
    <row r="6536" spans="43:43" x14ac:dyDescent="0.2">
      <c r="AQ6536" s="31"/>
    </row>
    <row r="6537" spans="43:43" x14ac:dyDescent="0.2">
      <c r="AQ6537" s="31"/>
    </row>
    <row r="6538" spans="43:43" x14ac:dyDescent="0.2">
      <c r="AQ6538" s="31"/>
    </row>
    <row r="6539" spans="43:43" x14ac:dyDescent="0.2">
      <c r="AQ6539" s="31"/>
    </row>
    <row r="6540" spans="43:43" x14ac:dyDescent="0.2">
      <c r="AQ6540" s="31"/>
    </row>
    <row r="6541" spans="43:43" x14ac:dyDescent="0.2">
      <c r="AQ6541" s="31"/>
    </row>
    <row r="6542" spans="43:43" x14ac:dyDescent="0.2">
      <c r="AQ6542" s="31"/>
    </row>
    <row r="6543" spans="43:43" x14ac:dyDescent="0.2">
      <c r="AQ6543" s="31"/>
    </row>
    <row r="6544" spans="43:43" x14ac:dyDescent="0.2">
      <c r="AQ6544" s="31"/>
    </row>
    <row r="6545" spans="43:43" x14ac:dyDescent="0.2">
      <c r="AQ6545" s="31"/>
    </row>
    <row r="6546" spans="43:43" x14ac:dyDescent="0.2">
      <c r="AQ6546" s="31"/>
    </row>
    <row r="6547" spans="43:43" x14ac:dyDescent="0.2">
      <c r="AQ6547" s="31"/>
    </row>
    <row r="6548" spans="43:43" x14ac:dyDescent="0.2">
      <c r="AQ6548" s="31"/>
    </row>
    <row r="6549" spans="43:43" x14ac:dyDescent="0.2">
      <c r="AQ6549" s="31"/>
    </row>
    <row r="6550" spans="43:43" x14ac:dyDescent="0.2">
      <c r="AQ6550" s="31"/>
    </row>
    <row r="6551" spans="43:43" x14ac:dyDescent="0.2">
      <c r="AQ6551" s="31"/>
    </row>
    <row r="6552" spans="43:43" x14ac:dyDescent="0.2">
      <c r="AQ6552" s="31"/>
    </row>
    <row r="6553" spans="43:43" x14ac:dyDescent="0.2">
      <c r="AQ6553" s="31"/>
    </row>
    <row r="6554" spans="43:43" x14ac:dyDescent="0.2">
      <c r="AQ6554" s="31"/>
    </row>
    <row r="6555" spans="43:43" x14ac:dyDescent="0.2">
      <c r="AQ6555" s="31"/>
    </row>
    <row r="6556" spans="43:43" x14ac:dyDescent="0.2">
      <c r="AQ6556" s="31"/>
    </row>
    <row r="6557" spans="43:43" x14ac:dyDescent="0.2">
      <c r="AQ6557" s="31"/>
    </row>
    <row r="6558" spans="43:43" x14ac:dyDescent="0.2">
      <c r="AQ6558" s="31"/>
    </row>
    <row r="6559" spans="43:43" x14ac:dyDescent="0.2">
      <c r="AQ6559" s="31"/>
    </row>
    <row r="6560" spans="43:43" x14ac:dyDescent="0.2">
      <c r="AQ6560" s="31"/>
    </row>
    <row r="6561" spans="43:43" x14ac:dyDescent="0.2">
      <c r="AQ6561" s="31"/>
    </row>
    <row r="6562" spans="43:43" x14ac:dyDescent="0.2">
      <c r="AQ6562" s="31"/>
    </row>
    <row r="6563" spans="43:43" x14ac:dyDescent="0.2">
      <c r="AQ6563" s="31"/>
    </row>
    <row r="6564" spans="43:43" x14ac:dyDescent="0.2">
      <c r="AQ6564" s="31"/>
    </row>
    <row r="6565" spans="43:43" x14ac:dyDescent="0.2">
      <c r="AQ6565" s="31"/>
    </row>
    <row r="6566" spans="43:43" x14ac:dyDescent="0.2">
      <c r="AQ6566" s="31"/>
    </row>
    <row r="6567" spans="43:43" x14ac:dyDescent="0.2">
      <c r="AQ6567" s="31"/>
    </row>
    <row r="6568" spans="43:43" x14ac:dyDescent="0.2">
      <c r="AQ6568" s="31"/>
    </row>
    <row r="6569" spans="43:43" x14ac:dyDescent="0.2">
      <c r="AQ6569" s="31"/>
    </row>
    <row r="6570" spans="43:43" x14ac:dyDescent="0.2">
      <c r="AQ6570" s="31"/>
    </row>
    <row r="6571" spans="43:43" x14ac:dyDescent="0.2">
      <c r="AQ6571" s="31"/>
    </row>
    <row r="6572" spans="43:43" x14ac:dyDescent="0.2">
      <c r="AQ6572" s="31"/>
    </row>
    <row r="6573" spans="43:43" x14ac:dyDescent="0.2">
      <c r="AQ6573" s="31"/>
    </row>
    <row r="6574" spans="43:43" x14ac:dyDescent="0.2">
      <c r="AQ6574" s="31"/>
    </row>
    <row r="6575" spans="43:43" x14ac:dyDescent="0.2">
      <c r="AQ6575" s="31"/>
    </row>
    <row r="6576" spans="43:43" x14ac:dyDescent="0.2">
      <c r="AQ6576" s="31"/>
    </row>
    <row r="6577" spans="43:43" x14ac:dyDescent="0.2">
      <c r="AQ6577" s="31"/>
    </row>
    <row r="6578" spans="43:43" x14ac:dyDescent="0.2">
      <c r="AQ6578" s="31"/>
    </row>
    <row r="6579" spans="43:43" x14ac:dyDescent="0.2">
      <c r="AQ6579" s="31"/>
    </row>
    <row r="6580" spans="43:43" x14ac:dyDescent="0.2">
      <c r="AQ6580" s="31"/>
    </row>
    <row r="6581" spans="43:43" x14ac:dyDescent="0.2">
      <c r="AQ6581" s="31"/>
    </row>
    <row r="6582" spans="43:43" x14ac:dyDescent="0.2">
      <c r="AQ6582" s="31"/>
    </row>
    <row r="6583" spans="43:43" x14ac:dyDescent="0.2">
      <c r="AQ6583" s="31"/>
    </row>
    <row r="6584" spans="43:43" x14ac:dyDescent="0.2">
      <c r="AQ6584" s="31"/>
    </row>
    <row r="6585" spans="43:43" x14ac:dyDescent="0.2">
      <c r="AQ6585" s="31"/>
    </row>
    <row r="6586" spans="43:43" x14ac:dyDescent="0.2">
      <c r="AQ6586" s="31"/>
    </row>
    <row r="6587" spans="43:43" x14ac:dyDescent="0.2">
      <c r="AQ6587" s="31"/>
    </row>
    <row r="6588" spans="43:43" x14ac:dyDescent="0.2">
      <c r="AQ6588" s="31"/>
    </row>
    <row r="6589" spans="43:43" x14ac:dyDescent="0.2">
      <c r="AQ6589" s="31"/>
    </row>
    <row r="6590" spans="43:43" x14ac:dyDescent="0.2">
      <c r="AQ6590" s="31"/>
    </row>
    <row r="6591" spans="43:43" x14ac:dyDescent="0.2">
      <c r="AQ6591" s="31"/>
    </row>
    <row r="6592" spans="43:43" x14ac:dyDescent="0.2">
      <c r="AQ6592" s="31"/>
    </row>
    <row r="6593" spans="43:43" x14ac:dyDescent="0.2">
      <c r="AQ6593" s="31"/>
    </row>
    <row r="6594" spans="43:43" x14ac:dyDescent="0.2">
      <c r="AQ6594" s="31"/>
    </row>
    <row r="6595" spans="43:43" x14ac:dyDescent="0.2">
      <c r="AQ6595" s="31"/>
    </row>
    <row r="6596" spans="43:43" x14ac:dyDescent="0.2">
      <c r="AQ6596" s="31"/>
    </row>
    <row r="6597" spans="43:43" x14ac:dyDescent="0.2">
      <c r="AQ6597" s="31"/>
    </row>
    <row r="6598" spans="43:43" x14ac:dyDescent="0.2">
      <c r="AQ6598" s="31"/>
    </row>
    <row r="6599" spans="43:43" x14ac:dyDescent="0.2">
      <c r="AQ6599" s="31"/>
    </row>
    <row r="6600" spans="43:43" x14ac:dyDescent="0.2">
      <c r="AQ6600" s="31"/>
    </row>
    <row r="6601" spans="43:43" x14ac:dyDescent="0.2">
      <c r="AQ6601" s="31"/>
    </row>
    <row r="6602" spans="43:43" x14ac:dyDescent="0.2">
      <c r="AQ6602" s="31"/>
    </row>
    <row r="6603" spans="43:43" x14ac:dyDescent="0.2">
      <c r="AQ6603" s="31"/>
    </row>
    <row r="6604" spans="43:43" x14ac:dyDescent="0.2">
      <c r="AQ6604" s="31"/>
    </row>
    <row r="6605" spans="43:43" x14ac:dyDescent="0.2">
      <c r="AQ6605" s="31"/>
    </row>
    <row r="6606" spans="43:43" x14ac:dyDescent="0.2">
      <c r="AQ6606" s="31"/>
    </row>
    <row r="6607" spans="43:43" x14ac:dyDescent="0.2">
      <c r="AQ6607" s="31"/>
    </row>
    <row r="6608" spans="43:43" x14ac:dyDescent="0.2">
      <c r="AQ6608" s="31"/>
    </row>
    <row r="6609" spans="43:43" x14ac:dyDescent="0.2">
      <c r="AQ6609" s="31"/>
    </row>
    <row r="6610" spans="43:43" x14ac:dyDescent="0.2">
      <c r="AQ6610" s="31"/>
    </row>
    <row r="6611" spans="43:43" x14ac:dyDescent="0.2">
      <c r="AQ6611" s="31"/>
    </row>
    <row r="6612" spans="43:43" x14ac:dyDescent="0.2">
      <c r="AQ6612" s="31"/>
    </row>
    <row r="6613" spans="43:43" x14ac:dyDescent="0.2">
      <c r="AQ6613" s="31"/>
    </row>
    <row r="6614" spans="43:43" x14ac:dyDescent="0.2">
      <c r="AQ6614" s="31"/>
    </row>
    <row r="6615" spans="43:43" x14ac:dyDescent="0.2">
      <c r="AQ6615" s="31"/>
    </row>
    <row r="6616" spans="43:43" x14ac:dyDescent="0.2">
      <c r="AQ6616" s="31"/>
    </row>
    <row r="6617" spans="43:43" x14ac:dyDescent="0.2">
      <c r="AQ6617" s="31"/>
    </row>
    <row r="6618" spans="43:43" x14ac:dyDescent="0.2">
      <c r="AQ6618" s="31"/>
    </row>
    <row r="6619" spans="43:43" x14ac:dyDescent="0.2">
      <c r="AQ6619" s="31"/>
    </row>
    <row r="6620" spans="43:43" x14ac:dyDescent="0.2">
      <c r="AQ6620" s="31"/>
    </row>
    <row r="6621" spans="43:43" x14ac:dyDescent="0.2">
      <c r="AQ6621" s="31"/>
    </row>
    <row r="6622" spans="43:43" x14ac:dyDescent="0.2">
      <c r="AQ6622" s="31"/>
    </row>
    <row r="6623" spans="43:43" x14ac:dyDescent="0.2">
      <c r="AQ6623" s="31"/>
    </row>
    <row r="6624" spans="43:43" x14ac:dyDescent="0.2">
      <c r="AQ6624" s="31"/>
    </row>
    <row r="6625" spans="43:43" x14ac:dyDescent="0.2">
      <c r="AQ6625" s="31"/>
    </row>
    <row r="6626" spans="43:43" x14ac:dyDescent="0.2">
      <c r="AQ6626" s="31"/>
    </row>
    <row r="6627" spans="43:43" x14ac:dyDescent="0.2">
      <c r="AQ6627" s="31"/>
    </row>
    <row r="6628" spans="43:43" x14ac:dyDescent="0.2">
      <c r="AQ6628" s="31"/>
    </row>
    <row r="6629" spans="43:43" x14ac:dyDescent="0.2">
      <c r="AQ6629" s="31"/>
    </row>
    <row r="6630" spans="43:43" x14ac:dyDescent="0.2">
      <c r="AQ6630" s="31"/>
    </row>
    <row r="6631" spans="43:43" x14ac:dyDescent="0.2">
      <c r="AQ6631" s="31"/>
    </row>
    <row r="6632" spans="43:43" x14ac:dyDescent="0.2">
      <c r="AQ6632" s="31"/>
    </row>
    <row r="6633" spans="43:43" x14ac:dyDescent="0.2">
      <c r="AQ6633" s="31"/>
    </row>
    <row r="6634" spans="43:43" x14ac:dyDescent="0.2">
      <c r="AQ6634" s="31"/>
    </row>
    <row r="6635" spans="43:43" x14ac:dyDescent="0.2">
      <c r="AQ6635" s="31"/>
    </row>
    <row r="6636" spans="43:43" x14ac:dyDescent="0.2">
      <c r="AQ6636" s="31"/>
    </row>
    <row r="6637" spans="43:43" x14ac:dyDescent="0.2">
      <c r="AQ6637" s="31"/>
    </row>
    <row r="6638" spans="43:43" x14ac:dyDescent="0.2">
      <c r="AQ6638" s="31"/>
    </row>
    <row r="6639" spans="43:43" x14ac:dyDescent="0.2">
      <c r="AQ6639" s="31"/>
    </row>
    <row r="6640" spans="43:43" x14ac:dyDescent="0.2">
      <c r="AQ6640" s="31"/>
    </row>
    <row r="6641" spans="43:43" x14ac:dyDescent="0.2">
      <c r="AQ6641" s="31"/>
    </row>
    <row r="6642" spans="43:43" x14ac:dyDescent="0.2">
      <c r="AQ6642" s="31"/>
    </row>
    <row r="6643" spans="43:43" x14ac:dyDescent="0.2">
      <c r="AQ6643" s="31"/>
    </row>
    <row r="6644" spans="43:43" x14ac:dyDescent="0.2">
      <c r="AQ6644" s="31"/>
    </row>
    <row r="6645" spans="43:43" x14ac:dyDescent="0.2">
      <c r="AQ6645" s="31"/>
    </row>
    <row r="6646" spans="43:43" x14ac:dyDescent="0.2">
      <c r="AQ6646" s="31"/>
    </row>
    <row r="6647" spans="43:43" x14ac:dyDescent="0.2">
      <c r="AQ6647" s="31"/>
    </row>
    <row r="6648" spans="43:43" x14ac:dyDescent="0.2">
      <c r="AQ6648" s="31"/>
    </row>
    <row r="6649" spans="43:43" x14ac:dyDescent="0.2">
      <c r="AQ6649" s="31"/>
    </row>
    <row r="6650" spans="43:43" x14ac:dyDescent="0.2">
      <c r="AQ6650" s="31"/>
    </row>
    <row r="6651" spans="43:43" x14ac:dyDescent="0.2">
      <c r="AQ6651" s="31"/>
    </row>
    <row r="6652" spans="43:43" x14ac:dyDescent="0.2">
      <c r="AQ6652" s="31"/>
    </row>
    <row r="6653" spans="43:43" x14ac:dyDescent="0.2">
      <c r="AQ6653" s="31"/>
    </row>
    <row r="6654" spans="43:43" x14ac:dyDescent="0.2">
      <c r="AQ6654" s="31"/>
    </row>
    <row r="6655" spans="43:43" x14ac:dyDescent="0.2">
      <c r="AQ6655" s="31"/>
    </row>
    <row r="6656" spans="43:43" x14ac:dyDescent="0.2">
      <c r="AQ6656" s="31"/>
    </row>
    <row r="6657" spans="43:43" x14ac:dyDescent="0.2">
      <c r="AQ6657" s="31"/>
    </row>
    <row r="6658" spans="43:43" x14ac:dyDescent="0.2">
      <c r="AQ6658" s="31"/>
    </row>
    <row r="6659" spans="43:43" x14ac:dyDescent="0.2">
      <c r="AQ6659" s="31"/>
    </row>
    <row r="6660" spans="43:43" x14ac:dyDescent="0.2">
      <c r="AQ6660" s="31"/>
    </row>
    <row r="6661" spans="43:43" x14ac:dyDescent="0.2">
      <c r="AQ6661" s="31"/>
    </row>
    <row r="6662" spans="43:43" x14ac:dyDescent="0.2">
      <c r="AQ6662" s="31"/>
    </row>
    <row r="6663" spans="43:43" x14ac:dyDescent="0.2">
      <c r="AQ6663" s="31"/>
    </row>
    <row r="6664" spans="43:43" x14ac:dyDescent="0.2">
      <c r="AQ6664" s="31"/>
    </row>
    <row r="6665" spans="43:43" x14ac:dyDescent="0.2">
      <c r="AQ6665" s="31"/>
    </row>
    <row r="6666" spans="43:43" x14ac:dyDescent="0.2">
      <c r="AQ6666" s="31"/>
    </row>
    <row r="6667" spans="43:43" x14ac:dyDescent="0.2">
      <c r="AQ6667" s="31"/>
    </row>
    <row r="6668" spans="43:43" x14ac:dyDescent="0.2">
      <c r="AQ6668" s="31"/>
    </row>
    <row r="6669" spans="43:43" x14ac:dyDescent="0.2">
      <c r="AQ6669" s="31"/>
    </row>
    <row r="6670" spans="43:43" x14ac:dyDescent="0.2">
      <c r="AQ6670" s="31"/>
    </row>
    <row r="6671" spans="43:43" x14ac:dyDescent="0.2">
      <c r="AQ6671" s="31"/>
    </row>
    <row r="6672" spans="43:43" x14ac:dyDescent="0.2">
      <c r="AQ6672" s="31"/>
    </row>
    <row r="6673" spans="43:43" x14ac:dyDescent="0.2">
      <c r="AQ6673" s="31"/>
    </row>
    <row r="6674" spans="43:43" x14ac:dyDescent="0.2">
      <c r="AQ6674" s="31"/>
    </row>
    <row r="6675" spans="43:43" x14ac:dyDescent="0.2">
      <c r="AQ6675" s="31"/>
    </row>
    <row r="6676" spans="43:43" x14ac:dyDescent="0.2">
      <c r="AQ6676" s="31"/>
    </row>
    <row r="6677" spans="43:43" x14ac:dyDescent="0.2">
      <c r="AQ6677" s="31"/>
    </row>
    <row r="6678" spans="43:43" x14ac:dyDescent="0.2">
      <c r="AQ6678" s="31"/>
    </row>
    <row r="6679" spans="43:43" x14ac:dyDescent="0.2">
      <c r="AQ6679" s="31"/>
    </row>
    <row r="6680" spans="43:43" x14ac:dyDescent="0.2">
      <c r="AQ6680" s="31"/>
    </row>
    <row r="6681" spans="43:43" x14ac:dyDescent="0.2">
      <c r="AQ6681" s="31"/>
    </row>
    <row r="6682" spans="43:43" x14ac:dyDescent="0.2">
      <c r="AQ6682" s="31"/>
    </row>
    <row r="6683" spans="43:43" x14ac:dyDescent="0.2">
      <c r="AQ6683" s="31"/>
    </row>
    <row r="6684" spans="43:43" x14ac:dyDescent="0.2">
      <c r="AQ6684" s="31"/>
    </row>
    <row r="6685" spans="43:43" x14ac:dyDescent="0.2">
      <c r="AQ6685" s="31"/>
    </row>
    <row r="6686" spans="43:43" x14ac:dyDescent="0.2">
      <c r="AQ6686" s="31"/>
    </row>
    <row r="6687" spans="43:43" x14ac:dyDescent="0.2">
      <c r="AQ6687" s="31"/>
    </row>
    <row r="6688" spans="43:43" x14ac:dyDescent="0.2">
      <c r="AQ6688" s="31"/>
    </row>
    <row r="6689" spans="43:43" x14ac:dyDescent="0.2">
      <c r="AQ6689" s="31"/>
    </row>
    <row r="6690" spans="43:43" x14ac:dyDescent="0.2">
      <c r="AQ6690" s="31"/>
    </row>
    <row r="6691" spans="43:43" x14ac:dyDescent="0.2">
      <c r="AQ6691" s="31"/>
    </row>
    <row r="6692" spans="43:43" x14ac:dyDescent="0.2">
      <c r="AQ6692" s="31"/>
    </row>
    <row r="6693" spans="43:43" x14ac:dyDescent="0.2">
      <c r="AQ6693" s="31"/>
    </row>
    <row r="6694" spans="43:43" x14ac:dyDescent="0.2">
      <c r="AQ6694" s="31"/>
    </row>
    <row r="6695" spans="43:43" x14ac:dyDescent="0.2">
      <c r="AQ6695" s="31"/>
    </row>
    <row r="6696" spans="43:43" x14ac:dyDescent="0.2">
      <c r="AQ6696" s="31"/>
    </row>
    <row r="6697" spans="43:43" x14ac:dyDescent="0.2">
      <c r="AQ6697" s="31"/>
    </row>
    <row r="6698" spans="43:43" x14ac:dyDescent="0.2">
      <c r="AQ6698" s="31"/>
    </row>
    <row r="6699" spans="43:43" x14ac:dyDescent="0.2">
      <c r="AQ6699" s="31"/>
    </row>
    <row r="6700" spans="43:43" x14ac:dyDescent="0.2">
      <c r="AQ6700" s="31"/>
    </row>
    <row r="6701" spans="43:43" x14ac:dyDescent="0.2">
      <c r="AQ6701" s="31"/>
    </row>
    <row r="6702" spans="43:43" x14ac:dyDescent="0.2">
      <c r="AQ6702" s="31"/>
    </row>
    <row r="6703" spans="43:43" x14ac:dyDescent="0.2">
      <c r="AQ6703" s="31"/>
    </row>
    <row r="6704" spans="43:43" x14ac:dyDescent="0.2">
      <c r="AQ6704" s="31"/>
    </row>
    <row r="6705" spans="43:43" x14ac:dyDescent="0.2">
      <c r="AQ6705" s="31"/>
    </row>
    <row r="6706" spans="43:43" x14ac:dyDescent="0.2">
      <c r="AQ6706" s="31"/>
    </row>
    <row r="6707" spans="43:43" x14ac:dyDescent="0.2">
      <c r="AQ6707" s="31"/>
    </row>
    <row r="6708" spans="43:43" x14ac:dyDescent="0.2">
      <c r="AQ6708" s="31"/>
    </row>
    <row r="6709" spans="43:43" x14ac:dyDescent="0.2">
      <c r="AQ6709" s="31"/>
    </row>
    <row r="6710" spans="43:43" x14ac:dyDescent="0.2">
      <c r="AQ6710" s="31"/>
    </row>
    <row r="6711" spans="43:43" x14ac:dyDescent="0.2">
      <c r="AQ6711" s="31"/>
    </row>
    <row r="6712" spans="43:43" x14ac:dyDescent="0.2">
      <c r="AQ6712" s="31"/>
    </row>
    <row r="6713" spans="43:43" x14ac:dyDescent="0.2">
      <c r="AQ6713" s="31"/>
    </row>
    <row r="6714" spans="43:43" x14ac:dyDescent="0.2">
      <c r="AQ6714" s="31"/>
    </row>
    <row r="6715" spans="43:43" x14ac:dyDescent="0.2">
      <c r="AQ6715" s="31"/>
    </row>
    <row r="6716" spans="43:43" x14ac:dyDescent="0.2">
      <c r="AQ6716" s="31"/>
    </row>
    <row r="6717" spans="43:43" x14ac:dyDescent="0.2">
      <c r="AQ6717" s="31"/>
    </row>
    <row r="6718" spans="43:43" x14ac:dyDescent="0.2">
      <c r="AQ6718" s="31"/>
    </row>
    <row r="6719" spans="43:43" x14ac:dyDescent="0.2">
      <c r="AQ6719" s="31"/>
    </row>
    <row r="6720" spans="43:43" x14ac:dyDescent="0.2">
      <c r="AQ6720" s="31"/>
    </row>
    <row r="6721" spans="43:43" x14ac:dyDescent="0.2">
      <c r="AQ6721" s="31"/>
    </row>
    <row r="6722" spans="43:43" x14ac:dyDescent="0.2">
      <c r="AQ6722" s="31"/>
    </row>
    <row r="6723" spans="43:43" x14ac:dyDescent="0.2">
      <c r="AQ6723" s="31"/>
    </row>
    <row r="6724" spans="43:43" x14ac:dyDescent="0.2">
      <c r="AQ6724" s="31"/>
    </row>
    <row r="6725" spans="43:43" x14ac:dyDescent="0.2">
      <c r="AQ6725" s="31"/>
    </row>
    <row r="6726" spans="43:43" x14ac:dyDescent="0.2">
      <c r="AQ6726" s="31"/>
    </row>
    <row r="6727" spans="43:43" x14ac:dyDescent="0.2">
      <c r="AQ6727" s="31"/>
    </row>
    <row r="6728" spans="43:43" x14ac:dyDescent="0.2">
      <c r="AQ6728" s="31"/>
    </row>
    <row r="6729" spans="43:43" x14ac:dyDescent="0.2">
      <c r="AQ6729" s="31"/>
    </row>
    <row r="6730" spans="43:43" x14ac:dyDescent="0.2">
      <c r="AQ6730" s="31"/>
    </row>
    <row r="6731" spans="43:43" x14ac:dyDescent="0.2">
      <c r="AQ6731" s="31"/>
    </row>
    <row r="6732" spans="43:43" x14ac:dyDescent="0.2">
      <c r="AQ6732" s="31"/>
    </row>
    <row r="6733" spans="43:43" x14ac:dyDescent="0.2">
      <c r="AQ6733" s="31"/>
    </row>
    <row r="6734" spans="43:43" x14ac:dyDescent="0.2">
      <c r="AQ6734" s="31"/>
    </row>
    <row r="6735" spans="43:43" x14ac:dyDescent="0.2">
      <c r="AQ6735" s="31"/>
    </row>
    <row r="6736" spans="43:43" x14ac:dyDescent="0.2">
      <c r="AQ6736" s="31"/>
    </row>
    <row r="6737" spans="43:43" x14ac:dyDescent="0.2">
      <c r="AQ6737" s="31"/>
    </row>
    <row r="6738" spans="43:43" x14ac:dyDescent="0.2">
      <c r="AQ6738" s="31"/>
    </row>
    <row r="6739" spans="43:43" x14ac:dyDescent="0.2">
      <c r="AQ6739" s="31"/>
    </row>
    <row r="6740" spans="43:43" x14ac:dyDescent="0.2">
      <c r="AQ6740" s="31"/>
    </row>
    <row r="6741" spans="43:43" x14ac:dyDescent="0.2">
      <c r="AQ6741" s="31"/>
    </row>
    <row r="6742" spans="43:43" x14ac:dyDescent="0.2">
      <c r="AQ6742" s="31"/>
    </row>
    <row r="6743" spans="43:43" x14ac:dyDescent="0.2">
      <c r="AQ6743" s="31"/>
    </row>
    <row r="6744" spans="43:43" x14ac:dyDescent="0.2">
      <c r="AQ6744" s="31"/>
    </row>
    <row r="6745" spans="43:43" x14ac:dyDescent="0.2">
      <c r="AQ6745" s="31"/>
    </row>
    <row r="6746" spans="43:43" x14ac:dyDescent="0.2">
      <c r="AQ6746" s="31"/>
    </row>
    <row r="6747" spans="43:43" x14ac:dyDescent="0.2">
      <c r="AQ6747" s="31"/>
    </row>
    <row r="6748" spans="43:43" x14ac:dyDescent="0.2">
      <c r="AQ6748" s="31"/>
    </row>
    <row r="6749" spans="43:43" x14ac:dyDescent="0.2">
      <c r="AQ6749" s="31"/>
    </row>
    <row r="6750" spans="43:43" x14ac:dyDescent="0.2">
      <c r="AQ6750" s="31"/>
    </row>
    <row r="6751" spans="43:43" x14ac:dyDescent="0.2">
      <c r="AQ6751" s="31"/>
    </row>
    <row r="6752" spans="43:43" x14ac:dyDescent="0.2">
      <c r="AQ6752" s="31"/>
    </row>
    <row r="6753" spans="43:43" x14ac:dyDescent="0.2">
      <c r="AQ6753" s="31"/>
    </row>
    <row r="6754" spans="43:43" x14ac:dyDescent="0.2">
      <c r="AQ6754" s="31"/>
    </row>
    <row r="6755" spans="43:43" x14ac:dyDescent="0.2">
      <c r="AQ6755" s="31"/>
    </row>
    <row r="6756" spans="43:43" x14ac:dyDescent="0.2">
      <c r="AQ6756" s="31"/>
    </row>
    <row r="6757" spans="43:43" x14ac:dyDescent="0.2">
      <c r="AQ6757" s="31"/>
    </row>
    <row r="6758" spans="43:43" x14ac:dyDescent="0.2">
      <c r="AQ6758" s="31"/>
    </row>
    <row r="6759" spans="43:43" x14ac:dyDescent="0.2">
      <c r="AQ6759" s="31"/>
    </row>
    <row r="6760" spans="43:43" x14ac:dyDescent="0.2">
      <c r="AQ6760" s="31"/>
    </row>
    <row r="6761" spans="43:43" x14ac:dyDescent="0.2">
      <c r="AQ6761" s="31"/>
    </row>
    <row r="6762" spans="43:43" x14ac:dyDescent="0.2">
      <c r="AQ6762" s="31"/>
    </row>
    <row r="6763" spans="43:43" x14ac:dyDescent="0.2">
      <c r="AQ6763" s="31"/>
    </row>
    <row r="6764" spans="43:43" x14ac:dyDescent="0.2">
      <c r="AQ6764" s="31"/>
    </row>
    <row r="6765" spans="43:43" x14ac:dyDescent="0.2">
      <c r="AQ6765" s="31"/>
    </row>
    <row r="6766" spans="43:43" x14ac:dyDescent="0.2">
      <c r="AQ6766" s="31"/>
    </row>
    <row r="6767" spans="43:43" x14ac:dyDescent="0.2">
      <c r="AQ6767" s="31"/>
    </row>
    <row r="6768" spans="43:43" x14ac:dyDescent="0.2">
      <c r="AQ6768" s="31"/>
    </row>
    <row r="6769" spans="43:43" x14ac:dyDescent="0.2">
      <c r="AQ6769" s="31"/>
    </row>
    <row r="6770" spans="43:43" x14ac:dyDescent="0.2">
      <c r="AQ6770" s="31"/>
    </row>
    <row r="6771" spans="43:43" x14ac:dyDescent="0.2">
      <c r="AQ6771" s="31"/>
    </row>
    <row r="6772" spans="43:43" x14ac:dyDescent="0.2">
      <c r="AQ6772" s="31"/>
    </row>
    <row r="6773" spans="43:43" x14ac:dyDescent="0.2">
      <c r="AQ6773" s="31"/>
    </row>
    <row r="6774" spans="43:43" x14ac:dyDescent="0.2">
      <c r="AQ6774" s="31"/>
    </row>
    <row r="6775" spans="43:43" x14ac:dyDescent="0.2">
      <c r="AQ6775" s="31"/>
    </row>
    <row r="6776" spans="43:43" x14ac:dyDescent="0.2">
      <c r="AQ6776" s="31"/>
    </row>
    <row r="6777" spans="43:43" x14ac:dyDescent="0.2">
      <c r="AQ6777" s="31"/>
    </row>
    <row r="6778" spans="43:43" x14ac:dyDescent="0.2">
      <c r="AQ6778" s="31"/>
    </row>
    <row r="6779" spans="43:43" x14ac:dyDescent="0.2">
      <c r="AQ6779" s="31"/>
    </row>
    <row r="6780" spans="43:43" x14ac:dyDescent="0.2">
      <c r="AQ6780" s="31"/>
    </row>
    <row r="6781" spans="43:43" x14ac:dyDescent="0.2">
      <c r="AQ6781" s="31"/>
    </row>
    <row r="6782" spans="43:43" x14ac:dyDescent="0.2">
      <c r="AQ6782" s="31"/>
    </row>
    <row r="6783" spans="43:43" x14ac:dyDescent="0.2">
      <c r="AQ6783" s="31"/>
    </row>
    <row r="6784" spans="43:43" x14ac:dyDescent="0.2">
      <c r="AQ6784" s="31"/>
    </row>
    <row r="6785" spans="43:43" x14ac:dyDescent="0.2">
      <c r="AQ6785" s="31"/>
    </row>
    <row r="6786" spans="43:43" x14ac:dyDescent="0.2">
      <c r="AQ6786" s="31"/>
    </row>
    <row r="6787" spans="43:43" x14ac:dyDescent="0.2">
      <c r="AQ6787" s="31"/>
    </row>
    <row r="6788" spans="43:43" x14ac:dyDescent="0.2">
      <c r="AQ6788" s="31"/>
    </row>
    <row r="6789" spans="43:43" x14ac:dyDescent="0.2">
      <c r="AQ6789" s="31"/>
    </row>
    <row r="6790" spans="43:43" x14ac:dyDescent="0.2">
      <c r="AQ6790" s="31"/>
    </row>
    <row r="6791" spans="43:43" x14ac:dyDescent="0.2">
      <c r="AQ6791" s="31"/>
    </row>
    <row r="6792" spans="43:43" x14ac:dyDescent="0.2">
      <c r="AQ6792" s="31"/>
    </row>
    <row r="6793" spans="43:43" x14ac:dyDescent="0.2">
      <c r="AQ6793" s="31"/>
    </row>
    <row r="6794" spans="43:43" x14ac:dyDescent="0.2">
      <c r="AQ6794" s="31"/>
    </row>
    <row r="6795" spans="43:43" x14ac:dyDescent="0.2">
      <c r="AQ6795" s="31"/>
    </row>
    <row r="6796" spans="43:43" x14ac:dyDescent="0.2">
      <c r="AQ6796" s="31"/>
    </row>
    <row r="6797" spans="43:43" x14ac:dyDescent="0.2">
      <c r="AQ6797" s="31"/>
    </row>
    <row r="6798" spans="43:43" x14ac:dyDescent="0.2">
      <c r="AQ6798" s="31"/>
    </row>
    <row r="6799" spans="43:43" x14ac:dyDescent="0.2">
      <c r="AQ6799" s="31"/>
    </row>
    <row r="6800" spans="43:43" x14ac:dyDescent="0.2">
      <c r="AQ6800" s="31"/>
    </row>
    <row r="6801" spans="43:43" x14ac:dyDescent="0.2">
      <c r="AQ6801" s="31"/>
    </row>
    <row r="6802" spans="43:43" x14ac:dyDescent="0.2">
      <c r="AQ6802" s="31"/>
    </row>
    <row r="6803" spans="43:43" x14ac:dyDescent="0.2">
      <c r="AQ6803" s="31"/>
    </row>
    <row r="6804" spans="43:43" x14ac:dyDescent="0.2">
      <c r="AQ6804" s="31"/>
    </row>
    <row r="6805" spans="43:43" x14ac:dyDescent="0.2">
      <c r="AQ6805" s="31"/>
    </row>
    <row r="6806" spans="43:43" x14ac:dyDescent="0.2">
      <c r="AQ6806" s="31"/>
    </row>
    <row r="6807" spans="43:43" x14ac:dyDescent="0.2">
      <c r="AQ6807" s="31"/>
    </row>
    <row r="6808" spans="43:43" x14ac:dyDescent="0.2">
      <c r="AQ6808" s="31"/>
    </row>
    <row r="6809" spans="43:43" x14ac:dyDescent="0.2">
      <c r="AQ6809" s="31"/>
    </row>
    <row r="6810" spans="43:43" x14ac:dyDescent="0.2">
      <c r="AQ6810" s="31"/>
    </row>
    <row r="6811" spans="43:43" x14ac:dyDescent="0.2">
      <c r="AQ6811" s="31"/>
    </row>
    <row r="6812" spans="43:43" x14ac:dyDescent="0.2">
      <c r="AQ6812" s="31"/>
    </row>
    <row r="6813" spans="43:43" x14ac:dyDescent="0.2">
      <c r="AQ6813" s="31"/>
    </row>
    <row r="6814" spans="43:43" x14ac:dyDescent="0.2">
      <c r="AQ6814" s="31"/>
    </row>
    <row r="6815" spans="43:43" x14ac:dyDescent="0.2">
      <c r="AQ6815" s="31"/>
    </row>
    <row r="6816" spans="43:43" x14ac:dyDescent="0.2">
      <c r="AQ6816" s="31"/>
    </row>
    <row r="6817" spans="43:43" x14ac:dyDescent="0.2">
      <c r="AQ6817" s="31"/>
    </row>
    <row r="6818" spans="43:43" x14ac:dyDescent="0.2">
      <c r="AQ6818" s="31"/>
    </row>
    <row r="6819" spans="43:43" x14ac:dyDescent="0.2">
      <c r="AQ6819" s="31"/>
    </row>
    <row r="6820" spans="43:43" x14ac:dyDescent="0.2">
      <c r="AQ6820" s="31"/>
    </row>
    <row r="6821" spans="43:43" x14ac:dyDescent="0.2">
      <c r="AQ6821" s="31"/>
    </row>
    <row r="6822" spans="43:43" x14ac:dyDescent="0.2">
      <c r="AQ6822" s="31"/>
    </row>
    <row r="6823" spans="43:43" x14ac:dyDescent="0.2">
      <c r="AQ6823" s="31"/>
    </row>
    <row r="6824" spans="43:43" x14ac:dyDescent="0.2">
      <c r="AQ6824" s="31"/>
    </row>
    <row r="6825" spans="43:43" x14ac:dyDescent="0.2">
      <c r="AQ6825" s="31"/>
    </row>
    <row r="6826" spans="43:43" x14ac:dyDescent="0.2">
      <c r="AQ6826" s="31"/>
    </row>
    <row r="6827" spans="43:43" x14ac:dyDescent="0.2">
      <c r="AQ6827" s="31"/>
    </row>
    <row r="6828" spans="43:43" x14ac:dyDescent="0.2">
      <c r="AQ6828" s="31"/>
    </row>
    <row r="6829" spans="43:43" x14ac:dyDescent="0.2">
      <c r="AQ6829" s="31"/>
    </row>
    <row r="6830" spans="43:43" x14ac:dyDescent="0.2">
      <c r="AQ6830" s="31"/>
    </row>
    <row r="6831" spans="43:43" x14ac:dyDescent="0.2">
      <c r="AQ6831" s="31"/>
    </row>
    <row r="6832" spans="43:43" x14ac:dyDescent="0.2">
      <c r="AQ6832" s="31"/>
    </row>
    <row r="6833" spans="43:43" x14ac:dyDescent="0.2">
      <c r="AQ6833" s="31"/>
    </row>
    <row r="6834" spans="43:43" x14ac:dyDescent="0.2">
      <c r="AQ6834" s="31"/>
    </row>
    <row r="6835" spans="43:43" x14ac:dyDescent="0.2">
      <c r="AQ6835" s="31"/>
    </row>
    <row r="6836" spans="43:43" x14ac:dyDescent="0.2">
      <c r="AQ6836" s="31"/>
    </row>
    <row r="6837" spans="43:43" x14ac:dyDescent="0.2">
      <c r="AQ6837" s="31"/>
    </row>
    <row r="6838" spans="43:43" x14ac:dyDescent="0.2">
      <c r="AQ6838" s="31"/>
    </row>
    <row r="6839" spans="43:43" x14ac:dyDescent="0.2">
      <c r="AQ6839" s="31"/>
    </row>
    <row r="6840" spans="43:43" x14ac:dyDescent="0.2">
      <c r="AQ6840" s="31"/>
    </row>
    <row r="6841" spans="43:43" x14ac:dyDescent="0.2">
      <c r="AQ6841" s="31"/>
    </row>
    <row r="6842" spans="43:43" x14ac:dyDescent="0.2">
      <c r="AQ6842" s="31"/>
    </row>
    <row r="6843" spans="43:43" x14ac:dyDescent="0.2">
      <c r="AQ6843" s="31"/>
    </row>
    <row r="6844" spans="43:43" x14ac:dyDescent="0.2">
      <c r="AQ6844" s="31"/>
    </row>
    <row r="6845" spans="43:43" x14ac:dyDescent="0.2">
      <c r="AQ6845" s="31"/>
    </row>
    <row r="6846" spans="43:43" x14ac:dyDescent="0.2">
      <c r="AQ6846" s="31"/>
    </row>
    <row r="6847" spans="43:43" x14ac:dyDescent="0.2">
      <c r="AQ6847" s="31"/>
    </row>
    <row r="6848" spans="43:43" x14ac:dyDescent="0.2">
      <c r="AQ6848" s="31"/>
    </row>
    <row r="6849" spans="43:43" x14ac:dyDescent="0.2">
      <c r="AQ6849" s="31"/>
    </row>
    <row r="6850" spans="43:43" x14ac:dyDescent="0.2">
      <c r="AQ6850" s="31"/>
    </row>
    <row r="6851" spans="43:43" x14ac:dyDescent="0.2">
      <c r="AQ6851" s="31"/>
    </row>
    <row r="6852" spans="43:43" x14ac:dyDescent="0.2">
      <c r="AQ6852" s="31"/>
    </row>
    <row r="6853" spans="43:43" x14ac:dyDescent="0.2">
      <c r="AQ6853" s="31"/>
    </row>
    <row r="6854" spans="43:43" x14ac:dyDescent="0.2">
      <c r="AQ6854" s="31"/>
    </row>
    <row r="6855" spans="43:43" x14ac:dyDescent="0.2">
      <c r="AQ6855" s="31"/>
    </row>
    <row r="6856" spans="43:43" x14ac:dyDescent="0.2">
      <c r="AQ6856" s="31"/>
    </row>
    <row r="6857" spans="43:43" x14ac:dyDescent="0.2">
      <c r="AQ6857" s="31"/>
    </row>
    <row r="6858" spans="43:43" x14ac:dyDescent="0.2">
      <c r="AQ6858" s="31"/>
    </row>
    <row r="6859" spans="43:43" x14ac:dyDescent="0.2">
      <c r="AQ6859" s="31"/>
    </row>
    <row r="6860" spans="43:43" x14ac:dyDescent="0.2">
      <c r="AQ6860" s="31"/>
    </row>
    <row r="6861" spans="43:43" x14ac:dyDescent="0.2">
      <c r="AQ6861" s="31"/>
    </row>
    <row r="6862" spans="43:43" x14ac:dyDescent="0.2">
      <c r="AQ6862" s="31"/>
    </row>
    <row r="6863" spans="43:43" x14ac:dyDescent="0.2">
      <c r="AQ6863" s="31"/>
    </row>
    <row r="6864" spans="43:43" x14ac:dyDescent="0.2">
      <c r="AQ6864" s="31"/>
    </row>
    <row r="6865" spans="43:43" x14ac:dyDescent="0.2">
      <c r="AQ6865" s="31"/>
    </row>
    <row r="6866" spans="43:43" x14ac:dyDescent="0.2">
      <c r="AQ6866" s="31"/>
    </row>
    <row r="6867" spans="43:43" x14ac:dyDescent="0.2">
      <c r="AQ6867" s="31"/>
    </row>
    <row r="6868" spans="43:43" x14ac:dyDescent="0.2">
      <c r="AQ6868" s="31"/>
    </row>
    <row r="6869" spans="43:43" x14ac:dyDescent="0.2">
      <c r="AQ6869" s="31"/>
    </row>
    <row r="6870" spans="43:43" x14ac:dyDescent="0.2">
      <c r="AQ6870" s="31"/>
    </row>
    <row r="6871" spans="43:43" x14ac:dyDescent="0.2">
      <c r="AQ6871" s="31"/>
    </row>
    <row r="6872" spans="43:43" x14ac:dyDescent="0.2">
      <c r="AQ6872" s="31"/>
    </row>
    <row r="6873" spans="43:43" x14ac:dyDescent="0.2">
      <c r="AQ6873" s="31"/>
    </row>
    <row r="6874" spans="43:43" x14ac:dyDescent="0.2">
      <c r="AQ6874" s="31"/>
    </row>
    <row r="6875" spans="43:43" x14ac:dyDescent="0.2">
      <c r="AQ6875" s="31"/>
    </row>
    <row r="6876" spans="43:43" x14ac:dyDescent="0.2">
      <c r="AQ6876" s="31"/>
    </row>
    <row r="6877" spans="43:43" x14ac:dyDescent="0.2">
      <c r="AQ6877" s="31"/>
    </row>
    <row r="6878" spans="43:43" x14ac:dyDescent="0.2">
      <c r="AQ6878" s="31"/>
    </row>
    <row r="6879" spans="43:43" x14ac:dyDescent="0.2">
      <c r="AQ6879" s="31"/>
    </row>
    <row r="6880" spans="43:43" x14ac:dyDescent="0.2">
      <c r="AQ6880" s="31"/>
    </row>
    <row r="6881" spans="43:43" x14ac:dyDescent="0.2">
      <c r="AQ6881" s="31"/>
    </row>
    <row r="6882" spans="43:43" x14ac:dyDescent="0.2">
      <c r="AQ6882" s="31"/>
    </row>
    <row r="6883" spans="43:43" x14ac:dyDescent="0.2">
      <c r="AQ6883" s="31"/>
    </row>
    <row r="6884" spans="43:43" x14ac:dyDescent="0.2">
      <c r="AQ6884" s="31"/>
    </row>
    <row r="6885" spans="43:43" x14ac:dyDescent="0.2">
      <c r="AQ6885" s="31"/>
    </row>
    <row r="6886" spans="43:43" x14ac:dyDescent="0.2">
      <c r="AQ6886" s="31"/>
    </row>
    <row r="6887" spans="43:43" x14ac:dyDescent="0.2">
      <c r="AQ6887" s="31"/>
    </row>
    <row r="6888" spans="43:43" x14ac:dyDescent="0.2">
      <c r="AQ6888" s="31"/>
    </row>
    <row r="6889" spans="43:43" x14ac:dyDescent="0.2">
      <c r="AQ6889" s="31"/>
    </row>
    <row r="6890" spans="43:43" x14ac:dyDescent="0.2">
      <c r="AQ6890" s="31"/>
    </row>
    <row r="6891" spans="43:43" x14ac:dyDescent="0.2">
      <c r="AQ6891" s="31"/>
    </row>
    <row r="6892" spans="43:43" x14ac:dyDescent="0.2">
      <c r="AQ6892" s="31"/>
    </row>
    <row r="6893" spans="43:43" x14ac:dyDescent="0.2">
      <c r="AQ6893" s="31"/>
    </row>
    <row r="6894" spans="43:43" x14ac:dyDescent="0.2">
      <c r="AQ6894" s="31"/>
    </row>
    <row r="6895" spans="43:43" x14ac:dyDescent="0.2">
      <c r="AQ6895" s="31"/>
    </row>
    <row r="6896" spans="43:43" x14ac:dyDescent="0.2">
      <c r="AQ6896" s="31"/>
    </row>
    <row r="6897" spans="43:43" x14ac:dyDescent="0.2">
      <c r="AQ6897" s="31"/>
    </row>
    <row r="6898" spans="43:43" x14ac:dyDescent="0.2">
      <c r="AQ6898" s="31"/>
    </row>
    <row r="6899" spans="43:43" x14ac:dyDescent="0.2">
      <c r="AQ6899" s="31"/>
    </row>
    <row r="6900" spans="43:43" x14ac:dyDescent="0.2">
      <c r="AQ6900" s="31"/>
    </row>
    <row r="6901" spans="43:43" x14ac:dyDescent="0.2">
      <c r="AQ6901" s="31"/>
    </row>
    <row r="6902" spans="43:43" x14ac:dyDescent="0.2">
      <c r="AQ6902" s="31"/>
    </row>
    <row r="6903" spans="43:43" x14ac:dyDescent="0.2">
      <c r="AQ6903" s="31"/>
    </row>
    <row r="6904" spans="43:43" x14ac:dyDescent="0.2">
      <c r="AQ6904" s="31"/>
    </row>
    <row r="6905" spans="43:43" x14ac:dyDescent="0.2">
      <c r="AQ6905" s="31"/>
    </row>
    <row r="6906" spans="43:43" x14ac:dyDescent="0.2">
      <c r="AQ6906" s="31"/>
    </row>
    <row r="6907" spans="43:43" x14ac:dyDescent="0.2">
      <c r="AQ6907" s="31"/>
    </row>
    <row r="6908" spans="43:43" x14ac:dyDescent="0.2">
      <c r="AQ6908" s="31"/>
    </row>
    <row r="6909" spans="43:43" x14ac:dyDescent="0.2">
      <c r="AQ6909" s="31"/>
    </row>
    <row r="6910" spans="43:43" x14ac:dyDescent="0.2">
      <c r="AQ6910" s="31"/>
    </row>
    <row r="6911" spans="43:43" x14ac:dyDescent="0.2">
      <c r="AQ6911" s="31"/>
    </row>
    <row r="6912" spans="43:43" x14ac:dyDescent="0.2">
      <c r="AQ6912" s="31"/>
    </row>
    <row r="6913" spans="43:43" x14ac:dyDescent="0.2">
      <c r="AQ6913" s="31"/>
    </row>
    <row r="6914" spans="43:43" x14ac:dyDescent="0.2">
      <c r="AQ6914" s="31"/>
    </row>
    <row r="6915" spans="43:43" x14ac:dyDescent="0.2">
      <c r="AQ6915" s="31"/>
    </row>
    <row r="6916" spans="43:43" x14ac:dyDescent="0.2">
      <c r="AQ6916" s="31"/>
    </row>
    <row r="6917" spans="43:43" x14ac:dyDescent="0.2">
      <c r="AQ6917" s="31"/>
    </row>
    <row r="6918" spans="43:43" x14ac:dyDescent="0.2">
      <c r="AQ6918" s="31"/>
    </row>
    <row r="6919" spans="43:43" x14ac:dyDescent="0.2">
      <c r="AQ6919" s="31"/>
    </row>
    <row r="6920" spans="43:43" x14ac:dyDescent="0.2">
      <c r="AQ6920" s="31"/>
    </row>
    <row r="6921" spans="43:43" x14ac:dyDescent="0.2">
      <c r="AQ6921" s="31"/>
    </row>
    <row r="6922" spans="43:43" x14ac:dyDescent="0.2">
      <c r="AQ6922" s="31"/>
    </row>
    <row r="6923" spans="43:43" x14ac:dyDescent="0.2">
      <c r="AQ6923" s="31"/>
    </row>
    <row r="6924" spans="43:43" x14ac:dyDescent="0.2">
      <c r="AQ6924" s="31"/>
    </row>
    <row r="6925" spans="43:43" x14ac:dyDescent="0.2">
      <c r="AQ6925" s="31"/>
    </row>
    <row r="6926" spans="43:43" x14ac:dyDescent="0.2">
      <c r="AQ6926" s="31"/>
    </row>
    <row r="6927" spans="43:43" x14ac:dyDescent="0.2">
      <c r="AQ6927" s="31"/>
    </row>
    <row r="6928" spans="43:43" x14ac:dyDescent="0.2">
      <c r="AQ6928" s="31"/>
    </row>
    <row r="6929" spans="43:43" x14ac:dyDescent="0.2">
      <c r="AQ6929" s="31"/>
    </row>
    <row r="6930" spans="43:43" x14ac:dyDescent="0.2">
      <c r="AQ6930" s="31"/>
    </row>
    <row r="6931" spans="43:43" x14ac:dyDescent="0.2">
      <c r="AQ6931" s="31"/>
    </row>
    <row r="6932" spans="43:43" x14ac:dyDescent="0.2">
      <c r="AQ6932" s="31"/>
    </row>
    <row r="6933" spans="43:43" x14ac:dyDescent="0.2">
      <c r="AQ6933" s="31"/>
    </row>
    <row r="6934" spans="43:43" x14ac:dyDescent="0.2">
      <c r="AQ6934" s="31"/>
    </row>
    <row r="6935" spans="43:43" x14ac:dyDescent="0.2">
      <c r="AQ6935" s="31"/>
    </row>
    <row r="6936" spans="43:43" x14ac:dyDescent="0.2">
      <c r="AQ6936" s="31"/>
    </row>
    <row r="6937" spans="43:43" x14ac:dyDescent="0.2">
      <c r="AQ6937" s="31"/>
    </row>
    <row r="6938" spans="43:43" x14ac:dyDescent="0.2">
      <c r="AQ6938" s="31"/>
    </row>
    <row r="6939" spans="43:43" x14ac:dyDescent="0.2">
      <c r="AQ6939" s="31"/>
    </row>
    <row r="6940" spans="43:43" x14ac:dyDescent="0.2">
      <c r="AQ6940" s="31"/>
    </row>
    <row r="6941" spans="43:43" x14ac:dyDescent="0.2">
      <c r="AQ6941" s="31"/>
    </row>
    <row r="6942" spans="43:43" x14ac:dyDescent="0.2">
      <c r="AQ6942" s="31"/>
    </row>
    <row r="6943" spans="43:43" x14ac:dyDescent="0.2">
      <c r="AQ6943" s="31"/>
    </row>
    <row r="6944" spans="43:43" x14ac:dyDescent="0.2">
      <c r="AQ6944" s="31"/>
    </row>
    <row r="6945" spans="43:43" x14ac:dyDescent="0.2">
      <c r="AQ6945" s="31"/>
    </row>
    <row r="6946" spans="43:43" x14ac:dyDescent="0.2">
      <c r="AQ6946" s="31"/>
    </row>
    <row r="6947" spans="43:43" x14ac:dyDescent="0.2">
      <c r="AQ6947" s="31"/>
    </row>
    <row r="6948" spans="43:43" x14ac:dyDescent="0.2">
      <c r="AQ6948" s="31"/>
    </row>
    <row r="6949" spans="43:43" x14ac:dyDescent="0.2">
      <c r="AQ6949" s="31"/>
    </row>
    <row r="6950" spans="43:43" x14ac:dyDescent="0.2">
      <c r="AQ6950" s="31"/>
    </row>
    <row r="6951" spans="43:43" x14ac:dyDescent="0.2">
      <c r="AQ6951" s="31"/>
    </row>
    <row r="6952" spans="43:43" x14ac:dyDescent="0.2">
      <c r="AQ6952" s="31"/>
    </row>
    <row r="6953" spans="43:43" x14ac:dyDescent="0.2">
      <c r="AQ6953" s="31"/>
    </row>
    <row r="6954" spans="43:43" x14ac:dyDescent="0.2">
      <c r="AQ6954" s="31"/>
    </row>
    <row r="6955" spans="43:43" x14ac:dyDescent="0.2">
      <c r="AQ6955" s="31"/>
    </row>
    <row r="6956" spans="43:43" x14ac:dyDescent="0.2">
      <c r="AQ6956" s="31"/>
    </row>
    <row r="6957" spans="43:43" x14ac:dyDescent="0.2">
      <c r="AQ6957" s="31"/>
    </row>
    <row r="6958" spans="43:43" x14ac:dyDescent="0.2">
      <c r="AQ6958" s="31"/>
    </row>
    <row r="6959" spans="43:43" x14ac:dyDescent="0.2">
      <c r="AQ6959" s="31"/>
    </row>
    <row r="6960" spans="43:43" x14ac:dyDescent="0.2">
      <c r="AQ6960" s="31"/>
    </row>
    <row r="6961" spans="43:43" x14ac:dyDescent="0.2">
      <c r="AQ6961" s="31"/>
    </row>
    <row r="6962" spans="43:43" x14ac:dyDescent="0.2">
      <c r="AQ6962" s="31"/>
    </row>
    <row r="6963" spans="43:43" x14ac:dyDescent="0.2">
      <c r="AQ6963" s="31"/>
    </row>
    <row r="6964" spans="43:43" x14ac:dyDescent="0.2">
      <c r="AQ6964" s="31"/>
    </row>
    <row r="6965" spans="43:43" x14ac:dyDescent="0.2">
      <c r="AQ6965" s="31"/>
    </row>
    <row r="6966" spans="43:43" x14ac:dyDescent="0.2">
      <c r="AQ6966" s="31"/>
    </row>
    <row r="6967" spans="43:43" x14ac:dyDescent="0.2">
      <c r="AQ6967" s="31"/>
    </row>
    <row r="6968" spans="43:43" x14ac:dyDescent="0.2">
      <c r="AQ6968" s="31"/>
    </row>
    <row r="6969" spans="43:43" x14ac:dyDescent="0.2">
      <c r="AQ6969" s="31"/>
    </row>
    <row r="6970" spans="43:43" x14ac:dyDescent="0.2">
      <c r="AQ6970" s="31"/>
    </row>
    <row r="6971" spans="43:43" x14ac:dyDescent="0.2">
      <c r="AQ6971" s="31"/>
    </row>
    <row r="6972" spans="43:43" x14ac:dyDescent="0.2">
      <c r="AQ6972" s="31"/>
    </row>
    <row r="6973" spans="43:43" x14ac:dyDescent="0.2">
      <c r="AQ6973" s="31"/>
    </row>
    <row r="6974" spans="43:43" x14ac:dyDescent="0.2">
      <c r="AQ6974" s="31"/>
    </row>
    <row r="6975" spans="43:43" x14ac:dyDescent="0.2">
      <c r="AQ6975" s="31"/>
    </row>
    <row r="6976" spans="43:43" x14ac:dyDescent="0.2">
      <c r="AQ6976" s="31"/>
    </row>
    <row r="6977" spans="43:43" x14ac:dyDescent="0.2">
      <c r="AQ6977" s="31"/>
    </row>
    <row r="6978" spans="43:43" x14ac:dyDescent="0.2">
      <c r="AQ6978" s="31"/>
    </row>
    <row r="6979" spans="43:43" x14ac:dyDescent="0.2">
      <c r="AQ6979" s="31"/>
    </row>
    <row r="6980" spans="43:43" x14ac:dyDescent="0.2">
      <c r="AQ6980" s="31"/>
    </row>
    <row r="6981" spans="43:43" x14ac:dyDescent="0.2">
      <c r="AQ6981" s="31"/>
    </row>
    <row r="6982" spans="43:43" x14ac:dyDescent="0.2">
      <c r="AQ6982" s="31"/>
    </row>
    <row r="6983" spans="43:43" x14ac:dyDescent="0.2">
      <c r="AQ6983" s="31"/>
    </row>
    <row r="6984" spans="43:43" x14ac:dyDescent="0.2">
      <c r="AQ6984" s="31"/>
    </row>
    <row r="6985" spans="43:43" x14ac:dyDescent="0.2">
      <c r="AQ6985" s="31"/>
    </row>
    <row r="6986" spans="43:43" x14ac:dyDescent="0.2">
      <c r="AQ6986" s="31"/>
    </row>
    <row r="6987" spans="43:43" x14ac:dyDescent="0.2">
      <c r="AQ6987" s="31"/>
    </row>
    <row r="6988" spans="43:43" x14ac:dyDescent="0.2">
      <c r="AQ6988" s="31"/>
    </row>
    <row r="6989" spans="43:43" x14ac:dyDescent="0.2">
      <c r="AQ6989" s="31"/>
    </row>
    <row r="6990" spans="43:43" x14ac:dyDescent="0.2">
      <c r="AQ6990" s="31"/>
    </row>
    <row r="6991" spans="43:43" x14ac:dyDescent="0.2">
      <c r="AQ6991" s="31"/>
    </row>
    <row r="6992" spans="43:43" x14ac:dyDescent="0.2">
      <c r="AQ6992" s="31"/>
    </row>
    <row r="6993" spans="43:43" x14ac:dyDescent="0.2">
      <c r="AQ6993" s="31"/>
    </row>
    <row r="6994" spans="43:43" x14ac:dyDescent="0.2">
      <c r="AQ6994" s="31"/>
    </row>
    <row r="6995" spans="43:43" x14ac:dyDescent="0.2">
      <c r="AQ6995" s="31"/>
    </row>
    <row r="6996" spans="43:43" x14ac:dyDescent="0.2">
      <c r="AQ6996" s="31"/>
    </row>
    <row r="6997" spans="43:43" x14ac:dyDescent="0.2">
      <c r="AQ6997" s="31"/>
    </row>
    <row r="6998" spans="43:43" x14ac:dyDescent="0.2">
      <c r="AQ6998" s="31"/>
    </row>
    <row r="6999" spans="43:43" x14ac:dyDescent="0.2">
      <c r="AQ6999" s="31"/>
    </row>
    <row r="7000" spans="43:43" x14ac:dyDescent="0.2">
      <c r="AQ7000" s="31"/>
    </row>
    <row r="7001" spans="43:43" x14ac:dyDescent="0.2">
      <c r="AQ7001" s="31"/>
    </row>
    <row r="7002" spans="43:43" x14ac:dyDescent="0.2">
      <c r="AQ7002" s="31"/>
    </row>
    <row r="7003" spans="43:43" x14ac:dyDescent="0.2">
      <c r="AQ7003" s="31"/>
    </row>
    <row r="7004" spans="43:43" x14ac:dyDescent="0.2">
      <c r="AQ7004" s="31"/>
    </row>
    <row r="7005" spans="43:43" x14ac:dyDescent="0.2">
      <c r="AQ7005" s="31"/>
    </row>
    <row r="7006" spans="43:43" x14ac:dyDescent="0.2">
      <c r="AQ7006" s="31"/>
    </row>
    <row r="7007" spans="43:43" x14ac:dyDescent="0.2">
      <c r="AQ7007" s="31"/>
    </row>
    <row r="7008" spans="43:43" x14ac:dyDescent="0.2">
      <c r="AQ7008" s="31"/>
    </row>
    <row r="7009" spans="43:43" x14ac:dyDescent="0.2">
      <c r="AQ7009" s="31"/>
    </row>
    <row r="7010" spans="43:43" x14ac:dyDescent="0.2">
      <c r="AQ7010" s="31"/>
    </row>
    <row r="7011" spans="43:43" x14ac:dyDescent="0.2">
      <c r="AQ7011" s="31"/>
    </row>
    <row r="7012" spans="43:43" x14ac:dyDescent="0.2">
      <c r="AQ7012" s="31"/>
    </row>
    <row r="7013" spans="43:43" x14ac:dyDescent="0.2">
      <c r="AQ7013" s="31"/>
    </row>
    <row r="7014" spans="43:43" x14ac:dyDescent="0.2">
      <c r="AQ7014" s="31"/>
    </row>
    <row r="7015" spans="43:43" x14ac:dyDescent="0.2">
      <c r="AQ7015" s="31"/>
    </row>
    <row r="7016" spans="43:43" x14ac:dyDescent="0.2">
      <c r="AQ7016" s="31"/>
    </row>
    <row r="7017" spans="43:43" x14ac:dyDescent="0.2">
      <c r="AQ7017" s="31"/>
    </row>
    <row r="7018" spans="43:43" x14ac:dyDescent="0.2">
      <c r="AQ7018" s="31"/>
    </row>
    <row r="7019" spans="43:43" x14ac:dyDescent="0.2">
      <c r="AQ7019" s="31"/>
    </row>
    <row r="7020" spans="43:43" x14ac:dyDescent="0.2">
      <c r="AQ7020" s="31"/>
    </row>
    <row r="7021" spans="43:43" x14ac:dyDescent="0.2">
      <c r="AQ7021" s="31"/>
    </row>
    <row r="7022" spans="43:43" x14ac:dyDescent="0.2">
      <c r="AQ7022" s="31"/>
    </row>
    <row r="7023" spans="43:43" x14ac:dyDescent="0.2">
      <c r="AQ7023" s="31"/>
    </row>
    <row r="7024" spans="43:43" x14ac:dyDescent="0.2">
      <c r="AQ7024" s="31"/>
    </row>
    <row r="7025" spans="43:43" x14ac:dyDescent="0.2">
      <c r="AQ7025" s="31"/>
    </row>
    <row r="7026" spans="43:43" x14ac:dyDescent="0.2">
      <c r="AQ7026" s="31"/>
    </row>
    <row r="7027" spans="43:43" x14ac:dyDescent="0.2">
      <c r="AQ7027" s="31"/>
    </row>
    <row r="7028" spans="43:43" x14ac:dyDescent="0.2">
      <c r="AQ7028" s="31"/>
    </row>
    <row r="7029" spans="43:43" x14ac:dyDescent="0.2">
      <c r="AQ7029" s="31"/>
    </row>
    <row r="7030" spans="43:43" x14ac:dyDescent="0.2">
      <c r="AQ7030" s="31"/>
    </row>
    <row r="7031" spans="43:43" x14ac:dyDescent="0.2">
      <c r="AQ7031" s="31"/>
    </row>
    <row r="7032" spans="43:43" x14ac:dyDescent="0.2">
      <c r="AQ7032" s="31"/>
    </row>
    <row r="7033" spans="43:43" x14ac:dyDescent="0.2">
      <c r="AQ7033" s="31"/>
    </row>
    <row r="7034" spans="43:43" x14ac:dyDescent="0.2">
      <c r="AQ7034" s="31"/>
    </row>
    <row r="7035" spans="43:43" x14ac:dyDescent="0.2">
      <c r="AQ7035" s="31"/>
    </row>
    <row r="7036" spans="43:43" x14ac:dyDescent="0.2">
      <c r="AQ7036" s="31"/>
    </row>
    <row r="7037" spans="43:43" x14ac:dyDescent="0.2">
      <c r="AQ7037" s="31"/>
    </row>
    <row r="7038" spans="43:43" x14ac:dyDescent="0.2">
      <c r="AQ7038" s="31"/>
    </row>
    <row r="7039" spans="43:43" x14ac:dyDescent="0.2">
      <c r="AQ7039" s="31"/>
    </row>
    <row r="7040" spans="43:43" x14ac:dyDescent="0.2">
      <c r="AQ7040" s="31"/>
    </row>
    <row r="7041" spans="43:43" x14ac:dyDescent="0.2">
      <c r="AQ7041" s="31"/>
    </row>
    <row r="7042" spans="43:43" x14ac:dyDescent="0.2">
      <c r="AQ7042" s="31"/>
    </row>
    <row r="7043" spans="43:43" x14ac:dyDescent="0.2">
      <c r="AQ7043" s="31"/>
    </row>
    <row r="7044" spans="43:43" x14ac:dyDescent="0.2">
      <c r="AQ7044" s="31"/>
    </row>
    <row r="7045" spans="43:43" x14ac:dyDescent="0.2">
      <c r="AQ7045" s="31"/>
    </row>
    <row r="7046" spans="43:43" x14ac:dyDescent="0.2">
      <c r="AQ7046" s="31"/>
    </row>
    <row r="7047" spans="43:43" x14ac:dyDescent="0.2">
      <c r="AQ7047" s="31"/>
    </row>
    <row r="7048" spans="43:43" x14ac:dyDescent="0.2">
      <c r="AQ7048" s="31"/>
    </row>
    <row r="7049" spans="43:43" x14ac:dyDescent="0.2">
      <c r="AQ7049" s="31"/>
    </row>
    <row r="7050" spans="43:43" x14ac:dyDescent="0.2">
      <c r="AQ7050" s="31"/>
    </row>
    <row r="7051" spans="43:43" x14ac:dyDescent="0.2">
      <c r="AQ7051" s="31"/>
    </row>
    <row r="7052" spans="43:43" x14ac:dyDescent="0.2">
      <c r="AQ7052" s="31"/>
    </row>
    <row r="7053" spans="43:43" x14ac:dyDescent="0.2">
      <c r="AQ7053" s="31"/>
    </row>
    <row r="7054" spans="43:43" x14ac:dyDescent="0.2">
      <c r="AQ7054" s="31"/>
    </row>
    <row r="7055" spans="43:43" x14ac:dyDescent="0.2">
      <c r="AQ7055" s="31"/>
    </row>
    <row r="7056" spans="43:43" x14ac:dyDescent="0.2">
      <c r="AQ7056" s="31"/>
    </row>
    <row r="7057" spans="43:43" x14ac:dyDescent="0.2">
      <c r="AQ7057" s="31"/>
    </row>
    <row r="7058" spans="43:43" x14ac:dyDescent="0.2">
      <c r="AQ7058" s="31"/>
    </row>
    <row r="7059" spans="43:43" x14ac:dyDescent="0.2">
      <c r="AQ7059" s="31"/>
    </row>
    <row r="7060" spans="43:43" x14ac:dyDescent="0.2">
      <c r="AQ7060" s="31"/>
    </row>
    <row r="7061" spans="43:43" x14ac:dyDescent="0.2">
      <c r="AQ7061" s="31"/>
    </row>
    <row r="7062" spans="43:43" x14ac:dyDescent="0.2">
      <c r="AQ7062" s="31"/>
    </row>
    <row r="7063" spans="43:43" x14ac:dyDescent="0.2">
      <c r="AQ7063" s="31"/>
    </row>
    <row r="7064" spans="43:43" x14ac:dyDescent="0.2">
      <c r="AQ7064" s="31"/>
    </row>
    <row r="7065" spans="43:43" x14ac:dyDescent="0.2">
      <c r="AQ7065" s="31"/>
    </row>
    <row r="7066" spans="43:43" x14ac:dyDescent="0.2">
      <c r="AQ7066" s="31"/>
    </row>
    <row r="7067" spans="43:43" x14ac:dyDescent="0.2">
      <c r="AQ7067" s="31"/>
    </row>
    <row r="7068" spans="43:43" x14ac:dyDescent="0.2">
      <c r="AQ7068" s="31"/>
    </row>
    <row r="7069" spans="43:43" x14ac:dyDescent="0.2">
      <c r="AQ7069" s="31"/>
    </row>
    <row r="7070" spans="43:43" x14ac:dyDescent="0.2">
      <c r="AQ7070" s="31"/>
    </row>
    <row r="7071" spans="43:43" x14ac:dyDescent="0.2">
      <c r="AQ7071" s="31"/>
    </row>
    <row r="7072" spans="43:43" x14ac:dyDescent="0.2">
      <c r="AQ7072" s="31"/>
    </row>
    <row r="7073" spans="43:43" x14ac:dyDescent="0.2">
      <c r="AQ7073" s="31"/>
    </row>
    <row r="7074" spans="43:43" x14ac:dyDescent="0.2">
      <c r="AQ7074" s="31"/>
    </row>
    <row r="7075" spans="43:43" x14ac:dyDescent="0.2">
      <c r="AQ7075" s="31"/>
    </row>
    <row r="7076" spans="43:43" x14ac:dyDescent="0.2">
      <c r="AQ7076" s="31"/>
    </row>
    <row r="7077" spans="43:43" x14ac:dyDescent="0.2">
      <c r="AQ7077" s="31"/>
    </row>
    <row r="7078" spans="43:43" x14ac:dyDescent="0.2">
      <c r="AQ7078" s="31"/>
    </row>
    <row r="7079" spans="43:43" x14ac:dyDescent="0.2">
      <c r="AQ7079" s="31"/>
    </row>
    <row r="7080" spans="43:43" x14ac:dyDescent="0.2">
      <c r="AQ7080" s="31"/>
    </row>
    <row r="7081" spans="43:43" x14ac:dyDescent="0.2">
      <c r="AQ7081" s="31"/>
    </row>
    <row r="7082" spans="43:43" x14ac:dyDescent="0.2">
      <c r="AQ7082" s="31"/>
    </row>
    <row r="7083" spans="43:43" x14ac:dyDescent="0.2">
      <c r="AQ7083" s="31"/>
    </row>
    <row r="7084" spans="43:43" x14ac:dyDescent="0.2">
      <c r="AQ7084" s="31"/>
    </row>
    <row r="7085" spans="43:43" x14ac:dyDescent="0.2">
      <c r="AQ7085" s="31"/>
    </row>
    <row r="7086" spans="43:43" x14ac:dyDescent="0.2">
      <c r="AQ7086" s="31"/>
    </row>
    <row r="7087" spans="43:43" x14ac:dyDescent="0.2">
      <c r="AQ7087" s="31"/>
    </row>
    <row r="7088" spans="43:43" x14ac:dyDescent="0.2">
      <c r="AQ7088" s="31"/>
    </row>
    <row r="7089" spans="43:43" x14ac:dyDescent="0.2">
      <c r="AQ7089" s="31"/>
    </row>
    <row r="7090" spans="43:43" x14ac:dyDescent="0.2">
      <c r="AQ7090" s="31"/>
    </row>
    <row r="7091" spans="43:43" x14ac:dyDescent="0.2">
      <c r="AQ7091" s="31"/>
    </row>
    <row r="7092" spans="43:43" x14ac:dyDescent="0.2">
      <c r="AQ7092" s="31"/>
    </row>
    <row r="7093" spans="43:43" x14ac:dyDescent="0.2">
      <c r="AQ7093" s="31"/>
    </row>
    <row r="7094" spans="43:43" x14ac:dyDescent="0.2">
      <c r="AQ7094" s="31"/>
    </row>
    <row r="7095" spans="43:43" x14ac:dyDescent="0.2">
      <c r="AQ7095" s="31"/>
    </row>
    <row r="7096" spans="43:43" x14ac:dyDescent="0.2">
      <c r="AQ7096" s="31"/>
    </row>
    <row r="7097" spans="43:43" x14ac:dyDescent="0.2">
      <c r="AQ7097" s="31"/>
    </row>
    <row r="7098" spans="43:43" x14ac:dyDescent="0.2">
      <c r="AQ7098" s="31"/>
    </row>
    <row r="7099" spans="43:43" x14ac:dyDescent="0.2">
      <c r="AQ7099" s="31"/>
    </row>
    <row r="7100" spans="43:43" x14ac:dyDescent="0.2">
      <c r="AQ7100" s="31"/>
    </row>
    <row r="7101" spans="43:43" x14ac:dyDescent="0.2">
      <c r="AQ7101" s="31"/>
    </row>
    <row r="7102" spans="43:43" x14ac:dyDescent="0.2">
      <c r="AQ7102" s="31"/>
    </row>
    <row r="7103" spans="43:43" x14ac:dyDescent="0.2">
      <c r="AQ7103" s="31"/>
    </row>
    <row r="7104" spans="43:43" x14ac:dyDescent="0.2">
      <c r="AQ7104" s="31"/>
    </row>
    <row r="7105" spans="43:43" x14ac:dyDescent="0.2">
      <c r="AQ7105" s="31"/>
    </row>
    <row r="7106" spans="43:43" x14ac:dyDescent="0.2">
      <c r="AQ7106" s="31"/>
    </row>
    <row r="7107" spans="43:43" x14ac:dyDescent="0.2">
      <c r="AQ7107" s="31"/>
    </row>
    <row r="7108" spans="43:43" x14ac:dyDescent="0.2">
      <c r="AQ7108" s="31"/>
    </row>
    <row r="7109" spans="43:43" x14ac:dyDescent="0.2">
      <c r="AQ7109" s="31"/>
    </row>
    <row r="7110" spans="43:43" x14ac:dyDescent="0.2">
      <c r="AQ7110" s="31"/>
    </row>
    <row r="7111" spans="43:43" x14ac:dyDescent="0.2">
      <c r="AQ7111" s="31"/>
    </row>
    <row r="7112" spans="43:43" x14ac:dyDescent="0.2">
      <c r="AQ7112" s="31"/>
    </row>
    <row r="7113" spans="43:43" x14ac:dyDescent="0.2">
      <c r="AQ7113" s="31"/>
    </row>
    <row r="7114" spans="43:43" x14ac:dyDescent="0.2">
      <c r="AQ7114" s="31"/>
    </row>
    <row r="7115" spans="43:43" x14ac:dyDescent="0.2">
      <c r="AQ7115" s="31"/>
    </row>
    <row r="7116" spans="43:43" x14ac:dyDescent="0.2">
      <c r="AQ7116" s="31"/>
    </row>
    <row r="7117" spans="43:43" x14ac:dyDescent="0.2">
      <c r="AQ7117" s="31"/>
    </row>
    <row r="7118" spans="43:43" x14ac:dyDescent="0.2">
      <c r="AQ7118" s="31"/>
    </row>
    <row r="7119" spans="43:43" x14ac:dyDescent="0.2">
      <c r="AQ7119" s="31"/>
    </row>
    <row r="7120" spans="43:43" x14ac:dyDescent="0.2">
      <c r="AQ7120" s="31"/>
    </row>
    <row r="7121" spans="43:43" x14ac:dyDescent="0.2">
      <c r="AQ7121" s="31"/>
    </row>
    <row r="7122" spans="43:43" x14ac:dyDescent="0.2">
      <c r="AQ7122" s="31"/>
    </row>
    <row r="7123" spans="43:43" x14ac:dyDescent="0.2">
      <c r="AQ7123" s="31"/>
    </row>
    <row r="7124" spans="43:43" x14ac:dyDescent="0.2">
      <c r="AQ7124" s="31"/>
    </row>
    <row r="7125" spans="43:43" x14ac:dyDescent="0.2">
      <c r="AQ7125" s="31"/>
    </row>
    <row r="7126" spans="43:43" x14ac:dyDescent="0.2">
      <c r="AQ7126" s="31"/>
    </row>
    <row r="7127" spans="43:43" x14ac:dyDescent="0.2">
      <c r="AQ7127" s="31"/>
    </row>
    <row r="7128" spans="43:43" x14ac:dyDescent="0.2">
      <c r="AQ7128" s="31"/>
    </row>
    <row r="7129" spans="43:43" x14ac:dyDescent="0.2">
      <c r="AQ7129" s="31"/>
    </row>
    <row r="7130" spans="43:43" x14ac:dyDescent="0.2">
      <c r="AQ7130" s="31"/>
    </row>
    <row r="7131" spans="43:43" x14ac:dyDescent="0.2">
      <c r="AQ7131" s="31"/>
    </row>
    <row r="7132" spans="43:43" x14ac:dyDescent="0.2">
      <c r="AQ7132" s="31"/>
    </row>
    <row r="7133" spans="43:43" x14ac:dyDescent="0.2">
      <c r="AQ7133" s="31"/>
    </row>
    <row r="7134" spans="43:43" x14ac:dyDescent="0.2">
      <c r="AQ7134" s="31"/>
    </row>
    <row r="7135" spans="43:43" x14ac:dyDescent="0.2">
      <c r="AQ7135" s="31"/>
    </row>
    <row r="7136" spans="43:43" x14ac:dyDescent="0.2">
      <c r="AQ7136" s="31"/>
    </row>
    <row r="7137" spans="43:43" x14ac:dyDescent="0.2">
      <c r="AQ7137" s="31"/>
    </row>
    <row r="7138" spans="43:43" x14ac:dyDescent="0.2">
      <c r="AQ7138" s="31"/>
    </row>
    <row r="7139" spans="43:43" x14ac:dyDescent="0.2">
      <c r="AQ7139" s="31"/>
    </row>
    <row r="7140" spans="43:43" x14ac:dyDescent="0.2">
      <c r="AQ7140" s="31"/>
    </row>
    <row r="7141" spans="43:43" x14ac:dyDescent="0.2">
      <c r="AQ7141" s="31"/>
    </row>
    <row r="7142" spans="43:43" x14ac:dyDescent="0.2">
      <c r="AQ7142" s="31"/>
    </row>
    <row r="7143" spans="43:43" x14ac:dyDescent="0.2">
      <c r="AQ7143" s="31"/>
    </row>
    <row r="7144" spans="43:43" x14ac:dyDescent="0.2">
      <c r="AQ7144" s="31"/>
    </row>
    <row r="7145" spans="43:43" x14ac:dyDescent="0.2">
      <c r="AQ7145" s="31"/>
    </row>
    <row r="7146" spans="43:43" x14ac:dyDescent="0.2">
      <c r="AQ7146" s="31"/>
    </row>
    <row r="7147" spans="43:43" x14ac:dyDescent="0.2">
      <c r="AQ7147" s="31"/>
    </row>
    <row r="7148" spans="43:43" x14ac:dyDescent="0.2">
      <c r="AQ7148" s="31"/>
    </row>
    <row r="7149" spans="43:43" x14ac:dyDescent="0.2">
      <c r="AQ7149" s="31"/>
    </row>
    <row r="7150" spans="43:43" x14ac:dyDescent="0.2">
      <c r="AQ7150" s="31"/>
    </row>
    <row r="7151" spans="43:43" x14ac:dyDescent="0.2">
      <c r="AQ7151" s="31"/>
    </row>
    <row r="7152" spans="43:43" x14ac:dyDescent="0.2">
      <c r="AQ7152" s="31"/>
    </row>
    <row r="7153" spans="43:43" x14ac:dyDescent="0.2">
      <c r="AQ7153" s="31"/>
    </row>
    <row r="7154" spans="43:43" x14ac:dyDescent="0.2">
      <c r="AQ7154" s="31"/>
    </row>
    <row r="7155" spans="43:43" x14ac:dyDescent="0.2">
      <c r="AQ7155" s="31"/>
    </row>
    <row r="7156" spans="43:43" x14ac:dyDescent="0.2">
      <c r="AQ7156" s="31"/>
    </row>
    <row r="7157" spans="43:43" x14ac:dyDescent="0.2">
      <c r="AQ7157" s="31"/>
    </row>
    <row r="7158" spans="43:43" x14ac:dyDescent="0.2">
      <c r="AQ7158" s="31"/>
    </row>
    <row r="7159" spans="43:43" x14ac:dyDescent="0.2">
      <c r="AQ7159" s="31"/>
    </row>
    <row r="7160" spans="43:43" x14ac:dyDescent="0.2">
      <c r="AQ7160" s="31"/>
    </row>
    <row r="7161" spans="43:43" x14ac:dyDescent="0.2">
      <c r="AQ7161" s="31"/>
    </row>
    <row r="7162" spans="43:43" x14ac:dyDescent="0.2">
      <c r="AQ7162" s="31"/>
    </row>
    <row r="7163" spans="43:43" x14ac:dyDescent="0.2">
      <c r="AQ7163" s="31"/>
    </row>
    <row r="7164" spans="43:43" x14ac:dyDescent="0.2">
      <c r="AQ7164" s="31"/>
    </row>
    <row r="7165" spans="43:43" x14ac:dyDescent="0.2">
      <c r="AQ7165" s="31"/>
    </row>
    <row r="7166" spans="43:43" x14ac:dyDescent="0.2">
      <c r="AQ7166" s="31"/>
    </row>
    <row r="7167" spans="43:43" x14ac:dyDescent="0.2">
      <c r="AQ7167" s="31"/>
    </row>
    <row r="7168" spans="43:43" x14ac:dyDescent="0.2">
      <c r="AQ7168" s="31"/>
    </row>
    <row r="7169" spans="43:43" x14ac:dyDescent="0.2">
      <c r="AQ7169" s="31"/>
    </row>
    <row r="7170" spans="43:43" x14ac:dyDescent="0.2">
      <c r="AQ7170" s="31"/>
    </row>
    <row r="7171" spans="43:43" x14ac:dyDescent="0.2">
      <c r="AQ7171" s="31"/>
    </row>
    <row r="7172" spans="43:43" x14ac:dyDescent="0.2">
      <c r="AQ7172" s="31"/>
    </row>
    <row r="7173" spans="43:43" x14ac:dyDescent="0.2">
      <c r="AQ7173" s="31"/>
    </row>
    <row r="7174" spans="43:43" x14ac:dyDescent="0.2">
      <c r="AQ7174" s="31"/>
    </row>
    <row r="7175" spans="43:43" x14ac:dyDescent="0.2">
      <c r="AQ7175" s="31"/>
    </row>
    <row r="7176" spans="43:43" x14ac:dyDescent="0.2">
      <c r="AQ7176" s="31"/>
    </row>
    <row r="7177" spans="43:43" x14ac:dyDescent="0.2">
      <c r="AQ7177" s="31"/>
    </row>
    <row r="7178" spans="43:43" x14ac:dyDescent="0.2">
      <c r="AQ7178" s="31"/>
    </row>
    <row r="7179" spans="43:43" x14ac:dyDescent="0.2">
      <c r="AQ7179" s="31"/>
    </row>
    <row r="7180" spans="43:43" x14ac:dyDescent="0.2">
      <c r="AQ7180" s="31"/>
    </row>
    <row r="7181" spans="43:43" x14ac:dyDescent="0.2">
      <c r="AQ7181" s="31"/>
    </row>
    <row r="7182" spans="43:43" x14ac:dyDescent="0.2">
      <c r="AQ7182" s="31"/>
    </row>
    <row r="7183" spans="43:43" x14ac:dyDescent="0.2">
      <c r="AQ7183" s="31"/>
    </row>
    <row r="7184" spans="43:43" x14ac:dyDescent="0.2">
      <c r="AQ7184" s="31"/>
    </row>
    <row r="7185" spans="43:43" x14ac:dyDescent="0.2">
      <c r="AQ7185" s="31"/>
    </row>
    <row r="7186" spans="43:43" x14ac:dyDescent="0.2">
      <c r="AQ7186" s="31"/>
    </row>
    <row r="7187" spans="43:43" x14ac:dyDescent="0.2">
      <c r="AQ7187" s="31"/>
    </row>
    <row r="7188" spans="43:43" x14ac:dyDescent="0.2">
      <c r="AQ7188" s="31"/>
    </row>
    <row r="7189" spans="43:43" x14ac:dyDescent="0.2">
      <c r="AQ7189" s="31"/>
    </row>
    <row r="7190" spans="43:43" x14ac:dyDescent="0.2">
      <c r="AQ7190" s="31"/>
    </row>
    <row r="7191" spans="43:43" x14ac:dyDescent="0.2">
      <c r="AQ7191" s="31"/>
    </row>
    <row r="7192" spans="43:43" x14ac:dyDescent="0.2">
      <c r="AQ7192" s="31"/>
    </row>
    <row r="7193" spans="43:43" x14ac:dyDescent="0.2">
      <c r="AQ7193" s="31"/>
    </row>
    <row r="7194" spans="43:43" x14ac:dyDescent="0.2">
      <c r="AQ7194" s="31"/>
    </row>
    <row r="7195" spans="43:43" x14ac:dyDescent="0.2">
      <c r="AQ7195" s="31"/>
    </row>
    <row r="7196" spans="43:43" x14ac:dyDescent="0.2">
      <c r="AQ7196" s="31"/>
    </row>
    <row r="7197" spans="43:43" x14ac:dyDescent="0.2">
      <c r="AQ7197" s="31"/>
    </row>
    <row r="7198" spans="43:43" x14ac:dyDescent="0.2">
      <c r="AQ7198" s="31"/>
    </row>
    <row r="7199" spans="43:43" x14ac:dyDescent="0.2">
      <c r="AQ7199" s="31"/>
    </row>
    <row r="7200" spans="43:43" x14ac:dyDescent="0.2">
      <c r="AQ7200" s="31"/>
    </row>
    <row r="7201" spans="43:43" x14ac:dyDescent="0.2">
      <c r="AQ7201" s="31"/>
    </row>
    <row r="7202" spans="43:43" x14ac:dyDescent="0.2">
      <c r="AQ7202" s="31"/>
    </row>
    <row r="7203" spans="43:43" x14ac:dyDescent="0.2">
      <c r="AQ7203" s="31"/>
    </row>
    <row r="7204" spans="43:43" x14ac:dyDescent="0.2">
      <c r="AQ7204" s="31"/>
    </row>
    <row r="7205" spans="43:43" x14ac:dyDescent="0.2">
      <c r="AQ7205" s="31"/>
    </row>
    <row r="7206" spans="43:43" x14ac:dyDescent="0.2">
      <c r="AQ7206" s="31"/>
    </row>
    <row r="7207" spans="43:43" x14ac:dyDescent="0.2">
      <c r="AQ7207" s="31"/>
    </row>
    <row r="7208" spans="43:43" x14ac:dyDescent="0.2">
      <c r="AQ7208" s="31"/>
    </row>
    <row r="7209" spans="43:43" x14ac:dyDescent="0.2">
      <c r="AQ7209" s="31"/>
    </row>
    <row r="7210" spans="43:43" x14ac:dyDescent="0.2">
      <c r="AQ7210" s="31"/>
    </row>
    <row r="7211" spans="43:43" x14ac:dyDescent="0.2">
      <c r="AQ7211" s="31"/>
    </row>
    <row r="7212" spans="43:43" x14ac:dyDescent="0.2">
      <c r="AQ7212" s="31"/>
    </row>
    <row r="7213" spans="43:43" x14ac:dyDescent="0.2">
      <c r="AQ7213" s="31"/>
    </row>
    <row r="7214" spans="43:43" x14ac:dyDescent="0.2">
      <c r="AQ7214" s="31"/>
    </row>
    <row r="7215" spans="43:43" x14ac:dyDescent="0.2">
      <c r="AQ7215" s="31"/>
    </row>
    <row r="7216" spans="43:43" x14ac:dyDescent="0.2">
      <c r="AQ7216" s="31"/>
    </row>
    <row r="7217" spans="43:43" x14ac:dyDescent="0.2">
      <c r="AQ7217" s="31"/>
    </row>
    <row r="7218" spans="43:43" x14ac:dyDescent="0.2">
      <c r="AQ7218" s="31"/>
    </row>
    <row r="7219" spans="43:43" x14ac:dyDescent="0.2">
      <c r="AQ7219" s="31"/>
    </row>
    <row r="7220" spans="43:43" x14ac:dyDescent="0.2">
      <c r="AQ7220" s="31"/>
    </row>
    <row r="7221" spans="43:43" x14ac:dyDescent="0.2">
      <c r="AQ7221" s="31"/>
    </row>
    <row r="7222" spans="43:43" x14ac:dyDescent="0.2">
      <c r="AQ7222" s="31"/>
    </row>
    <row r="7223" spans="43:43" x14ac:dyDescent="0.2">
      <c r="AQ7223" s="31"/>
    </row>
    <row r="7224" spans="43:43" x14ac:dyDescent="0.2">
      <c r="AQ7224" s="31"/>
    </row>
    <row r="7225" spans="43:43" x14ac:dyDescent="0.2">
      <c r="AQ7225" s="31"/>
    </row>
    <row r="7226" spans="43:43" x14ac:dyDescent="0.2">
      <c r="AQ7226" s="31"/>
    </row>
    <row r="7227" spans="43:43" x14ac:dyDescent="0.2">
      <c r="AQ7227" s="31"/>
    </row>
    <row r="7228" spans="43:43" x14ac:dyDescent="0.2">
      <c r="AQ7228" s="31"/>
    </row>
    <row r="7229" spans="43:43" x14ac:dyDescent="0.2">
      <c r="AQ7229" s="31"/>
    </row>
    <row r="7230" spans="43:43" x14ac:dyDescent="0.2">
      <c r="AQ7230" s="31"/>
    </row>
    <row r="7231" spans="43:43" x14ac:dyDescent="0.2">
      <c r="AQ7231" s="31"/>
    </row>
    <row r="7232" spans="43:43" x14ac:dyDescent="0.2">
      <c r="AQ7232" s="31"/>
    </row>
    <row r="7233" spans="43:43" x14ac:dyDescent="0.2">
      <c r="AQ7233" s="31"/>
    </row>
    <row r="7234" spans="43:43" x14ac:dyDescent="0.2">
      <c r="AQ7234" s="31"/>
    </row>
    <row r="7235" spans="43:43" x14ac:dyDescent="0.2">
      <c r="AQ7235" s="31"/>
    </row>
    <row r="7236" spans="43:43" x14ac:dyDescent="0.2">
      <c r="AQ7236" s="31"/>
    </row>
    <row r="7237" spans="43:43" x14ac:dyDescent="0.2">
      <c r="AQ7237" s="31"/>
    </row>
    <row r="7238" spans="43:43" x14ac:dyDescent="0.2">
      <c r="AQ7238" s="31"/>
    </row>
    <row r="7239" spans="43:43" x14ac:dyDescent="0.2">
      <c r="AQ7239" s="31"/>
    </row>
    <row r="7240" spans="43:43" x14ac:dyDescent="0.2">
      <c r="AQ7240" s="31"/>
    </row>
    <row r="7241" spans="43:43" x14ac:dyDescent="0.2">
      <c r="AQ7241" s="31"/>
    </row>
    <row r="7242" spans="43:43" x14ac:dyDescent="0.2">
      <c r="AQ7242" s="31"/>
    </row>
    <row r="7243" spans="43:43" x14ac:dyDescent="0.2">
      <c r="AQ7243" s="31"/>
    </row>
    <row r="7244" spans="43:43" x14ac:dyDescent="0.2">
      <c r="AQ7244" s="31"/>
    </row>
    <row r="7245" spans="43:43" x14ac:dyDescent="0.2">
      <c r="AQ7245" s="31"/>
    </row>
    <row r="7246" spans="43:43" x14ac:dyDescent="0.2">
      <c r="AQ7246" s="31"/>
    </row>
    <row r="7247" spans="43:43" x14ac:dyDescent="0.2">
      <c r="AQ7247" s="31"/>
    </row>
    <row r="7248" spans="43:43" x14ac:dyDescent="0.2">
      <c r="AQ7248" s="31"/>
    </row>
    <row r="7249" spans="43:43" x14ac:dyDescent="0.2">
      <c r="AQ7249" s="31"/>
    </row>
    <row r="7250" spans="43:43" x14ac:dyDescent="0.2">
      <c r="AQ7250" s="31"/>
    </row>
    <row r="7251" spans="43:43" x14ac:dyDescent="0.2">
      <c r="AQ7251" s="31"/>
    </row>
    <row r="7252" spans="43:43" x14ac:dyDescent="0.2">
      <c r="AQ7252" s="31"/>
    </row>
    <row r="7253" spans="43:43" x14ac:dyDescent="0.2">
      <c r="AQ7253" s="31"/>
    </row>
    <row r="7254" spans="43:43" x14ac:dyDescent="0.2">
      <c r="AQ7254" s="31"/>
    </row>
    <row r="7255" spans="43:43" x14ac:dyDescent="0.2">
      <c r="AQ7255" s="31"/>
    </row>
    <row r="7256" spans="43:43" x14ac:dyDescent="0.2">
      <c r="AQ7256" s="31"/>
    </row>
    <row r="7257" spans="43:43" x14ac:dyDescent="0.2">
      <c r="AQ7257" s="31"/>
    </row>
    <row r="7258" spans="43:43" x14ac:dyDescent="0.2">
      <c r="AQ7258" s="31"/>
    </row>
    <row r="7259" spans="43:43" x14ac:dyDescent="0.2">
      <c r="AQ7259" s="31"/>
    </row>
    <row r="7260" spans="43:43" x14ac:dyDescent="0.2">
      <c r="AQ7260" s="31"/>
    </row>
    <row r="7261" spans="43:43" x14ac:dyDescent="0.2">
      <c r="AQ7261" s="31"/>
    </row>
    <row r="7262" spans="43:43" x14ac:dyDescent="0.2">
      <c r="AQ7262" s="31"/>
    </row>
    <row r="7263" spans="43:43" x14ac:dyDescent="0.2">
      <c r="AQ7263" s="31"/>
    </row>
    <row r="7264" spans="43:43" x14ac:dyDescent="0.2">
      <c r="AQ7264" s="31"/>
    </row>
    <row r="7265" spans="43:43" x14ac:dyDescent="0.2">
      <c r="AQ7265" s="31"/>
    </row>
    <row r="7266" spans="43:43" x14ac:dyDescent="0.2">
      <c r="AQ7266" s="31"/>
    </row>
    <row r="7267" spans="43:43" x14ac:dyDescent="0.2">
      <c r="AQ7267" s="31"/>
    </row>
    <row r="7268" spans="43:43" x14ac:dyDescent="0.2">
      <c r="AQ7268" s="31"/>
    </row>
    <row r="7269" spans="43:43" x14ac:dyDescent="0.2">
      <c r="AQ7269" s="31"/>
    </row>
    <row r="7270" spans="43:43" x14ac:dyDescent="0.2">
      <c r="AQ7270" s="31"/>
    </row>
    <row r="7271" spans="43:43" x14ac:dyDescent="0.2">
      <c r="AQ7271" s="31"/>
    </row>
    <row r="7272" spans="43:43" x14ac:dyDescent="0.2">
      <c r="AQ7272" s="31"/>
    </row>
    <row r="7273" spans="43:43" x14ac:dyDescent="0.2">
      <c r="AQ7273" s="31"/>
    </row>
    <row r="7274" spans="43:43" x14ac:dyDescent="0.2">
      <c r="AQ7274" s="31"/>
    </row>
    <row r="7275" spans="43:43" x14ac:dyDescent="0.2">
      <c r="AQ7275" s="31"/>
    </row>
    <row r="7276" spans="43:43" x14ac:dyDescent="0.2">
      <c r="AQ7276" s="31"/>
    </row>
    <row r="7277" spans="43:43" x14ac:dyDescent="0.2">
      <c r="AQ7277" s="31"/>
    </row>
    <row r="7278" spans="43:43" x14ac:dyDescent="0.2">
      <c r="AQ7278" s="31"/>
    </row>
    <row r="7279" spans="43:43" x14ac:dyDescent="0.2">
      <c r="AQ7279" s="31"/>
    </row>
    <row r="7280" spans="43:43" x14ac:dyDescent="0.2">
      <c r="AQ7280" s="31"/>
    </row>
    <row r="7281" spans="43:43" x14ac:dyDescent="0.2">
      <c r="AQ7281" s="31"/>
    </row>
    <row r="7282" spans="43:43" x14ac:dyDescent="0.2">
      <c r="AQ7282" s="31"/>
    </row>
    <row r="7283" spans="43:43" x14ac:dyDescent="0.2">
      <c r="AQ7283" s="31"/>
    </row>
    <row r="7284" spans="43:43" x14ac:dyDescent="0.2">
      <c r="AQ7284" s="31"/>
    </row>
    <row r="7285" spans="43:43" x14ac:dyDescent="0.2">
      <c r="AQ7285" s="31"/>
    </row>
    <row r="7286" spans="43:43" x14ac:dyDescent="0.2">
      <c r="AQ7286" s="31"/>
    </row>
    <row r="7287" spans="43:43" x14ac:dyDescent="0.2">
      <c r="AQ7287" s="31"/>
    </row>
    <row r="7288" spans="43:43" x14ac:dyDescent="0.2">
      <c r="AQ7288" s="31"/>
    </row>
    <row r="7289" spans="43:43" x14ac:dyDescent="0.2">
      <c r="AQ7289" s="31"/>
    </row>
    <row r="7290" spans="43:43" x14ac:dyDescent="0.2">
      <c r="AQ7290" s="31"/>
    </row>
    <row r="7291" spans="43:43" x14ac:dyDescent="0.2">
      <c r="AQ7291" s="31"/>
    </row>
    <row r="7292" spans="43:43" x14ac:dyDescent="0.2">
      <c r="AQ7292" s="31"/>
    </row>
    <row r="7293" spans="43:43" x14ac:dyDescent="0.2">
      <c r="AQ7293" s="31"/>
    </row>
    <row r="7294" spans="43:43" x14ac:dyDescent="0.2">
      <c r="AQ7294" s="31"/>
    </row>
    <row r="7295" spans="43:43" x14ac:dyDescent="0.2">
      <c r="AQ7295" s="31"/>
    </row>
    <row r="7296" spans="43:43" x14ac:dyDescent="0.2">
      <c r="AQ7296" s="31"/>
    </row>
    <row r="7297" spans="43:43" x14ac:dyDescent="0.2">
      <c r="AQ7297" s="31"/>
    </row>
    <row r="7298" spans="43:43" x14ac:dyDescent="0.2">
      <c r="AQ7298" s="31"/>
    </row>
    <row r="7299" spans="43:43" x14ac:dyDescent="0.2">
      <c r="AQ7299" s="31"/>
    </row>
    <row r="7300" spans="43:43" x14ac:dyDescent="0.2">
      <c r="AQ7300" s="31"/>
    </row>
    <row r="7301" spans="43:43" x14ac:dyDescent="0.2">
      <c r="AQ7301" s="31"/>
    </row>
    <row r="7302" spans="43:43" x14ac:dyDescent="0.2">
      <c r="AQ7302" s="31"/>
    </row>
    <row r="7303" spans="43:43" x14ac:dyDescent="0.2">
      <c r="AQ7303" s="31"/>
    </row>
    <row r="7304" spans="43:43" x14ac:dyDescent="0.2">
      <c r="AQ7304" s="31"/>
    </row>
    <row r="7305" spans="43:43" x14ac:dyDescent="0.2">
      <c r="AQ7305" s="31"/>
    </row>
    <row r="7306" spans="43:43" x14ac:dyDescent="0.2">
      <c r="AQ7306" s="31"/>
    </row>
    <row r="7307" spans="43:43" x14ac:dyDescent="0.2">
      <c r="AQ7307" s="31"/>
    </row>
    <row r="7308" spans="43:43" x14ac:dyDescent="0.2">
      <c r="AQ7308" s="31"/>
    </row>
    <row r="7309" spans="43:43" x14ac:dyDescent="0.2">
      <c r="AQ7309" s="31"/>
    </row>
    <row r="7310" spans="43:43" x14ac:dyDescent="0.2">
      <c r="AQ7310" s="31"/>
    </row>
    <row r="7311" spans="43:43" x14ac:dyDescent="0.2">
      <c r="AQ7311" s="31"/>
    </row>
    <row r="7312" spans="43:43" x14ac:dyDescent="0.2">
      <c r="AQ7312" s="31"/>
    </row>
    <row r="7313" spans="43:43" x14ac:dyDescent="0.2">
      <c r="AQ7313" s="31"/>
    </row>
    <row r="7314" spans="43:43" x14ac:dyDescent="0.2">
      <c r="AQ7314" s="31"/>
    </row>
    <row r="7315" spans="43:43" x14ac:dyDescent="0.2">
      <c r="AQ7315" s="31"/>
    </row>
    <row r="7316" spans="43:43" x14ac:dyDescent="0.2">
      <c r="AQ7316" s="31"/>
    </row>
    <row r="7317" spans="43:43" x14ac:dyDescent="0.2">
      <c r="AQ7317" s="31"/>
    </row>
    <row r="7318" spans="43:43" x14ac:dyDescent="0.2">
      <c r="AQ7318" s="31"/>
    </row>
    <row r="7319" spans="43:43" x14ac:dyDescent="0.2">
      <c r="AQ7319" s="31"/>
    </row>
    <row r="7320" spans="43:43" x14ac:dyDescent="0.2">
      <c r="AQ7320" s="31"/>
    </row>
    <row r="7321" spans="43:43" x14ac:dyDescent="0.2">
      <c r="AQ7321" s="31"/>
    </row>
    <row r="7322" spans="43:43" x14ac:dyDescent="0.2">
      <c r="AQ7322" s="31"/>
    </row>
    <row r="7323" spans="43:43" x14ac:dyDescent="0.2">
      <c r="AQ7323" s="31"/>
    </row>
    <row r="7324" spans="43:43" x14ac:dyDescent="0.2">
      <c r="AQ7324" s="31"/>
    </row>
    <row r="7325" spans="43:43" x14ac:dyDescent="0.2">
      <c r="AQ7325" s="31"/>
    </row>
    <row r="7326" spans="43:43" x14ac:dyDescent="0.2">
      <c r="AQ7326" s="31"/>
    </row>
    <row r="7327" spans="43:43" x14ac:dyDescent="0.2">
      <c r="AQ7327" s="31"/>
    </row>
    <row r="7328" spans="43:43" x14ac:dyDescent="0.2">
      <c r="AQ7328" s="31"/>
    </row>
    <row r="7329" spans="43:43" x14ac:dyDescent="0.2">
      <c r="AQ7329" s="31"/>
    </row>
    <row r="7330" spans="43:43" x14ac:dyDescent="0.2">
      <c r="AQ7330" s="31"/>
    </row>
    <row r="7331" spans="43:43" x14ac:dyDescent="0.2">
      <c r="AQ7331" s="31"/>
    </row>
    <row r="7332" spans="43:43" x14ac:dyDescent="0.2">
      <c r="AQ7332" s="31"/>
    </row>
    <row r="7333" spans="43:43" x14ac:dyDescent="0.2">
      <c r="AQ7333" s="31"/>
    </row>
    <row r="7334" spans="43:43" x14ac:dyDescent="0.2">
      <c r="AQ7334" s="31"/>
    </row>
    <row r="7335" spans="43:43" x14ac:dyDescent="0.2">
      <c r="AQ7335" s="31"/>
    </row>
    <row r="7336" spans="43:43" x14ac:dyDescent="0.2">
      <c r="AQ7336" s="31"/>
    </row>
    <row r="7337" spans="43:43" x14ac:dyDescent="0.2">
      <c r="AQ7337" s="31"/>
    </row>
    <row r="7338" spans="43:43" x14ac:dyDescent="0.2">
      <c r="AQ7338" s="31"/>
    </row>
    <row r="7339" spans="43:43" x14ac:dyDescent="0.2">
      <c r="AQ7339" s="31"/>
    </row>
    <row r="7340" spans="43:43" x14ac:dyDescent="0.2">
      <c r="AQ7340" s="31"/>
    </row>
    <row r="7341" spans="43:43" x14ac:dyDescent="0.2">
      <c r="AQ7341" s="31"/>
    </row>
    <row r="7342" spans="43:43" x14ac:dyDescent="0.2">
      <c r="AQ7342" s="31"/>
    </row>
    <row r="7343" spans="43:43" x14ac:dyDescent="0.2">
      <c r="AQ7343" s="31"/>
    </row>
    <row r="7344" spans="43:43" x14ac:dyDescent="0.2">
      <c r="AQ7344" s="31"/>
    </row>
    <row r="7345" spans="43:43" x14ac:dyDescent="0.2">
      <c r="AQ7345" s="31"/>
    </row>
    <row r="7346" spans="43:43" x14ac:dyDescent="0.2">
      <c r="AQ7346" s="31"/>
    </row>
    <row r="7347" spans="43:43" x14ac:dyDescent="0.2">
      <c r="AQ7347" s="31"/>
    </row>
    <row r="7348" spans="43:43" x14ac:dyDescent="0.2">
      <c r="AQ7348" s="31"/>
    </row>
    <row r="7349" spans="43:43" x14ac:dyDescent="0.2">
      <c r="AQ7349" s="31"/>
    </row>
    <row r="7350" spans="43:43" x14ac:dyDescent="0.2">
      <c r="AQ7350" s="31"/>
    </row>
    <row r="7351" spans="43:43" x14ac:dyDescent="0.2">
      <c r="AQ7351" s="31"/>
    </row>
    <row r="7352" spans="43:43" x14ac:dyDescent="0.2">
      <c r="AQ7352" s="31"/>
    </row>
    <row r="7353" spans="43:43" x14ac:dyDescent="0.2">
      <c r="AQ7353" s="31"/>
    </row>
    <row r="7354" spans="43:43" x14ac:dyDescent="0.2">
      <c r="AQ7354" s="31"/>
    </row>
    <row r="7355" spans="43:43" x14ac:dyDescent="0.2">
      <c r="AQ7355" s="31"/>
    </row>
    <row r="7356" spans="43:43" x14ac:dyDescent="0.2">
      <c r="AQ7356" s="31"/>
    </row>
    <row r="7357" spans="43:43" x14ac:dyDescent="0.2">
      <c r="AQ7357" s="31"/>
    </row>
    <row r="7358" spans="43:43" x14ac:dyDescent="0.2">
      <c r="AQ7358" s="31"/>
    </row>
    <row r="7359" spans="43:43" x14ac:dyDescent="0.2">
      <c r="AQ7359" s="31"/>
    </row>
    <row r="7360" spans="43:43" x14ac:dyDescent="0.2">
      <c r="AQ7360" s="31"/>
    </row>
    <row r="7361" spans="43:43" x14ac:dyDescent="0.2">
      <c r="AQ7361" s="31"/>
    </row>
    <row r="7362" spans="43:43" x14ac:dyDescent="0.2">
      <c r="AQ7362" s="31"/>
    </row>
    <row r="7363" spans="43:43" x14ac:dyDescent="0.2">
      <c r="AQ7363" s="31"/>
    </row>
    <row r="7364" spans="43:43" x14ac:dyDescent="0.2">
      <c r="AQ7364" s="31"/>
    </row>
    <row r="7365" spans="43:43" x14ac:dyDescent="0.2">
      <c r="AQ7365" s="31"/>
    </row>
    <row r="7366" spans="43:43" x14ac:dyDescent="0.2">
      <c r="AQ7366" s="31"/>
    </row>
    <row r="7367" spans="43:43" x14ac:dyDescent="0.2">
      <c r="AQ7367" s="31"/>
    </row>
    <row r="7368" spans="43:43" x14ac:dyDescent="0.2">
      <c r="AQ7368" s="31"/>
    </row>
    <row r="7369" spans="43:43" x14ac:dyDescent="0.2">
      <c r="AQ7369" s="31"/>
    </row>
    <row r="7370" spans="43:43" x14ac:dyDescent="0.2">
      <c r="AQ7370" s="31"/>
    </row>
    <row r="7371" spans="43:43" x14ac:dyDescent="0.2">
      <c r="AQ7371" s="31"/>
    </row>
    <row r="7372" spans="43:43" x14ac:dyDescent="0.2">
      <c r="AQ7372" s="31"/>
    </row>
    <row r="7373" spans="43:43" x14ac:dyDescent="0.2">
      <c r="AQ7373" s="31"/>
    </row>
    <row r="7374" spans="43:43" x14ac:dyDescent="0.2">
      <c r="AQ7374" s="31"/>
    </row>
    <row r="7375" spans="43:43" x14ac:dyDescent="0.2">
      <c r="AQ7375" s="31"/>
    </row>
    <row r="7376" spans="43:43" x14ac:dyDescent="0.2">
      <c r="AQ7376" s="31"/>
    </row>
    <row r="7377" spans="43:43" x14ac:dyDescent="0.2">
      <c r="AQ7377" s="31"/>
    </row>
    <row r="7378" spans="43:43" x14ac:dyDescent="0.2">
      <c r="AQ7378" s="31"/>
    </row>
    <row r="7379" spans="43:43" x14ac:dyDescent="0.2">
      <c r="AQ7379" s="31"/>
    </row>
    <row r="7380" spans="43:43" x14ac:dyDescent="0.2">
      <c r="AQ7380" s="31"/>
    </row>
    <row r="7381" spans="43:43" x14ac:dyDescent="0.2">
      <c r="AQ7381" s="31"/>
    </row>
    <row r="7382" spans="43:43" x14ac:dyDescent="0.2">
      <c r="AQ7382" s="31"/>
    </row>
    <row r="7383" spans="43:43" x14ac:dyDescent="0.2">
      <c r="AQ7383" s="31"/>
    </row>
    <row r="7384" spans="43:43" x14ac:dyDescent="0.2">
      <c r="AQ7384" s="31"/>
    </row>
    <row r="7385" spans="43:43" x14ac:dyDescent="0.2">
      <c r="AQ7385" s="31"/>
    </row>
    <row r="7386" spans="43:43" x14ac:dyDescent="0.2">
      <c r="AQ7386" s="31"/>
    </row>
    <row r="7387" spans="43:43" x14ac:dyDescent="0.2">
      <c r="AQ7387" s="31"/>
    </row>
    <row r="7388" spans="43:43" x14ac:dyDescent="0.2">
      <c r="AQ7388" s="31"/>
    </row>
    <row r="7389" spans="43:43" x14ac:dyDescent="0.2">
      <c r="AQ7389" s="31"/>
    </row>
    <row r="7390" spans="43:43" x14ac:dyDescent="0.2">
      <c r="AQ7390" s="31"/>
    </row>
    <row r="7391" spans="43:43" x14ac:dyDescent="0.2">
      <c r="AQ7391" s="31"/>
    </row>
    <row r="7392" spans="43:43" x14ac:dyDescent="0.2">
      <c r="AQ7392" s="31"/>
    </row>
    <row r="7393" spans="43:43" x14ac:dyDescent="0.2">
      <c r="AQ7393" s="31"/>
    </row>
    <row r="7394" spans="43:43" x14ac:dyDescent="0.2">
      <c r="AQ7394" s="31"/>
    </row>
    <row r="7395" spans="43:43" x14ac:dyDescent="0.2">
      <c r="AQ7395" s="31"/>
    </row>
    <row r="7396" spans="43:43" x14ac:dyDescent="0.2">
      <c r="AQ7396" s="31"/>
    </row>
    <row r="7397" spans="43:43" x14ac:dyDescent="0.2">
      <c r="AQ7397" s="31"/>
    </row>
    <row r="7398" spans="43:43" x14ac:dyDescent="0.2">
      <c r="AQ7398" s="31"/>
    </row>
    <row r="7399" spans="43:43" x14ac:dyDescent="0.2">
      <c r="AQ7399" s="31"/>
    </row>
    <row r="7400" spans="43:43" x14ac:dyDescent="0.2">
      <c r="AQ7400" s="31"/>
    </row>
    <row r="7401" spans="43:43" x14ac:dyDescent="0.2">
      <c r="AQ7401" s="31"/>
    </row>
    <row r="7402" spans="43:43" x14ac:dyDescent="0.2">
      <c r="AQ7402" s="31"/>
    </row>
    <row r="7403" spans="43:43" x14ac:dyDescent="0.2">
      <c r="AQ7403" s="31"/>
    </row>
    <row r="7404" spans="43:43" x14ac:dyDescent="0.2">
      <c r="AQ7404" s="31"/>
    </row>
    <row r="7405" spans="43:43" x14ac:dyDescent="0.2">
      <c r="AQ7405" s="31"/>
    </row>
    <row r="7406" spans="43:43" x14ac:dyDescent="0.2">
      <c r="AQ7406" s="31"/>
    </row>
    <row r="7407" spans="43:43" x14ac:dyDescent="0.2">
      <c r="AQ7407" s="31"/>
    </row>
    <row r="7408" spans="43:43" x14ac:dyDescent="0.2">
      <c r="AQ7408" s="31"/>
    </row>
    <row r="7409" spans="43:43" x14ac:dyDescent="0.2">
      <c r="AQ7409" s="31"/>
    </row>
    <row r="7410" spans="43:43" x14ac:dyDescent="0.2">
      <c r="AQ7410" s="31"/>
    </row>
    <row r="7411" spans="43:43" x14ac:dyDescent="0.2">
      <c r="AQ7411" s="31"/>
    </row>
    <row r="7412" spans="43:43" x14ac:dyDescent="0.2">
      <c r="AQ7412" s="31"/>
    </row>
    <row r="7413" spans="43:43" x14ac:dyDescent="0.2">
      <c r="AQ7413" s="31"/>
    </row>
    <row r="7414" spans="43:43" x14ac:dyDescent="0.2">
      <c r="AQ7414" s="31"/>
    </row>
    <row r="7415" spans="43:43" x14ac:dyDescent="0.2">
      <c r="AQ7415" s="31"/>
    </row>
    <row r="7416" spans="43:43" x14ac:dyDescent="0.2">
      <c r="AQ7416" s="31"/>
    </row>
    <row r="7417" spans="43:43" x14ac:dyDescent="0.2">
      <c r="AQ7417" s="31"/>
    </row>
    <row r="7418" spans="43:43" x14ac:dyDescent="0.2">
      <c r="AQ7418" s="31"/>
    </row>
    <row r="7419" spans="43:43" x14ac:dyDescent="0.2">
      <c r="AQ7419" s="31"/>
    </row>
    <row r="7420" spans="43:43" x14ac:dyDescent="0.2">
      <c r="AQ7420" s="31"/>
    </row>
    <row r="7421" spans="43:43" x14ac:dyDescent="0.2">
      <c r="AQ7421" s="31"/>
    </row>
    <row r="7422" spans="43:43" x14ac:dyDescent="0.2">
      <c r="AQ7422" s="31"/>
    </row>
    <row r="7423" spans="43:43" x14ac:dyDescent="0.2">
      <c r="AQ7423" s="31"/>
    </row>
    <row r="7424" spans="43:43" x14ac:dyDescent="0.2">
      <c r="AQ7424" s="31"/>
    </row>
    <row r="7425" spans="43:43" x14ac:dyDescent="0.2">
      <c r="AQ7425" s="31"/>
    </row>
    <row r="7426" spans="43:43" x14ac:dyDescent="0.2">
      <c r="AQ7426" s="31"/>
    </row>
    <row r="7427" spans="43:43" x14ac:dyDescent="0.2">
      <c r="AQ7427" s="31"/>
    </row>
    <row r="7428" spans="43:43" x14ac:dyDescent="0.2">
      <c r="AQ7428" s="31"/>
    </row>
    <row r="7429" spans="43:43" x14ac:dyDescent="0.2">
      <c r="AQ7429" s="31"/>
    </row>
    <row r="7430" spans="43:43" x14ac:dyDescent="0.2">
      <c r="AQ7430" s="31"/>
    </row>
    <row r="7431" spans="43:43" x14ac:dyDescent="0.2">
      <c r="AQ7431" s="31"/>
    </row>
    <row r="7432" spans="43:43" x14ac:dyDescent="0.2">
      <c r="AQ7432" s="31"/>
    </row>
    <row r="7433" spans="43:43" x14ac:dyDescent="0.2">
      <c r="AQ7433" s="31"/>
    </row>
    <row r="7434" spans="43:43" x14ac:dyDescent="0.2">
      <c r="AQ7434" s="31"/>
    </row>
    <row r="7435" spans="43:43" x14ac:dyDescent="0.2">
      <c r="AQ7435" s="31"/>
    </row>
    <row r="7436" spans="43:43" x14ac:dyDescent="0.2">
      <c r="AQ7436" s="31"/>
    </row>
    <row r="7437" spans="43:43" x14ac:dyDescent="0.2">
      <c r="AQ7437" s="31"/>
    </row>
    <row r="7438" spans="43:43" x14ac:dyDescent="0.2">
      <c r="AQ7438" s="31"/>
    </row>
    <row r="7439" spans="43:43" x14ac:dyDescent="0.2">
      <c r="AQ7439" s="31"/>
    </row>
    <row r="7440" spans="43:43" x14ac:dyDescent="0.2">
      <c r="AQ7440" s="31"/>
    </row>
    <row r="7441" spans="43:43" x14ac:dyDescent="0.2">
      <c r="AQ7441" s="31"/>
    </row>
    <row r="7442" spans="43:43" x14ac:dyDescent="0.2">
      <c r="AQ7442" s="31"/>
    </row>
    <row r="7443" spans="43:43" x14ac:dyDescent="0.2">
      <c r="AQ7443" s="31"/>
    </row>
    <row r="7444" spans="43:43" x14ac:dyDescent="0.2">
      <c r="AQ7444" s="31"/>
    </row>
    <row r="7445" spans="43:43" x14ac:dyDescent="0.2">
      <c r="AQ7445" s="31"/>
    </row>
    <row r="7446" spans="43:43" x14ac:dyDescent="0.2">
      <c r="AQ7446" s="31"/>
    </row>
    <row r="7447" spans="43:43" x14ac:dyDescent="0.2">
      <c r="AQ7447" s="31"/>
    </row>
    <row r="7448" spans="43:43" x14ac:dyDescent="0.2">
      <c r="AQ7448" s="31"/>
    </row>
    <row r="7449" spans="43:43" x14ac:dyDescent="0.2">
      <c r="AQ7449" s="31"/>
    </row>
    <row r="7450" spans="43:43" x14ac:dyDescent="0.2">
      <c r="AQ7450" s="31"/>
    </row>
    <row r="7451" spans="43:43" x14ac:dyDescent="0.2">
      <c r="AQ7451" s="31"/>
    </row>
    <row r="7452" spans="43:43" x14ac:dyDescent="0.2">
      <c r="AQ7452" s="31"/>
    </row>
    <row r="7453" spans="43:43" x14ac:dyDescent="0.2">
      <c r="AQ7453" s="31"/>
    </row>
    <row r="7454" spans="43:43" x14ac:dyDescent="0.2">
      <c r="AQ7454" s="31"/>
    </row>
    <row r="7455" spans="43:43" x14ac:dyDescent="0.2">
      <c r="AQ7455" s="31"/>
    </row>
    <row r="7456" spans="43:43" x14ac:dyDescent="0.2">
      <c r="AQ7456" s="31"/>
    </row>
    <row r="7457" spans="43:43" x14ac:dyDescent="0.2">
      <c r="AQ7457" s="31"/>
    </row>
    <row r="7458" spans="43:43" x14ac:dyDescent="0.2">
      <c r="AQ7458" s="31"/>
    </row>
    <row r="7459" spans="43:43" x14ac:dyDescent="0.2">
      <c r="AQ7459" s="31"/>
    </row>
    <row r="7460" spans="43:43" x14ac:dyDescent="0.2">
      <c r="AQ7460" s="31"/>
    </row>
    <row r="7461" spans="43:43" x14ac:dyDescent="0.2">
      <c r="AQ7461" s="31"/>
    </row>
    <row r="7462" spans="43:43" x14ac:dyDescent="0.2">
      <c r="AQ7462" s="31"/>
    </row>
    <row r="7463" spans="43:43" x14ac:dyDescent="0.2">
      <c r="AQ7463" s="31"/>
    </row>
    <row r="7464" spans="43:43" x14ac:dyDescent="0.2">
      <c r="AQ7464" s="31"/>
    </row>
    <row r="7465" spans="43:43" x14ac:dyDescent="0.2">
      <c r="AQ7465" s="31"/>
    </row>
    <row r="7466" spans="43:43" x14ac:dyDescent="0.2">
      <c r="AQ7466" s="31"/>
    </row>
    <row r="7467" spans="43:43" x14ac:dyDescent="0.2">
      <c r="AQ7467" s="31"/>
    </row>
    <row r="7468" spans="43:43" x14ac:dyDescent="0.2">
      <c r="AQ7468" s="31"/>
    </row>
    <row r="7469" spans="43:43" x14ac:dyDescent="0.2">
      <c r="AQ7469" s="31"/>
    </row>
    <row r="7470" spans="43:43" x14ac:dyDescent="0.2">
      <c r="AQ7470" s="31"/>
    </row>
    <row r="7471" spans="43:43" x14ac:dyDescent="0.2">
      <c r="AQ7471" s="31"/>
    </row>
    <row r="7472" spans="43:43" x14ac:dyDescent="0.2">
      <c r="AQ7472" s="31"/>
    </row>
    <row r="7473" spans="43:43" x14ac:dyDescent="0.2">
      <c r="AQ7473" s="31"/>
    </row>
    <row r="7474" spans="43:43" x14ac:dyDescent="0.2">
      <c r="AQ7474" s="31"/>
    </row>
    <row r="7475" spans="43:43" x14ac:dyDescent="0.2">
      <c r="AQ7475" s="31"/>
    </row>
    <row r="7476" spans="43:43" x14ac:dyDescent="0.2">
      <c r="AQ7476" s="31"/>
    </row>
    <row r="7477" spans="43:43" x14ac:dyDescent="0.2">
      <c r="AQ7477" s="31"/>
    </row>
    <row r="7478" spans="43:43" x14ac:dyDescent="0.2">
      <c r="AQ7478" s="31"/>
    </row>
    <row r="7479" spans="43:43" x14ac:dyDescent="0.2">
      <c r="AQ7479" s="31"/>
    </row>
    <row r="7480" spans="43:43" x14ac:dyDescent="0.2">
      <c r="AQ7480" s="31"/>
    </row>
    <row r="7481" spans="43:43" x14ac:dyDescent="0.2">
      <c r="AQ7481" s="31"/>
    </row>
    <row r="7482" spans="43:43" x14ac:dyDescent="0.2">
      <c r="AQ7482" s="31"/>
    </row>
    <row r="7483" spans="43:43" x14ac:dyDescent="0.2">
      <c r="AQ7483" s="31"/>
    </row>
    <row r="7484" spans="43:43" x14ac:dyDescent="0.2">
      <c r="AQ7484" s="31"/>
    </row>
    <row r="7485" spans="43:43" x14ac:dyDescent="0.2">
      <c r="AQ7485" s="31"/>
    </row>
    <row r="7486" spans="43:43" x14ac:dyDescent="0.2">
      <c r="AQ7486" s="31"/>
    </row>
    <row r="7487" spans="43:43" x14ac:dyDescent="0.2">
      <c r="AQ7487" s="31"/>
    </row>
    <row r="7488" spans="43:43" x14ac:dyDescent="0.2">
      <c r="AQ7488" s="31"/>
    </row>
    <row r="7489" spans="43:43" x14ac:dyDescent="0.2">
      <c r="AQ7489" s="31"/>
    </row>
    <row r="7490" spans="43:43" x14ac:dyDescent="0.2">
      <c r="AQ7490" s="31"/>
    </row>
    <row r="7491" spans="43:43" x14ac:dyDescent="0.2">
      <c r="AQ7491" s="31"/>
    </row>
    <row r="7492" spans="43:43" x14ac:dyDescent="0.2">
      <c r="AQ7492" s="31"/>
    </row>
    <row r="7493" spans="43:43" x14ac:dyDescent="0.2">
      <c r="AQ7493" s="31"/>
    </row>
    <row r="7494" spans="43:43" x14ac:dyDescent="0.2">
      <c r="AQ7494" s="31"/>
    </row>
    <row r="7495" spans="43:43" x14ac:dyDescent="0.2">
      <c r="AQ7495" s="31"/>
    </row>
    <row r="7496" spans="43:43" x14ac:dyDescent="0.2">
      <c r="AQ7496" s="31"/>
    </row>
    <row r="7497" spans="43:43" x14ac:dyDescent="0.2">
      <c r="AQ7497" s="31"/>
    </row>
    <row r="7498" spans="43:43" x14ac:dyDescent="0.2">
      <c r="AQ7498" s="31"/>
    </row>
    <row r="7499" spans="43:43" x14ac:dyDescent="0.2">
      <c r="AQ7499" s="31"/>
    </row>
    <row r="7500" spans="43:43" x14ac:dyDescent="0.2">
      <c r="AQ7500" s="31"/>
    </row>
    <row r="7501" spans="43:43" x14ac:dyDescent="0.2">
      <c r="AQ7501" s="31"/>
    </row>
    <row r="7502" spans="43:43" x14ac:dyDescent="0.2">
      <c r="AQ7502" s="31"/>
    </row>
    <row r="7503" spans="43:43" x14ac:dyDescent="0.2">
      <c r="AQ7503" s="31"/>
    </row>
    <row r="7504" spans="43:43" x14ac:dyDescent="0.2">
      <c r="AQ7504" s="31"/>
    </row>
    <row r="7505" spans="43:43" x14ac:dyDescent="0.2">
      <c r="AQ7505" s="31"/>
    </row>
    <row r="7506" spans="43:43" x14ac:dyDescent="0.2">
      <c r="AQ7506" s="31"/>
    </row>
    <row r="7507" spans="43:43" x14ac:dyDescent="0.2">
      <c r="AQ7507" s="31"/>
    </row>
    <row r="7508" spans="43:43" x14ac:dyDescent="0.2">
      <c r="AQ7508" s="31"/>
    </row>
    <row r="7509" spans="43:43" x14ac:dyDescent="0.2">
      <c r="AQ7509" s="31"/>
    </row>
    <row r="7510" spans="43:43" x14ac:dyDescent="0.2">
      <c r="AQ7510" s="31"/>
    </row>
    <row r="7511" spans="43:43" x14ac:dyDescent="0.2">
      <c r="AQ7511" s="31"/>
    </row>
    <row r="7512" spans="43:43" x14ac:dyDescent="0.2">
      <c r="AQ7512" s="31"/>
    </row>
    <row r="7513" spans="43:43" x14ac:dyDescent="0.2">
      <c r="AQ7513" s="31"/>
    </row>
    <row r="7514" spans="43:43" x14ac:dyDescent="0.2">
      <c r="AQ7514" s="31"/>
    </row>
    <row r="7515" spans="43:43" x14ac:dyDescent="0.2">
      <c r="AQ7515" s="31"/>
    </row>
    <row r="7516" spans="43:43" x14ac:dyDescent="0.2">
      <c r="AQ7516" s="31"/>
    </row>
    <row r="7517" spans="43:43" x14ac:dyDescent="0.2">
      <c r="AQ7517" s="31"/>
    </row>
    <row r="7518" spans="43:43" x14ac:dyDescent="0.2">
      <c r="AQ7518" s="31"/>
    </row>
    <row r="7519" spans="43:43" x14ac:dyDescent="0.2">
      <c r="AQ7519" s="31"/>
    </row>
    <row r="7520" spans="43:43" x14ac:dyDescent="0.2">
      <c r="AQ7520" s="31"/>
    </row>
    <row r="7521" spans="43:43" x14ac:dyDescent="0.2">
      <c r="AQ7521" s="31"/>
    </row>
    <row r="7522" spans="43:43" x14ac:dyDescent="0.2">
      <c r="AQ7522" s="31"/>
    </row>
    <row r="7523" spans="43:43" x14ac:dyDescent="0.2">
      <c r="AQ7523" s="31"/>
    </row>
    <row r="7524" spans="43:43" x14ac:dyDescent="0.2">
      <c r="AQ7524" s="31"/>
    </row>
    <row r="7525" spans="43:43" x14ac:dyDescent="0.2">
      <c r="AQ7525" s="31"/>
    </row>
    <row r="7526" spans="43:43" x14ac:dyDescent="0.2">
      <c r="AQ7526" s="31"/>
    </row>
    <row r="7527" spans="43:43" x14ac:dyDescent="0.2">
      <c r="AQ7527" s="31"/>
    </row>
    <row r="7528" spans="43:43" x14ac:dyDescent="0.2">
      <c r="AQ7528" s="31"/>
    </row>
    <row r="7529" spans="43:43" x14ac:dyDescent="0.2">
      <c r="AQ7529" s="31"/>
    </row>
    <row r="7530" spans="43:43" x14ac:dyDescent="0.2">
      <c r="AQ7530" s="31"/>
    </row>
    <row r="7531" spans="43:43" x14ac:dyDescent="0.2">
      <c r="AQ7531" s="31"/>
    </row>
    <row r="7532" spans="43:43" x14ac:dyDescent="0.2">
      <c r="AQ7532" s="31"/>
    </row>
    <row r="7533" spans="43:43" x14ac:dyDescent="0.2">
      <c r="AQ7533" s="31"/>
    </row>
    <row r="7534" spans="43:43" x14ac:dyDescent="0.2">
      <c r="AQ7534" s="31"/>
    </row>
    <row r="7535" spans="43:43" x14ac:dyDescent="0.2">
      <c r="AQ7535" s="31"/>
    </row>
    <row r="7536" spans="43:43" x14ac:dyDescent="0.2">
      <c r="AQ7536" s="31"/>
    </row>
    <row r="7537" spans="43:43" x14ac:dyDescent="0.2">
      <c r="AQ7537" s="31"/>
    </row>
    <row r="7538" spans="43:43" x14ac:dyDescent="0.2">
      <c r="AQ7538" s="31"/>
    </row>
    <row r="7539" spans="43:43" x14ac:dyDescent="0.2">
      <c r="AQ7539" s="31"/>
    </row>
    <row r="7540" spans="43:43" x14ac:dyDescent="0.2">
      <c r="AQ7540" s="31"/>
    </row>
    <row r="7541" spans="43:43" x14ac:dyDescent="0.2">
      <c r="AQ7541" s="31"/>
    </row>
    <row r="7542" spans="43:43" x14ac:dyDescent="0.2">
      <c r="AQ7542" s="31"/>
    </row>
    <row r="7543" spans="43:43" x14ac:dyDescent="0.2">
      <c r="AQ7543" s="31"/>
    </row>
    <row r="7544" spans="43:43" x14ac:dyDescent="0.2">
      <c r="AQ7544" s="31"/>
    </row>
    <row r="7545" spans="43:43" x14ac:dyDescent="0.2">
      <c r="AQ7545" s="31"/>
    </row>
    <row r="7546" spans="43:43" x14ac:dyDescent="0.2">
      <c r="AQ7546" s="31"/>
    </row>
    <row r="7547" spans="43:43" x14ac:dyDescent="0.2">
      <c r="AQ7547" s="31"/>
    </row>
    <row r="7548" spans="43:43" x14ac:dyDescent="0.2">
      <c r="AQ7548" s="31"/>
    </row>
    <row r="7549" spans="43:43" x14ac:dyDescent="0.2">
      <c r="AQ7549" s="31"/>
    </row>
    <row r="7550" spans="43:43" x14ac:dyDescent="0.2">
      <c r="AQ7550" s="31"/>
    </row>
    <row r="7551" spans="43:43" x14ac:dyDescent="0.2">
      <c r="AQ7551" s="31"/>
    </row>
    <row r="7552" spans="43:43" x14ac:dyDescent="0.2">
      <c r="AQ7552" s="31"/>
    </row>
    <row r="7553" spans="43:43" x14ac:dyDescent="0.2">
      <c r="AQ7553" s="31"/>
    </row>
    <row r="7554" spans="43:43" x14ac:dyDescent="0.2">
      <c r="AQ7554" s="31"/>
    </row>
    <row r="7555" spans="43:43" x14ac:dyDescent="0.2">
      <c r="AQ7555" s="31"/>
    </row>
    <row r="7556" spans="43:43" x14ac:dyDescent="0.2">
      <c r="AQ7556" s="31"/>
    </row>
    <row r="7557" spans="43:43" x14ac:dyDescent="0.2">
      <c r="AQ7557" s="31"/>
    </row>
    <row r="7558" spans="43:43" x14ac:dyDescent="0.2">
      <c r="AQ7558" s="31"/>
    </row>
    <row r="7559" spans="43:43" x14ac:dyDescent="0.2">
      <c r="AQ7559" s="31"/>
    </row>
    <row r="7560" spans="43:43" x14ac:dyDescent="0.2">
      <c r="AQ7560" s="31"/>
    </row>
    <row r="7561" spans="43:43" x14ac:dyDescent="0.2">
      <c r="AQ7561" s="31"/>
    </row>
    <row r="7562" spans="43:43" x14ac:dyDescent="0.2">
      <c r="AQ7562" s="31"/>
    </row>
    <row r="7563" spans="43:43" x14ac:dyDescent="0.2">
      <c r="AQ7563" s="31"/>
    </row>
    <row r="7564" spans="43:43" x14ac:dyDescent="0.2">
      <c r="AQ7564" s="31"/>
    </row>
    <row r="7565" spans="43:43" x14ac:dyDescent="0.2">
      <c r="AQ7565" s="31"/>
    </row>
    <row r="7566" spans="43:43" x14ac:dyDescent="0.2">
      <c r="AQ7566" s="31"/>
    </row>
    <row r="7567" spans="43:43" x14ac:dyDescent="0.2">
      <c r="AQ7567" s="31"/>
    </row>
    <row r="7568" spans="43:43" x14ac:dyDescent="0.2">
      <c r="AQ7568" s="31"/>
    </row>
    <row r="7569" spans="43:43" x14ac:dyDescent="0.2">
      <c r="AQ7569" s="31"/>
    </row>
    <row r="7570" spans="43:43" x14ac:dyDescent="0.2">
      <c r="AQ7570" s="31"/>
    </row>
    <row r="7571" spans="43:43" x14ac:dyDescent="0.2">
      <c r="AQ7571" s="31"/>
    </row>
    <row r="7572" spans="43:43" x14ac:dyDescent="0.2">
      <c r="AQ7572" s="31"/>
    </row>
    <row r="7573" spans="43:43" x14ac:dyDescent="0.2">
      <c r="AQ7573" s="31"/>
    </row>
    <row r="7574" spans="43:43" x14ac:dyDescent="0.2">
      <c r="AQ7574" s="31"/>
    </row>
    <row r="7575" spans="43:43" x14ac:dyDescent="0.2">
      <c r="AQ7575" s="31"/>
    </row>
    <row r="7576" spans="43:43" x14ac:dyDescent="0.2">
      <c r="AQ7576" s="31"/>
    </row>
    <row r="7577" spans="43:43" x14ac:dyDescent="0.2">
      <c r="AQ7577" s="31"/>
    </row>
    <row r="7578" spans="43:43" x14ac:dyDescent="0.2">
      <c r="AQ7578" s="31"/>
    </row>
    <row r="7579" spans="43:43" x14ac:dyDescent="0.2">
      <c r="AQ7579" s="31"/>
    </row>
    <row r="7580" spans="43:43" x14ac:dyDescent="0.2">
      <c r="AQ7580" s="31"/>
    </row>
    <row r="7581" spans="43:43" x14ac:dyDescent="0.2">
      <c r="AQ7581" s="31"/>
    </row>
    <row r="7582" spans="43:43" x14ac:dyDescent="0.2">
      <c r="AQ7582" s="31"/>
    </row>
    <row r="7583" spans="43:43" x14ac:dyDescent="0.2">
      <c r="AQ7583" s="31"/>
    </row>
    <row r="7584" spans="43:43" x14ac:dyDescent="0.2">
      <c r="AQ7584" s="31"/>
    </row>
    <row r="7585" spans="43:43" x14ac:dyDescent="0.2">
      <c r="AQ7585" s="31"/>
    </row>
    <row r="7586" spans="43:43" x14ac:dyDescent="0.2">
      <c r="AQ7586" s="31"/>
    </row>
    <row r="7587" spans="43:43" x14ac:dyDescent="0.2">
      <c r="AQ7587" s="31"/>
    </row>
    <row r="7588" spans="43:43" x14ac:dyDescent="0.2">
      <c r="AQ7588" s="31"/>
    </row>
    <row r="7589" spans="43:43" x14ac:dyDescent="0.2">
      <c r="AQ7589" s="31"/>
    </row>
    <row r="7590" spans="43:43" x14ac:dyDescent="0.2">
      <c r="AQ7590" s="31"/>
    </row>
    <row r="7591" spans="43:43" x14ac:dyDescent="0.2">
      <c r="AQ7591" s="31"/>
    </row>
    <row r="7592" spans="43:43" x14ac:dyDescent="0.2">
      <c r="AQ7592" s="31"/>
    </row>
    <row r="7593" spans="43:43" x14ac:dyDescent="0.2">
      <c r="AQ7593" s="31"/>
    </row>
    <row r="7594" spans="43:43" x14ac:dyDescent="0.2">
      <c r="AQ7594" s="31"/>
    </row>
    <row r="7595" spans="43:43" x14ac:dyDescent="0.2">
      <c r="AQ7595" s="31"/>
    </row>
    <row r="7596" spans="43:43" x14ac:dyDescent="0.2">
      <c r="AQ7596" s="31"/>
    </row>
    <row r="7597" spans="43:43" x14ac:dyDescent="0.2">
      <c r="AQ7597" s="31"/>
    </row>
    <row r="7598" spans="43:43" x14ac:dyDescent="0.2">
      <c r="AQ7598" s="31"/>
    </row>
    <row r="7599" spans="43:43" x14ac:dyDescent="0.2">
      <c r="AQ7599" s="31"/>
    </row>
    <row r="7600" spans="43:43" x14ac:dyDescent="0.2">
      <c r="AQ7600" s="31"/>
    </row>
    <row r="7601" spans="43:43" x14ac:dyDescent="0.2">
      <c r="AQ7601" s="31"/>
    </row>
    <row r="7602" spans="43:43" x14ac:dyDescent="0.2">
      <c r="AQ7602" s="31"/>
    </row>
    <row r="7603" spans="43:43" x14ac:dyDescent="0.2">
      <c r="AQ7603" s="31"/>
    </row>
    <row r="7604" spans="43:43" x14ac:dyDescent="0.2">
      <c r="AQ7604" s="31"/>
    </row>
    <row r="7605" spans="43:43" x14ac:dyDescent="0.2">
      <c r="AQ7605" s="31"/>
    </row>
    <row r="7606" spans="43:43" x14ac:dyDescent="0.2">
      <c r="AQ7606" s="31"/>
    </row>
    <row r="7607" spans="43:43" x14ac:dyDescent="0.2">
      <c r="AQ7607" s="31"/>
    </row>
    <row r="7608" spans="43:43" x14ac:dyDescent="0.2">
      <c r="AQ7608" s="31"/>
    </row>
    <row r="7609" spans="43:43" x14ac:dyDescent="0.2">
      <c r="AQ7609" s="31"/>
    </row>
    <row r="7610" spans="43:43" x14ac:dyDescent="0.2">
      <c r="AQ7610" s="31"/>
    </row>
    <row r="7611" spans="43:43" x14ac:dyDescent="0.2">
      <c r="AQ7611" s="31"/>
    </row>
    <row r="7612" spans="43:43" x14ac:dyDescent="0.2">
      <c r="AQ7612" s="31"/>
    </row>
    <row r="7613" spans="43:43" x14ac:dyDescent="0.2">
      <c r="AQ7613" s="31"/>
    </row>
    <row r="7614" spans="43:43" x14ac:dyDescent="0.2">
      <c r="AQ7614" s="31"/>
    </row>
    <row r="7615" spans="43:43" x14ac:dyDescent="0.2">
      <c r="AQ7615" s="31"/>
    </row>
    <row r="7616" spans="43:43" x14ac:dyDescent="0.2">
      <c r="AQ7616" s="31"/>
    </row>
    <row r="7617" spans="43:43" x14ac:dyDescent="0.2">
      <c r="AQ7617" s="31"/>
    </row>
    <row r="7618" spans="43:43" x14ac:dyDescent="0.2">
      <c r="AQ7618" s="31"/>
    </row>
    <row r="7619" spans="43:43" x14ac:dyDescent="0.2">
      <c r="AQ7619" s="31"/>
    </row>
    <row r="7620" spans="43:43" x14ac:dyDescent="0.2">
      <c r="AQ7620" s="31"/>
    </row>
    <row r="7621" spans="43:43" x14ac:dyDescent="0.2">
      <c r="AQ7621" s="31"/>
    </row>
    <row r="7622" spans="43:43" x14ac:dyDescent="0.2">
      <c r="AQ7622" s="31"/>
    </row>
    <row r="7623" spans="43:43" x14ac:dyDescent="0.2">
      <c r="AQ7623" s="31"/>
    </row>
    <row r="7624" spans="43:43" x14ac:dyDescent="0.2">
      <c r="AQ7624" s="31"/>
    </row>
    <row r="7625" spans="43:43" x14ac:dyDescent="0.2">
      <c r="AQ7625" s="31"/>
    </row>
    <row r="7626" spans="43:43" x14ac:dyDescent="0.2">
      <c r="AQ7626" s="31"/>
    </row>
    <row r="7627" spans="43:43" x14ac:dyDescent="0.2">
      <c r="AQ7627" s="31"/>
    </row>
    <row r="7628" spans="43:43" x14ac:dyDescent="0.2">
      <c r="AQ7628" s="31"/>
    </row>
    <row r="7629" spans="43:43" x14ac:dyDescent="0.2">
      <c r="AQ7629" s="31"/>
    </row>
    <row r="7630" spans="43:43" x14ac:dyDescent="0.2">
      <c r="AQ7630" s="31"/>
    </row>
    <row r="7631" spans="43:43" x14ac:dyDescent="0.2">
      <c r="AQ7631" s="31"/>
    </row>
    <row r="7632" spans="43:43" x14ac:dyDescent="0.2">
      <c r="AQ7632" s="31"/>
    </row>
    <row r="7633" spans="43:43" x14ac:dyDescent="0.2">
      <c r="AQ7633" s="31"/>
    </row>
    <row r="7634" spans="43:43" x14ac:dyDescent="0.2">
      <c r="AQ7634" s="31"/>
    </row>
    <row r="7635" spans="43:43" x14ac:dyDescent="0.2">
      <c r="AQ7635" s="31"/>
    </row>
    <row r="7636" spans="43:43" x14ac:dyDescent="0.2">
      <c r="AQ7636" s="31"/>
    </row>
    <row r="7637" spans="43:43" x14ac:dyDescent="0.2">
      <c r="AQ7637" s="31"/>
    </row>
    <row r="7638" spans="43:43" x14ac:dyDescent="0.2">
      <c r="AQ7638" s="31"/>
    </row>
    <row r="7639" spans="43:43" x14ac:dyDescent="0.2">
      <c r="AQ7639" s="31"/>
    </row>
    <row r="7640" spans="43:43" x14ac:dyDescent="0.2">
      <c r="AQ7640" s="31"/>
    </row>
    <row r="7641" spans="43:43" x14ac:dyDescent="0.2">
      <c r="AQ7641" s="31"/>
    </row>
    <row r="7642" spans="43:43" x14ac:dyDescent="0.2">
      <c r="AQ7642" s="31"/>
    </row>
    <row r="7643" spans="43:43" x14ac:dyDescent="0.2">
      <c r="AQ7643" s="31"/>
    </row>
    <row r="7644" spans="43:43" x14ac:dyDescent="0.2">
      <c r="AQ7644" s="31"/>
    </row>
    <row r="7645" spans="43:43" x14ac:dyDescent="0.2">
      <c r="AQ7645" s="31"/>
    </row>
    <row r="7646" spans="43:43" x14ac:dyDescent="0.2">
      <c r="AQ7646" s="31"/>
    </row>
    <row r="7647" spans="43:43" x14ac:dyDescent="0.2">
      <c r="AQ7647" s="31"/>
    </row>
    <row r="7648" spans="43:43" x14ac:dyDescent="0.2">
      <c r="AQ7648" s="31"/>
    </row>
    <row r="7649" spans="43:43" x14ac:dyDescent="0.2">
      <c r="AQ7649" s="31"/>
    </row>
    <row r="7650" spans="43:43" x14ac:dyDescent="0.2">
      <c r="AQ7650" s="31"/>
    </row>
    <row r="7651" spans="43:43" x14ac:dyDescent="0.2">
      <c r="AQ7651" s="31"/>
    </row>
    <row r="7652" spans="43:43" x14ac:dyDescent="0.2">
      <c r="AQ7652" s="31"/>
    </row>
    <row r="7653" spans="43:43" x14ac:dyDescent="0.2">
      <c r="AQ7653" s="31"/>
    </row>
    <row r="7654" spans="43:43" x14ac:dyDescent="0.2">
      <c r="AQ7654" s="31"/>
    </row>
    <row r="7655" spans="43:43" x14ac:dyDescent="0.2">
      <c r="AQ7655" s="31"/>
    </row>
    <row r="7656" spans="43:43" x14ac:dyDescent="0.2">
      <c r="AQ7656" s="31"/>
    </row>
    <row r="7657" spans="43:43" x14ac:dyDescent="0.2">
      <c r="AQ7657" s="31"/>
    </row>
    <row r="7658" spans="43:43" x14ac:dyDescent="0.2">
      <c r="AQ7658" s="31"/>
    </row>
    <row r="7659" spans="43:43" x14ac:dyDescent="0.2">
      <c r="AQ7659" s="31"/>
    </row>
    <row r="7660" spans="43:43" x14ac:dyDescent="0.2">
      <c r="AQ7660" s="31"/>
    </row>
    <row r="7661" spans="43:43" x14ac:dyDescent="0.2">
      <c r="AQ7661" s="31"/>
    </row>
    <row r="7662" spans="43:43" x14ac:dyDescent="0.2">
      <c r="AQ7662" s="31"/>
    </row>
    <row r="7663" spans="43:43" x14ac:dyDescent="0.2">
      <c r="AQ7663" s="31"/>
    </row>
    <row r="7664" spans="43:43" x14ac:dyDescent="0.2">
      <c r="AQ7664" s="31"/>
    </row>
    <row r="7665" spans="43:43" x14ac:dyDescent="0.2">
      <c r="AQ7665" s="31"/>
    </row>
    <row r="7666" spans="43:43" x14ac:dyDescent="0.2">
      <c r="AQ7666" s="31"/>
    </row>
    <row r="7667" spans="43:43" x14ac:dyDescent="0.2">
      <c r="AQ7667" s="31"/>
    </row>
    <row r="7668" spans="43:43" x14ac:dyDescent="0.2">
      <c r="AQ7668" s="31"/>
    </row>
    <row r="7669" spans="43:43" x14ac:dyDescent="0.2">
      <c r="AQ7669" s="31"/>
    </row>
    <row r="7670" spans="43:43" x14ac:dyDescent="0.2">
      <c r="AQ7670" s="31"/>
    </row>
    <row r="7671" spans="43:43" x14ac:dyDescent="0.2">
      <c r="AQ7671" s="31"/>
    </row>
    <row r="7672" spans="43:43" x14ac:dyDescent="0.2">
      <c r="AQ7672" s="31"/>
    </row>
    <row r="7673" spans="43:43" x14ac:dyDescent="0.2">
      <c r="AQ7673" s="31"/>
    </row>
    <row r="7674" spans="43:43" x14ac:dyDescent="0.2">
      <c r="AQ7674" s="31"/>
    </row>
    <row r="7675" spans="43:43" x14ac:dyDescent="0.2">
      <c r="AQ7675" s="31"/>
    </row>
    <row r="7676" spans="43:43" x14ac:dyDescent="0.2">
      <c r="AQ7676" s="31"/>
    </row>
    <row r="7677" spans="43:43" x14ac:dyDescent="0.2">
      <c r="AQ7677" s="31"/>
    </row>
    <row r="7678" spans="43:43" x14ac:dyDescent="0.2">
      <c r="AQ7678" s="31"/>
    </row>
    <row r="7679" spans="43:43" x14ac:dyDescent="0.2">
      <c r="AQ7679" s="31"/>
    </row>
    <row r="7680" spans="43:43" x14ac:dyDescent="0.2">
      <c r="AQ7680" s="31"/>
    </row>
    <row r="7681" spans="43:43" x14ac:dyDescent="0.2">
      <c r="AQ7681" s="31"/>
    </row>
    <row r="7682" spans="43:43" x14ac:dyDescent="0.2">
      <c r="AQ7682" s="31"/>
    </row>
    <row r="7683" spans="43:43" x14ac:dyDescent="0.2">
      <c r="AQ7683" s="31"/>
    </row>
    <row r="7684" spans="43:43" x14ac:dyDescent="0.2">
      <c r="AQ7684" s="31"/>
    </row>
    <row r="7685" spans="43:43" x14ac:dyDescent="0.2">
      <c r="AQ7685" s="31"/>
    </row>
    <row r="7686" spans="43:43" x14ac:dyDescent="0.2">
      <c r="AQ7686" s="31"/>
    </row>
    <row r="7687" spans="43:43" x14ac:dyDescent="0.2">
      <c r="AQ7687" s="31"/>
    </row>
    <row r="7688" spans="43:43" x14ac:dyDescent="0.2">
      <c r="AQ7688" s="31"/>
    </row>
    <row r="7689" spans="43:43" x14ac:dyDescent="0.2">
      <c r="AQ7689" s="31"/>
    </row>
    <row r="7690" spans="43:43" x14ac:dyDescent="0.2">
      <c r="AQ7690" s="31"/>
    </row>
    <row r="7691" spans="43:43" x14ac:dyDescent="0.2">
      <c r="AQ7691" s="31"/>
    </row>
    <row r="7692" spans="43:43" x14ac:dyDescent="0.2">
      <c r="AQ7692" s="31"/>
    </row>
    <row r="7693" spans="43:43" x14ac:dyDescent="0.2">
      <c r="AQ7693" s="31"/>
    </row>
    <row r="7694" spans="43:43" x14ac:dyDescent="0.2">
      <c r="AQ7694" s="31"/>
    </row>
    <row r="7695" spans="43:43" x14ac:dyDescent="0.2">
      <c r="AQ7695" s="31"/>
    </row>
    <row r="7696" spans="43:43" x14ac:dyDescent="0.2">
      <c r="AQ7696" s="31"/>
    </row>
    <row r="7697" spans="43:43" x14ac:dyDescent="0.2">
      <c r="AQ7697" s="31"/>
    </row>
    <row r="7698" spans="43:43" x14ac:dyDescent="0.2">
      <c r="AQ7698" s="31"/>
    </row>
    <row r="7699" spans="43:43" x14ac:dyDescent="0.2">
      <c r="AQ7699" s="31"/>
    </row>
    <row r="7700" spans="43:43" x14ac:dyDescent="0.2">
      <c r="AQ7700" s="31"/>
    </row>
    <row r="7701" spans="43:43" x14ac:dyDescent="0.2">
      <c r="AQ7701" s="31"/>
    </row>
    <row r="7702" spans="43:43" x14ac:dyDescent="0.2">
      <c r="AQ7702" s="31"/>
    </row>
    <row r="7703" spans="43:43" x14ac:dyDescent="0.2">
      <c r="AQ7703" s="31"/>
    </row>
    <row r="7704" spans="43:43" x14ac:dyDescent="0.2">
      <c r="AQ7704" s="31"/>
    </row>
    <row r="7705" spans="43:43" x14ac:dyDescent="0.2">
      <c r="AQ7705" s="31"/>
    </row>
    <row r="7706" spans="43:43" x14ac:dyDescent="0.2">
      <c r="AQ7706" s="31"/>
    </row>
    <row r="7707" spans="43:43" x14ac:dyDescent="0.2">
      <c r="AQ7707" s="31"/>
    </row>
    <row r="7708" spans="43:43" x14ac:dyDescent="0.2">
      <c r="AQ7708" s="31"/>
    </row>
    <row r="7709" spans="43:43" x14ac:dyDescent="0.2">
      <c r="AQ7709" s="31"/>
    </row>
    <row r="7710" spans="43:43" x14ac:dyDescent="0.2">
      <c r="AQ7710" s="31"/>
    </row>
    <row r="7711" spans="43:43" x14ac:dyDescent="0.2">
      <c r="AQ7711" s="31"/>
    </row>
    <row r="7712" spans="43:43" x14ac:dyDescent="0.2">
      <c r="AQ7712" s="31"/>
    </row>
    <row r="7713" spans="43:43" x14ac:dyDescent="0.2">
      <c r="AQ7713" s="31"/>
    </row>
    <row r="7714" spans="43:43" x14ac:dyDescent="0.2">
      <c r="AQ7714" s="31"/>
    </row>
    <row r="7715" spans="43:43" x14ac:dyDescent="0.2">
      <c r="AQ7715" s="31"/>
    </row>
    <row r="7716" spans="43:43" x14ac:dyDescent="0.2">
      <c r="AQ7716" s="31"/>
    </row>
    <row r="7717" spans="43:43" x14ac:dyDescent="0.2">
      <c r="AQ7717" s="31"/>
    </row>
    <row r="7718" spans="43:43" x14ac:dyDescent="0.2">
      <c r="AQ7718" s="31"/>
    </row>
    <row r="7719" spans="43:43" x14ac:dyDescent="0.2">
      <c r="AQ7719" s="31"/>
    </row>
    <row r="7720" spans="43:43" x14ac:dyDescent="0.2">
      <c r="AQ7720" s="31"/>
    </row>
    <row r="7721" spans="43:43" x14ac:dyDescent="0.2">
      <c r="AQ7721" s="31"/>
    </row>
    <row r="7722" spans="43:43" x14ac:dyDescent="0.2">
      <c r="AQ7722" s="31"/>
    </row>
    <row r="7723" spans="43:43" x14ac:dyDescent="0.2">
      <c r="AQ7723" s="31"/>
    </row>
    <row r="7724" spans="43:43" x14ac:dyDescent="0.2">
      <c r="AQ7724" s="31"/>
    </row>
    <row r="7725" spans="43:43" x14ac:dyDescent="0.2">
      <c r="AQ7725" s="31"/>
    </row>
    <row r="7726" spans="43:43" x14ac:dyDescent="0.2">
      <c r="AQ7726" s="31"/>
    </row>
    <row r="7727" spans="43:43" x14ac:dyDescent="0.2">
      <c r="AQ7727" s="31"/>
    </row>
    <row r="7728" spans="43:43" x14ac:dyDescent="0.2">
      <c r="AQ7728" s="31"/>
    </row>
    <row r="7729" spans="43:43" x14ac:dyDescent="0.2">
      <c r="AQ7729" s="31"/>
    </row>
    <row r="7730" spans="43:43" x14ac:dyDescent="0.2">
      <c r="AQ7730" s="31"/>
    </row>
    <row r="7731" spans="43:43" x14ac:dyDescent="0.2">
      <c r="AQ7731" s="31"/>
    </row>
    <row r="7732" spans="43:43" x14ac:dyDescent="0.2">
      <c r="AQ7732" s="31"/>
    </row>
    <row r="7733" spans="43:43" x14ac:dyDescent="0.2">
      <c r="AQ7733" s="31"/>
    </row>
    <row r="7734" spans="43:43" x14ac:dyDescent="0.2">
      <c r="AQ7734" s="31"/>
    </row>
    <row r="7735" spans="43:43" x14ac:dyDescent="0.2">
      <c r="AQ7735" s="31"/>
    </row>
    <row r="7736" spans="43:43" x14ac:dyDescent="0.2">
      <c r="AQ7736" s="31"/>
    </row>
    <row r="7737" spans="43:43" x14ac:dyDescent="0.2">
      <c r="AQ7737" s="31"/>
    </row>
    <row r="7738" spans="43:43" x14ac:dyDescent="0.2">
      <c r="AQ7738" s="31"/>
    </row>
    <row r="7739" spans="43:43" x14ac:dyDescent="0.2">
      <c r="AQ7739" s="31"/>
    </row>
    <row r="7740" spans="43:43" x14ac:dyDescent="0.2">
      <c r="AQ7740" s="31"/>
    </row>
    <row r="7741" spans="43:43" x14ac:dyDescent="0.2">
      <c r="AQ7741" s="31"/>
    </row>
    <row r="7742" spans="43:43" x14ac:dyDescent="0.2">
      <c r="AQ7742" s="31"/>
    </row>
    <row r="7743" spans="43:43" x14ac:dyDescent="0.2">
      <c r="AQ7743" s="31"/>
    </row>
    <row r="7744" spans="43:43" x14ac:dyDescent="0.2">
      <c r="AQ7744" s="31"/>
    </row>
    <row r="7745" spans="43:43" x14ac:dyDescent="0.2">
      <c r="AQ7745" s="31"/>
    </row>
    <row r="7746" spans="43:43" x14ac:dyDescent="0.2">
      <c r="AQ7746" s="31"/>
    </row>
    <row r="7747" spans="43:43" x14ac:dyDescent="0.2">
      <c r="AQ7747" s="31"/>
    </row>
    <row r="7748" spans="43:43" x14ac:dyDescent="0.2">
      <c r="AQ7748" s="31"/>
    </row>
    <row r="7749" spans="43:43" x14ac:dyDescent="0.2">
      <c r="AQ7749" s="31"/>
    </row>
    <row r="7750" spans="43:43" x14ac:dyDescent="0.2">
      <c r="AQ7750" s="31"/>
    </row>
    <row r="7751" spans="43:43" x14ac:dyDescent="0.2">
      <c r="AQ7751" s="31"/>
    </row>
    <row r="7752" spans="43:43" x14ac:dyDescent="0.2">
      <c r="AQ7752" s="31"/>
    </row>
    <row r="7753" spans="43:43" x14ac:dyDescent="0.2">
      <c r="AQ7753" s="31"/>
    </row>
    <row r="7754" spans="43:43" x14ac:dyDescent="0.2">
      <c r="AQ7754" s="31"/>
    </row>
    <row r="7755" spans="43:43" x14ac:dyDescent="0.2">
      <c r="AQ7755" s="31"/>
    </row>
    <row r="7756" spans="43:43" x14ac:dyDescent="0.2">
      <c r="AQ7756" s="31"/>
    </row>
    <row r="7757" spans="43:43" x14ac:dyDescent="0.2">
      <c r="AQ7757" s="31"/>
    </row>
    <row r="7758" spans="43:43" x14ac:dyDescent="0.2">
      <c r="AQ7758" s="31"/>
    </row>
    <row r="7759" spans="43:43" x14ac:dyDescent="0.2">
      <c r="AQ7759" s="31"/>
    </row>
    <row r="7760" spans="43:43" x14ac:dyDescent="0.2">
      <c r="AQ7760" s="31"/>
    </row>
    <row r="7761" spans="43:43" x14ac:dyDescent="0.2">
      <c r="AQ7761" s="31"/>
    </row>
    <row r="7762" spans="43:43" x14ac:dyDescent="0.2">
      <c r="AQ7762" s="31"/>
    </row>
    <row r="7763" spans="43:43" x14ac:dyDescent="0.2">
      <c r="AQ7763" s="31"/>
    </row>
    <row r="7764" spans="43:43" x14ac:dyDescent="0.2">
      <c r="AQ7764" s="31"/>
    </row>
    <row r="7765" spans="43:43" x14ac:dyDescent="0.2">
      <c r="AQ7765" s="31"/>
    </row>
    <row r="7766" spans="43:43" x14ac:dyDescent="0.2">
      <c r="AQ7766" s="31"/>
    </row>
    <row r="7767" spans="43:43" x14ac:dyDescent="0.2">
      <c r="AQ7767" s="31"/>
    </row>
    <row r="7768" spans="43:43" x14ac:dyDescent="0.2">
      <c r="AQ7768" s="31"/>
    </row>
    <row r="7769" spans="43:43" x14ac:dyDescent="0.2">
      <c r="AQ7769" s="31"/>
    </row>
    <row r="7770" spans="43:43" x14ac:dyDescent="0.2">
      <c r="AQ7770" s="31"/>
    </row>
    <row r="7771" spans="43:43" x14ac:dyDescent="0.2">
      <c r="AQ7771" s="31"/>
    </row>
    <row r="7772" spans="43:43" x14ac:dyDescent="0.2">
      <c r="AQ7772" s="31"/>
    </row>
    <row r="7773" spans="43:43" x14ac:dyDescent="0.2">
      <c r="AQ7773" s="31"/>
    </row>
    <row r="7774" spans="43:43" x14ac:dyDescent="0.2">
      <c r="AQ7774" s="31"/>
    </row>
    <row r="7775" spans="43:43" x14ac:dyDescent="0.2">
      <c r="AQ7775" s="31"/>
    </row>
    <row r="7776" spans="43:43" x14ac:dyDescent="0.2">
      <c r="AQ7776" s="31"/>
    </row>
    <row r="7777" spans="43:43" x14ac:dyDescent="0.2">
      <c r="AQ7777" s="31"/>
    </row>
    <row r="7778" spans="43:43" x14ac:dyDescent="0.2">
      <c r="AQ7778" s="31"/>
    </row>
    <row r="7779" spans="43:43" x14ac:dyDescent="0.2">
      <c r="AQ7779" s="31"/>
    </row>
    <row r="7780" spans="43:43" x14ac:dyDescent="0.2">
      <c r="AQ7780" s="31"/>
    </row>
    <row r="7781" spans="43:43" x14ac:dyDescent="0.2">
      <c r="AQ7781" s="31"/>
    </row>
    <row r="7782" spans="43:43" x14ac:dyDescent="0.2">
      <c r="AQ7782" s="31"/>
    </row>
    <row r="7783" spans="43:43" x14ac:dyDescent="0.2">
      <c r="AQ7783" s="31"/>
    </row>
    <row r="7784" spans="43:43" x14ac:dyDescent="0.2">
      <c r="AQ7784" s="31"/>
    </row>
    <row r="7785" spans="43:43" x14ac:dyDescent="0.2">
      <c r="AQ7785" s="31"/>
    </row>
    <row r="7786" spans="43:43" x14ac:dyDescent="0.2">
      <c r="AQ7786" s="31"/>
    </row>
    <row r="7787" spans="43:43" x14ac:dyDescent="0.2">
      <c r="AQ7787" s="31"/>
    </row>
    <row r="7788" spans="43:43" x14ac:dyDescent="0.2">
      <c r="AQ7788" s="31"/>
    </row>
    <row r="7789" spans="43:43" x14ac:dyDescent="0.2">
      <c r="AQ7789" s="31"/>
    </row>
    <row r="7790" spans="43:43" x14ac:dyDescent="0.2">
      <c r="AQ7790" s="31"/>
    </row>
    <row r="7791" spans="43:43" x14ac:dyDescent="0.2">
      <c r="AQ7791" s="31"/>
    </row>
    <row r="7792" spans="43:43" x14ac:dyDescent="0.2">
      <c r="AQ7792" s="31"/>
    </row>
    <row r="7793" spans="43:43" x14ac:dyDescent="0.2">
      <c r="AQ7793" s="31"/>
    </row>
    <row r="7794" spans="43:43" x14ac:dyDescent="0.2">
      <c r="AQ7794" s="31"/>
    </row>
    <row r="7795" spans="43:43" x14ac:dyDescent="0.2">
      <c r="AQ7795" s="31"/>
    </row>
    <row r="7796" spans="43:43" x14ac:dyDescent="0.2">
      <c r="AQ7796" s="31"/>
    </row>
    <row r="7797" spans="43:43" x14ac:dyDescent="0.2">
      <c r="AQ7797" s="31"/>
    </row>
    <row r="7798" spans="43:43" x14ac:dyDescent="0.2">
      <c r="AQ7798" s="31"/>
    </row>
    <row r="7799" spans="43:43" x14ac:dyDescent="0.2">
      <c r="AQ7799" s="31"/>
    </row>
    <row r="7800" spans="43:43" x14ac:dyDescent="0.2">
      <c r="AQ7800" s="31"/>
    </row>
    <row r="7801" spans="43:43" x14ac:dyDescent="0.2">
      <c r="AQ7801" s="31"/>
    </row>
    <row r="7802" spans="43:43" x14ac:dyDescent="0.2">
      <c r="AQ7802" s="31"/>
    </row>
    <row r="7803" spans="43:43" x14ac:dyDescent="0.2">
      <c r="AQ7803" s="31"/>
    </row>
    <row r="7804" spans="43:43" x14ac:dyDescent="0.2">
      <c r="AQ7804" s="31"/>
    </row>
    <row r="7805" spans="43:43" x14ac:dyDescent="0.2">
      <c r="AQ7805" s="31"/>
    </row>
    <row r="7806" spans="43:43" x14ac:dyDescent="0.2">
      <c r="AQ7806" s="31"/>
    </row>
    <row r="7807" spans="43:43" x14ac:dyDescent="0.2">
      <c r="AQ7807" s="31"/>
    </row>
    <row r="7808" spans="43:43" x14ac:dyDescent="0.2">
      <c r="AQ7808" s="31"/>
    </row>
    <row r="7809" spans="43:43" x14ac:dyDescent="0.2">
      <c r="AQ7809" s="31"/>
    </row>
    <row r="7810" spans="43:43" x14ac:dyDescent="0.2">
      <c r="AQ7810" s="31"/>
    </row>
    <row r="7811" spans="43:43" x14ac:dyDescent="0.2">
      <c r="AQ7811" s="31"/>
    </row>
    <row r="7812" spans="43:43" x14ac:dyDescent="0.2">
      <c r="AQ7812" s="31"/>
    </row>
    <row r="7813" spans="43:43" x14ac:dyDescent="0.2">
      <c r="AQ7813" s="31"/>
    </row>
    <row r="7814" spans="43:43" x14ac:dyDescent="0.2">
      <c r="AQ7814" s="31"/>
    </row>
    <row r="7815" spans="43:43" x14ac:dyDescent="0.2">
      <c r="AQ7815" s="31"/>
    </row>
    <row r="7816" spans="43:43" x14ac:dyDescent="0.2">
      <c r="AQ7816" s="31"/>
    </row>
    <row r="7817" spans="43:43" x14ac:dyDescent="0.2">
      <c r="AQ7817" s="31"/>
    </row>
    <row r="7818" spans="43:43" x14ac:dyDescent="0.2">
      <c r="AQ7818" s="31"/>
    </row>
    <row r="7819" spans="43:43" x14ac:dyDescent="0.2">
      <c r="AQ7819" s="31"/>
    </row>
    <row r="7820" spans="43:43" x14ac:dyDescent="0.2">
      <c r="AQ7820" s="31"/>
    </row>
    <row r="7821" spans="43:43" x14ac:dyDescent="0.2">
      <c r="AQ7821" s="31"/>
    </row>
    <row r="7822" spans="43:43" x14ac:dyDescent="0.2">
      <c r="AQ7822" s="31"/>
    </row>
    <row r="7823" spans="43:43" x14ac:dyDescent="0.2">
      <c r="AQ7823" s="31"/>
    </row>
    <row r="7824" spans="43:43" x14ac:dyDescent="0.2">
      <c r="AQ7824" s="31"/>
    </row>
    <row r="7825" spans="43:43" x14ac:dyDescent="0.2">
      <c r="AQ7825" s="31"/>
    </row>
    <row r="7826" spans="43:43" x14ac:dyDescent="0.2">
      <c r="AQ7826" s="31"/>
    </row>
    <row r="7827" spans="43:43" x14ac:dyDescent="0.2">
      <c r="AQ7827" s="31"/>
    </row>
    <row r="7828" spans="43:43" x14ac:dyDescent="0.2">
      <c r="AQ7828" s="31"/>
    </row>
    <row r="7829" spans="43:43" x14ac:dyDescent="0.2">
      <c r="AQ7829" s="31"/>
    </row>
    <row r="7830" spans="43:43" x14ac:dyDescent="0.2">
      <c r="AQ7830" s="31"/>
    </row>
    <row r="7831" spans="43:43" x14ac:dyDescent="0.2">
      <c r="AQ7831" s="31"/>
    </row>
    <row r="7832" spans="43:43" x14ac:dyDescent="0.2">
      <c r="AQ7832" s="31"/>
    </row>
    <row r="7833" spans="43:43" x14ac:dyDescent="0.2">
      <c r="AQ7833" s="31"/>
    </row>
    <row r="7834" spans="43:43" x14ac:dyDescent="0.2">
      <c r="AQ7834" s="31"/>
    </row>
    <row r="7835" spans="43:43" x14ac:dyDescent="0.2">
      <c r="AQ7835" s="31"/>
    </row>
    <row r="7836" spans="43:43" x14ac:dyDescent="0.2">
      <c r="AQ7836" s="31"/>
    </row>
    <row r="7837" spans="43:43" x14ac:dyDescent="0.2">
      <c r="AQ7837" s="31"/>
    </row>
    <row r="7838" spans="43:43" x14ac:dyDescent="0.2">
      <c r="AQ7838" s="31"/>
    </row>
    <row r="7839" spans="43:43" x14ac:dyDescent="0.2">
      <c r="AQ7839" s="31"/>
    </row>
    <row r="7840" spans="43:43" x14ac:dyDescent="0.2">
      <c r="AQ7840" s="31"/>
    </row>
    <row r="7841" spans="43:43" x14ac:dyDescent="0.2">
      <c r="AQ7841" s="31"/>
    </row>
    <row r="7842" spans="43:43" x14ac:dyDescent="0.2">
      <c r="AQ7842" s="31"/>
    </row>
    <row r="7843" spans="43:43" x14ac:dyDescent="0.2">
      <c r="AQ7843" s="31"/>
    </row>
    <row r="7844" spans="43:43" x14ac:dyDescent="0.2">
      <c r="AQ7844" s="31"/>
    </row>
    <row r="7845" spans="43:43" x14ac:dyDescent="0.2">
      <c r="AQ7845" s="31"/>
    </row>
    <row r="7846" spans="43:43" x14ac:dyDescent="0.2">
      <c r="AQ7846" s="31"/>
    </row>
    <row r="7847" spans="43:43" x14ac:dyDescent="0.2">
      <c r="AQ7847" s="31"/>
    </row>
    <row r="7848" spans="43:43" x14ac:dyDescent="0.2">
      <c r="AQ7848" s="31"/>
    </row>
    <row r="7849" spans="43:43" x14ac:dyDescent="0.2">
      <c r="AQ7849" s="31"/>
    </row>
    <row r="7850" spans="43:43" x14ac:dyDescent="0.2">
      <c r="AQ7850" s="31"/>
    </row>
    <row r="7851" spans="43:43" x14ac:dyDescent="0.2">
      <c r="AQ7851" s="31"/>
    </row>
    <row r="7852" spans="43:43" x14ac:dyDescent="0.2">
      <c r="AQ7852" s="31"/>
    </row>
    <row r="7853" spans="43:43" x14ac:dyDescent="0.2">
      <c r="AQ7853" s="31"/>
    </row>
    <row r="7854" spans="43:43" x14ac:dyDescent="0.2">
      <c r="AQ7854" s="31"/>
    </row>
    <row r="7855" spans="43:43" x14ac:dyDescent="0.2">
      <c r="AQ7855" s="31"/>
    </row>
    <row r="7856" spans="43:43" x14ac:dyDescent="0.2">
      <c r="AQ7856" s="31"/>
    </row>
    <row r="7857" spans="43:43" x14ac:dyDescent="0.2">
      <c r="AQ7857" s="31"/>
    </row>
    <row r="7858" spans="43:43" x14ac:dyDescent="0.2">
      <c r="AQ7858" s="31"/>
    </row>
    <row r="7859" spans="43:43" x14ac:dyDescent="0.2">
      <c r="AQ7859" s="31"/>
    </row>
    <row r="7860" spans="43:43" x14ac:dyDescent="0.2">
      <c r="AQ7860" s="31"/>
    </row>
    <row r="7861" spans="43:43" x14ac:dyDescent="0.2">
      <c r="AQ7861" s="31"/>
    </row>
    <row r="7862" spans="43:43" x14ac:dyDescent="0.2">
      <c r="AQ7862" s="31"/>
    </row>
    <row r="7863" spans="43:43" x14ac:dyDescent="0.2">
      <c r="AQ7863" s="31"/>
    </row>
    <row r="7864" spans="43:43" x14ac:dyDescent="0.2">
      <c r="AQ7864" s="31"/>
    </row>
    <row r="7865" spans="43:43" x14ac:dyDescent="0.2">
      <c r="AQ7865" s="31"/>
    </row>
    <row r="7866" spans="43:43" x14ac:dyDescent="0.2">
      <c r="AQ7866" s="31"/>
    </row>
    <row r="7867" spans="43:43" x14ac:dyDescent="0.2">
      <c r="AQ7867" s="31"/>
    </row>
    <row r="7868" spans="43:43" x14ac:dyDescent="0.2">
      <c r="AQ7868" s="31"/>
    </row>
    <row r="7869" spans="43:43" x14ac:dyDescent="0.2">
      <c r="AQ7869" s="31"/>
    </row>
    <row r="7870" spans="43:43" x14ac:dyDescent="0.2">
      <c r="AQ7870" s="31"/>
    </row>
    <row r="7871" spans="43:43" x14ac:dyDescent="0.2">
      <c r="AQ7871" s="31"/>
    </row>
    <row r="7872" spans="43:43" x14ac:dyDescent="0.2">
      <c r="AQ7872" s="31"/>
    </row>
    <row r="7873" spans="43:43" x14ac:dyDescent="0.2">
      <c r="AQ7873" s="31"/>
    </row>
    <row r="7874" spans="43:43" x14ac:dyDescent="0.2">
      <c r="AQ7874" s="31"/>
    </row>
    <row r="7875" spans="43:43" x14ac:dyDescent="0.2">
      <c r="AQ7875" s="31"/>
    </row>
    <row r="7876" spans="43:43" x14ac:dyDescent="0.2">
      <c r="AQ7876" s="31"/>
    </row>
    <row r="7877" spans="43:43" x14ac:dyDescent="0.2">
      <c r="AQ7877" s="31"/>
    </row>
    <row r="7878" spans="43:43" x14ac:dyDescent="0.2">
      <c r="AQ7878" s="31"/>
    </row>
    <row r="7879" spans="43:43" x14ac:dyDescent="0.2">
      <c r="AQ7879" s="31"/>
    </row>
    <row r="7880" spans="43:43" x14ac:dyDescent="0.2">
      <c r="AQ7880" s="31"/>
    </row>
    <row r="7881" spans="43:43" x14ac:dyDescent="0.2">
      <c r="AQ7881" s="31"/>
    </row>
    <row r="7882" spans="43:43" x14ac:dyDescent="0.2">
      <c r="AQ7882" s="31"/>
    </row>
    <row r="7883" spans="43:43" x14ac:dyDescent="0.2">
      <c r="AQ7883" s="31"/>
    </row>
    <row r="7884" spans="43:43" x14ac:dyDescent="0.2">
      <c r="AQ7884" s="31"/>
    </row>
    <row r="7885" spans="43:43" x14ac:dyDescent="0.2">
      <c r="AQ7885" s="31"/>
    </row>
    <row r="7886" spans="43:43" x14ac:dyDescent="0.2">
      <c r="AQ7886" s="31"/>
    </row>
    <row r="7887" spans="43:43" x14ac:dyDescent="0.2">
      <c r="AQ7887" s="31"/>
    </row>
    <row r="7888" spans="43:43" x14ac:dyDescent="0.2">
      <c r="AQ7888" s="31"/>
    </row>
    <row r="7889" spans="43:43" x14ac:dyDescent="0.2">
      <c r="AQ7889" s="31"/>
    </row>
    <row r="7890" spans="43:43" x14ac:dyDescent="0.2">
      <c r="AQ7890" s="31"/>
    </row>
    <row r="7891" spans="43:43" x14ac:dyDescent="0.2">
      <c r="AQ7891" s="31"/>
    </row>
    <row r="7892" spans="43:43" x14ac:dyDescent="0.2">
      <c r="AQ7892" s="31"/>
    </row>
    <row r="7893" spans="43:43" x14ac:dyDescent="0.2">
      <c r="AQ7893" s="31"/>
    </row>
    <row r="7894" spans="43:43" x14ac:dyDescent="0.2">
      <c r="AQ7894" s="31"/>
    </row>
    <row r="7895" spans="43:43" x14ac:dyDescent="0.2">
      <c r="AQ7895" s="31"/>
    </row>
    <row r="7896" spans="43:43" x14ac:dyDescent="0.2">
      <c r="AQ7896" s="31"/>
    </row>
    <row r="7897" spans="43:43" x14ac:dyDescent="0.2">
      <c r="AQ7897" s="31"/>
    </row>
    <row r="7898" spans="43:43" x14ac:dyDescent="0.2">
      <c r="AQ7898" s="31"/>
    </row>
    <row r="7899" spans="43:43" x14ac:dyDescent="0.2">
      <c r="AQ7899" s="31"/>
    </row>
    <row r="7900" spans="43:43" x14ac:dyDescent="0.2">
      <c r="AQ7900" s="31"/>
    </row>
    <row r="7901" spans="43:43" x14ac:dyDescent="0.2">
      <c r="AQ7901" s="31"/>
    </row>
    <row r="7902" spans="43:43" x14ac:dyDescent="0.2">
      <c r="AQ7902" s="31"/>
    </row>
    <row r="7903" spans="43:43" x14ac:dyDescent="0.2">
      <c r="AQ7903" s="31"/>
    </row>
    <row r="7904" spans="43:43" x14ac:dyDescent="0.2">
      <c r="AQ7904" s="31"/>
    </row>
    <row r="7905" spans="43:43" x14ac:dyDescent="0.2">
      <c r="AQ7905" s="31"/>
    </row>
    <row r="7906" spans="43:43" x14ac:dyDescent="0.2">
      <c r="AQ7906" s="31"/>
    </row>
    <row r="7907" spans="43:43" x14ac:dyDescent="0.2">
      <c r="AQ7907" s="31"/>
    </row>
    <row r="7908" spans="43:43" x14ac:dyDescent="0.2">
      <c r="AQ7908" s="31"/>
    </row>
    <row r="7909" spans="43:43" x14ac:dyDescent="0.2">
      <c r="AQ7909" s="31"/>
    </row>
    <row r="7910" spans="43:43" x14ac:dyDescent="0.2">
      <c r="AQ7910" s="31"/>
    </row>
    <row r="7911" spans="43:43" x14ac:dyDescent="0.2">
      <c r="AQ7911" s="31"/>
    </row>
    <row r="7912" spans="43:43" x14ac:dyDescent="0.2">
      <c r="AQ7912" s="31"/>
    </row>
    <row r="7913" spans="43:43" x14ac:dyDescent="0.2">
      <c r="AQ7913" s="31"/>
    </row>
    <row r="7914" spans="43:43" x14ac:dyDescent="0.2">
      <c r="AQ7914" s="31"/>
    </row>
    <row r="7915" spans="43:43" x14ac:dyDescent="0.2">
      <c r="AQ7915" s="31"/>
    </row>
    <row r="7916" spans="43:43" x14ac:dyDescent="0.2">
      <c r="AQ7916" s="31"/>
    </row>
    <row r="7917" spans="43:43" x14ac:dyDescent="0.2">
      <c r="AQ7917" s="31"/>
    </row>
    <row r="7918" spans="43:43" x14ac:dyDescent="0.2">
      <c r="AQ7918" s="31"/>
    </row>
    <row r="7919" spans="43:43" x14ac:dyDescent="0.2">
      <c r="AQ7919" s="31"/>
    </row>
    <row r="7920" spans="43:43" x14ac:dyDescent="0.2">
      <c r="AQ7920" s="31"/>
    </row>
    <row r="7921" spans="43:43" x14ac:dyDescent="0.2">
      <c r="AQ7921" s="31"/>
    </row>
    <row r="7922" spans="43:43" x14ac:dyDescent="0.2">
      <c r="AQ7922" s="31"/>
    </row>
    <row r="7923" spans="43:43" x14ac:dyDescent="0.2">
      <c r="AQ7923" s="31"/>
    </row>
    <row r="7924" spans="43:43" x14ac:dyDescent="0.2">
      <c r="AQ7924" s="31"/>
    </row>
    <row r="7925" spans="43:43" x14ac:dyDescent="0.2">
      <c r="AQ7925" s="31"/>
    </row>
    <row r="7926" spans="43:43" x14ac:dyDescent="0.2">
      <c r="AQ7926" s="31"/>
    </row>
    <row r="7927" spans="43:43" x14ac:dyDescent="0.2">
      <c r="AQ7927" s="31"/>
    </row>
    <row r="7928" spans="43:43" x14ac:dyDescent="0.2">
      <c r="AQ7928" s="31"/>
    </row>
    <row r="7929" spans="43:43" x14ac:dyDescent="0.2">
      <c r="AQ7929" s="31"/>
    </row>
    <row r="7930" spans="43:43" x14ac:dyDescent="0.2">
      <c r="AQ7930" s="31"/>
    </row>
    <row r="7931" spans="43:43" x14ac:dyDescent="0.2">
      <c r="AQ7931" s="31"/>
    </row>
    <row r="7932" spans="43:43" x14ac:dyDescent="0.2">
      <c r="AQ7932" s="31"/>
    </row>
    <row r="7933" spans="43:43" x14ac:dyDescent="0.2">
      <c r="AQ7933" s="31"/>
    </row>
    <row r="7934" spans="43:43" x14ac:dyDescent="0.2">
      <c r="AQ7934" s="31"/>
    </row>
    <row r="7935" spans="43:43" x14ac:dyDescent="0.2">
      <c r="AQ7935" s="31"/>
    </row>
    <row r="7936" spans="43:43" x14ac:dyDescent="0.2">
      <c r="AQ7936" s="31"/>
    </row>
    <row r="7937" spans="43:43" x14ac:dyDescent="0.2">
      <c r="AQ7937" s="31"/>
    </row>
    <row r="7938" spans="43:43" x14ac:dyDescent="0.2">
      <c r="AQ7938" s="31"/>
    </row>
    <row r="7939" spans="43:43" x14ac:dyDescent="0.2">
      <c r="AQ7939" s="31"/>
    </row>
    <row r="7940" spans="43:43" x14ac:dyDescent="0.2">
      <c r="AQ7940" s="31"/>
    </row>
    <row r="7941" spans="43:43" x14ac:dyDescent="0.2">
      <c r="AQ7941" s="31"/>
    </row>
    <row r="7942" spans="43:43" x14ac:dyDescent="0.2">
      <c r="AQ7942" s="31"/>
    </row>
    <row r="7943" spans="43:43" x14ac:dyDescent="0.2">
      <c r="AQ7943" s="31"/>
    </row>
    <row r="7944" spans="43:43" x14ac:dyDescent="0.2">
      <c r="AQ7944" s="31"/>
    </row>
    <row r="7945" spans="43:43" x14ac:dyDescent="0.2">
      <c r="AQ7945" s="31"/>
    </row>
    <row r="7946" spans="43:43" x14ac:dyDescent="0.2">
      <c r="AQ7946" s="31"/>
    </row>
    <row r="7947" spans="43:43" x14ac:dyDescent="0.2">
      <c r="AQ7947" s="31"/>
    </row>
    <row r="7948" spans="43:43" x14ac:dyDescent="0.2">
      <c r="AQ7948" s="31"/>
    </row>
    <row r="7949" spans="43:43" x14ac:dyDescent="0.2">
      <c r="AQ7949" s="31"/>
    </row>
    <row r="7950" spans="43:43" x14ac:dyDescent="0.2">
      <c r="AQ7950" s="31"/>
    </row>
    <row r="7951" spans="43:43" x14ac:dyDescent="0.2">
      <c r="AQ7951" s="31"/>
    </row>
    <row r="7952" spans="43:43" x14ac:dyDescent="0.2">
      <c r="AQ7952" s="31"/>
    </row>
    <row r="7953" spans="43:43" x14ac:dyDescent="0.2">
      <c r="AQ7953" s="31"/>
    </row>
    <row r="7954" spans="43:43" x14ac:dyDescent="0.2">
      <c r="AQ7954" s="31"/>
    </row>
    <row r="7955" spans="43:43" x14ac:dyDescent="0.2">
      <c r="AQ7955" s="31"/>
    </row>
    <row r="7956" spans="43:43" x14ac:dyDescent="0.2">
      <c r="AQ7956" s="31"/>
    </row>
    <row r="7957" spans="43:43" x14ac:dyDescent="0.2">
      <c r="AQ7957" s="31"/>
    </row>
    <row r="7958" spans="43:43" x14ac:dyDescent="0.2">
      <c r="AQ7958" s="31"/>
    </row>
    <row r="7959" spans="43:43" x14ac:dyDescent="0.2">
      <c r="AQ7959" s="31"/>
    </row>
    <row r="7960" spans="43:43" x14ac:dyDescent="0.2">
      <c r="AQ7960" s="31"/>
    </row>
    <row r="7961" spans="43:43" x14ac:dyDescent="0.2">
      <c r="AQ7961" s="31"/>
    </row>
    <row r="7962" spans="43:43" x14ac:dyDescent="0.2">
      <c r="AQ7962" s="31"/>
    </row>
    <row r="7963" spans="43:43" x14ac:dyDescent="0.2">
      <c r="AQ7963" s="31"/>
    </row>
    <row r="7964" spans="43:43" x14ac:dyDescent="0.2">
      <c r="AQ7964" s="31"/>
    </row>
    <row r="7965" spans="43:43" x14ac:dyDescent="0.2">
      <c r="AQ7965" s="31"/>
    </row>
    <row r="7966" spans="43:43" x14ac:dyDescent="0.2">
      <c r="AQ7966" s="31"/>
    </row>
    <row r="7967" spans="43:43" x14ac:dyDescent="0.2">
      <c r="AQ7967" s="31"/>
    </row>
    <row r="7968" spans="43:43" x14ac:dyDescent="0.2">
      <c r="AQ7968" s="31"/>
    </row>
    <row r="7969" spans="43:43" x14ac:dyDescent="0.2">
      <c r="AQ7969" s="31"/>
    </row>
    <row r="7970" spans="43:43" x14ac:dyDescent="0.2">
      <c r="AQ7970" s="31"/>
    </row>
    <row r="7971" spans="43:43" x14ac:dyDescent="0.2">
      <c r="AQ7971" s="31"/>
    </row>
    <row r="7972" spans="43:43" x14ac:dyDescent="0.2">
      <c r="AQ7972" s="31"/>
    </row>
    <row r="7973" spans="43:43" x14ac:dyDescent="0.2">
      <c r="AQ7973" s="31"/>
    </row>
    <row r="7974" spans="43:43" x14ac:dyDescent="0.2">
      <c r="AQ7974" s="31"/>
    </row>
    <row r="7975" spans="43:43" x14ac:dyDescent="0.2">
      <c r="AQ7975" s="31"/>
    </row>
    <row r="7976" spans="43:43" x14ac:dyDescent="0.2">
      <c r="AQ7976" s="31"/>
    </row>
    <row r="7977" spans="43:43" x14ac:dyDescent="0.2">
      <c r="AQ7977" s="31"/>
    </row>
    <row r="7978" spans="43:43" x14ac:dyDescent="0.2">
      <c r="AQ7978" s="31"/>
    </row>
    <row r="7979" spans="43:43" x14ac:dyDescent="0.2">
      <c r="AQ7979" s="31"/>
    </row>
    <row r="7980" spans="43:43" x14ac:dyDescent="0.2">
      <c r="AQ7980" s="31"/>
    </row>
    <row r="7981" spans="43:43" x14ac:dyDescent="0.2">
      <c r="AQ7981" s="31"/>
    </row>
    <row r="7982" spans="43:43" x14ac:dyDescent="0.2">
      <c r="AQ7982" s="31"/>
    </row>
    <row r="7983" spans="43:43" x14ac:dyDescent="0.2">
      <c r="AQ7983" s="31"/>
    </row>
    <row r="7984" spans="43:43" x14ac:dyDescent="0.2">
      <c r="AQ7984" s="31"/>
    </row>
    <row r="7985" spans="43:43" x14ac:dyDescent="0.2">
      <c r="AQ7985" s="31"/>
    </row>
    <row r="7986" spans="43:43" x14ac:dyDescent="0.2">
      <c r="AQ7986" s="31"/>
    </row>
    <row r="7987" spans="43:43" x14ac:dyDescent="0.2">
      <c r="AQ7987" s="31"/>
    </row>
    <row r="7988" spans="43:43" x14ac:dyDescent="0.2">
      <c r="AQ7988" s="31"/>
    </row>
    <row r="7989" spans="43:43" x14ac:dyDescent="0.2">
      <c r="AQ7989" s="31"/>
    </row>
    <row r="7990" spans="43:43" x14ac:dyDescent="0.2">
      <c r="AQ7990" s="31"/>
    </row>
    <row r="7991" spans="43:43" x14ac:dyDescent="0.2">
      <c r="AQ7991" s="31"/>
    </row>
    <row r="7992" spans="43:43" x14ac:dyDescent="0.2">
      <c r="AQ7992" s="31"/>
    </row>
    <row r="7993" spans="43:43" x14ac:dyDescent="0.2">
      <c r="AQ7993" s="31"/>
    </row>
    <row r="7994" spans="43:43" x14ac:dyDescent="0.2">
      <c r="AQ7994" s="31"/>
    </row>
    <row r="7995" spans="43:43" x14ac:dyDescent="0.2">
      <c r="AQ7995" s="31"/>
    </row>
    <row r="7996" spans="43:43" x14ac:dyDescent="0.2">
      <c r="AQ7996" s="31"/>
    </row>
    <row r="7997" spans="43:43" x14ac:dyDescent="0.2">
      <c r="AQ7997" s="31"/>
    </row>
    <row r="7998" spans="43:43" x14ac:dyDescent="0.2">
      <c r="AQ7998" s="31"/>
    </row>
    <row r="7999" spans="43:43" x14ac:dyDescent="0.2">
      <c r="AQ7999" s="31"/>
    </row>
    <row r="8000" spans="43:43" x14ac:dyDescent="0.2">
      <c r="AQ8000" s="31"/>
    </row>
    <row r="8001" spans="43:43" x14ac:dyDescent="0.2">
      <c r="AQ8001" s="31"/>
    </row>
    <row r="8002" spans="43:43" x14ac:dyDescent="0.2">
      <c r="AQ8002" s="31"/>
    </row>
    <row r="8003" spans="43:43" x14ac:dyDescent="0.2">
      <c r="AQ8003" s="31"/>
    </row>
    <row r="8004" spans="43:43" x14ac:dyDescent="0.2">
      <c r="AQ8004" s="31"/>
    </row>
    <row r="8005" spans="43:43" x14ac:dyDescent="0.2">
      <c r="AQ8005" s="31"/>
    </row>
    <row r="8006" spans="43:43" x14ac:dyDescent="0.2">
      <c r="AQ8006" s="31"/>
    </row>
    <row r="8007" spans="43:43" x14ac:dyDescent="0.2">
      <c r="AQ8007" s="31"/>
    </row>
    <row r="8008" spans="43:43" x14ac:dyDescent="0.2">
      <c r="AQ8008" s="31"/>
    </row>
    <row r="8009" spans="43:43" x14ac:dyDescent="0.2">
      <c r="AQ8009" s="31"/>
    </row>
    <row r="8010" spans="43:43" x14ac:dyDescent="0.2">
      <c r="AQ8010" s="31"/>
    </row>
    <row r="8011" spans="43:43" x14ac:dyDescent="0.2">
      <c r="AQ8011" s="31"/>
    </row>
    <row r="8012" spans="43:43" x14ac:dyDescent="0.2">
      <c r="AQ8012" s="31"/>
    </row>
    <row r="8013" spans="43:43" x14ac:dyDescent="0.2">
      <c r="AQ8013" s="31"/>
    </row>
    <row r="8014" spans="43:43" x14ac:dyDescent="0.2">
      <c r="AQ8014" s="31"/>
    </row>
    <row r="8015" spans="43:43" x14ac:dyDescent="0.2">
      <c r="AQ8015" s="31"/>
    </row>
    <row r="8016" spans="43:43" x14ac:dyDescent="0.2">
      <c r="AQ8016" s="31"/>
    </row>
    <row r="8017" spans="43:43" x14ac:dyDescent="0.2">
      <c r="AQ8017" s="31"/>
    </row>
    <row r="8018" spans="43:43" x14ac:dyDescent="0.2">
      <c r="AQ8018" s="31"/>
    </row>
    <row r="8019" spans="43:43" x14ac:dyDescent="0.2">
      <c r="AQ8019" s="31"/>
    </row>
    <row r="8020" spans="43:43" x14ac:dyDescent="0.2">
      <c r="AQ8020" s="31"/>
    </row>
    <row r="8021" spans="43:43" x14ac:dyDescent="0.2">
      <c r="AQ8021" s="31"/>
    </row>
    <row r="8022" spans="43:43" x14ac:dyDescent="0.2">
      <c r="AQ8022" s="31"/>
    </row>
    <row r="8023" spans="43:43" x14ac:dyDescent="0.2">
      <c r="AQ8023" s="31"/>
    </row>
    <row r="8024" spans="43:43" x14ac:dyDescent="0.2">
      <c r="AQ8024" s="31"/>
    </row>
    <row r="8025" spans="43:43" x14ac:dyDescent="0.2">
      <c r="AQ8025" s="31"/>
    </row>
    <row r="8026" spans="43:43" x14ac:dyDescent="0.2">
      <c r="AQ8026" s="31"/>
    </row>
    <row r="8027" spans="43:43" x14ac:dyDescent="0.2">
      <c r="AQ8027" s="31"/>
    </row>
    <row r="8028" spans="43:43" x14ac:dyDescent="0.2">
      <c r="AQ8028" s="31"/>
    </row>
    <row r="8029" spans="43:43" x14ac:dyDescent="0.2">
      <c r="AQ8029" s="31"/>
    </row>
    <row r="8030" spans="43:43" x14ac:dyDescent="0.2">
      <c r="AQ8030" s="31"/>
    </row>
    <row r="8031" spans="43:43" x14ac:dyDescent="0.2">
      <c r="AQ8031" s="31"/>
    </row>
    <row r="8032" spans="43:43" x14ac:dyDescent="0.2">
      <c r="AQ8032" s="31"/>
    </row>
    <row r="8033" spans="43:43" x14ac:dyDescent="0.2">
      <c r="AQ8033" s="31"/>
    </row>
    <row r="8034" spans="43:43" x14ac:dyDescent="0.2">
      <c r="AQ8034" s="31"/>
    </row>
    <row r="8035" spans="43:43" x14ac:dyDescent="0.2">
      <c r="AQ8035" s="31"/>
    </row>
    <row r="8036" spans="43:43" x14ac:dyDescent="0.2">
      <c r="AQ8036" s="31"/>
    </row>
    <row r="8037" spans="43:43" x14ac:dyDescent="0.2">
      <c r="AQ8037" s="31"/>
    </row>
    <row r="8038" spans="43:43" x14ac:dyDescent="0.2">
      <c r="AQ8038" s="31"/>
    </row>
    <row r="8039" spans="43:43" x14ac:dyDescent="0.2">
      <c r="AQ8039" s="31"/>
    </row>
    <row r="8040" spans="43:43" x14ac:dyDescent="0.2">
      <c r="AQ8040" s="31"/>
    </row>
    <row r="8041" spans="43:43" x14ac:dyDescent="0.2">
      <c r="AQ8041" s="31"/>
    </row>
    <row r="8042" spans="43:43" x14ac:dyDescent="0.2">
      <c r="AQ8042" s="31"/>
    </row>
    <row r="8043" spans="43:43" x14ac:dyDescent="0.2">
      <c r="AQ8043" s="31"/>
    </row>
    <row r="8044" spans="43:43" x14ac:dyDescent="0.2">
      <c r="AQ8044" s="31"/>
    </row>
    <row r="8045" spans="43:43" x14ac:dyDescent="0.2">
      <c r="AQ8045" s="31"/>
    </row>
    <row r="8046" spans="43:43" x14ac:dyDescent="0.2">
      <c r="AQ8046" s="31"/>
    </row>
    <row r="8047" spans="43:43" x14ac:dyDescent="0.2">
      <c r="AQ8047" s="31"/>
    </row>
    <row r="8048" spans="43:43" x14ac:dyDescent="0.2">
      <c r="AQ8048" s="31"/>
    </row>
    <row r="8049" spans="43:43" x14ac:dyDescent="0.2">
      <c r="AQ8049" s="31"/>
    </row>
    <row r="8050" spans="43:43" x14ac:dyDescent="0.2">
      <c r="AQ8050" s="31"/>
    </row>
    <row r="8051" spans="43:43" x14ac:dyDescent="0.2">
      <c r="AQ8051" s="31"/>
    </row>
    <row r="8052" spans="43:43" x14ac:dyDescent="0.2">
      <c r="AQ8052" s="31"/>
    </row>
    <row r="8053" spans="43:43" x14ac:dyDescent="0.2">
      <c r="AQ8053" s="31"/>
    </row>
    <row r="8054" spans="43:43" x14ac:dyDescent="0.2">
      <c r="AQ8054" s="31"/>
    </row>
    <row r="8055" spans="43:43" x14ac:dyDescent="0.2">
      <c r="AQ8055" s="31"/>
    </row>
    <row r="8056" spans="43:43" x14ac:dyDescent="0.2">
      <c r="AQ8056" s="31"/>
    </row>
    <row r="8057" spans="43:43" x14ac:dyDescent="0.2">
      <c r="AQ8057" s="31"/>
    </row>
    <row r="8058" spans="43:43" x14ac:dyDescent="0.2">
      <c r="AQ8058" s="31"/>
    </row>
    <row r="8059" spans="43:43" x14ac:dyDescent="0.2">
      <c r="AQ8059" s="31"/>
    </row>
    <row r="8060" spans="43:43" x14ac:dyDescent="0.2">
      <c r="AQ8060" s="31"/>
    </row>
    <row r="8061" spans="43:43" x14ac:dyDescent="0.2">
      <c r="AQ8061" s="31"/>
    </row>
    <row r="8062" spans="43:43" x14ac:dyDescent="0.2">
      <c r="AQ8062" s="31"/>
    </row>
    <row r="8063" spans="43:43" x14ac:dyDescent="0.2">
      <c r="AQ8063" s="31"/>
    </row>
    <row r="8064" spans="43:43" x14ac:dyDescent="0.2">
      <c r="AQ8064" s="31"/>
    </row>
    <row r="8065" spans="43:43" x14ac:dyDescent="0.2">
      <c r="AQ8065" s="31"/>
    </row>
    <row r="8066" spans="43:43" x14ac:dyDescent="0.2">
      <c r="AQ8066" s="31"/>
    </row>
    <row r="8067" spans="43:43" x14ac:dyDescent="0.2">
      <c r="AQ8067" s="31"/>
    </row>
    <row r="8068" spans="43:43" x14ac:dyDescent="0.2">
      <c r="AQ8068" s="31"/>
    </row>
    <row r="8069" spans="43:43" x14ac:dyDescent="0.2">
      <c r="AQ8069" s="31"/>
    </row>
    <row r="8070" spans="43:43" x14ac:dyDescent="0.2">
      <c r="AQ8070" s="31"/>
    </row>
    <row r="8071" spans="43:43" x14ac:dyDescent="0.2">
      <c r="AQ8071" s="31"/>
    </row>
    <row r="8072" spans="43:43" x14ac:dyDescent="0.2">
      <c r="AQ8072" s="31"/>
    </row>
    <row r="8073" spans="43:43" x14ac:dyDescent="0.2">
      <c r="AQ8073" s="31"/>
    </row>
    <row r="8074" spans="43:43" x14ac:dyDescent="0.2">
      <c r="AQ8074" s="31"/>
    </row>
    <row r="8075" spans="43:43" x14ac:dyDescent="0.2">
      <c r="AQ8075" s="31"/>
    </row>
    <row r="8076" spans="43:43" x14ac:dyDescent="0.2">
      <c r="AQ8076" s="31"/>
    </row>
    <row r="8077" spans="43:43" x14ac:dyDescent="0.2">
      <c r="AQ8077" s="31"/>
    </row>
    <row r="8078" spans="43:43" x14ac:dyDescent="0.2">
      <c r="AQ8078" s="31"/>
    </row>
    <row r="8079" spans="43:43" x14ac:dyDescent="0.2">
      <c r="AQ8079" s="31"/>
    </row>
    <row r="8080" spans="43:43" x14ac:dyDescent="0.2">
      <c r="AQ8080" s="31"/>
    </row>
    <row r="8081" spans="43:43" x14ac:dyDescent="0.2">
      <c r="AQ8081" s="31"/>
    </row>
    <row r="8082" spans="43:43" x14ac:dyDescent="0.2">
      <c r="AQ8082" s="31"/>
    </row>
    <row r="8083" spans="43:43" x14ac:dyDescent="0.2">
      <c r="AQ8083" s="31"/>
    </row>
    <row r="8084" spans="43:43" x14ac:dyDescent="0.2">
      <c r="AQ8084" s="31"/>
    </row>
    <row r="8085" spans="43:43" x14ac:dyDescent="0.2">
      <c r="AQ8085" s="31"/>
    </row>
    <row r="8086" spans="43:43" x14ac:dyDescent="0.2">
      <c r="AQ8086" s="31"/>
    </row>
    <row r="8087" spans="43:43" x14ac:dyDescent="0.2">
      <c r="AQ8087" s="31"/>
    </row>
    <row r="8088" spans="43:43" x14ac:dyDescent="0.2">
      <c r="AQ8088" s="31"/>
    </row>
    <row r="8089" spans="43:43" x14ac:dyDescent="0.2">
      <c r="AQ8089" s="31"/>
    </row>
    <row r="8090" spans="43:43" x14ac:dyDescent="0.2">
      <c r="AQ8090" s="31"/>
    </row>
    <row r="8091" spans="43:43" x14ac:dyDescent="0.2">
      <c r="AQ8091" s="31"/>
    </row>
    <row r="8092" spans="43:43" x14ac:dyDescent="0.2">
      <c r="AQ8092" s="31"/>
    </row>
    <row r="8093" spans="43:43" x14ac:dyDescent="0.2">
      <c r="AQ8093" s="31"/>
    </row>
    <row r="8094" spans="43:43" x14ac:dyDescent="0.2">
      <c r="AQ8094" s="31"/>
    </row>
    <row r="8095" spans="43:43" x14ac:dyDescent="0.2">
      <c r="AQ8095" s="31"/>
    </row>
    <row r="8096" spans="43:43" x14ac:dyDescent="0.2">
      <c r="AQ8096" s="31"/>
    </row>
    <row r="8097" spans="43:43" x14ac:dyDescent="0.2">
      <c r="AQ8097" s="31"/>
    </row>
    <row r="8098" spans="43:43" x14ac:dyDescent="0.2">
      <c r="AQ8098" s="31"/>
    </row>
    <row r="8099" spans="43:43" x14ac:dyDescent="0.2">
      <c r="AQ8099" s="31"/>
    </row>
    <row r="8100" spans="43:43" x14ac:dyDescent="0.2">
      <c r="AQ8100" s="31"/>
    </row>
    <row r="8101" spans="43:43" x14ac:dyDescent="0.2">
      <c r="AQ8101" s="31"/>
    </row>
    <row r="8102" spans="43:43" x14ac:dyDescent="0.2">
      <c r="AQ8102" s="31"/>
    </row>
    <row r="8103" spans="43:43" x14ac:dyDescent="0.2">
      <c r="AQ8103" s="31"/>
    </row>
    <row r="8104" spans="43:43" x14ac:dyDescent="0.2">
      <c r="AQ8104" s="31"/>
    </row>
    <row r="8105" spans="43:43" x14ac:dyDescent="0.2">
      <c r="AQ8105" s="31"/>
    </row>
    <row r="8106" spans="43:43" x14ac:dyDescent="0.2">
      <c r="AQ8106" s="31"/>
    </row>
    <row r="8107" spans="43:43" x14ac:dyDescent="0.2">
      <c r="AQ8107" s="31"/>
    </row>
    <row r="8108" spans="43:43" x14ac:dyDescent="0.2">
      <c r="AQ8108" s="31"/>
    </row>
    <row r="8109" spans="43:43" x14ac:dyDescent="0.2">
      <c r="AQ8109" s="31"/>
    </row>
    <row r="8110" spans="43:43" x14ac:dyDescent="0.2">
      <c r="AQ8110" s="31"/>
    </row>
    <row r="8111" spans="43:43" x14ac:dyDescent="0.2">
      <c r="AQ8111" s="31"/>
    </row>
    <row r="8112" spans="43:43" x14ac:dyDescent="0.2">
      <c r="AQ8112" s="31"/>
    </row>
    <row r="8113" spans="43:43" x14ac:dyDescent="0.2">
      <c r="AQ8113" s="31"/>
    </row>
    <row r="8114" spans="43:43" x14ac:dyDescent="0.2">
      <c r="AQ8114" s="31"/>
    </row>
    <row r="8115" spans="43:43" x14ac:dyDescent="0.2">
      <c r="AQ8115" s="31"/>
    </row>
    <row r="8116" spans="43:43" x14ac:dyDescent="0.2">
      <c r="AQ8116" s="31"/>
    </row>
    <row r="8117" spans="43:43" x14ac:dyDescent="0.2">
      <c r="AQ8117" s="31"/>
    </row>
    <row r="8118" spans="43:43" x14ac:dyDescent="0.2">
      <c r="AQ8118" s="31"/>
    </row>
    <row r="8119" spans="43:43" x14ac:dyDescent="0.2">
      <c r="AQ8119" s="31"/>
    </row>
    <row r="8120" spans="43:43" x14ac:dyDescent="0.2">
      <c r="AQ8120" s="31"/>
    </row>
    <row r="8121" spans="43:43" x14ac:dyDescent="0.2">
      <c r="AQ8121" s="31"/>
    </row>
    <row r="8122" spans="43:43" x14ac:dyDescent="0.2">
      <c r="AQ8122" s="31"/>
    </row>
    <row r="8123" spans="43:43" x14ac:dyDescent="0.2">
      <c r="AQ8123" s="31"/>
    </row>
    <row r="8124" spans="43:43" x14ac:dyDescent="0.2">
      <c r="AQ8124" s="31"/>
    </row>
    <row r="8125" spans="43:43" x14ac:dyDescent="0.2">
      <c r="AQ8125" s="31"/>
    </row>
    <row r="8126" spans="43:43" x14ac:dyDescent="0.2">
      <c r="AQ8126" s="31"/>
    </row>
    <row r="8127" spans="43:43" x14ac:dyDescent="0.2">
      <c r="AQ8127" s="31"/>
    </row>
    <row r="8128" spans="43:43" x14ac:dyDescent="0.2">
      <c r="AQ8128" s="31"/>
    </row>
    <row r="8129" spans="43:43" x14ac:dyDescent="0.2">
      <c r="AQ8129" s="31"/>
    </row>
    <row r="8130" spans="43:43" x14ac:dyDescent="0.2">
      <c r="AQ8130" s="31"/>
    </row>
    <row r="8131" spans="43:43" x14ac:dyDescent="0.2">
      <c r="AQ8131" s="31"/>
    </row>
    <row r="8132" spans="43:43" x14ac:dyDescent="0.2">
      <c r="AQ8132" s="31"/>
    </row>
    <row r="8133" spans="43:43" x14ac:dyDescent="0.2">
      <c r="AQ8133" s="31"/>
    </row>
    <row r="8134" spans="43:43" x14ac:dyDescent="0.2">
      <c r="AQ8134" s="31"/>
    </row>
    <row r="8135" spans="43:43" x14ac:dyDescent="0.2">
      <c r="AQ8135" s="31"/>
    </row>
    <row r="8136" spans="43:43" x14ac:dyDescent="0.2">
      <c r="AQ8136" s="31"/>
    </row>
    <row r="8137" spans="43:43" x14ac:dyDescent="0.2">
      <c r="AQ8137" s="31"/>
    </row>
    <row r="8138" spans="43:43" x14ac:dyDescent="0.2">
      <c r="AQ8138" s="31"/>
    </row>
    <row r="8139" spans="43:43" x14ac:dyDescent="0.2">
      <c r="AQ8139" s="31"/>
    </row>
    <row r="8140" spans="43:43" x14ac:dyDescent="0.2">
      <c r="AQ8140" s="31"/>
    </row>
    <row r="8141" spans="43:43" x14ac:dyDescent="0.2">
      <c r="AQ8141" s="31"/>
    </row>
    <row r="8142" spans="43:43" x14ac:dyDescent="0.2">
      <c r="AQ8142" s="31"/>
    </row>
    <row r="8143" spans="43:43" x14ac:dyDescent="0.2">
      <c r="AQ8143" s="31"/>
    </row>
    <row r="8144" spans="43:43" x14ac:dyDescent="0.2">
      <c r="AQ8144" s="31"/>
    </row>
    <row r="8145" spans="43:43" x14ac:dyDescent="0.2">
      <c r="AQ8145" s="31"/>
    </row>
    <row r="8146" spans="43:43" x14ac:dyDescent="0.2">
      <c r="AQ8146" s="31"/>
    </row>
    <row r="8147" spans="43:43" x14ac:dyDescent="0.2">
      <c r="AQ8147" s="31"/>
    </row>
    <row r="8148" spans="43:43" x14ac:dyDescent="0.2">
      <c r="AQ8148" s="31"/>
    </row>
    <row r="8149" spans="43:43" x14ac:dyDescent="0.2">
      <c r="AQ8149" s="31"/>
    </row>
    <row r="8150" spans="43:43" x14ac:dyDescent="0.2">
      <c r="AQ8150" s="31"/>
    </row>
    <row r="8151" spans="43:43" x14ac:dyDescent="0.2">
      <c r="AQ8151" s="31"/>
    </row>
    <row r="8152" spans="43:43" x14ac:dyDescent="0.2">
      <c r="AQ8152" s="31"/>
    </row>
    <row r="8153" spans="43:43" x14ac:dyDescent="0.2">
      <c r="AQ8153" s="31"/>
    </row>
    <row r="8154" spans="43:43" x14ac:dyDescent="0.2">
      <c r="AQ8154" s="31"/>
    </row>
    <row r="8155" spans="43:43" x14ac:dyDescent="0.2">
      <c r="AQ8155" s="31"/>
    </row>
    <row r="8156" spans="43:43" x14ac:dyDescent="0.2">
      <c r="AQ8156" s="31"/>
    </row>
    <row r="8157" spans="43:43" x14ac:dyDescent="0.2">
      <c r="AQ8157" s="31"/>
    </row>
    <row r="8158" spans="43:43" x14ac:dyDescent="0.2">
      <c r="AQ8158" s="31"/>
    </row>
    <row r="8159" spans="43:43" x14ac:dyDescent="0.2">
      <c r="AQ8159" s="31"/>
    </row>
    <row r="8160" spans="43:43" x14ac:dyDescent="0.2">
      <c r="AQ8160" s="31"/>
    </row>
    <row r="8161" spans="43:43" x14ac:dyDescent="0.2">
      <c r="AQ8161" s="31"/>
    </row>
    <row r="8162" spans="43:43" x14ac:dyDescent="0.2">
      <c r="AQ8162" s="31"/>
    </row>
    <row r="8163" spans="43:43" x14ac:dyDescent="0.2">
      <c r="AQ8163" s="31"/>
    </row>
    <row r="8164" spans="43:43" x14ac:dyDescent="0.2">
      <c r="AQ8164" s="31"/>
    </row>
    <row r="8165" spans="43:43" x14ac:dyDescent="0.2">
      <c r="AQ8165" s="31"/>
    </row>
    <row r="8166" spans="43:43" x14ac:dyDescent="0.2">
      <c r="AQ8166" s="31"/>
    </row>
    <row r="8167" spans="43:43" x14ac:dyDescent="0.2">
      <c r="AQ8167" s="31"/>
    </row>
    <row r="8168" spans="43:43" x14ac:dyDescent="0.2">
      <c r="AQ8168" s="31"/>
    </row>
    <row r="8169" spans="43:43" x14ac:dyDescent="0.2">
      <c r="AQ8169" s="31"/>
    </row>
    <row r="8170" spans="43:43" x14ac:dyDescent="0.2">
      <c r="AQ8170" s="31"/>
    </row>
    <row r="8171" spans="43:43" x14ac:dyDescent="0.2">
      <c r="AQ8171" s="31"/>
    </row>
    <row r="8172" spans="43:43" x14ac:dyDescent="0.2">
      <c r="AQ8172" s="31"/>
    </row>
    <row r="8173" spans="43:43" x14ac:dyDescent="0.2">
      <c r="AQ8173" s="31"/>
    </row>
    <row r="8174" spans="43:43" x14ac:dyDescent="0.2">
      <c r="AQ8174" s="31"/>
    </row>
    <row r="8175" spans="43:43" x14ac:dyDescent="0.2">
      <c r="AQ8175" s="31"/>
    </row>
    <row r="8176" spans="43:43" x14ac:dyDescent="0.2">
      <c r="AQ8176" s="31"/>
    </row>
    <row r="8177" spans="43:43" x14ac:dyDescent="0.2">
      <c r="AQ8177" s="31"/>
    </row>
    <row r="8178" spans="43:43" x14ac:dyDescent="0.2">
      <c r="AQ8178" s="31"/>
    </row>
    <row r="8179" spans="43:43" x14ac:dyDescent="0.2">
      <c r="AQ8179" s="31"/>
    </row>
    <row r="8180" spans="43:43" x14ac:dyDescent="0.2">
      <c r="AQ8180" s="31"/>
    </row>
    <row r="8181" spans="43:43" x14ac:dyDescent="0.2">
      <c r="AQ8181" s="31"/>
    </row>
    <row r="8182" spans="43:43" x14ac:dyDescent="0.2">
      <c r="AQ8182" s="31"/>
    </row>
    <row r="8183" spans="43:43" x14ac:dyDescent="0.2">
      <c r="AQ8183" s="31"/>
    </row>
    <row r="8184" spans="43:43" x14ac:dyDescent="0.2">
      <c r="AQ8184" s="31"/>
    </row>
    <row r="8185" spans="43:43" x14ac:dyDescent="0.2">
      <c r="AQ8185" s="31"/>
    </row>
    <row r="8186" spans="43:43" x14ac:dyDescent="0.2">
      <c r="AQ8186" s="31"/>
    </row>
    <row r="8187" spans="43:43" x14ac:dyDescent="0.2">
      <c r="AQ8187" s="31"/>
    </row>
    <row r="8188" spans="43:43" x14ac:dyDescent="0.2">
      <c r="AQ8188" s="31"/>
    </row>
    <row r="8189" spans="43:43" x14ac:dyDescent="0.2">
      <c r="AQ8189" s="31"/>
    </row>
    <row r="8190" spans="43:43" x14ac:dyDescent="0.2">
      <c r="AQ8190" s="31"/>
    </row>
    <row r="8191" spans="43:43" x14ac:dyDescent="0.2">
      <c r="AQ8191" s="31"/>
    </row>
    <row r="8192" spans="43:43" x14ac:dyDescent="0.2">
      <c r="AQ8192" s="31"/>
    </row>
    <row r="8193" spans="43:43" x14ac:dyDescent="0.2">
      <c r="AQ8193" s="31"/>
    </row>
    <row r="8194" spans="43:43" x14ac:dyDescent="0.2">
      <c r="AQ8194" s="31"/>
    </row>
    <row r="8195" spans="43:43" x14ac:dyDescent="0.2">
      <c r="AQ8195" s="31"/>
    </row>
    <row r="8196" spans="43:43" x14ac:dyDescent="0.2">
      <c r="AQ8196" s="31"/>
    </row>
    <row r="8197" spans="43:43" x14ac:dyDescent="0.2">
      <c r="AQ8197" s="31"/>
    </row>
    <row r="8198" spans="43:43" x14ac:dyDescent="0.2">
      <c r="AQ8198" s="31"/>
    </row>
    <row r="8199" spans="43:43" x14ac:dyDescent="0.2">
      <c r="AQ8199" s="31"/>
    </row>
    <row r="8200" spans="43:43" x14ac:dyDescent="0.2">
      <c r="AQ8200" s="31"/>
    </row>
    <row r="8201" spans="43:43" x14ac:dyDescent="0.2">
      <c r="AQ8201" s="31"/>
    </row>
    <row r="8202" spans="43:43" x14ac:dyDescent="0.2">
      <c r="AQ8202" s="31"/>
    </row>
    <row r="8203" spans="43:43" x14ac:dyDescent="0.2">
      <c r="AQ8203" s="31"/>
    </row>
    <row r="8204" spans="43:43" x14ac:dyDescent="0.2">
      <c r="AQ8204" s="31"/>
    </row>
    <row r="8205" spans="43:43" x14ac:dyDescent="0.2">
      <c r="AQ8205" s="31"/>
    </row>
    <row r="8206" spans="43:43" x14ac:dyDescent="0.2">
      <c r="AQ8206" s="31"/>
    </row>
    <row r="8207" spans="43:43" x14ac:dyDescent="0.2">
      <c r="AQ8207" s="31"/>
    </row>
    <row r="8208" spans="43:43" x14ac:dyDescent="0.2">
      <c r="AQ8208" s="31"/>
    </row>
    <row r="8209" spans="43:43" x14ac:dyDescent="0.2">
      <c r="AQ8209" s="31"/>
    </row>
    <row r="8210" spans="43:43" x14ac:dyDescent="0.2">
      <c r="AQ8210" s="31"/>
    </row>
    <row r="8211" spans="43:43" x14ac:dyDescent="0.2">
      <c r="AQ8211" s="31"/>
    </row>
    <row r="8212" spans="43:43" x14ac:dyDescent="0.2">
      <c r="AQ8212" s="31"/>
    </row>
    <row r="8213" spans="43:43" x14ac:dyDescent="0.2">
      <c r="AQ8213" s="31"/>
    </row>
    <row r="8214" spans="43:43" x14ac:dyDescent="0.2">
      <c r="AQ8214" s="31"/>
    </row>
    <row r="8215" spans="43:43" x14ac:dyDescent="0.2">
      <c r="AQ8215" s="31"/>
    </row>
    <row r="8216" spans="43:43" x14ac:dyDescent="0.2">
      <c r="AQ8216" s="31"/>
    </row>
    <row r="8217" spans="43:43" x14ac:dyDescent="0.2">
      <c r="AQ8217" s="31"/>
    </row>
    <row r="8218" spans="43:43" x14ac:dyDescent="0.2">
      <c r="AQ8218" s="31"/>
    </row>
    <row r="8219" spans="43:43" x14ac:dyDescent="0.2">
      <c r="AQ8219" s="31"/>
    </row>
    <row r="8220" spans="43:43" x14ac:dyDescent="0.2">
      <c r="AQ8220" s="31"/>
    </row>
    <row r="8221" spans="43:43" x14ac:dyDescent="0.2">
      <c r="AQ8221" s="31"/>
    </row>
    <row r="8222" spans="43:43" x14ac:dyDescent="0.2">
      <c r="AQ8222" s="31"/>
    </row>
    <row r="8223" spans="43:43" x14ac:dyDescent="0.2">
      <c r="AQ8223" s="31"/>
    </row>
    <row r="8224" spans="43:43" x14ac:dyDescent="0.2">
      <c r="AQ8224" s="31"/>
    </row>
    <row r="8225" spans="43:43" x14ac:dyDescent="0.2">
      <c r="AQ8225" s="31"/>
    </row>
    <row r="8226" spans="43:43" x14ac:dyDescent="0.2">
      <c r="AQ8226" s="31"/>
    </row>
    <row r="8227" spans="43:43" x14ac:dyDescent="0.2">
      <c r="AQ8227" s="31"/>
    </row>
    <row r="8228" spans="43:43" x14ac:dyDescent="0.2">
      <c r="AQ8228" s="31"/>
    </row>
    <row r="8229" spans="43:43" x14ac:dyDescent="0.2">
      <c r="AQ8229" s="31"/>
    </row>
    <row r="8230" spans="43:43" x14ac:dyDescent="0.2">
      <c r="AQ8230" s="31"/>
    </row>
    <row r="8231" spans="43:43" x14ac:dyDescent="0.2">
      <c r="AQ8231" s="31"/>
    </row>
    <row r="8232" spans="43:43" x14ac:dyDescent="0.2">
      <c r="AQ8232" s="31"/>
    </row>
    <row r="8233" spans="43:43" x14ac:dyDescent="0.2">
      <c r="AQ8233" s="31"/>
    </row>
    <row r="8234" spans="43:43" x14ac:dyDescent="0.2">
      <c r="AQ8234" s="31"/>
    </row>
    <row r="8235" spans="43:43" x14ac:dyDescent="0.2">
      <c r="AQ8235" s="31"/>
    </row>
    <row r="8236" spans="43:43" x14ac:dyDescent="0.2">
      <c r="AQ8236" s="31"/>
    </row>
    <row r="8237" spans="43:43" x14ac:dyDescent="0.2">
      <c r="AQ8237" s="31"/>
    </row>
    <row r="8238" spans="43:43" x14ac:dyDescent="0.2">
      <c r="AQ8238" s="31"/>
    </row>
    <row r="8239" spans="43:43" x14ac:dyDescent="0.2">
      <c r="AQ8239" s="31"/>
    </row>
    <row r="8240" spans="43:43" x14ac:dyDescent="0.2">
      <c r="AQ8240" s="31"/>
    </row>
    <row r="8241" spans="43:43" x14ac:dyDescent="0.2">
      <c r="AQ8241" s="31"/>
    </row>
    <row r="8242" spans="43:43" x14ac:dyDescent="0.2">
      <c r="AQ8242" s="31"/>
    </row>
    <row r="8243" spans="43:43" x14ac:dyDescent="0.2">
      <c r="AQ8243" s="31"/>
    </row>
    <row r="8244" spans="43:43" x14ac:dyDescent="0.2">
      <c r="AQ8244" s="31"/>
    </row>
    <row r="8245" spans="43:43" x14ac:dyDescent="0.2">
      <c r="AQ8245" s="31"/>
    </row>
    <row r="8246" spans="43:43" x14ac:dyDescent="0.2">
      <c r="AQ8246" s="31"/>
    </row>
    <row r="8247" spans="43:43" x14ac:dyDescent="0.2">
      <c r="AQ8247" s="31"/>
    </row>
    <row r="8248" spans="43:43" x14ac:dyDescent="0.2">
      <c r="AQ8248" s="31"/>
    </row>
    <row r="8249" spans="43:43" x14ac:dyDescent="0.2">
      <c r="AQ8249" s="31"/>
    </row>
    <row r="8250" spans="43:43" x14ac:dyDescent="0.2">
      <c r="AQ8250" s="31"/>
    </row>
    <row r="8251" spans="43:43" x14ac:dyDescent="0.2">
      <c r="AQ8251" s="31"/>
    </row>
    <row r="8252" spans="43:43" x14ac:dyDescent="0.2">
      <c r="AQ8252" s="31"/>
    </row>
    <row r="8253" spans="43:43" x14ac:dyDescent="0.2">
      <c r="AQ8253" s="31"/>
    </row>
    <row r="8254" spans="43:43" x14ac:dyDescent="0.2">
      <c r="AQ8254" s="31"/>
    </row>
    <row r="8255" spans="43:43" x14ac:dyDescent="0.2">
      <c r="AQ8255" s="31"/>
    </row>
    <row r="8256" spans="43:43" x14ac:dyDescent="0.2">
      <c r="AQ8256" s="31"/>
    </row>
    <row r="8257" spans="43:43" x14ac:dyDescent="0.2">
      <c r="AQ8257" s="31"/>
    </row>
    <row r="8258" spans="43:43" x14ac:dyDescent="0.2">
      <c r="AQ8258" s="31"/>
    </row>
    <row r="8259" spans="43:43" x14ac:dyDescent="0.2">
      <c r="AQ8259" s="31"/>
    </row>
    <row r="8260" spans="43:43" x14ac:dyDescent="0.2">
      <c r="AQ8260" s="31"/>
    </row>
    <row r="8261" spans="43:43" x14ac:dyDescent="0.2">
      <c r="AQ8261" s="31"/>
    </row>
    <row r="8262" spans="43:43" x14ac:dyDescent="0.2">
      <c r="AQ8262" s="31"/>
    </row>
    <row r="8263" spans="43:43" x14ac:dyDescent="0.2">
      <c r="AQ8263" s="31"/>
    </row>
    <row r="8264" spans="43:43" x14ac:dyDescent="0.2">
      <c r="AQ8264" s="31"/>
    </row>
    <row r="8265" spans="43:43" x14ac:dyDescent="0.2">
      <c r="AQ8265" s="31"/>
    </row>
    <row r="8266" spans="43:43" x14ac:dyDescent="0.2">
      <c r="AQ8266" s="31"/>
    </row>
    <row r="8267" spans="43:43" x14ac:dyDescent="0.2">
      <c r="AQ8267" s="31"/>
    </row>
    <row r="8268" spans="43:43" x14ac:dyDescent="0.2">
      <c r="AQ8268" s="31"/>
    </row>
    <row r="8269" spans="43:43" x14ac:dyDescent="0.2">
      <c r="AQ8269" s="31"/>
    </row>
    <row r="8270" spans="43:43" x14ac:dyDescent="0.2">
      <c r="AQ8270" s="31"/>
    </row>
    <row r="8271" spans="43:43" x14ac:dyDescent="0.2">
      <c r="AQ8271" s="31"/>
    </row>
    <row r="8272" spans="43:43" x14ac:dyDescent="0.2">
      <c r="AQ8272" s="31"/>
    </row>
    <row r="8273" spans="43:43" x14ac:dyDescent="0.2">
      <c r="AQ8273" s="31"/>
    </row>
    <row r="8274" spans="43:43" x14ac:dyDescent="0.2">
      <c r="AQ8274" s="31"/>
    </row>
    <row r="8275" spans="43:43" x14ac:dyDescent="0.2">
      <c r="AQ8275" s="31"/>
    </row>
    <row r="8276" spans="43:43" x14ac:dyDescent="0.2">
      <c r="AQ8276" s="31"/>
    </row>
    <row r="8277" spans="43:43" x14ac:dyDescent="0.2">
      <c r="AQ8277" s="31"/>
    </row>
    <row r="8278" spans="43:43" x14ac:dyDescent="0.2">
      <c r="AQ8278" s="31"/>
    </row>
    <row r="8279" spans="43:43" x14ac:dyDescent="0.2">
      <c r="AQ8279" s="31"/>
    </row>
    <row r="8280" spans="43:43" x14ac:dyDescent="0.2">
      <c r="AQ8280" s="31"/>
    </row>
    <row r="8281" spans="43:43" x14ac:dyDescent="0.2">
      <c r="AQ8281" s="31"/>
    </row>
    <row r="8282" spans="43:43" x14ac:dyDescent="0.2">
      <c r="AQ8282" s="31"/>
    </row>
    <row r="8283" spans="43:43" x14ac:dyDescent="0.2">
      <c r="AQ8283" s="31"/>
    </row>
    <row r="8284" spans="43:43" x14ac:dyDescent="0.2">
      <c r="AQ8284" s="31"/>
    </row>
    <row r="8285" spans="43:43" x14ac:dyDescent="0.2">
      <c r="AQ8285" s="31"/>
    </row>
    <row r="8286" spans="43:43" x14ac:dyDescent="0.2">
      <c r="AQ8286" s="31"/>
    </row>
    <row r="8287" spans="43:43" x14ac:dyDescent="0.2">
      <c r="AQ8287" s="31"/>
    </row>
    <row r="8288" spans="43:43" x14ac:dyDescent="0.2">
      <c r="AQ8288" s="31"/>
    </row>
    <row r="8289" spans="43:43" x14ac:dyDescent="0.2">
      <c r="AQ8289" s="31"/>
    </row>
    <row r="8290" spans="43:43" x14ac:dyDescent="0.2">
      <c r="AQ8290" s="31"/>
    </row>
    <row r="8291" spans="43:43" x14ac:dyDescent="0.2">
      <c r="AQ8291" s="31"/>
    </row>
    <row r="8292" spans="43:43" x14ac:dyDescent="0.2">
      <c r="AQ8292" s="31"/>
    </row>
    <row r="8293" spans="43:43" x14ac:dyDescent="0.2">
      <c r="AQ8293" s="31"/>
    </row>
    <row r="8294" spans="43:43" x14ac:dyDescent="0.2">
      <c r="AQ8294" s="31"/>
    </row>
    <row r="8295" spans="43:43" x14ac:dyDescent="0.2">
      <c r="AQ8295" s="31"/>
    </row>
    <row r="8296" spans="43:43" x14ac:dyDescent="0.2">
      <c r="AQ8296" s="31"/>
    </row>
    <row r="8297" spans="43:43" x14ac:dyDescent="0.2">
      <c r="AQ8297" s="31"/>
    </row>
    <row r="8298" spans="43:43" x14ac:dyDescent="0.2">
      <c r="AQ8298" s="31"/>
    </row>
    <row r="8299" spans="43:43" x14ac:dyDescent="0.2">
      <c r="AQ8299" s="31"/>
    </row>
    <row r="8300" spans="43:43" x14ac:dyDescent="0.2">
      <c r="AQ8300" s="31"/>
    </row>
    <row r="8301" spans="43:43" x14ac:dyDescent="0.2">
      <c r="AQ8301" s="31"/>
    </row>
    <row r="8302" spans="43:43" x14ac:dyDescent="0.2">
      <c r="AQ8302" s="31"/>
    </row>
    <row r="8303" spans="43:43" x14ac:dyDescent="0.2">
      <c r="AQ8303" s="31"/>
    </row>
    <row r="8304" spans="43:43" x14ac:dyDescent="0.2">
      <c r="AQ8304" s="31"/>
    </row>
    <row r="8305" spans="43:43" x14ac:dyDescent="0.2">
      <c r="AQ8305" s="31"/>
    </row>
    <row r="8306" spans="43:43" x14ac:dyDescent="0.2">
      <c r="AQ8306" s="31"/>
    </row>
    <row r="8307" spans="43:43" x14ac:dyDescent="0.2">
      <c r="AQ8307" s="31"/>
    </row>
    <row r="8308" spans="43:43" x14ac:dyDescent="0.2">
      <c r="AQ8308" s="31"/>
    </row>
    <row r="8309" spans="43:43" x14ac:dyDescent="0.2">
      <c r="AQ8309" s="31"/>
    </row>
    <row r="8310" spans="43:43" x14ac:dyDescent="0.2">
      <c r="AQ8310" s="31"/>
    </row>
    <row r="8311" spans="43:43" x14ac:dyDescent="0.2">
      <c r="AQ8311" s="31"/>
    </row>
    <row r="8312" spans="43:43" x14ac:dyDescent="0.2">
      <c r="AQ8312" s="31"/>
    </row>
    <row r="8313" spans="43:43" x14ac:dyDescent="0.2">
      <c r="AQ8313" s="31"/>
    </row>
    <row r="8314" spans="43:43" x14ac:dyDescent="0.2">
      <c r="AQ8314" s="31"/>
    </row>
    <row r="8315" spans="43:43" x14ac:dyDescent="0.2">
      <c r="AQ8315" s="31"/>
    </row>
    <row r="8316" spans="43:43" x14ac:dyDescent="0.2">
      <c r="AQ8316" s="31"/>
    </row>
    <row r="8317" spans="43:43" x14ac:dyDescent="0.2">
      <c r="AQ8317" s="31"/>
    </row>
    <row r="8318" spans="43:43" x14ac:dyDescent="0.2">
      <c r="AQ8318" s="31"/>
    </row>
    <row r="8319" spans="43:43" x14ac:dyDescent="0.2">
      <c r="AQ8319" s="31"/>
    </row>
    <row r="8320" spans="43:43" x14ac:dyDescent="0.2">
      <c r="AQ8320" s="31"/>
    </row>
    <row r="8321" spans="43:43" x14ac:dyDescent="0.2">
      <c r="AQ8321" s="31"/>
    </row>
    <row r="8322" spans="43:43" x14ac:dyDescent="0.2">
      <c r="AQ8322" s="31"/>
    </row>
    <row r="8323" spans="43:43" x14ac:dyDescent="0.2">
      <c r="AQ8323" s="31"/>
    </row>
    <row r="8324" spans="43:43" x14ac:dyDescent="0.2">
      <c r="AQ8324" s="31"/>
    </row>
    <row r="8325" spans="43:43" x14ac:dyDescent="0.2">
      <c r="AQ8325" s="31"/>
    </row>
    <row r="8326" spans="43:43" x14ac:dyDescent="0.2">
      <c r="AQ8326" s="31"/>
    </row>
    <row r="8327" spans="43:43" x14ac:dyDescent="0.2">
      <c r="AQ8327" s="31"/>
    </row>
    <row r="8328" spans="43:43" x14ac:dyDescent="0.2">
      <c r="AQ8328" s="31"/>
    </row>
    <row r="8329" spans="43:43" x14ac:dyDescent="0.2">
      <c r="AQ8329" s="31"/>
    </row>
    <row r="8330" spans="43:43" x14ac:dyDescent="0.2">
      <c r="AQ8330" s="31"/>
    </row>
    <row r="8331" spans="43:43" x14ac:dyDescent="0.2">
      <c r="AQ8331" s="31"/>
    </row>
    <row r="8332" spans="43:43" x14ac:dyDescent="0.2">
      <c r="AQ8332" s="31"/>
    </row>
    <row r="8333" spans="43:43" x14ac:dyDescent="0.2">
      <c r="AQ8333" s="31"/>
    </row>
    <row r="8334" spans="43:43" x14ac:dyDescent="0.2">
      <c r="AQ8334" s="31"/>
    </row>
    <row r="8335" spans="43:43" x14ac:dyDescent="0.2">
      <c r="AQ8335" s="31"/>
    </row>
    <row r="8336" spans="43:43" x14ac:dyDescent="0.2">
      <c r="AQ8336" s="31"/>
    </row>
    <row r="8337" spans="43:43" x14ac:dyDescent="0.2">
      <c r="AQ8337" s="31"/>
    </row>
    <row r="8338" spans="43:43" x14ac:dyDescent="0.2">
      <c r="AQ8338" s="31"/>
    </row>
    <row r="8339" spans="43:43" x14ac:dyDescent="0.2">
      <c r="AQ8339" s="31"/>
    </row>
    <row r="8340" spans="43:43" x14ac:dyDescent="0.2">
      <c r="AQ8340" s="31"/>
    </row>
    <row r="8341" spans="43:43" x14ac:dyDescent="0.2">
      <c r="AQ8341" s="31"/>
    </row>
    <row r="8342" spans="43:43" x14ac:dyDescent="0.2">
      <c r="AQ8342" s="31"/>
    </row>
    <row r="8343" spans="43:43" x14ac:dyDescent="0.2">
      <c r="AQ8343" s="31"/>
    </row>
    <row r="8344" spans="43:43" x14ac:dyDescent="0.2">
      <c r="AQ8344" s="31"/>
    </row>
    <row r="8345" spans="43:43" x14ac:dyDescent="0.2">
      <c r="AQ8345" s="31"/>
    </row>
    <row r="8346" spans="43:43" x14ac:dyDescent="0.2">
      <c r="AQ8346" s="31"/>
    </row>
    <row r="8347" spans="43:43" x14ac:dyDescent="0.2">
      <c r="AQ8347" s="31"/>
    </row>
    <row r="8348" spans="43:43" x14ac:dyDescent="0.2">
      <c r="AQ8348" s="31"/>
    </row>
    <row r="8349" spans="43:43" x14ac:dyDescent="0.2">
      <c r="AQ8349" s="31"/>
    </row>
    <row r="8350" spans="43:43" x14ac:dyDescent="0.2">
      <c r="AQ8350" s="31"/>
    </row>
    <row r="8351" spans="43:43" x14ac:dyDescent="0.2">
      <c r="AQ8351" s="31"/>
    </row>
    <row r="8352" spans="43:43" x14ac:dyDescent="0.2">
      <c r="AQ8352" s="31"/>
    </row>
    <row r="8353" spans="43:43" x14ac:dyDescent="0.2">
      <c r="AQ8353" s="31"/>
    </row>
    <row r="8354" spans="43:43" x14ac:dyDescent="0.2">
      <c r="AQ8354" s="31"/>
    </row>
    <row r="8355" spans="43:43" x14ac:dyDescent="0.2">
      <c r="AQ8355" s="31"/>
    </row>
    <row r="8356" spans="43:43" x14ac:dyDescent="0.2">
      <c r="AQ8356" s="31"/>
    </row>
    <row r="8357" spans="43:43" x14ac:dyDescent="0.2">
      <c r="AQ8357" s="31"/>
    </row>
    <row r="8358" spans="43:43" x14ac:dyDescent="0.2">
      <c r="AQ8358" s="31"/>
    </row>
    <row r="8359" spans="43:43" x14ac:dyDescent="0.2">
      <c r="AQ8359" s="31"/>
    </row>
    <row r="8360" spans="43:43" x14ac:dyDescent="0.2">
      <c r="AQ8360" s="31"/>
    </row>
    <row r="8361" spans="43:43" x14ac:dyDescent="0.2">
      <c r="AQ8361" s="31"/>
    </row>
    <row r="8362" spans="43:43" x14ac:dyDescent="0.2">
      <c r="AQ8362" s="31"/>
    </row>
    <row r="8363" spans="43:43" x14ac:dyDescent="0.2">
      <c r="AQ8363" s="31"/>
    </row>
    <row r="8364" spans="43:43" x14ac:dyDescent="0.2">
      <c r="AQ8364" s="31"/>
    </row>
    <row r="8365" spans="43:43" x14ac:dyDescent="0.2">
      <c r="AQ8365" s="31"/>
    </row>
    <row r="8366" spans="43:43" x14ac:dyDescent="0.2">
      <c r="AQ8366" s="31"/>
    </row>
    <row r="8367" spans="43:43" x14ac:dyDescent="0.2">
      <c r="AQ8367" s="31"/>
    </row>
    <row r="8368" spans="43:43" x14ac:dyDescent="0.2">
      <c r="AQ8368" s="31"/>
    </row>
    <row r="8369" spans="43:43" x14ac:dyDescent="0.2">
      <c r="AQ8369" s="31"/>
    </row>
    <row r="8370" spans="43:43" x14ac:dyDescent="0.2">
      <c r="AQ8370" s="31"/>
    </row>
    <row r="8371" spans="43:43" x14ac:dyDescent="0.2">
      <c r="AQ8371" s="31"/>
    </row>
    <row r="8372" spans="43:43" x14ac:dyDescent="0.2">
      <c r="AQ8372" s="31"/>
    </row>
    <row r="8373" spans="43:43" x14ac:dyDescent="0.2">
      <c r="AQ8373" s="31"/>
    </row>
    <row r="8374" spans="43:43" x14ac:dyDescent="0.2">
      <c r="AQ8374" s="31"/>
    </row>
    <row r="8375" spans="43:43" x14ac:dyDescent="0.2">
      <c r="AQ8375" s="31"/>
    </row>
    <row r="8376" spans="43:43" x14ac:dyDescent="0.2">
      <c r="AQ8376" s="31"/>
    </row>
    <row r="8377" spans="43:43" x14ac:dyDescent="0.2">
      <c r="AQ8377" s="31"/>
    </row>
    <row r="8378" spans="43:43" x14ac:dyDescent="0.2">
      <c r="AQ8378" s="31"/>
    </row>
    <row r="8379" spans="43:43" x14ac:dyDescent="0.2">
      <c r="AQ8379" s="31"/>
    </row>
    <row r="8380" spans="43:43" x14ac:dyDescent="0.2">
      <c r="AQ8380" s="31"/>
    </row>
    <row r="8381" spans="43:43" x14ac:dyDescent="0.2">
      <c r="AQ8381" s="31"/>
    </row>
    <row r="8382" spans="43:43" x14ac:dyDescent="0.2">
      <c r="AQ8382" s="31"/>
    </row>
    <row r="8383" spans="43:43" x14ac:dyDescent="0.2">
      <c r="AQ8383" s="31"/>
    </row>
    <row r="8384" spans="43:43" x14ac:dyDescent="0.2">
      <c r="AQ8384" s="31"/>
    </row>
    <row r="8385" spans="43:43" x14ac:dyDescent="0.2">
      <c r="AQ8385" s="31"/>
    </row>
    <row r="8386" spans="43:43" x14ac:dyDescent="0.2">
      <c r="AQ8386" s="31"/>
    </row>
    <row r="8387" spans="43:43" x14ac:dyDescent="0.2">
      <c r="AQ8387" s="31"/>
    </row>
    <row r="8388" spans="43:43" x14ac:dyDescent="0.2">
      <c r="AQ8388" s="31"/>
    </row>
    <row r="8389" spans="43:43" x14ac:dyDescent="0.2">
      <c r="AQ8389" s="31"/>
    </row>
    <row r="8390" spans="43:43" x14ac:dyDescent="0.2">
      <c r="AQ8390" s="31"/>
    </row>
    <row r="8391" spans="43:43" x14ac:dyDescent="0.2">
      <c r="AQ8391" s="31"/>
    </row>
    <row r="8392" spans="43:43" x14ac:dyDescent="0.2">
      <c r="AQ8392" s="31"/>
    </row>
    <row r="8393" spans="43:43" x14ac:dyDescent="0.2">
      <c r="AQ8393" s="31"/>
    </row>
    <row r="8394" spans="43:43" x14ac:dyDescent="0.2">
      <c r="AQ8394" s="31"/>
    </row>
    <row r="8395" spans="43:43" x14ac:dyDescent="0.2">
      <c r="AQ8395" s="31"/>
    </row>
    <row r="8396" spans="43:43" x14ac:dyDescent="0.2">
      <c r="AQ8396" s="31"/>
    </row>
    <row r="8397" spans="43:43" x14ac:dyDescent="0.2">
      <c r="AQ8397" s="31"/>
    </row>
    <row r="8398" spans="43:43" x14ac:dyDescent="0.2">
      <c r="AQ8398" s="31"/>
    </row>
    <row r="8399" spans="43:43" x14ac:dyDescent="0.2">
      <c r="AQ8399" s="31"/>
    </row>
    <row r="8400" spans="43:43" x14ac:dyDescent="0.2">
      <c r="AQ8400" s="31"/>
    </row>
    <row r="8401" spans="43:43" x14ac:dyDescent="0.2">
      <c r="AQ8401" s="31"/>
    </row>
    <row r="8402" spans="43:43" x14ac:dyDescent="0.2">
      <c r="AQ8402" s="31"/>
    </row>
    <row r="8403" spans="43:43" x14ac:dyDescent="0.2">
      <c r="AQ8403" s="31"/>
    </row>
    <row r="8404" spans="43:43" x14ac:dyDescent="0.2">
      <c r="AQ8404" s="31"/>
    </row>
    <row r="8405" spans="43:43" x14ac:dyDescent="0.2">
      <c r="AQ8405" s="31"/>
    </row>
    <row r="8406" spans="43:43" x14ac:dyDescent="0.2">
      <c r="AQ8406" s="31"/>
    </row>
    <row r="8407" spans="43:43" x14ac:dyDescent="0.2">
      <c r="AQ8407" s="31"/>
    </row>
    <row r="8408" spans="43:43" x14ac:dyDescent="0.2">
      <c r="AQ8408" s="31"/>
    </row>
    <row r="8409" spans="43:43" x14ac:dyDescent="0.2">
      <c r="AQ8409" s="31"/>
    </row>
    <row r="8410" spans="43:43" x14ac:dyDescent="0.2">
      <c r="AQ8410" s="31"/>
    </row>
    <row r="8411" spans="43:43" x14ac:dyDescent="0.2">
      <c r="AQ8411" s="31"/>
    </row>
    <row r="8412" spans="43:43" x14ac:dyDescent="0.2">
      <c r="AQ8412" s="31"/>
    </row>
    <row r="8413" spans="43:43" x14ac:dyDescent="0.2">
      <c r="AQ8413" s="31"/>
    </row>
    <row r="8414" spans="43:43" x14ac:dyDescent="0.2">
      <c r="AQ8414" s="31"/>
    </row>
    <row r="8415" spans="43:43" x14ac:dyDescent="0.2">
      <c r="AQ8415" s="31"/>
    </row>
    <row r="8416" spans="43:43" x14ac:dyDescent="0.2">
      <c r="AQ8416" s="31"/>
    </row>
    <row r="8417" spans="43:43" x14ac:dyDescent="0.2">
      <c r="AQ8417" s="31"/>
    </row>
    <row r="8418" spans="43:43" x14ac:dyDescent="0.2">
      <c r="AQ8418" s="31"/>
    </row>
    <row r="8419" spans="43:43" x14ac:dyDescent="0.2">
      <c r="AQ8419" s="31"/>
    </row>
    <row r="8420" spans="43:43" x14ac:dyDescent="0.2">
      <c r="AQ8420" s="31"/>
    </row>
    <row r="8421" spans="43:43" x14ac:dyDescent="0.2">
      <c r="AQ8421" s="31"/>
    </row>
    <row r="8422" spans="43:43" x14ac:dyDescent="0.2">
      <c r="AQ8422" s="31"/>
    </row>
    <row r="8423" spans="43:43" x14ac:dyDescent="0.2">
      <c r="AQ8423" s="31"/>
    </row>
    <row r="8424" spans="43:43" x14ac:dyDescent="0.2">
      <c r="AQ8424" s="31"/>
    </row>
    <row r="8425" spans="43:43" x14ac:dyDescent="0.2">
      <c r="AQ8425" s="31"/>
    </row>
    <row r="8426" spans="43:43" x14ac:dyDescent="0.2">
      <c r="AQ8426" s="31"/>
    </row>
    <row r="8427" spans="43:43" x14ac:dyDescent="0.2">
      <c r="AQ8427" s="31"/>
    </row>
    <row r="8428" spans="43:43" x14ac:dyDescent="0.2">
      <c r="AQ8428" s="31"/>
    </row>
    <row r="8429" spans="43:43" x14ac:dyDescent="0.2">
      <c r="AQ8429" s="31"/>
    </row>
    <row r="8430" spans="43:43" x14ac:dyDescent="0.2">
      <c r="AQ8430" s="31"/>
    </row>
    <row r="8431" spans="43:43" x14ac:dyDescent="0.2">
      <c r="AQ8431" s="31"/>
    </row>
    <row r="8432" spans="43:43" x14ac:dyDescent="0.2">
      <c r="AQ8432" s="31"/>
    </row>
    <row r="8433" spans="43:43" x14ac:dyDescent="0.2">
      <c r="AQ8433" s="31"/>
    </row>
    <row r="8434" spans="43:43" x14ac:dyDescent="0.2">
      <c r="AQ8434" s="31"/>
    </row>
    <row r="8435" spans="43:43" x14ac:dyDescent="0.2">
      <c r="AQ8435" s="31"/>
    </row>
    <row r="8436" spans="43:43" x14ac:dyDescent="0.2">
      <c r="AQ8436" s="31"/>
    </row>
    <row r="8437" spans="43:43" x14ac:dyDescent="0.2">
      <c r="AQ8437" s="31"/>
    </row>
    <row r="8438" spans="43:43" x14ac:dyDescent="0.2">
      <c r="AQ8438" s="31"/>
    </row>
    <row r="8439" spans="43:43" x14ac:dyDescent="0.2">
      <c r="AQ8439" s="31"/>
    </row>
    <row r="8440" spans="43:43" x14ac:dyDescent="0.2">
      <c r="AQ8440" s="31"/>
    </row>
    <row r="8441" spans="43:43" x14ac:dyDescent="0.2">
      <c r="AQ8441" s="31"/>
    </row>
    <row r="8442" spans="43:43" x14ac:dyDescent="0.2">
      <c r="AQ8442" s="31"/>
    </row>
    <row r="8443" spans="43:43" x14ac:dyDescent="0.2">
      <c r="AQ8443" s="31"/>
    </row>
    <row r="8444" spans="43:43" x14ac:dyDescent="0.2">
      <c r="AQ8444" s="31"/>
    </row>
    <row r="8445" spans="43:43" x14ac:dyDescent="0.2">
      <c r="AQ8445" s="31"/>
    </row>
    <row r="8446" spans="43:43" x14ac:dyDescent="0.2">
      <c r="AQ8446" s="31"/>
    </row>
    <row r="8447" spans="43:43" x14ac:dyDescent="0.2">
      <c r="AQ8447" s="31"/>
    </row>
    <row r="8448" spans="43:43" x14ac:dyDescent="0.2">
      <c r="AQ8448" s="31"/>
    </row>
    <row r="8449" spans="43:43" x14ac:dyDescent="0.2">
      <c r="AQ8449" s="31"/>
    </row>
    <row r="8450" spans="43:43" x14ac:dyDescent="0.2">
      <c r="AQ8450" s="31"/>
    </row>
    <row r="8451" spans="43:43" x14ac:dyDescent="0.2">
      <c r="AQ8451" s="31"/>
    </row>
    <row r="8452" spans="43:43" x14ac:dyDescent="0.2">
      <c r="AQ8452" s="31"/>
    </row>
    <row r="8453" spans="43:43" x14ac:dyDescent="0.2">
      <c r="AQ8453" s="31"/>
    </row>
    <row r="8454" spans="43:43" x14ac:dyDescent="0.2">
      <c r="AQ8454" s="31"/>
    </row>
    <row r="8455" spans="43:43" x14ac:dyDescent="0.2">
      <c r="AQ8455" s="31"/>
    </row>
    <row r="8456" spans="43:43" x14ac:dyDescent="0.2">
      <c r="AQ8456" s="31"/>
    </row>
    <row r="8457" spans="43:43" x14ac:dyDescent="0.2">
      <c r="AQ8457" s="31"/>
    </row>
    <row r="8458" spans="43:43" x14ac:dyDescent="0.2">
      <c r="AQ8458" s="31"/>
    </row>
    <row r="8459" spans="43:43" x14ac:dyDescent="0.2">
      <c r="AQ8459" s="31"/>
    </row>
    <row r="8460" spans="43:43" x14ac:dyDescent="0.2">
      <c r="AQ8460" s="31"/>
    </row>
    <row r="8461" spans="43:43" x14ac:dyDescent="0.2">
      <c r="AQ8461" s="31"/>
    </row>
    <row r="8462" spans="43:43" x14ac:dyDescent="0.2">
      <c r="AQ8462" s="31"/>
    </row>
    <row r="8463" spans="43:43" x14ac:dyDescent="0.2">
      <c r="AQ8463" s="31"/>
    </row>
    <row r="8464" spans="43:43" x14ac:dyDescent="0.2">
      <c r="AQ8464" s="31"/>
    </row>
    <row r="8465" spans="43:43" x14ac:dyDescent="0.2">
      <c r="AQ8465" s="31"/>
    </row>
    <row r="8466" spans="43:43" x14ac:dyDescent="0.2">
      <c r="AQ8466" s="31"/>
    </row>
    <row r="8467" spans="43:43" x14ac:dyDescent="0.2">
      <c r="AQ8467" s="31"/>
    </row>
    <row r="8468" spans="43:43" x14ac:dyDescent="0.2">
      <c r="AQ8468" s="31"/>
    </row>
    <row r="8469" spans="43:43" x14ac:dyDescent="0.2">
      <c r="AQ8469" s="31"/>
    </row>
    <row r="8470" spans="43:43" x14ac:dyDescent="0.2">
      <c r="AQ8470" s="31"/>
    </row>
    <row r="8471" spans="43:43" x14ac:dyDescent="0.2">
      <c r="AQ8471" s="31"/>
    </row>
    <row r="8472" spans="43:43" x14ac:dyDescent="0.2">
      <c r="AQ8472" s="31"/>
    </row>
    <row r="8473" spans="43:43" x14ac:dyDescent="0.2">
      <c r="AQ8473" s="31"/>
    </row>
    <row r="8474" spans="43:43" x14ac:dyDescent="0.2">
      <c r="AQ8474" s="31"/>
    </row>
    <row r="8475" spans="43:43" x14ac:dyDescent="0.2">
      <c r="AQ8475" s="31"/>
    </row>
    <row r="8476" spans="43:43" x14ac:dyDescent="0.2">
      <c r="AQ8476" s="31"/>
    </row>
    <row r="8477" spans="43:43" x14ac:dyDescent="0.2">
      <c r="AQ8477" s="31"/>
    </row>
    <row r="8478" spans="43:43" x14ac:dyDescent="0.2">
      <c r="AQ8478" s="31"/>
    </row>
    <row r="8479" spans="43:43" x14ac:dyDescent="0.2">
      <c r="AQ8479" s="31"/>
    </row>
    <row r="8480" spans="43:43" x14ac:dyDescent="0.2">
      <c r="AQ8480" s="31"/>
    </row>
    <row r="8481" spans="43:43" x14ac:dyDescent="0.2">
      <c r="AQ8481" s="31"/>
    </row>
    <row r="8482" spans="43:43" x14ac:dyDescent="0.2">
      <c r="AQ8482" s="31"/>
    </row>
    <row r="8483" spans="43:43" x14ac:dyDescent="0.2">
      <c r="AQ8483" s="31"/>
    </row>
    <row r="8484" spans="43:43" x14ac:dyDescent="0.2">
      <c r="AQ8484" s="31"/>
    </row>
    <row r="8485" spans="43:43" x14ac:dyDescent="0.2">
      <c r="AQ8485" s="31"/>
    </row>
    <row r="8486" spans="43:43" x14ac:dyDescent="0.2">
      <c r="AQ8486" s="31"/>
    </row>
    <row r="8487" spans="43:43" x14ac:dyDescent="0.2">
      <c r="AQ8487" s="31"/>
    </row>
    <row r="8488" spans="43:43" x14ac:dyDescent="0.2">
      <c r="AQ8488" s="31"/>
    </row>
    <row r="8489" spans="43:43" x14ac:dyDescent="0.2">
      <c r="AQ8489" s="31"/>
    </row>
    <row r="8490" spans="43:43" x14ac:dyDescent="0.2">
      <c r="AQ8490" s="31"/>
    </row>
    <row r="8491" spans="43:43" x14ac:dyDescent="0.2">
      <c r="AQ8491" s="31"/>
    </row>
    <row r="8492" spans="43:43" x14ac:dyDescent="0.2">
      <c r="AQ8492" s="31"/>
    </row>
    <row r="8493" spans="43:43" x14ac:dyDescent="0.2">
      <c r="AQ8493" s="31"/>
    </row>
    <row r="8494" spans="43:43" x14ac:dyDescent="0.2">
      <c r="AQ8494" s="31"/>
    </row>
    <row r="8495" spans="43:43" x14ac:dyDescent="0.2">
      <c r="AQ8495" s="31"/>
    </row>
    <row r="8496" spans="43:43" x14ac:dyDescent="0.2">
      <c r="AQ8496" s="31"/>
    </row>
    <row r="8497" spans="43:43" x14ac:dyDescent="0.2">
      <c r="AQ8497" s="31"/>
    </row>
    <row r="8498" spans="43:43" x14ac:dyDescent="0.2">
      <c r="AQ8498" s="31"/>
    </row>
    <row r="8499" spans="43:43" x14ac:dyDescent="0.2">
      <c r="AQ8499" s="31"/>
    </row>
    <row r="8500" spans="43:43" x14ac:dyDescent="0.2">
      <c r="AQ8500" s="31"/>
    </row>
    <row r="8501" spans="43:43" x14ac:dyDescent="0.2">
      <c r="AQ8501" s="31"/>
    </row>
    <row r="8502" spans="43:43" x14ac:dyDescent="0.2">
      <c r="AQ8502" s="31"/>
    </row>
    <row r="8503" spans="43:43" x14ac:dyDescent="0.2">
      <c r="AQ8503" s="31"/>
    </row>
    <row r="8504" spans="43:43" x14ac:dyDescent="0.2">
      <c r="AQ8504" s="31"/>
    </row>
    <row r="8505" spans="43:43" x14ac:dyDescent="0.2">
      <c r="AQ8505" s="31"/>
    </row>
    <row r="8506" spans="43:43" x14ac:dyDescent="0.2">
      <c r="AQ8506" s="31"/>
    </row>
    <row r="8507" spans="43:43" x14ac:dyDescent="0.2">
      <c r="AQ8507" s="31"/>
    </row>
    <row r="8508" spans="43:43" x14ac:dyDescent="0.2">
      <c r="AQ8508" s="31"/>
    </row>
    <row r="8509" spans="43:43" x14ac:dyDescent="0.2">
      <c r="AQ8509" s="31"/>
    </row>
    <row r="8510" spans="43:43" x14ac:dyDescent="0.2">
      <c r="AQ8510" s="31"/>
    </row>
    <row r="8511" spans="43:43" x14ac:dyDescent="0.2">
      <c r="AQ8511" s="31"/>
    </row>
    <row r="8512" spans="43:43" x14ac:dyDescent="0.2">
      <c r="AQ8512" s="31"/>
    </row>
    <row r="8513" spans="43:43" x14ac:dyDescent="0.2">
      <c r="AQ8513" s="31"/>
    </row>
    <row r="8514" spans="43:43" x14ac:dyDescent="0.2">
      <c r="AQ8514" s="31"/>
    </row>
    <row r="8515" spans="43:43" x14ac:dyDescent="0.2">
      <c r="AQ8515" s="31"/>
    </row>
    <row r="8516" spans="43:43" x14ac:dyDescent="0.2">
      <c r="AQ8516" s="31"/>
    </row>
    <row r="8517" spans="43:43" x14ac:dyDescent="0.2">
      <c r="AQ8517" s="31"/>
    </row>
    <row r="8518" spans="43:43" x14ac:dyDescent="0.2">
      <c r="AQ8518" s="31"/>
    </row>
    <row r="8519" spans="43:43" x14ac:dyDescent="0.2">
      <c r="AQ8519" s="31"/>
    </row>
    <row r="8520" spans="43:43" x14ac:dyDescent="0.2">
      <c r="AQ8520" s="31"/>
    </row>
    <row r="8521" spans="43:43" x14ac:dyDescent="0.2">
      <c r="AQ8521" s="31"/>
    </row>
    <row r="8522" spans="43:43" x14ac:dyDescent="0.2">
      <c r="AQ8522" s="31"/>
    </row>
    <row r="8523" spans="43:43" x14ac:dyDescent="0.2">
      <c r="AQ8523" s="31"/>
    </row>
    <row r="8524" spans="43:43" x14ac:dyDescent="0.2">
      <c r="AQ8524" s="31"/>
    </row>
    <row r="8525" spans="43:43" x14ac:dyDescent="0.2">
      <c r="AQ8525" s="31"/>
    </row>
    <row r="8526" spans="43:43" x14ac:dyDescent="0.2">
      <c r="AQ8526" s="31"/>
    </row>
    <row r="8527" spans="43:43" x14ac:dyDescent="0.2">
      <c r="AQ8527" s="31"/>
    </row>
    <row r="8528" spans="43:43" x14ac:dyDescent="0.2">
      <c r="AQ8528" s="31"/>
    </row>
    <row r="8529" spans="43:43" x14ac:dyDescent="0.2">
      <c r="AQ8529" s="31"/>
    </row>
    <row r="8530" spans="43:43" x14ac:dyDescent="0.2">
      <c r="AQ8530" s="31"/>
    </row>
    <row r="8531" spans="43:43" x14ac:dyDescent="0.2">
      <c r="AQ8531" s="31"/>
    </row>
    <row r="8532" spans="43:43" x14ac:dyDescent="0.2">
      <c r="AQ8532" s="31"/>
    </row>
    <row r="8533" spans="43:43" x14ac:dyDescent="0.2">
      <c r="AQ8533" s="31"/>
    </row>
    <row r="8534" spans="43:43" x14ac:dyDescent="0.2">
      <c r="AQ8534" s="31"/>
    </row>
    <row r="8535" spans="43:43" x14ac:dyDescent="0.2">
      <c r="AQ8535" s="31"/>
    </row>
    <row r="8536" spans="43:43" x14ac:dyDescent="0.2">
      <c r="AQ8536" s="31"/>
    </row>
    <row r="8537" spans="43:43" x14ac:dyDescent="0.2">
      <c r="AQ8537" s="31"/>
    </row>
    <row r="8538" spans="43:43" x14ac:dyDescent="0.2">
      <c r="AQ8538" s="31"/>
    </row>
    <row r="8539" spans="43:43" x14ac:dyDescent="0.2">
      <c r="AQ8539" s="31"/>
    </row>
    <row r="8540" spans="43:43" x14ac:dyDescent="0.2">
      <c r="AQ8540" s="31"/>
    </row>
    <row r="8541" spans="43:43" x14ac:dyDescent="0.2">
      <c r="AQ8541" s="31"/>
    </row>
    <row r="8542" spans="43:43" x14ac:dyDescent="0.2">
      <c r="AQ8542" s="31"/>
    </row>
    <row r="8543" spans="43:43" x14ac:dyDescent="0.2">
      <c r="AQ8543" s="31"/>
    </row>
    <row r="8544" spans="43:43" x14ac:dyDescent="0.2">
      <c r="AQ8544" s="31"/>
    </row>
    <row r="8545" spans="43:43" x14ac:dyDescent="0.2">
      <c r="AQ8545" s="31"/>
    </row>
    <row r="8546" spans="43:43" x14ac:dyDescent="0.2">
      <c r="AQ8546" s="31"/>
    </row>
    <row r="8547" spans="43:43" x14ac:dyDescent="0.2">
      <c r="AQ8547" s="31"/>
    </row>
    <row r="8548" spans="43:43" x14ac:dyDescent="0.2">
      <c r="AQ8548" s="31"/>
    </row>
    <row r="8549" spans="43:43" x14ac:dyDescent="0.2">
      <c r="AQ8549" s="31"/>
    </row>
    <row r="8550" spans="43:43" x14ac:dyDescent="0.2">
      <c r="AQ8550" s="31"/>
    </row>
    <row r="8551" spans="43:43" x14ac:dyDescent="0.2">
      <c r="AQ8551" s="31"/>
    </row>
    <row r="8552" spans="43:43" x14ac:dyDescent="0.2">
      <c r="AQ8552" s="31"/>
    </row>
    <row r="8553" spans="43:43" x14ac:dyDescent="0.2">
      <c r="AQ8553" s="31"/>
    </row>
    <row r="8554" spans="43:43" x14ac:dyDescent="0.2">
      <c r="AQ8554" s="31"/>
    </row>
    <row r="8555" spans="43:43" x14ac:dyDescent="0.2">
      <c r="AQ8555" s="31"/>
    </row>
    <row r="8556" spans="43:43" x14ac:dyDescent="0.2">
      <c r="AQ8556" s="31"/>
    </row>
    <row r="8557" spans="43:43" x14ac:dyDescent="0.2">
      <c r="AQ8557" s="31"/>
    </row>
    <row r="8558" spans="43:43" x14ac:dyDescent="0.2">
      <c r="AQ8558" s="31"/>
    </row>
    <row r="8559" spans="43:43" x14ac:dyDescent="0.2">
      <c r="AQ8559" s="31"/>
    </row>
    <row r="8560" spans="43:43" x14ac:dyDescent="0.2">
      <c r="AQ8560" s="31"/>
    </row>
    <row r="8561" spans="43:43" x14ac:dyDescent="0.2">
      <c r="AQ8561" s="31"/>
    </row>
    <row r="8562" spans="43:43" x14ac:dyDescent="0.2">
      <c r="AQ8562" s="31"/>
    </row>
    <row r="8563" spans="43:43" x14ac:dyDescent="0.2">
      <c r="AQ8563" s="31"/>
    </row>
    <row r="8564" spans="43:43" x14ac:dyDescent="0.2">
      <c r="AQ8564" s="31"/>
    </row>
    <row r="8565" spans="43:43" x14ac:dyDescent="0.2">
      <c r="AQ8565" s="31"/>
    </row>
    <row r="8566" spans="43:43" x14ac:dyDescent="0.2">
      <c r="AQ8566" s="31"/>
    </row>
    <row r="8567" spans="43:43" x14ac:dyDescent="0.2">
      <c r="AQ8567" s="31"/>
    </row>
    <row r="8568" spans="43:43" x14ac:dyDescent="0.2">
      <c r="AQ8568" s="31"/>
    </row>
    <row r="8569" spans="43:43" x14ac:dyDescent="0.2">
      <c r="AQ8569" s="31"/>
    </row>
    <row r="8570" spans="43:43" x14ac:dyDescent="0.2">
      <c r="AQ8570" s="31"/>
    </row>
    <row r="8571" spans="43:43" x14ac:dyDescent="0.2">
      <c r="AQ8571" s="31"/>
    </row>
    <row r="8572" spans="43:43" x14ac:dyDescent="0.2">
      <c r="AQ8572" s="31"/>
    </row>
    <row r="8573" spans="43:43" x14ac:dyDescent="0.2">
      <c r="AQ8573" s="31"/>
    </row>
    <row r="8574" spans="43:43" x14ac:dyDescent="0.2">
      <c r="AQ8574" s="31"/>
    </row>
    <row r="8575" spans="43:43" x14ac:dyDescent="0.2">
      <c r="AQ8575" s="31"/>
    </row>
    <row r="8576" spans="43:43" x14ac:dyDescent="0.2">
      <c r="AQ8576" s="31"/>
    </row>
    <row r="8577" spans="43:43" x14ac:dyDescent="0.2">
      <c r="AQ8577" s="31"/>
    </row>
    <row r="8578" spans="43:43" x14ac:dyDescent="0.2">
      <c r="AQ8578" s="31"/>
    </row>
    <row r="8579" spans="43:43" x14ac:dyDescent="0.2">
      <c r="AQ8579" s="31"/>
    </row>
    <row r="8580" spans="43:43" x14ac:dyDescent="0.2">
      <c r="AQ8580" s="31"/>
    </row>
    <row r="8581" spans="43:43" x14ac:dyDescent="0.2">
      <c r="AQ8581" s="31"/>
    </row>
    <row r="8582" spans="43:43" x14ac:dyDescent="0.2">
      <c r="AQ8582" s="31"/>
    </row>
    <row r="8583" spans="43:43" x14ac:dyDescent="0.2">
      <c r="AQ8583" s="31"/>
    </row>
    <row r="8584" spans="43:43" x14ac:dyDescent="0.2">
      <c r="AQ8584" s="31"/>
    </row>
    <row r="8585" spans="43:43" x14ac:dyDescent="0.2">
      <c r="AQ8585" s="31"/>
    </row>
    <row r="8586" spans="43:43" x14ac:dyDescent="0.2">
      <c r="AQ8586" s="31"/>
    </row>
    <row r="8587" spans="43:43" x14ac:dyDescent="0.2">
      <c r="AQ8587" s="31"/>
    </row>
    <row r="8588" spans="43:43" x14ac:dyDescent="0.2">
      <c r="AQ8588" s="31"/>
    </row>
    <row r="8589" spans="43:43" x14ac:dyDescent="0.2">
      <c r="AQ8589" s="31"/>
    </row>
    <row r="8590" spans="43:43" x14ac:dyDescent="0.2">
      <c r="AQ8590" s="31"/>
    </row>
    <row r="8591" spans="43:43" x14ac:dyDescent="0.2">
      <c r="AQ8591" s="31"/>
    </row>
    <row r="8592" spans="43:43" x14ac:dyDescent="0.2">
      <c r="AQ8592" s="31"/>
    </row>
    <row r="8593" spans="43:43" x14ac:dyDescent="0.2">
      <c r="AQ8593" s="31"/>
    </row>
    <row r="8594" spans="43:43" x14ac:dyDescent="0.2">
      <c r="AQ8594" s="31"/>
    </row>
    <row r="8595" spans="43:43" x14ac:dyDescent="0.2">
      <c r="AQ8595" s="31"/>
    </row>
    <row r="8596" spans="43:43" x14ac:dyDescent="0.2">
      <c r="AQ8596" s="31"/>
    </row>
    <row r="8597" spans="43:43" x14ac:dyDescent="0.2">
      <c r="AQ8597" s="31"/>
    </row>
    <row r="8598" spans="43:43" x14ac:dyDescent="0.2">
      <c r="AQ8598" s="31"/>
    </row>
    <row r="8599" spans="43:43" x14ac:dyDescent="0.2">
      <c r="AQ8599" s="31"/>
    </row>
    <row r="8600" spans="43:43" x14ac:dyDescent="0.2">
      <c r="AQ8600" s="31"/>
    </row>
    <row r="8601" spans="43:43" x14ac:dyDescent="0.2">
      <c r="AQ8601" s="31"/>
    </row>
    <row r="8602" spans="43:43" x14ac:dyDescent="0.2">
      <c r="AQ8602" s="31"/>
    </row>
    <row r="8603" spans="43:43" x14ac:dyDescent="0.2">
      <c r="AQ8603" s="31"/>
    </row>
    <row r="8604" spans="43:43" x14ac:dyDescent="0.2">
      <c r="AQ8604" s="31"/>
    </row>
    <row r="8605" spans="43:43" x14ac:dyDescent="0.2">
      <c r="AQ8605" s="31"/>
    </row>
    <row r="8606" spans="43:43" x14ac:dyDescent="0.2">
      <c r="AQ8606" s="31"/>
    </row>
    <row r="8607" spans="43:43" x14ac:dyDescent="0.2">
      <c r="AQ8607" s="31"/>
    </row>
    <row r="8608" spans="43:43" x14ac:dyDescent="0.2">
      <c r="AQ8608" s="31"/>
    </row>
    <row r="8609" spans="43:43" x14ac:dyDescent="0.2">
      <c r="AQ8609" s="31"/>
    </row>
    <row r="8610" spans="43:43" x14ac:dyDescent="0.2">
      <c r="AQ8610" s="31"/>
    </row>
    <row r="8611" spans="43:43" x14ac:dyDescent="0.2">
      <c r="AQ8611" s="31"/>
    </row>
    <row r="8612" spans="43:43" x14ac:dyDescent="0.2">
      <c r="AQ8612" s="31"/>
    </row>
    <row r="8613" spans="43:43" x14ac:dyDescent="0.2">
      <c r="AQ8613" s="31"/>
    </row>
    <row r="8614" spans="43:43" x14ac:dyDescent="0.2">
      <c r="AQ8614" s="31"/>
    </row>
    <row r="8615" spans="43:43" x14ac:dyDescent="0.2">
      <c r="AQ8615" s="31"/>
    </row>
    <row r="8616" spans="43:43" x14ac:dyDescent="0.2">
      <c r="AQ8616" s="31"/>
    </row>
    <row r="8617" spans="43:43" x14ac:dyDescent="0.2">
      <c r="AQ8617" s="31"/>
    </row>
    <row r="8618" spans="43:43" x14ac:dyDescent="0.2">
      <c r="AQ8618" s="31"/>
    </row>
    <row r="8619" spans="43:43" x14ac:dyDescent="0.2">
      <c r="AQ8619" s="31"/>
    </row>
    <row r="8620" spans="43:43" x14ac:dyDescent="0.2">
      <c r="AQ8620" s="31"/>
    </row>
    <row r="8621" spans="43:43" x14ac:dyDescent="0.2">
      <c r="AQ8621" s="31"/>
    </row>
    <row r="8622" spans="43:43" x14ac:dyDescent="0.2">
      <c r="AQ8622" s="31"/>
    </row>
    <row r="8623" spans="43:43" x14ac:dyDescent="0.2">
      <c r="AQ8623" s="31"/>
    </row>
    <row r="8624" spans="43:43" x14ac:dyDescent="0.2">
      <c r="AQ8624" s="31"/>
    </row>
    <row r="8625" spans="43:43" x14ac:dyDescent="0.2">
      <c r="AQ8625" s="31"/>
    </row>
    <row r="8626" spans="43:43" x14ac:dyDescent="0.2">
      <c r="AQ8626" s="31"/>
    </row>
    <row r="8627" spans="43:43" x14ac:dyDescent="0.2">
      <c r="AQ8627" s="31"/>
    </row>
    <row r="8628" spans="43:43" x14ac:dyDescent="0.2">
      <c r="AQ8628" s="31"/>
    </row>
    <row r="8629" spans="43:43" x14ac:dyDescent="0.2">
      <c r="AQ8629" s="31"/>
    </row>
    <row r="8630" spans="43:43" x14ac:dyDescent="0.2">
      <c r="AQ8630" s="31"/>
    </row>
    <row r="8631" spans="43:43" x14ac:dyDescent="0.2">
      <c r="AQ8631" s="31"/>
    </row>
    <row r="8632" spans="43:43" x14ac:dyDescent="0.2">
      <c r="AQ8632" s="31"/>
    </row>
    <row r="8633" spans="43:43" x14ac:dyDescent="0.2">
      <c r="AQ8633" s="31"/>
    </row>
    <row r="8634" spans="43:43" x14ac:dyDescent="0.2">
      <c r="AQ8634" s="31"/>
    </row>
    <row r="8635" spans="43:43" x14ac:dyDescent="0.2">
      <c r="AQ8635" s="31"/>
    </row>
    <row r="8636" spans="43:43" x14ac:dyDescent="0.2">
      <c r="AQ8636" s="31"/>
    </row>
    <row r="8637" spans="43:43" x14ac:dyDescent="0.2">
      <c r="AQ8637" s="31"/>
    </row>
    <row r="8638" spans="43:43" x14ac:dyDescent="0.2">
      <c r="AQ8638" s="31"/>
    </row>
    <row r="8639" spans="43:43" x14ac:dyDescent="0.2">
      <c r="AQ8639" s="31"/>
    </row>
    <row r="8640" spans="43:43" x14ac:dyDescent="0.2">
      <c r="AQ8640" s="31"/>
    </row>
    <row r="8641" spans="43:43" x14ac:dyDescent="0.2">
      <c r="AQ8641" s="31"/>
    </row>
    <row r="8642" spans="43:43" x14ac:dyDescent="0.2">
      <c r="AQ8642" s="31"/>
    </row>
    <row r="8643" spans="43:43" x14ac:dyDescent="0.2">
      <c r="AQ8643" s="31"/>
    </row>
    <row r="8644" spans="43:43" x14ac:dyDescent="0.2">
      <c r="AQ8644" s="31"/>
    </row>
    <row r="8645" spans="43:43" x14ac:dyDescent="0.2">
      <c r="AQ8645" s="31"/>
    </row>
    <row r="8646" spans="43:43" x14ac:dyDescent="0.2">
      <c r="AQ8646" s="31"/>
    </row>
    <row r="8647" spans="43:43" x14ac:dyDescent="0.2">
      <c r="AQ8647" s="31"/>
    </row>
    <row r="8648" spans="43:43" x14ac:dyDescent="0.2">
      <c r="AQ8648" s="31"/>
    </row>
    <row r="8649" spans="43:43" x14ac:dyDescent="0.2">
      <c r="AQ8649" s="31"/>
    </row>
    <row r="8650" spans="43:43" x14ac:dyDescent="0.2">
      <c r="AQ8650" s="31"/>
    </row>
    <row r="8651" spans="43:43" x14ac:dyDescent="0.2">
      <c r="AQ8651" s="31"/>
    </row>
    <row r="8652" spans="43:43" x14ac:dyDescent="0.2">
      <c r="AQ8652" s="31"/>
    </row>
    <row r="8653" spans="43:43" x14ac:dyDescent="0.2">
      <c r="AQ8653" s="31"/>
    </row>
    <row r="8654" spans="43:43" x14ac:dyDescent="0.2">
      <c r="AQ8654" s="31"/>
    </row>
    <row r="8655" spans="43:43" x14ac:dyDescent="0.2">
      <c r="AQ8655" s="31"/>
    </row>
    <row r="8656" spans="43:43" x14ac:dyDescent="0.2">
      <c r="AQ8656" s="31"/>
    </row>
    <row r="8657" spans="43:43" x14ac:dyDescent="0.2">
      <c r="AQ8657" s="31"/>
    </row>
    <row r="8658" spans="43:43" x14ac:dyDescent="0.2">
      <c r="AQ8658" s="31"/>
    </row>
    <row r="8659" spans="43:43" x14ac:dyDescent="0.2">
      <c r="AQ8659" s="31"/>
    </row>
    <row r="8660" spans="43:43" x14ac:dyDescent="0.2">
      <c r="AQ8660" s="31"/>
    </row>
    <row r="8661" spans="43:43" x14ac:dyDescent="0.2">
      <c r="AQ8661" s="31"/>
    </row>
    <row r="8662" spans="43:43" x14ac:dyDescent="0.2">
      <c r="AQ8662" s="31"/>
    </row>
    <row r="8663" spans="43:43" x14ac:dyDescent="0.2">
      <c r="AQ8663" s="31"/>
    </row>
    <row r="8664" spans="43:43" x14ac:dyDescent="0.2">
      <c r="AQ8664" s="31"/>
    </row>
    <row r="8665" spans="43:43" x14ac:dyDescent="0.2">
      <c r="AQ8665" s="31"/>
    </row>
    <row r="8666" spans="43:43" x14ac:dyDescent="0.2">
      <c r="AQ8666" s="31"/>
    </row>
    <row r="8667" spans="43:43" x14ac:dyDescent="0.2">
      <c r="AQ8667" s="31"/>
    </row>
    <row r="8668" spans="43:43" x14ac:dyDescent="0.2">
      <c r="AQ8668" s="31"/>
    </row>
    <row r="8669" spans="43:43" x14ac:dyDescent="0.2">
      <c r="AQ8669" s="31"/>
    </row>
    <row r="8670" spans="43:43" x14ac:dyDescent="0.2">
      <c r="AQ8670" s="31"/>
    </row>
    <row r="8671" spans="43:43" x14ac:dyDescent="0.2">
      <c r="AQ8671" s="31"/>
    </row>
    <row r="8672" spans="43:43" x14ac:dyDescent="0.2">
      <c r="AQ8672" s="31"/>
    </row>
    <row r="8673" spans="43:43" x14ac:dyDescent="0.2">
      <c r="AQ8673" s="31"/>
    </row>
    <row r="8674" spans="43:43" x14ac:dyDescent="0.2">
      <c r="AQ8674" s="31"/>
    </row>
    <row r="8675" spans="43:43" x14ac:dyDescent="0.2">
      <c r="AQ8675" s="31"/>
    </row>
    <row r="8676" spans="43:43" x14ac:dyDescent="0.2">
      <c r="AQ8676" s="31"/>
    </row>
    <row r="8677" spans="43:43" x14ac:dyDescent="0.2">
      <c r="AQ8677" s="31"/>
    </row>
    <row r="8678" spans="43:43" x14ac:dyDescent="0.2">
      <c r="AQ8678" s="31"/>
    </row>
    <row r="8679" spans="43:43" x14ac:dyDescent="0.2">
      <c r="AQ8679" s="31"/>
    </row>
    <row r="8680" spans="43:43" x14ac:dyDescent="0.2">
      <c r="AQ8680" s="31"/>
    </row>
    <row r="8681" spans="43:43" x14ac:dyDescent="0.2">
      <c r="AQ8681" s="31"/>
    </row>
    <row r="8682" spans="43:43" x14ac:dyDescent="0.2">
      <c r="AQ8682" s="31"/>
    </row>
    <row r="8683" spans="43:43" x14ac:dyDescent="0.2">
      <c r="AQ8683" s="31"/>
    </row>
    <row r="8684" spans="43:43" x14ac:dyDescent="0.2">
      <c r="AQ8684" s="31"/>
    </row>
    <row r="8685" spans="43:43" x14ac:dyDescent="0.2">
      <c r="AQ8685" s="31"/>
    </row>
    <row r="8686" spans="43:43" x14ac:dyDescent="0.2">
      <c r="AQ8686" s="31"/>
    </row>
    <row r="8687" spans="43:43" x14ac:dyDescent="0.2">
      <c r="AQ8687" s="31"/>
    </row>
    <row r="8688" spans="43:43" x14ac:dyDescent="0.2">
      <c r="AQ8688" s="31"/>
    </row>
    <row r="8689" spans="43:43" x14ac:dyDescent="0.2">
      <c r="AQ8689" s="31"/>
    </row>
    <row r="8690" spans="43:43" x14ac:dyDescent="0.2">
      <c r="AQ8690" s="31"/>
    </row>
    <row r="8691" spans="43:43" x14ac:dyDescent="0.2">
      <c r="AQ8691" s="31"/>
    </row>
    <row r="8692" spans="43:43" x14ac:dyDescent="0.2">
      <c r="AQ8692" s="31"/>
    </row>
    <row r="8693" spans="43:43" x14ac:dyDescent="0.2">
      <c r="AQ8693" s="31"/>
    </row>
    <row r="8694" spans="43:43" x14ac:dyDescent="0.2">
      <c r="AQ8694" s="31"/>
    </row>
    <row r="8695" spans="43:43" x14ac:dyDescent="0.2">
      <c r="AQ8695" s="31"/>
    </row>
    <row r="8696" spans="43:43" x14ac:dyDescent="0.2">
      <c r="AQ8696" s="31"/>
    </row>
    <row r="8697" spans="43:43" x14ac:dyDescent="0.2">
      <c r="AQ8697" s="31"/>
    </row>
    <row r="8698" spans="43:43" x14ac:dyDescent="0.2">
      <c r="AQ8698" s="31"/>
    </row>
    <row r="8699" spans="43:43" x14ac:dyDescent="0.2">
      <c r="AQ8699" s="31"/>
    </row>
    <row r="8700" spans="43:43" x14ac:dyDescent="0.2">
      <c r="AQ8700" s="31"/>
    </row>
    <row r="8701" spans="43:43" x14ac:dyDescent="0.2">
      <c r="AQ8701" s="31"/>
    </row>
    <row r="8702" spans="43:43" x14ac:dyDescent="0.2">
      <c r="AQ8702" s="31"/>
    </row>
    <row r="8703" spans="43:43" x14ac:dyDescent="0.2">
      <c r="AQ8703" s="31"/>
    </row>
    <row r="8704" spans="43:43" x14ac:dyDescent="0.2">
      <c r="AQ8704" s="31"/>
    </row>
    <row r="8705" spans="43:43" x14ac:dyDescent="0.2">
      <c r="AQ8705" s="31"/>
    </row>
    <row r="8706" spans="43:43" x14ac:dyDescent="0.2">
      <c r="AQ8706" s="31"/>
    </row>
    <row r="8707" spans="43:43" x14ac:dyDescent="0.2">
      <c r="AQ8707" s="31"/>
    </row>
    <row r="8708" spans="43:43" x14ac:dyDescent="0.2">
      <c r="AQ8708" s="31"/>
    </row>
    <row r="8709" spans="43:43" x14ac:dyDescent="0.2">
      <c r="AQ8709" s="31"/>
    </row>
    <row r="8710" spans="43:43" x14ac:dyDescent="0.2">
      <c r="AQ8710" s="31"/>
    </row>
    <row r="8711" spans="43:43" x14ac:dyDescent="0.2">
      <c r="AQ8711" s="31"/>
    </row>
    <row r="8712" spans="43:43" x14ac:dyDescent="0.2">
      <c r="AQ8712" s="31"/>
    </row>
    <row r="8713" spans="43:43" x14ac:dyDescent="0.2">
      <c r="AQ8713" s="31"/>
    </row>
    <row r="8714" spans="43:43" x14ac:dyDescent="0.2">
      <c r="AQ8714" s="31"/>
    </row>
    <row r="8715" spans="43:43" x14ac:dyDescent="0.2">
      <c r="AQ8715" s="31"/>
    </row>
    <row r="8716" spans="43:43" x14ac:dyDescent="0.2">
      <c r="AQ8716" s="31"/>
    </row>
    <row r="8717" spans="43:43" x14ac:dyDescent="0.2">
      <c r="AQ8717" s="31"/>
    </row>
    <row r="8718" spans="43:43" x14ac:dyDescent="0.2">
      <c r="AQ8718" s="31"/>
    </row>
    <row r="8719" spans="43:43" x14ac:dyDescent="0.2">
      <c r="AQ8719" s="31"/>
    </row>
    <row r="8720" spans="43:43" x14ac:dyDescent="0.2">
      <c r="AQ8720" s="31"/>
    </row>
    <row r="8721" spans="43:43" x14ac:dyDescent="0.2">
      <c r="AQ8721" s="31"/>
    </row>
    <row r="8722" spans="43:43" x14ac:dyDescent="0.2">
      <c r="AQ8722" s="31"/>
    </row>
    <row r="8723" spans="43:43" x14ac:dyDescent="0.2">
      <c r="AQ8723" s="31"/>
    </row>
    <row r="8724" spans="43:43" x14ac:dyDescent="0.2">
      <c r="AQ8724" s="31"/>
    </row>
    <row r="8725" spans="43:43" x14ac:dyDescent="0.2">
      <c r="AQ8725" s="31"/>
    </row>
    <row r="8726" spans="43:43" x14ac:dyDescent="0.2">
      <c r="AQ8726" s="31"/>
    </row>
    <row r="8727" spans="43:43" x14ac:dyDescent="0.2">
      <c r="AQ8727" s="31"/>
    </row>
    <row r="8728" spans="43:43" x14ac:dyDescent="0.2">
      <c r="AQ8728" s="31"/>
    </row>
    <row r="8729" spans="43:43" x14ac:dyDescent="0.2">
      <c r="AQ8729" s="31"/>
    </row>
    <row r="8730" spans="43:43" x14ac:dyDescent="0.2">
      <c r="AQ8730" s="31"/>
    </row>
    <row r="8731" spans="43:43" x14ac:dyDescent="0.2">
      <c r="AQ8731" s="31"/>
    </row>
    <row r="8732" spans="43:43" x14ac:dyDescent="0.2">
      <c r="AQ8732" s="31"/>
    </row>
    <row r="8733" spans="43:43" x14ac:dyDescent="0.2">
      <c r="AQ8733" s="31"/>
    </row>
    <row r="8734" spans="43:43" x14ac:dyDescent="0.2">
      <c r="AQ8734" s="31"/>
    </row>
    <row r="8735" spans="43:43" x14ac:dyDescent="0.2">
      <c r="AQ8735" s="31"/>
    </row>
    <row r="8736" spans="43:43" x14ac:dyDescent="0.2">
      <c r="AQ8736" s="31"/>
    </row>
    <row r="8737" spans="43:43" x14ac:dyDescent="0.2">
      <c r="AQ8737" s="31"/>
    </row>
    <row r="8738" spans="43:43" x14ac:dyDescent="0.2">
      <c r="AQ8738" s="31"/>
    </row>
    <row r="8739" spans="43:43" x14ac:dyDescent="0.2">
      <c r="AQ8739" s="31"/>
    </row>
    <row r="8740" spans="43:43" x14ac:dyDescent="0.2">
      <c r="AQ8740" s="31"/>
    </row>
    <row r="8741" spans="43:43" x14ac:dyDescent="0.2">
      <c r="AQ8741" s="31"/>
    </row>
    <row r="8742" spans="43:43" x14ac:dyDescent="0.2">
      <c r="AQ8742" s="31"/>
    </row>
    <row r="8743" spans="43:43" x14ac:dyDescent="0.2">
      <c r="AQ8743" s="31"/>
    </row>
    <row r="8744" spans="43:43" x14ac:dyDescent="0.2">
      <c r="AQ8744" s="31"/>
    </row>
    <row r="8745" spans="43:43" x14ac:dyDescent="0.2">
      <c r="AQ8745" s="31"/>
    </row>
    <row r="8746" spans="43:43" x14ac:dyDescent="0.2">
      <c r="AQ8746" s="31"/>
    </row>
    <row r="8747" spans="43:43" x14ac:dyDescent="0.2">
      <c r="AQ8747" s="31"/>
    </row>
    <row r="8748" spans="43:43" x14ac:dyDescent="0.2">
      <c r="AQ8748" s="31"/>
    </row>
    <row r="8749" spans="43:43" x14ac:dyDescent="0.2">
      <c r="AQ8749" s="31"/>
    </row>
    <row r="8750" spans="43:43" x14ac:dyDescent="0.2">
      <c r="AQ8750" s="31"/>
    </row>
    <row r="8751" spans="43:43" x14ac:dyDescent="0.2">
      <c r="AQ8751" s="31"/>
    </row>
    <row r="8752" spans="43:43" x14ac:dyDescent="0.2">
      <c r="AQ8752" s="31"/>
    </row>
    <row r="8753" spans="43:43" x14ac:dyDescent="0.2">
      <c r="AQ8753" s="31"/>
    </row>
    <row r="8754" spans="43:43" x14ac:dyDescent="0.2">
      <c r="AQ8754" s="31"/>
    </row>
    <row r="8755" spans="43:43" x14ac:dyDescent="0.2">
      <c r="AQ8755" s="31"/>
    </row>
    <row r="8756" spans="43:43" x14ac:dyDescent="0.2">
      <c r="AQ8756" s="31"/>
    </row>
    <row r="8757" spans="43:43" x14ac:dyDescent="0.2">
      <c r="AQ8757" s="31"/>
    </row>
    <row r="8758" spans="43:43" x14ac:dyDescent="0.2">
      <c r="AQ8758" s="31"/>
    </row>
    <row r="8759" spans="43:43" x14ac:dyDescent="0.2">
      <c r="AQ8759" s="31"/>
    </row>
    <row r="8760" spans="43:43" x14ac:dyDescent="0.2">
      <c r="AQ8760" s="31"/>
    </row>
    <row r="8761" spans="43:43" x14ac:dyDescent="0.2">
      <c r="AQ8761" s="31"/>
    </row>
    <row r="8762" spans="43:43" x14ac:dyDescent="0.2">
      <c r="AQ8762" s="31"/>
    </row>
    <row r="8763" spans="43:43" x14ac:dyDescent="0.2">
      <c r="AQ8763" s="31"/>
    </row>
    <row r="8764" spans="43:43" x14ac:dyDescent="0.2">
      <c r="AQ8764" s="31"/>
    </row>
    <row r="8765" spans="43:43" x14ac:dyDescent="0.2">
      <c r="AQ8765" s="31"/>
    </row>
    <row r="8766" spans="43:43" x14ac:dyDescent="0.2">
      <c r="AQ8766" s="31"/>
    </row>
    <row r="8767" spans="43:43" x14ac:dyDescent="0.2">
      <c r="AQ8767" s="31"/>
    </row>
    <row r="8768" spans="43:43" x14ac:dyDescent="0.2">
      <c r="AQ8768" s="31"/>
    </row>
    <row r="8769" spans="43:43" x14ac:dyDescent="0.2">
      <c r="AQ8769" s="31"/>
    </row>
    <row r="8770" spans="43:43" x14ac:dyDescent="0.2">
      <c r="AQ8770" s="31"/>
    </row>
    <row r="8771" spans="43:43" x14ac:dyDescent="0.2">
      <c r="AQ8771" s="31"/>
    </row>
    <row r="8772" spans="43:43" x14ac:dyDescent="0.2">
      <c r="AQ8772" s="31"/>
    </row>
    <row r="8773" spans="43:43" x14ac:dyDescent="0.2">
      <c r="AQ8773" s="31"/>
    </row>
    <row r="8774" spans="43:43" x14ac:dyDescent="0.2">
      <c r="AQ8774" s="31"/>
    </row>
    <row r="8775" spans="43:43" x14ac:dyDescent="0.2">
      <c r="AQ8775" s="31"/>
    </row>
    <row r="8776" spans="43:43" x14ac:dyDescent="0.2">
      <c r="AQ8776" s="31"/>
    </row>
    <row r="8777" spans="43:43" x14ac:dyDescent="0.2">
      <c r="AQ8777" s="31"/>
    </row>
    <row r="8778" spans="43:43" x14ac:dyDescent="0.2">
      <c r="AQ8778" s="31"/>
    </row>
    <row r="8779" spans="43:43" x14ac:dyDescent="0.2">
      <c r="AQ8779" s="31"/>
    </row>
    <row r="8780" spans="43:43" x14ac:dyDescent="0.2">
      <c r="AQ8780" s="31"/>
    </row>
    <row r="8781" spans="43:43" x14ac:dyDescent="0.2">
      <c r="AQ8781" s="31"/>
    </row>
    <row r="8782" spans="43:43" x14ac:dyDescent="0.2">
      <c r="AQ8782" s="31"/>
    </row>
    <row r="8783" spans="43:43" x14ac:dyDescent="0.2">
      <c r="AQ8783" s="31"/>
    </row>
    <row r="8784" spans="43:43" x14ac:dyDescent="0.2">
      <c r="AQ8784" s="31"/>
    </row>
    <row r="8785" spans="43:43" x14ac:dyDescent="0.2">
      <c r="AQ8785" s="31"/>
    </row>
    <row r="8786" spans="43:43" x14ac:dyDescent="0.2">
      <c r="AQ8786" s="31"/>
    </row>
    <row r="8787" spans="43:43" x14ac:dyDescent="0.2">
      <c r="AQ8787" s="31"/>
    </row>
    <row r="8788" spans="43:43" x14ac:dyDescent="0.2">
      <c r="AQ8788" s="31"/>
    </row>
    <row r="8789" spans="43:43" x14ac:dyDescent="0.2">
      <c r="AQ8789" s="31"/>
    </row>
    <row r="8790" spans="43:43" x14ac:dyDescent="0.2">
      <c r="AQ8790" s="31"/>
    </row>
    <row r="8791" spans="43:43" x14ac:dyDescent="0.2">
      <c r="AQ8791" s="31"/>
    </row>
    <row r="8792" spans="43:43" x14ac:dyDescent="0.2">
      <c r="AQ8792" s="31"/>
    </row>
    <row r="8793" spans="43:43" x14ac:dyDescent="0.2">
      <c r="AQ8793" s="31"/>
    </row>
    <row r="8794" spans="43:43" x14ac:dyDescent="0.2">
      <c r="AQ8794" s="31"/>
    </row>
    <row r="8795" spans="43:43" x14ac:dyDescent="0.2">
      <c r="AQ8795" s="31"/>
    </row>
    <row r="8796" spans="43:43" x14ac:dyDescent="0.2">
      <c r="AQ8796" s="31"/>
    </row>
    <row r="8797" spans="43:43" x14ac:dyDescent="0.2">
      <c r="AQ8797" s="31"/>
    </row>
    <row r="8798" spans="43:43" x14ac:dyDescent="0.2">
      <c r="AQ8798" s="31"/>
    </row>
    <row r="8799" spans="43:43" x14ac:dyDescent="0.2">
      <c r="AQ8799" s="31"/>
    </row>
    <row r="8800" spans="43:43" x14ac:dyDescent="0.2">
      <c r="AQ8800" s="31"/>
    </row>
    <row r="8801" spans="43:43" x14ac:dyDescent="0.2">
      <c r="AQ8801" s="31"/>
    </row>
    <row r="8802" spans="43:43" x14ac:dyDescent="0.2">
      <c r="AQ8802" s="31"/>
    </row>
    <row r="8803" spans="43:43" x14ac:dyDescent="0.2">
      <c r="AQ8803" s="31"/>
    </row>
    <row r="8804" spans="43:43" x14ac:dyDescent="0.2">
      <c r="AQ8804" s="31"/>
    </row>
    <row r="8805" spans="43:43" x14ac:dyDescent="0.2">
      <c r="AQ8805" s="31"/>
    </row>
    <row r="8806" spans="43:43" x14ac:dyDescent="0.2">
      <c r="AQ8806" s="31"/>
    </row>
    <row r="8807" spans="43:43" x14ac:dyDescent="0.2">
      <c r="AQ8807" s="31"/>
    </row>
    <row r="8808" spans="43:43" x14ac:dyDescent="0.2">
      <c r="AQ8808" s="31"/>
    </row>
    <row r="8809" spans="43:43" x14ac:dyDescent="0.2">
      <c r="AQ8809" s="31"/>
    </row>
    <row r="8810" spans="43:43" x14ac:dyDescent="0.2">
      <c r="AQ8810" s="31"/>
    </row>
    <row r="8811" spans="43:43" x14ac:dyDescent="0.2">
      <c r="AQ8811" s="31"/>
    </row>
    <row r="8812" spans="43:43" x14ac:dyDescent="0.2">
      <c r="AQ8812" s="31"/>
    </row>
    <row r="8813" spans="43:43" x14ac:dyDescent="0.2">
      <c r="AQ8813" s="31"/>
    </row>
    <row r="8814" spans="43:43" x14ac:dyDescent="0.2">
      <c r="AQ8814" s="31"/>
    </row>
    <row r="8815" spans="43:43" x14ac:dyDescent="0.2">
      <c r="AQ8815" s="31"/>
    </row>
    <row r="8816" spans="43:43" x14ac:dyDescent="0.2">
      <c r="AQ8816" s="31"/>
    </row>
    <row r="8817" spans="43:43" x14ac:dyDescent="0.2">
      <c r="AQ8817" s="31"/>
    </row>
    <row r="8818" spans="43:43" x14ac:dyDescent="0.2">
      <c r="AQ8818" s="31"/>
    </row>
    <row r="8819" spans="43:43" x14ac:dyDescent="0.2">
      <c r="AQ8819" s="31"/>
    </row>
    <row r="8820" spans="43:43" x14ac:dyDescent="0.2">
      <c r="AQ8820" s="31"/>
    </row>
    <row r="8821" spans="43:43" x14ac:dyDescent="0.2">
      <c r="AQ8821" s="31"/>
    </row>
    <row r="8822" spans="43:43" x14ac:dyDescent="0.2">
      <c r="AQ8822" s="31"/>
    </row>
    <row r="8823" spans="43:43" x14ac:dyDescent="0.2">
      <c r="AQ8823" s="31"/>
    </row>
    <row r="8824" spans="43:43" x14ac:dyDescent="0.2">
      <c r="AQ8824" s="31"/>
    </row>
    <row r="8825" spans="43:43" x14ac:dyDescent="0.2">
      <c r="AQ8825" s="31"/>
    </row>
    <row r="8826" spans="43:43" x14ac:dyDescent="0.2">
      <c r="AQ8826" s="31"/>
    </row>
    <row r="8827" spans="43:43" x14ac:dyDescent="0.2">
      <c r="AQ8827" s="31"/>
    </row>
    <row r="8828" spans="43:43" x14ac:dyDescent="0.2">
      <c r="AQ8828" s="31"/>
    </row>
    <row r="8829" spans="43:43" x14ac:dyDescent="0.2">
      <c r="AQ8829" s="31"/>
    </row>
    <row r="8830" spans="43:43" x14ac:dyDescent="0.2">
      <c r="AQ8830" s="31"/>
    </row>
    <row r="8831" spans="43:43" x14ac:dyDescent="0.2">
      <c r="AQ8831" s="31"/>
    </row>
    <row r="8832" spans="43:43" x14ac:dyDescent="0.2">
      <c r="AQ8832" s="31"/>
    </row>
    <row r="8833" spans="43:43" x14ac:dyDescent="0.2">
      <c r="AQ8833" s="31"/>
    </row>
    <row r="8834" spans="43:43" x14ac:dyDescent="0.2">
      <c r="AQ8834" s="31"/>
    </row>
    <row r="8835" spans="43:43" x14ac:dyDescent="0.2">
      <c r="AQ8835" s="31"/>
    </row>
    <row r="8836" spans="43:43" x14ac:dyDescent="0.2">
      <c r="AQ8836" s="31"/>
    </row>
    <row r="8837" spans="43:43" x14ac:dyDescent="0.2">
      <c r="AQ8837" s="31"/>
    </row>
    <row r="8838" spans="43:43" x14ac:dyDescent="0.2">
      <c r="AQ8838" s="31"/>
    </row>
    <row r="8839" spans="43:43" x14ac:dyDescent="0.2">
      <c r="AQ8839" s="31"/>
    </row>
    <row r="8840" spans="43:43" x14ac:dyDescent="0.2">
      <c r="AQ8840" s="31"/>
    </row>
    <row r="8841" spans="43:43" x14ac:dyDescent="0.2">
      <c r="AQ8841" s="31"/>
    </row>
    <row r="8842" spans="43:43" x14ac:dyDescent="0.2">
      <c r="AQ8842" s="31"/>
    </row>
    <row r="8843" spans="43:43" x14ac:dyDescent="0.2">
      <c r="AQ8843" s="31"/>
    </row>
    <row r="8844" spans="43:43" x14ac:dyDescent="0.2">
      <c r="AQ8844" s="31"/>
    </row>
    <row r="8845" spans="43:43" x14ac:dyDescent="0.2">
      <c r="AQ8845" s="31"/>
    </row>
    <row r="8846" spans="43:43" x14ac:dyDescent="0.2">
      <c r="AQ8846" s="31"/>
    </row>
    <row r="8847" spans="43:43" x14ac:dyDescent="0.2">
      <c r="AQ8847" s="31"/>
    </row>
    <row r="8848" spans="43:43" x14ac:dyDescent="0.2">
      <c r="AQ8848" s="31"/>
    </row>
    <row r="8849" spans="43:43" x14ac:dyDescent="0.2">
      <c r="AQ8849" s="31"/>
    </row>
    <row r="8850" spans="43:43" x14ac:dyDescent="0.2">
      <c r="AQ8850" s="31"/>
    </row>
    <row r="8851" spans="43:43" x14ac:dyDescent="0.2">
      <c r="AQ8851" s="31"/>
    </row>
    <row r="8852" spans="43:43" x14ac:dyDescent="0.2">
      <c r="AQ8852" s="31"/>
    </row>
    <row r="8853" spans="43:43" x14ac:dyDescent="0.2">
      <c r="AQ8853" s="31"/>
    </row>
    <row r="8854" spans="43:43" x14ac:dyDescent="0.2">
      <c r="AQ8854" s="31"/>
    </row>
    <row r="8855" spans="43:43" x14ac:dyDescent="0.2">
      <c r="AQ8855" s="31"/>
    </row>
    <row r="8856" spans="43:43" x14ac:dyDescent="0.2">
      <c r="AQ8856" s="31"/>
    </row>
    <row r="8857" spans="43:43" x14ac:dyDescent="0.2">
      <c r="AQ8857" s="31"/>
    </row>
    <row r="8858" spans="43:43" x14ac:dyDescent="0.2">
      <c r="AQ8858" s="31"/>
    </row>
    <row r="8859" spans="43:43" x14ac:dyDescent="0.2">
      <c r="AQ8859" s="31"/>
    </row>
    <row r="8860" spans="43:43" x14ac:dyDescent="0.2">
      <c r="AQ8860" s="31"/>
    </row>
    <row r="8861" spans="43:43" x14ac:dyDescent="0.2">
      <c r="AQ8861" s="31"/>
    </row>
    <row r="8862" spans="43:43" x14ac:dyDescent="0.2">
      <c r="AQ8862" s="31"/>
    </row>
    <row r="8863" spans="43:43" x14ac:dyDescent="0.2">
      <c r="AQ8863" s="31"/>
    </row>
    <row r="8864" spans="43:43" x14ac:dyDescent="0.2">
      <c r="AQ8864" s="31"/>
    </row>
    <row r="8865" spans="43:43" x14ac:dyDescent="0.2">
      <c r="AQ8865" s="31"/>
    </row>
    <row r="8866" spans="43:43" x14ac:dyDescent="0.2">
      <c r="AQ8866" s="31"/>
    </row>
    <row r="8867" spans="43:43" x14ac:dyDescent="0.2">
      <c r="AQ8867" s="31"/>
    </row>
    <row r="8868" spans="43:43" x14ac:dyDescent="0.2">
      <c r="AQ8868" s="31"/>
    </row>
    <row r="8869" spans="43:43" x14ac:dyDescent="0.2">
      <c r="AQ8869" s="31"/>
    </row>
    <row r="8870" spans="43:43" x14ac:dyDescent="0.2">
      <c r="AQ8870" s="31"/>
    </row>
    <row r="8871" spans="43:43" x14ac:dyDescent="0.2">
      <c r="AQ8871" s="31"/>
    </row>
    <row r="8872" spans="43:43" x14ac:dyDescent="0.2">
      <c r="AQ8872" s="31"/>
    </row>
    <row r="8873" spans="43:43" x14ac:dyDescent="0.2">
      <c r="AQ8873" s="31"/>
    </row>
    <row r="8874" spans="43:43" x14ac:dyDescent="0.2">
      <c r="AQ8874" s="31"/>
    </row>
    <row r="8875" spans="43:43" x14ac:dyDescent="0.2">
      <c r="AQ8875" s="31"/>
    </row>
    <row r="8876" spans="43:43" x14ac:dyDescent="0.2">
      <c r="AQ8876" s="31"/>
    </row>
    <row r="8877" spans="43:43" x14ac:dyDescent="0.2">
      <c r="AQ8877" s="31"/>
    </row>
    <row r="8878" spans="43:43" x14ac:dyDescent="0.2">
      <c r="AQ8878" s="31"/>
    </row>
    <row r="8879" spans="43:43" x14ac:dyDescent="0.2">
      <c r="AQ8879" s="31"/>
    </row>
    <row r="8880" spans="43:43" x14ac:dyDescent="0.2">
      <c r="AQ8880" s="31"/>
    </row>
    <row r="8881" spans="43:43" x14ac:dyDescent="0.2">
      <c r="AQ8881" s="31"/>
    </row>
    <row r="8882" spans="43:43" x14ac:dyDescent="0.2">
      <c r="AQ8882" s="31"/>
    </row>
    <row r="8883" spans="43:43" x14ac:dyDescent="0.2">
      <c r="AQ8883" s="31"/>
    </row>
    <row r="8884" spans="43:43" x14ac:dyDescent="0.2">
      <c r="AQ8884" s="31"/>
    </row>
    <row r="8885" spans="43:43" x14ac:dyDescent="0.2">
      <c r="AQ8885" s="31"/>
    </row>
    <row r="8886" spans="43:43" x14ac:dyDescent="0.2">
      <c r="AQ8886" s="31"/>
    </row>
    <row r="8887" spans="43:43" x14ac:dyDescent="0.2">
      <c r="AQ8887" s="31"/>
    </row>
    <row r="8888" spans="43:43" x14ac:dyDescent="0.2">
      <c r="AQ8888" s="31"/>
    </row>
    <row r="8889" spans="43:43" x14ac:dyDescent="0.2">
      <c r="AQ8889" s="31"/>
    </row>
    <row r="8890" spans="43:43" x14ac:dyDescent="0.2">
      <c r="AQ8890" s="31"/>
    </row>
    <row r="8891" spans="43:43" x14ac:dyDescent="0.2">
      <c r="AQ8891" s="31"/>
    </row>
    <row r="8892" spans="43:43" x14ac:dyDescent="0.2">
      <c r="AQ8892" s="31"/>
    </row>
    <row r="8893" spans="43:43" x14ac:dyDescent="0.2">
      <c r="AQ8893" s="31"/>
    </row>
    <row r="8894" spans="43:43" x14ac:dyDescent="0.2">
      <c r="AQ8894" s="31"/>
    </row>
    <row r="8895" spans="43:43" x14ac:dyDescent="0.2">
      <c r="AQ8895" s="31"/>
    </row>
    <row r="8896" spans="43:43" x14ac:dyDescent="0.2">
      <c r="AQ8896" s="31"/>
    </row>
    <row r="8897" spans="43:43" x14ac:dyDescent="0.2">
      <c r="AQ8897" s="31"/>
    </row>
    <row r="8898" spans="43:43" x14ac:dyDescent="0.2">
      <c r="AQ8898" s="31"/>
    </row>
    <row r="8899" spans="43:43" x14ac:dyDescent="0.2">
      <c r="AQ8899" s="31"/>
    </row>
    <row r="8900" spans="43:43" x14ac:dyDescent="0.2">
      <c r="AQ8900" s="31"/>
    </row>
    <row r="8901" spans="43:43" x14ac:dyDescent="0.2">
      <c r="AQ8901" s="31"/>
    </row>
    <row r="8902" spans="43:43" x14ac:dyDescent="0.2">
      <c r="AQ8902" s="31"/>
    </row>
    <row r="8903" spans="43:43" x14ac:dyDescent="0.2">
      <c r="AQ8903" s="31"/>
    </row>
    <row r="8904" spans="43:43" x14ac:dyDescent="0.2">
      <c r="AQ8904" s="31"/>
    </row>
    <row r="8905" spans="43:43" x14ac:dyDescent="0.2">
      <c r="AQ8905" s="31"/>
    </row>
    <row r="8906" spans="43:43" x14ac:dyDescent="0.2">
      <c r="AQ8906" s="31"/>
    </row>
    <row r="8907" spans="43:43" x14ac:dyDescent="0.2">
      <c r="AQ8907" s="31"/>
    </row>
    <row r="8908" spans="43:43" x14ac:dyDescent="0.2">
      <c r="AQ8908" s="31"/>
    </row>
    <row r="8909" spans="43:43" x14ac:dyDescent="0.2">
      <c r="AQ8909" s="31"/>
    </row>
    <row r="8910" spans="43:43" x14ac:dyDescent="0.2">
      <c r="AQ8910" s="31"/>
    </row>
    <row r="8911" spans="43:43" x14ac:dyDescent="0.2">
      <c r="AQ8911" s="31"/>
    </row>
    <row r="8912" spans="43:43" x14ac:dyDescent="0.2">
      <c r="AQ8912" s="31"/>
    </row>
    <row r="8913" spans="43:43" x14ac:dyDescent="0.2">
      <c r="AQ8913" s="31"/>
    </row>
    <row r="8914" spans="43:43" x14ac:dyDescent="0.2">
      <c r="AQ8914" s="31"/>
    </row>
    <row r="8915" spans="43:43" x14ac:dyDescent="0.2">
      <c r="AQ8915" s="31"/>
    </row>
    <row r="8916" spans="43:43" x14ac:dyDescent="0.2">
      <c r="AQ8916" s="31"/>
    </row>
    <row r="8917" spans="43:43" x14ac:dyDescent="0.2">
      <c r="AQ8917" s="31"/>
    </row>
    <row r="8918" spans="43:43" x14ac:dyDescent="0.2">
      <c r="AQ8918" s="31"/>
    </row>
    <row r="8919" spans="43:43" x14ac:dyDescent="0.2">
      <c r="AQ8919" s="31"/>
    </row>
    <row r="8920" spans="43:43" x14ac:dyDescent="0.2">
      <c r="AQ8920" s="31"/>
    </row>
    <row r="8921" spans="43:43" x14ac:dyDescent="0.2">
      <c r="AQ8921" s="31"/>
    </row>
    <row r="8922" spans="43:43" x14ac:dyDescent="0.2">
      <c r="AQ8922" s="31"/>
    </row>
    <row r="8923" spans="43:43" x14ac:dyDescent="0.2">
      <c r="AQ8923" s="31"/>
    </row>
    <row r="8924" spans="43:43" x14ac:dyDescent="0.2">
      <c r="AQ8924" s="31"/>
    </row>
    <row r="8925" spans="43:43" x14ac:dyDescent="0.2">
      <c r="AQ8925" s="31"/>
    </row>
    <row r="8926" spans="43:43" x14ac:dyDescent="0.2">
      <c r="AQ8926" s="31"/>
    </row>
    <row r="8927" spans="43:43" x14ac:dyDescent="0.2">
      <c r="AQ8927" s="31"/>
    </row>
    <row r="8928" spans="43:43" x14ac:dyDescent="0.2">
      <c r="AQ8928" s="31"/>
    </row>
    <row r="8929" spans="43:43" x14ac:dyDescent="0.2">
      <c r="AQ8929" s="31"/>
    </row>
    <row r="8930" spans="43:43" x14ac:dyDescent="0.2">
      <c r="AQ8930" s="31"/>
    </row>
    <row r="8931" spans="43:43" x14ac:dyDescent="0.2">
      <c r="AQ8931" s="31"/>
    </row>
    <row r="8932" spans="43:43" x14ac:dyDescent="0.2">
      <c r="AQ8932" s="31"/>
    </row>
    <row r="8933" spans="43:43" x14ac:dyDescent="0.2">
      <c r="AQ8933" s="31"/>
    </row>
    <row r="8934" spans="43:43" x14ac:dyDescent="0.2">
      <c r="AQ8934" s="31"/>
    </row>
    <row r="8935" spans="43:43" x14ac:dyDescent="0.2">
      <c r="AQ8935" s="31"/>
    </row>
    <row r="8936" spans="43:43" x14ac:dyDescent="0.2">
      <c r="AQ8936" s="31"/>
    </row>
    <row r="8937" spans="43:43" x14ac:dyDescent="0.2">
      <c r="AQ8937" s="31"/>
    </row>
    <row r="8938" spans="43:43" x14ac:dyDescent="0.2">
      <c r="AQ8938" s="31"/>
    </row>
    <row r="8939" spans="43:43" x14ac:dyDescent="0.2">
      <c r="AQ8939" s="31"/>
    </row>
    <row r="8940" spans="43:43" x14ac:dyDescent="0.2">
      <c r="AQ8940" s="31"/>
    </row>
    <row r="8941" spans="43:43" x14ac:dyDescent="0.2">
      <c r="AQ8941" s="31"/>
    </row>
    <row r="8942" spans="43:43" x14ac:dyDescent="0.2">
      <c r="AQ8942" s="31"/>
    </row>
    <row r="8943" spans="43:43" x14ac:dyDescent="0.2">
      <c r="AQ8943" s="31"/>
    </row>
    <row r="8944" spans="43:43" x14ac:dyDescent="0.2">
      <c r="AQ8944" s="31"/>
    </row>
    <row r="8945" spans="43:43" x14ac:dyDescent="0.2">
      <c r="AQ8945" s="31"/>
    </row>
    <row r="8946" spans="43:43" x14ac:dyDescent="0.2">
      <c r="AQ8946" s="31"/>
    </row>
    <row r="8947" spans="43:43" x14ac:dyDescent="0.2">
      <c r="AQ8947" s="31"/>
    </row>
    <row r="8948" spans="43:43" x14ac:dyDescent="0.2">
      <c r="AQ8948" s="31"/>
    </row>
    <row r="8949" spans="43:43" x14ac:dyDescent="0.2">
      <c r="AQ8949" s="31"/>
    </row>
    <row r="8950" spans="43:43" x14ac:dyDescent="0.2">
      <c r="AQ8950" s="31"/>
    </row>
    <row r="8951" spans="43:43" x14ac:dyDescent="0.2">
      <c r="AQ8951" s="31"/>
    </row>
    <row r="8952" spans="43:43" x14ac:dyDescent="0.2">
      <c r="AQ8952" s="31"/>
    </row>
    <row r="8953" spans="43:43" x14ac:dyDescent="0.2">
      <c r="AQ8953" s="31"/>
    </row>
    <row r="8954" spans="43:43" x14ac:dyDescent="0.2">
      <c r="AQ8954" s="31"/>
    </row>
    <row r="8955" spans="43:43" x14ac:dyDescent="0.2">
      <c r="AQ8955" s="31"/>
    </row>
    <row r="8956" spans="43:43" x14ac:dyDescent="0.2">
      <c r="AQ8956" s="31"/>
    </row>
    <row r="8957" spans="43:43" x14ac:dyDescent="0.2">
      <c r="AQ8957" s="31"/>
    </row>
    <row r="8958" spans="43:43" x14ac:dyDescent="0.2">
      <c r="AQ8958" s="31"/>
    </row>
    <row r="8959" spans="43:43" x14ac:dyDescent="0.2">
      <c r="AQ8959" s="31"/>
    </row>
    <row r="8960" spans="43:43" x14ac:dyDescent="0.2">
      <c r="AQ8960" s="31"/>
    </row>
    <row r="8961" spans="43:43" x14ac:dyDescent="0.2">
      <c r="AQ8961" s="31"/>
    </row>
    <row r="8962" spans="43:43" x14ac:dyDescent="0.2">
      <c r="AQ8962" s="31"/>
    </row>
    <row r="8963" spans="43:43" x14ac:dyDescent="0.2">
      <c r="AQ8963" s="31"/>
    </row>
    <row r="8964" spans="43:43" x14ac:dyDescent="0.2">
      <c r="AQ8964" s="31"/>
    </row>
    <row r="8965" spans="43:43" x14ac:dyDescent="0.2">
      <c r="AQ8965" s="31"/>
    </row>
    <row r="8966" spans="43:43" x14ac:dyDescent="0.2">
      <c r="AQ8966" s="31"/>
    </row>
    <row r="8967" spans="43:43" x14ac:dyDescent="0.2">
      <c r="AQ8967" s="31"/>
    </row>
    <row r="8968" spans="43:43" x14ac:dyDescent="0.2">
      <c r="AQ8968" s="31"/>
    </row>
    <row r="8969" spans="43:43" x14ac:dyDescent="0.2">
      <c r="AQ8969" s="31"/>
    </row>
    <row r="8970" spans="43:43" x14ac:dyDescent="0.2">
      <c r="AQ8970" s="31"/>
    </row>
    <row r="8971" spans="43:43" x14ac:dyDescent="0.2">
      <c r="AQ8971" s="31"/>
    </row>
    <row r="8972" spans="43:43" x14ac:dyDescent="0.2">
      <c r="AQ8972" s="31"/>
    </row>
    <row r="8973" spans="43:43" x14ac:dyDescent="0.2">
      <c r="AQ8973" s="31"/>
    </row>
    <row r="8974" spans="43:43" x14ac:dyDescent="0.2">
      <c r="AQ8974" s="31"/>
    </row>
    <row r="8975" spans="43:43" x14ac:dyDescent="0.2">
      <c r="AQ8975" s="31"/>
    </row>
    <row r="8976" spans="43:43" x14ac:dyDescent="0.2">
      <c r="AQ8976" s="31"/>
    </row>
    <row r="8977" spans="43:43" x14ac:dyDescent="0.2">
      <c r="AQ8977" s="31"/>
    </row>
    <row r="8978" spans="43:43" x14ac:dyDescent="0.2">
      <c r="AQ8978" s="31"/>
    </row>
    <row r="8979" spans="43:43" x14ac:dyDescent="0.2">
      <c r="AQ8979" s="31"/>
    </row>
    <row r="8980" spans="43:43" x14ac:dyDescent="0.2">
      <c r="AQ8980" s="31"/>
    </row>
    <row r="8981" spans="43:43" x14ac:dyDescent="0.2">
      <c r="AQ8981" s="31"/>
    </row>
    <row r="8982" spans="43:43" x14ac:dyDescent="0.2">
      <c r="AQ8982" s="31"/>
    </row>
    <row r="8983" spans="43:43" x14ac:dyDescent="0.2">
      <c r="AQ8983" s="31"/>
    </row>
    <row r="8984" spans="43:43" x14ac:dyDescent="0.2">
      <c r="AQ8984" s="31"/>
    </row>
    <row r="8985" spans="43:43" x14ac:dyDescent="0.2">
      <c r="AQ8985" s="31"/>
    </row>
    <row r="8986" spans="43:43" x14ac:dyDescent="0.2">
      <c r="AQ8986" s="31"/>
    </row>
    <row r="8987" spans="43:43" x14ac:dyDescent="0.2">
      <c r="AQ8987" s="31"/>
    </row>
    <row r="8988" spans="43:43" x14ac:dyDescent="0.2">
      <c r="AQ8988" s="31"/>
    </row>
    <row r="8989" spans="43:43" x14ac:dyDescent="0.2">
      <c r="AQ8989" s="31"/>
    </row>
    <row r="8990" spans="43:43" x14ac:dyDescent="0.2">
      <c r="AQ8990" s="31"/>
    </row>
    <row r="8991" spans="43:43" x14ac:dyDescent="0.2">
      <c r="AQ8991" s="31"/>
    </row>
    <row r="8992" spans="43:43" x14ac:dyDescent="0.2">
      <c r="AQ8992" s="31"/>
    </row>
    <row r="8993" spans="43:43" x14ac:dyDescent="0.2">
      <c r="AQ8993" s="31"/>
    </row>
    <row r="8994" spans="43:43" x14ac:dyDescent="0.2">
      <c r="AQ8994" s="31"/>
    </row>
    <row r="8995" spans="43:43" x14ac:dyDescent="0.2">
      <c r="AQ8995" s="31"/>
    </row>
    <row r="8996" spans="43:43" x14ac:dyDescent="0.2">
      <c r="AQ8996" s="31"/>
    </row>
    <row r="8997" spans="43:43" x14ac:dyDescent="0.2">
      <c r="AQ8997" s="31"/>
    </row>
    <row r="8998" spans="43:43" x14ac:dyDescent="0.2">
      <c r="AQ8998" s="31"/>
    </row>
    <row r="8999" spans="43:43" x14ac:dyDescent="0.2">
      <c r="AQ8999" s="31"/>
    </row>
    <row r="9000" spans="43:43" x14ac:dyDescent="0.2">
      <c r="AQ9000" s="31"/>
    </row>
    <row r="9001" spans="43:43" x14ac:dyDescent="0.2">
      <c r="AQ9001" s="31"/>
    </row>
    <row r="9002" spans="43:43" x14ac:dyDescent="0.2">
      <c r="AQ9002" s="31"/>
    </row>
    <row r="9003" spans="43:43" x14ac:dyDescent="0.2">
      <c r="AQ9003" s="31"/>
    </row>
    <row r="9004" spans="43:43" x14ac:dyDescent="0.2">
      <c r="AQ9004" s="31"/>
    </row>
    <row r="9005" spans="43:43" x14ac:dyDescent="0.2">
      <c r="AQ9005" s="31"/>
    </row>
    <row r="9006" spans="43:43" x14ac:dyDescent="0.2">
      <c r="AQ9006" s="31"/>
    </row>
    <row r="9007" spans="43:43" x14ac:dyDescent="0.2">
      <c r="AQ9007" s="31"/>
    </row>
    <row r="9008" spans="43:43" x14ac:dyDescent="0.2">
      <c r="AQ9008" s="31"/>
    </row>
    <row r="9009" spans="43:43" x14ac:dyDescent="0.2">
      <c r="AQ9009" s="31"/>
    </row>
    <row r="9010" spans="43:43" x14ac:dyDescent="0.2">
      <c r="AQ9010" s="31"/>
    </row>
    <row r="9011" spans="43:43" x14ac:dyDescent="0.2">
      <c r="AQ9011" s="31"/>
    </row>
    <row r="9012" spans="43:43" x14ac:dyDescent="0.2">
      <c r="AQ9012" s="31"/>
    </row>
    <row r="9013" spans="43:43" x14ac:dyDescent="0.2">
      <c r="AQ9013" s="31"/>
    </row>
    <row r="9014" spans="43:43" x14ac:dyDescent="0.2">
      <c r="AQ9014" s="31"/>
    </row>
    <row r="9015" spans="43:43" x14ac:dyDescent="0.2">
      <c r="AQ9015" s="31"/>
    </row>
    <row r="9016" spans="43:43" x14ac:dyDescent="0.2">
      <c r="AQ9016" s="31"/>
    </row>
    <row r="9017" spans="43:43" x14ac:dyDescent="0.2">
      <c r="AQ9017" s="31"/>
    </row>
    <row r="9018" spans="43:43" x14ac:dyDescent="0.2">
      <c r="AQ9018" s="31"/>
    </row>
    <row r="9019" spans="43:43" x14ac:dyDescent="0.2">
      <c r="AQ9019" s="31"/>
    </row>
    <row r="9020" spans="43:43" x14ac:dyDescent="0.2">
      <c r="AQ9020" s="31"/>
    </row>
    <row r="9021" spans="43:43" x14ac:dyDescent="0.2">
      <c r="AQ9021" s="31"/>
    </row>
    <row r="9022" spans="43:43" x14ac:dyDescent="0.2">
      <c r="AQ9022" s="31"/>
    </row>
    <row r="9023" spans="43:43" x14ac:dyDescent="0.2">
      <c r="AQ9023" s="31"/>
    </row>
    <row r="9024" spans="43:43" x14ac:dyDescent="0.2">
      <c r="AQ9024" s="31"/>
    </row>
    <row r="9025" spans="43:43" x14ac:dyDescent="0.2">
      <c r="AQ9025" s="31"/>
    </row>
    <row r="9026" spans="43:43" x14ac:dyDescent="0.2">
      <c r="AQ9026" s="31"/>
    </row>
    <row r="9027" spans="43:43" x14ac:dyDescent="0.2">
      <c r="AQ9027" s="31"/>
    </row>
    <row r="9028" spans="43:43" x14ac:dyDescent="0.2">
      <c r="AQ9028" s="31"/>
    </row>
    <row r="9029" spans="43:43" x14ac:dyDescent="0.2">
      <c r="AQ9029" s="31"/>
    </row>
    <row r="9030" spans="43:43" x14ac:dyDescent="0.2">
      <c r="AQ9030" s="31"/>
    </row>
    <row r="9031" spans="43:43" x14ac:dyDescent="0.2">
      <c r="AQ9031" s="31"/>
    </row>
    <row r="9032" spans="43:43" x14ac:dyDescent="0.2">
      <c r="AQ9032" s="31"/>
    </row>
    <row r="9033" spans="43:43" x14ac:dyDescent="0.2">
      <c r="AQ9033" s="31"/>
    </row>
    <row r="9034" spans="43:43" x14ac:dyDescent="0.2">
      <c r="AQ9034" s="31"/>
    </row>
    <row r="9035" spans="43:43" x14ac:dyDescent="0.2">
      <c r="AQ9035" s="31"/>
    </row>
    <row r="9036" spans="43:43" x14ac:dyDescent="0.2">
      <c r="AQ9036" s="31"/>
    </row>
    <row r="9037" spans="43:43" x14ac:dyDescent="0.2">
      <c r="AQ9037" s="31"/>
    </row>
    <row r="9038" spans="43:43" x14ac:dyDescent="0.2">
      <c r="AQ9038" s="31"/>
    </row>
    <row r="9039" spans="43:43" x14ac:dyDescent="0.2">
      <c r="AQ9039" s="31"/>
    </row>
    <row r="9040" spans="43:43" x14ac:dyDescent="0.2">
      <c r="AQ9040" s="31"/>
    </row>
    <row r="9041" spans="43:43" x14ac:dyDescent="0.2">
      <c r="AQ9041" s="31"/>
    </row>
    <row r="9042" spans="43:43" x14ac:dyDescent="0.2">
      <c r="AQ9042" s="31"/>
    </row>
    <row r="9043" spans="43:43" x14ac:dyDescent="0.2">
      <c r="AQ9043" s="31"/>
    </row>
    <row r="9044" spans="43:43" x14ac:dyDescent="0.2">
      <c r="AQ9044" s="31"/>
    </row>
    <row r="9045" spans="43:43" x14ac:dyDescent="0.2">
      <c r="AQ9045" s="31"/>
    </row>
    <row r="9046" spans="43:43" x14ac:dyDescent="0.2">
      <c r="AQ9046" s="31"/>
    </row>
    <row r="9047" spans="43:43" x14ac:dyDescent="0.2">
      <c r="AQ9047" s="31"/>
    </row>
    <row r="9048" spans="43:43" x14ac:dyDescent="0.2">
      <c r="AQ9048" s="31"/>
    </row>
    <row r="9049" spans="43:43" x14ac:dyDescent="0.2">
      <c r="AQ9049" s="31"/>
    </row>
    <row r="9050" spans="43:43" x14ac:dyDescent="0.2">
      <c r="AQ9050" s="31"/>
    </row>
    <row r="9051" spans="43:43" x14ac:dyDescent="0.2">
      <c r="AQ9051" s="31"/>
    </row>
    <row r="9052" spans="43:43" x14ac:dyDescent="0.2">
      <c r="AQ9052" s="31"/>
    </row>
    <row r="9053" spans="43:43" x14ac:dyDescent="0.2">
      <c r="AQ9053" s="31"/>
    </row>
    <row r="9054" spans="43:43" x14ac:dyDescent="0.2">
      <c r="AQ9054" s="31"/>
    </row>
    <row r="9055" spans="43:43" x14ac:dyDescent="0.2">
      <c r="AQ9055" s="31"/>
    </row>
    <row r="9056" spans="43:43" x14ac:dyDescent="0.2">
      <c r="AQ9056" s="31"/>
    </row>
    <row r="9057" spans="43:43" x14ac:dyDescent="0.2">
      <c r="AQ9057" s="31"/>
    </row>
    <row r="9058" spans="43:43" x14ac:dyDescent="0.2">
      <c r="AQ9058" s="31"/>
    </row>
    <row r="9059" spans="43:43" x14ac:dyDescent="0.2">
      <c r="AQ9059" s="31"/>
    </row>
    <row r="9060" spans="43:43" x14ac:dyDescent="0.2">
      <c r="AQ9060" s="31"/>
    </row>
    <row r="9061" spans="43:43" x14ac:dyDescent="0.2">
      <c r="AQ9061" s="31"/>
    </row>
    <row r="9062" spans="43:43" x14ac:dyDescent="0.2">
      <c r="AQ9062" s="31"/>
    </row>
    <row r="9063" spans="43:43" x14ac:dyDescent="0.2">
      <c r="AQ9063" s="31"/>
    </row>
    <row r="9064" spans="43:43" x14ac:dyDescent="0.2">
      <c r="AQ9064" s="31"/>
    </row>
    <row r="9065" spans="43:43" x14ac:dyDescent="0.2">
      <c r="AQ9065" s="31"/>
    </row>
    <row r="9066" spans="43:43" x14ac:dyDescent="0.2">
      <c r="AQ9066" s="31"/>
    </row>
    <row r="9067" spans="43:43" x14ac:dyDescent="0.2">
      <c r="AQ9067" s="31"/>
    </row>
    <row r="9068" spans="43:43" x14ac:dyDescent="0.2">
      <c r="AQ9068" s="31"/>
    </row>
    <row r="9069" spans="43:43" x14ac:dyDescent="0.2">
      <c r="AQ9069" s="31"/>
    </row>
    <row r="9070" spans="43:43" x14ac:dyDescent="0.2">
      <c r="AQ9070" s="31"/>
    </row>
    <row r="9071" spans="43:43" x14ac:dyDescent="0.2">
      <c r="AQ9071" s="31"/>
    </row>
    <row r="9072" spans="43:43" x14ac:dyDescent="0.2">
      <c r="AQ9072" s="31"/>
    </row>
    <row r="9073" spans="43:43" x14ac:dyDescent="0.2">
      <c r="AQ9073" s="31"/>
    </row>
    <row r="9074" spans="43:43" x14ac:dyDescent="0.2">
      <c r="AQ9074" s="31"/>
    </row>
    <row r="9075" spans="43:43" x14ac:dyDescent="0.2">
      <c r="AQ9075" s="31"/>
    </row>
    <row r="9076" spans="43:43" x14ac:dyDescent="0.2">
      <c r="AQ9076" s="31"/>
    </row>
    <row r="9077" spans="43:43" x14ac:dyDescent="0.2">
      <c r="AQ9077" s="31"/>
    </row>
    <row r="9078" spans="43:43" x14ac:dyDescent="0.2">
      <c r="AQ9078" s="31"/>
    </row>
    <row r="9079" spans="43:43" x14ac:dyDescent="0.2">
      <c r="AQ9079" s="31"/>
    </row>
    <row r="9080" spans="43:43" x14ac:dyDescent="0.2">
      <c r="AQ9080" s="31"/>
    </row>
    <row r="9081" spans="43:43" x14ac:dyDescent="0.2">
      <c r="AQ9081" s="31"/>
    </row>
    <row r="9082" spans="43:43" x14ac:dyDescent="0.2">
      <c r="AQ9082" s="31"/>
    </row>
    <row r="9083" spans="43:43" x14ac:dyDescent="0.2">
      <c r="AQ9083" s="31"/>
    </row>
    <row r="9084" spans="43:43" x14ac:dyDescent="0.2">
      <c r="AQ9084" s="31"/>
    </row>
    <row r="9085" spans="43:43" x14ac:dyDescent="0.2">
      <c r="AQ9085" s="31"/>
    </row>
    <row r="9086" spans="43:43" x14ac:dyDescent="0.2">
      <c r="AQ9086" s="31"/>
    </row>
    <row r="9087" spans="43:43" x14ac:dyDescent="0.2">
      <c r="AQ9087" s="31"/>
    </row>
    <row r="9088" spans="43:43" x14ac:dyDescent="0.2">
      <c r="AQ9088" s="31"/>
    </row>
    <row r="9089" spans="43:43" x14ac:dyDescent="0.2">
      <c r="AQ9089" s="31"/>
    </row>
    <row r="9090" spans="43:43" x14ac:dyDescent="0.2">
      <c r="AQ9090" s="31"/>
    </row>
    <row r="9091" spans="43:43" x14ac:dyDescent="0.2">
      <c r="AQ9091" s="31"/>
    </row>
    <row r="9092" spans="43:43" x14ac:dyDescent="0.2">
      <c r="AQ9092" s="31"/>
    </row>
    <row r="9093" spans="43:43" x14ac:dyDescent="0.2">
      <c r="AQ9093" s="31"/>
    </row>
    <row r="9094" spans="43:43" x14ac:dyDescent="0.2">
      <c r="AQ9094" s="31"/>
    </row>
    <row r="9095" spans="43:43" x14ac:dyDescent="0.2">
      <c r="AQ9095" s="31"/>
    </row>
    <row r="9096" spans="43:43" x14ac:dyDescent="0.2">
      <c r="AQ9096" s="31"/>
    </row>
    <row r="9097" spans="43:43" x14ac:dyDescent="0.2">
      <c r="AQ9097" s="31"/>
    </row>
    <row r="9098" spans="43:43" x14ac:dyDescent="0.2">
      <c r="AQ9098" s="31"/>
    </row>
    <row r="9099" spans="43:43" x14ac:dyDescent="0.2">
      <c r="AQ9099" s="31"/>
    </row>
    <row r="9100" spans="43:43" x14ac:dyDescent="0.2">
      <c r="AQ9100" s="31"/>
    </row>
    <row r="9101" spans="43:43" x14ac:dyDescent="0.2">
      <c r="AQ9101" s="31"/>
    </row>
    <row r="9102" spans="43:43" x14ac:dyDescent="0.2">
      <c r="AQ9102" s="31"/>
    </row>
    <row r="9103" spans="43:43" x14ac:dyDescent="0.2">
      <c r="AQ9103" s="31"/>
    </row>
    <row r="9104" spans="43:43" x14ac:dyDescent="0.2">
      <c r="AQ9104" s="31"/>
    </row>
    <row r="9105" spans="43:43" x14ac:dyDescent="0.2">
      <c r="AQ9105" s="31"/>
    </row>
    <row r="9106" spans="43:43" x14ac:dyDescent="0.2">
      <c r="AQ9106" s="31"/>
    </row>
    <row r="9107" spans="43:43" x14ac:dyDescent="0.2">
      <c r="AQ9107" s="31"/>
    </row>
    <row r="9108" spans="43:43" x14ac:dyDescent="0.2">
      <c r="AQ9108" s="31"/>
    </row>
    <row r="9109" spans="43:43" x14ac:dyDescent="0.2">
      <c r="AQ9109" s="31"/>
    </row>
    <row r="9110" spans="43:43" x14ac:dyDescent="0.2">
      <c r="AQ9110" s="31"/>
    </row>
    <row r="9111" spans="43:43" x14ac:dyDescent="0.2">
      <c r="AQ9111" s="31"/>
    </row>
    <row r="9112" spans="43:43" x14ac:dyDescent="0.2">
      <c r="AQ9112" s="31"/>
    </row>
    <row r="9113" spans="43:43" x14ac:dyDescent="0.2">
      <c r="AQ9113" s="31"/>
    </row>
    <row r="9114" spans="43:43" x14ac:dyDescent="0.2">
      <c r="AQ9114" s="31"/>
    </row>
    <row r="9115" spans="43:43" x14ac:dyDescent="0.2">
      <c r="AQ9115" s="31"/>
    </row>
    <row r="9116" spans="43:43" x14ac:dyDescent="0.2">
      <c r="AQ9116" s="31"/>
    </row>
    <row r="9117" spans="43:43" x14ac:dyDescent="0.2">
      <c r="AQ9117" s="31"/>
    </row>
    <row r="9118" spans="43:43" x14ac:dyDescent="0.2">
      <c r="AQ9118" s="31"/>
    </row>
    <row r="9119" spans="43:43" x14ac:dyDescent="0.2">
      <c r="AQ9119" s="31"/>
    </row>
    <row r="9120" spans="43:43" x14ac:dyDescent="0.2">
      <c r="AQ9120" s="31"/>
    </row>
    <row r="9121" spans="43:43" x14ac:dyDescent="0.2">
      <c r="AQ9121" s="31"/>
    </row>
    <row r="9122" spans="43:43" x14ac:dyDescent="0.2">
      <c r="AQ9122" s="31"/>
    </row>
    <row r="9123" spans="43:43" x14ac:dyDescent="0.2">
      <c r="AQ9123" s="31"/>
    </row>
    <row r="9124" spans="43:43" x14ac:dyDescent="0.2">
      <c r="AQ9124" s="31"/>
    </row>
    <row r="9125" spans="43:43" x14ac:dyDescent="0.2">
      <c r="AQ9125" s="31"/>
    </row>
    <row r="9126" spans="43:43" x14ac:dyDescent="0.2">
      <c r="AQ9126" s="31"/>
    </row>
    <row r="9127" spans="43:43" x14ac:dyDescent="0.2">
      <c r="AQ9127" s="31"/>
    </row>
    <row r="9128" spans="43:43" x14ac:dyDescent="0.2">
      <c r="AQ9128" s="31"/>
    </row>
    <row r="9129" spans="43:43" x14ac:dyDescent="0.2">
      <c r="AQ9129" s="31"/>
    </row>
    <row r="9130" spans="43:43" x14ac:dyDescent="0.2">
      <c r="AQ9130" s="31"/>
    </row>
    <row r="9131" spans="43:43" x14ac:dyDescent="0.2">
      <c r="AQ9131" s="31"/>
    </row>
    <row r="9132" spans="43:43" x14ac:dyDescent="0.2">
      <c r="AQ9132" s="31"/>
    </row>
    <row r="9133" spans="43:43" x14ac:dyDescent="0.2">
      <c r="AQ9133" s="31"/>
    </row>
    <row r="9134" spans="43:43" x14ac:dyDescent="0.2">
      <c r="AQ9134" s="31"/>
    </row>
    <row r="9135" spans="43:43" x14ac:dyDescent="0.2">
      <c r="AQ9135" s="31"/>
    </row>
    <row r="9136" spans="43:43" x14ac:dyDescent="0.2">
      <c r="AQ9136" s="31"/>
    </row>
    <row r="9137" spans="43:43" x14ac:dyDescent="0.2">
      <c r="AQ9137" s="31"/>
    </row>
    <row r="9138" spans="43:43" x14ac:dyDescent="0.2">
      <c r="AQ9138" s="31"/>
    </row>
    <row r="9139" spans="43:43" x14ac:dyDescent="0.2">
      <c r="AQ9139" s="31"/>
    </row>
    <row r="9140" spans="43:43" x14ac:dyDescent="0.2">
      <c r="AQ9140" s="31"/>
    </row>
    <row r="9141" spans="43:43" x14ac:dyDescent="0.2">
      <c r="AQ9141" s="31"/>
    </row>
    <row r="9142" spans="43:43" x14ac:dyDescent="0.2">
      <c r="AQ9142" s="31"/>
    </row>
    <row r="9143" spans="43:43" x14ac:dyDescent="0.2">
      <c r="AQ9143" s="31"/>
    </row>
    <row r="9144" spans="43:43" x14ac:dyDescent="0.2">
      <c r="AQ9144" s="31"/>
    </row>
    <row r="9145" spans="43:43" x14ac:dyDescent="0.2">
      <c r="AQ9145" s="31"/>
    </row>
    <row r="9146" spans="43:43" x14ac:dyDescent="0.2">
      <c r="AQ9146" s="31"/>
    </row>
    <row r="9147" spans="43:43" x14ac:dyDescent="0.2">
      <c r="AQ9147" s="31"/>
    </row>
    <row r="9148" spans="43:43" x14ac:dyDescent="0.2">
      <c r="AQ9148" s="31"/>
    </row>
    <row r="9149" spans="43:43" x14ac:dyDescent="0.2">
      <c r="AQ9149" s="31"/>
    </row>
    <row r="9150" spans="43:43" x14ac:dyDescent="0.2">
      <c r="AQ9150" s="31"/>
    </row>
    <row r="9151" spans="43:43" x14ac:dyDescent="0.2">
      <c r="AQ9151" s="31"/>
    </row>
    <row r="9152" spans="43:43" x14ac:dyDescent="0.2">
      <c r="AQ9152" s="31"/>
    </row>
    <row r="9153" spans="43:43" x14ac:dyDescent="0.2">
      <c r="AQ9153" s="31"/>
    </row>
    <row r="9154" spans="43:43" x14ac:dyDescent="0.2">
      <c r="AQ9154" s="31"/>
    </row>
    <row r="9155" spans="43:43" x14ac:dyDescent="0.2">
      <c r="AQ9155" s="31"/>
    </row>
    <row r="9156" spans="43:43" x14ac:dyDescent="0.2">
      <c r="AQ9156" s="31"/>
    </row>
    <row r="9157" spans="43:43" x14ac:dyDescent="0.2">
      <c r="AQ9157" s="31"/>
    </row>
    <row r="9158" spans="43:43" x14ac:dyDescent="0.2">
      <c r="AQ9158" s="31"/>
    </row>
    <row r="9159" spans="43:43" x14ac:dyDescent="0.2">
      <c r="AQ9159" s="31"/>
    </row>
    <row r="9160" spans="43:43" x14ac:dyDescent="0.2">
      <c r="AQ9160" s="31"/>
    </row>
    <row r="9161" spans="43:43" x14ac:dyDescent="0.2">
      <c r="AQ9161" s="31"/>
    </row>
    <row r="9162" spans="43:43" x14ac:dyDescent="0.2">
      <c r="AQ9162" s="31"/>
    </row>
    <row r="9163" spans="43:43" x14ac:dyDescent="0.2">
      <c r="AQ9163" s="31"/>
    </row>
    <row r="9164" spans="43:43" x14ac:dyDescent="0.2">
      <c r="AQ9164" s="31"/>
    </row>
    <row r="9165" spans="43:43" x14ac:dyDescent="0.2">
      <c r="AQ9165" s="31"/>
    </row>
    <row r="9166" spans="43:43" x14ac:dyDescent="0.2">
      <c r="AQ9166" s="31"/>
    </row>
    <row r="9167" spans="43:43" x14ac:dyDescent="0.2">
      <c r="AQ9167" s="31"/>
    </row>
    <row r="9168" spans="43:43" x14ac:dyDescent="0.2">
      <c r="AQ9168" s="31"/>
    </row>
    <row r="9169" spans="43:43" x14ac:dyDescent="0.2">
      <c r="AQ9169" s="31"/>
    </row>
    <row r="9170" spans="43:43" x14ac:dyDescent="0.2">
      <c r="AQ9170" s="31"/>
    </row>
    <row r="9171" spans="43:43" x14ac:dyDescent="0.2">
      <c r="AQ9171" s="31"/>
    </row>
    <row r="9172" spans="43:43" x14ac:dyDescent="0.2">
      <c r="AQ9172" s="31"/>
    </row>
    <row r="9173" spans="43:43" x14ac:dyDescent="0.2">
      <c r="AQ9173" s="31"/>
    </row>
    <row r="9174" spans="43:43" x14ac:dyDescent="0.2">
      <c r="AQ9174" s="31"/>
    </row>
    <row r="9175" spans="43:43" x14ac:dyDescent="0.2">
      <c r="AQ9175" s="31"/>
    </row>
    <row r="9176" spans="43:43" x14ac:dyDescent="0.2">
      <c r="AQ9176" s="31"/>
    </row>
    <row r="9177" spans="43:43" x14ac:dyDescent="0.2">
      <c r="AQ9177" s="31"/>
    </row>
    <row r="9178" spans="43:43" x14ac:dyDescent="0.2">
      <c r="AQ9178" s="31"/>
    </row>
    <row r="9179" spans="43:43" x14ac:dyDescent="0.2">
      <c r="AQ9179" s="31"/>
    </row>
    <row r="9180" spans="43:43" x14ac:dyDescent="0.2">
      <c r="AQ9180" s="31"/>
    </row>
    <row r="9181" spans="43:43" x14ac:dyDescent="0.2">
      <c r="AQ9181" s="31"/>
    </row>
    <row r="9182" spans="43:43" x14ac:dyDescent="0.2">
      <c r="AQ9182" s="31"/>
    </row>
    <row r="9183" spans="43:43" x14ac:dyDescent="0.2">
      <c r="AQ9183" s="31"/>
    </row>
    <row r="9184" spans="43:43" x14ac:dyDescent="0.2">
      <c r="AQ9184" s="31"/>
    </row>
    <row r="9185" spans="43:43" x14ac:dyDescent="0.2">
      <c r="AQ9185" s="31"/>
    </row>
    <row r="9186" spans="43:43" x14ac:dyDescent="0.2">
      <c r="AQ9186" s="31"/>
    </row>
    <row r="9187" spans="43:43" x14ac:dyDescent="0.2">
      <c r="AQ9187" s="31"/>
    </row>
    <row r="9188" spans="43:43" x14ac:dyDescent="0.2">
      <c r="AQ9188" s="31"/>
    </row>
    <row r="9189" spans="43:43" x14ac:dyDescent="0.2">
      <c r="AQ9189" s="31"/>
    </row>
    <row r="9190" spans="43:43" x14ac:dyDescent="0.2">
      <c r="AQ9190" s="31"/>
    </row>
    <row r="9191" spans="43:43" x14ac:dyDescent="0.2">
      <c r="AQ9191" s="31"/>
    </row>
    <row r="9192" spans="43:43" x14ac:dyDescent="0.2">
      <c r="AQ9192" s="31"/>
    </row>
    <row r="9193" spans="43:43" x14ac:dyDescent="0.2">
      <c r="AQ9193" s="31"/>
    </row>
    <row r="9194" spans="43:43" x14ac:dyDescent="0.2">
      <c r="AQ9194" s="31"/>
    </row>
    <row r="9195" spans="43:43" x14ac:dyDescent="0.2">
      <c r="AQ9195" s="31"/>
    </row>
    <row r="9196" spans="43:43" x14ac:dyDescent="0.2">
      <c r="AQ9196" s="31"/>
    </row>
    <row r="9197" spans="43:43" x14ac:dyDescent="0.2">
      <c r="AQ9197" s="31"/>
    </row>
    <row r="9198" spans="43:43" x14ac:dyDescent="0.2">
      <c r="AQ9198" s="31"/>
    </row>
    <row r="9199" spans="43:43" x14ac:dyDescent="0.2">
      <c r="AQ9199" s="31"/>
    </row>
    <row r="9200" spans="43:43" x14ac:dyDescent="0.2">
      <c r="AQ9200" s="31"/>
    </row>
    <row r="9201" spans="43:43" x14ac:dyDescent="0.2">
      <c r="AQ9201" s="31"/>
    </row>
    <row r="9202" spans="43:43" x14ac:dyDescent="0.2">
      <c r="AQ9202" s="31"/>
    </row>
    <row r="9203" spans="43:43" x14ac:dyDescent="0.2">
      <c r="AQ9203" s="31"/>
    </row>
    <row r="9204" spans="43:43" x14ac:dyDescent="0.2">
      <c r="AQ9204" s="31"/>
    </row>
    <row r="9205" spans="43:43" x14ac:dyDescent="0.2">
      <c r="AQ9205" s="31"/>
    </row>
    <row r="9206" spans="43:43" x14ac:dyDescent="0.2">
      <c r="AQ9206" s="31"/>
    </row>
    <row r="9207" spans="43:43" x14ac:dyDescent="0.2">
      <c r="AQ9207" s="31"/>
    </row>
    <row r="9208" spans="43:43" x14ac:dyDescent="0.2">
      <c r="AQ9208" s="31"/>
    </row>
    <row r="9209" spans="43:43" x14ac:dyDescent="0.2">
      <c r="AQ9209" s="31"/>
    </row>
    <row r="9210" spans="43:43" x14ac:dyDescent="0.2">
      <c r="AQ9210" s="31"/>
    </row>
    <row r="9211" spans="43:43" x14ac:dyDescent="0.2">
      <c r="AQ9211" s="31"/>
    </row>
    <row r="9212" spans="43:43" x14ac:dyDescent="0.2">
      <c r="AQ9212" s="31"/>
    </row>
    <row r="9213" spans="43:43" x14ac:dyDescent="0.2">
      <c r="AQ9213" s="31"/>
    </row>
    <row r="9214" spans="43:43" x14ac:dyDescent="0.2">
      <c r="AQ9214" s="31"/>
    </row>
    <row r="9215" spans="43:43" x14ac:dyDescent="0.2">
      <c r="AQ9215" s="31"/>
    </row>
    <row r="9216" spans="43:43" x14ac:dyDescent="0.2">
      <c r="AQ9216" s="31"/>
    </row>
    <row r="9217" spans="43:43" x14ac:dyDescent="0.2">
      <c r="AQ9217" s="31"/>
    </row>
    <row r="9218" spans="43:43" x14ac:dyDescent="0.2">
      <c r="AQ9218" s="31"/>
    </row>
    <row r="9219" spans="43:43" x14ac:dyDescent="0.2">
      <c r="AQ9219" s="31"/>
    </row>
    <row r="9220" spans="43:43" x14ac:dyDescent="0.2">
      <c r="AQ9220" s="31"/>
    </row>
    <row r="9221" spans="43:43" x14ac:dyDescent="0.2">
      <c r="AQ9221" s="31"/>
    </row>
    <row r="9222" spans="43:43" x14ac:dyDescent="0.2">
      <c r="AQ9222" s="31"/>
    </row>
    <row r="9223" spans="43:43" x14ac:dyDescent="0.2">
      <c r="AQ9223" s="31"/>
    </row>
    <row r="9224" spans="43:43" x14ac:dyDescent="0.2">
      <c r="AQ9224" s="31"/>
    </row>
    <row r="9225" spans="43:43" x14ac:dyDescent="0.2">
      <c r="AQ9225" s="31"/>
    </row>
    <row r="9226" spans="43:43" x14ac:dyDescent="0.2">
      <c r="AQ9226" s="31"/>
    </row>
    <row r="9227" spans="43:43" x14ac:dyDescent="0.2">
      <c r="AQ9227" s="31"/>
    </row>
    <row r="9228" spans="43:43" x14ac:dyDescent="0.2">
      <c r="AQ9228" s="31"/>
    </row>
    <row r="9229" spans="43:43" x14ac:dyDescent="0.2">
      <c r="AQ9229" s="31"/>
    </row>
    <row r="9230" spans="43:43" x14ac:dyDescent="0.2">
      <c r="AQ9230" s="31"/>
    </row>
    <row r="9231" spans="43:43" x14ac:dyDescent="0.2">
      <c r="AQ9231" s="31"/>
    </row>
    <row r="9232" spans="43:43" x14ac:dyDescent="0.2">
      <c r="AQ9232" s="31"/>
    </row>
    <row r="9233" spans="43:43" x14ac:dyDescent="0.2">
      <c r="AQ9233" s="31"/>
    </row>
    <row r="9234" spans="43:43" x14ac:dyDescent="0.2">
      <c r="AQ9234" s="31"/>
    </row>
    <row r="9235" spans="43:43" x14ac:dyDescent="0.2">
      <c r="AQ9235" s="31"/>
    </row>
    <row r="9236" spans="43:43" x14ac:dyDescent="0.2">
      <c r="AQ9236" s="31"/>
    </row>
    <row r="9237" spans="43:43" x14ac:dyDescent="0.2">
      <c r="AQ9237" s="31"/>
    </row>
    <row r="9238" spans="43:43" x14ac:dyDescent="0.2">
      <c r="AQ9238" s="31"/>
    </row>
    <row r="9239" spans="43:43" x14ac:dyDescent="0.2">
      <c r="AQ9239" s="31"/>
    </row>
    <row r="9240" spans="43:43" x14ac:dyDescent="0.2">
      <c r="AQ9240" s="31"/>
    </row>
    <row r="9241" spans="43:43" x14ac:dyDescent="0.2">
      <c r="AQ9241" s="31"/>
    </row>
    <row r="9242" spans="43:43" x14ac:dyDescent="0.2">
      <c r="AQ9242" s="31"/>
    </row>
    <row r="9243" spans="43:43" x14ac:dyDescent="0.2">
      <c r="AQ9243" s="31"/>
    </row>
    <row r="9244" spans="43:43" x14ac:dyDescent="0.2">
      <c r="AQ9244" s="31"/>
    </row>
    <row r="9245" spans="43:43" x14ac:dyDescent="0.2">
      <c r="AQ9245" s="31"/>
    </row>
    <row r="9246" spans="43:43" x14ac:dyDescent="0.2">
      <c r="AQ9246" s="31"/>
    </row>
    <row r="9247" spans="43:43" x14ac:dyDescent="0.2">
      <c r="AQ9247" s="31"/>
    </row>
    <row r="9248" spans="43:43" x14ac:dyDescent="0.2">
      <c r="AQ9248" s="31"/>
    </row>
    <row r="9249" spans="43:43" x14ac:dyDescent="0.2">
      <c r="AQ9249" s="31"/>
    </row>
    <row r="9250" spans="43:43" x14ac:dyDescent="0.2">
      <c r="AQ9250" s="31"/>
    </row>
    <row r="9251" spans="43:43" x14ac:dyDescent="0.2">
      <c r="AQ9251" s="31"/>
    </row>
    <row r="9252" spans="43:43" x14ac:dyDescent="0.2">
      <c r="AQ9252" s="31"/>
    </row>
    <row r="9253" spans="43:43" x14ac:dyDescent="0.2">
      <c r="AQ9253" s="31"/>
    </row>
    <row r="9254" spans="43:43" x14ac:dyDescent="0.2">
      <c r="AQ9254" s="31"/>
    </row>
    <row r="9255" spans="43:43" x14ac:dyDescent="0.2">
      <c r="AQ9255" s="31"/>
    </row>
    <row r="9256" spans="43:43" x14ac:dyDescent="0.2">
      <c r="AQ9256" s="31"/>
    </row>
    <row r="9257" spans="43:43" x14ac:dyDescent="0.2">
      <c r="AQ9257" s="31"/>
    </row>
    <row r="9258" spans="43:43" x14ac:dyDescent="0.2">
      <c r="AQ9258" s="31"/>
    </row>
    <row r="9259" spans="43:43" x14ac:dyDescent="0.2">
      <c r="AQ9259" s="31"/>
    </row>
    <row r="9260" spans="43:43" x14ac:dyDescent="0.2">
      <c r="AQ9260" s="31"/>
    </row>
    <row r="9261" spans="43:43" x14ac:dyDescent="0.2">
      <c r="AQ9261" s="31"/>
    </row>
    <row r="9262" spans="43:43" x14ac:dyDescent="0.2">
      <c r="AQ9262" s="31"/>
    </row>
    <row r="9263" spans="43:43" x14ac:dyDescent="0.2">
      <c r="AQ9263" s="31"/>
    </row>
    <row r="9264" spans="43:43" x14ac:dyDescent="0.2">
      <c r="AQ9264" s="31"/>
    </row>
    <row r="9265" spans="43:43" x14ac:dyDescent="0.2">
      <c r="AQ9265" s="31"/>
    </row>
    <row r="9266" spans="43:43" x14ac:dyDescent="0.2">
      <c r="AQ9266" s="31"/>
    </row>
    <row r="9267" spans="43:43" x14ac:dyDescent="0.2">
      <c r="AQ9267" s="31"/>
    </row>
    <row r="9268" spans="43:43" x14ac:dyDescent="0.2">
      <c r="AQ9268" s="31"/>
    </row>
    <row r="9269" spans="43:43" x14ac:dyDescent="0.2">
      <c r="AQ9269" s="31"/>
    </row>
    <row r="9270" spans="43:43" x14ac:dyDescent="0.2">
      <c r="AQ9270" s="31"/>
    </row>
    <row r="9271" spans="43:43" x14ac:dyDescent="0.2">
      <c r="AQ9271" s="31"/>
    </row>
    <row r="9272" spans="43:43" x14ac:dyDescent="0.2">
      <c r="AQ9272" s="31"/>
    </row>
    <row r="9273" spans="43:43" x14ac:dyDescent="0.2">
      <c r="AQ9273" s="31"/>
    </row>
    <row r="9274" spans="43:43" x14ac:dyDescent="0.2">
      <c r="AQ9274" s="31"/>
    </row>
    <row r="9275" spans="43:43" x14ac:dyDescent="0.2">
      <c r="AQ9275" s="31"/>
    </row>
    <row r="9276" spans="43:43" x14ac:dyDescent="0.2">
      <c r="AQ9276" s="31"/>
    </row>
    <row r="9277" spans="43:43" x14ac:dyDescent="0.2">
      <c r="AQ9277" s="31"/>
    </row>
    <row r="9278" spans="43:43" x14ac:dyDescent="0.2">
      <c r="AQ9278" s="31"/>
    </row>
    <row r="9279" spans="43:43" x14ac:dyDescent="0.2">
      <c r="AQ9279" s="31"/>
    </row>
    <row r="9280" spans="43:43" x14ac:dyDescent="0.2">
      <c r="AQ9280" s="31"/>
    </row>
    <row r="9281" spans="43:43" x14ac:dyDescent="0.2">
      <c r="AQ9281" s="31"/>
    </row>
    <row r="9282" spans="43:43" x14ac:dyDescent="0.2">
      <c r="AQ9282" s="31"/>
    </row>
    <row r="9283" spans="43:43" x14ac:dyDescent="0.2">
      <c r="AQ9283" s="31"/>
    </row>
    <row r="9284" spans="43:43" x14ac:dyDescent="0.2">
      <c r="AQ9284" s="31"/>
    </row>
    <row r="9285" spans="43:43" x14ac:dyDescent="0.2">
      <c r="AQ9285" s="31"/>
    </row>
    <row r="9286" spans="43:43" x14ac:dyDescent="0.2">
      <c r="AQ9286" s="31"/>
    </row>
    <row r="9287" spans="43:43" x14ac:dyDescent="0.2">
      <c r="AQ9287" s="31"/>
    </row>
    <row r="9288" spans="43:43" x14ac:dyDescent="0.2">
      <c r="AQ9288" s="31"/>
    </row>
    <row r="9289" spans="43:43" x14ac:dyDescent="0.2">
      <c r="AQ9289" s="31"/>
    </row>
    <row r="9290" spans="43:43" x14ac:dyDescent="0.2">
      <c r="AQ9290" s="31"/>
    </row>
    <row r="9291" spans="43:43" x14ac:dyDescent="0.2">
      <c r="AQ9291" s="31"/>
    </row>
    <row r="9292" spans="43:43" x14ac:dyDescent="0.2">
      <c r="AQ9292" s="31"/>
    </row>
    <row r="9293" spans="43:43" x14ac:dyDescent="0.2">
      <c r="AQ9293" s="31"/>
    </row>
    <row r="9294" spans="43:43" x14ac:dyDescent="0.2">
      <c r="AQ9294" s="31"/>
    </row>
    <row r="9295" spans="43:43" x14ac:dyDescent="0.2">
      <c r="AQ9295" s="31"/>
    </row>
    <row r="9296" spans="43:43" x14ac:dyDescent="0.2">
      <c r="AQ9296" s="31"/>
    </row>
    <row r="9297" spans="43:43" x14ac:dyDescent="0.2">
      <c r="AQ9297" s="31"/>
    </row>
    <row r="9298" spans="43:43" x14ac:dyDescent="0.2">
      <c r="AQ9298" s="31"/>
    </row>
    <row r="9299" spans="43:43" x14ac:dyDescent="0.2">
      <c r="AQ9299" s="31"/>
    </row>
    <row r="9300" spans="43:43" x14ac:dyDescent="0.2">
      <c r="AQ9300" s="31"/>
    </row>
    <row r="9301" spans="43:43" x14ac:dyDescent="0.2">
      <c r="AQ9301" s="31"/>
    </row>
    <row r="9302" spans="43:43" x14ac:dyDescent="0.2">
      <c r="AQ9302" s="31"/>
    </row>
    <row r="9303" spans="43:43" x14ac:dyDescent="0.2">
      <c r="AQ9303" s="31"/>
    </row>
    <row r="9304" spans="43:43" x14ac:dyDescent="0.2">
      <c r="AQ9304" s="31"/>
    </row>
    <row r="9305" spans="43:43" x14ac:dyDescent="0.2">
      <c r="AQ9305" s="31"/>
    </row>
    <row r="9306" spans="43:43" x14ac:dyDescent="0.2">
      <c r="AQ9306" s="31"/>
    </row>
    <row r="9307" spans="43:43" x14ac:dyDescent="0.2">
      <c r="AQ9307" s="31"/>
    </row>
    <row r="9308" spans="43:43" x14ac:dyDescent="0.2">
      <c r="AQ9308" s="31"/>
    </row>
    <row r="9309" spans="43:43" x14ac:dyDescent="0.2">
      <c r="AQ9309" s="31"/>
    </row>
    <row r="9310" spans="43:43" x14ac:dyDescent="0.2">
      <c r="AQ9310" s="31"/>
    </row>
    <row r="9311" spans="43:43" x14ac:dyDescent="0.2">
      <c r="AQ9311" s="31"/>
    </row>
    <row r="9312" spans="43:43" x14ac:dyDescent="0.2">
      <c r="AQ9312" s="31"/>
    </row>
    <row r="9313" spans="43:43" x14ac:dyDescent="0.2">
      <c r="AQ9313" s="31"/>
    </row>
    <row r="9314" spans="43:43" x14ac:dyDescent="0.2">
      <c r="AQ9314" s="31"/>
    </row>
    <row r="9315" spans="43:43" x14ac:dyDescent="0.2">
      <c r="AQ9315" s="31"/>
    </row>
    <row r="9316" spans="43:43" x14ac:dyDescent="0.2">
      <c r="AQ9316" s="31"/>
    </row>
    <row r="9317" spans="43:43" x14ac:dyDescent="0.2">
      <c r="AQ9317" s="31"/>
    </row>
    <row r="9318" spans="43:43" x14ac:dyDescent="0.2">
      <c r="AQ9318" s="31"/>
    </row>
    <row r="9319" spans="43:43" x14ac:dyDescent="0.2">
      <c r="AQ9319" s="31"/>
    </row>
    <row r="9320" spans="43:43" x14ac:dyDescent="0.2">
      <c r="AQ9320" s="31"/>
    </row>
    <row r="9321" spans="43:43" x14ac:dyDescent="0.2">
      <c r="AQ9321" s="31"/>
    </row>
    <row r="9322" spans="43:43" x14ac:dyDescent="0.2">
      <c r="AQ9322" s="31"/>
    </row>
    <row r="9323" spans="43:43" x14ac:dyDescent="0.2">
      <c r="AQ9323" s="31"/>
    </row>
    <row r="9324" spans="43:43" x14ac:dyDescent="0.2">
      <c r="AQ9324" s="31"/>
    </row>
    <row r="9325" spans="43:43" x14ac:dyDescent="0.2">
      <c r="AQ9325" s="31"/>
    </row>
    <row r="9326" spans="43:43" x14ac:dyDescent="0.2">
      <c r="AQ9326" s="31"/>
    </row>
    <row r="9327" spans="43:43" x14ac:dyDescent="0.2">
      <c r="AQ9327" s="31"/>
    </row>
    <row r="9328" spans="43:43" x14ac:dyDescent="0.2">
      <c r="AQ9328" s="31"/>
    </row>
    <row r="9329" spans="43:43" x14ac:dyDescent="0.2">
      <c r="AQ9329" s="31"/>
    </row>
    <row r="9330" spans="43:43" x14ac:dyDescent="0.2">
      <c r="AQ9330" s="31"/>
    </row>
    <row r="9331" spans="43:43" x14ac:dyDescent="0.2">
      <c r="AQ9331" s="31"/>
    </row>
    <row r="9332" spans="43:43" x14ac:dyDescent="0.2">
      <c r="AQ9332" s="31"/>
    </row>
    <row r="9333" spans="43:43" x14ac:dyDescent="0.2">
      <c r="AQ9333" s="31"/>
    </row>
    <row r="9334" spans="43:43" x14ac:dyDescent="0.2">
      <c r="AQ9334" s="31"/>
    </row>
    <row r="9335" spans="43:43" x14ac:dyDescent="0.2">
      <c r="AQ9335" s="31"/>
    </row>
    <row r="9336" spans="43:43" x14ac:dyDescent="0.2">
      <c r="AQ9336" s="31"/>
    </row>
    <row r="9337" spans="43:43" x14ac:dyDescent="0.2">
      <c r="AQ9337" s="31"/>
    </row>
    <row r="9338" spans="43:43" x14ac:dyDescent="0.2">
      <c r="AQ9338" s="31"/>
    </row>
    <row r="9339" spans="43:43" x14ac:dyDescent="0.2">
      <c r="AQ9339" s="31"/>
    </row>
    <row r="9340" spans="43:43" x14ac:dyDescent="0.2">
      <c r="AQ9340" s="31"/>
    </row>
    <row r="9341" spans="43:43" x14ac:dyDescent="0.2">
      <c r="AQ9341" s="31"/>
    </row>
    <row r="9342" spans="43:43" x14ac:dyDescent="0.2">
      <c r="AQ9342" s="31"/>
    </row>
    <row r="9343" spans="43:43" x14ac:dyDescent="0.2">
      <c r="AQ9343" s="31"/>
    </row>
    <row r="9344" spans="43:43" x14ac:dyDescent="0.2">
      <c r="AQ9344" s="31"/>
    </row>
    <row r="9345" spans="43:43" x14ac:dyDescent="0.2">
      <c r="AQ9345" s="31"/>
    </row>
    <row r="9346" spans="43:43" x14ac:dyDescent="0.2">
      <c r="AQ9346" s="31"/>
    </row>
    <row r="9347" spans="43:43" x14ac:dyDescent="0.2">
      <c r="AQ9347" s="31"/>
    </row>
    <row r="9348" spans="43:43" x14ac:dyDescent="0.2">
      <c r="AQ9348" s="31"/>
    </row>
    <row r="9349" spans="43:43" x14ac:dyDescent="0.2">
      <c r="AQ9349" s="31"/>
    </row>
    <row r="9350" spans="43:43" x14ac:dyDescent="0.2">
      <c r="AQ9350" s="31"/>
    </row>
    <row r="9351" spans="43:43" x14ac:dyDescent="0.2">
      <c r="AQ9351" s="31"/>
    </row>
    <row r="9352" spans="43:43" x14ac:dyDescent="0.2">
      <c r="AQ9352" s="31"/>
    </row>
    <row r="9353" spans="43:43" x14ac:dyDescent="0.2">
      <c r="AQ9353" s="31"/>
    </row>
    <row r="9354" spans="43:43" x14ac:dyDescent="0.2">
      <c r="AQ9354" s="31"/>
    </row>
    <row r="9355" spans="43:43" x14ac:dyDescent="0.2">
      <c r="AQ9355" s="31"/>
    </row>
    <row r="9356" spans="43:43" x14ac:dyDescent="0.2">
      <c r="AQ9356" s="31"/>
    </row>
    <row r="9357" spans="43:43" x14ac:dyDescent="0.2">
      <c r="AQ9357" s="31"/>
    </row>
    <row r="9358" spans="43:43" x14ac:dyDescent="0.2">
      <c r="AQ9358" s="31"/>
    </row>
    <row r="9359" spans="43:43" x14ac:dyDescent="0.2">
      <c r="AQ9359" s="31"/>
    </row>
    <row r="9360" spans="43:43" x14ac:dyDescent="0.2">
      <c r="AQ9360" s="31"/>
    </row>
    <row r="9361" spans="43:43" x14ac:dyDescent="0.2">
      <c r="AQ9361" s="31"/>
    </row>
    <row r="9362" spans="43:43" x14ac:dyDescent="0.2">
      <c r="AQ9362" s="31"/>
    </row>
    <row r="9363" spans="43:43" x14ac:dyDescent="0.2">
      <c r="AQ9363" s="31"/>
    </row>
    <row r="9364" spans="43:43" x14ac:dyDescent="0.2">
      <c r="AQ9364" s="31"/>
    </row>
    <row r="9365" spans="43:43" x14ac:dyDescent="0.2">
      <c r="AQ9365" s="31"/>
    </row>
    <row r="9366" spans="43:43" x14ac:dyDescent="0.2">
      <c r="AQ9366" s="31"/>
    </row>
    <row r="9367" spans="43:43" x14ac:dyDescent="0.2">
      <c r="AQ9367" s="31"/>
    </row>
    <row r="9368" spans="43:43" x14ac:dyDescent="0.2">
      <c r="AQ9368" s="31"/>
    </row>
    <row r="9369" spans="43:43" x14ac:dyDescent="0.2">
      <c r="AQ9369" s="31"/>
    </row>
    <row r="9370" spans="43:43" x14ac:dyDescent="0.2">
      <c r="AQ9370" s="31"/>
    </row>
    <row r="9371" spans="43:43" x14ac:dyDescent="0.2">
      <c r="AQ9371" s="31"/>
    </row>
    <row r="9372" spans="43:43" x14ac:dyDescent="0.2">
      <c r="AQ9372" s="31"/>
    </row>
    <row r="9373" spans="43:43" x14ac:dyDescent="0.2">
      <c r="AQ9373" s="31"/>
    </row>
    <row r="9374" spans="43:43" x14ac:dyDescent="0.2">
      <c r="AQ9374" s="31"/>
    </row>
    <row r="9375" spans="43:43" x14ac:dyDescent="0.2">
      <c r="AQ9375" s="31"/>
    </row>
    <row r="9376" spans="43:43" x14ac:dyDescent="0.2">
      <c r="AQ9376" s="31"/>
    </row>
    <row r="9377" spans="43:43" x14ac:dyDescent="0.2">
      <c r="AQ9377" s="31"/>
    </row>
    <row r="9378" spans="43:43" x14ac:dyDescent="0.2">
      <c r="AQ9378" s="31"/>
    </row>
    <row r="9379" spans="43:43" x14ac:dyDescent="0.2">
      <c r="AQ9379" s="31"/>
    </row>
    <row r="9380" spans="43:43" x14ac:dyDescent="0.2">
      <c r="AQ9380" s="31"/>
    </row>
    <row r="9381" spans="43:43" x14ac:dyDescent="0.2">
      <c r="AQ9381" s="31"/>
    </row>
    <row r="9382" spans="43:43" x14ac:dyDescent="0.2">
      <c r="AQ9382" s="31"/>
    </row>
    <row r="9383" spans="43:43" x14ac:dyDescent="0.2">
      <c r="AQ9383" s="31"/>
    </row>
    <row r="9384" spans="43:43" x14ac:dyDescent="0.2">
      <c r="AQ9384" s="31"/>
    </row>
    <row r="9385" spans="43:43" x14ac:dyDescent="0.2">
      <c r="AQ9385" s="31"/>
    </row>
    <row r="9386" spans="43:43" x14ac:dyDescent="0.2">
      <c r="AQ9386" s="31"/>
    </row>
    <row r="9387" spans="43:43" x14ac:dyDescent="0.2">
      <c r="AQ9387" s="31"/>
    </row>
    <row r="9388" spans="43:43" x14ac:dyDescent="0.2">
      <c r="AQ9388" s="31"/>
    </row>
    <row r="9389" spans="43:43" x14ac:dyDescent="0.2">
      <c r="AQ9389" s="31"/>
    </row>
    <row r="9390" spans="43:43" x14ac:dyDescent="0.2">
      <c r="AQ9390" s="31"/>
    </row>
    <row r="9391" spans="43:43" x14ac:dyDescent="0.2">
      <c r="AQ9391" s="31"/>
    </row>
    <row r="9392" spans="43:43" x14ac:dyDescent="0.2">
      <c r="AQ9392" s="31"/>
    </row>
    <row r="9393" spans="43:43" x14ac:dyDescent="0.2">
      <c r="AQ9393" s="31"/>
    </row>
    <row r="9394" spans="43:43" x14ac:dyDescent="0.2">
      <c r="AQ9394" s="31"/>
    </row>
    <row r="9395" spans="43:43" x14ac:dyDescent="0.2">
      <c r="AQ9395" s="31"/>
    </row>
    <row r="9396" spans="43:43" x14ac:dyDescent="0.2">
      <c r="AQ9396" s="31"/>
    </row>
    <row r="9397" spans="43:43" x14ac:dyDescent="0.2">
      <c r="AQ9397" s="31"/>
    </row>
    <row r="9398" spans="43:43" x14ac:dyDescent="0.2">
      <c r="AQ9398" s="31"/>
    </row>
    <row r="9399" spans="43:43" x14ac:dyDescent="0.2">
      <c r="AQ9399" s="31"/>
    </row>
    <row r="9400" spans="43:43" x14ac:dyDescent="0.2">
      <c r="AQ9400" s="31"/>
    </row>
    <row r="9401" spans="43:43" x14ac:dyDescent="0.2">
      <c r="AQ9401" s="31"/>
    </row>
    <row r="9402" spans="43:43" x14ac:dyDescent="0.2">
      <c r="AQ9402" s="31"/>
    </row>
    <row r="9403" spans="43:43" x14ac:dyDescent="0.2">
      <c r="AQ9403" s="31"/>
    </row>
    <row r="9404" spans="43:43" x14ac:dyDescent="0.2">
      <c r="AQ9404" s="31"/>
    </row>
    <row r="9405" spans="43:43" x14ac:dyDescent="0.2">
      <c r="AQ9405" s="31"/>
    </row>
    <row r="9406" spans="43:43" x14ac:dyDescent="0.2">
      <c r="AQ9406" s="31"/>
    </row>
    <row r="9407" spans="43:43" x14ac:dyDescent="0.2">
      <c r="AQ9407" s="31"/>
    </row>
    <row r="9408" spans="43:43" x14ac:dyDescent="0.2">
      <c r="AQ9408" s="31"/>
    </row>
    <row r="9409" spans="43:43" x14ac:dyDescent="0.2">
      <c r="AQ9409" s="31"/>
    </row>
    <row r="9410" spans="43:43" x14ac:dyDescent="0.2">
      <c r="AQ9410" s="31"/>
    </row>
    <row r="9411" spans="43:43" x14ac:dyDescent="0.2">
      <c r="AQ9411" s="31"/>
    </row>
    <row r="9412" spans="43:43" x14ac:dyDescent="0.2">
      <c r="AQ9412" s="31"/>
    </row>
    <row r="9413" spans="43:43" x14ac:dyDescent="0.2">
      <c r="AQ9413" s="31"/>
    </row>
    <row r="9414" spans="43:43" x14ac:dyDescent="0.2">
      <c r="AQ9414" s="31"/>
    </row>
    <row r="9415" spans="43:43" x14ac:dyDescent="0.2">
      <c r="AQ9415" s="31"/>
    </row>
    <row r="9416" spans="43:43" x14ac:dyDescent="0.2">
      <c r="AQ9416" s="31"/>
    </row>
    <row r="9417" spans="43:43" x14ac:dyDescent="0.2">
      <c r="AQ9417" s="31"/>
    </row>
    <row r="9418" spans="43:43" x14ac:dyDescent="0.2">
      <c r="AQ9418" s="31"/>
    </row>
    <row r="9419" spans="43:43" x14ac:dyDescent="0.2">
      <c r="AQ9419" s="31"/>
    </row>
    <row r="9420" spans="43:43" x14ac:dyDescent="0.2">
      <c r="AQ9420" s="31"/>
    </row>
    <row r="9421" spans="43:43" x14ac:dyDescent="0.2">
      <c r="AQ9421" s="31"/>
    </row>
    <row r="9422" spans="43:43" x14ac:dyDescent="0.2">
      <c r="AQ9422" s="31"/>
    </row>
    <row r="9423" spans="43:43" x14ac:dyDescent="0.2">
      <c r="AQ9423" s="31"/>
    </row>
    <row r="9424" spans="43:43" x14ac:dyDescent="0.2">
      <c r="AQ9424" s="31"/>
    </row>
    <row r="9425" spans="43:43" x14ac:dyDescent="0.2">
      <c r="AQ9425" s="31"/>
    </row>
    <row r="9426" spans="43:43" x14ac:dyDescent="0.2">
      <c r="AQ9426" s="31"/>
    </row>
    <row r="9427" spans="43:43" x14ac:dyDescent="0.2">
      <c r="AQ9427" s="31"/>
    </row>
    <row r="9428" spans="43:43" x14ac:dyDescent="0.2">
      <c r="AQ9428" s="31"/>
    </row>
    <row r="9429" spans="43:43" x14ac:dyDescent="0.2">
      <c r="AQ9429" s="31"/>
    </row>
    <row r="9430" spans="43:43" x14ac:dyDescent="0.2">
      <c r="AQ9430" s="31"/>
    </row>
    <row r="9431" spans="43:43" x14ac:dyDescent="0.2">
      <c r="AQ9431" s="31"/>
    </row>
    <row r="9432" spans="43:43" x14ac:dyDescent="0.2">
      <c r="AQ9432" s="31"/>
    </row>
    <row r="9433" spans="43:43" x14ac:dyDescent="0.2">
      <c r="AQ9433" s="31"/>
    </row>
    <row r="9434" spans="43:43" x14ac:dyDescent="0.2">
      <c r="AQ9434" s="31"/>
    </row>
    <row r="9435" spans="43:43" x14ac:dyDescent="0.2">
      <c r="AQ9435" s="31"/>
    </row>
    <row r="9436" spans="43:43" x14ac:dyDescent="0.2">
      <c r="AQ9436" s="31"/>
    </row>
    <row r="9437" spans="43:43" x14ac:dyDescent="0.2">
      <c r="AQ9437" s="31"/>
    </row>
    <row r="9438" spans="43:43" x14ac:dyDescent="0.2">
      <c r="AQ9438" s="31"/>
    </row>
    <row r="9439" spans="43:43" x14ac:dyDescent="0.2">
      <c r="AQ9439" s="31"/>
    </row>
    <row r="9440" spans="43:43" x14ac:dyDescent="0.2">
      <c r="AQ9440" s="31"/>
    </row>
    <row r="9441" spans="43:43" x14ac:dyDescent="0.2">
      <c r="AQ9441" s="31"/>
    </row>
    <row r="9442" spans="43:43" x14ac:dyDescent="0.2">
      <c r="AQ9442" s="31"/>
    </row>
    <row r="9443" spans="43:43" x14ac:dyDescent="0.2">
      <c r="AQ9443" s="31"/>
    </row>
    <row r="9444" spans="43:43" x14ac:dyDescent="0.2">
      <c r="AQ9444" s="31"/>
    </row>
    <row r="9445" spans="43:43" x14ac:dyDescent="0.2">
      <c r="AQ9445" s="31"/>
    </row>
    <row r="9446" spans="43:43" x14ac:dyDescent="0.2">
      <c r="AQ9446" s="31"/>
    </row>
    <row r="9447" spans="43:43" x14ac:dyDescent="0.2">
      <c r="AQ9447" s="31"/>
    </row>
    <row r="9448" spans="43:43" x14ac:dyDescent="0.2">
      <c r="AQ9448" s="31"/>
    </row>
    <row r="9449" spans="43:43" x14ac:dyDescent="0.2">
      <c r="AQ9449" s="31"/>
    </row>
    <row r="9450" spans="43:43" x14ac:dyDescent="0.2">
      <c r="AQ9450" s="31"/>
    </row>
    <row r="9451" spans="43:43" x14ac:dyDescent="0.2">
      <c r="AQ9451" s="31"/>
    </row>
    <row r="9452" spans="43:43" x14ac:dyDescent="0.2">
      <c r="AQ9452" s="31"/>
    </row>
    <row r="9453" spans="43:43" x14ac:dyDescent="0.2">
      <c r="AQ9453" s="31"/>
    </row>
    <row r="9454" spans="43:43" x14ac:dyDescent="0.2">
      <c r="AQ9454" s="31"/>
    </row>
    <row r="9455" spans="43:43" x14ac:dyDescent="0.2">
      <c r="AQ9455" s="31"/>
    </row>
    <row r="9456" spans="43:43" x14ac:dyDescent="0.2">
      <c r="AQ9456" s="31"/>
    </row>
    <row r="9457" spans="43:43" x14ac:dyDescent="0.2">
      <c r="AQ9457" s="31"/>
    </row>
    <row r="9458" spans="43:43" x14ac:dyDescent="0.2">
      <c r="AQ9458" s="31"/>
    </row>
    <row r="9459" spans="43:43" x14ac:dyDescent="0.2">
      <c r="AQ9459" s="31"/>
    </row>
    <row r="9460" spans="43:43" x14ac:dyDescent="0.2">
      <c r="AQ9460" s="31"/>
    </row>
    <row r="9461" spans="43:43" x14ac:dyDescent="0.2">
      <c r="AQ9461" s="31"/>
    </row>
    <row r="9462" spans="43:43" x14ac:dyDescent="0.2">
      <c r="AQ9462" s="31"/>
    </row>
    <row r="9463" spans="43:43" x14ac:dyDescent="0.2">
      <c r="AQ9463" s="31"/>
    </row>
    <row r="9464" spans="43:43" x14ac:dyDescent="0.2">
      <c r="AQ9464" s="31"/>
    </row>
    <row r="9465" spans="43:43" x14ac:dyDescent="0.2">
      <c r="AQ9465" s="31"/>
    </row>
    <row r="9466" spans="43:43" x14ac:dyDescent="0.2">
      <c r="AQ9466" s="31"/>
    </row>
    <row r="9467" spans="43:43" x14ac:dyDescent="0.2">
      <c r="AQ9467" s="31"/>
    </row>
    <row r="9468" spans="43:43" x14ac:dyDescent="0.2">
      <c r="AQ9468" s="31"/>
    </row>
    <row r="9469" spans="43:43" x14ac:dyDescent="0.2">
      <c r="AQ9469" s="31"/>
    </row>
    <row r="9470" spans="43:43" x14ac:dyDescent="0.2">
      <c r="AQ9470" s="31"/>
    </row>
    <row r="9471" spans="43:43" x14ac:dyDescent="0.2">
      <c r="AQ9471" s="31"/>
    </row>
    <row r="9472" spans="43:43" x14ac:dyDescent="0.2">
      <c r="AQ9472" s="31"/>
    </row>
    <row r="9473" spans="43:43" x14ac:dyDescent="0.2">
      <c r="AQ9473" s="31"/>
    </row>
    <row r="9474" spans="43:43" x14ac:dyDescent="0.2">
      <c r="AQ9474" s="31"/>
    </row>
    <row r="9475" spans="43:43" x14ac:dyDescent="0.2">
      <c r="AQ9475" s="31"/>
    </row>
    <row r="9476" spans="43:43" x14ac:dyDescent="0.2">
      <c r="AQ9476" s="31"/>
    </row>
    <row r="9477" spans="43:43" x14ac:dyDescent="0.2">
      <c r="AQ9477" s="31"/>
    </row>
    <row r="9478" spans="43:43" x14ac:dyDescent="0.2">
      <c r="AQ9478" s="31"/>
    </row>
    <row r="9479" spans="43:43" x14ac:dyDescent="0.2">
      <c r="AQ9479" s="31"/>
    </row>
    <row r="9480" spans="43:43" x14ac:dyDescent="0.2">
      <c r="AQ9480" s="31"/>
    </row>
    <row r="9481" spans="43:43" x14ac:dyDescent="0.2">
      <c r="AQ9481" s="31"/>
    </row>
    <row r="9482" spans="43:43" x14ac:dyDescent="0.2">
      <c r="AQ9482" s="31"/>
    </row>
    <row r="9483" spans="43:43" x14ac:dyDescent="0.2">
      <c r="AQ9483" s="31"/>
    </row>
    <row r="9484" spans="43:43" x14ac:dyDescent="0.2">
      <c r="AQ9484" s="31"/>
    </row>
    <row r="9485" spans="43:43" x14ac:dyDescent="0.2">
      <c r="AQ9485" s="31"/>
    </row>
    <row r="9486" spans="43:43" x14ac:dyDescent="0.2">
      <c r="AQ9486" s="31"/>
    </row>
    <row r="9487" spans="43:43" x14ac:dyDescent="0.2">
      <c r="AQ9487" s="31"/>
    </row>
    <row r="9488" spans="43:43" x14ac:dyDescent="0.2">
      <c r="AQ9488" s="31"/>
    </row>
    <row r="9489" spans="43:43" x14ac:dyDescent="0.2">
      <c r="AQ9489" s="31"/>
    </row>
    <row r="9490" spans="43:43" x14ac:dyDescent="0.2">
      <c r="AQ9490" s="31"/>
    </row>
    <row r="9491" spans="43:43" x14ac:dyDescent="0.2">
      <c r="AQ9491" s="31"/>
    </row>
    <row r="9492" spans="43:43" x14ac:dyDescent="0.2">
      <c r="AQ9492" s="31"/>
    </row>
    <row r="9493" spans="43:43" x14ac:dyDescent="0.2">
      <c r="AQ9493" s="31"/>
    </row>
    <row r="9494" spans="43:43" x14ac:dyDescent="0.2">
      <c r="AQ9494" s="31"/>
    </row>
    <row r="9495" spans="43:43" x14ac:dyDescent="0.2">
      <c r="AQ9495" s="31"/>
    </row>
    <row r="9496" spans="43:43" x14ac:dyDescent="0.2">
      <c r="AQ9496" s="31"/>
    </row>
    <row r="9497" spans="43:43" x14ac:dyDescent="0.2">
      <c r="AQ9497" s="31"/>
    </row>
    <row r="9498" spans="43:43" x14ac:dyDescent="0.2">
      <c r="AQ9498" s="31"/>
    </row>
    <row r="9499" spans="43:43" x14ac:dyDescent="0.2">
      <c r="AQ9499" s="31"/>
    </row>
    <row r="9500" spans="43:43" x14ac:dyDescent="0.2">
      <c r="AQ9500" s="31"/>
    </row>
    <row r="9501" spans="43:43" x14ac:dyDescent="0.2">
      <c r="AQ9501" s="31"/>
    </row>
    <row r="9502" spans="43:43" x14ac:dyDescent="0.2">
      <c r="AQ9502" s="31"/>
    </row>
    <row r="9503" spans="43:43" x14ac:dyDescent="0.2">
      <c r="AQ9503" s="31"/>
    </row>
    <row r="9504" spans="43:43" x14ac:dyDescent="0.2">
      <c r="AQ9504" s="31"/>
    </row>
    <row r="9505" spans="43:43" x14ac:dyDescent="0.2">
      <c r="AQ9505" s="31"/>
    </row>
    <row r="9506" spans="43:43" x14ac:dyDescent="0.2">
      <c r="AQ9506" s="31"/>
    </row>
    <row r="9507" spans="43:43" x14ac:dyDescent="0.2">
      <c r="AQ9507" s="31"/>
    </row>
    <row r="9508" spans="43:43" x14ac:dyDescent="0.2">
      <c r="AQ9508" s="31"/>
    </row>
    <row r="9509" spans="43:43" x14ac:dyDescent="0.2">
      <c r="AQ9509" s="31"/>
    </row>
    <row r="9510" spans="43:43" x14ac:dyDescent="0.2">
      <c r="AQ9510" s="31"/>
    </row>
    <row r="9511" spans="43:43" x14ac:dyDescent="0.2">
      <c r="AQ9511" s="31"/>
    </row>
    <row r="9512" spans="43:43" x14ac:dyDescent="0.2">
      <c r="AQ9512" s="31"/>
    </row>
    <row r="9513" spans="43:43" x14ac:dyDescent="0.2">
      <c r="AQ9513" s="31"/>
    </row>
    <row r="9514" spans="43:43" x14ac:dyDescent="0.2">
      <c r="AQ9514" s="31"/>
    </row>
    <row r="9515" spans="43:43" x14ac:dyDescent="0.2">
      <c r="AQ9515" s="31"/>
    </row>
    <row r="9516" spans="43:43" x14ac:dyDescent="0.2">
      <c r="AQ9516" s="31"/>
    </row>
    <row r="9517" spans="43:43" x14ac:dyDescent="0.2">
      <c r="AQ9517" s="31"/>
    </row>
    <row r="9518" spans="43:43" x14ac:dyDescent="0.2">
      <c r="AQ9518" s="31"/>
    </row>
    <row r="9519" spans="43:43" x14ac:dyDescent="0.2">
      <c r="AQ9519" s="31"/>
    </row>
    <row r="9520" spans="43:43" x14ac:dyDescent="0.2">
      <c r="AQ9520" s="31"/>
    </row>
    <row r="9521" spans="43:43" x14ac:dyDescent="0.2">
      <c r="AQ9521" s="31"/>
    </row>
    <row r="9522" spans="43:43" x14ac:dyDescent="0.2">
      <c r="AQ9522" s="31"/>
    </row>
    <row r="9523" spans="43:43" x14ac:dyDescent="0.2">
      <c r="AQ9523" s="31"/>
    </row>
    <row r="9524" spans="43:43" x14ac:dyDescent="0.2">
      <c r="AQ9524" s="31"/>
    </row>
    <row r="9525" spans="43:43" x14ac:dyDescent="0.2">
      <c r="AQ9525" s="31"/>
    </row>
    <row r="9526" spans="43:43" x14ac:dyDescent="0.2">
      <c r="AQ9526" s="31"/>
    </row>
    <row r="9527" spans="43:43" x14ac:dyDescent="0.2">
      <c r="AQ9527" s="31"/>
    </row>
    <row r="9528" spans="43:43" x14ac:dyDescent="0.2">
      <c r="AQ9528" s="31"/>
    </row>
    <row r="9529" spans="43:43" x14ac:dyDescent="0.2">
      <c r="AQ9529" s="31"/>
    </row>
    <row r="9530" spans="43:43" x14ac:dyDescent="0.2">
      <c r="AQ9530" s="31"/>
    </row>
    <row r="9531" spans="43:43" x14ac:dyDescent="0.2">
      <c r="AQ9531" s="31"/>
    </row>
    <row r="9532" spans="43:43" x14ac:dyDescent="0.2">
      <c r="AQ9532" s="31"/>
    </row>
    <row r="9533" spans="43:43" x14ac:dyDescent="0.2">
      <c r="AQ9533" s="31"/>
    </row>
    <row r="9534" spans="43:43" x14ac:dyDescent="0.2">
      <c r="AQ9534" s="31"/>
    </row>
    <row r="9535" spans="43:43" x14ac:dyDescent="0.2">
      <c r="AQ9535" s="31"/>
    </row>
    <row r="9536" spans="43:43" x14ac:dyDescent="0.2">
      <c r="AQ9536" s="31"/>
    </row>
    <row r="9537" spans="43:43" x14ac:dyDescent="0.2">
      <c r="AQ9537" s="31"/>
    </row>
    <row r="9538" spans="43:43" x14ac:dyDescent="0.2">
      <c r="AQ9538" s="31"/>
    </row>
    <row r="9539" spans="43:43" x14ac:dyDescent="0.2">
      <c r="AQ9539" s="31"/>
    </row>
    <row r="9540" spans="43:43" x14ac:dyDescent="0.2">
      <c r="AQ9540" s="31"/>
    </row>
    <row r="9541" spans="43:43" x14ac:dyDescent="0.2">
      <c r="AQ9541" s="31"/>
    </row>
    <row r="9542" spans="43:43" x14ac:dyDescent="0.2">
      <c r="AQ9542" s="31"/>
    </row>
    <row r="9543" spans="43:43" x14ac:dyDescent="0.2">
      <c r="AQ9543" s="31"/>
    </row>
    <row r="9544" spans="43:43" x14ac:dyDescent="0.2">
      <c r="AQ9544" s="31"/>
    </row>
    <row r="9545" spans="43:43" x14ac:dyDescent="0.2">
      <c r="AQ9545" s="31"/>
    </row>
    <row r="9546" spans="43:43" x14ac:dyDescent="0.2">
      <c r="AQ9546" s="31"/>
    </row>
    <row r="9547" spans="43:43" x14ac:dyDescent="0.2">
      <c r="AQ9547" s="31"/>
    </row>
    <row r="9548" spans="43:43" x14ac:dyDescent="0.2">
      <c r="AQ9548" s="31"/>
    </row>
    <row r="9549" spans="43:43" x14ac:dyDescent="0.2">
      <c r="AQ9549" s="31"/>
    </row>
    <row r="9550" spans="43:43" x14ac:dyDescent="0.2">
      <c r="AQ9550" s="31"/>
    </row>
    <row r="9551" spans="43:43" x14ac:dyDescent="0.2">
      <c r="AQ9551" s="31"/>
    </row>
    <row r="9552" spans="43:43" x14ac:dyDescent="0.2">
      <c r="AQ9552" s="31"/>
    </row>
    <row r="9553" spans="43:43" x14ac:dyDescent="0.2">
      <c r="AQ9553" s="31"/>
    </row>
    <row r="9554" spans="43:43" x14ac:dyDescent="0.2">
      <c r="AQ9554" s="31"/>
    </row>
    <row r="9555" spans="43:43" x14ac:dyDescent="0.2">
      <c r="AQ9555" s="31"/>
    </row>
    <row r="9556" spans="43:43" x14ac:dyDescent="0.2">
      <c r="AQ9556" s="31"/>
    </row>
    <row r="9557" spans="43:43" x14ac:dyDescent="0.2">
      <c r="AQ9557" s="31"/>
    </row>
    <row r="9558" spans="43:43" x14ac:dyDescent="0.2">
      <c r="AQ9558" s="31"/>
    </row>
    <row r="9559" spans="43:43" x14ac:dyDescent="0.2">
      <c r="AQ9559" s="31"/>
    </row>
    <row r="9560" spans="43:43" x14ac:dyDescent="0.2">
      <c r="AQ9560" s="31"/>
    </row>
    <row r="9561" spans="43:43" x14ac:dyDescent="0.2">
      <c r="AQ9561" s="31"/>
    </row>
    <row r="9562" spans="43:43" x14ac:dyDescent="0.2">
      <c r="AQ9562" s="31"/>
    </row>
    <row r="9563" spans="43:43" x14ac:dyDescent="0.2">
      <c r="AQ9563" s="31"/>
    </row>
    <row r="9564" spans="43:43" x14ac:dyDescent="0.2">
      <c r="AQ9564" s="31"/>
    </row>
    <row r="9565" spans="43:43" x14ac:dyDescent="0.2">
      <c r="AQ9565" s="31"/>
    </row>
    <row r="9566" spans="43:43" x14ac:dyDescent="0.2">
      <c r="AQ9566" s="31"/>
    </row>
    <row r="9567" spans="43:43" x14ac:dyDescent="0.2">
      <c r="AQ9567" s="31"/>
    </row>
    <row r="9568" spans="43:43" x14ac:dyDescent="0.2">
      <c r="AQ9568" s="31"/>
    </row>
    <row r="9569" spans="43:43" x14ac:dyDescent="0.2">
      <c r="AQ9569" s="31"/>
    </row>
    <row r="9570" spans="43:43" x14ac:dyDescent="0.2">
      <c r="AQ9570" s="31"/>
    </row>
    <row r="9571" spans="43:43" x14ac:dyDescent="0.2">
      <c r="AQ9571" s="31"/>
    </row>
    <row r="9572" spans="43:43" x14ac:dyDescent="0.2">
      <c r="AQ9572" s="31"/>
    </row>
    <row r="9573" spans="43:43" x14ac:dyDescent="0.2">
      <c r="AQ9573" s="31"/>
    </row>
    <row r="9574" spans="43:43" x14ac:dyDescent="0.2">
      <c r="AQ9574" s="31"/>
    </row>
    <row r="9575" spans="43:43" x14ac:dyDescent="0.2">
      <c r="AQ9575" s="31"/>
    </row>
    <row r="9576" spans="43:43" x14ac:dyDescent="0.2">
      <c r="AQ9576" s="31"/>
    </row>
    <row r="9577" spans="43:43" x14ac:dyDescent="0.2">
      <c r="AQ9577" s="31"/>
    </row>
    <row r="9578" spans="43:43" x14ac:dyDescent="0.2">
      <c r="AQ9578" s="31"/>
    </row>
    <row r="9579" spans="43:43" x14ac:dyDescent="0.2">
      <c r="AQ9579" s="31"/>
    </row>
    <row r="9580" spans="43:43" x14ac:dyDescent="0.2">
      <c r="AQ9580" s="31"/>
    </row>
    <row r="9581" spans="43:43" x14ac:dyDescent="0.2">
      <c r="AQ9581" s="31"/>
    </row>
    <row r="9582" spans="43:43" x14ac:dyDescent="0.2">
      <c r="AQ9582" s="31"/>
    </row>
    <row r="9583" spans="43:43" x14ac:dyDescent="0.2">
      <c r="AQ9583" s="31"/>
    </row>
    <row r="9584" spans="43:43" x14ac:dyDescent="0.2">
      <c r="AQ9584" s="31"/>
    </row>
    <row r="9585" spans="43:43" x14ac:dyDescent="0.2">
      <c r="AQ9585" s="31"/>
    </row>
    <row r="9586" spans="43:43" x14ac:dyDescent="0.2">
      <c r="AQ9586" s="31"/>
    </row>
    <row r="9587" spans="43:43" x14ac:dyDescent="0.2">
      <c r="AQ9587" s="31"/>
    </row>
    <row r="9588" spans="43:43" x14ac:dyDescent="0.2">
      <c r="AQ9588" s="31"/>
    </row>
    <row r="9589" spans="43:43" x14ac:dyDescent="0.2">
      <c r="AQ9589" s="31"/>
    </row>
    <row r="9590" spans="43:43" x14ac:dyDescent="0.2">
      <c r="AQ9590" s="31"/>
    </row>
    <row r="9591" spans="43:43" x14ac:dyDescent="0.2">
      <c r="AQ9591" s="31"/>
    </row>
    <row r="9592" spans="43:43" x14ac:dyDescent="0.2">
      <c r="AQ9592" s="31"/>
    </row>
    <row r="9593" spans="43:43" x14ac:dyDescent="0.2">
      <c r="AQ9593" s="31"/>
    </row>
    <row r="9594" spans="43:43" x14ac:dyDescent="0.2">
      <c r="AQ9594" s="31"/>
    </row>
    <row r="9595" spans="43:43" x14ac:dyDescent="0.2">
      <c r="AQ9595" s="31"/>
    </row>
    <row r="9596" spans="43:43" x14ac:dyDescent="0.2">
      <c r="AQ9596" s="31"/>
    </row>
    <row r="9597" spans="43:43" x14ac:dyDescent="0.2">
      <c r="AQ9597" s="31"/>
    </row>
    <row r="9598" spans="43:43" x14ac:dyDescent="0.2">
      <c r="AQ9598" s="31"/>
    </row>
    <row r="9599" spans="43:43" x14ac:dyDescent="0.2">
      <c r="AQ9599" s="31"/>
    </row>
    <row r="9600" spans="43:43" x14ac:dyDescent="0.2">
      <c r="AQ9600" s="31"/>
    </row>
    <row r="9601" spans="43:43" x14ac:dyDescent="0.2">
      <c r="AQ9601" s="31"/>
    </row>
    <row r="9602" spans="43:43" x14ac:dyDescent="0.2">
      <c r="AQ9602" s="31"/>
    </row>
    <row r="9603" spans="43:43" x14ac:dyDescent="0.2">
      <c r="AQ9603" s="31"/>
    </row>
    <row r="9604" spans="43:43" x14ac:dyDescent="0.2">
      <c r="AQ9604" s="31"/>
    </row>
    <row r="9605" spans="43:43" x14ac:dyDescent="0.2">
      <c r="AQ9605" s="31"/>
    </row>
    <row r="9606" spans="43:43" x14ac:dyDescent="0.2">
      <c r="AQ9606" s="31"/>
    </row>
    <row r="9607" spans="43:43" x14ac:dyDescent="0.2">
      <c r="AQ9607" s="31"/>
    </row>
    <row r="9608" spans="43:43" x14ac:dyDescent="0.2">
      <c r="AQ9608" s="31"/>
    </row>
    <row r="9609" spans="43:43" x14ac:dyDescent="0.2">
      <c r="AQ9609" s="31"/>
    </row>
    <row r="9610" spans="43:43" x14ac:dyDescent="0.2">
      <c r="AQ9610" s="31"/>
    </row>
    <row r="9611" spans="43:43" x14ac:dyDescent="0.2">
      <c r="AQ9611" s="31"/>
    </row>
    <row r="9612" spans="43:43" x14ac:dyDescent="0.2">
      <c r="AQ9612" s="31"/>
    </row>
    <row r="9613" spans="43:43" x14ac:dyDescent="0.2">
      <c r="AQ9613" s="31"/>
    </row>
    <row r="9614" spans="43:43" x14ac:dyDescent="0.2">
      <c r="AQ9614" s="31"/>
    </row>
    <row r="9615" spans="43:43" x14ac:dyDescent="0.2">
      <c r="AQ9615" s="31"/>
    </row>
    <row r="9616" spans="43:43" x14ac:dyDescent="0.2">
      <c r="AQ9616" s="31"/>
    </row>
    <row r="9617" spans="43:43" x14ac:dyDescent="0.2">
      <c r="AQ9617" s="31"/>
    </row>
    <row r="9618" spans="43:43" x14ac:dyDescent="0.2">
      <c r="AQ9618" s="31"/>
    </row>
    <row r="9619" spans="43:43" x14ac:dyDescent="0.2">
      <c r="AQ9619" s="31"/>
    </row>
    <row r="9620" spans="43:43" x14ac:dyDescent="0.2">
      <c r="AQ9620" s="31"/>
    </row>
    <row r="9621" spans="43:43" x14ac:dyDescent="0.2">
      <c r="AQ9621" s="31"/>
    </row>
    <row r="9622" spans="43:43" x14ac:dyDescent="0.2">
      <c r="AQ9622" s="31"/>
    </row>
    <row r="9623" spans="43:43" x14ac:dyDescent="0.2">
      <c r="AQ9623" s="31"/>
    </row>
    <row r="9624" spans="43:43" x14ac:dyDescent="0.2">
      <c r="AQ9624" s="31"/>
    </row>
    <row r="9625" spans="43:43" x14ac:dyDescent="0.2">
      <c r="AQ9625" s="31"/>
    </row>
    <row r="9626" spans="43:43" x14ac:dyDescent="0.2">
      <c r="AQ9626" s="31"/>
    </row>
    <row r="9627" spans="43:43" x14ac:dyDescent="0.2">
      <c r="AQ9627" s="31"/>
    </row>
    <row r="9628" spans="43:43" x14ac:dyDescent="0.2">
      <c r="AQ9628" s="31"/>
    </row>
    <row r="9629" spans="43:43" x14ac:dyDescent="0.2">
      <c r="AQ9629" s="31"/>
    </row>
    <row r="9630" spans="43:43" x14ac:dyDescent="0.2">
      <c r="AQ9630" s="31"/>
    </row>
    <row r="9631" spans="43:43" x14ac:dyDescent="0.2">
      <c r="AQ9631" s="31"/>
    </row>
    <row r="9632" spans="43:43" x14ac:dyDescent="0.2">
      <c r="AQ9632" s="31"/>
    </row>
    <row r="9633" spans="43:43" x14ac:dyDescent="0.2">
      <c r="AQ9633" s="31"/>
    </row>
    <row r="9634" spans="43:43" x14ac:dyDescent="0.2">
      <c r="AQ9634" s="31"/>
    </row>
    <row r="9635" spans="43:43" x14ac:dyDescent="0.2">
      <c r="AQ9635" s="31"/>
    </row>
    <row r="9636" spans="43:43" x14ac:dyDescent="0.2">
      <c r="AQ9636" s="31"/>
    </row>
    <row r="9637" spans="43:43" x14ac:dyDescent="0.2">
      <c r="AQ9637" s="31"/>
    </row>
    <row r="9638" spans="43:43" x14ac:dyDescent="0.2">
      <c r="AQ9638" s="31"/>
    </row>
    <row r="9639" spans="43:43" x14ac:dyDescent="0.2">
      <c r="AQ9639" s="31"/>
    </row>
    <row r="9640" spans="43:43" x14ac:dyDescent="0.2">
      <c r="AQ9640" s="31"/>
    </row>
    <row r="9641" spans="43:43" x14ac:dyDescent="0.2">
      <c r="AQ9641" s="31"/>
    </row>
    <row r="9642" spans="43:43" x14ac:dyDescent="0.2">
      <c r="AQ9642" s="31"/>
    </row>
    <row r="9643" spans="43:43" x14ac:dyDescent="0.2">
      <c r="AQ9643" s="31"/>
    </row>
    <row r="9644" spans="43:43" x14ac:dyDescent="0.2">
      <c r="AQ9644" s="31"/>
    </row>
    <row r="9645" spans="43:43" x14ac:dyDescent="0.2">
      <c r="AQ9645" s="31"/>
    </row>
    <row r="9646" spans="43:43" x14ac:dyDescent="0.2">
      <c r="AQ9646" s="31"/>
    </row>
    <row r="9647" spans="43:43" x14ac:dyDescent="0.2">
      <c r="AQ9647" s="31"/>
    </row>
    <row r="9648" spans="43:43" x14ac:dyDescent="0.2">
      <c r="AQ9648" s="31"/>
    </row>
    <row r="9649" spans="43:43" x14ac:dyDescent="0.2">
      <c r="AQ9649" s="31"/>
    </row>
    <row r="9650" spans="43:43" x14ac:dyDescent="0.2">
      <c r="AQ9650" s="31"/>
    </row>
    <row r="9651" spans="43:43" x14ac:dyDescent="0.2">
      <c r="AQ9651" s="31"/>
    </row>
    <row r="9652" spans="43:43" x14ac:dyDescent="0.2">
      <c r="AQ9652" s="31"/>
    </row>
    <row r="9653" spans="43:43" x14ac:dyDescent="0.2">
      <c r="AQ9653" s="31"/>
    </row>
    <row r="9654" spans="43:43" x14ac:dyDescent="0.2">
      <c r="AQ9654" s="31"/>
    </row>
    <row r="9655" spans="43:43" x14ac:dyDescent="0.2">
      <c r="AQ9655" s="31"/>
    </row>
    <row r="9656" spans="43:43" x14ac:dyDescent="0.2">
      <c r="AQ9656" s="31"/>
    </row>
    <row r="9657" spans="43:43" x14ac:dyDescent="0.2">
      <c r="AQ9657" s="31"/>
    </row>
    <row r="9658" spans="43:43" x14ac:dyDescent="0.2">
      <c r="AQ9658" s="31"/>
    </row>
    <row r="9659" spans="43:43" x14ac:dyDescent="0.2">
      <c r="AQ9659" s="31"/>
    </row>
    <row r="9660" spans="43:43" x14ac:dyDescent="0.2">
      <c r="AQ9660" s="31"/>
    </row>
    <row r="9661" spans="43:43" x14ac:dyDescent="0.2">
      <c r="AQ9661" s="31"/>
    </row>
    <row r="9662" spans="43:43" x14ac:dyDescent="0.2">
      <c r="AQ9662" s="31"/>
    </row>
    <row r="9663" spans="43:43" x14ac:dyDescent="0.2">
      <c r="AQ9663" s="31"/>
    </row>
    <row r="9664" spans="43:43" x14ac:dyDescent="0.2">
      <c r="AQ9664" s="31"/>
    </row>
    <row r="9665" spans="43:43" x14ac:dyDescent="0.2">
      <c r="AQ9665" s="31"/>
    </row>
    <row r="9666" spans="43:43" x14ac:dyDescent="0.2">
      <c r="AQ9666" s="31"/>
    </row>
    <row r="9667" spans="43:43" x14ac:dyDescent="0.2">
      <c r="AQ9667" s="31"/>
    </row>
    <row r="9668" spans="43:43" x14ac:dyDescent="0.2">
      <c r="AQ9668" s="31"/>
    </row>
    <row r="9669" spans="43:43" x14ac:dyDescent="0.2">
      <c r="AQ9669" s="31"/>
    </row>
    <row r="9670" spans="43:43" x14ac:dyDescent="0.2">
      <c r="AQ9670" s="31"/>
    </row>
    <row r="9671" spans="43:43" x14ac:dyDescent="0.2">
      <c r="AQ9671" s="31"/>
    </row>
    <row r="9672" spans="43:43" x14ac:dyDescent="0.2">
      <c r="AQ9672" s="31"/>
    </row>
    <row r="9673" spans="43:43" x14ac:dyDescent="0.2">
      <c r="AQ9673" s="31"/>
    </row>
    <row r="9674" spans="43:43" x14ac:dyDescent="0.2">
      <c r="AQ9674" s="31"/>
    </row>
    <row r="9675" spans="43:43" x14ac:dyDescent="0.2">
      <c r="AQ9675" s="31"/>
    </row>
    <row r="9676" spans="43:43" x14ac:dyDescent="0.2">
      <c r="AQ9676" s="31"/>
    </row>
    <row r="9677" spans="43:43" x14ac:dyDescent="0.2">
      <c r="AQ9677" s="31"/>
    </row>
    <row r="9678" spans="43:43" x14ac:dyDescent="0.2">
      <c r="AQ9678" s="31"/>
    </row>
    <row r="9679" spans="43:43" x14ac:dyDescent="0.2">
      <c r="AQ9679" s="31"/>
    </row>
    <row r="9680" spans="43:43" x14ac:dyDescent="0.2">
      <c r="AQ9680" s="31"/>
    </row>
    <row r="9681" spans="43:43" x14ac:dyDescent="0.2">
      <c r="AQ9681" s="31"/>
    </row>
    <row r="9682" spans="43:43" x14ac:dyDescent="0.2">
      <c r="AQ9682" s="31"/>
    </row>
    <row r="9683" spans="43:43" x14ac:dyDescent="0.2">
      <c r="AQ9683" s="31"/>
    </row>
    <row r="9684" spans="43:43" x14ac:dyDescent="0.2">
      <c r="AQ9684" s="31"/>
    </row>
    <row r="9685" spans="43:43" x14ac:dyDescent="0.2">
      <c r="AQ9685" s="31"/>
    </row>
    <row r="9686" spans="43:43" x14ac:dyDescent="0.2">
      <c r="AQ9686" s="31"/>
    </row>
    <row r="9687" spans="43:43" x14ac:dyDescent="0.2">
      <c r="AQ9687" s="31"/>
    </row>
    <row r="9688" spans="43:43" x14ac:dyDescent="0.2">
      <c r="AQ9688" s="31"/>
    </row>
    <row r="9689" spans="43:43" x14ac:dyDescent="0.2">
      <c r="AQ9689" s="31"/>
    </row>
    <row r="9690" spans="43:43" x14ac:dyDescent="0.2">
      <c r="AQ9690" s="31"/>
    </row>
    <row r="9691" spans="43:43" x14ac:dyDescent="0.2">
      <c r="AQ9691" s="31"/>
    </row>
    <row r="9692" spans="43:43" x14ac:dyDescent="0.2">
      <c r="AQ9692" s="31"/>
    </row>
    <row r="9693" spans="43:43" x14ac:dyDescent="0.2">
      <c r="AQ9693" s="31"/>
    </row>
    <row r="9694" spans="43:43" x14ac:dyDescent="0.2">
      <c r="AQ9694" s="31"/>
    </row>
    <row r="9695" spans="43:43" x14ac:dyDescent="0.2">
      <c r="AQ9695" s="31"/>
    </row>
    <row r="9696" spans="43:43" x14ac:dyDescent="0.2">
      <c r="AQ9696" s="31"/>
    </row>
    <row r="9697" spans="43:43" x14ac:dyDescent="0.2">
      <c r="AQ9697" s="31"/>
    </row>
    <row r="9698" spans="43:43" x14ac:dyDescent="0.2">
      <c r="AQ9698" s="31"/>
    </row>
    <row r="9699" spans="43:43" x14ac:dyDescent="0.2">
      <c r="AQ9699" s="31"/>
    </row>
    <row r="9700" spans="43:43" x14ac:dyDescent="0.2">
      <c r="AQ9700" s="31"/>
    </row>
    <row r="9701" spans="43:43" x14ac:dyDescent="0.2">
      <c r="AQ9701" s="31"/>
    </row>
    <row r="9702" spans="43:43" x14ac:dyDescent="0.2">
      <c r="AQ9702" s="31"/>
    </row>
    <row r="9703" spans="43:43" x14ac:dyDescent="0.2">
      <c r="AQ9703" s="31"/>
    </row>
    <row r="9704" spans="43:43" x14ac:dyDescent="0.2">
      <c r="AQ9704" s="31"/>
    </row>
    <row r="9705" spans="43:43" x14ac:dyDescent="0.2">
      <c r="AQ9705" s="31"/>
    </row>
    <row r="9706" spans="43:43" x14ac:dyDescent="0.2">
      <c r="AQ9706" s="31"/>
    </row>
    <row r="9707" spans="43:43" x14ac:dyDescent="0.2">
      <c r="AQ9707" s="31"/>
    </row>
    <row r="9708" spans="43:43" x14ac:dyDescent="0.2">
      <c r="AQ9708" s="31"/>
    </row>
    <row r="9709" spans="43:43" x14ac:dyDescent="0.2">
      <c r="AQ9709" s="31"/>
    </row>
    <row r="9710" spans="43:43" x14ac:dyDescent="0.2">
      <c r="AQ9710" s="31"/>
    </row>
    <row r="9711" spans="43:43" x14ac:dyDescent="0.2">
      <c r="AQ9711" s="31"/>
    </row>
    <row r="9712" spans="43:43" x14ac:dyDescent="0.2">
      <c r="AQ9712" s="31"/>
    </row>
    <row r="9713" spans="43:43" x14ac:dyDescent="0.2">
      <c r="AQ9713" s="31"/>
    </row>
    <row r="9714" spans="43:43" x14ac:dyDescent="0.2">
      <c r="AQ9714" s="31"/>
    </row>
    <row r="9715" spans="43:43" x14ac:dyDescent="0.2">
      <c r="AQ9715" s="31"/>
    </row>
    <row r="9716" spans="43:43" x14ac:dyDescent="0.2">
      <c r="AQ9716" s="31"/>
    </row>
    <row r="9717" spans="43:43" x14ac:dyDescent="0.2">
      <c r="AQ9717" s="31"/>
    </row>
    <row r="9718" spans="43:43" x14ac:dyDescent="0.2">
      <c r="AQ9718" s="31"/>
    </row>
    <row r="9719" spans="43:43" x14ac:dyDescent="0.2">
      <c r="AQ9719" s="31"/>
    </row>
    <row r="9720" spans="43:43" x14ac:dyDescent="0.2">
      <c r="AQ9720" s="31"/>
    </row>
    <row r="9721" spans="43:43" x14ac:dyDescent="0.2">
      <c r="AQ9721" s="31"/>
    </row>
    <row r="9722" spans="43:43" x14ac:dyDescent="0.2">
      <c r="AQ9722" s="31"/>
    </row>
    <row r="9723" spans="43:43" x14ac:dyDescent="0.2">
      <c r="AQ9723" s="31"/>
    </row>
    <row r="9724" spans="43:43" x14ac:dyDescent="0.2">
      <c r="AQ9724" s="31"/>
    </row>
    <row r="9725" spans="43:43" x14ac:dyDescent="0.2">
      <c r="AQ9725" s="31"/>
    </row>
    <row r="9726" spans="43:43" x14ac:dyDescent="0.2">
      <c r="AQ9726" s="31"/>
    </row>
    <row r="9727" spans="43:43" x14ac:dyDescent="0.2">
      <c r="AQ9727" s="31"/>
    </row>
    <row r="9728" spans="43:43" x14ac:dyDescent="0.2">
      <c r="AQ9728" s="31"/>
    </row>
    <row r="9729" spans="43:43" x14ac:dyDescent="0.2">
      <c r="AQ9729" s="31"/>
    </row>
    <row r="9730" spans="43:43" x14ac:dyDescent="0.2">
      <c r="AQ9730" s="31"/>
    </row>
    <row r="9731" spans="43:43" x14ac:dyDescent="0.2">
      <c r="AQ9731" s="31"/>
    </row>
    <row r="9732" spans="43:43" x14ac:dyDescent="0.2">
      <c r="AQ9732" s="31"/>
    </row>
    <row r="9733" spans="43:43" x14ac:dyDescent="0.2">
      <c r="AQ9733" s="31"/>
    </row>
    <row r="9734" spans="43:43" x14ac:dyDescent="0.2">
      <c r="AQ9734" s="31"/>
    </row>
    <row r="9735" spans="43:43" x14ac:dyDescent="0.2">
      <c r="AQ9735" s="31"/>
    </row>
    <row r="9736" spans="43:43" x14ac:dyDescent="0.2">
      <c r="AQ9736" s="31"/>
    </row>
    <row r="9737" spans="43:43" x14ac:dyDescent="0.2">
      <c r="AQ9737" s="31"/>
    </row>
    <row r="9738" spans="43:43" x14ac:dyDescent="0.2">
      <c r="AQ9738" s="31"/>
    </row>
    <row r="9739" spans="43:43" x14ac:dyDescent="0.2">
      <c r="AQ9739" s="31"/>
    </row>
    <row r="9740" spans="43:43" x14ac:dyDescent="0.2">
      <c r="AQ9740" s="31"/>
    </row>
    <row r="9741" spans="43:43" x14ac:dyDescent="0.2">
      <c r="AQ9741" s="31"/>
    </row>
    <row r="9742" spans="43:43" x14ac:dyDescent="0.2">
      <c r="AQ9742" s="31"/>
    </row>
    <row r="9743" spans="43:43" x14ac:dyDescent="0.2">
      <c r="AQ9743" s="31"/>
    </row>
    <row r="9744" spans="43:43" x14ac:dyDescent="0.2">
      <c r="AQ9744" s="31"/>
    </row>
    <row r="9745" spans="43:43" x14ac:dyDescent="0.2">
      <c r="AQ9745" s="31"/>
    </row>
    <row r="9746" spans="43:43" x14ac:dyDescent="0.2">
      <c r="AQ9746" s="31"/>
    </row>
    <row r="9747" spans="43:43" x14ac:dyDescent="0.2">
      <c r="AQ9747" s="31"/>
    </row>
    <row r="9748" spans="43:43" x14ac:dyDescent="0.2">
      <c r="AQ9748" s="31"/>
    </row>
    <row r="9749" spans="43:43" x14ac:dyDescent="0.2">
      <c r="AQ9749" s="31"/>
    </row>
    <row r="9750" spans="43:43" x14ac:dyDescent="0.2">
      <c r="AQ9750" s="31"/>
    </row>
    <row r="9751" spans="43:43" x14ac:dyDescent="0.2">
      <c r="AQ9751" s="31"/>
    </row>
    <row r="9752" spans="43:43" x14ac:dyDescent="0.2">
      <c r="AQ9752" s="31"/>
    </row>
    <row r="9753" spans="43:43" x14ac:dyDescent="0.2">
      <c r="AQ9753" s="31"/>
    </row>
    <row r="9754" spans="43:43" x14ac:dyDescent="0.2">
      <c r="AQ9754" s="31"/>
    </row>
    <row r="9755" spans="43:43" x14ac:dyDescent="0.2">
      <c r="AQ9755" s="31"/>
    </row>
    <row r="9756" spans="43:43" x14ac:dyDescent="0.2">
      <c r="AQ9756" s="31"/>
    </row>
    <row r="9757" spans="43:43" x14ac:dyDescent="0.2">
      <c r="AQ9757" s="31"/>
    </row>
    <row r="9758" spans="43:43" x14ac:dyDescent="0.2">
      <c r="AQ9758" s="31"/>
    </row>
    <row r="9759" spans="43:43" x14ac:dyDescent="0.2">
      <c r="AQ9759" s="31"/>
    </row>
    <row r="9760" spans="43:43" x14ac:dyDescent="0.2">
      <c r="AQ9760" s="31"/>
    </row>
    <row r="9761" spans="43:43" x14ac:dyDescent="0.2">
      <c r="AQ9761" s="31"/>
    </row>
    <row r="9762" spans="43:43" x14ac:dyDescent="0.2">
      <c r="AQ9762" s="31"/>
    </row>
    <row r="9763" spans="43:43" x14ac:dyDescent="0.2">
      <c r="AQ9763" s="31"/>
    </row>
    <row r="9764" spans="43:43" x14ac:dyDescent="0.2">
      <c r="AQ9764" s="31"/>
    </row>
    <row r="9765" spans="43:43" x14ac:dyDescent="0.2">
      <c r="AQ9765" s="31"/>
    </row>
    <row r="9766" spans="43:43" x14ac:dyDescent="0.2">
      <c r="AQ9766" s="31"/>
    </row>
    <row r="9767" spans="43:43" x14ac:dyDescent="0.2">
      <c r="AQ9767" s="31"/>
    </row>
    <row r="9768" spans="43:43" x14ac:dyDescent="0.2">
      <c r="AQ9768" s="31"/>
    </row>
    <row r="9769" spans="43:43" x14ac:dyDescent="0.2">
      <c r="AQ9769" s="31"/>
    </row>
    <row r="9770" spans="43:43" x14ac:dyDescent="0.2">
      <c r="AQ9770" s="31"/>
    </row>
    <row r="9771" spans="43:43" x14ac:dyDescent="0.2">
      <c r="AQ9771" s="31"/>
    </row>
    <row r="9772" spans="43:43" x14ac:dyDescent="0.2">
      <c r="AQ9772" s="31"/>
    </row>
    <row r="9773" spans="43:43" x14ac:dyDescent="0.2">
      <c r="AQ9773" s="31"/>
    </row>
    <row r="9774" spans="43:43" x14ac:dyDescent="0.2">
      <c r="AQ9774" s="31"/>
    </row>
    <row r="9775" spans="43:43" x14ac:dyDescent="0.2">
      <c r="AQ9775" s="31"/>
    </row>
    <row r="9776" spans="43:43" x14ac:dyDescent="0.2">
      <c r="AQ9776" s="31"/>
    </row>
    <row r="9777" spans="43:43" x14ac:dyDescent="0.2">
      <c r="AQ9777" s="31"/>
    </row>
    <row r="9778" spans="43:43" x14ac:dyDescent="0.2">
      <c r="AQ9778" s="31"/>
    </row>
    <row r="9779" spans="43:43" x14ac:dyDescent="0.2">
      <c r="AQ9779" s="31"/>
    </row>
    <row r="9780" spans="43:43" x14ac:dyDescent="0.2">
      <c r="AQ9780" s="31"/>
    </row>
    <row r="9781" spans="43:43" x14ac:dyDescent="0.2">
      <c r="AQ9781" s="31"/>
    </row>
    <row r="9782" spans="43:43" x14ac:dyDescent="0.2">
      <c r="AQ9782" s="31"/>
    </row>
    <row r="9783" spans="43:43" x14ac:dyDescent="0.2">
      <c r="AQ9783" s="31"/>
    </row>
    <row r="9784" spans="43:43" x14ac:dyDescent="0.2">
      <c r="AQ9784" s="31"/>
    </row>
    <row r="9785" spans="43:43" x14ac:dyDescent="0.2">
      <c r="AQ9785" s="31"/>
    </row>
    <row r="9786" spans="43:43" x14ac:dyDescent="0.2">
      <c r="AQ9786" s="31"/>
    </row>
    <row r="9787" spans="43:43" x14ac:dyDescent="0.2">
      <c r="AQ9787" s="31"/>
    </row>
    <row r="9788" spans="43:43" x14ac:dyDescent="0.2">
      <c r="AQ9788" s="31"/>
    </row>
    <row r="9789" spans="43:43" x14ac:dyDescent="0.2">
      <c r="AQ9789" s="31"/>
    </row>
    <row r="9790" spans="43:43" x14ac:dyDescent="0.2">
      <c r="AQ9790" s="31"/>
    </row>
    <row r="9791" spans="43:43" x14ac:dyDescent="0.2">
      <c r="AQ9791" s="31"/>
    </row>
    <row r="9792" spans="43:43" x14ac:dyDescent="0.2">
      <c r="AQ9792" s="31"/>
    </row>
    <row r="9793" spans="43:43" x14ac:dyDescent="0.2">
      <c r="AQ9793" s="31"/>
    </row>
    <row r="9794" spans="43:43" x14ac:dyDescent="0.2">
      <c r="AQ9794" s="31"/>
    </row>
    <row r="9795" spans="43:43" x14ac:dyDescent="0.2">
      <c r="AQ9795" s="31"/>
    </row>
    <row r="9796" spans="43:43" x14ac:dyDescent="0.2">
      <c r="AQ9796" s="31"/>
    </row>
    <row r="9797" spans="43:43" x14ac:dyDescent="0.2">
      <c r="AQ9797" s="31"/>
    </row>
    <row r="9798" spans="43:43" x14ac:dyDescent="0.2">
      <c r="AQ9798" s="31"/>
    </row>
    <row r="9799" spans="43:43" x14ac:dyDescent="0.2">
      <c r="AQ9799" s="31"/>
    </row>
    <row r="9800" spans="43:43" x14ac:dyDescent="0.2">
      <c r="AQ9800" s="31"/>
    </row>
    <row r="9801" spans="43:43" x14ac:dyDescent="0.2">
      <c r="AQ9801" s="31"/>
    </row>
    <row r="9802" spans="43:43" x14ac:dyDescent="0.2">
      <c r="AQ9802" s="31"/>
    </row>
    <row r="9803" spans="43:43" x14ac:dyDescent="0.2">
      <c r="AQ9803" s="31"/>
    </row>
    <row r="9804" spans="43:43" x14ac:dyDescent="0.2">
      <c r="AQ9804" s="31"/>
    </row>
    <row r="9805" spans="43:43" x14ac:dyDescent="0.2">
      <c r="AQ9805" s="31"/>
    </row>
    <row r="9806" spans="43:43" x14ac:dyDescent="0.2">
      <c r="AQ9806" s="31"/>
    </row>
    <row r="9807" spans="43:43" x14ac:dyDescent="0.2">
      <c r="AQ9807" s="31"/>
    </row>
    <row r="9808" spans="43:43" x14ac:dyDescent="0.2">
      <c r="AQ9808" s="31"/>
    </row>
    <row r="9809" spans="43:43" x14ac:dyDescent="0.2">
      <c r="AQ9809" s="31"/>
    </row>
    <row r="9810" spans="43:43" x14ac:dyDescent="0.2">
      <c r="AQ9810" s="31"/>
    </row>
    <row r="9811" spans="43:43" x14ac:dyDescent="0.2">
      <c r="AQ9811" s="31"/>
    </row>
    <row r="9812" spans="43:43" x14ac:dyDescent="0.2">
      <c r="AQ9812" s="31"/>
    </row>
    <row r="9813" spans="43:43" x14ac:dyDescent="0.2">
      <c r="AQ9813" s="31"/>
    </row>
    <row r="9814" spans="43:43" x14ac:dyDescent="0.2">
      <c r="AQ9814" s="31"/>
    </row>
    <row r="9815" spans="43:43" x14ac:dyDescent="0.2">
      <c r="AQ9815" s="31"/>
    </row>
    <row r="9816" spans="43:43" x14ac:dyDescent="0.2">
      <c r="AQ9816" s="31"/>
    </row>
    <row r="9817" spans="43:43" x14ac:dyDescent="0.2">
      <c r="AQ9817" s="31"/>
    </row>
    <row r="9818" spans="43:43" x14ac:dyDescent="0.2">
      <c r="AQ9818" s="31"/>
    </row>
    <row r="9819" spans="43:43" x14ac:dyDescent="0.2">
      <c r="AQ9819" s="31"/>
    </row>
    <row r="9820" spans="43:43" x14ac:dyDescent="0.2">
      <c r="AQ9820" s="31"/>
    </row>
    <row r="9821" spans="43:43" x14ac:dyDescent="0.2">
      <c r="AQ9821" s="31"/>
    </row>
    <row r="9822" spans="43:43" x14ac:dyDescent="0.2">
      <c r="AQ9822" s="31"/>
    </row>
    <row r="9823" spans="43:43" x14ac:dyDescent="0.2">
      <c r="AQ9823" s="31"/>
    </row>
    <row r="9824" spans="43:43" x14ac:dyDescent="0.2">
      <c r="AQ9824" s="31"/>
    </row>
    <row r="9825" spans="43:43" x14ac:dyDescent="0.2">
      <c r="AQ9825" s="31"/>
    </row>
    <row r="9826" spans="43:43" x14ac:dyDescent="0.2">
      <c r="AQ9826" s="31"/>
    </row>
    <row r="9827" spans="43:43" x14ac:dyDescent="0.2">
      <c r="AQ9827" s="31"/>
    </row>
    <row r="9828" spans="43:43" x14ac:dyDescent="0.2">
      <c r="AQ9828" s="31"/>
    </row>
    <row r="9829" spans="43:43" x14ac:dyDescent="0.2">
      <c r="AQ9829" s="31"/>
    </row>
    <row r="9830" spans="43:43" x14ac:dyDescent="0.2">
      <c r="AQ9830" s="31"/>
    </row>
    <row r="9831" spans="43:43" x14ac:dyDescent="0.2">
      <c r="AQ9831" s="31"/>
    </row>
    <row r="9832" spans="43:43" x14ac:dyDescent="0.2">
      <c r="AQ9832" s="31"/>
    </row>
    <row r="9833" spans="43:43" x14ac:dyDescent="0.2">
      <c r="AQ9833" s="31"/>
    </row>
    <row r="9834" spans="43:43" x14ac:dyDescent="0.2">
      <c r="AQ9834" s="31"/>
    </row>
    <row r="9835" spans="43:43" x14ac:dyDescent="0.2">
      <c r="AQ9835" s="31"/>
    </row>
    <row r="9836" spans="43:43" x14ac:dyDescent="0.2">
      <c r="AQ9836" s="31"/>
    </row>
    <row r="9837" spans="43:43" x14ac:dyDescent="0.2">
      <c r="AQ9837" s="31"/>
    </row>
    <row r="9838" spans="43:43" x14ac:dyDescent="0.2">
      <c r="AQ9838" s="31"/>
    </row>
    <row r="9839" spans="43:43" x14ac:dyDescent="0.2">
      <c r="AQ9839" s="31"/>
    </row>
    <row r="9840" spans="43:43" x14ac:dyDescent="0.2">
      <c r="AQ9840" s="31"/>
    </row>
    <row r="9841" spans="43:43" x14ac:dyDescent="0.2">
      <c r="AQ9841" s="31"/>
    </row>
    <row r="9842" spans="43:43" x14ac:dyDescent="0.2">
      <c r="AQ9842" s="31"/>
    </row>
    <row r="9843" spans="43:43" x14ac:dyDescent="0.2">
      <c r="AQ9843" s="31"/>
    </row>
    <row r="9844" spans="43:43" x14ac:dyDescent="0.2">
      <c r="AQ9844" s="31"/>
    </row>
    <row r="9845" spans="43:43" x14ac:dyDescent="0.2">
      <c r="AQ9845" s="31"/>
    </row>
    <row r="9846" spans="43:43" x14ac:dyDescent="0.2">
      <c r="AQ9846" s="31"/>
    </row>
    <row r="9847" spans="43:43" x14ac:dyDescent="0.2">
      <c r="AQ9847" s="31"/>
    </row>
    <row r="9848" spans="43:43" x14ac:dyDescent="0.2">
      <c r="AQ9848" s="31"/>
    </row>
    <row r="9849" spans="43:43" x14ac:dyDescent="0.2">
      <c r="AQ9849" s="31"/>
    </row>
    <row r="9850" spans="43:43" x14ac:dyDescent="0.2">
      <c r="AQ9850" s="31"/>
    </row>
    <row r="9851" spans="43:43" x14ac:dyDescent="0.2">
      <c r="AQ9851" s="31"/>
    </row>
    <row r="9852" spans="43:43" x14ac:dyDescent="0.2">
      <c r="AQ9852" s="31"/>
    </row>
    <row r="9853" spans="43:43" x14ac:dyDescent="0.2">
      <c r="AQ9853" s="31"/>
    </row>
    <row r="9854" spans="43:43" x14ac:dyDescent="0.2">
      <c r="AQ9854" s="31"/>
    </row>
    <row r="9855" spans="43:43" x14ac:dyDescent="0.2">
      <c r="AQ9855" s="31"/>
    </row>
    <row r="9856" spans="43:43" x14ac:dyDescent="0.2">
      <c r="AQ9856" s="31"/>
    </row>
    <row r="9857" spans="43:43" x14ac:dyDescent="0.2">
      <c r="AQ9857" s="31"/>
    </row>
    <row r="9858" spans="43:43" x14ac:dyDescent="0.2">
      <c r="AQ9858" s="31"/>
    </row>
    <row r="9859" spans="43:43" x14ac:dyDescent="0.2">
      <c r="AQ9859" s="31"/>
    </row>
    <row r="9860" spans="43:43" x14ac:dyDescent="0.2">
      <c r="AQ9860" s="31"/>
    </row>
    <row r="9861" spans="43:43" x14ac:dyDescent="0.2">
      <c r="AQ9861" s="31"/>
    </row>
    <row r="9862" spans="43:43" x14ac:dyDescent="0.2">
      <c r="AQ9862" s="31"/>
    </row>
    <row r="9863" spans="43:43" x14ac:dyDescent="0.2">
      <c r="AQ9863" s="31"/>
    </row>
    <row r="9864" spans="43:43" x14ac:dyDescent="0.2">
      <c r="AQ9864" s="31"/>
    </row>
    <row r="9865" spans="43:43" x14ac:dyDescent="0.2">
      <c r="AQ9865" s="31"/>
    </row>
    <row r="9866" spans="43:43" x14ac:dyDescent="0.2">
      <c r="AQ9866" s="31"/>
    </row>
    <row r="9867" spans="43:43" x14ac:dyDescent="0.2">
      <c r="AQ9867" s="31"/>
    </row>
    <row r="9868" spans="43:43" x14ac:dyDescent="0.2">
      <c r="AQ9868" s="31"/>
    </row>
    <row r="9869" spans="43:43" x14ac:dyDescent="0.2">
      <c r="AQ9869" s="31"/>
    </row>
    <row r="9870" spans="43:43" x14ac:dyDescent="0.2">
      <c r="AQ9870" s="31"/>
    </row>
    <row r="9871" spans="43:43" x14ac:dyDescent="0.2">
      <c r="AQ9871" s="31"/>
    </row>
    <row r="9872" spans="43:43" x14ac:dyDescent="0.2">
      <c r="AQ9872" s="31"/>
    </row>
    <row r="9873" spans="43:43" x14ac:dyDescent="0.2">
      <c r="AQ9873" s="31"/>
    </row>
    <row r="9874" spans="43:43" x14ac:dyDescent="0.2">
      <c r="AQ9874" s="31"/>
    </row>
    <row r="9875" spans="43:43" x14ac:dyDescent="0.2">
      <c r="AQ9875" s="31"/>
    </row>
    <row r="9876" spans="43:43" x14ac:dyDescent="0.2">
      <c r="AQ9876" s="31"/>
    </row>
    <row r="9877" spans="43:43" x14ac:dyDescent="0.2">
      <c r="AQ9877" s="31"/>
    </row>
    <row r="9878" spans="43:43" x14ac:dyDescent="0.2">
      <c r="AQ9878" s="31"/>
    </row>
    <row r="9879" spans="43:43" x14ac:dyDescent="0.2">
      <c r="AQ9879" s="31"/>
    </row>
    <row r="9880" spans="43:43" x14ac:dyDescent="0.2">
      <c r="AQ9880" s="31"/>
    </row>
    <row r="9881" spans="43:43" x14ac:dyDescent="0.2">
      <c r="AQ9881" s="31"/>
    </row>
    <row r="9882" spans="43:43" x14ac:dyDescent="0.2">
      <c r="AQ9882" s="31"/>
    </row>
    <row r="9883" spans="43:43" x14ac:dyDescent="0.2">
      <c r="AQ9883" s="31"/>
    </row>
    <row r="9884" spans="43:43" x14ac:dyDescent="0.2">
      <c r="AQ9884" s="31"/>
    </row>
    <row r="9885" spans="43:43" x14ac:dyDescent="0.2">
      <c r="AQ9885" s="31"/>
    </row>
    <row r="9886" spans="43:43" x14ac:dyDescent="0.2">
      <c r="AQ9886" s="31"/>
    </row>
    <row r="9887" spans="43:43" x14ac:dyDescent="0.2">
      <c r="AQ9887" s="31"/>
    </row>
    <row r="9888" spans="43:43" x14ac:dyDescent="0.2">
      <c r="AQ9888" s="31"/>
    </row>
    <row r="9889" spans="43:43" x14ac:dyDescent="0.2">
      <c r="AQ9889" s="31"/>
    </row>
    <row r="9890" spans="43:43" x14ac:dyDescent="0.2">
      <c r="AQ9890" s="31"/>
    </row>
    <row r="9891" spans="43:43" x14ac:dyDescent="0.2">
      <c r="AQ9891" s="31"/>
    </row>
    <row r="9892" spans="43:43" x14ac:dyDescent="0.2">
      <c r="AQ9892" s="31"/>
    </row>
    <row r="9893" spans="43:43" x14ac:dyDescent="0.2">
      <c r="AQ9893" s="31"/>
    </row>
    <row r="9894" spans="43:43" x14ac:dyDescent="0.2">
      <c r="AQ9894" s="31"/>
    </row>
    <row r="9895" spans="43:43" x14ac:dyDescent="0.2">
      <c r="AQ9895" s="31"/>
    </row>
    <row r="9896" spans="43:43" x14ac:dyDescent="0.2">
      <c r="AQ9896" s="31"/>
    </row>
    <row r="9897" spans="43:43" x14ac:dyDescent="0.2">
      <c r="AQ9897" s="31"/>
    </row>
    <row r="9898" spans="43:43" x14ac:dyDescent="0.2">
      <c r="AQ9898" s="31"/>
    </row>
    <row r="9899" spans="43:43" x14ac:dyDescent="0.2">
      <c r="AQ9899" s="31"/>
    </row>
    <row r="9900" spans="43:43" x14ac:dyDescent="0.2">
      <c r="AQ9900" s="31"/>
    </row>
    <row r="9901" spans="43:43" x14ac:dyDescent="0.2">
      <c r="AQ9901" s="31"/>
    </row>
    <row r="9902" spans="43:43" x14ac:dyDescent="0.2">
      <c r="AQ9902" s="31"/>
    </row>
    <row r="9903" spans="43:43" x14ac:dyDescent="0.2">
      <c r="AQ9903" s="31"/>
    </row>
    <row r="9904" spans="43:43" x14ac:dyDescent="0.2">
      <c r="AQ9904" s="31"/>
    </row>
    <row r="9905" spans="43:43" x14ac:dyDescent="0.2">
      <c r="AQ9905" s="31"/>
    </row>
    <row r="9906" spans="43:43" x14ac:dyDescent="0.2">
      <c r="AQ9906" s="31"/>
    </row>
    <row r="9907" spans="43:43" x14ac:dyDescent="0.2">
      <c r="AQ9907" s="31"/>
    </row>
    <row r="9908" spans="43:43" x14ac:dyDescent="0.2">
      <c r="AQ9908" s="31"/>
    </row>
    <row r="9909" spans="43:43" x14ac:dyDescent="0.2">
      <c r="AQ9909" s="31"/>
    </row>
    <row r="9910" spans="43:43" x14ac:dyDescent="0.2">
      <c r="AQ9910" s="31"/>
    </row>
    <row r="9911" spans="43:43" x14ac:dyDescent="0.2">
      <c r="AQ9911" s="31"/>
    </row>
    <row r="9912" spans="43:43" x14ac:dyDescent="0.2">
      <c r="AQ9912" s="31"/>
    </row>
    <row r="9913" spans="43:43" x14ac:dyDescent="0.2">
      <c r="AQ9913" s="31"/>
    </row>
    <row r="9914" spans="43:43" x14ac:dyDescent="0.2">
      <c r="AQ9914" s="31"/>
    </row>
    <row r="9915" spans="43:43" x14ac:dyDescent="0.2">
      <c r="AQ9915" s="31"/>
    </row>
    <row r="9916" spans="43:43" x14ac:dyDescent="0.2">
      <c r="AQ9916" s="31"/>
    </row>
    <row r="9917" spans="43:43" x14ac:dyDescent="0.2">
      <c r="AQ9917" s="31"/>
    </row>
    <row r="9918" spans="43:43" x14ac:dyDescent="0.2">
      <c r="AQ9918" s="31"/>
    </row>
    <row r="9919" spans="43:43" x14ac:dyDescent="0.2">
      <c r="AQ9919" s="31"/>
    </row>
    <row r="9920" spans="43:43" x14ac:dyDescent="0.2">
      <c r="AQ9920" s="31"/>
    </row>
    <row r="9921" spans="43:43" x14ac:dyDescent="0.2">
      <c r="AQ9921" s="31"/>
    </row>
    <row r="9922" spans="43:43" x14ac:dyDescent="0.2">
      <c r="AQ9922" s="31"/>
    </row>
    <row r="9923" spans="43:43" x14ac:dyDescent="0.2">
      <c r="AQ9923" s="31"/>
    </row>
    <row r="9924" spans="43:43" x14ac:dyDescent="0.2">
      <c r="AQ9924" s="31"/>
    </row>
    <row r="9925" spans="43:43" x14ac:dyDescent="0.2">
      <c r="AQ9925" s="31"/>
    </row>
    <row r="9926" spans="43:43" x14ac:dyDescent="0.2">
      <c r="AQ9926" s="31"/>
    </row>
    <row r="9927" spans="43:43" x14ac:dyDescent="0.2">
      <c r="AQ9927" s="31"/>
    </row>
    <row r="9928" spans="43:43" x14ac:dyDescent="0.2">
      <c r="AQ9928" s="31"/>
    </row>
    <row r="9929" spans="43:43" x14ac:dyDescent="0.2">
      <c r="AQ9929" s="31"/>
    </row>
    <row r="9930" spans="43:43" x14ac:dyDescent="0.2">
      <c r="AQ9930" s="31"/>
    </row>
    <row r="9931" spans="43:43" x14ac:dyDescent="0.2">
      <c r="AQ9931" s="31"/>
    </row>
    <row r="9932" spans="43:43" x14ac:dyDescent="0.2">
      <c r="AQ9932" s="31"/>
    </row>
    <row r="9933" spans="43:43" x14ac:dyDescent="0.2">
      <c r="AQ9933" s="31"/>
    </row>
    <row r="9934" spans="43:43" x14ac:dyDescent="0.2">
      <c r="AQ9934" s="31"/>
    </row>
    <row r="9935" spans="43:43" x14ac:dyDescent="0.2">
      <c r="AQ9935" s="31"/>
    </row>
    <row r="9936" spans="43:43" x14ac:dyDescent="0.2">
      <c r="AQ9936" s="31"/>
    </row>
    <row r="9937" spans="43:43" x14ac:dyDescent="0.2">
      <c r="AQ9937" s="31"/>
    </row>
    <row r="9938" spans="43:43" x14ac:dyDescent="0.2">
      <c r="AQ9938" s="31"/>
    </row>
    <row r="9939" spans="43:43" x14ac:dyDescent="0.2">
      <c r="AQ9939" s="31"/>
    </row>
    <row r="9940" spans="43:43" x14ac:dyDescent="0.2">
      <c r="AQ9940" s="31"/>
    </row>
    <row r="9941" spans="43:43" x14ac:dyDescent="0.2">
      <c r="AQ9941" s="31"/>
    </row>
    <row r="9942" spans="43:43" x14ac:dyDescent="0.2">
      <c r="AQ9942" s="31"/>
    </row>
    <row r="9943" spans="43:43" x14ac:dyDescent="0.2">
      <c r="AQ9943" s="31"/>
    </row>
    <row r="9944" spans="43:43" x14ac:dyDescent="0.2">
      <c r="AQ9944" s="31"/>
    </row>
    <row r="9945" spans="43:43" x14ac:dyDescent="0.2">
      <c r="AQ9945" s="31"/>
    </row>
    <row r="9946" spans="43:43" x14ac:dyDescent="0.2">
      <c r="AQ9946" s="31"/>
    </row>
    <row r="9947" spans="43:43" x14ac:dyDescent="0.2">
      <c r="AQ9947" s="31"/>
    </row>
    <row r="9948" spans="43:43" x14ac:dyDescent="0.2">
      <c r="AQ9948" s="31"/>
    </row>
    <row r="9949" spans="43:43" x14ac:dyDescent="0.2">
      <c r="AQ9949" s="31"/>
    </row>
    <row r="9950" spans="43:43" x14ac:dyDescent="0.2">
      <c r="AQ9950" s="31"/>
    </row>
    <row r="9951" spans="43:43" x14ac:dyDescent="0.2">
      <c r="AQ9951" s="31"/>
    </row>
    <row r="9952" spans="43:43" x14ac:dyDescent="0.2">
      <c r="AQ9952" s="31"/>
    </row>
    <row r="9953" spans="43:43" x14ac:dyDescent="0.2">
      <c r="AQ9953" s="31"/>
    </row>
    <row r="9954" spans="43:43" x14ac:dyDescent="0.2">
      <c r="AQ9954" s="31"/>
    </row>
    <row r="9955" spans="43:43" x14ac:dyDescent="0.2">
      <c r="AQ9955" s="31"/>
    </row>
    <row r="9956" spans="43:43" x14ac:dyDescent="0.2">
      <c r="AQ9956" s="31"/>
    </row>
    <row r="9957" spans="43:43" x14ac:dyDescent="0.2">
      <c r="AQ9957" s="31"/>
    </row>
    <row r="9958" spans="43:43" x14ac:dyDescent="0.2">
      <c r="AQ9958" s="31"/>
    </row>
    <row r="9959" spans="43:43" x14ac:dyDescent="0.2">
      <c r="AQ9959" s="31"/>
    </row>
    <row r="9960" spans="43:43" x14ac:dyDescent="0.2">
      <c r="AQ9960" s="31"/>
    </row>
    <row r="9961" spans="43:43" x14ac:dyDescent="0.2">
      <c r="AQ9961" s="31"/>
    </row>
    <row r="9962" spans="43:43" x14ac:dyDescent="0.2">
      <c r="AQ9962" s="31"/>
    </row>
    <row r="9963" spans="43:43" x14ac:dyDescent="0.2">
      <c r="AQ9963" s="31"/>
    </row>
    <row r="9964" spans="43:43" x14ac:dyDescent="0.2">
      <c r="AQ9964" s="31"/>
    </row>
    <row r="9965" spans="43:43" x14ac:dyDescent="0.2">
      <c r="AQ9965" s="31"/>
    </row>
    <row r="9966" spans="43:43" x14ac:dyDescent="0.2">
      <c r="AQ9966" s="31"/>
    </row>
    <row r="9967" spans="43:43" x14ac:dyDescent="0.2">
      <c r="AQ9967" s="31"/>
    </row>
    <row r="9968" spans="43:43" x14ac:dyDescent="0.2">
      <c r="AQ9968" s="31"/>
    </row>
    <row r="9969" spans="43:43" x14ac:dyDescent="0.2">
      <c r="AQ9969" s="31"/>
    </row>
    <row r="9970" spans="43:43" x14ac:dyDescent="0.2">
      <c r="AQ9970" s="31"/>
    </row>
    <row r="9971" spans="43:43" x14ac:dyDescent="0.2">
      <c r="AQ9971" s="31"/>
    </row>
    <row r="9972" spans="43:43" x14ac:dyDescent="0.2">
      <c r="AQ9972" s="31"/>
    </row>
    <row r="9973" spans="43:43" x14ac:dyDescent="0.2">
      <c r="AQ9973" s="31"/>
    </row>
    <row r="9974" spans="43:43" x14ac:dyDescent="0.2">
      <c r="AQ9974" s="31"/>
    </row>
    <row r="9975" spans="43:43" x14ac:dyDescent="0.2">
      <c r="AQ9975" s="31"/>
    </row>
    <row r="9976" spans="43:43" x14ac:dyDescent="0.2">
      <c r="AQ9976" s="31"/>
    </row>
    <row r="9977" spans="43:43" x14ac:dyDescent="0.2">
      <c r="AQ9977" s="31"/>
    </row>
    <row r="9978" spans="43:43" x14ac:dyDescent="0.2">
      <c r="AQ9978" s="31"/>
    </row>
    <row r="9979" spans="43:43" x14ac:dyDescent="0.2">
      <c r="AQ9979" s="31"/>
    </row>
    <row r="9980" spans="43:43" x14ac:dyDescent="0.2">
      <c r="AQ9980" s="31"/>
    </row>
    <row r="9981" spans="43:43" x14ac:dyDescent="0.2">
      <c r="AQ9981" s="31"/>
    </row>
    <row r="9982" spans="43:43" x14ac:dyDescent="0.2">
      <c r="AQ9982" s="31"/>
    </row>
    <row r="9983" spans="43:43" x14ac:dyDescent="0.2">
      <c r="AQ9983" s="31"/>
    </row>
    <row r="9984" spans="43:43" x14ac:dyDescent="0.2">
      <c r="AQ9984" s="31"/>
    </row>
    <row r="9985" spans="43:43" x14ac:dyDescent="0.2">
      <c r="AQ9985" s="31"/>
    </row>
    <row r="9986" spans="43:43" x14ac:dyDescent="0.2">
      <c r="AQ9986" s="31"/>
    </row>
    <row r="9987" spans="43:43" x14ac:dyDescent="0.2">
      <c r="AQ9987" s="31"/>
    </row>
    <row r="9988" spans="43:43" x14ac:dyDescent="0.2">
      <c r="AQ9988" s="31"/>
    </row>
    <row r="9989" spans="43:43" x14ac:dyDescent="0.2">
      <c r="AQ9989" s="31"/>
    </row>
    <row r="9990" spans="43:43" x14ac:dyDescent="0.2">
      <c r="AQ9990" s="31"/>
    </row>
    <row r="9991" spans="43:43" x14ac:dyDescent="0.2">
      <c r="AQ9991" s="31"/>
    </row>
    <row r="9992" spans="43:43" x14ac:dyDescent="0.2">
      <c r="AQ9992" s="31"/>
    </row>
    <row r="9993" spans="43:43" x14ac:dyDescent="0.2">
      <c r="AQ9993" s="31"/>
    </row>
    <row r="9994" spans="43:43" x14ac:dyDescent="0.2">
      <c r="AQ9994" s="31"/>
    </row>
    <row r="9995" spans="43:43" x14ac:dyDescent="0.2">
      <c r="AQ9995" s="31"/>
    </row>
    <row r="9996" spans="43:43" x14ac:dyDescent="0.2">
      <c r="AQ9996" s="31"/>
    </row>
    <row r="9997" spans="43:43" x14ac:dyDescent="0.2">
      <c r="AQ9997" s="31"/>
    </row>
    <row r="9998" spans="43:43" x14ac:dyDescent="0.2">
      <c r="AQ9998" s="31"/>
    </row>
    <row r="9999" spans="43:43" x14ac:dyDescent="0.2">
      <c r="AQ9999" s="31"/>
    </row>
    <row r="10000" spans="43:43" x14ac:dyDescent="0.2">
      <c r="AQ10000" s="31"/>
    </row>
    <row r="10001" spans="43:43" x14ac:dyDescent="0.2">
      <c r="AQ10001" s="31"/>
    </row>
    <row r="10002" spans="43:43" x14ac:dyDescent="0.2">
      <c r="AQ10002" s="31"/>
    </row>
    <row r="10003" spans="43:43" x14ac:dyDescent="0.2">
      <c r="AQ10003" s="31"/>
    </row>
    <row r="10004" spans="43:43" x14ac:dyDescent="0.2">
      <c r="AQ10004" s="31"/>
    </row>
    <row r="10005" spans="43:43" x14ac:dyDescent="0.2">
      <c r="AQ10005" s="31"/>
    </row>
    <row r="10006" spans="43:43" x14ac:dyDescent="0.2">
      <c r="AQ10006" s="31"/>
    </row>
    <row r="10007" spans="43:43" x14ac:dyDescent="0.2">
      <c r="AQ10007" s="31"/>
    </row>
    <row r="10008" spans="43:43" x14ac:dyDescent="0.2">
      <c r="AQ10008" s="31"/>
    </row>
    <row r="10009" spans="43:43" x14ac:dyDescent="0.2">
      <c r="AQ10009" s="31"/>
    </row>
    <row r="10010" spans="43:43" x14ac:dyDescent="0.2">
      <c r="AQ10010" s="31"/>
    </row>
    <row r="10011" spans="43:43" x14ac:dyDescent="0.2">
      <c r="AQ10011" s="31"/>
    </row>
    <row r="10012" spans="43:43" x14ac:dyDescent="0.2">
      <c r="AQ10012" s="31"/>
    </row>
    <row r="10013" spans="43:43" x14ac:dyDescent="0.2">
      <c r="AQ10013" s="31"/>
    </row>
    <row r="10014" spans="43:43" x14ac:dyDescent="0.2">
      <c r="AQ10014" s="31"/>
    </row>
    <row r="10015" spans="43:43" x14ac:dyDescent="0.2">
      <c r="AQ10015" s="31"/>
    </row>
    <row r="10016" spans="43:43" x14ac:dyDescent="0.2">
      <c r="AQ10016" s="31"/>
    </row>
    <row r="10017" spans="43:43" x14ac:dyDescent="0.2">
      <c r="AQ10017" s="31"/>
    </row>
    <row r="10018" spans="43:43" x14ac:dyDescent="0.2">
      <c r="AQ10018" s="31"/>
    </row>
    <row r="10019" spans="43:43" x14ac:dyDescent="0.2">
      <c r="AQ10019" s="31"/>
    </row>
    <row r="10020" spans="43:43" x14ac:dyDescent="0.2">
      <c r="AQ10020" s="31"/>
    </row>
    <row r="10021" spans="43:43" x14ac:dyDescent="0.2">
      <c r="AQ10021" s="31"/>
    </row>
    <row r="10022" spans="43:43" x14ac:dyDescent="0.2">
      <c r="AQ10022" s="31"/>
    </row>
    <row r="10023" spans="43:43" x14ac:dyDescent="0.2">
      <c r="AQ10023" s="31"/>
    </row>
    <row r="10024" spans="43:43" x14ac:dyDescent="0.2">
      <c r="AQ10024" s="31"/>
    </row>
    <row r="10025" spans="43:43" x14ac:dyDescent="0.2">
      <c r="AQ10025" s="31"/>
    </row>
    <row r="10026" spans="43:43" x14ac:dyDescent="0.2">
      <c r="AQ10026" s="31"/>
    </row>
    <row r="10027" spans="43:43" x14ac:dyDescent="0.2">
      <c r="AQ10027" s="31"/>
    </row>
    <row r="10028" spans="43:43" x14ac:dyDescent="0.2">
      <c r="AQ10028" s="31"/>
    </row>
    <row r="10029" spans="43:43" x14ac:dyDescent="0.2">
      <c r="AQ10029" s="31"/>
    </row>
    <row r="10030" spans="43:43" x14ac:dyDescent="0.2">
      <c r="AQ10030" s="31"/>
    </row>
    <row r="10031" spans="43:43" x14ac:dyDescent="0.2">
      <c r="AQ10031" s="31"/>
    </row>
    <row r="10032" spans="43:43" x14ac:dyDescent="0.2">
      <c r="AQ10032" s="31"/>
    </row>
    <row r="10033" spans="43:43" x14ac:dyDescent="0.2">
      <c r="AQ10033" s="31"/>
    </row>
    <row r="10034" spans="43:43" x14ac:dyDescent="0.2">
      <c r="AQ10034" s="31"/>
    </row>
    <row r="10035" spans="43:43" x14ac:dyDescent="0.2">
      <c r="AQ10035" s="31"/>
    </row>
    <row r="10036" spans="43:43" x14ac:dyDescent="0.2">
      <c r="AQ10036" s="31"/>
    </row>
    <row r="10037" spans="43:43" x14ac:dyDescent="0.2">
      <c r="AQ10037" s="31"/>
    </row>
    <row r="10038" spans="43:43" x14ac:dyDescent="0.2">
      <c r="AQ10038" s="31"/>
    </row>
    <row r="10039" spans="43:43" x14ac:dyDescent="0.2">
      <c r="AQ10039" s="31"/>
    </row>
    <row r="10040" spans="43:43" x14ac:dyDescent="0.2">
      <c r="AQ10040" s="31"/>
    </row>
    <row r="10041" spans="43:43" x14ac:dyDescent="0.2">
      <c r="AQ10041" s="31"/>
    </row>
    <row r="10042" spans="43:43" x14ac:dyDescent="0.2">
      <c r="AQ10042" s="31"/>
    </row>
    <row r="10043" spans="43:43" x14ac:dyDescent="0.2">
      <c r="AQ10043" s="31"/>
    </row>
    <row r="10044" spans="43:43" x14ac:dyDescent="0.2">
      <c r="AQ10044" s="31"/>
    </row>
    <row r="10045" spans="43:43" x14ac:dyDescent="0.2">
      <c r="AQ10045" s="31"/>
    </row>
    <row r="10046" spans="43:43" x14ac:dyDescent="0.2">
      <c r="AQ10046" s="31"/>
    </row>
    <row r="10047" spans="43:43" x14ac:dyDescent="0.2">
      <c r="AQ10047" s="31"/>
    </row>
    <row r="10048" spans="43:43" x14ac:dyDescent="0.2">
      <c r="AQ10048" s="31"/>
    </row>
    <row r="10049" spans="43:43" x14ac:dyDescent="0.2">
      <c r="AQ10049" s="31"/>
    </row>
    <row r="10050" spans="43:43" x14ac:dyDescent="0.2">
      <c r="AQ10050" s="31"/>
    </row>
    <row r="10051" spans="43:43" x14ac:dyDescent="0.2">
      <c r="AQ10051" s="31"/>
    </row>
    <row r="10052" spans="43:43" x14ac:dyDescent="0.2">
      <c r="AQ10052" s="31"/>
    </row>
    <row r="10053" spans="43:43" x14ac:dyDescent="0.2">
      <c r="AQ10053" s="31"/>
    </row>
    <row r="10054" spans="43:43" x14ac:dyDescent="0.2">
      <c r="AQ10054" s="31"/>
    </row>
    <row r="10055" spans="43:43" x14ac:dyDescent="0.2">
      <c r="AQ10055" s="31"/>
    </row>
    <row r="10056" spans="43:43" x14ac:dyDescent="0.2">
      <c r="AQ10056" s="31"/>
    </row>
    <row r="10057" spans="43:43" x14ac:dyDescent="0.2">
      <c r="AQ10057" s="31"/>
    </row>
    <row r="10058" spans="43:43" x14ac:dyDescent="0.2">
      <c r="AQ10058" s="31"/>
    </row>
    <row r="10059" spans="43:43" x14ac:dyDescent="0.2">
      <c r="AQ10059" s="31"/>
    </row>
    <row r="10060" spans="43:43" x14ac:dyDescent="0.2">
      <c r="AQ10060" s="31"/>
    </row>
    <row r="10061" spans="43:43" x14ac:dyDescent="0.2">
      <c r="AQ10061" s="31"/>
    </row>
    <row r="10062" spans="43:43" x14ac:dyDescent="0.2">
      <c r="AQ10062" s="31"/>
    </row>
    <row r="10063" spans="43:43" x14ac:dyDescent="0.2">
      <c r="AQ10063" s="31"/>
    </row>
    <row r="10064" spans="43:43" x14ac:dyDescent="0.2">
      <c r="AQ10064" s="31"/>
    </row>
    <row r="10065" spans="43:43" x14ac:dyDescent="0.2">
      <c r="AQ10065" s="31"/>
    </row>
    <row r="10066" spans="43:43" x14ac:dyDescent="0.2">
      <c r="AQ10066" s="31"/>
    </row>
    <row r="10067" spans="43:43" x14ac:dyDescent="0.2">
      <c r="AQ10067" s="31"/>
    </row>
    <row r="10068" spans="43:43" x14ac:dyDescent="0.2">
      <c r="AQ10068" s="31"/>
    </row>
    <row r="10069" spans="43:43" x14ac:dyDescent="0.2">
      <c r="AQ10069" s="31"/>
    </row>
    <row r="10070" spans="43:43" x14ac:dyDescent="0.2">
      <c r="AQ10070" s="31"/>
    </row>
    <row r="10071" spans="43:43" x14ac:dyDescent="0.2">
      <c r="AQ10071" s="31"/>
    </row>
    <row r="10072" spans="43:43" x14ac:dyDescent="0.2">
      <c r="AQ10072" s="31"/>
    </row>
    <row r="10073" spans="43:43" x14ac:dyDescent="0.2">
      <c r="AQ10073" s="31"/>
    </row>
    <row r="10074" spans="43:43" x14ac:dyDescent="0.2">
      <c r="AQ10074" s="31"/>
    </row>
    <row r="10075" spans="43:43" x14ac:dyDescent="0.2">
      <c r="AQ10075" s="31"/>
    </row>
    <row r="10076" spans="43:43" x14ac:dyDescent="0.2">
      <c r="AQ10076" s="31"/>
    </row>
    <row r="10077" spans="43:43" x14ac:dyDescent="0.2">
      <c r="AQ10077" s="31"/>
    </row>
    <row r="10078" spans="43:43" x14ac:dyDescent="0.2">
      <c r="AQ10078" s="31"/>
    </row>
    <row r="10079" spans="43:43" x14ac:dyDescent="0.2">
      <c r="AQ10079" s="31"/>
    </row>
    <row r="10080" spans="43:43" x14ac:dyDescent="0.2">
      <c r="AQ10080" s="31"/>
    </row>
    <row r="10081" spans="43:43" x14ac:dyDescent="0.2">
      <c r="AQ10081" s="31"/>
    </row>
    <row r="10082" spans="43:43" x14ac:dyDescent="0.2">
      <c r="AQ10082" s="31"/>
    </row>
    <row r="10083" spans="43:43" x14ac:dyDescent="0.2">
      <c r="AQ10083" s="31"/>
    </row>
    <row r="10084" spans="43:43" x14ac:dyDescent="0.2">
      <c r="AQ10084" s="31"/>
    </row>
    <row r="10085" spans="43:43" x14ac:dyDescent="0.2">
      <c r="AQ10085" s="31"/>
    </row>
    <row r="10086" spans="43:43" x14ac:dyDescent="0.2">
      <c r="AQ10086" s="31"/>
    </row>
    <row r="10087" spans="43:43" x14ac:dyDescent="0.2">
      <c r="AQ10087" s="31"/>
    </row>
    <row r="10088" spans="43:43" x14ac:dyDescent="0.2">
      <c r="AQ10088" s="31"/>
    </row>
    <row r="10089" spans="43:43" x14ac:dyDescent="0.2">
      <c r="AQ10089" s="31"/>
    </row>
    <row r="10090" spans="43:43" x14ac:dyDescent="0.2">
      <c r="AQ10090" s="31"/>
    </row>
    <row r="10091" spans="43:43" x14ac:dyDescent="0.2">
      <c r="AQ10091" s="31"/>
    </row>
    <row r="10092" spans="43:43" x14ac:dyDescent="0.2">
      <c r="AQ10092" s="31"/>
    </row>
    <row r="10093" spans="43:43" x14ac:dyDescent="0.2">
      <c r="AQ10093" s="31"/>
    </row>
    <row r="10094" spans="43:43" x14ac:dyDescent="0.2">
      <c r="AQ10094" s="31"/>
    </row>
    <row r="10095" spans="43:43" x14ac:dyDescent="0.2">
      <c r="AQ10095" s="31"/>
    </row>
    <row r="10096" spans="43:43" x14ac:dyDescent="0.2">
      <c r="AQ10096" s="31"/>
    </row>
    <row r="10097" spans="43:43" x14ac:dyDescent="0.2">
      <c r="AQ10097" s="31"/>
    </row>
    <row r="10098" spans="43:43" x14ac:dyDescent="0.2">
      <c r="AQ10098" s="31"/>
    </row>
    <row r="10099" spans="43:43" x14ac:dyDescent="0.2">
      <c r="AQ10099" s="31"/>
    </row>
    <row r="10100" spans="43:43" x14ac:dyDescent="0.2">
      <c r="AQ10100" s="31"/>
    </row>
    <row r="10101" spans="43:43" x14ac:dyDescent="0.2">
      <c r="AQ10101" s="31"/>
    </row>
    <row r="10102" spans="43:43" x14ac:dyDescent="0.2">
      <c r="AQ10102" s="31"/>
    </row>
    <row r="10103" spans="43:43" x14ac:dyDescent="0.2">
      <c r="AQ10103" s="31"/>
    </row>
    <row r="10104" spans="43:43" x14ac:dyDescent="0.2">
      <c r="AQ10104" s="31"/>
    </row>
    <row r="10105" spans="43:43" x14ac:dyDescent="0.2">
      <c r="AQ10105" s="31"/>
    </row>
    <row r="10106" spans="43:43" x14ac:dyDescent="0.2">
      <c r="AQ10106" s="31"/>
    </row>
    <row r="10107" spans="43:43" x14ac:dyDescent="0.2">
      <c r="AQ10107" s="31"/>
    </row>
    <row r="10108" spans="43:43" x14ac:dyDescent="0.2">
      <c r="AQ10108" s="31"/>
    </row>
    <row r="10109" spans="43:43" x14ac:dyDescent="0.2">
      <c r="AQ10109" s="31"/>
    </row>
    <row r="10110" spans="43:43" x14ac:dyDescent="0.2">
      <c r="AQ10110" s="31"/>
    </row>
    <row r="10111" spans="43:43" x14ac:dyDescent="0.2">
      <c r="AQ10111" s="31"/>
    </row>
    <row r="10112" spans="43:43" x14ac:dyDescent="0.2">
      <c r="AQ10112" s="31"/>
    </row>
    <row r="10113" spans="43:43" x14ac:dyDescent="0.2">
      <c r="AQ10113" s="31"/>
    </row>
    <row r="10114" spans="43:43" x14ac:dyDescent="0.2">
      <c r="AQ10114" s="31"/>
    </row>
    <row r="10115" spans="43:43" x14ac:dyDescent="0.2">
      <c r="AQ10115" s="31"/>
    </row>
    <row r="10116" spans="43:43" x14ac:dyDescent="0.2">
      <c r="AQ10116" s="31"/>
    </row>
    <row r="10117" spans="43:43" x14ac:dyDescent="0.2">
      <c r="AQ10117" s="31"/>
    </row>
    <row r="10118" spans="43:43" x14ac:dyDescent="0.2">
      <c r="AQ10118" s="31"/>
    </row>
    <row r="10119" spans="43:43" x14ac:dyDescent="0.2">
      <c r="AQ10119" s="31"/>
    </row>
    <row r="10120" spans="43:43" x14ac:dyDescent="0.2">
      <c r="AQ10120" s="31"/>
    </row>
    <row r="10121" spans="43:43" x14ac:dyDescent="0.2">
      <c r="AQ10121" s="31"/>
    </row>
    <row r="10122" spans="43:43" x14ac:dyDescent="0.2">
      <c r="AQ10122" s="31"/>
    </row>
    <row r="10123" spans="43:43" x14ac:dyDescent="0.2">
      <c r="AQ10123" s="31"/>
    </row>
    <row r="10124" spans="43:43" x14ac:dyDescent="0.2">
      <c r="AQ10124" s="31"/>
    </row>
    <row r="10125" spans="43:43" x14ac:dyDescent="0.2">
      <c r="AQ10125" s="31"/>
    </row>
    <row r="10126" spans="43:43" x14ac:dyDescent="0.2">
      <c r="AQ10126" s="31"/>
    </row>
    <row r="10127" spans="43:43" x14ac:dyDescent="0.2">
      <c r="AQ10127" s="31"/>
    </row>
    <row r="10128" spans="43:43" x14ac:dyDescent="0.2">
      <c r="AQ10128" s="31"/>
    </row>
    <row r="10129" spans="43:43" x14ac:dyDescent="0.2">
      <c r="AQ10129" s="31"/>
    </row>
    <row r="10130" spans="43:43" x14ac:dyDescent="0.2">
      <c r="AQ10130" s="31"/>
    </row>
    <row r="10131" spans="43:43" x14ac:dyDescent="0.2">
      <c r="AQ10131" s="31"/>
    </row>
    <row r="10132" spans="43:43" x14ac:dyDescent="0.2">
      <c r="AQ10132" s="31"/>
    </row>
    <row r="10133" spans="43:43" x14ac:dyDescent="0.2">
      <c r="AQ10133" s="31"/>
    </row>
    <row r="10134" spans="43:43" x14ac:dyDescent="0.2">
      <c r="AQ10134" s="31"/>
    </row>
    <row r="10135" spans="43:43" x14ac:dyDescent="0.2">
      <c r="AQ10135" s="31"/>
    </row>
    <row r="10136" spans="43:43" x14ac:dyDescent="0.2">
      <c r="AQ10136" s="31"/>
    </row>
    <row r="10137" spans="43:43" x14ac:dyDescent="0.2">
      <c r="AQ10137" s="31"/>
    </row>
    <row r="10138" spans="43:43" x14ac:dyDescent="0.2">
      <c r="AQ10138" s="31"/>
    </row>
    <row r="10139" spans="43:43" x14ac:dyDescent="0.2">
      <c r="AQ10139" s="31"/>
    </row>
    <row r="10140" spans="43:43" x14ac:dyDescent="0.2">
      <c r="AQ10140" s="31"/>
    </row>
    <row r="10141" spans="43:43" x14ac:dyDescent="0.2">
      <c r="AQ10141" s="31"/>
    </row>
    <row r="10142" spans="43:43" x14ac:dyDescent="0.2">
      <c r="AQ10142" s="31"/>
    </row>
    <row r="10143" spans="43:43" x14ac:dyDescent="0.2">
      <c r="AQ10143" s="31"/>
    </row>
    <row r="10144" spans="43:43" x14ac:dyDescent="0.2">
      <c r="AQ10144" s="31"/>
    </row>
    <row r="10145" spans="43:43" x14ac:dyDescent="0.2">
      <c r="AQ10145" s="31"/>
    </row>
    <row r="10146" spans="43:43" x14ac:dyDescent="0.2">
      <c r="AQ10146" s="31"/>
    </row>
    <row r="10147" spans="43:43" x14ac:dyDescent="0.2">
      <c r="AQ10147" s="31"/>
    </row>
    <row r="10148" spans="43:43" x14ac:dyDescent="0.2">
      <c r="AQ10148" s="31"/>
    </row>
    <row r="10149" spans="43:43" x14ac:dyDescent="0.2">
      <c r="AQ10149" s="31"/>
    </row>
    <row r="10150" spans="43:43" x14ac:dyDescent="0.2">
      <c r="AQ10150" s="31"/>
    </row>
    <row r="10151" spans="43:43" x14ac:dyDescent="0.2">
      <c r="AQ10151" s="31"/>
    </row>
    <row r="10152" spans="43:43" x14ac:dyDescent="0.2">
      <c r="AQ10152" s="31"/>
    </row>
    <row r="10153" spans="43:43" x14ac:dyDescent="0.2">
      <c r="AQ10153" s="31"/>
    </row>
    <row r="10154" spans="43:43" x14ac:dyDescent="0.2">
      <c r="AQ10154" s="31"/>
    </row>
    <row r="10155" spans="43:43" x14ac:dyDescent="0.2">
      <c r="AQ10155" s="31"/>
    </row>
    <row r="10156" spans="43:43" x14ac:dyDescent="0.2">
      <c r="AQ10156" s="31"/>
    </row>
    <row r="10157" spans="43:43" x14ac:dyDescent="0.2">
      <c r="AQ10157" s="31"/>
    </row>
    <row r="10158" spans="43:43" x14ac:dyDescent="0.2">
      <c r="AQ10158" s="31"/>
    </row>
    <row r="10159" spans="43:43" x14ac:dyDescent="0.2">
      <c r="AQ10159" s="31"/>
    </row>
    <row r="10160" spans="43:43" x14ac:dyDescent="0.2">
      <c r="AQ10160" s="31"/>
    </row>
    <row r="10161" spans="43:43" x14ac:dyDescent="0.2">
      <c r="AQ10161" s="31"/>
    </row>
    <row r="10162" spans="43:43" x14ac:dyDescent="0.2">
      <c r="AQ10162" s="31"/>
    </row>
    <row r="10163" spans="43:43" x14ac:dyDescent="0.2">
      <c r="AQ10163" s="31"/>
    </row>
    <row r="10164" spans="43:43" x14ac:dyDescent="0.2">
      <c r="AQ10164" s="31"/>
    </row>
    <row r="10165" spans="43:43" x14ac:dyDescent="0.2">
      <c r="AQ10165" s="31"/>
    </row>
    <row r="10166" spans="43:43" x14ac:dyDescent="0.2">
      <c r="AQ10166" s="31"/>
    </row>
    <row r="10167" spans="43:43" x14ac:dyDescent="0.2">
      <c r="AQ10167" s="31"/>
    </row>
    <row r="10168" spans="43:43" x14ac:dyDescent="0.2">
      <c r="AQ10168" s="31"/>
    </row>
    <row r="10169" spans="43:43" x14ac:dyDescent="0.2">
      <c r="AQ10169" s="31"/>
    </row>
    <row r="10170" spans="43:43" x14ac:dyDescent="0.2">
      <c r="AQ10170" s="31"/>
    </row>
    <row r="10171" spans="43:43" x14ac:dyDescent="0.2">
      <c r="AQ10171" s="31"/>
    </row>
    <row r="10172" spans="43:43" x14ac:dyDescent="0.2">
      <c r="AQ10172" s="31"/>
    </row>
    <row r="10173" spans="43:43" x14ac:dyDescent="0.2">
      <c r="AQ10173" s="31"/>
    </row>
    <row r="10174" spans="43:43" x14ac:dyDescent="0.2">
      <c r="AQ10174" s="31"/>
    </row>
    <row r="10175" spans="43:43" x14ac:dyDescent="0.2">
      <c r="AQ10175" s="31"/>
    </row>
    <row r="10176" spans="43:43" x14ac:dyDescent="0.2">
      <c r="AQ10176" s="31"/>
    </row>
    <row r="10177" spans="43:43" x14ac:dyDescent="0.2">
      <c r="AQ10177" s="31"/>
    </row>
    <row r="10178" spans="43:43" x14ac:dyDescent="0.2">
      <c r="AQ10178" s="31"/>
    </row>
    <row r="10179" spans="43:43" x14ac:dyDescent="0.2">
      <c r="AQ10179" s="31"/>
    </row>
    <row r="10180" spans="43:43" x14ac:dyDescent="0.2">
      <c r="AQ10180" s="31"/>
    </row>
    <row r="10181" spans="43:43" x14ac:dyDescent="0.2">
      <c r="AQ10181" s="31"/>
    </row>
    <row r="10182" spans="43:43" x14ac:dyDescent="0.2">
      <c r="AQ10182" s="31"/>
    </row>
    <row r="10183" spans="43:43" x14ac:dyDescent="0.2">
      <c r="AQ10183" s="31"/>
    </row>
    <row r="10184" spans="43:43" x14ac:dyDescent="0.2">
      <c r="AQ10184" s="31"/>
    </row>
    <row r="10185" spans="43:43" x14ac:dyDescent="0.2">
      <c r="AQ10185" s="31"/>
    </row>
    <row r="10186" spans="43:43" x14ac:dyDescent="0.2">
      <c r="AQ10186" s="31"/>
    </row>
    <row r="10187" spans="43:43" x14ac:dyDescent="0.2">
      <c r="AQ10187" s="31"/>
    </row>
    <row r="10188" spans="43:43" x14ac:dyDescent="0.2">
      <c r="AQ10188" s="31"/>
    </row>
    <row r="10189" spans="43:43" x14ac:dyDescent="0.2">
      <c r="AQ10189" s="31"/>
    </row>
    <row r="10190" spans="43:43" x14ac:dyDescent="0.2">
      <c r="AQ10190" s="31"/>
    </row>
    <row r="10191" spans="43:43" x14ac:dyDescent="0.2">
      <c r="AQ10191" s="31"/>
    </row>
    <row r="10192" spans="43:43" x14ac:dyDescent="0.2">
      <c r="AQ10192" s="31"/>
    </row>
    <row r="10193" spans="43:43" x14ac:dyDescent="0.2">
      <c r="AQ10193" s="31"/>
    </row>
    <row r="10194" spans="43:43" x14ac:dyDescent="0.2">
      <c r="AQ10194" s="31"/>
    </row>
    <row r="10195" spans="43:43" x14ac:dyDescent="0.2">
      <c r="AQ10195" s="31"/>
    </row>
    <row r="10196" spans="43:43" x14ac:dyDescent="0.2">
      <c r="AQ10196" s="31"/>
    </row>
    <row r="10197" spans="43:43" x14ac:dyDescent="0.2">
      <c r="AQ10197" s="31"/>
    </row>
    <row r="10198" spans="43:43" x14ac:dyDescent="0.2">
      <c r="AQ10198" s="31"/>
    </row>
    <row r="10199" spans="43:43" x14ac:dyDescent="0.2">
      <c r="AQ10199" s="31"/>
    </row>
    <row r="10200" spans="43:43" x14ac:dyDescent="0.2">
      <c r="AQ10200" s="31"/>
    </row>
    <row r="10201" spans="43:43" x14ac:dyDescent="0.2">
      <c r="AQ10201" s="31"/>
    </row>
    <row r="10202" spans="43:43" x14ac:dyDescent="0.2">
      <c r="AQ10202" s="31"/>
    </row>
    <row r="10203" spans="43:43" x14ac:dyDescent="0.2">
      <c r="AQ10203" s="31"/>
    </row>
    <row r="10204" spans="43:43" x14ac:dyDescent="0.2">
      <c r="AQ10204" s="31"/>
    </row>
    <row r="10205" spans="43:43" x14ac:dyDescent="0.2">
      <c r="AQ10205" s="31"/>
    </row>
    <row r="10206" spans="43:43" x14ac:dyDescent="0.2">
      <c r="AQ10206" s="31"/>
    </row>
    <row r="10207" spans="43:43" x14ac:dyDescent="0.2">
      <c r="AQ10207" s="31"/>
    </row>
    <row r="10208" spans="43:43" x14ac:dyDescent="0.2">
      <c r="AQ10208" s="31"/>
    </row>
    <row r="10209" spans="43:43" x14ac:dyDescent="0.2">
      <c r="AQ10209" s="31"/>
    </row>
    <row r="10210" spans="43:43" x14ac:dyDescent="0.2">
      <c r="AQ10210" s="31"/>
    </row>
    <row r="10211" spans="43:43" x14ac:dyDescent="0.2">
      <c r="AQ10211" s="31"/>
    </row>
    <row r="10212" spans="43:43" x14ac:dyDescent="0.2">
      <c r="AQ10212" s="31"/>
    </row>
    <row r="10213" spans="43:43" x14ac:dyDescent="0.2">
      <c r="AQ10213" s="31"/>
    </row>
    <row r="10214" spans="43:43" x14ac:dyDescent="0.2">
      <c r="AQ10214" s="31"/>
    </row>
    <row r="10215" spans="43:43" x14ac:dyDescent="0.2">
      <c r="AQ10215" s="31"/>
    </row>
    <row r="10216" spans="43:43" x14ac:dyDescent="0.2">
      <c r="AQ10216" s="31"/>
    </row>
    <row r="10217" spans="43:43" x14ac:dyDescent="0.2">
      <c r="AQ10217" s="31"/>
    </row>
    <row r="10218" spans="43:43" x14ac:dyDescent="0.2">
      <c r="AQ10218" s="31"/>
    </row>
    <row r="10219" spans="43:43" x14ac:dyDescent="0.2">
      <c r="AQ10219" s="31"/>
    </row>
    <row r="10220" spans="43:43" x14ac:dyDescent="0.2">
      <c r="AQ10220" s="31"/>
    </row>
    <row r="10221" spans="43:43" x14ac:dyDescent="0.2">
      <c r="AQ10221" s="31"/>
    </row>
    <row r="10222" spans="43:43" x14ac:dyDescent="0.2">
      <c r="AQ10222" s="31"/>
    </row>
    <row r="10223" spans="43:43" x14ac:dyDescent="0.2">
      <c r="AQ10223" s="31"/>
    </row>
    <row r="10224" spans="43:43" x14ac:dyDescent="0.2">
      <c r="AQ10224" s="31"/>
    </row>
    <row r="10225" spans="43:43" x14ac:dyDescent="0.2">
      <c r="AQ10225" s="31"/>
    </row>
    <row r="10226" spans="43:43" x14ac:dyDescent="0.2">
      <c r="AQ10226" s="31"/>
    </row>
    <row r="10227" spans="43:43" x14ac:dyDescent="0.2">
      <c r="AQ10227" s="31"/>
    </row>
    <row r="10228" spans="43:43" x14ac:dyDescent="0.2">
      <c r="AQ10228" s="31"/>
    </row>
    <row r="10229" spans="43:43" x14ac:dyDescent="0.2">
      <c r="AQ10229" s="31"/>
    </row>
    <row r="10230" spans="43:43" x14ac:dyDescent="0.2">
      <c r="AQ10230" s="31"/>
    </row>
    <row r="10231" spans="43:43" x14ac:dyDescent="0.2">
      <c r="AQ10231" s="31"/>
    </row>
    <row r="10232" spans="43:43" x14ac:dyDescent="0.2">
      <c r="AQ10232" s="31"/>
    </row>
    <row r="10233" spans="43:43" x14ac:dyDescent="0.2">
      <c r="AQ10233" s="31"/>
    </row>
    <row r="10234" spans="43:43" x14ac:dyDescent="0.2">
      <c r="AQ10234" s="31"/>
    </row>
    <row r="10235" spans="43:43" x14ac:dyDescent="0.2">
      <c r="AQ10235" s="31"/>
    </row>
    <row r="10236" spans="43:43" x14ac:dyDescent="0.2">
      <c r="AQ10236" s="31"/>
    </row>
    <row r="10237" spans="43:43" x14ac:dyDescent="0.2">
      <c r="AQ10237" s="31"/>
    </row>
    <row r="10238" spans="43:43" x14ac:dyDescent="0.2">
      <c r="AQ10238" s="31"/>
    </row>
    <row r="10239" spans="43:43" x14ac:dyDescent="0.2">
      <c r="AQ10239" s="31"/>
    </row>
    <row r="10240" spans="43:43" x14ac:dyDescent="0.2">
      <c r="AQ10240" s="31"/>
    </row>
    <row r="10241" spans="43:43" x14ac:dyDescent="0.2">
      <c r="AQ10241" s="31"/>
    </row>
    <row r="10242" spans="43:43" x14ac:dyDescent="0.2">
      <c r="AQ10242" s="31"/>
    </row>
    <row r="10243" spans="43:43" x14ac:dyDescent="0.2">
      <c r="AQ10243" s="31"/>
    </row>
    <row r="10244" spans="43:43" x14ac:dyDescent="0.2">
      <c r="AQ10244" s="31"/>
    </row>
    <row r="10245" spans="43:43" x14ac:dyDescent="0.2">
      <c r="AQ10245" s="31"/>
    </row>
    <row r="10246" spans="43:43" x14ac:dyDescent="0.2">
      <c r="AQ10246" s="31"/>
    </row>
    <row r="10247" spans="43:43" x14ac:dyDescent="0.2">
      <c r="AQ10247" s="31"/>
    </row>
    <row r="10248" spans="43:43" x14ac:dyDescent="0.2">
      <c r="AQ10248" s="31"/>
    </row>
    <row r="10249" spans="43:43" x14ac:dyDescent="0.2">
      <c r="AQ10249" s="31"/>
    </row>
    <row r="10250" spans="43:43" x14ac:dyDescent="0.2">
      <c r="AQ10250" s="31"/>
    </row>
    <row r="10251" spans="43:43" x14ac:dyDescent="0.2">
      <c r="AQ10251" s="31"/>
    </row>
    <row r="10252" spans="43:43" x14ac:dyDescent="0.2">
      <c r="AQ10252" s="31"/>
    </row>
    <row r="10253" spans="43:43" x14ac:dyDescent="0.2">
      <c r="AQ10253" s="31"/>
    </row>
    <row r="10254" spans="43:43" x14ac:dyDescent="0.2">
      <c r="AQ10254" s="31"/>
    </row>
    <row r="10255" spans="43:43" x14ac:dyDescent="0.2">
      <c r="AQ10255" s="31"/>
    </row>
    <row r="10256" spans="43:43" x14ac:dyDescent="0.2">
      <c r="AQ10256" s="31"/>
    </row>
    <row r="10257" spans="43:43" x14ac:dyDescent="0.2">
      <c r="AQ10257" s="31"/>
    </row>
    <row r="10258" spans="43:43" x14ac:dyDescent="0.2">
      <c r="AQ10258" s="31"/>
    </row>
    <row r="10259" spans="43:43" x14ac:dyDescent="0.2">
      <c r="AQ10259" s="31"/>
    </row>
    <row r="10260" spans="43:43" x14ac:dyDescent="0.2">
      <c r="AQ10260" s="31"/>
    </row>
    <row r="10261" spans="43:43" x14ac:dyDescent="0.2">
      <c r="AQ10261" s="31"/>
    </row>
    <row r="10262" spans="43:43" x14ac:dyDescent="0.2">
      <c r="AQ10262" s="31"/>
    </row>
    <row r="10263" spans="43:43" x14ac:dyDescent="0.2">
      <c r="AQ10263" s="31"/>
    </row>
    <row r="10264" spans="43:43" x14ac:dyDescent="0.2">
      <c r="AQ10264" s="31"/>
    </row>
    <row r="10265" spans="43:43" x14ac:dyDescent="0.2">
      <c r="AQ10265" s="31"/>
    </row>
    <row r="10266" spans="43:43" x14ac:dyDescent="0.2">
      <c r="AQ10266" s="31"/>
    </row>
    <row r="10267" spans="43:43" x14ac:dyDescent="0.2">
      <c r="AQ10267" s="31"/>
    </row>
    <row r="10268" spans="43:43" x14ac:dyDescent="0.2">
      <c r="AQ10268" s="31"/>
    </row>
    <row r="10269" spans="43:43" x14ac:dyDescent="0.2">
      <c r="AQ10269" s="31"/>
    </row>
    <row r="10270" spans="43:43" x14ac:dyDescent="0.2">
      <c r="AQ10270" s="31"/>
    </row>
    <row r="10271" spans="43:43" x14ac:dyDescent="0.2">
      <c r="AQ10271" s="31"/>
    </row>
    <row r="10272" spans="43:43" x14ac:dyDescent="0.2">
      <c r="AQ10272" s="31"/>
    </row>
    <row r="10273" spans="43:43" x14ac:dyDescent="0.2">
      <c r="AQ10273" s="31"/>
    </row>
    <row r="10274" spans="43:43" x14ac:dyDescent="0.2">
      <c r="AQ10274" s="31"/>
    </row>
    <row r="10275" spans="43:43" x14ac:dyDescent="0.2">
      <c r="AQ10275" s="31"/>
    </row>
    <row r="10276" spans="43:43" x14ac:dyDescent="0.2">
      <c r="AQ10276" s="31"/>
    </row>
    <row r="10277" spans="43:43" x14ac:dyDescent="0.2">
      <c r="AQ10277" s="31"/>
    </row>
    <row r="10278" spans="43:43" x14ac:dyDescent="0.2">
      <c r="AQ10278" s="31"/>
    </row>
    <row r="10279" spans="43:43" x14ac:dyDescent="0.2">
      <c r="AQ10279" s="31"/>
    </row>
    <row r="10280" spans="43:43" x14ac:dyDescent="0.2">
      <c r="AQ10280" s="31"/>
    </row>
    <row r="10281" spans="43:43" x14ac:dyDescent="0.2">
      <c r="AQ10281" s="31"/>
    </row>
    <row r="10282" spans="43:43" x14ac:dyDescent="0.2">
      <c r="AQ10282" s="31"/>
    </row>
    <row r="10283" spans="43:43" x14ac:dyDescent="0.2">
      <c r="AQ10283" s="31"/>
    </row>
    <row r="10284" spans="43:43" x14ac:dyDescent="0.2">
      <c r="AQ10284" s="31"/>
    </row>
    <row r="10285" spans="43:43" x14ac:dyDescent="0.2">
      <c r="AQ10285" s="31"/>
    </row>
    <row r="10286" spans="43:43" x14ac:dyDescent="0.2">
      <c r="AQ10286" s="31"/>
    </row>
    <row r="10287" spans="43:43" x14ac:dyDescent="0.2">
      <c r="AQ10287" s="31"/>
    </row>
    <row r="10288" spans="43:43" x14ac:dyDescent="0.2">
      <c r="AQ10288" s="31"/>
    </row>
    <row r="10289" spans="43:43" x14ac:dyDescent="0.2">
      <c r="AQ10289" s="31"/>
    </row>
    <row r="10290" spans="43:43" x14ac:dyDescent="0.2">
      <c r="AQ10290" s="31"/>
    </row>
    <row r="10291" spans="43:43" x14ac:dyDescent="0.2">
      <c r="AQ10291" s="31"/>
    </row>
    <row r="10292" spans="43:43" x14ac:dyDescent="0.2">
      <c r="AQ10292" s="31"/>
    </row>
    <row r="10293" spans="43:43" x14ac:dyDescent="0.2">
      <c r="AQ10293" s="31"/>
    </row>
    <row r="10294" spans="43:43" x14ac:dyDescent="0.2">
      <c r="AQ10294" s="31"/>
    </row>
    <row r="10295" spans="43:43" x14ac:dyDescent="0.2">
      <c r="AQ10295" s="31"/>
    </row>
    <row r="10296" spans="43:43" x14ac:dyDescent="0.2">
      <c r="AQ10296" s="31"/>
    </row>
    <row r="10297" spans="43:43" x14ac:dyDescent="0.2">
      <c r="AQ10297" s="31"/>
    </row>
    <row r="10298" spans="43:43" x14ac:dyDescent="0.2">
      <c r="AQ10298" s="31"/>
    </row>
    <row r="10299" spans="43:43" x14ac:dyDescent="0.2">
      <c r="AQ10299" s="31"/>
    </row>
    <row r="10300" spans="43:43" x14ac:dyDescent="0.2">
      <c r="AQ10300" s="31"/>
    </row>
    <row r="10301" spans="43:43" x14ac:dyDescent="0.2">
      <c r="AQ10301" s="31"/>
    </row>
    <row r="10302" spans="43:43" x14ac:dyDescent="0.2">
      <c r="AQ10302" s="31"/>
    </row>
    <row r="10303" spans="43:43" x14ac:dyDescent="0.2">
      <c r="AQ10303" s="31"/>
    </row>
    <row r="10304" spans="43:43" x14ac:dyDescent="0.2">
      <c r="AQ10304" s="31"/>
    </row>
    <row r="10305" spans="43:43" x14ac:dyDescent="0.2">
      <c r="AQ10305" s="31"/>
    </row>
    <row r="10306" spans="43:43" x14ac:dyDescent="0.2">
      <c r="AQ10306" s="31"/>
    </row>
    <row r="10307" spans="43:43" x14ac:dyDescent="0.2">
      <c r="AQ10307" s="31"/>
    </row>
    <row r="10308" spans="43:43" x14ac:dyDescent="0.2">
      <c r="AQ10308" s="31"/>
    </row>
    <row r="10309" spans="43:43" x14ac:dyDescent="0.2">
      <c r="AQ10309" s="31"/>
    </row>
    <row r="10310" spans="43:43" x14ac:dyDescent="0.2">
      <c r="AQ10310" s="31"/>
    </row>
    <row r="10311" spans="43:43" x14ac:dyDescent="0.2">
      <c r="AQ10311" s="31"/>
    </row>
    <row r="10312" spans="43:43" x14ac:dyDescent="0.2">
      <c r="AQ10312" s="31"/>
    </row>
    <row r="10313" spans="43:43" x14ac:dyDescent="0.2">
      <c r="AQ10313" s="31"/>
    </row>
    <row r="10314" spans="43:43" x14ac:dyDescent="0.2">
      <c r="AQ10314" s="31"/>
    </row>
    <row r="10315" spans="43:43" x14ac:dyDescent="0.2">
      <c r="AQ10315" s="31"/>
    </row>
    <row r="10316" spans="43:43" x14ac:dyDescent="0.2">
      <c r="AQ10316" s="31"/>
    </row>
    <row r="10317" spans="43:43" x14ac:dyDescent="0.2">
      <c r="AQ10317" s="31"/>
    </row>
    <row r="10318" spans="43:43" x14ac:dyDescent="0.2">
      <c r="AQ10318" s="31"/>
    </row>
    <row r="10319" spans="43:43" x14ac:dyDescent="0.2">
      <c r="AQ10319" s="31"/>
    </row>
    <row r="10320" spans="43:43" x14ac:dyDescent="0.2">
      <c r="AQ10320" s="31"/>
    </row>
    <row r="10321" spans="43:43" x14ac:dyDescent="0.2">
      <c r="AQ10321" s="31"/>
    </row>
    <row r="10322" spans="43:43" x14ac:dyDescent="0.2">
      <c r="AQ10322" s="31"/>
    </row>
    <row r="10323" spans="43:43" x14ac:dyDescent="0.2">
      <c r="AQ10323" s="31"/>
    </row>
    <row r="10324" spans="43:43" x14ac:dyDescent="0.2">
      <c r="AQ10324" s="31"/>
    </row>
    <row r="10325" spans="43:43" x14ac:dyDescent="0.2">
      <c r="AQ10325" s="31"/>
    </row>
    <row r="10326" spans="43:43" x14ac:dyDescent="0.2">
      <c r="AQ10326" s="31"/>
    </row>
    <row r="10327" spans="43:43" x14ac:dyDescent="0.2">
      <c r="AQ10327" s="31"/>
    </row>
    <row r="10328" spans="43:43" x14ac:dyDescent="0.2">
      <c r="AQ10328" s="31"/>
    </row>
    <row r="10329" spans="43:43" x14ac:dyDescent="0.2">
      <c r="AQ10329" s="31"/>
    </row>
    <row r="10330" spans="43:43" x14ac:dyDescent="0.2">
      <c r="AQ10330" s="31"/>
    </row>
    <row r="10331" spans="43:43" x14ac:dyDescent="0.2">
      <c r="AQ10331" s="31"/>
    </row>
    <row r="10332" spans="43:43" x14ac:dyDescent="0.2">
      <c r="AQ10332" s="31"/>
    </row>
    <row r="10333" spans="43:43" x14ac:dyDescent="0.2">
      <c r="AQ10333" s="31"/>
    </row>
    <row r="10334" spans="43:43" x14ac:dyDescent="0.2">
      <c r="AQ10334" s="31"/>
    </row>
    <row r="10335" spans="43:43" x14ac:dyDescent="0.2">
      <c r="AQ10335" s="31"/>
    </row>
    <row r="10336" spans="43:43" x14ac:dyDescent="0.2">
      <c r="AQ10336" s="31"/>
    </row>
    <row r="10337" spans="43:43" x14ac:dyDescent="0.2">
      <c r="AQ10337" s="31"/>
    </row>
    <row r="10338" spans="43:43" x14ac:dyDescent="0.2">
      <c r="AQ10338" s="31"/>
    </row>
    <row r="10339" spans="43:43" x14ac:dyDescent="0.2">
      <c r="AQ10339" s="31"/>
    </row>
    <row r="10340" spans="43:43" x14ac:dyDescent="0.2">
      <c r="AQ10340" s="31"/>
    </row>
    <row r="10341" spans="43:43" x14ac:dyDescent="0.2">
      <c r="AQ10341" s="31"/>
    </row>
    <row r="10342" spans="43:43" x14ac:dyDescent="0.2">
      <c r="AQ10342" s="31"/>
    </row>
    <row r="10343" spans="43:43" x14ac:dyDescent="0.2">
      <c r="AQ10343" s="31"/>
    </row>
    <row r="10344" spans="43:43" x14ac:dyDescent="0.2">
      <c r="AQ10344" s="31"/>
    </row>
    <row r="10345" spans="43:43" x14ac:dyDescent="0.2">
      <c r="AQ10345" s="31"/>
    </row>
    <row r="10346" spans="43:43" x14ac:dyDescent="0.2">
      <c r="AQ10346" s="31"/>
    </row>
    <row r="10347" spans="43:43" x14ac:dyDescent="0.2">
      <c r="AQ10347" s="31"/>
    </row>
    <row r="10348" spans="43:43" x14ac:dyDescent="0.2">
      <c r="AQ10348" s="31"/>
    </row>
    <row r="10349" spans="43:43" x14ac:dyDescent="0.2">
      <c r="AQ10349" s="31"/>
    </row>
    <row r="10350" spans="43:43" x14ac:dyDescent="0.2">
      <c r="AQ10350" s="31"/>
    </row>
    <row r="10351" spans="43:43" x14ac:dyDescent="0.2">
      <c r="AQ10351" s="31"/>
    </row>
    <row r="10352" spans="43:43" x14ac:dyDescent="0.2">
      <c r="AQ10352" s="31"/>
    </row>
    <row r="10353" spans="43:43" x14ac:dyDescent="0.2">
      <c r="AQ10353" s="31"/>
    </row>
    <row r="10354" spans="43:43" x14ac:dyDescent="0.2">
      <c r="AQ10354" s="31"/>
    </row>
    <row r="10355" spans="43:43" x14ac:dyDescent="0.2">
      <c r="AQ10355" s="31"/>
    </row>
    <row r="10356" spans="43:43" x14ac:dyDescent="0.2">
      <c r="AQ10356" s="31"/>
    </row>
    <row r="10357" spans="43:43" x14ac:dyDescent="0.2">
      <c r="AQ10357" s="31"/>
    </row>
    <row r="10358" spans="43:43" x14ac:dyDescent="0.2">
      <c r="AQ10358" s="31"/>
    </row>
    <row r="10359" spans="43:43" x14ac:dyDescent="0.2">
      <c r="AQ10359" s="31"/>
    </row>
    <row r="10360" spans="43:43" x14ac:dyDescent="0.2">
      <c r="AQ10360" s="31"/>
    </row>
    <row r="10361" spans="43:43" x14ac:dyDescent="0.2">
      <c r="AQ10361" s="31"/>
    </row>
    <row r="10362" spans="43:43" x14ac:dyDescent="0.2">
      <c r="AQ10362" s="31"/>
    </row>
    <row r="10363" spans="43:43" x14ac:dyDescent="0.2">
      <c r="AQ10363" s="31"/>
    </row>
    <row r="10364" spans="43:43" x14ac:dyDescent="0.2">
      <c r="AQ10364" s="31"/>
    </row>
    <row r="10365" spans="43:43" x14ac:dyDescent="0.2">
      <c r="AQ10365" s="31"/>
    </row>
    <row r="10366" spans="43:43" x14ac:dyDescent="0.2">
      <c r="AQ10366" s="31"/>
    </row>
    <row r="10367" spans="43:43" x14ac:dyDescent="0.2">
      <c r="AQ10367" s="31"/>
    </row>
    <row r="10368" spans="43:43" x14ac:dyDescent="0.2">
      <c r="AQ10368" s="31"/>
    </row>
    <row r="10369" spans="43:43" x14ac:dyDescent="0.2">
      <c r="AQ10369" s="31"/>
    </row>
    <row r="10370" spans="43:43" x14ac:dyDescent="0.2">
      <c r="AQ10370" s="31"/>
    </row>
    <row r="10371" spans="43:43" x14ac:dyDescent="0.2">
      <c r="AQ10371" s="31"/>
    </row>
    <row r="10372" spans="43:43" x14ac:dyDescent="0.2">
      <c r="AQ10372" s="31"/>
    </row>
    <row r="10373" spans="43:43" x14ac:dyDescent="0.2">
      <c r="AQ10373" s="31"/>
    </row>
    <row r="10374" spans="43:43" x14ac:dyDescent="0.2">
      <c r="AQ10374" s="31"/>
    </row>
    <row r="10375" spans="43:43" x14ac:dyDescent="0.2">
      <c r="AQ10375" s="31"/>
    </row>
    <row r="10376" spans="43:43" x14ac:dyDescent="0.2">
      <c r="AQ10376" s="31"/>
    </row>
    <row r="10377" spans="43:43" x14ac:dyDescent="0.2">
      <c r="AQ10377" s="31"/>
    </row>
    <row r="10378" spans="43:43" x14ac:dyDescent="0.2">
      <c r="AQ10378" s="31"/>
    </row>
    <row r="10379" spans="43:43" x14ac:dyDescent="0.2">
      <c r="AQ10379" s="31"/>
    </row>
    <row r="10380" spans="43:43" x14ac:dyDescent="0.2">
      <c r="AQ10380" s="31"/>
    </row>
    <row r="10381" spans="43:43" x14ac:dyDescent="0.2">
      <c r="AQ10381" s="31"/>
    </row>
    <row r="10382" spans="43:43" x14ac:dyDescent="0.2">
      <c r="AQ10382" s="31"/>
    </row>
    <row r="10383" spans="43:43" x14ac:dyDescent="0.2">
      <c r="AQ10383" s="31"/>
    </row>
    <row r="10384" spans="43:43" x14ac:dyDescent="0.2">
      <c r="AQ10384" s="31"/>
    </row>
    <row r="10385" spans="43:43" x14ac:dyDescent="0.2">
      <c r="AQ10385" s="31"/>
    </row>
    <row r="10386" spans="43:43" x14ac:dyDescent="0.2">
      <c r="AQ10386" s="31"/>
    </row>
    <row r="10387" spans="43:43" x14ac:dyDescent="0.2">
      <c r="AQ10387" s="31"/>
    </row>
    <row r="10388" spans="43:43" x14ac:dyDescent="0.2">
      <c r="AQ10388" s="31"/>
    </row>
    <row r="10389" spans="43:43" x14ac:dyDescent="0.2">
      <c r="AQ10389" s="31"/>
    </row>
    <row r="10390" spans="43:43" x14ac:dyDescent="0.2">
      <c r="AQ10390" s="31"/>
    </row>
    <row r="10391" spans="43:43" x14ac:dyDescent="0.2">
      <c r="AQ10391" s="31"/>
    </row>
    <row r="10392" spans="43:43" x14ac:dyDescent="0.2">
      <c r="AQ10392" s="31"/>
    </row>
    <row r="10393" spans="43:43" x14ac:dyDescent="0.2">
      <c r="AQ10393" s="31"/>
    </row>
    <row r="10394" spans="43:43" x14ac:dyDescent="0.2">
      <c r="AQ10394" s="31"/>
    </row>
    <row r="10395" spans="43:43" x14ac:dyDescent="0.2">
      <c r="AQ10395" s="31"/>
    </row>
    <row r="10396" spans="43:43" x14ac:dyDescent="0.2">
      <c r="AQ10396" s="31"/>
    </row>
    <row r="10397" spans="43:43" x14ac:dyDescent="0.2">
      <c r="AQ10397" s="31"/>
    </row>
    <row r="10398" spans="43:43" x14ac:dyDescent="0.2">
      <c r="AQ10398" s="31"/>
    </row>
    <row r="10399" spans="43:43" x14ac:dyDescent="0.2">
      <c r="AQ10399" s="31"/>
    </row>
    <row r="10400" spans="43:43" x14ac:dyDescent="0.2">
      <c r="AQ10400" s="31"/>
    </row>
    <row r="10401" spans="43:43" x14ac:dyDescent="0.2">
      <c r="AQ10401" s="31"/>
    </row>
    <row r="10402" spans="43:43" x14ac:dyDescent="0.2">
      <c r="AQ10402" s="31"/>
    </row>
    <row r="10403" spans="43:43" x14ac:dyDescent="0.2">
      <c r="AQ10403" s="31"/>
    </row>
    <row r="10404" spans="43:43" x14ac:dyDescent="0.2">
      <c r="AQ10404" s="31"/>
    </row>
    <row r="10405" spans="43:43" x14ac:dyDescent="0.2">
      <c r="AQ10405" s="31"/>
    </row>
    <row r="10406" spans="43:43" x14ac:dyDescent="0.2">
      <c r="AQ10406" s="31"/>
    </row>
    <row r="10407" spans="43:43" x14ac:dyDescent="0.2">
      <c r="AQ10407" s="31"/>
    </row>
    <row r="10408" spans="43:43" x14ac:dyDescent="0.2">
      <c r="AQ10408" s="31"/>
    </row>
    <row r="10409" spans="43:43" x14ac:dyDescent="0.2">
      <c r="AQ10409" s="31"/>
    </row>
    <row r="10410" spans="43:43" x14ac:dyDescent="0.2">
      <c r="AQ10410" s="31"/>
    </row>
    <row r="10411" spans="43:43" x14ac:dyDescent="0.2">
      <c r="AQ10411" s="31"/>
    </row>
    <row r="10412" spans="43:43" x14ac:dyDescent="0.2">
      <c r="AQ10412" s="31"/>
    </row>
    <row r="10413" spans="43:43" x14ac:dyDescent="0.2">
      <c r="AQ10413" s="31"/>
    </row>
    <row r="10414" spans="43:43" x14ac:dyDescent="0.2">
      <c r="AQ10414" s="31"/>
    </row>
    <row r="10415" spans="43:43" x14ac:dyDescent="0.2">
      <c r="AQ10415" s="31"/>
    </row>
    <row r="10416" spans="43:43" x14ac:dyDescent="0.2">
      <c r="AQ10416" s="31"/>
    </row>
    <row r="10417" spans="43:43" x14ac:dyDescent="0.2">
      <c r="AQ10417" s="31"/>
    </row>
    <row r="10418" spans="43:43" x14ac:dyDescent="0.2">
      <c r="AQ10418" s="31"/>
    </row>
    <row r="10419" spans="43:43" x14ac:dyDescent="0.2">
      <c r="AQ10419" s="31"/>
    </row>
    <row r="10420" spans="43:43" x14ac:dyDescent="0.2">
      <c r="AQ10420" s="31"/>
    </row>
    <row r="10421" spans="43:43" x14ac:dyDescent="0.2">
      <c r="AQ10421" s="31"/>
    </row>
    <row r="10422" spans="43:43" x14ac:dyDescent="0.2">
      <c r="AQ10422" s="31"/>
    </row>
    <row r="10423" spans="43:43" x14ac:dyDescent="0.2">
      <c r="AQ10423" s="31"/>
    </row>
    <row r="10424" spans="43:43" x14ac:dyDescent="0.2">
      <c r="AQ10424" s="31"/>
    </row>
    <row r="10425" spans="43:43" x14ac:dyDescent="0.2">
      <c r="AQ10425" s="31"/>
    </row>
    <row r="10426" spans="43:43" x14ac:dyDescent="0.2">
      <c r="AQ10426" s="31"/>
    </row>
    <row r="10427" spans="43:43" x14ac:dyDescent="0.2">
      <c r="AQ10427" s="31"/>
    </row>
    <row r="10428" spans="43:43" x14ac:dyDescent="0.2">
      <c r="AQ10428" s="31"/>
    </row>
    <row r="10429" spans="43:43" x14ac:dyDescent="0.2">
      <c r="AQ10429" s="31"/>
    </row>
    <row r="10430" spans="43:43" x14ac:dyDescent="0.2">
      <c r="AQ10430" s="31"/>
    </row>
    <row r="10431" spans="43:43" x14ac:dyDescent="0.2">
      <c r="AQ10431" s="31"/>
    </row>
    <row r="10432" spans="43:43" x14ac:dyDescent="0.2">
      <c r="AQ10432" s="31"/>
    </row>
    <row r="10433" spans="43:43" x14ac:dyDescent="0.2">
      <c r="AQ10433" s="31"/>
    </row>
    <row r="10434" spans="43:43" x14ac:dyDescent="0.2">
      <c r="AQ10434" s="31"/>
    </row>
    <row r="10435" spans="43:43" x14ac:dyDescent="0.2">
      <c r="AQ10435" s="31"/>
    </row>
    <row r="10436" spans="43:43" x14ac:dyDescent="0.2">
      <c r="AQ10436" s="31"/>
    </row>
    <row r="10437" spans="43:43" x14ac:dyDescent="0.2">
      <c r="AQ10437" s="31"/>
    </row>
    <row r="10438" spans="43:43" x14ac:dyDescent="0.2">
      <c r="AQ10438" s="31"/>
    </row>
    <row r="10439" spans="43:43" x14ac:dyDescent="0.2">
      <c r="AQ10439" s="31"/>
    </row>
    <row r="10440" spans="43:43" x14ac:dyDescent="0.2">
      <c r="AQ10440" s="31"/>
    </row>
    <row r="10441" spans="43:43" x14ac:dyDescent="0.2">
      <c r="AQ10441" s="31"/>
    </row>
    <row r="10442" spans="43:43" x14ac:dyDescent="0.2">
      <c r="AQ10442" s="31"/>
    </row>
    <row r="10443" spans="43:43" x14ac:dyDescent="0.2">
      <c r="AQ10443" s="31"/>
    </row>
    <row r="10444" spans="43:43" x14ac:dyDescent="0.2">
      <c r="AQ10444" s="31"/>
    </row>
    <row r="10445" spans="43:43" x14ac:dyDescent="0.2">
      <c r="AQ10445" s="31"/>
    </row>
    <row r="10446" spans="43:43" x14ac:dyDescent="0.2">
      <c r="AQ10446" s="31"/>
    </row>
    <row r="10447" spans="43:43" x14ac:dyDescent="0.2">
      <c r="AQ10447" s="31"/>
    </row>
    <row r="10448" spans="43:43" x14ac:dyDescent="0.2">
      <c r="AQ10448" s="31"/>
    </row>
    <row r="10449" spans="43:43" x14ac:dyDescent="0.2">
      <c r="AQ10449" s="31"/>
    </row>
    <row r="10450" spans="43:43" x14ac:dyDescent="0.2">
      <c r="AQ10450" s="31"/>
    </row>
    <row r="10451" spans="43:43" x14ac:dyDescent="0.2">
      <c r="AQ10451" s="31"/>
    </row>
    <row r="10452" spans="43:43" x14ac:dyDescent="0.2">
      <c r="AQ10452" s="31"/>
    </row>
    <row r="10453" spans="43:43" x14ac:dyDescent="0.2">
      <c r="AQ10453" s="31"/>
    </row>
    <row r="10454" spans="43:43" x14ac:dyDescent="0.2">
      <c r="AQ10454" s="31"/>
    </row>
    <row r="10455" spans="43:43" x14ac:dyDescent="0.2">
      <c r="AQ10455" s="31"/>
    </row>
    <row r="10456" spans="43:43" x14ac:dyDescent="0.2">
      <c r="AQ10456" s="31"/>
    </row>
    <row r="10457" spans="43:43" x14ac:dyDescent="0.2">
      <c r="AQ10457" s="31"/>
    </row>
    <row r="10458" spans="43:43" x14ac:dyDescent="0.2">
      <c r="AQ10458" s="31"/>
    </row>
    <row r="10459" spans="43:43" x14ac:dyDescent="0.2">
      <c r="AQ10459" s="31"/>
    </row>
    <row r="10460" spans="43:43" x14ac:dyDescent="0.2">
      <c r="AQ10460" s="31"/>
    </row>
    <row r="10461" spans="43:43" x14ac:dyDescent="0.2">
      <c r="AQ10461" s="31"/>
    </row>
    <row r="10462" spans="43:43" x14ac:dyDescent="0.2">
      <c r="AQ10462" s="31"/>
    </row>
    <row r="10463" spans="43:43" x14ac:dyDescent="0.2">
      <c r="AQ10463" s="31"/>
    </row>
    <row r="10464" spans="43:43" x14ac:dyDescent="0.2">
      <c r="AQ10464" s="31"/>
    </row>
    <row r="10465" spans="43:43" x14ac:dyDescent="0.2">
      <c r="AQ10465" s="31"/>
    </row>
    <row r="10466" spans="43:43" x14ac:dyDescent="0.2">
      <c r="AQ10466" s="31"/>
    </row>
    <row r="10467" spans="43:43" x14ac:dyDescent="0.2">
      <c r="AQ10467" s="31"/>
    </row>
    <row r="10468" spans="43:43" x14ac:dyDescent="0.2">
      <c r="AQ10468" s="31"/>
    </row>
    <row r="10469" spans="43:43" x14ac:dyDescent="0.2">
      <c r="AQ10469" s="31"/>
    </row>
    <row r="10470" spans="43:43" x14ac:dyDescent="0.2">
      <c r="AQ10470" s="31"/>
    </row>
    <row r="10471" spans="43:43" x14ac:dyDescent="0.2">
      <c r="AQ10471" s="31"/>
    </row>
    <row r="10472" spans="43:43" x14ac:dyDescent="0.2">
      <c r="AQ10472" s="31"/>
    </row>
    <row r="10473" spans="43:43" x14ac:dyDescent="0.2">
      <c r="AQ10473" s="31"/>
    </row>
    <row r="10474" spans="43:43" x14ac:dyDescent="0.2">
      <c r="AQ10474" s="31"/>
    </row>
    <row r="10475" spans="43:43" x14ac:dyDescent="0.2">
      <c r="AQ10475" s="31"/>
    </row>
    <row r="10476" spans="43:43" x14ac:dyDescent="0.2">
      <c r="AQ10476" s="31"/>
    </row>
    <row r="10477" spans="43:43" x14ac:dyDescent="0.2">
      <c r="AQ10477" s="31"/>
    </row>
    <row r="10478" spans="43:43" x14ac:dyDescent="0.2">
      <c r="AQ10478" s="31"/>
    </row>
    <row r="10479" spans="43:43" x14ac:dyDescent="0.2">
      <c r="AQ10479" s="31"/>
    </row>
    <row r="10480" spans="43:43" x14ac:dyDescent="0.2">
      <c r="AQ10480" s="31"/>
    </row>
    <row r="10481" spans="43:43" x14ac:dyDescent="0.2">
      <c r="AQ10481" s="31"/>
    </row>
    <row r="10482" spans="43:43" x14ac:dyDescent="0.2">
      <c r="AQ10482" s="31"/>
    </row>
    <row r="10483" spans="43:43" x14ac:dyDescent="0.2">
      <c r="AQ10483" s="31"/>
    </row>
    <row r="10484" spans="43:43" x14ac:dyDescent="0.2">
      <c r="AQ10484" s="31"/>
    </row>
    <row r="10485" spans="43:43" x14ac:dyDescent="0.2">
      <c r="AQ10485" s="31"/>
    </row>
    <row r="10486" spans="43:43" x14ac:dyDescent="0.2">
      <c r="AQ10486" s="31"/>
    </row>
    <row r="10487" spans="43:43" x14ac:dyDescent="0.2">
      <c r="AQ10487" s="31"/>
    </row>
    <row r="10488" spans="43:43" x14ac:dyDescent="0.2">
      <c r="AQ10488" s="31"/>
    </row>
    <row r="10489" spans="43:43" x14ac:dyDescent="0.2">
      <c r="AQ10489" s="31"/>
    </row>
    <row r="10490" spans="43:43" x14ac:dyDescent="0.2">
      <c r="AQ10490" s="31"/>
    </row>
    <row r="10491" spans="43:43" x14ac:dyDescent="0.2">
      <c r="AQ10491" s="31"/>
    </row>
    <row r="10492" spans="43:43" x14ac:dyDescent="0.2">
      <c r="AQ10492" s="31"/>
    </row>
    <row r="10493" spans="43:43" x14ac:dyDescent="0.2">
      <c r="AQ10493" s="31"/>
    </row>
    <row r="10494" spans="43:43" x14ac:dyDescent="0.2">
      <c r="AQ10494" s="31"/>
    </row>
    <row r="10495" spans="43:43" x14ac:dyDescent="0.2">
      <c r="AQ10495" s="31"/>
    </row>
    <row r="10496" spans="43:43" x14ac:dyDescent="0.2">
      <c r="AQ10496" s="31"/>
    </row>
    <row r="10497" spans="43:43" x14ac:dyDescent="0.2">
      <c r="AQ10497" s="31"/>
    </row>
    <row r="10498" spans="43:43" x14ac:dyDescent="0.2">
      <c r="AQ10498" s="31"/>
    </row>
    <row r="10499" spans="43:43" x14ac:dyDescent="0.2">
      <c r="AQ10499" s="31"/>
    </row>
    <row r="10500" spans="43:43" x14ac:dyDescent="0.2">
      <c r="AQ10500" s="31"/>
    </row>
    <row r="10501" spans="43:43" x14ac:dyDescent="0.2">
      <c r="AQ10501" s="31"/>
    </row>
    <row r="10502" spans="43:43" x14ac:dyDescent="0.2">
      <c r="AQ10502" s="31"/>
    </row>
    <row r="10503" spans="43:43" x14ac:dyDescent="0.2">
      <c r="AQ10503" s="31"/>
    </row>
    <row r="10504" spans="43:43" x14ac:dyDescent="0.2">
      <c r="AQ10504" s="31"/>
    </row>
    <row r="10505" spans="43:43" x14ac:dyDescent="0.2">
      <c r="AQ10505" s="31"/>
    </row>
    <row r="10506" spans="43:43" x14ac:dyDescent="0.2">
      <c r="AQ10506" s="31"/>
    </row>
    <row r="10507" spans="43:43" x14ac:dyDescent="0.2">
      <c r="AQ10507" s="31"/>
    </row>
    <row r="10508" spans="43:43" x14ac:dyDescent="0.2">
      <c r="AQ10508" s="31"/>
    </row>
    <row r="10509" spans="43:43" x14ac:dyDescent="0.2">
      <c r="AQ10509" s="31"/>
    </row>
    <row r="10510" spans="43:43" x14ac:dyDescent="0.2">
      <c r="AQ10510" s="31"/>
    </row>
    <row r="10511" spans="43:43" x14ac:dyDescent="0.2">
      <c r="AQ10511" s="31"/>
    </row>
    <row r="10512" spans="43:43" x14ac:dyDescent="0.2">
      <c r="AQ10512" s="31"/>
    </row>
    <row r="10513" spans="43:43" x14ac:dyDescent="0.2">
      <c r="AQ10513" s="31"/>
    </row>
    <row r="10514" spans="43:43" x14ac:dyDescent="0.2">
      <c r="AQ10514" s="31"/>
    </row>
    <row r="10515" spans="43:43" x14ac:dyDescent="0.2">
      <c r="AQ10515" s="31"/>
    </row>
    <row r="10516" spans="43:43" x14ac:dyDescent="0.2">
      <c r="AQ10516" s="31"/>
    </row>
    <row r="10517" spans="43:43" x14ac:dyDescent="0.2">
      <c r="AQ10517" s="31"/>
    </row>
    <row r="10518" spans="43:43" x14ac:dyDescent="0.2">
      <c r="AQ10518" s="31"/>
    </row>
    <row r="10519" spans="43:43" x14ac:dyDescent="0.2">
      <c r="AQ10519" s="31"/>
    </row>
    <row r="10520" spans="43:43" x14ac:dyDescent="0.2">
      <c r="AQ10520" s="31"/>
    </row>
    <row r="10521" spans="43:43" x14ac:dyDescent="0.2">
      <c r="AQ10521" s="31"/>
    </row>
    <row r="10522" spans="43:43" x14ac:dyDescent="0.2">
      <c r="AQ10522" s="31"/>
    </row>
    <row r="10523" spans="43:43" x14ac:dyDescent="0.2">
      <c r="AQ10523" s="31"/>
    </row>
    <row r="10524" spans="43:43" x14ac:dyDescent="0.2">
      <c r="AQ10524" s="31"/>
    </row>
    <row r="10525" spans="43:43" x14ac:dyDescent="0.2">
      <c r="AQ10525" s="31"/>
    </row>
    <row r="10526" spans="43:43" x14ac:dyDescent="0.2">
      <c r="AQ10526" s="31"/>
    </row>
    <row r="10527" spans="43:43" x14ac:dyDescent="0.2">
      <c r="AQ10527" s="31"/>
    </row>
    <row r="10528" spans="43:43" x14ac:dyDescent="0.2">
      <c r="AQ10528" s="31"/>
    </row>
    <row r="10529" spans="43:43" x14ac:dyDescent="0.2">
      <c r="AQ10529" s="31"/>
    </row>
    <row r="10530" spans="43:43" x14ac:dyDescent="0.2">
      <c r="AQ10530" s="31"/>
    </row>
    <row r="10531" spans="43:43" x14ac:dyDescent="0.2">
      <c r="AQ10531" s="31"/>
    </row>
    <row r="10532" spans="43:43" x14ac:dyDescent="0.2">
      <c r="AQ10532" s="31"/>
    </row>
    <row r="10533" spans="43:43" x14ac:dyDescent="0.2">
      <c r="AQ10533" s="31"/>
    </row>
    <row r="10534" spans="43:43" x14ac:dyDescent="0.2">
      <c r="AQ10534" s="31"/>
    </row>
    <row r="10535" spans="43:43" x14ac:dyDescent="0.2">
      <c r="AQ10535" s="31"/>
    </row>
    <row r="10536" spans="43:43" x14ac:dyDescent="0.2">
      <c r="AQ10536" s="31"/>
    </row>
    <row r="10537" spans="43:43" x14ac:dyDescent="0.2">
      <c r="AQ10537" s="31"/>
    </row>
    <row r="10538" spans="43:43" x14ac:dyDescent="0.2">
      <c r="AQ10538" s="31"/>
    </row>
    <row r="10539" spans="43:43" x14ac:dyDescent="0.2">
      <c r="AQ10539" s="31"/>
    </row>
    <row r="10540" spans="43:43" x14ac:dyDescent="0.2">
      <c r="AQ10540" s="31"/>
    </row>
    <row r="10541" spans="43:43" x14ac:dyDescent="0.2">
      <c r="AQ10541" s="31"/>
    </row>
    <row r="10542" spans="43:43" x14ac:dyDescent="0.2">
      <c r="AQ10542" s="31"/>
    </row>
    <row r="10543" spans="43:43" x14ac:dyDescent="0.2">
      <c r="AQ10543" s="31"/>
    </row>
    <row r="10544" spans="43:43" x14ac:dyDescent="0.2">
      <c r="AQ10544" s="31"/>
    </row>
    <row r="10545" spans="43:43" x14ac:dyDescent="0.2">
      <c r="AQ10545" s="31"/>
    </row>
    <row r="10546" spans="43:43" x14ac:dyDescent="0.2">
      <c r="AQ10546" s="31"/>
    </row>
    <row r="10547" spans="43:43" x14ac:dyDescent="0.2">
      <c r="AQ10547" s="31"/>
    </row>
    <row r="10548" spans="43:43" x14ac:dyDescent="0.2">
      <c r="AQ10548" s="31"/>
    </row>
    <row r="10549" spans="43:43" x14ac:dyDescent="0.2">
      <c r="AQ10549" s="31"/>
    </row>
    <row r="10550" spans="43:43" x14ac:dyDescent="0.2">
      <c r="AQ10550" s="31"/>
    </row>
    <row r="10551" spans="43:43" x14ac:dyDescent="0.2">
      <c r="AQ10551" s="31"/>
    </row>
    <row r="10552" spans="43:43" x14ac:dyDescent="0.2">
      <c r="AQ10552" s="31"/>
    </row>
    <row r="10553" spans="43:43" x14ac:dyDescent="0.2">
      <c r="AQ10553" s="31"/>
    </row>
    <row r="10554" spans="43:43" x14ac:dyDescent="0.2">
      <c r="AQ10554" s="31"/>
    </row>
    <row r="10555" spans="43:43" x14ac:dyDescent="0.2">
      <c r="AQ10555" s="31"/>
    </row>
    <row r="10556" spans="43:43" x14ac:dyDescent="0.2">
      <c r="AQ10556" s="31"/>
    </row>
    <row r="10557" spans="43:43" x14ac:dyDescent="0.2">
      <c r="AQ10557" s="31"/>
    </row>
    <row r="10558" spans="43:43" x14ac:dyDescent="0.2">
      <c r="AQ10558" s="31"/>
    </row>
    <row r="10559" spans="43:43" x14ac:dyDescent="0.2">
      <c r="AQ10559" s="31"/>
    </row>
    <row r="10560" spans="43:43" x14ac:dyDescent="0.2">
      <c r="AQ10560" s="31"/>
    </row>
    <row r="10561" spans="43:43" x14ac:dyDescent="0.2">
      <c r="AQ10561" s="31"/>
    </row>
    <row r="10562" spans="43:43" x14ac:dyDescent="0.2">
      <c r="AQ10562" s="31"/>
    </row>
    <row r="10563" spans="43:43" x14ac:dyDescent="0.2">
      <c r="AQ10563" s="31"/>
    </row>
    <row r="10564" spans="43:43" x14ac:dyDescent="0.2">
      <c r="AQ10564" s="31"/>
    </row>
    <row r="10565" spans="43:43" x14ac:dyDescent="0.2">
      <c r="AQ10565" s="31"/>
    </row>
    <row r="10566" spans="43:43" x14ac:dyDescent="0.2">
      <c r="AQ10566" s="31"/>
    </row>
    <row r="10567" spans="43:43" x14ac:dyDescent="0.2">
      <c r="AQ10567" s="31"/>
    </row>
    <row r="10568" spans="43:43" x14ac:dyDescent="0.2">
      <c r="AQ10568" s="31"/>
    </row>
    <row r="10569" spans="43:43" x14ac:dyDescent="0.2">
      <c r="AQ10569" s="31"/>
    </row>
    <row r="10570" spans="43:43" x14ac:dyDescent="0.2">
      <c r="AQ10570" s="31"/>
    </row>
    <row r="10571" spans="43:43" x14ac:dyDescent="0.2">
      <c r="AQ10571" s="31"/>
    </row>
    <row r="10572" spans="43:43" x14ac:dyDescent="0.2">
      <c r="AQ10572" s="31"/>
    </row>
    <row r="10573" spans="43:43" x14ac:dyDescent="0.2">
      <c r="AQ10573" s="31"/>
    </row>
    <row r="10574" spans="43:43" x14ac:dyDescent="0.2">
      <c r="AQ10574" s="31"/>
    </row>
    <row r="10575" spans="43:43" x14ac:dyDescent="0.2">
      <c r="AQ10575" s="31"/>
    </row>
    <row r="10576" spans="43:43" x14ac:dyDescent="0.2">
      <c r="AQ10576" s="31"/>
    </row>
    <row r="10577" spans="43:43" x14ac:dyDescent="0.2">
      <c r="AQ10577" s="31"/>
    </row>
    <row r="10578" spans="43:43" x14ac:dyDescent="0.2">
      <c r="AQ10578" s="31"/>
    </row>
    <row r="10579" spans="43:43" x14ac:dyDescent="0.2">
      <c r="AQ10579" s="31"/>
    </row>
    <row r="10580" spans="43:43" x14ac:dyDescent="0.2">
      <c r="AQ10580" s="31"/>
    </row>
    <row r="10581" spans="43:43" x14ac:dyDescent="0.2">
      <c r="AQ10581" s="31"/>
    </row>
    <row r="10582" spans="43:43" x14ac:dyDescent="0.2">
      <c r="AQ10582" s="31"/>
    </row>
    <row r="10583" spans="43:43" x14ac:dyDescent="0.2">
      <c r="AQ10583" s="31"/>
    </row>
    <row r="10584" spans="43:43" x14ac:dyDescent="0.2">
      <c r="AQ10584" s="31"/>
    </row>
    <row r="10585" spans="43:43" x14ac:dyDescent="0.2">
      <c r="AQ10585" s="31"/>
    </row>
    <row r="10586" spans="43:43" x14ac:dyDescent="0.2">
      <c r="AQ10586" s="31"/>
    </row>
    <row r="10587" spans="43:43" x14ac:dyDescent="0.2">
      <c r="AQ10587" s="31"/>
    </row>
    <row r="10588" spans="43:43" x14ac:dyDescent="0.2">
      <c r="AQ10588" s="31"/>
    </row>
    <row r="10589" spans="43:43" x14ac:dyDescent="0.2">
      <c r="AQ10589" s="31"/>
    </row>
    <row r="10590" spans="43:43" x14ac:dyDescent="0.2">
      <c r="AQ10590" s="31"/>
    </row>
    <row r="10591" spans="43:43" x14ac:dyDescent="0.2">
      <c r="AQ10591" s="31"/>
    </row>
    <row r="10592" spans="43:43" x14ac:dyDescent="0.2">
      <c r="AQ10592" s="31"/>
    </row>
    <row r="10593" spans="43:43" x14ac:dyDescent="0.2">
      <c r="AQ10593" s="31"/>
    </row>
    <row r="10594" spans="43:43" x14ac:dyDescent="0.2">
      <c r="AQ10594" s="31"/>
    </row>
    <row r="10595" spans="43:43" x14ac:dyDescent="0.2">
      <c r="AQ10595" s="31"/>
    </row>
    <row r="10596" spans="43:43" x14ac:dyDescent="0.2">
      <c r="AQ10596" s="31"/>
    </row>
    <row r="10597" spans="43:43" x14ac:dyDescent="0.2">
      <c r="AQ10597" s="31"/>
    </row>
    <row r="10598" spans="43:43" x14ac:dyDescent="0.2">
      <c r="AQ10598" s="31"/>
    </row>
    <row r="10599" spans="43:43" x14ac:dyDescent="0.2">
      <c r="AQ10599" s="31"/>
    </row>
    <row r="10600" spans="43:43" x14ac:dyDescent="0.2">
      <c r="AQ10600" s="31"/>
    </row>
    <row r="10601" spans="43:43" x14ac:dyDescent="0.2">
      <c r="AQ10601" s="31"/>
    </row>
    <row r="10602" spans="43:43" x14ac:dyDescent="0.2">
      <c r="AQ10602" s="31"/>
    </row>
    <row r="10603" spans="43:43" x14ac:dyDescent="0.2">
      <c r="AQ10603" s="31"/>
    </row>
    <row r="10604" spans="43:43" x14ac:dyDescent="0.2">
      <c r="AQ10604" s="31"/>
    </row>
    <row r="10605" spans="43:43" x14ac:dyDescent="0.2">
      <c r="AQ10605" s="31"/>
    </row>
    <row r="10606" spans="43:43" x14ac:dyDescent="0.2">
      <c r="AQ10606" s="31"/>
    </row>
    <row r="10607" spans="43:43" x14ac:dyDescent="0.2">
      <c r="AQ10607" s="31"/>
    </row>
    <row r="10608" spans="43:43" x14ac:dyDescent="0.2">
      <c r="AQ10608" s="31"/>
    </row>
    <row r="10609" spans="43:43" x14ac:dyDescent="0.2">
      <c r="AQ10609" s="31"/>
    </row>
    <row r="10610" spans="43:43" x14ac:dyDescent="0.2">
      <c r="AQ10610" s="31"/>
    </row>
    <row r="10611" spans="43:43" x14ac:dyDescent="0.2">
      <c r="AQ10611" s="31"/>
    </row>
    <row r="10612" spans="43:43" x14ac:dyDescent="0.2">
      <c r="AQ10612" s="31"/>
    </row>
    <row r="10613" spans="43:43" x14ac:dyDescent="0.2">
      <c r="AQ10613" s="31"/>
    </row>
    <row r="10614" spans="43:43" x14ac:dyDescent="0.2">
      <c r="AQ10614" s="31"/>
    </row>
    <row r="10615" spans="43:43" x14ac:dyDescent="0.2">
      <c r="AQ10615" s="31"/>
    </row>
    <row r="10616" spans="43:43" x14ac:dyDescent="0.2">
      <c r="AQ10616" s="31"/>
    </row>
    <row r="10617" spans="43:43" x14ac:dyDescent="0.2">
      <c r="AQ10617" s="31"/>
    </row>
    <row r="10618" spans="43:43" x14ac:dyDescent="0.2">
      <c r="AQ10618" s="31"/>
    </row>
    <row r="10619" spans="43:43" x14ac:dyDescent="0.2">
      <c r="AQ10619" s="31"/>
    </row>
    <row r="10620" spans="43:43" x14ac:dyDescent="0.2">
      <c r="AQ10620" s="31"/>
    </row>
    <row r="10621" spans="43:43" x14ac:dyDescent="0.2">
      <c r="AQ10621" s="31"/>
    </row>
    <row r="10622" spans="43:43" x14ac:dyDescent="0.2">
      <c r="AQ10622" s="31"/>
    </row>
    <row r="10623" spans="43:43" x14ac:dyDescent="0.2">
      <c r="AQ10623" s="31"/>
    </row>
    <row r="10624" spans="43:43" x14ac:dyDescent="0.2">
      <c r="AQ10624" s="31"/>
    </row>
    <row r="10625" spans="43:43" x14ac:dyDescent="0.2">
      <c r="AQ10625" s="31"/>
    </row>
    <row r="10626" spans="43:43" x14ac:dyDescent="0.2">
      <c r="AQ10626" s="31"/>
    </row>
    <row r="10627" spans="43:43" x14ac:dyDescent="0.2">
      <c r="AQ10627" s="31"/>
    </row>
    <row r="10628" spans="43:43" x14ac:dyDescent="0.2">
      <c r="AQ10628" s="31"/>
    </row>
    <row r="10629" spans="43:43" x14ac:dyDescent="0.2">
      <c r="AQ10629" s="31"/>
    </row>
    <row r="10630" spans="43:43" x14ac:dyDescent="0.2">
      <c r="AQ10630" s="31"/>
    </row>
    <row r="10631" spans="43:43" x14ac:dyDescent="0.2">
      <c r="AQ10631" s="31"/>
    </row>
    <row r="10632" spans="43:43" x14ac:dyDescent="0.2">
      <c r="AQ10632" s="31"/>
    </row>
    <row r="10633" spans="43:43" x14ac:dyDescent="0.2">
      <c r="AQ10633" s="31"/>
    </row>
    <row r="10634" spans="43:43" x14ac:dyDescent="0.2">
      <c r="AQ10634" s="31"/>
    </row>
    <row r="10635" spans="43:43" x14ac:dyDescent="0.2">
      <c r="AQ10635" s="31"/>
    </row>
    <row r="10636" spans="43:43" x14ac:dyDescent="0.2">
      <c r="AQ10636" s="31"/>
    </row>
    <row r="10637" spans="43:43" x14ac:dyDescent="0.2">
      <c r="AQ10637" s="31"/>
    </row>
    <row r="10638" spans="43:43" x14ac:dyDescent="0.2">
      <c r="AQ10638" s="31"/>
    </row>
    <row r="10639" spans="43:43" x14ac:dyDescent="0.2">
      <c r="AQ10639" s="31"/>
    </row>
    <row r="10640" spans="43:43" x14ac:dyDescent="0.2">
      <c r="AQ10640" s="31"/>
    </row>
    <row r="10641" spans="43:43" x14ac:dyDescent="0.2">
      <c r="AQ10641" s="31"/>
    </row>
    <row r="10642" spans="43:43" x14ac:dyDescent="0.2">
      <c r="AQ10642" s="31"/>
    </row>
    <row r="10643" spans="43:43" x14ac:dyDescent="0.2">
      <c r="AQ10643" s="31"/>
    </row>
    <row r="10644" spans="43:43" x14ac:dyDescent="0.2">
      <c r="AQ10644" s="31"/>
    </row>
    <row r="10645" spans="43:43" x14ac:dyDescent="0.2">
      <c r="AQ10645" s="31"/>
    </row>
    <row r="10646" spans="43:43" x14ac:dyDescent="0.2">
      <c r="AQ10646" s="31"/>
    </row>
    <row r="10647" spans="43:43" x14ac:dyDescent="0.2">
      <c r="AQ10647" s="31"/>
    </row>
    <row r="10648" spans="43:43" x14ac:dyDescent="0.2">
      <c r="AQ10648" s="31"/>
    </row>
    <row r="10649" spans="43:43" x14ac:dyDescent="0.2">
      <c r="AQ10649" s="31"/>
    </row>
    <row r="10650" spans="43:43" x14ac:dyDescent="0.2">
      <c r="AQ10650" s="31"/>
    </row>
    <row r="10651" spans="43:43" x14ac:dyDescent="0.2">
      <c r="AQ10651" s="31"/>
    </row>
    <row r="10652" spans="43:43" x14ac:dyDescent="0.2">
      <c r="AQ10652" s="31"/>
    </row>
    <row r="10653" spans="43:43" x14ac:dyDescent="0.2">
      <c r="AQ10653" s="31"/>
    </row>
    <row r="10654" spans="43:43" x14ac:dyDescent="0.2">
      <c r="AQ10654" s="31"/>
    </row>
    <row r="10655" spans="43:43" x14ac:dyDescent="0.2">
      <c r="AQ10655" s="31"/>
    </row>
    <row r="10656" spans="43:43" x14ac:dyDescent="0.2">
      <c r="AQ10656" s="31"/>
    </row>
    <row r="10657" spans="43:43" x14ac:dyDescent="0.2">
      <c r="AQ10657" s="31"/>
    </row>
    <row r="10658" spans="43:43" x14ac:dyDescent="0.2">
      <c r="AQ10658" s="31"/>
    </row>
    <row r="10659" spans="43:43" x14ac:dyDescent="0.2">
      <c r="AQ10659" s="31"/>
    </row>
    <row r="10660" spans="43:43" x14ac:dyDescent="0.2">
      <c r="AQ10660" s="31"/>
    </row>
    <row r="10661" spans="43:43" x14ac:dyDescent="0.2">
      <c r="AQ10661" s="31"/>
    </row>
    <row r="10662" spans="43:43" x14ac:dyDescent="0.2">
      <c r="AQ10662" s="31"/>
    </row>
    <row r="10663" spans="43:43" x14ac:dyDescent="0.2">
      <c r="AQ10663" s="31"/>
    </row>
    <row r="10664" spans="43:43" x14ac:dyDescent="0.2">
      <c r="AQ10664" s="31"/>
    </row>
    <row r="10665" spans="43:43" x14ac:dyDescent="0.2">
      <c r="AQ10665" s="31"/>
    </row>
    <row r="10666" spans="43:43" x14ac:dyDescent="0.2">
      <c r="AQ10666" s="31"/>
    </row>
    <row r="10667" spans="43:43" x14ac:dyDescent="0.2">
      <c r="AQ10667" s="31"/>
    </row>
    <row r="10668" spans="43:43" x14ac:dyDescent="0.2">
      <c r="AQ10668" s="31"/>
    </row>
    <row r="10669" spans="43:43" x14ac:dyDescent="0.2">
      <c r="AQ10669" s="31"/>
    </row>
    <row r="10670" spans="43:43" x14ac:dyDescent="0.2">
      <c r="AQ10670" s="31"/>
    </row>
    <row r="10671" spans="43:43" x14ac:dyDescent="0.2">
      <c r="AQ10671" s="31"/>
    </row>
    <row r="10672" spans="43:43" x14ac:dyDescent="0.2">
      <c r="AQ10672" s="31"/>
    </row>
    <row r="10673" spans="43:43" x14ac:dyDescent="0.2">
      <c r="AQ10673" s="31"/>
    </row>
    <row r="10674" spans="43:43" x14ac:dyDescent="0.2">
      <c r="AQ10674" s="31"/>
    </row>
    <row r="10675" spans="43:43" x14ac:dyDescent="0.2">
      <c r="AQ10675" s="31"/>
    </row>
    <row r="10676" spans="43:43" x14ac:dyDescent="0.2">
      <c r="AQ10676" s="31"/>
    </row>
    <row r="10677" spans="43:43" x14ac:dyDescent="0.2">
      <c r="AQ10677" s="31"/>
    </row>
    <row r="10678" spans="43:43" x14ac:dyDescent="0.2">
      <c r="AQ10678" s="31"/>
    </row>
    <row r="10679" spans="43:43" x14ac:dyDescent="0.2">
      <c r="AQ10679" s="31"/>
    </row>
    <row r="10680" spans="43:43" x14ac:dyDescent="0.2">
      <c r="AQ10680" s="31"/>
    </row>
    <row r="10681" spans="43:43" x14ac:dyDescent="0.2">
      <c r="AQ10681" s="31"/>
    </row>
    <row r="10682" spans="43:43" x14ac:dyDescent="0.2">
      <c r="AQ10682" s="31"/>
    </row>
    <row r="10683" spans="43:43" x14ac:dyDescent="0.2">
      <c r="AQ10683" s="31"/>
    </row>
    <row r="10684" spans="43:43" x14ac:dyDescent="0.2">
      <c r="AQ10684" s="31"/>
    </row>
    <row r="10685" spans="43:43" x14ac:dyDescent="0.2">
      <c r="AQ10685" s="31"/>
    </row>
    <row r="10686" spans="43:43" x14ac:dyDescent="0.2">
      <c r="AQ10686" s="31"/>
    </row>
    <row r="10687" spans="43:43" x14ac:dyDescent="0.2">
      <c r="AQ10687" s="31"/>
    </row>
    <row r="10688" spans="43:43" x14ac:dyDescent="0.2">
      <c r="AQ10688" s="31"/>
    </row>
    <row r="10689" spans="43:43" x14ac:dyDescent="0.2">
      <c r="AQ10689" s="31"/>
    </row>
    <row r="10690" spans="43:43" x14ac:dyDescent="0.2">
      <c r="AQ10690" s="31"/>
    </row>
    <row r="10691" spans="43:43" x14ac:dyDescent="0.2">
      <c r="AQ10691" s="31"/>
    </row>
    <row r="10692" spans="43:43" x14ac:dyDescent="0.2">
      <c r="AQ10692" s="31"/>
    </row>
    <row r="10693" spans="43:43" x14ac:dyDescent="0.2">
      <c r="AQ10693" s="31"/>
    </row>
    <row r="10694" spans="43:43" x14ac:dyDescent="0.2">
      <c r="AQ10694" s="31"/>
    </row>
    <row r="10695" spans="43:43" x14ac:dyDescent="0.2">
      <c r="AQ10695" s="31"/>
    </row>
    <row r="10696" spans="43:43" x14ac:dyDescent="0.2">
      <c r="AQ10696" s="31"/>
    </row>
    <row r="10697" spans="43:43" x14ac:dyDescent="0.2">
      <c r="AQ10697" s="31"/>
    </row>
    <row r="10698" spans="43:43" x14ac:dyDescent="0.2">
      <c r="AQ10698" s="31"/>
    </row>
    <row r="10699" spans="43:43" x14ac:dyDescent="0.2">
      <c r="AQ10699" s="31"/>
    </row>
    <row r="10700" spans="43:43" x14ac:dyDescent="0.2">
      <c r="AQ10700" s="31"/>
    </row>
    <row r="10701" spans="43:43" x14ac:dyDescent="0.2">
      <c r="AQ10701" s="31"/>
    </row>
    <row r="10702" spans="43:43" x14ac:dyDescent="0.2">
      <c r="AQ10702" s="31"/>
    </row>
    <row r="10703" spans="43:43" x14ac:dyDescent="0.2">
      <c r="AQ10703" s="31"/>
    </row>
    <row r="10704" spans="43:43" x14ac:dyDescent="0.2">
      <c r="AQ10704" s="31"/>
    </row>
    <row r="10705" spans="43:43" x14ac:dyDescent="0.2">
      <c r="AQ10705" s="31"/>
    </row>
    <row r="10706" spans="43:43" x14ac:dyDescent="0.2">
      <c r="AQ10706" s="31"/>
    </row>
    <row r="10707" spans="43:43" x14ac:dyDescent="0.2">
      <c r="AQ10707" s="31"/>
    </row>
    <row r="10708" spans="43:43" x14ac:dyDescent="0.2">
      <c r="AQ10708" s="31"/>
    </row>
    <row r="10709" spans="43:43" x14ac:dyDescent="0.2">
      <c r="AQ10709" s="31"/>
    </row>
    <row r="10710" spans="43:43" x14ac:dyDescent="0.2">
      <c r="AQ10710" s="31"/>
    </row>
    <row r="10711" spans="43:43" x14ac:dyDescent="0.2">
      <c r="AQ10711" s="31"/>
    </row>
    <row r="10712" spans="43:43" x14ac:dyDescent="0.2">
      <c r="AQ10712" s="31"/>
    </row>
    <row r="10713" spans="43:43" x14ac:dyDescent="0.2">
      <c r="AQ10713" s="31"/>
    </row>
    <row r="10714" spans="43:43" x14ac:dyDescent="0.2">
      <c r="AQ10714" s="31"/>
    </row>
    <row r="10715" spans="43:43" x14ac:dyDescent="0.2">
      <c r="AQ10715" s="31"/>
    </row>
    <row r="10716" spans="43:43" x14ac:dyDescent="0.2">
      <c r="AQ10716" s="31"/>
    </row>
    <row r="10717" spans="43:43" x14ac:dyDescent="0.2">
      <c r="AQ10717" s="31"/>
    </row>
    <row r="10718" spans="43:43" x14ac:dyDescent="0.2">
      <c r="AQ10718" s="31"/>
    </row>
    <row r="10719" spans="43:43" x14ac:dyDescent="0.2">
      <c r="AQ10719" s="31"/>
    </row>
    <row r="10720" spans="43:43" x14ac:dyDescent="0.2">
      <c r="AQ10720" s="31"/>
    </row>
    <row r="10721" spans="43:43" x14ac:dyDescent="0.2">
      <c r="AQ10721" s="31"/>
    </row>
    <row r="10722" spans="43:43" x14ac:dyDescent="0.2">
      <c r="AQ10722" s="31"/>
    </row>
    <row r="10723" spans="43:43" x14ac:dyDescent="0.2">
      <c r="AQ10723" s="31"/>
    </row>
    <row r="10724" spans="43:43" x14ac:dyDescent="0.2">
      <c r="AQ10724" s="31"/>
    </row>
    <row r="10725" spans="43:43" x14ac:dyDescent="0.2">
      <c r="AQ10725" s="31"/>
    </row>
    <row r="10726" spans="43:43" x14ac:dyDescent="0.2">
      <c r="AQ10726" s="31"/>
    </row>
    <row r="10727" spans="43:43" x14ac:dyDescent="0.2">
      <c r="AQ10727" s="31"/>
    </row>
    <row r="10728" spans="43:43" x14ac:dyDescent="0.2">
      <c r="AQ10728" s="31"/>
    </row>
    <row r="10729" spans="43:43" x14ac:dyDescent="0.2">
      <c r="AQ10729" s="31"/>
    </row>
    <row r="10730" spans="43:43" x14ac:dyDescent="0.2">
      <c r="AQ10730" s="31"/>
    </row>
    <row r="10731" spans="43:43" x14ac:dyDescent="0.2">
      <c r="AQ10731" s="31"/>
    </row>
    <row r="10732" spans="43:43" x14ac:dyDescent="0.2">
      <c r="AQ10732" s="31"/>
    </row>
    <row r="10733" spans="43:43" x14ac:dyDescent="0.2">
      <c r="AQ10733" s="31"/>
    </row>
    <row r="10734" spans="43:43" x14ac:dyDescent="0.2">
      <c r="AQ10734" s="31"/>
    </row>
    <row r="10735" spans="43:43" x14ac:dyDescent="0.2">
      <c r="AQ10735" s="31"/>
    </row>
    <row r="10736" spans="43:43" x14ac:dyDescent="0.2">
      <c r="AQ10736" s="31"/>
    </row>
    <row r="10737" spans="43:43" x14ac:dyDescent="0.2">
      <c r="AQ10737" s="31"/>
    </row>
    <row r="10738" spans="43:43" x14ac:dyDescent="0.2">
      <c r="AQ10738" s="31"/>
    </row>
    <row r="10739" spans="43:43" x14ac:dyDescent="0.2">
      <c r="AQ10739" s="31"/>
    </row>
    <row r="10740" spans="43:43" x14ac:dyDescent="0.2">
      <c r="AQ10740" s="31"/>
    </row>
    <row r="10741" spans="43:43" x14ac:dyDescent="0.2">
      <c r="AQ10741" s="31"/>
    </row>
    <row r="10742" spans="43:43" x14ac:dyDescent="0.2">
      <c r="AQ10742" s="31"/>
    </row>
    <row r="10743" spans="43:43" x14ac:dyDescent="0.2">
      <c r="AQ10743" s="31"/>
    </row>
    <row r="10744" spans="43:43" x14ac:dyDescent="0.2">
      <c r="AQ10744" s="31"/>
    </row>
    <row r="10745" spans="43:43" x14ac:dyDescent="0.2">
      <c r="AQ10745" s="31"/>
    </row>
    <row r="10746" spans="43:43" x14ac:dyDescent="0.2">
      <c r="AQ10746" s="31"/>
    </row>
    <row r="10747" spans="43:43" x14ac:dyDescent="0.2">
      <c r="AQ10747" s="31"/>
    </row>
    <row r="10748" spans="43:43" x14ac:dyDescent="0.2">
      <c r="AQ10748" s="31"/>
    </row>
    <row r="10749" spans="43:43" x14ac:dyDescent="0.2">
      <c r="AQ10749" s="31"/>
    </row>
    <row r="10750" spans="43:43" x14ac:dyDescent="0.2">
      <c r="AQ10750" s="31"/>
    </row>
    <row r="10751" spans="43:43" x14ac:dyDescent="0.2">
      <c r="AQ10751" s="31"/>
    </row>
    <row r="10752" spans="43:43" x14ac:dyDescent="0.2">
      <c r="AQ10752" s="31"/>
    </row>
    <row r="10753" spans="43:43" x14ac:dyDescent="0.2">
      <c r="AQ10753" s="31"/>
    </row>
    <row r="10754" spans="43:43" x14ac:dyDescent="0.2">
      <c r="AQ10754" s="31"/>
    </row>
    <row r="10755" spans="43:43" x14ac:dyDescent="0.2">
      <c r="AQ10755" s="31"/>
    </row>
    <row r="10756" spans="43:43" x14ac:dyDescent="0.2">
      <c r="AQ10756" s="31"/>
    </row>
    <row r="10757" spans="43:43" x14ac:dyDescent="0.2">
      <c r="AQ10757" s="31"/>
    </row>
    <row r="10758" spans="43:43" x14ac:dyDescent="0.2">
      <c r="AQ10758" s="31"/>
    </row>
    <row r="10759" spans="43:43" x14ac:dyDescent="0.2">
      <c r="AQ10759" s="31"/>
    </row>
    <row r="10760" spans="43:43" x14ac:dyDescent="0.2">
      <c r="AQ10760" s="31"/>
    </row>
    <row r="10761" spans="43:43" x14ac:dyDescent="0.2">
      <c r="AQ10761" s="31"/>
    </row>
    <row r="10762" spans="43:43" x14ac:dyDescent="0.2">
      <c r="AQ10762" s="31"/>
    </row>
    <row r="10763" spans="43:43" x14ac:dyDescent="0.2">
      <c r="AQ10763" s="31"/>
    </row>
    <row r="10764" spans="43:43" x14ac:dyDescent="0.2">
      <c r="AQ10764" s="31"/>
    </row>
    <row r="10765" spans="43:43" x14ac:dyDescent="0.2">
      <c r="AQ10765" s="31"/>
    </row>
    <row r="10766" spans="43:43" x14ac:dyDescent="0.2">
      <c r="AQ10766" s="31"/>
    </row>
    <row r="10767" spans="43:43" x14ac:dyDescent="0.2">
      <c r="AQ10767" s="31"/>
    </row>
    <row r="10768" spans="43:43" x14ac:dyDescent="0.2">
      <c r="AQ10768" s="31"/>
    </row>
    <row r="10769" spans="43:43" x14ac:dyDescent="0.2">
      <c r="AQ10769" s="31"/>
    </row>
    <row r="10770" spans="43:43" x14ac:dyDescent="0.2">
      <c r="AQ10770" s="31"/>
    </row>
    <row r="10771" spans="43:43" x14ac:dyDescent="0.2">
      <c r="AQ10771" s="31"/>
    </row>
    <row r="10772" spans="43:43" x14ac:dyDescent="0.2">
      <c r="AQ10772" s="31"/>
    </row>
    <row r="10773" spans="43:43" x14ac:dyDescent="0.2">
      <c r="AQ10773" s="31"/>
    </row>
    <row r="10774" spans="43:43" x14ac:dyDescent="0.2">
      <c r="AQ10774" s="31"/>
    </row>
    <row r="10775" spans="43:43" x14ac:dyDescent="0.2">
      <c r="AQ10775" s="31"/>
    </row>
    <row r="10776" spans="43:43" x14ac:dyDescent="0.2">
      <c r="AQ10776" s="31"/>
    </row>
    <row r="10777" spans="43:43" x14ac:dyDescent="0.2">
      <c r="AQ10777" s="31"/>
    </row>
    <row r="10778" spans="43:43" x14ac:dyDescent="0.2">
      <c r="AQ10778" s="31"/>
    </row>
    <row r="10779" spans="43:43" x14ac:dyDescent="0.2">
      <c r="AQ10779" s="31"/>
    </row>
    <row r="10780" spans="43:43" x14ac:dyDescent="0.2">
      <c r="AQ10780" s="31"/>
    </row>
    <row r="10781" spans="43:43" x14ac:dyDescent="0.2">
      <c r="AQ10781" s="31"/>
    </row>
    <row r="10782" spans="43:43" x14ac:dyDescent="0.2">
      <c r="AQ10782" s="31"/>
    </row>
    <row r="10783" spans="43:43" x14ac:dyDescent="0.2">
      <c r="AQ10783" s="31"/>
    </row>
    <row r="10784" spans="43:43" x14ac:dyDescent="0.2">
      <c r="AQ10784" s="31"/>
    </row>
    <row r="10785" spans="43:43" x14ac:dyDescent="0.2">
      <c r="AQ10785" s="31"/>
    </row>
    <row r="10786" spans="43:43" x14ac:dyDescent="0.2">
      <c r="AQ10786" s="31"/>
    </row>
    <row r="10787" spans="43:43" x14ac:dyDescent="0.2">
      <c r="AQ10787" s="31"/>
    </row>
    <row r="10788" spans="43:43" x14ac:dyDescent="0.2">
      <c r="AQ10788" s="31"/>
    </row>
    <row r="10789" spans="43:43" x14ac:dyDescent="0.2">
      <c r="AQ10789" s="31"/>
    </row>
    <row r="10790" spans="43:43" x14ac:dyDescent="0.2">
      <c r="AQ10790" s="31"/>
    </row>
    <row r="10791" spans="43:43" x14ac:dyDescent="0.2">
      <c r="AQ10791" s="31"/>
    </row>
    <row r="10792" spans="43:43" x14ac:dyDescent="0.2">
      <c r="AQ10792" s="31"/>
    </row>
    <row r="10793" spans="43:43" x14ac:dyDescent="0.2">
      <c r="AQ10793" s="31"/>
    </row>
    <row r="10794" spans="43:43" x14ac:dyDescent="0.2">
      <c r="AQ10794" s="31"/>
    </row>
    <row r="10795" spans="43:43" x14ac:dyDescent="0.2">
      <c r="AQ10795" s="31"/>
    </row>
    <row r="10796" spans="43:43" x14ac:dyDescent="0.2">
      <c r="AQ10796" s="31"/>
    </row>
    <row r="10797" spans="43:43" x14ac:dyDescent="0.2">
      <c r="AQ10797" s="31"/>
    </row>
    <row r="10798" spans="43:43" x14ac:dyDescent="0.2">
      <c r="AQ10798" s="31"/>
    </row>
    <row r="10799" spans="43:43" x14ac:dyDescent="0.2">
      <c r="AQ10799" s="31"/>
    </row>
    <row r="10800" spans="43:43" x14ac:dyDescent="0.2">
      <c r="AQ10800" s="31"/>
    </row>
    <row r="10801" spans="43:43" x14ac:dyDescent="0.2">
      <c r="AQ10801" s="31"/>
    </row>
    <row r="10802" spans="43:43" x14ac:dyDescent="0.2">
      <c r="AQ10802" s="31"/>
    </row>
    <row r="10803" spans="43:43" x14ac:dyDescent="0.2">
      <c r="AQ10803" s="31"/>
    </row>
    <row r="10804" spans="43:43" x14ac:dyDescent="0.2">
      <c r="AQ10804" s="31"/>
    </row>
    <row r="10805" spans="43:43" x14ac:dyDescent="0.2">
      <c r="AQ10805" s="31"/>
    </row>
    <row r="10806" spans="43:43" x14ac:dyDescent="0.2">
      <c r="AQ10806" s="31"/>
    </row>
    <row r="10807" spans="43:43" x14ac:dyDescent="0.2">
      <c r="AQ10807" s="31"/>
    </row>
    <row r="10808" spans="43:43" x14ac:dyDescent="0.2">
      <c r="AQ10808" s="31"/>
    </row>
    <row r="10809" spans="43:43" x14ac:dyDescent="0.2">
      <c r="AQ10809" s="31"/>
    </row>
    <row r="10810" spans="43:43" x14ac:dyDescent="0.2">
      <c r="AQ10810" s="31"/>
    </row>
    <row r="10811" spans="43:43" x14ac:dyDescent="0.2">
      <c r="AQ10811" s="31"/>
    </row>
    <row r="10812" spans="43:43" x14ac:dyDescent="0.2">
      <c r="AQ10812" s="31"/>
    </row>
    <row r="10813" spans="43:43" x14ac:dyDescent="0.2">
      <c r="AQ10813" s="31"/>
    </row>
    <row r="10814" spans="43:43" x14ac:dyDescent="0.2">
      <c r="AQ10814" s="31"/>
    </row>
    <row r="10815" spans="43:43" x14ac:dyDescent="0.2">
      <c r="AQ10815" s="31"/>
    </row>
    <row r="10816" spans="43:43" x14ac:dyDescent="0.2">
      <c r="AQ10816" s="31"/>
    </row>
    <row r="10817" spans="43:43" x14ac:dyDescent="0.2">
      <c r="AQ10817" s="31"/>
    </row>
    <row r="10818" spans="43:43" x14ac:dyDescent="0.2">
      <c r="AQ10818" s="31"/>
    </row>
    <row r="10819" spans="43:43" x14ac:dyDescent="0.2">
      <c r="AQ10819" s="31"/>
    </row>
    <row r="10820" spans="43:43" x14ac:dyDescent="0.2">
      <c r="AQ10820" s="31"/>
    </row>
    <row r="10821" spans="43:43" x14ac:dyDescent="0.2">
      <c r="AQ10821" s="31"/>
    </row>
    <row r="10822" spans="43:43" x14ac:dyDescent="0.2">
      <c r="AQ10822" s="31"/>
    </row>
    <row r="10823" spans="43:43" x14ac:dyDescent="0.2">
      <c r="AQ10823" s="31"/>
    </row>
    <row r="10824" spans="43:43" x14ac:dyDescent="0.2">
      <c r="AQ10824" s="31"/>
    </row>
    <row r="10825" spans="43:43" x14ac:dyDescent="0.2">
      <c r="AQ10825" s="31"/>
    </row>
    <row r="10826" spans="43:43" x14ac:dyDescent="0.2">
      <c r="AQ10826" s="31"/>
    </row>
    <row r="10827" spans="43:43" x14ac:dyDescent="0.2">
      <c r="AQ10827" s="31"/>
    </row>
    <row r="10828" spans="43:43" x14ac:dyDescent="0.2">
      <c r="AQ10828" s="31"/>
    </row>
    <row r="10829" spans="43:43" x14ac:dyDescent="0.2">
      <c r="AQ10829" s="31"/>
    </row>
    <row r="10830" spans="43:43" x14ac:dyDescent="0.2">
      <c r="AQ10830" s="31"/>
    </row>
    <row r="10831" spans="43:43" x14ac:dyDescent="0.2">
      <c r="AQ10831" s="31"/>
    </row>
    <row r="10832" spans="43:43" x14ac:dyDescent="0.2">
      <c r="AQ10832" s="31"/>
    </row>
    <row r="10833" spans="43:43" x14ac:dyDescent="0.2">
      <c r="AQ10833" s="31"/>
    </row>
    <row r="10834" spans="43:43" x14ac:dyDescent="0.2">
      <c r="AQ10834" s="31"/>
    </row>
    <row r="10835" spans="43:43" x14ac:dyDescent="0.2">
      <c r="AQ10835" s="31"/>
    </row>
    <row r="10836" spans="43:43" x14ac:dyDescent="0.2">
      <c r="AQ10836" s="31"/>
    </row>
    <row r="10837" spans="43:43" x14ac:dyDescent="0.2">
      <c r="AQ10837" s="31"/>
    </row>
    <row r="10838" spans="43:43" x14ac:dyDescent="0.2">
      <c r="AQ10838" s="31"/>
    </row>
    <row r="10839" spans="43:43" x14ac:dyDescent="0.2">
      <c r="AQ10839" s="31"/>
    </row>
    <row r="10840" spans="43:43" x14ac:dyDescent="0.2">
      <c r="AQ10840" s="31"/>
    </row>
    <row r="10841" spans="43:43" x14ac:dyDescent="0.2">
      <c r="AQ10841" s="31"/>
    </row>
    <row r="10842" spans="43:43" x14ac:dyDescent="0.2">
      <c r="AQ10842" s="31"/>
    </row>
    <row r="10843" spans="43:43" x14ac:dyDescent="0.2">
      <c r="AQ10843" s="31"/>
    </row>
    <row r="10844" spans="43:43" x14ac:dyDescent="0.2">
      <c r="AQ10844" s="31"/>
    </row>
    <row r="10845" spans="43:43" x14ac:dyDescent="0.2">
      <c r="AQ10845" s="31"/>
    </row>
    <row r="10846" spans="43:43" x14ac:dyDescent="0.2">
      <c r="AQ10846" s="31"/>
    </row>
    <row r="10847" spans="43:43" x14ac:dyDescent="0.2">
      <c r="AQ10847" s="31"/>
    </row>
    <row r="10848" spans="43:43" x14ac:dyDescent="0.2">
      <c r="AQ10848" s="31"/>
    </row>
    <row r="10849" spans="43:43" x14ac:dyDescent="0.2">
      <c r="AQ10849" s="31"/>
    </row>
    <row r="10850" spans="43:43" x14ac:dyDescent="0.2">
      <c r="AQ10850" s="31"/>
    </row>
    <row r="10851" spans="43:43" x14ac:dyDescent="0.2">
      <c r="AQ10851" s="31"/>
    </row>
    <row r="10852" spans="43:43" x14ac:dyDescent="0.2">
      <c r="AQ10852" s="31"/>
    </row>
    <row r="10853" spans="43:43" x14ac:dyDescent="0.2">
      <c r="AQ10853" s="31"/>
    </row>
    <row r="10854" spans="43:43" x14ac:dyDescent="0.2">
      <c r="AQ10854" s="31"/>
    </row>
    <row r="10855" spans="43:43" x14ac:dyDescent="0.2">
      <c r="AQ10855" s="31"/>
    </row>
    <row r="10856" spans="43:43" x14ac:dyDescent="0.2">
      <c r="AQ10856" s="31"/>
    </row>
    <row r="10857" spans="43:43" x14ac:dyDescent="0.2">
      <c r="AQ10857" s="31"/>
    </row>
    <row r="10858" spans="43:43" x14ac:dyDescent="0.2">
      <c r="AQ10858" s="31"/>
    </row>
    <row r="10859" spans="43:43" x14ac:dyDescent="0.2">
      <c r="AQ10859" s="31"/>
    </row>
    <row r="10860" spans="43:43" x14ac:dyDescent="0.2">
      <c r="AQ10860" s="31"/>
    </row>
    <row r="10861" spans="43:43" x14ac:dyDescent="0.2">
      <c r="AQ10861" s="31"/>
    </row>
    <row r="10862" spans="43:43" x14ac:dyDescent="0.2">
      <c r="AQ10862" s="31"/>
    </row>
    <row r="10863" spans="43:43" x14ac:dyDescent="0.2">
      <c r="AQ10863" s="31"/>
    </row>
    <row r="10864" spans="43:43" x14ac:dyDescent="0.2">
      <c r="AQ10864" s="31"/>
    </row>
    <row r="10865" spans="43:43" x14ac:dyDescent="0.2">
      <c r="AQ10865" s="31"/>
    </row>
    <row r="10866" spans="43:43" x14ac:dyDescent="0.2">
      <c r="AQ10866" s="31"/>
    </row>
    <row r="10867" spans="43:43" x14ac:dyDescent="0.2">
      <c r="AQ10867" s="31"/>
    </row>
    <row r="10868" spans="43:43" x14ac:dyDescent="0.2">
      <c r="AQ10868" s="31"/>
    </row>
    <row r="10869" spans="43:43" x14ac:dyDescent="0.2">
      <c r="AQ10869" s="31"/>
    </row>
    <row r="10870" spans="43:43" x14ac:dyDescent="0.2">
      <c r="AQ10870" s="31"/>
    </row>
    <row r="10871" spans="43:43" x14ac:dyDescent="0.2">
      <c r="AQ10871" s="31"/>
    </row>
    <row r="10872" spans="43:43" x14ac:dyDescent="0.2">
      <c r="AQ10872" s="31"/>
    </row>
    <row r="10873" spans="43:43" x14ac:dyDescent="0.2">
      <c r="AQ10873" s="31"/>
    </row>
    <row r="10874" spans="43:43" x14ac:dyDescent="0.2">
      <c r="AQ10874" s="31"/>
    </row>
    <row r="10875" spans="43:43" x14ac:dyDescent="0.2">
      <c r="AQ10875" s="31"/>
    </row>
    <row r="10876" spans="43:43" x14ac:dyDescent="0.2">
      <c r="AQ10876" s="31"/>
    </row>
    <row r="10877" spans="43:43" x14ac:dyDescent="0.2">
      <c r="AQ10877" s="31"/>
    </row>
    <row r="10878" spans="43:43" x14ac:dyDescent="0.2">
      <c r="AQ10878" s="31"/>
    </row>
    <row r="10879" spans="43:43" x14ac:dyDescent="0.2">
      <c r="AQ10879" s="31"/>
    </row>
    <row r="10880" spans="43:43" x14ac:dyDescent="0.2">
      <c r="AQ10880" s="31"/>
    </row>
    <row r="10881" spans="43:43" x14ac:dyDescent="0.2">
      <c r="AQ10881" s="31"/>
    </row>
    <row r="10882" spans="43:43" x14ac:dyDescent="0.2">
      <c r="AQ10882" s="31"/>
    </row>
    <row r="10883" spans="43:43" x14ac:dyDescent="0.2">
      <c r="AQ10883" s="31"/>
    </row>
    <row r="10884" spans="43:43" x14ac:dyDescent="0.2">
      <c r="AQ10884" s="31"/>
    </row>
    <row r="10885" spans="43:43" x14ac:dyDescent="0.2">
      <c r="AQ10885" s="31"/>
    </row>
    <row r="10886" spans="43:43" x14ac:dyDescent="0.2">
      <c r="AQ10886" s="31"/>
    </row>
    <row r="10887" spans="43:43" x14ac:dyDescent="0.2">
      <c r="AQ10887" s="31"/>
    </row>
    <row r="10888" spans="43:43" x14ac:dyDescent="0.2">
      <c r="AQ10888" s="31"/>
    </row>
    <row r="10889" spans="43:43" x14ac:dyDescent="0.2">
      <c r="AQ10889" s="31"/>
    </row>
    <row r="10890" spans="43:43" x14ac:dyDescent="0.2">
      <c r="AQ10890" s="31"/>
    </row>
    <row r="10891" spans="43:43" x14ac:dyDescent="0.2">
      <c r="AQ10891" s="31"/>
    </row>
    <row r="10892" spans="43:43" x14ac:dyDescent="0.2">
      <c r="AQ10892" s="31"/>
    </row>
    <row r="10893" spans="43:43" x14ac:dyDescent="0.2">
      <c r="AQ10893" s="31"/>
    </row>
    <row r="10894" spans="43:43" x14ac:dyDescent="0.2">
      <c r="AQ10894" s="31"/>
    </row>
    <row r="10895" spans="43:43" x14ac:dyDescent="0.2">
      <c r="AQ10895" s="31"/>
    </row>
    <row r="10896" spans="43:43" x14ac:dyDescent="0.2">
      <c r="AQ10896" s="31"/>
    </row>
    <row r="10897" spans="43:43" x14ac:dyDescent="0.2">
      <c r="AQ10897" s="31"/>
    </row>
    <row r="10898" spans="43:43" x14ac:dyDescent="0.2">
      <c r="AQ10898" s="31"/>
    </row>
    <row r="10899" spans="43:43" x14ac:dyDescent="0.2">
      <c r="AQ10899" s="31"/>
    </row>
    <row r="10900" spans="43:43" x14ac:dyDescent="0.2">
      <c r="AQ10900" s="31"/>
    </row>
    <row r="10901" spans="43:43" x14ac:dyDescent="0.2">
      <c r="AQ10901" s="31"/>
    </row>
    <row r="10902" spans="43:43" x14ac:dyDescent="0.2">
      <c r="AQ10902" s="31"/>
    </row>
    <row r="10903" spans="43:43" x14ac:dyDescent="0.2">
      <c r="AQ10903" s="31"/>
    </row>
    <row r="10904" spans="43:43" x14ac:dyDescent="0.2">
      <c r="AQ10904" s="31"/>
    </row>
    <row r="10905" spans="43:43" x14ac:dyDescent="0.2">
      <c r="AQ10905" s="31"/>
    </row>
    <row r="10906" spans="43:43" x14ac:dyDescent="0.2">
      <c r="AQ10906" s="31"/>
    </row>
    <row r="10907" spans="43:43" x14ac:dyDescent="0.2">
      <c r="AQ10907" s="31"/>
    </row>
    <row r="10908" spans="43:43" x14ac:dyDescent="0.2">
      <c r="AQ10908" s="31"/>
    </row>
    <row r="10909" spans="43:43" x14ac:dyDescent="0.2">
      <c r="AQ10909" s="31"/>
    </row>
    <row r="10910" spans="43:43" x14ac:dyDescent="0.2">
      <c r="AQ10910" s="31"/>
    </row>
    <row r="10911" spans="43:43" x14ac:dyDescent="0.2">
      <c r="AQ10911" s="31"/>
    </row>
    <row r="10912" spans="43:43" x14ac:dyDescent="0.2">
      <c r="AQ10912" s="31"/>
    </row>
    <row r="10913" spans="43:43" x14ac:dyDescent="0.2">
      <c r="AQ10913" s="31"/>
    </row>
    <row r="10914" spans="43:43" x14ac:dyDescent="0.2">
      <c r="AQ10914" s="31"/>
    </row>
    <row r="10915" spans="43:43" x14ac:dyDescent="0.2">
      <c r="AQ10915" s="31"/>
    </row>
    <row r="10916" spans="43:43" x14ac:dyDescent="0.2">
      <c r="AQ10916" s="31"/>
    </row>
    <row r="10917" spans="43:43" x14ac:dyDescent="0.2">
      <c r="AQ10917" s="31"/>
    </row>
    <row r="10918" spans="43:43" x14ac:dyDescent="0.2">
      <c r="AQ10918" s="31"/>
    </row>
    <row r="10919" spans="43:43" x14ac:dyDescent="0.2">
      <c r="AQ10919" s="31"/>
    </row>
    <row r="10920" spans="43:43" x14ac:dyDescent="0.2">
      <c r="AQ10920" s="31"/>
    </row>
    <row r="10921" spans="43:43" x14ac:dyDescent="0.2">
      <c r="AQ10921" s="31"/>
    </row>
    <row r="10922" spans="43:43" x14ac:dyDescent="0.2">
      <c r="AQ10922" s="31"/>
    </row>
    <row r="10923" spans="43:43" x14ac:dyDescent="0.2">
      <c r="AQ10923" s="31"/>
    </row>
    <row r="10924" spans="43:43" x14ac:dyDescent="0.2">
      <c r="AQ10924" s="31"/>
    </row>
    <row r="10925" spans="43:43" x14ac:dyDescent="0.2">
      <c r="AQ10925" s="31"/>
    </row>
    <row r="10926" spans="43:43" x14ac:dyDescent="0.2">
      <c r="AQ10926" s="31"/>
    </row>
    <row r="10927" spans="43:43" x14ac:dyDescent="0.2">
      <c r="AQ10927" s="31"/>
    </row>
    <row r="10928" spans="43:43" x14ac:dyDescent="0.2">
      <c r="AQ10928" s="31"/>
    </row>
    <row r="10929" spans="43:43" x14ac:dyDescent="0.2">
      <c r="AQ10929" s="31"/>
    </row>
    <row r="10930" spans="43:43" x14ac:dyDescent="0.2">
      <c r="AQ10930" s="31"/>
    </row>
    <row r="10931" spans="43:43" x14ac:dyDescent="0.2">
      <c r="AQ10931" s="31"/>
    </row>
    <row r="10932" spans="43:43" x14ac:dyDescent="0.2">
      <c r="AQ10932" s="31"/>
    </row>
    <row r="10933" spans="43:43" x14ac:dyDescent="0.2">
      <c r="AQ10933" s="31"/>
    </row>
    <row r="10934" spans="43:43" x14ac:dyDescent="0.2">
      <c r="AQ10934" s="31"/>
    </row>
    <row r="10935" spans="43:43" x14ac:dyDescent="0.2">
      <c r="AQ10935" s="31"/>
    </row>
    <row r="10936" spans="43:43" x14ac:dyDescent="0.2">
      <c r="AQ10936" s="31"/>
    </row>
    <row r="10937" spans="43:43" x14ac:dyDescent="0.2">
      <c r="AQ10937" s="31"/>
    </row>
    <row r="10938" spans="43:43" x14ac:dyDescent="0.2">
      <c r="AQ10938" s="31"/>
    </row>
    <row r="10939" spans="43:43" x14ac:dyDescent="0.2">
      <c r="AQ10939" s="31"/>
    </row>
    <row r="10940" spans="43:43" x14ac:dyDescent="0.2">
      <c r="AQ10940" s="31"/>
    </row>
    <row r="10941" spans="43:43" x14ac:dyDescent="0.2">
      <c r="AQ10941" s="31"/>
    </row>
    <row r="10942" spans="43:43" x14ac:dyDescent="0.2">
      <c r="AQ10942" s="31"/>
    </row>
    <row r="10943" spans="43:43" x14ac:dyDescent="0.2">
      <c r="AQ10943" s="31"/>
    </row>
    <row r="10944" spans="43:43" x14ac:dyDescent="0.2">
      <c r="AQ10944" s="31"/>
    </row>
    <row r="10945" spans="43:43" x14ac:dyDescent="0.2">
      <c r="AQ10945" s="31"/>
    </row>
    <row r="10946" spans="43:43" x14ac:dyDescent="0.2">
      <c r="AQ10946" s="31"/>
    </row>
    <row r="10947" spans="43:43" x14ac:dyDescent="0.2">
      <c r="AQ10947" s="31"/>
    </row>
    <row r="10948" spans="43:43" x14ac:dyDescent="0.2">
      <c r="AQ10948" s="31"/>
    </row>
    <row r="10949" spans="43:43" x14ac:dyDescent="0.2">
      <c r="AQ10949" s="31"/>
    </row>
    <row r="10950" spans="43:43" x14ac:dyDescent="0.2">
      <c r="AQ10950" s="31"/>
    </row>
    <row r="10951" spans="43:43" x14ac:dyDescent="0.2">
      <c r="AQ10951" s="31"/>
    </row>
    <row r="10952" spans="43:43" x14ac:dyDescent="0.2">
      <c r="AQ10952" s="31"/>
    </row>
    <row r="10953" spans="43:43" x14ac:dyDescent="0.2">
      <c r="AQ10953" s="31"/>
    </row>
    <row r="10954" spans="43:43" x14ac:dyDescent="0.2">
      <c r="AQ10954" s="31"/>
    </row>
    <row r="10955" spans="43:43" x14ac:dyDescent="0.2">
      <c r="AQ10955" s="31"/>
    </row>
    <row r="10956" spans="43:43" x14ac:dyDescent="0.2">
      <c r="AQ10956" s="31"/>
    </row>
    <row r="10957" spans="43:43" x14ac:dyDescent="0.2">
      <c r="AQ10957" s="31"/>
    </row>
    <row r="10958" spans="43:43" x14ac:dyDescent="0.2">
      <c r="AQ10958" s="31"/>
    </row>
    <row r="10959" spans="43:43" x14ac:dyDescent="0.2">
      <c r="AQ10959" s="31"/>
    </row>
    <row r="10960" spans="43:43" x14ac:dyDescent="0.2">
      <c r="AQ10960" s="31"/>
    </row>
    <row r="10961" spans="43:43" x14ac:dyDescent="0.2">
      <c r="AQ10961" s="31"/>
    </row>
    <row r="10962" spans="43:43" x14ac:dyDescent="0.2">
      <c r="AQ10962" s="31"/>
    </row>
    <row r="10963" spans="43:43" x14ac:dyDescent="0.2">
      <c r="AQ10963" s="31"/>
    </row>
    <row r="10964" spans="43:43" x14ac:dyDescent="0.2">
      <c r="AQ10964" s="31"/>
    </row>
    <row r="10965" spans="43:43" x14ac:dyDescent="0.2">
      <c r="AQ10965" s="31"/>
    </row>
    <row r="10966" spans="43:43" x14ac:dyDescent="0.2">
      <c r="AQ10966" s="31"/>
    </row>
    <row r="10967" spans="43:43" x14ac:dyDescent="0.2">
      <c r="AQ10967" s="31"/>
    </row>
    <row r="10968" spans="43:43" x14ac:dyDescent="0.2">
      <c r="AQ10968" s="31"/>
    </row>
    <row r="10969" spans="43:43" x14ac:dyDescent="0.2">
      <c r="AQ10969" s="31"/>
    </row>
    <row r="10970" spans="43:43" x14ac:dyDescent="0.2">
      <c r="AQ10970" s="31"/>
    </row>
    <row r="10971" spans="43:43" x14ac:dyDescent="0.2">
      <c r="AQ10971" s="31"/>
    </row>
    <row r="10972" spans="43:43" x14ac:dyDescent="0.2">
      <c r="AQ10972" s="31"/>
    </row>
    <row r="10973" spans="43:43" x14ac:dyDescent="0.2">
      <c r="AQ10973" s="31"/>
    </row>
    <row r="10974" spans="43:43" x14ac:dyDescent="0.2">
      <c r="AQ10974" s="31"/>
    </row>
    <row r="10975" spans="43:43" x14ac:dyDescent="0.2">
      <c r="AQ10975" s="31"/>
    </row>
    <row r="10976" spans="43:43" x14ac:dyDescent="0.2">
      <c r="AQ10976" s="31"/>
    </row>
    <row r="10977" spans="43:43" x14ac:dyDescent="0.2">
      <c r="AQ10977" s="31"/>
    </row>
    <row r="10978" spans="43:43" x14ac:dyDescent="0.2">
      <c r="AQ10978" s="31"/>
    </row>
    <row r="10979" spans="43:43" x14ac:dyDescent="0.2">
      <c r="AQ10979" s="31"/>
    </row>
    <row r="10980" spans="43:43" x14ac:dyDescent="0.2">
      <c r="AQ10980" s="31"/>
    </row>
    <row r="10981" spans="43:43" x14ac:dyDescent="0.2">
      <c r="AQ10981" s="31"/>
    </row>
    <row r="10982" spans="43:43" x14ac:dyDescent="0.2">
      <c r="AQ10982" s="31"/>
    </row>
    <row r="10983" spans="43:43" x14ac:dyDescent="0.2">
      <c r="AQ10983" s="31"/>
    </row>
    <row r="10984" spans="43:43" x14ac:dyDescent="0.2">
      <c r="AQ10984" s="31"/>
    </row>
    <row r="10985" spans="43:43" x14ac:dyDescent="0.2">
      <c r="AQ10985" s="31"/>
    </row>
    <row r="10986" spans="43:43" x14ac:dyDescent="0.2">
      <c r="AQ10986" s="31"/>
    </row>
    <row r="10987" spans="43:43" x14ac:dyDescent="0.2">
      <c r="AQ10987" s="31"/>
    </row>
    <row r="10988" spans="43:43" x14ac:dyDescent="0.2">
      <c r="AQ10988" s="31"/>
    </row>
    <row r="10989" spans="43:43" x14ac:dyDescent="0.2">
      <c r="AQ10989" s="31"/>
    </row>
    <row r="10990" spans="43:43" x14ac:dyDescent="0.2">
      <c r="AQ10990" s="31"/>
    </row>
    <row r="10991" spans="43:43" x14ac:dyDescent="0.2">
      <c r="AQ10991" s="31"/>
    </row>
    <row r="10992" spans="43:43" x14ac:dyDescent="0.2">
      <c r="AQ10992" s="31"/>
    </row>
    <row r="10993" spans="43:43" x14ac:dyDescent="0.2">
      <c r="AQ10993" s="31"/>
    </row>
    <row r="10994" spans="43:43" x14ac:dyDescent="0.2">
      <c r="AQ10994" s="31"/>
    </row>
    <row r="10995" spans="43:43" x14ac:dyDescent="0.2">
      <c r="AQ10995" s="31"/>
    </row>
    <row r="10996" spans="43:43" x14ac:dyDescent="0.2">
      <c r="AQ10996" s="31"/>
    </row>
    <row r="10997" spans="43:43" x14ac:dyDescent="0.2">
      <c r="AQ10997" s="31"/>
    </row>
    <row r="10998" spans="43:43" x14ac:dyDescent="0.2">
      <c r="AQ10998" s="31"/>
    </row>
    <row r="10999" spans="43:43" x14ac:dyDescent="0.2">
      <c r="AQ10999" s="31"/>
    </row>
    <row r="11000" spans="43:43" x14ac:dyDescent="0.2">
      <c r="AQ11000" s="31"/>
    </row>
    <row r="11001" spans="43:43" x14ac:dyDescent="0.2">
      <c r="AQ11001" s="31"/>
    </row>
    <row r="11002" spans="43:43" x14ac:dyDescent="0.2">
      <c r="AQ11002" s="31"/>
    </row>
    <row r="11003" spans="43:43" x14ac:dyDescent="0.2">
      <c r="AQ11003" s="31"/>
    </row>
    <row r="11004" spans="43:43" x14ac:dyDescent="0.2">
      <c r="AQ11004" s="31"/>
    </row>
    <row r="11005" spans="43:43" x14ac:dyDescent="0.2">
      <c r="AQ11005" s="31"/>
    </row>
    <row r="11006" spans="43:43" x14ac:dyDescent="0.2">
      <c r="AQ11006" s="31"/>
    </row>
    <row r="11007" spans="43:43" x14ac:dyDescent="0.2">
      <c r="AQ11007" s="31"/>
    </row>
    <row r="11008" spans="43:43" x14ac:dyDescent="0.2">
      <c r="AQ11008" s="31"/>
    </row>
    <row r="11009" spans="43:43" x14ac:dyDescent="0.2">
      <c r="AQ11009" s="31"/>
    </row>
    <row r="11010" spans="43:43" x14ac:dyDescent="0.2">
      <c r="AQ11010" s="31"/>
    </row>
    <row r="11011" spans="43:43" x14ac:dyDescent="0.2">
      <c r="AQ11011" s="31"/>
    </row>
    <row r="11012" spans="43:43" x14ac:dyDescent="0.2">
      <c r="AQ11012" s="31"/>
    </row>
    <row r="11013" spans="43:43" x14ac:dyDescent="0.2">
      <c r="AQ11013" s="31"/>
    </row>
    <row r="11014" spans="43:43" x14ac:dyDescent="0.2">
      <c r="AQ11014" s="31"/>
    </row>
    <row r="11015" spans="43:43" x14ac:dyDescent="0.2">
      <c r="AQ11015" s="31"/>
    </row>
    <row r="11016" spans="43:43" x14ac:dyDescent="0.2">
      <c r="AQ11016" s="31"/>
    </row>
    <row r="11017" spans="43:43" x14ac:dyDescent="0.2">
      <c r="AQ11017" s="31"/>
    </row>
    <row r="11018" spans="43:43" x14ac:dyDescent="0.2">
      <c r="AQ11018" s="31"/>
    </row>
    <row r="11019" spans="43:43" x14ac:dyDescent="0.2">
      <c r="AQ11019" s="31"/>
    </row>
    <row r="11020" spans="43:43" x14ac:dyDescent="0.2">
      <c r="AQ11020" s="31"/>
    </row>
    <row r="11021" spans="43:43" x14ac:dyDescent="0.2">
      <c r="AQ11021" s="31"/>
    </row>
    <row r="11022" spans="43:43" x14ac:dyDescent="0.2">
      <c r="AQ11022" s="31"/>
    </row>
    <row r="11023" spans="43:43" x14ac:dyDescent="0.2">
      <c r="AQ11023" s="31"/>
    </row>
    <row r="11024" spans="43:43" x14ac:dyDescent="0.2">
      <c r="AQ11024" s="31"/>
    </row>
    <row r="11025" spans="43:43" x14ac:dyDescent="0.2">
      <c r="AQ11025" s="31"/>
    </row>
    <row r="11026" spans="43:43" x14ac:dyDescent="0.2">
      <c r="AQ11026" s="31"/>
    </row>
    <row r="11027" spans="43:43" x14ac:dyDescent="0.2">
      <c r="AQ11027" s="31"/>
    </row>
    <row r="11028" spans="43:43" x14ac:dyDescent="0.2">
      <c r="AQ11028" s="31"/>
    </row>
    <row r="11029" spans="43:43" x14ac:dyDescent="0.2">
      <c r="AQ11029" s="31"/>
    </row>
    <row r="11030" spans="43:43" x14ac:dyDescent="0.2">
      <c r="AQ11030" s="31"/>
    </row>
    <row r="11031" spans="43:43" x14ac:dyDescent="0.2">
      <c r="AQ11031" s="31"/>
    </row>
    <row r="11032" spans="43:43" x14ac:dyDescent="0.2">
      <c r="AQ11032" s="31"/>
    </row>
    <row r="11033" spans="43:43" x14ac:dyDescent="0.2">
      <c r="AQ11033" s="31"/>
    </row>
    <row r="11034" spans="43:43" x14ac:dyDescent="0.2">
      <c r="AQ11034" s="31"/>
    </row>
    <row r="11035" spans="43:43" x14ac:dyDescent="0.2">
      <c r="AQ11035" s="31"/>
    </row>
    <row r="11036" spans="43:43" x14ac:dyDescent="0.2">
      <c r="AQ11036" s="31"/>
    </row>
    <row r="11037" spans="43:43" x14ac:dyDescent="0.2">
      <c r="AQ11037" s="31"/>
    </row>
    <row r="11038" spans="43:43" x14ac:dyDescent="0.2">
      <c r="AQ11038" s="31"/>
    </row>
    <row r="11039" spans="43:43" x14ac:dyDescent="0.2">
      <c r="AQ11039" s="31"/>
    </row>
    <row r="11040" spans="43:43" x14ac:dyDescent="0.2">
      <c r="AQ11040" s="31"/>
    </row>
    <row r="11041" spans="43:43" x14ac:dyDescent="0.2">
      <c r="AQ11041" s="31"/>
    </row>
    <row r="11042" spans="43:43" x14ac:dyDescent="0.2">
      <c r="AQ11042" s="31"/>
    </row>
    <row r="11043" spans="43:43" x14ac:dyDescent="0.2">
      <c r="AQ11043" s="31"/>
    </row>
    <row r="11044" spans="43:43" x14ac:dyDescent="0.2">
      <c r="AQ11044" s="31"/>
    </row>
    <row r="11045" spans="43:43" x14ac:dyDescent="0.2">
      <c r="AQ11045" s="31"/>
    </row>
    <row r="11046" spans="43:43" x14ac:dyDescent="0.2">
      <c r="AQ11046" s="31"/>
    </row>
    <row r="11047" spans="43:43" x14ac:dyDescent="0.2">
      <c r="AQ11047" s="31"/>
    </row>
    <row r="11048" spans="43:43" x14ac:dyDescent="0.2">
      <c r="AQ11048" s="31"/>
    </row>
    <row r="11049" spans="43:43" x14ac:dyDescent="0.2">
      <c r="AQ11049" s="31"/>
    </row>
    <row r="11050" spans="43:43" x14ac:dyDescent="0.2">
      <c r="AQ11050" s="31"/>
    </row>
    <row r="11051" spans="43:43" x14ac:dyDescent="0.2">
      <c r="AQ11051" s="31"/>
    </row>
    <row r="11052" spans="43:43" x14ac:dyDescent="0.2">
      <c r="AQ11052" s="31"/>
    </row>
    <row r="11053" spans="43:43" x14ac:dyDescent="0.2">
      <c r="AQ11053" s="31"/>
    </row>
    <row r="11054" spans="43:43" x14ac:dyDescent="0.2">
      <c r="AQ11054" s="31"/>
    </row>
    <row r="11055" spans="43:43" x14ac:dyDescent="0.2">
      <c r="AQ11055" s="31"/>
    </row>
    <row r="11056" spans="43:43" x14ac:dyDescent="0.2">
      <c r="AQ11056" s="31"/>
    </row>
    <row r="11057" spans="43:43" x14ac:dyDescent="0.2">
      <c r="AQ11057" s="31"/>
    </row>
    <row r="11058" spans="43:43" x14ac:dyDescent="0.2">
      <c r="AQ11058" s="31"/>
    </row>
    <row r="11059" spans="43:43" x14ac:dyDescent="0.2">
      <c r="AQ11059" s="31"/>
    </row>
    <row r="11060" spans="43:43" x14ac:dyDescent="0.2">
      <c r="AQ11060" s="31"/>
    </row>
    <row r="11061" spans="43:43" x14ac:dyDescent="0.2">
      <c r="AQ11061" s="31"/>
    </row>
    <row r="11062" spans="43:43" x14ac:dyDescent="0.2">
      <c r="AQ11062" s="31"/>
    </row>
    <row r="11063" spans="43:43" x14ac:dyDescent="0.2">
      <c r="AQ11063" s="31"/>
    </row>
    <row r="11064" spans="43:43" x14ac:dyDescent="0.2">
      <c r="AQ11064" s="31"/>
    </row>
    <row r="11065" spans="43:43" x14ac:dyDescent="0.2">
      <c r="AQ11065" s="31"/>
    </row>
    <row r="11066" spans="43:43" x14ac:dyDescent="0.2">
      <c r="AQ11066" s="31"/>
    </row>
    <row r="11067" spans="43:43" x14ac:dyDescent="0.2">
      <c r="AQ11067" s="31"/>
    </row>
    <row r="11068" spans="43:43" x14ac:dyDescent="0.2">
      <c r="AQ11068" s="31"/>
    </row>
    <row r="11069" spans="43:43" x14ac:dyDescent="0.2">
      <c r="AQ11069" s="31"/>
    </row>
    <row r="11070" spans="43:43" x14ac:dyDescent="0.2">
      <c r="AQ11070" s="31"/>
    </row>
    <row r="11071" spans="43:43" x14ac:dyDescent="0.2">
      <c r="AQ11071" s="31"/>
    </row>
    <row r="11072" spans="43:43" x14ac:dyDescent="0.2">
      <c r="AQ11072" s="31"/>
    </row>
    <row r="11073" spans="43:43" x14ac:dyDescent="0.2">
      <c r="AQ11073" s="31"/>
    </row>
    <row r="11074" spans="43:43" x14ac:dyDescent="0.2">
      <c r="AQ11074" s="31"/>
    </row>
    <row r="11075" spans="43:43" x14ac:dyDescent="0.2">
      <c r="AQ11075" s="31"/>
    </row>
    <row r="11076" spans="43:43" x14ac:dyDescent="0.2">
      <c r="AQ11076" s="31"/>
    </row>
    <row r="11077" spans="43:43" x14ac:dyDescent="0.2">
      <c r="AQ11077" s="31"/>
    </row>
    <row r="11078" spans="43:43" x14ac:dyDescent="0.2">
      <c r="AQ11078" s="31"/>
    </row>
    <row r="11079" spans="43:43" x14ac:dyDescent="0.2">
      <c r="AQ11079" s="31"/>
    </row>
    <row r="11080" spans="43:43" x14ac:dyDescent="0.2">
      <c r="AQ11080" s="31"/>
    </row>
    <row r="11081" spans="43:43" x14ac:dyDescent="0.2">
      <c r="AQ11081" s="31"/>
    </row>
    <row r="11082" spans="43:43" x14ac:dyDescent="0.2">
      <c r="AQ11082" s="31"/>
    </row>
    <row r="11083" spans="43:43" x14ac:dyDescent="0.2">
      <c r="AQ11083" s="31"/>
    </row>
    <row r="11084" spans="43:43" x14ac:dyDescent="0.2">
      <c r="AQ11084" s="31"/>
    </row>
    <row r="11085" spans="43:43" x14ac:dyDescent="0.2">
      <c r="AQ11085" s="31"/>
    </row>
    <row r="11086" spans="43:43" x14ac:dyDescent="0.2">
      <c r="AQ11086" s="31"/>
    </row>
    <row r="11087" spans="43:43" x14ac:dyDescent="0.2">
      <c r="AQ11087" s="31"/>
    </row>
    <row r="11088" spans="43:43" x14ac:dyDescent="0.2">
      <c r="AQ11088" s="31"/>
    </row>
    <row r="11089" spans="43:43" x14ac:dyDescent="0.2">
      <c r="AQ11089" s="31"/>
    </row>
    <row r="11090" spans="43:43" x14ac:dyDescent="0.2">
      <c r="AQ11090" s="31"/>
    </row>
    <row r="11091" spans="43:43" x14ac:dyDescent="0.2">
      <c r="AQ11091" s="31"/>
    </row>
    <row r="11092" spans="43:43" x14ac:dyDescent="0.2">
      <c r="AQ11092" s="31"/>
    </row>
    <row r="11093" spans="43:43" x14ac:dyDescent="0.2">
      <c r="AQ11093" s="31"/>
    </row>
    <row r="11094" spans="43:43" x14ac:dyDescent="0.2">
      <c r="AQ11094" s="31"/>
    </row>
    <row r="11095" spans="43:43" x14ac:dyDescent="0.2">
      <c r="AQ11095" s="31"/>
    </row>
    <row r="11096" spans="43:43" x14ac:dyDescent="0.2">
      <c r="AQ11096" s="31"/>
    </row>
    <row r="11097" spans="43:43" x14ac:dyDescent="0.2">
      <c r="AQ11097" s="31"/>
    </row>
    <row r="11098" spans="43:43" x14ac:dyDescent="0.2">
      <c r="AQ11098" s="31"/>
    </row>
    <row r="11099" spans="43:43" x14ac:dyDescent="0.2">
      <c r="AQ11099" s="31"/>
    </row>
    <row r="11100" spans="43:43" x14ac:dyDescent="0.2">
      <c r="AQ11100" s="31"/>
    </row>
    <row r="11101" spans="43:43" x14ac:dyDescent="0.2">
      <c r="AQ11101" s="31"/>
    </row>
    <row r="11102" spans="43:43" x14ac:dyDescent="0.2">
      <c r="AQ11102" s="31"/>
    </row>
    <row r="11103" spans="43:43" x14ac:dyDescent="0.2">
      <c r="AQ11103" s="31"/>
    </row>
    <row r="11104" spans="43:43" x14ac:dyDescent="0.2">
      <c r="AQ11104" s="31"/>
    </row>
    <row r="11105" spans="43:43" x14ac:dyDescent="0.2">
      <c r="AQ11105" s="31"/>
    </row>
    <row r="11106" spans="43:43" x14ac:dyDescent="0.2">
      <c r="AQ11106" s="31"/>
    </row>
    <row r="11107" spans="43:43" x14ac:dyDescent="0.2">
      <c r="AQ11107" s="31"/>
    </row>
    <row r="11108" spans="43:43" x14ac:dyDescent="0.2">
      <c r="AQ11108" s="31"/>
    </row>
    <row r="11109" spans="43:43" x14ac:dyDescent="0.2">
      <c r="AQ11109" s="31"/>
    </row>
    <row r="11110" spans="43:43" x14ac:dyDescent="0.2">
      <c r="AQ11110" s="31"/>
    </row>
    <row r="11111" spans="43:43" x14ac:dyDescent="0.2">
      <c r="AQ11111" s="31"/>
    </row>
    <row r="11112" spans="43:43" x14ac:dyDescent="0.2">
      <c r="AQ11112" s="31"/>
    </row>
    <row r="11113" spans="43:43" x14ac:dyDescent="0.2">
      <c r="AQ11113" s="31"/>
    </row>
    <row r="11114" spans="43:43" x14ac:dyDescent="0.2">
      <c r="AQ11114" s="31"/>
    </row>
    <row r="11115" spans="43:43" x14ac:dyDescent="0.2">
      <c r="AQ11115" s="31"/>
    </row>
    <row r="11116" spans="43:43" x14ac:dyDescent="0.2">
      <c r="AQ11116" s="31"/>
    </row>
    <row r="11117" spans="43:43" x14ac:dyDescent="0.2">
      <c r="AQ11117" s="31"/>
    </row>
    <row r="11118" spans="43:43" x14ac:dyDescent="0.2">
      <c r="AQ11118" s="31"/>
    </row>
    <row r="11119" spans="43:43" x14ac:dyDescent="0.2">
      <c r="AQ11119" s="31"/>
    </row>
    <row r="11120" spans="43:43" x14ac:dyDescent="0.2">
      <c r="AQ11120" s="31"/>
    </row>
    <row r="11121" spans="43:43" x14ac:dyDescent="0.2">
      <c r="AQ11121" s="31"/>
    </row>
    <row r="11122" spans="43:43" x14ac:dyDescent="0.2">
      <c r="AQ11122" s="31"/>
    </row>
    <row r="11123" spans="43:43" x14ac:dyDescent="0.2">
      <c r="AQ11123" s="31"/>
    </row>
    <row r="11124" spans="43:43" x14ac:dyDescent="0.2">
      <c r="AQ11124" s="31"/>
    </row>
    <row r="11125" spans="43:43" x14ac:dyDescent="0.2">
      <c r="AQ11125" s="31"/>
    </row>
    <row r="11126" spans="43:43" x14ac:dyDescent="0.2">
      <c r="AQ11126" s="31"/>
    </row>
    <row r="11127" spans="43:43" x14ac:dyDescent="0.2">
      <c r="AQ11127" s="31"/>
    </row>
    <row r="11128" spans="43:43" x14ac:dyDescent="0.2">
      <c r="AQ11128" s="31"/>
    </row>
    <row r="11129" spans="43:43" x14ac:dyDescent="0.2">
      <c r="AQ11129" s="31"/>
    </row>
    <row r="11130" spans="43:43" x14ac:dyDescent="0.2">
      <c r="AQ11130" s="31"/>
    </row>
    <row r="11131" spans="43:43" x14ac:dyDescent="0.2">
      <c r="AQ11131" s="31"/>
    </row>
    <row r="11132" spans="43:43" x14ac:dyDescent="0.2">
      <c r="AQ11132" s="31"/>
    </row>
    <row r="11133" spans="43:43" x14ac:dyDescent="0.2">
      <c r="AQ11133" s="31"/>
    </row>
    <row r="11134" spans="43:43" x14ac:dyDescent="0.2">
      <c r="AQ11134" s="31"/>
    </row>
    <row r="11135" spans="43:43" x14ac:dyDescent="0.2">
      <c r="AQ11135" s="31"/>
    </row>
    <row r="11136" spans="43:43" x14ac:dyDescent="0.2">
      <c r="AQ11136" s="31"/>
    </row>
    <row r="11137" spans="43:43" x14ac:dyDescent="0.2">
      <c r="AQ11137" s="31"/>
    </row>
    <row r="11138" spans="43:43" x14ac:dyDescent="0.2">
      <c r="AQ11138" s="31"/>
    </row>
    <row r="11139" spans="43:43" x14ac:dyDescent="0.2">
      <c r="AQ11139" s="31"/>
    </row>
    <row r="11140" spans="43:43" x14ac:dyDescent="0.2">
      <c r="AQ11140" s="31"/>
    </row>
    <row r="11141" spans="43:43" x14ac:dyDescent="0.2">
      <c r="AQ11141" s="31"/>
    </row>
    <row r="11142" spans="43:43" x14ac:dyDescent="0.2">
      <c r="AQ11142" s="31"/>
    </row>
    <row r="11143" spans="43:43" x14ac:dyDescent="0.2">
      <c r="AQ11143" s="31"/>
    </row>
    <row r="11144" spans="43:43" x14ac:dyDescent="0.2">
      <c r="AQ11144" s="31"/>
    </row>
    <row r="11145" spans="43:43" x14ac:dyDescent="0.2">
      <c r="AQ11145" s="31"/>
    </row>
    <row r="11146" spans="43:43" x14ac:dyDescent="0.2">
      <c r="AQ11146" s="31"/>
    </row>
    <row r="11147" spans="43:43" x14ac:dyDescent="0.2">
      <c r="AQ11147" s="31"/>
    </row>
    <row r="11148" spans="43:43" x14ac:dyDescent="0.2">
      <c r="AQ11148" s="31"/>
    </row>
    <row r="11149" spans="43:43" x14ac:dyDescent="0.2">
      <c r="AQ11149" s="31"/>
    </row>
    <row r="11150" spans="43:43" x14ac:dyDescent="0.2">
      <c r="AQ11150" s="31"/>
    </row>
    <row r="11151" spans="43:43" x14ac:dyDescent="0.2">
      <c r="AQ11151" s="31"/>
    </row>
    <row r="11152" spans="43:43" x14ac:dyDescent="0.2">
      <c r="AQ11152" s="31"/>
    </row>
    <row r="11153" spans="43:43" x14ac:dyDescent="0.2">
      <c r="AQ11153" s="31"/>
    </row>
    <row r="11154" spans="43:43" x14ac:dyDescent="0.2">
      <c r="AQ11154" s="31"/>
    </row>
    <row r="11155" spans="43:43" x14ac:dyDescent="0.2">
      <c r="AQ11155" s="31"/>
    </row>
    <row r="11156" spans="43:43" x14ac:dyDescent="0.2">
      <c r="AQ11156" s="31"/>
    </row>
    <row r="11157" spans="43:43" x14ac:dyDescent="0.2">
      <c r="AQ11157" s="31"/>
    </row>
    <row r="11158" spans="43:43" x14ac:dyDescent="0.2">
      <c r="AQ11158" s="31"/>
    </row>
    <row r="11159" spans="43:43" x14ac:dyDescent="0.2">
      <c r="AQ11159" s="31"/>
    </row>
    <row r="11160" spans="43:43" x14ac:dyDescent="0.2">
      <c r="AQ11160" s="31"/>
    </row>
    <row r="11161" spans="43:43" x14ac:dyDescent="0.2">
      <c r="AQ11161" s="31"/>
    </row>
    <row r="11162" spans="43:43" x14ac:dyDescent="0.2">
      <c r="AQ11162" s="31"/>
    </row>
    <row r="11163" spans="43:43" x14ac:dyDescent="0.2">
      <c r="AQ11163" s="31"/>
    </row>
    <row r="11164" spans="43:43" x14ac:dyDescent="0.2">
      <c r="AQ11164" s="31"/>
    </row>
    <row r="11165" spans="43:43" x14ac:dyDescent="0.2">
      <c r="AQ11165" s="31"/>
    </row>
    <row r="11166" spans="43:43" x14ac:dyDescent="0.2">
      <c r="AQ11166" s="31"/>
    </row>
    <row r="11167" spans="43:43" x14ac:dyDescent="0.2">
      <c r="AQ11167" s="31"/>
    </row>
    <row r="11168" spans="43:43" x14ac:dyDescent="0.2">
      <c r="AQ11168" s="31"/>
    </row>
    <row r="11169" spans="43:43" x14ac:dyDescent="0.2">
      <c r="AQ11169" s="31"/>
    </row>
    <row r="11170" spans="43:43" x14ac:dyDescent="0.2">
      <c r="AQ11170" s="31"/>
    </row>
    <row r="11171" spans="43:43" x14ac:dyDescent="0.2">
      <c r="AQ11171" s="31"/>
    </row>
    <row r="11172" spans="43:43" x14ac:dyDescent="0.2">
      <c r="AQ11172" s="31"/>
    </row>
    <row r="11173" spans="43:43" x14ac:dyDescent="0.2">
      <c r="AQ11173" s="31"/>
    </row>
    <row r="11174" spans="43:43" x14ac:dyDescent="0.2">
      <c r="AQ11174" s="31"/>
    </row>
    <row r="11175" spans="43:43" x14ac:dyDescent="0.2">
      <c r="AQ11175" s="31"/>
    </row>
    <row r="11176" spans="43:43" x14ac:dyDescent="0.2">
      <c r="AQ11176" s="31"/>
    </row>
    <row r="11177" spans="43:43" x14ac:dyDescent="0.2">
      <c r="AQ11177" s="31"/>
    </row>
    <row r="11178" spans="43:43" x14ac:dyDescent="0.2">
      <c r="AQ11178" s="31"/>
    </row>
    <row r="11179" spans="43:43" x14ac:dyDescent="0.2">
      <c r="AQ11179" s="31"/>
    </row>
    <row r="11180" spans="43:43" x14ac:dyDescent="0.2">
      <c r="AQ11180" s="31"/>
    </row>
    <row r="11181" spans="43:43" x14ac:dyDescent="0.2">
      <c r="AQ11181" s="31"/>
    </row>
    <row r="11182" spans="43:43" x14ac:dyDescent="0.2">
      <c r="AQ11182" s="31"/>
    </row>
    <row r="11183" spans="43:43" x14ac:dyDescent="0.2">
      <c r="AQ11183" s="31"/>
    </row>
    <row r="11184" spans="43:43" x14ac:dyDescent="0.2">
      <c r="AQ11184" s="31"/>
    </row>
    <row r="11185" spans="43:43" x14ac:dyDescent="0.2">
      <c r="AQ11185" s="31"/>
    </row>
    <row r="11186" spans="43:43" x14ac:dyDescent="0.2">
      <c r="AQ11186" s="31"/>
    </row>
    <row r="11187" spans="43:43" x14ac:dyDescent="0.2">
      <c r="AQ11187" s="31"/>
    </row>
    <row r="11188" spans="43:43" x14ac:dyDescent="0.2">
      <c r="AQ11188" s="31"/>
    </row>
    <row r="11189" spans="43:43" x14ac:dyDescent="0.2">
      <c r="AQ11189" s="31"/>
    </row>
    <row r="11190" spans="43:43" x14ac:dyDescent="0.2">
      <c r="AQ11190" s="31"/>
    </row>
    <row r="11191" spans="43:43" x14ac:dyDescent="0.2">
      <c r="AQ11191" s="31"/>
    </row>
    <row r="11192" spans="43:43" x14ac:dyDescent="0.2">
      <c r="AQ11192" s="31"/>
    </row>
    <row r="11193" spans="43:43" x14ac:dyDescent="0.2">
      <c r="AQ11193" s="31"/>
    </row>
    <row r="11194" spans="43:43" x14ac:dyDescent="0.2">
      <c r="AQ11194" s="31"/>
    </row>
    <row r="11195" spans="43:43" x14ac:dyDescent="0.2">
      <c r="AQ11195" s="31"/>
    </row>
    <row r="11196" spans="43:43" x14ac:dyDescent="0.2">
      <c r="AQ11196" s="31"/>
    </row>
    <row r="11197" spans="43:43" x14ac:dyDescent="0.2">
      <c r="AQ11197" s="31"/>
    </row>
    <row r="11198" spans="43:43" x14ac:dyDescent="0.2">
      <c r="AQ11198" s="31"/>
    </row>
    <row r="11199" spans="43:43" x14ac:dyDescent="0.2">
      <c r="AQ11199" s="31"/>
    </row>
    <row r="11200" spans="43:43" x14ac:dyDescent="0.2">
      <c r="AQ11200" s="31"/>
    </row>
    <row r="11201" spans="43:43" x14ac:dyDescent="0.2">
      <c r="AQ11201" s="31"/>
    </row>
    <row r="11202" spans="43:43" x14ac:dyDescent="0.2">
      <c r="AQ11202" s="31"/>
    </row>
    <row r="11203" spans="43:43" x14ac:dyDescent="0.2">
      <c r="AQ11203" s="31"/>
    </row>
    <row r="11204" spans="43:43" x14ac:dyDescent="0.2">
      <c r="AQ11204" s="31"/>
    </row>
    <row r="11205" spans="43:43" x14ac:dyDescent="0.2">
      <c r="AQ11205" s="31"/>
    </row>
    <row r="11206" spans="43:43" x14ac:dyDescent="0.2">
      <c r="AQ11206" s="31"/>
    </row>
    <row r="11207" spans="43:43" x14ac:dyDescent="0.2">
      <c r="AQ11207" s="31"/>
    </row>
    <row r="11208" spans="43:43" x14ac:dyDescent="0.2">
      <c r="AQ11208" s="31"/>
    </row>
    <row r="11209" spans="43:43" x14ac:dyDescent="0.2">
      <c r="AQ11209" s="31"/>
    </row>
    <row r="11210" spans="43:43" x14ac:dyDescent="0.2">
      <c r="AQ11210" s="31"/>
    </row>
    <row r="11211" spans="43:43" x14ac:dyDescent="0.2">
      <c r="AQ11211" s="31"/>
    </row>
    <row r="11212" spans="43:43" x14ac:dyDescent="0.2">
      <c r="AQ11212" s="31"/>
    </row>
    <row r="11213" spans="43:43" x14ac:dyDescent="0.2">
      <c r="AQ11213" s="31"/>
    </row>
    <row r="11214" spans="43:43" x14ac:dyDescent="0.2">
      <c r="AQ11214" s="31"/>
    </row>
    <row r="11215" spans="43:43" x14ac:dyDescent="0.2">
      <c r="AQ11215" s="31"/>
    </row>
    <row r="11216" spans="43:43" x14ac:dyDescent="0.2">
      <c r="AQ11216" s="31"/>
    </row>
    <row r="11217" spans="43:43" x14ac:dyDescent="0.2">
      <c r="AQ11217" s="31"/>
    </row>
    <row r="11218" spans="43:43" x14ac:dyDescent="0.2">
      <c r="AQ11218" s="31"/>
    </row>
    <row r="11219" spans="43:43" x14ac:dyDescent="0.2">
      <c r="AQ11219" s="31"/>
    </row>
    <row r="11220" spans="43:43" x14ac:dyDescent="0.2">
      <c r="AQ11220" s="31"/>
    </row>
    <row r="11221" spans="43:43" x14ac:dyDescent="0.2">
      <c r="AQ11221" s="31"/>
    </row>
    <row r="11222" spans="43:43" x14ac:dyDescent="0.2">
      <c r="AQ11222" s="31"/>
    </row>
    <row r="11223" spans="43:43" x14ac:dyDescent="0.2">
      <c r="AQ11223" s="31"/>
    </row>
    <row r="11224" spans="43:43" x14ac:dyDescent="0.2">
      <c r="AQ11224" s="31"/>
    </row>
    <row r="11225" spans="43:43" x14ac:dyDescent="0.2">
      <c r="AQ11225" s="31"/>
    </row>
    <row r="11226" spans="43:43" x14ac:dyDescent="0.2">
      <c r="AQ11226" s="31"/>
    </row>
    <row r="11227" spans="43:43" x14ac:dyDescent="0.2">
      <c r="AQ11227" s="31"/>
    </row>
    <row r="11228" spans="43:43" x14ac:dyDescent="0.2">
      <c r="AQ11228" s="31"/>
    </row>
    <row r="11229" spans="43:43" x14ac:dyDescent="0.2">
      <c r="AQ11229" s="31"/>
    </row>
    <row r="11230" spans="43:43" x14ac:dyDescent="0.2">
      <c r="AQ11230" s="31"/>
    </row>
    <row r="11231" spans="43:43" x14ac:dyDescent="0.2">
      <c r="AQ11231" s="31"/>
    </row>
    <row r="11232" spans="43:43" x14ac:dyDescent="0.2">
      <c r="AQ11232" s="31"/>
    </row>
    <row r="11233" spans="43:43" x14ac:dyDescent="0.2">
      <c r="AQ11233" s="31"/>
    </row>
    <row r="11234" spans="43:43" x14ac:dyDescent="0.2">
      <c r="AQ11234" s="31"/>
    </row>
    <row r="11235" spans="43:43" x14ac:dyDescent="0.2">
      <c r="AQ11235" s="31"/>
    </row>
    <row r="11236" spans="43:43" x14ac:dyDescent="0.2">
      <c r="AQ11236" s="31"/>
    </row>
    <row r="11237" spans="43:43" x14ac:dyDescent="0.2">
      <c r="AQ11237" s="31"/>
    </row>
    <row r="11238" spans="43:43" x14ac:dyDescent="0.2">
      <c r="AQ11238" s="31"/>
    </row>
    <row r="11239" spans="43:43" x14ac:dyDescent="0.2">
      <c r="AQ11239" s="31"/>
    </row>
    <row r="11240" spans="43:43" x14ac:dyDescent="0.2">
      <c r="AQ11240" s="31"/>
    </row>
    <row r="11241" spans="43:43" x14ac:dyDescent="0.2">
      <c r="AQ11241" s="31"/>
    </row>
    <row r="11242" spans="43:43" x14ac:dyDescent="0.2">
      <c r="AQ11242" s="31"/>
    </row>
    <row r="11243" spans="43:43" x14ac:dyDescent="0.2">
      <c r="AQ11243" s="31"/>
    </row>
    <row r="11244" spans="43:43" x14ac:dyDescent="0.2">
      <c r="AQ11244" s="31"/>
    </row>
    <row r="11245" spans="43:43" x14ac:dyDescent="0.2">
      <c r="AQ11245" s="31"/>
    </row>
    <row r="11246" spans="43:43" x14ac:dyDescent="0.2">
      <c r="AQ11246" s="31"/>
    </row>
    <row r="11247" spans="43:43" x14ac:dyDescent="0.2">
      <c r="AQ11247" s="31"/>
    </row>
    <row r="11248" spans="43:43" x14ac:dyDescent="0.2">
      <c r="AQ11248" s="31"/>
    </row>
    <row r="11249" spans="43:43" x14ac:dyDescent="0.2">
      <c r="AQ11249" s="31"/>
    </row>
    <row r="11250" spans="43:43" x14ac:dyDescent="0.2">
      <c r="AQ11250" s="31"/>
    </row>
    <row r="11251" spans="43:43" x14ac:dyDescent="0.2">
      <c r="AQ11251" s="31"/>
    </row>
    <row r="11252" spans="43:43" x14ac:dyDescent="0.2">
      <c r="AQ11252" s="31"/>
    </row>
    <row r="11253" spans="43:43" x14ac:dyDescent="0.2">
      <c r="AQ11253" s="31"/>
    </row>
    <row r="11254" spans="43:43" x14ac:dyDescent="0.2">
      <c r="AQ11254" s="31"/>
    </row>
    <row r="11255" spans="43:43" x14ac:dyDescent="0.2">
      <c r="AQ11255" s="31"/>
    </row>
    <row r="11256" spans="43:43" x14ac:dyDescent="0.2">
      <c r="AQ11256" s="31"/>
    </row>
    <row r="11257" spans="43:43" x14ac:dyDescent="0.2">
      <c r="AQ11257" s="31"/>
    </row>
    <row r="11258" spans="43:43" x14ac:dyDescent="0.2">
      <c r="AQ11258" s="31"/>
    </row>
    <row r="11259" spans="43:43" x14ac:dyDescent="0.2">
      <c r="AQ11259" s="31"/>
    </row>
    <row r="11260" spans="43:43" x14ac:dyDescent="0.2">
      <c r="AQ11260" s="31"/>
    </row>
    <row r="11261" spans="43:43" x14ac:dyDescent="0.2">
      <c r="AQ11261" s="31"/>
    </row>
    <row r="11262" spans="43:43" x14ac:dyDescent="0.2">
      <c r="AQ11262" s="31"/>
    </row>
    <row r="11263" spans="43:43" x14ac:dyDescent="0.2">
      <c r="AQ11263" s="31"/>
    </row>
    <row r="11264" spans="43:43" x14ac:dyDescent="0.2">
      <c r="AQ11264" s="31"/>
    </row>
    <row r="11265" spans="43:43" x14ac:dyDescent="0.2">
      <c r="AQ11265" s="31"/>
    </row>
    <row r="11266" spans="43:43" x14ac:dyDescent="0.2">
      <c r="AQ11266" s="31"/>
    </row>
    <row r="11267" spans="43:43" x14ac:dyDescent="0.2">
      <c r="AQ11267" s="31"/>
    </row>
    <row r="11268" spans="43:43" x14ac:dyDescent="0.2">
      <c r="AQ11268" s="31"/>
    </row>
    <row r="11269" spans="43:43" x14ac:dyDescent="0.2">
      <c r="AQ11269" s="31"/>
    </row>
    <row r="11270" spans="43:43" x14ac:dyDescent="0.2">
      <c r="AQ11270" s="31"/>
    </row>
    <row r="11271" spans="43:43" x14ac:dyDescent="0.2">
      <c r="AQ11271" s="31"/>
    </row>
    <row r="11272" spans="43:43" x14ac:dyDescent="0.2">
      <c r="AQ11272" s="31"/>
    </row>
    <row r="11273" spans="43:43" x14ac:dyDescent="0.2">
      <c r="AQ11273" s="31"/>
    </row>
    <row r="11274" spans="43:43" x14ac:dyDescent="0.2">
      <c r="AQ11274" s="31"/>
    </row>
    <row r="11275" spans="43:43" x14ac:dyDescent="0.2">
      <c r="AQ11275" s="31"/>
    </row>
    <row r="11276" spans="43:43" x14ac:dyDescent="0.2">
      <c r="AQ11276" s="31"/>
    </row>
    <row r="11277" spans="43:43" x14ac:dyDescent="0.2">
      <c r="AQ11277" s="31"/>
    </row>
    <row r="11278" spans="43:43" x14ac:dyDescent="0.2">
      <c r="AQ11278" s="31"/>
    </row>
    <row r="11279" spans="43:43" x14ac:dyDescent="0.2">
      <c r="AQ11279" s="31"/>
    </row>
    <row r="11280" spans="43:43" x14ac:dyDescent="0.2">
      <c r="AQ11280" s="31"/>
    </row>
    <row r="11281" spans="43:43" x14ac:dyDescent="0.2">
      <c r="AQ11281" s="31"/>
    </row>
    <row r="11282" spans="43:43" x14ac:dyDescent="0.2">
      <c r="AQ11282" s="31"/>
    </row>
    <row r="11283" spans="43:43" x14ac:dyDescent="0.2">
      <c r="AQ11283" s="31"/>
    </row>
    <row r="11284" spans="43:43" x14ac:dyDescent="0.2">
      <c r="AQ11284" s="31"/>
    </row>
    <row r="11285" spans="43:43" x14ac:dyDescent="0.2">
      <c r="AQ11285" s="31"/>
    </row>
    <row r="11286" spans="43:43" x14ac:dyDescent="0.2">
      <c r="AQ11286" s="31"/>
    </row>
    <row r="11287" spans="43:43" x14ac:dyDescent="0.2">
      <c r="AQ11287" s="31"/>
    </row>
    <row r="11288" spans="43:43" x14ac:dyDescent="0.2">
      <c r="AQ11288" s="31"/>
    </row>
    <row r="11289" spans="43:43" x14ac:dyDescent="0.2">
      <c r="AQ11289" s="31"/>
    </row>
    <row r="11290" spans="43:43" x14ac:dyDescent="0.2">
      <c r="AQ11290" s="31"/>
    </row>
    <row r="11291" spans="43:43" x14ac:dyDescent="0.2">
      <c r="AQ11291" s="31"/>
    </row>
    <row r="11292" spans="43:43" x14ac:dyDescent="0.2">
      <c r="AQ11292" s="31"/>
    </row>
    <row r="11293" spans="43:43" x14ac:dyDescent="0.2">
      <c r="AQ11293" s="31"/>
    </row>
    <row r="11294" spans="43:43" x14ac:dyDescent="0.2">
      <c r="AQ11294" s="31"/>
    </row>
    <row r="11295" spans="43:43" x14ac:dyDescent="0.2">
      <c r="AQ11295" s="31"/>
    </row>
    <row r="11296" spans="43:43" x14ac:dyDescent="0.2">
      <c r="AQ11296" s="31"/>
    </row>
    <row r="11297" spans="43:43" x14ac:dyDescent="0.2">
      <c r="AQ11297" s="31"/>
    </row>
    <row r="11298" spans="43:43" x14ac:dyDescent="0.2">
      <c r="AQ11298" s="31"/>
    </row>
    <row r="11299" spans="43:43" x14ac:dyDescent="0.2">
      <c r="AQ11299" s="31"/>
    </row>
    <row r="11300" spans="43:43" x14ac:dyDescent="0.2">
      <c r="AQ11300" s="31"/>
    </row>
    <row r="11301" spans="43:43" x14ac:dyDescent="0.2">
      <c r="AQ11301" s="31"/>
    </row>
    <row r="11302" spans="43:43" x14ac:dyDescent="0.2">
      <c r="AQ11302" s="31"/>
    </row>
    <row r="11303" spans="43:43" x14ac:dyDescent="0.2">
      <c r="AQ11303" s="31"/>
    </row>
    <row r="11304" spans="43:43" x14ac:dyDescent="0.2">
      <c r="AQ11304" s="31"/>
    </row>
    <row r="11305" spans="43:43" x14ac:dyDescent="0.2">
      <c r="AQ11305" s="31"/>
    </row>
    <row r="11306" spans="43:43" x14ac:dyDescent="0.2">
      <c r="AQ11306" s="31"/>
    </row>
    <row r="11307" spans="43:43" x14ac:dyDescent="0.2">
      <c r="AQ11307" s="31"/>
    </row>
    <row r="11308" spans="43:43" x14ac:dyDescent="0.2">
      <c r="AQ11308" s="31"/>
    </row>
    <row r="11309" spans="43:43" x14ac:dyDescent="0.2">
      <c r="AQ11309" s="31"/>
    </row>
    <row r="11310" spans="43:43" x14ac:dyDescent="0.2">
      <c r="AQ11310" s="31"/>
    </row>
    <row r="11311" spans="43:43" x14ac:dyDescent="0.2">
      <c r="AQ11311" s="31"/>
    </row>
    <row r="11312" spans="43:43" x14ac:dyDescent="0.2">
      <c r="AQ11312" s="31"/>
    </row>
    <row r="11313" spans="43:43" x14ac:dyDescent="0.2">
      <c r="AQ11313" s="31"/>
    </row>
    <row r="11314" spans="43:43" x14ac:dyDescent="0.2">
      <c r="AQ11314" s="31"/>
    </row>
    <row r="11315" spans="43:43" x14ac:dyDescent="0.2">
      <c r="AQ11315" s="31"/>
    </row>
    <row r="11316" spans="43:43" x14ac:dyDescent="0.2">
      <c r="AQ11316" s="31"/>
    </row>
    <row r="11317" spans="43:43" x14ac:dyDescent="0.2">
      <c r="AQ11317" s="31"/>
    </row>
    <row r="11318" spans="43:43" x14ac:dyDescent="0.2">
      <c r="AQ11318" s="31"/>
    </row>
    <row r="11319" spans="43:43" x14ac:dyDescent="0.2">
      <c r="AQ11319" s="31"/>
    </row>
    <row r="11320" spans="43:43" x14ac:dyDescent="0.2">
      <c r="AQ11320" s="31"/>
    </row>
    <row r="11321" spans="43:43" x14ac:dyDescent="0.2">
      <c r="AQ11321" s="31"/>
    </row>
    <row r="11322" spans="43:43" x14ac:dyDescent="0.2">
      <c r="AQ11322" s="31"/>
    </row>
    <row r="11323" spans="43:43" x14ac:dyDescent="0.2">
      <c r="AQ11323" s="31"/>
    </row>
    <row r="11324" spans="43:43" x14ac:dyDescent="0.2">
      <c r="AQ11324" s="31"/>
    </row>
    <row r="11325" spans="43:43" x14ac:dyDescent="0.2">
      <c r="AQ11325" s="31"/>
    </row>
    <row r="11326" spans="43:43" x14ac:dyDescent="0.2">
      <c r="AQ11326" s="31"/>
    </row>
    <row r="11327" spans="43:43" x14ac:dyDescent="0.2">
      <c r="AQ11327" s="31"/>
    </row>
    <row r="11328" spans="43:43" x14ac:dyDescent="0.2">
      <c r="AQ11328" s="31"/>
    </row>
    <row r="11329" spans="43:43" x14ac:dyDescent="0.2">
      <c r="AQ11329" s="31"/>
    </row>
    <row r="11330" spans="43:43" x14ac:dyDescent="0.2">
      <c r="AQ11330" s="31"/>
    </row>
    <row r="11331" spans="43:43" x14ac:dyDescent="0.2">
      <c r="AQ11331" s="31"/>
    </row>
    <row r="11332" spans="43:43" x14ac:dyDescent="0.2">
      <c r="AQ11332" s="31"/>
    </row>
    <row r="11333" spans="43:43" x14ac:dyDescent="0.2">
      <c r="AQ11333" s="31"/>
    </row>
    <row r="11334" spans="43:43" x14ac:dyDescent="0.2">
      <c r="AQ11334" s="31"/>
    </row>
    <row r="11335" spans="43:43" x14ac:dyDescent="0.2">
      <c r="AQ11335" s="31"/>
    </row>
    <row r="11336" spans="43:43" x14ac:dyDescent="0.2">
      <c r="AQ11336" s="31"/>
    </row>
    <row r="11337" spans="43:43" x14ac:dyDescent="0.2">
      <c r="AQ11337" s="31"/>
    </row>
    <row r="11338" spans="43:43" x14ac:dyDescent="0.2">
      <c r="AQ11338" s="31"/>
    </row>
    <row r="11339" spans="43:43" x14ac:dyDescent="0.2">
      <c r="AQ11339" s="31"/>
    </row>
    <row r="11340" spans="43:43" x14ac:dyDescent="0.2">
      <c r="AQ11340" s="31"/>
    </row>
    <row r="11341" spans="43:43" x14ac:dyDescent="0.2">
      <c r="AQ11341" s="31"/>
    </row>
    <row r="11342" spans="43:43" x14ac:dyDescent="0.2">
      <c r="AQ11342" s="31"/>
    </row>
    <row r="11343" spans="43:43" x14ac:dyDescent="0.2">
      <c r="AQ11343" s="31"/>
    </row>
    <row r="11344" spans="43:43" x14ac:dyDescent="0.2">
      <c r="AQ11344" s="31"/>
    </row>
    <row r="11345" spans="43:43" x14ac:dyDescent="0.2">
      <c r="AQ11345" s="31"/>
    </row>
    <row r="11346" spans="43:43" x14ac:dyDescent="0.2">
      <c r="AQ11346" s="31"/>
    </row>
    <row r="11347" spans="43:43" x14ac:dyDescent="0.2">
      <c r="AQ11347" s="31"/>
    </row>
    <row r="11348" spans="43:43" x14ac:dyDescent="0.2">
      <c r="AQ11348" s="31"/>
    </row>
    <row r="11349" spans="43:43" x14ac:dyDescent="0.2">
      <c r="AQ11349" s="31"/>
    </row>
    <row r="11350" spans="43:43" x14ac:dyDescent="0.2">
      <c r="AQ11350" s="31"/>
    </row>
    <row r="11351" spans="43:43" x14ac:dyDescent="0.2">
      <c r="AQ11351" s="31"/>
    </row>
    <row r="11352" spans="43:43" x14ac:dyDescent="0.2">
      <c r="AQ11352" s="31"/>
    </row>
    <row r="11353" spans="43:43" x14ac:dyDescent="0.2">
      <c r="AQ11353" s="31"/>
    </row>
    <row r="11354" spans="43:43" x14ac:dyDescent="0.2">
      <c r="AQ11354" s="31"/>
    </row>
    <row r="11355" spans="43:43" x14ac:dyDescent="0.2">
      <c r="AQ11355" s="31"/>
    </row>
    <row r="11356" spans="43:43" x14ac:dyDescent="0.2">
      <c r="AQ11356" s="31"/>
    </row>
    <row r="11357" spans="43:43" x14ac:dyDescent="0.2">
      <c r="AQ11357" s="31"/>
    </row>
    <row r="11358" spans="43:43" x14ac:dyDescent="0.2">
      <c r="AQ11358" s="31"/>
    </row>
    <row r="11359" spans="43:43" x14ac:dyDescent="0.2">
      <c r="AQ11359" s="31"/>
    </row>
    <row r="11360" spans="43:43" x14ac:dyDescent="0.2">
      <c r="AQ11360" s="31"/>
    </row>
    <row r="11361" spans="43:43" x14ac:dyDescent="0.2">
      <c r="AQ11361" s="31"/>
    </row>
    <row r="11362" spans="43:43" x14ac:dyDescent="0.2">
      <c r="AQ11362" s="31"/>
    </row>
    <row r="11363" spans="43:43" x14ac:dyDescent="0.2">
      <c r="AQ11363" s="31"/>
    </row>
    <row r="11364" spans="43:43" x14ac:dyDescent="0.2">
      <c r="AQ11364" s="31"/>
    </row>
    <row r="11365" spans="43:43" x14ac:dyDescent="0.2">
      <c r="AQ11365" s="31"/>
    </row>
    <row r="11366" spans="43:43" x14ac:dyDescent="0.2">
      <c r="AQ11366" s="31"/>
    </row>
    <row r="11367" spans="43:43" x14ac:dyDescent="0.2">
      <c r="AQ11367" s="31"/>
    </row>
    <row r="11368" spans="43:43" x14ac:dyDescent="0.2">
      <c r="AQ11368" s="31"/>
    </row>
    <row r="11369" spans="43:43" x14ac:dyDescent="0.2">
      <c r="AQ11369" s="31"/>
    </row>
    <row r="11370" spans="43:43" x14ac:dyDescent="0.2">
      <c r="AQ11370" s="31"/>
    </row>
    <row r="11371" spans="43:43" x14ac:dyDescent="0.2">
      <c r="AQ11371" s="31"/>
    </row>
    <row r="11372" spans="43:43" x14ac:dyDescent="0.2">
      <c r="AQ11372" s="31"/>
    </row>
    <row r="11373" spans="43:43" x14ac:dyDescent="0.2">
      <c r="AQ11373" s="31"/>
    </row>
    <row r="11374" spans="43:43" x14ac:dyDescent="0.2">
      <c r="AQ11374" s="31"/>
    </row>
    <row r="11375" spans="43:43" x14ac:dyDescent="0.2">
      <c r="AQ11375" s="31"/>
    </row>
    <row r="11376" spans="43:43" x14ac:dyDescent="0.2">
      <c r="AQ11376" s="31"/>
    </row>
    <row r="11377" spans="43:43" x14ac:dyDescent="0.2">
      <c r="AQ11377" s="31"/>
    </row>
    <row r="11378" spans="43:43" x14ac:dyDescent="0.2">
      <c r="AQ11378" s="31"/>
    </row>
    <row r="11379" spans="43:43" x14ac:dyDescent="0.2">
      <c r="AQ11379" s="31"/>
    </row>
    <row r="11380" spans="43:43" x14ac:dyDescent="0.2">
      <c r="AQ11380" s="31"/>
    </row>
    <row r="11381" spans="43:43" x14ac:dyDescent="0.2">
      <c r="AQ11381" s="31"/>
    </row>
    <row r="11382" spans="43:43" x14ac:dyDescent="0.2">
      <c r="AQ11382" s="31"/>
    </row>
    <row r="11383" spans="43:43" x14ac:dyDescent="0.2">
      <c r="AQ11383" s="31"/>
    </row>
    <row r="11384" spans="43:43" x14ac:dyDescent="0.2">
      <c r="AQ11384" s="31"/>
    </row>
    <row r="11385" spans="43:43" x14ac:dyDescent="0.2">
      <c r="AQ11385" s="31"/>
    </row>
    <row r="11386" spans="43:43" x14ac:dyDescent="0.2">
      <c r="AQ11386" s="31"/>
    </row>
    <row r="11387" spans="43:43" x14ac:dyDescent="0.2">
      <c r="AQ11387" s="31"/>
    </row>
    <row r="11388" spans="43:43" x14ac:dyDescent="0.2">
      <c r="AQ11388" s="31"/>
    </row>
    <row r="11389" spans="43:43" x14ac:dyDescent="0.2">
      <c r="AQ11389" s="31"/>
    </row>
    <row r="11390" spans="43:43" x14ac:dyDescent="0.2">
      <c r="AQ11390" s="31"/>
    </row>
    <row r="11391" spans="43:43" x14ac:dyDescent="0.2">
      <c r="AQ11391" s="31"/>
    </row>
    <row r="11392" spans="43:43" x14ac:dyDescent="0.2">
      <c r="AQ11392" s="31"/>
    </row>
    <row r="11393" spans="43:43" x14ac:dyDescent="0.2">
      <c r="AQ11393" s="31"/>
    </row>
    <row r="11394" spans="43:43" x14ac:dyDescent="0.2">
      <c r="AQ11394" s="31"/>
    </row>
    <row r="11395" spans="43:43" x14ac:dyDescent="0.2">
      <c r="AQ11395" s="31"/>
    </row>
    <row r="11396" spans="43:43" x14ac:dyDescent="0.2">
      <c r="AQ11396" s="31"/>
    </row>
    <row r="11397" spans="43:43" x14ac:dyDescent="0.2">
      <c r="AQ11397" s="31"/>
    </row>
    <row r="11398" spans="43:43" x14ac:dyDescent="0.2">
      <c r="AQ11398" s="31"/>
    </row>
    <row r="11399" spans="43:43" x14ac:dyDescent="0.2">
      <c r="AQ11399" s="31"/>
    </row>
    <row r="11400" spans="43:43" x14ac:dyDescent="0.2">
      <c r="AQ11400" s="31"/>
    </row>
    <row r="11401" spans="43:43" x14ac:dyDescent="0.2">
      <c r="AQ11401" s="31"/>
    </row>
    <row r="11402" spans="43:43" x14ac:dyDescent="0.2">
      <c r="AQ11402" s="31"/>
    </row>
    <row r="11403" spans="43:43" x14ac:dyDescent="0.2">
      <c r="AQ11403" s="31"/>
    </row>
    <row r="11404" spans="43:43" x14ac:dyDescent="0.2">
      <c r="AQ11404" s="31"/>
    </row>
    <row r="11405" spans="43:43" x14ac:dyDescent="0.2">
      <c r="AQ11405" s="31"/>
    </row>
    <row r="11406" spans="43:43" x14ac:dyDescent="0.2">
      <c r="AQ11406" s="31"/>
    </row>
    <row r="11407" spans="43:43" x14ac:dyDescent="0.2">
      <c r="AQ11407" s="31"/>
    </row>
    <row r="11408" spans="43:43" x14ac:dyDescent="0.2">
      <c r="AQ11408" s="31"/>
    </row>
    <row r="11409" spans="43:43" x14ac:dyDescent="0.2">
      <c r="AQ11409" s="31"/>
    </row>
    <row r="11410" spans="43:43" x14ac:dyDescent="0.2">
      <c r="AQ11410" s="31"/>
    </row>
    <row r="11411" spans="43:43" x14ac:dyDescent="0.2">
      <c r="AQ11411" s="31"/>
    </row>
    <row r="11412" spans="43:43" x14ac:dyDescent="0.2">
      <c r="AQ11412" s="31"/>
    </row>
    <row r="11413" spans="43:43" x14ac:dyDescent="0.2">
      <c r="AQ11413" s="31"/>
    </row>
    <row r="11414" spans="43:43" x14ac:dyDescent="0.2">
      <c r="AQ11414" s="31"/>
    </row>
    <row r="11415" spans="43:43" x14ac:dyDescent="0.2">
      <c r="AQ11415" s="31"/>
    </row>
    <row r="11416" spans="43:43" x14ac:dyDescent="0.2">
      <c r="AQ11416" s="31"/>
    </row>
    <row r="11417" spans="43:43" x14ac:dyDescent="0.2">
      <c r="AQ11417" s="31"/>
    </row>
    <row r="11418" spans="43:43" x14ac:dyDescent="0.2">
      <c r="AQ11418" s="31"/>
    </row>
    <row r="11419" spans="43:43" x14ac:dyDescent="0.2">
      <c r="AQ11419" s="31"/>
    </row>
    <row r="11420" spans="43:43" x14ac:dyDescent="0.2">
      <c r="AQ11420" s="31"/>
    </row>
    <row r="11421" spans="43:43" x14ac:dyDescent="0.2">
      <c r="AQ11421" s="31"/>
    </row>
    <row r="11422" spans="43:43" x14ac:dyDescent="0.2">
      <c r="AQ11422" s="31"/>
    </row>
    <row r="11423" spans="43:43" x14ac:dyDescent="0.2">
      <c r="AQ11423" s="31"/>
    </row>
    <row r="11424" spans="43:43" x14ac:dyDescent="0.2">
      <c r="AQ11424" s="31"/>
    </row>
    <row r="11425" spans="43:43" x14ac:dyDescent="0.2">
      <c r="AQ11425" s="31"/>
    </row>
    <row r="11426" spans="43:43" x14ac:dyDescent="0.2">
      <c r="AQ11426" s="31"/>
    </row>
    <row r="11427" spans="43:43" x14ac:dyDescent="0.2">
      <c r="AQ11427" s="31"/>
    </row>
    <row r="11428" spans="43:43" x14ac:dyDescent="0.2">
      <c r="AQ11428" s="31"/>
    </row>
    <row r="11429" spans="43:43" x14ac:dyDescent="0.2">
      <c r="AQ11429" s="31"/>
    </row>
    <row r="11430" spans="43:43" x14ac:dyDescent="0.2">
      <c r="AQ11430" s="31"/>
    </row>
    <row r="11431" spans="43:43" x14ac:dyDescent="0.2">
      <c r="AQ11431" s="31"/>
    </row>
    <row r="11432" spans="43:43" x14ac:dyDescent="0.2">
      <c r="AQ11432" s="31"/>
    </row>
    <row r="11433" spans="43:43" x14ac:dyDescent="0.2">
      <c r="AQ11433" s="31"/>
    </row>
    <row r="11434" spans="43:43" x14ac:dyDescent="0.2">
      <c r="AQ11434" s="31"/>
    </row>
    <row r="11435" spans="43:43" x14ac:dyDescent="0.2">
      <c r="AQ11435" s="31"/>
    </row>
    <row r="11436" spans="43:43" x14ac:dyDescent="0.2">
      <c r="AQ11436" s="31"/>
    </row>
    <row r="11437" spans="43:43" x14ac:dyDescent="0.2">
      <c r="AQ11437" s="31"/>
    </row>
    <row r="11438" spans="43:43" x14ac:dyDescent="0.2">
      <c r="AQ11438" s="31"/>
    </row>
    <row r="11439" spans="43:43" x14ac:dyDescent="0.2">
      <c r="AQ11439" s="31"/>
    </row>
    <row r="11440" spans="43:43" x14ac:dyDescent="0.2">
      <c r="AQ11440" s="31"/>
    </row>
    <row r="11441" spans="43:43" x14ac:dyDescent="0.2">
      <c r="AQ11441" s="31"/>
    </row>
    <row r="11442" spans="43:43" x14ac:dyDescent="0.2">
      <c r="AQ11442" s="31"/>
    </row>
    <row r="11443" spans="43:43" x14ac:dyDescent="0.2">
      <c r="AQ11443" s="31"/>
    </row>
    <row r="11444" spans="43:43" x14ac:dyDescent="0.2">
      <c r="AQ11444" s="31"/>
    </row>
    <row r="11445" spans="43:43" x14ac:dyDescent="0.2">
      <c r="AQ11445" s="31"/>
    </row>
    <row r="11446" spans="43:43" x14ac:dyDescent="0.2">
      <c r="AQ11446" s="31"/>
    </row>
    <row r="11447" spans="43:43" x14ac:dyDescent="0.2">
      <c r="AQ11447" s="31"/>
    </row>
    <row r="11448" spans="43:43" x14ac:dyDescent="0.2">
      <c r="AQ11448" s="31"/>
    </row>
    <row r="11449" spans="43:43" x14ac:dyDescent="0.2">
      <c r="AQ11449" s="31"/>
    </row>
    <row r="11450" spans="43:43" x14ac:dyDescent="0.2">
      <c r="AQ11450" s="31"/>
    </row>
    <row r="11451" spans="43:43" x14ac:dyDescent="0.2">
      <c r="AQ11451" s="31"/>
    </row>
    <row r="11452" spans="43:43" x14ac:dyDescent="0.2">
      <c r="AQ11452" s="31"/>
    </row>
    <row r="11453" spans="43:43" x14ac:dyDescent="0.2">
      <c r="AQ11453" s="31"/>
    </row>
    <row r="11454" spans="43:43" x14ac:dyDescent="0.2">
      <c r="AQ11454" s="31"/>
    </row>
    <row r="11455" spans="43:43" x14ac:dyDescent="0.2">
      <c r="AQ11455" s="31"/>
    </row>
    <row r="11456" spans="43:43" x14ac:dyDescent="0.2">
      <c r="AQ11456" s="31"/>
    </row>
    <row r="11457" spans="43:43" x14ac:dyDescent="0.2">
      <c r="AQ11457" s="31"/>
    </row>
    <row r="11458" spans="43:43" x14ac:dyDescent="0.2">
      <c r="AQ11458" s="31"/>
    </row>
    <row r="11459" spans="43:43" x14ac:dyDescent="0.2">
      <c r="AQ11459" s="31"/>
    </row>
    <row r="11460" spans="43:43" x14ac:dyDescent="0.2">
      <c r="AQ11460" s="31"/>
    </row>
    <row r="11461" spans="43:43" x14ac:dyDescent="0.2">
      <c r="AQ11461" s="31"/>
    </row>
    <row r="11462" spans="43:43" x14ac:dyDescent="0.2">
      <c r="AQ11462" s="31"/>
    </row>
    <row r="11463" spans="43:43" x14ac:dyDescent="0.2">
      <c r="AQ11463" s="31"/>
    </row>
    <row r="11464" spans="43:43" x14ac:dyDescent="0.2">
      <c r="AQ11464" s="31"/>
    </row>
    <row r="11465" spans="43:43" x14ac:dyDescent="0.2">
      <c r="AQ11465" s="31"/>
    </row>
    <row r="11466" spans="43:43" x14ac:dyDescent="0.2">
      <c r="AQ11466" s="31"/>
    </row>
    <row r="11467" spans="43:43" x14ac:dyDescent="0.2">
      <c r="AQ11467" s="31"/>
    </row>
    <row r="11468" spans="43:43" x14ac:dyDescent="0.2">
      <c r="AQ11468" s="31"/>
    </row>
    <row r="11469" spans="43:43" x14ac:dyDescent="0.2">
      <c r="AQ11469" s="31"/>
    </row>
    <row r="11470" spans="43:43" x14ac:dyDescent="0.2">
      <c r="AQ11470" s="31"/>
    </row>
    <row r="11471" spans="43:43" x14ac:dyDescent="0.2">
      <c r="AQ11471" s="31"/>
    </row>
    <row r="11472" spans="43:43" x14ac:dyDescent="0.2">
      <c r="AQ11472" s="31"/>
    </row>
    <row r="11473" spans="43:43" x14ac:dyDescent="0.2">
      <c r="AQ11473" s="31"/>
    </row>
    <row r="11474" spans="43:43" x14ac:dyDescent="0.2">
      <c r="AQ11474" s="31"/>
    </row>
    <row r="11475" spans="43:43" x14ac:dyDescent="0.2">
      <c r="AQ11475" s="31"/>
    </row>
    <row r="11476" spans="43:43" x14ac:dyDescent="0.2">
      <c r="AQ11476" s="31"/>
    </row>
    <row r="11477" spans="43:43" x14ac:dyDescent="0.2">
      <c r="AQ11477" s="31"/>
    </row>
    <row r="11478" spans="43:43" x14ac:dyDescent="0.2">
      <c r="AQ11478" s="31"/>
    </row>
    <row r="11479" spans="43:43" x14ac:dyDescent="0.2">
      <c r="AQ11479" s="31"/>
    </row>
    <row r="11480" spans="43:43" x14ac:dyDescent="0.2">
      <c r="AQ11480" s="31"/>
    </row>
    <row r="11481" spans="43:43" x14ac:dyDescent="0.2">
      <c r="AQ11481" s="31"/>
    </row>
    <row r="11482" spans="43:43" x14ac:dyDescent="0.2">
      <c r="AQ11482" s="31"/>
    </row>
    <row r="11483" spans="43:43" x14ac:dyDescent="0.2">
      <c r="AQ11483" s="31"/>
    </row>
    <row r="11484" spans="43:43" x14ac:dyDescent="0.2">
      <c r="AQ11484" s="31"/>
    </row>
    <row r="11485" spans="43:43" x14ac:dyDescent="0.2">
      <c r="AQ11485" s="31"/>
    </row>
    <row r="11486" spans="43:43" x14ac:dyDescent="0.2">
      <c r="AQ11486" s="31"/>
    </row>
    <row r="11487" spans="43:43" x14ac:dyDescent="0.2">
      <c r="AQ11487" s="31"/>
    </row>
    <row r="11488" spans="43:43" x14ac:dyDescent="0.2">
      <c r="AQ11488" s="31"/>
    </row>
    <row r="11489" spans="43:43" x14ac:dyDescent="0.2">
      <c r="AQ11489" s="31"/>
    </row>
    <row r="11490" spans="43:43" x14ac:dyDescent="0.2">
      <c r="AQ11490" s="31"/>
    </row>
    <row r="11491" spans="43:43" x14ac:dyDescent="0.2">
      <c r="AQ11491" s="31"/>
    </row>
    <row r="11492" spans="43:43" x14ac:dyDescent="0.2">
      <c r="AQ11492" s="31"/>
    </row>
    <row r="11493" spans="43:43" x14ac:dyDescent="0.2">
      <c r="AQ11493" s="31"/>
    </row>
    <row r="11494" spans="43:43" x14ac:dyDescent="0.2">
      <c r="AQ11494" s="31"/>
    </row>
    <row r="11495" spans="43:43" x14ac:dyDescent="0.2">
      <c r="AQ11495" s="31"/>
    </row>
    <row r="11496" spans="43:43" x14ac:dyDescent="0.2">
      <c r="AQ11496" s="31"/>
    </row>
    <row r="11497" spans="43:43" x14ac:dyDescent="0.2">
      <c r="AQ11497" s="31"/>
    </row>
    <row r="11498" spans="43:43" x14ac:dyDescent="0.2">
      <c r="AQ11498" s="31"/>
    </row>
    <row r="11499" spans="43:43" x14ac:dyDescent="0.2">
      <c r="AQ11499" s="31"/>
    </row>
    <row r="11500" spans="43:43" x14ac:dyDescent="0.2">
      <c r="AQ11500" s="31"/>
    </row>
    <row r="11501" spans="43:43" x14ac:dyDescent="0.2">
      <c r="AQ11501" s="31"/>
    </row>
    <row r="11502" spans="43:43" x14ac:dyDescent="0.2">
      <c r="AQ11502" s="31"/>
    </row>
    <row r="11503" spans="43:43" x14ac:dyDescent="0.2">
      <c r="AQ11503" s="31"/>
    </row>
    <row r="11504" spans="43:43" x14ac:dyDescent="0.2">
      <c r="AQ11504" s="31"/>
    </row>
    <row r="11505" spans="43:43" x14ac:dyDescent="0.2">
      <c r="AQ11505" s="31"/>
    </row>
    <row r="11506" spans="43:43" x14ac:dyDescent="0.2">
      <c r="AQ11506" s="31"/>
    </row>
    <row r="11507" spans="43:43" x14ac:dyDescent="0.2">
      <c r="AQ11507" s="31"/>
    </row>
    <row r="11508" spans="43:43" x14ac:dyDescent="0.2">
      <c r="AQ11508" s="31"/>
    </row>
    <row r="11509" spans="43:43" x14ac:dyDescent="0.2">
      <c r="AQ11509" s="31"/>
    </row>
    <row r="11510" spans="43:43" x14ac:dyDescent="0.2">
      <c r="AQ11510" s="31"/>
    </row>
    <row r="11511" spans="43:43" x14ac:dyDescent="0.2">
      <c r="AQ11511" s="31"/>
    </row>
    <row r="11512" spans="43:43" x14ac:dyDescent="0.2">
      <c r="AQ11512" s="31"/>
    </row>
    <row r="11513" spans="43:43" x14ac:dyDescent="0.2">
      <c r="AQ11513" s="31"/>
    </row>
    <row r="11514" spans="43:43" x14ac:dyDescent="0.2">
      <c r="AQ11514" s="31"/>
    </row>
    <row r="11515" spans="43:43" x14ac:dyDescent="0.2">
      <c r="AQ11515" s="31"/>
    </row>
    <row r="11516" spans="43:43" x14ac:dyDescent="0.2">
      <c r="AQ11516" s="31"/>
    </row>
    <row r="11517" spans="43:43" x14ac:dyDescent="0.2">
      <c r="AQ11517" s="31"/>
    </row>
    <row r="11518" spans="43:43" x14ac:dyDescent="0.2">
      <c r="AQ11518" s="31"/>
    </row>
    <row r="11519" spans="43:43" x14ac:dyDescent="0.2">
      <c r="AQ11519" s="31"/>
    </row>
    <row r="11520" spans="43:43" x14ac:dyDescent="0.2">
      <c r="AQ11520" s="31"/>
    </row>
    <row r="11521" spans="43:43" x14ac:dyDescent="0.2">
      <c r="AQ11521" s="31"/>
    </row>
    <row r="11522" spans="43:43" x14ac:dyDescent="0.2">
      <c r="AQ11522" s="31"/>
    </row>
    <row r="11523" spans="43:43" x14ac:dyDescent="0.2">
      <c r="AQ11523" s="31"/>
    </row>
    <row r="11524" spans="43:43" x14ac:dyDescent="0.2">
      <c r="AQ11524" s="31"/>
    </row>
    <row r="11525" spans="43:43" x14ac:dyDescent="0.2">
      <c r="AQ11525" s="31"/>
    </row>
    <row r="11526" spans="43:43" x14ac:dyDescent="0.2">
      <c r="AQ11526" s="31"/>
    </row>
    <row r="11527" spans="43:43" x14ac:dyDescent="0.2">
      <c r="AQ11527" s="31"/>
    </row>
    <row r="11528" spans="43:43" x14ac:dyDescent="0.2">
      <c r="AQ11528" s="31"/>
    </row>
    <row r="11529" spans="43:43" x14ac:dyDescent="0.2">
      <c r="AQ11529" s="31"/>
    </row>
    <row r="11530" spans="43:43" x14ac:dyDescent="0.2">
      <c r="AQ11530" s="31"/>
    </row>
    <row r="11531" spans="43:43" x14ac:dyDescent="0.2">
      <c r="AQ11531" s="31"/>
    </row>
    <row r="11532" spans="43:43" x14ac:dyDescent="0.2">
      <c r="AQ11532" s="31"/>
    </row>
    <row r="11533" spans="43:43" x14ac:dyDescent="0.2">
      <c r="AQ11533" s="31"/>
    </row>
    <row r="11534" spans="43:43" x14ac:dyDescent="0.2">
      <c r="AQ11534" s="31"/>
    </row>
    <row r="11535" spans="43:43" x14ac:dyDescent="0.2">
      <c r="AQ11535" s="31"/>
    </row>
    <row r="11536" spans="43:43" x14ac:dyDescent="0.2">
      <c r="AQ11536" s="31"/>
    </row>
    <row r="11537" spans="43:43" x14ac:dyDescent="0.2">
      <c r="AQ11537" s="31"/>
    </row>
    <row r="11538" spans="43:43" x14ac:dyDescent="0.2">
      <c r="AQ11538" s="31"/>
    </row>
    <row r="11539" spans="43:43" x14ac:dyDescent="0.2">
      <c r="AQ11539" s="31"/>
    </row>
    <row r="11540" spans="43:43" x14ac:dyDescent="0.2">
      <c r="AQ11540" s="31"/>
    </row>
    <row r="11541" spans="43:43" x14ac:dyDescent="0.2">
      <c r="AQ11541" s="31"/>
    </row>
    <row r="11542" spans="43:43" x14ac:dyDescent="0.2">
      <c r="AQ11542" s="31"/>
    </row>
    <row r="11543" spans="43:43" x14ac:dyDescent="0.2">
      <c r="AQ11543" s="31"/>
    </row>
    <row r="11544" spans="43:43" x14ac:dyDescent="0.2">
      <c r="AQ11544" s="31"/>
    </row>
    <row r="11545" spans="43:43" x14ac:dyDescent="0.2">
      <c r="AQ11545" s="31"/>
    </row>
    <row r="11546" spans="43:43" x14ac:dyDescent="0.2">
      <c r="AQ11546" s="31"/>
    </row>
    <row r="11547" spans="43:43" x14ac:dyDescent="0.2">
      <c r="AQ11547" s="31"/>
    </row>
    <row r="11548" spans="43:43" x14ac:dyDescent="0.2">
      <c r="AQ11548" s="31"/>
    </row>
    <row r="11549" spans="43:43" x14ac:dyDescent="0.2">
      <c r="AQ11549" s="31"/>
    </row>
    <row r="11550" spans="43:43" x14ac:dyDescent="0.2">
      <c r="AQ11550" s="31"/>
    </row>
    <row r="11551" spans="43:43" x14ac:dyDescent="0.2">
      <c r="AQ11551" s="31"/>
    </row>
    <row r="11552" spans="43:43" x14ac:dyDescent="0.2">
      <c r="AQ11552" s="31"/>
    </row>
    <row r="11553" spans="43:43" x14ac:dyDescent="0.2">
      <c r="AQ11553" s="31"/>
    </row>
    <row r="11554" spans="43:43" x14ac:dyDescent="0.2">
      <c r="AQ11554" s="31"/>
    </row>
    <row r="11555" spans="43:43" x14ac:dyDescent="0.2">
      <c r="AQ11555" s="31"/>
    </row>
    <row r="11556" spans="43:43" x14ac:dyDescent="0.2">
      <c r="AQ11556" s="31"/>
    </row>
    <row r="11557" spans="43:43" x14ac:dyDescent="0.2">
      <c r="AQ11557" s="31"/>
    </row>
    <row r="11558" spans="43:43" x14ac:dyDescent="0.2">
      <c r="AQ11558" s="31"/>
    </row>
    <row r="11559" spans="43:43" x14ac:dyDescent="0.2">
      <c r="AQ11559" s="31"/>
    </row>
    <row r="11560" spans="43:43" x14ac:dyDescent="0.2">
      <c r="AQ11560" s="31"/>
    </row>
    <row r="11561" spans="43:43" x14ac:dyDescent="0.2">
      <c r="AQ11561" s="31"/>
    </row>
    <row r="11562" spans="43:43" x14ac:dyDescent="0.2">
      <c r="AQ11562" s="31"/>
    </row>
    <row r="11563" spans="43:43" x14ac:dyDescent="0.2">
      <c r="AQ11563" s="31"/>
    </row>
    <row r="11564" spans="43:43" x14ac:dyDescent="0.2">
      <c r="AQ11564" s="31"/>
    </row>
    <row r="11565" spans="43:43" x14ac:dyDescent="0.2">
      <c r="AQ11565" s="31"/>
    </row>
    <row r="11566" spans="43:43" x14ac:dyDescent="0.2">
      <c r="AQ11566" s="31"/>
    </row>
    <row r="11567" spans="43:43" x14ac:dyDescent="0.2">
      <c r="AQ11567" s="31"/>
    </row>
    <row r="11568" spans="43:43" x14ac:dyDescent="0.2">
      <c r="AQ11568" s="31"/>
    </row>
    <row r="11569" spans="43:43" x14ac:dyDescent="0.2">
      <c r="AQ11569" s="31"/>
    </row>
    <row r="11570" spans="43:43" x14ac:dyDescent="0.2">
      <c r="AQ11570" s="31"/>
    </row>
    <row r="11571" spans="43:43" x14ac:dyDescent="0.2">
      <c r="AQ11571" s="31"/>
    </row>
    <row r="11572" spans="43:43" x14ac:dyDescent="0.2">
      <c r="AQ11572" s="31"/>
    </row>
    <row r="11573" spans="43:43" x14ac:dyDescent="0.2">
      <c r="AQ11573" s="31"/>
    </row>
    <row r="11574" spans="43:43" x14ac:dyDescent="0.2">
      <c r="AQ11574" s="31"/>
    </row>
    <row r="11575" spans="43:43" x14ac:dyDescent="0.2">
      <c r="AQ11575" s="31"/>
    </row>
    <row r="11576" spans="43:43" x14ac:dyDescent="0.2">
      <c r="AQ11576" s="31"/>
    </row>
    <row r="11577" spans="43:43" x14ac:dyDescent="0.2">
      <c r="AQ11577" s="31"/>
    </row>
    <row r="11578" spans="43:43" x14ac:dyDescent="0.2">
      <c r="AQ11578" s="31"/>
    </row>
    <row r="11579" spans="43:43" x14ac:dyDescent="0.2">
      <c r="AQ11579" s="31"/>
    </row>
    <row r="11580" spans="43:43" x14ac:dyDescent="0.2">
      <c r="AQ11580" s="31"/>
    </row>
    <row r="11581" spans="43:43" x14ac:dyDescent="0.2">
      <c r="AQ11581" s="31"/>
    </row>
    <row r="11582" spans="43:43" x14ac:dyDescent="0.2">
      <c r="AQ11582" s="31"/>
    </row>
    <row r="11583" spans="43:43" x14ac:dyDescent="0.2">
      <c r="AQ11583" s="31"/>
    </row>
    <row r="11584" spans="43:43" x14ac:dyDescent="0.2">
      <c r="AQ11584" s="31"/>
    </row>
    <row r="11585" spans="43:43" x14ac:dyDescent="0.2">
      <c r="AQ11585" s="31"/>
    </row>
    <row r="11586" spans="43:43" x14ac:dyDescent="0.2">
      <c r="AQ11586" s="31"/>
    </row>
    <row r="11587" spans="43:43" x14ac:dyDescent="0.2">
      <c r="AQ11587" s="31"/>
    </row>
    <row r="11588" spans="43:43" x14ac:dyDescent="0.2">
      <c r="AQ11588" s="31"/>
    </row>
    <row r="11589" spans="43:43" x14ac:dyDescent="0.2">
      <c r="AQ11589" s="31"/>
    </row>
    <row r="11590" spans="43:43" x14ac:dyDescent="0.2">
      <c r="AQ11590" s="31"/>
    </row>
    <row r="11591" spans="43:43" x14ac:dyDescent="0.2">
      <c r="AQ11591" s="31"/>
    </row>
    <row r="11592" spans="43:43" x14ac:dyDescent="0.2">
      <c r="AQ11592" s="31"/>
    </row>
    <row r="11593" spans="43:43" x14ac:dyDescent="0.2">
      <c r="AQ11593" s="31"/>
    </row>
    <row r="11594" spans="43:43" x14ac:dyDescent="0.2">
      <c r="AQ11594" s="31"/>
    </row>
    <row r="11595" spans="43:43" x14ac:dyDescent="0.2">
      <c r="AQ11595" s="31"/>
    </row>
    <row r="11596" spans="43:43" x14ac:dyDescent="0.2">
      <c r="AQ11596" s="31"/>
    </row>
    <row r="11597" spans="43:43" x14ac:dyDescent="0.2">
      <c r="AQ11597" s="31"/>
    </row>
    <row r="11598" spans="43:43" x14ac:dyDescent="0.2">
      <c r="AQ11598" s="31"/>
    </row>
    <row r="11599" spans="43:43" x14ac:dyDescent="0.2">
      <c r="AQ11599" s="31"/>
    </row>
    <row r="11600" spans="43:43" x14ac:dyDescent="0.2">
      <c r="AQ11600" s="31"/>
    </row>
    <row r="11601" spans="43:43" x14ac:dyDescent="0.2">
      <c r="AQ11601" s="31"/>
    </row>
    <row r="11602" spans="43:43" x14ac:dyDescent="0.2">
      <c r="AQ11602" s="31"/>
    </row>
    <row r="11603" spans="43:43" x14ac:dyDescent="0.2">
      <c r="AQ11603" s="31"/>
    </row>
    <row r="11604" spans="43:43" x14ac:dyDescent="0.2">
      <c r="AQ11604" s="31"/>
    </row>
    <row r="11605" spans="43:43" x14ac:dyDescent="0.2">
      <c r="AQ11605" s="31"/>
    </row>
    <row r="11606" spans="43:43" x14ac:dyDescent="0.2">
      <c r="AQ11606" s="31"/>
    </row>
    <row r="11607" spans="43:43" x14ac:dyDescent="0.2">
      <c r="AQ11607" s="31"/>
    </row>
    <row r="11608" spans="43:43" x14ac:dyDescent="0.2">
      <c r="AQ11608" s="31"/>
    </row>
    <row r="11609" spans="43:43" x14ac:dyDescent="0.2">
      <c r="AQ11609" s="31"/>
    </row>
    <row r="11610" spans="43:43" x14ac:dyDescent="0.2">
      <c r="AQ11610" s="31"/>
    </row>
    <row r="11611" spans="43:43" x14ac:dyDescent="0.2">
      <c r="AQ11611" s="31"/>
    </row>
    <row r="11612" spans="43:43" x14ac:dyDescent="0.2">
      <c r="AQ11612" s="31"/>
    </row>
    <row r="11613" spans="43:43" x14ac:dyDescent="0.2">
      <c r="AQ11613" s="31"/>
    </row>
    <row r="11614" spans="43:43" x14ac:dyDescent="0.2">
      <c r="AQ11614" s="31"/>
    </row>
    <row r="11615" spans="43:43" x14ac:dyDescent="0.2">
      <c r="AQ11615" s="31"/>
    </row>
    <row r="11616" spans="43:43" x14ac:dyDescent="0.2">
      <c r="AQ11616" s="31"/>
    </row>
    <row r="11617" spans="43:43" x14ac:dyDescent="0.2">
      <c r="AQ11617" s="31"/>
    </row>
    <row r="11618" spans="43:43" x14ac:dyDescent="0.2">
      <c r="AQ11618" s="31"/>
    </row>
    <row r="11619" spans="43:43" x14ac:dyDescent="0.2">
      <c r="AQ11619" s="31"/>
    </row>
    <row r="11620" spans="43:43" x14ac:dyDescent="0.2">
      <c r="AQ11620" s="31"/>
    </row>
    <row r="11621" spans="43:43" x14ac:dyDescent="0.2">
      <c r="AQ11621" s="31"/>
    </row>
    <row r="11622" spans="43:43" x14ac:dyDescent="0.2">
      <c r="AQ11622" s="31"/>
    </row>
    <row r="11623" spans="43:43" x14ac:dyDescent="0.2">
      <c r="AQ11623" s="31"/>
    </row>
    <row r="11624" spans="43:43" x14ac:dyDescent="0.2">
      <c r="AQ11624" s="31"/>
    </row>
    <row r="11625" spans="43:43" x14ac:dyDescent="0.2">
      <c r="AQ11625" s="31"/>
    </row>
    <row r="11626" spans="43:43" x14ac:dyDescent="0.2">
      <c r="AQ11626" s="31"/>
    </row>
    <row r="11627" spans="43:43" x14ac:dyDescent="0.2">
      <c r="AQ11627" s="31"/>
    </row>
    <row r="11628" spans="43:43" x14ac:dyDescent="0.2">
      <c r="AQ11628" s="31"/>
    </row>
    <row r="11629" spans="43:43" x14ac:dyDescent="0.2">
      <c r="AQ11629" s="31"/>
    </row>
    <row r="11630" spans="43:43" x14ac:dyDescent="0.2">
      <c r="AQ11630" s="31"/>
    </row>
    <row r="11631" spans="43:43" x14ac:dyDescent="0.2">
      <c r="AQ11631" s="31"/>
    </row>
    <row r="11632" spans="43:43" x14ac:dyDescent="0.2">
      <c r="AQ11632" s="31"/>
    </row>
    <row r="11633" spans="43:43" x14ac:dyDescent="0.2">
      <c r="AQ11633" s="31"/>
    </row>
    <row r="11634" spans="43:43" x14ac:dyDescent="0.2">
      <c r="AQ11634" s="31"/>
    </row>
    <row r="11635" spans="43:43" x14ac:dyDescent="0.2">
      <c r="AQ11635" s="31"/>
    </row>
    <row r="11636" spans="43:43" x14ac:dyDescent="0.2">
      <c r="AQ11636" s="31"/>
    </row>
    <row r="11637" spans="43:43" x14ac:dyDescent="0.2">
      <c r="AQ11637" s="31"/>
    </row>
    <row r="11638" spans="43:43" x14ac:dyDescent="0.2">
      <c r="AQ11638" s="31"/>
    </row>
    <row r="11639" spans="43:43" x14ac:dyDescent="0.2">
      <c r="AQ11639" s="31"/>
    </row>
    <row r="11640" spans="43:43" x14ac:dyDescent="0.2">
      <c r="AQ11640" s="31"/>
    </row>
    <row r="11641" spans="43:43" x14ac:dyDescent="0.2">
      <c r="AQ11641" s="31"/>
    </row>
    <row r="11642" spans="43:43" x14ac:dyDescent="0.2">
      <c r="AQ11642" s="31"/>
    </row>
    <row r="11643" spans="43:43" x14ac:dyDescent="0.2">
      <c r="AQ11643" s="31"/>
    </row>
    <row r="11644" spans="43:43" x14ac:dyDescent="0.2">
      <c r="AQ11644" s="31"/>
    </row>
    <row r="11645" spans="43:43" x14ac:dyDescent="0.2">
      <c r="AQ11645" s="31"/>
    </row>
    <row r="11646" spans="43:43" x14ac:dyDescent="0.2">
      <c r="AQ11646" s="31"/>
    </row>
    <row r="11647" spans="43:43" x14ac:dyDescent="0.2">
      <c r="AQ11647" s="31"/>
    </row>
    <row r="11648" spans="43:43" x14ac:dyDescent="0.2">
      <c r="AQ11648" s="31"/>
    </row>
    <row r="11649" spans="43:43" x14ac:dyDescent="0.2">
      <c r="AQ11649" s="31"/>
    </row>
    <row r="11650" spans="43:43" x14ac:dyDescent="0.2">
      <c r="AQ11650" s="31"/>
    </row>
    <row r="11651" spans="43:43" x14ac:dyDescent="0.2">
      <c r="AQ11651" s="31"/>
    </row>
    <row r="11652" spans="43:43" x14ac:dyDescent="0.2">
      <c r="AQ11652" s="31"/>
    </row>
    <row r="11653" spans="43:43" x14ac:dyDescent="0.2">
      <c r="AQ11653" s="31"/>
    </row>
    <row r="11654" spans="43:43" x14ac:dyDescent="0.2">
      <c r="AQ11654" s="31"/>
    </row>
    <row r="11655" spans="43:43" x14ac:dyDescent="0.2">
      <c r="AQ11655" s="31"/>
    </row>
    <row r="11656" spans="43:43" x14ac:dyDescent="0.2">
      <c r="AQ11656" s="31"/>
    </row>
    <row r="11657" spans="43:43" x14ac:dyDescent="0.2">
      <c r="AQ11657" s="31"/>
    </row>
    <row r="11658" spans="43:43" x14ac:dyDescent="0.2">
      <c r="AQ11658" s="31"/>
    </row>
    <row r="11659" spans="43:43" x14ac:dyDescent="0.2">
      <c r="AQ11659" s="31"/>
    </row>
    <row r="11660" spans="43:43" x14ac:dyDescent="0.2">
      <c r="AQ11660" s="31"/>
    </row>
    <row r="11661" spans="43:43" x14ac:dyDescent="0.2">
      <c r="AQ11661" s="31"/>
    </row>
    <row r="11662" spans="43:43" x14ac:dyDescent="0.2">
      <c r="AQ11662" s="31"/>
    </row>
    <row r="11663" spans="43:43" x14ac:dyDescent="0.2">
      <c r="AQ11663" s="31"/>
    </row>
    <row r="11664" spans="43:43" x14ac:dyDescent="0.2">
      <c r="AQ11664" s="31"/>
    </row>
    <row r="11665" spans="43:43" x14ac:dyDescent="0.2">
      <c r="AQ11665" s="31"/>
    </row>
    <row r="11666" spans="43:43" x14ac:dyDescent="0.2">
      <c r="AQ11666" s="31"/>
    </row>
    <row r="11667" spans="43:43" x14ac:dyDescent="0.2">
      <c r="AQ11667" s="31"/>
    </row>
    <row r="11668" spans="43:43" x14ac:dyDescent="0.2">
      <c r="AQ11668" s="31"/>
    </row>
    <row r="11669" spans="43:43" x14ac:dyDescent="0.2">
      <c r="AQ11669" s="31"/>
    </row>
    <row r="11670" spans="43:43" x14ac:dyDescent="0.2">
      <c r="AQ11670" s="31"/>
    </row>
    <row r="11671" spans="43:43" x14ac:dyDescent="0.2">
      <c r="AQ11671" s="31"/>
    </row>
    <row r="11672" spans="43:43" x14ac:dyDescent="0.2">
      <c r="AQ11672" s="31"/>
    </row>
    <row r="11673" spans="43:43" x14ac:dyDescent="0.2">
      <c r="AQ11673" s="31"/>
    </row>
    <row r="11674" spans="43:43" x14ac:dyDescent="0.2">
      <c r="AQ11674" s="31"/>
    </row>
    <row r="11675" spans="43:43" x14ac:dyDescent="0.2">
      <c r="AQ11675" s="31"/>
    </row>
    <row r="11676" spans="43:43" x14ac:dyDescent="0.2">
      <c r="AQ11676" s="31"/>
    </row>
    <row r="11677" spans="43:43" x14ac:dyDescent="0.2">
      <c r="AQ11677" s="31"/>
    </row>
    <row r="11678" spans="43:43" x14ac:dyDescent="0.2">
      <c r="AQ11678" s="31"/>
    </row>
    <row r="11679" spans="43:43" x14ac:dyDescent="0.2">
      <c r="AQ11679" s="31"/>
    </row>
    <row r="11680" spans="43:43" x14ac:dyDescent="0.2">
      <c r="AQ11680" s="31"/>
    </row>
    <row r="11681" spans="43:43" x14ac:dyDescent="0.2">
      <c r="AQ11681" s="31"/>
    </row>
    <row r="11682" spans="43:43" x14ac:dyDescent="0.2">
      <c r="AQ11682" s="31"/>
    </row>
    <row r="11683" spans="43:43" x14ac:dyDescent="0.2">
      <c r="AQ11683" s="31"/>
    </row>
    <row r="11684" spans="43:43" x14ac:dyDescent="0.2">
      <c r="AQ11684" s="31"/>
    </row>
    <row r="11685" spans="43:43" x14ac:dyDescent="0.2">
      <c r="AQ11685" s="31"/>
    </row>
    <row r="11686" spans="43:43" x14ac:dyDescent="0.2">
      <c r="AQ11686" s="31"/>
    </row>
    <row r="11687" spans="43:43" x14ac:dyDescent="0.2">
      <c r="AQ11687" s="31"/>
    </row>
    <row r="11688" spans="43:43" x14ac:dyDescent="0.2">
      <c r="AQ11688" s="31"/>
    </row>
    <row r="11689" spans="43:43" x14ac:dyDescent="0.2">
      <c r="AQ11689" s="31"/>
    </row>
    <row r="11690" spans="43:43" x14ac:dyDescent="0.2">
      <c r="AQ11690" s="31"/>
    </row>
    <row r="11691" spans="43:43" x14ac:dyDescent="0.2">
      <c r="AQ11691" s="31"/>
    </row>
    <row r="11692" spans="43:43" x14ac:dyDescent="0.2">
      <c r="AQ11692" s="31"/>
    </row>
    <row r="11693" spans="43:43" x14ac:dyDescent="0.2">
      <c r="AQ11693" s="31"/>
    </row>
    <row r="11694" spans="43:43" x14ac:dyDescent="0.2">
      <c r="AQ11694" s="31"/>
    </row>
    <row r="11695" spans="43:43" x14ac:dyDescent="0.2">
      <c r="AQ11695" s="31"/>
    </row>
    <row r="11696" spans="43:43" x14ac:dyDescent="0.2">
      <c r="AQ11696" s="31"/>
    </row>
    <row r="11697" spans="43:43" x14ac:dyDescent="0.2">
      <c r="AQ11697" s="31"/>
    </row>
    <row r="11698" spans="43:43" x14ac:dyDescent="0.2">
      <c r="AQ11698" s="31"/>
    </row>
    <row r="11699" spans="43:43" x14ac:dyDescent="0.2">
      <c r="AQ11699" s="31"/>
    </row>
    <row r="11700" spans="43:43" x14ac:dyDescent="0.2">
      <c r="AQ11700" s="31"/>
    </row>
    <row r="11701" spans="43:43" x14ac:dyDescent="0.2">
      <c r="AQ11701" s="31"/>
    </row>
    <row r="11702" spans="43:43" x14ac:dyDescent="0.2">
      <c r="AQ11702" s="31"/>
    </row>
    <row r="11703" spans="43:43" x14ac:dyDescent="0.2">
      <c r="AQ11703" s="31"/>
    </row>
    <row r="11704" spans="43:43" x14ac:dyDescent="0.2">
      <c r="AQ11704" s="31"/>
    </row>
    <row r="11705" spans="43:43" x14ac:dyDescent="0.2">
      <c r="AQ11705" s="31"/>
    </row>
    <row r="11706" spans="43:43" x14ac:dyDescent="0.2">
      <c r="AQ11706" s="31"/>
    </row>
    <row r="11707" spans="43:43" x14ac:dyDescent="0.2">
      <c r="AQ11707" s="31"/>
    </row>
    <row r="11708" spans="43:43" x14ac:dyDescent="0.2">
      <c r="AQ11708" s="31"/>
    </row>
    <row r="11709" spans="43:43" x14ac:dyDescent="0.2">
      <c r="AQ11709" s="31"/>
    </row>
    <row r="11710" spans="43:43" x14ac:dyDescent="0.2">
      <c r="AQ11710" s="31"/>
    </row>
    <row r="11711" spans="43:43" x14ac:dyDescent="0.2">
      <c r="AQ11711" s="31"/>
    </row>
    <row r="11712" spans="43:43" x14ac:dyDescent="0.2">
      <c r="AQ11712" s="31"/>
    </row>
    <row r="11713" spans="43:43" x14ac:dyDescent="0.2">
      <c r="AQ11713" s="31"/>
    </row>
    <row r="11714" spans="43:43" x14ac:dyDescent="0.2">
      <c r="AQ11714" s="31"/>
    </row>
    <row r="11715" spans="43:43" x14ac:dyDescent="0.2">
      <c r="AQ11715" s="31"/>
    </row>
    <row r="11716" spans="43:43" x14ac:dyDescent="0.2">
      <c r="AQ11716" s="31"/>
    </row>
    <row r="11717" spans="43:43" x14ac:dyDescent="0.2">
      <c r="AQ11717" s="31"/>
    </row>
    <row r="11718" spans="43:43" x14ac:dyDescent="0.2">
      <c r="AQ11718" s="31"/>
    </row>
    <row r="11719" spans="43:43" x14ac:dyDescent="0.2">
      <c r="AQ11719" s="31"/>
    </row>
    <row r="11720" spans="43:43" x14ac:dyDescent="0.2">
      <c r="AQ11720" s="31"/>
    </row>
    <row r="11721" spans="43:43" x14ac:dyDescent="0.2">
      <c r="AQ11721" s="31"/>
    </row>
    <row r="11722" spans="43:43" x14ac:dyDescent="0.2">
      <c r="AQ11722" s="31"/>
    </row>
    <row r="11723" spans="43:43" x14ac:dyDescent="0.2">
      <c r="AQ11723" s="31"/>
    </row>
    <row r="11724" spans="43:43" x14ac:dyDescent="0.2">
      <c r="AQ11724" s="31"/>
    </row>
    <row r="11725" spans="43:43" x14ac:dyDescent="0.2">
      <c r="AQ11725" s="31"/>
    </row>
    <row r="11726" spans="43:43" x14ac:dyDescent="0.2">
      <c r="AQ11726" s="31"/>
    </row>
    <row r="11727" spans="43:43" x14ac:dyDescent="0.2">
      <c r="AQ11727" s="31"/>
    </row>
    <row r="11728" spans="43:43" x14ac:dyDescent="0.2">
      <c r="AQ11728" s="31"/>
    </row>
    <row r="11729" spans="43:43" x14ac:dyDescent="0.2">
      <c r="AQ11729" s="31"/>
    </row>
    <row r="11730" spans="43:43" x14ac:dyDescent="0.2">
      <c r="AQ11730" s="31"/>
    </row>
    <row r="11731" spans="43:43" x14ac:dyDescent="0.2">
      <c r="AQ11731" s="31"/>
    </row>
    <row r="11732" spans="43:43" x14ac:dyDescent="0.2">
      <c r="AQ11732" s="31"/>
    </row>
    <row r="11733" spans="43:43" x14ac:dyDescent="0.2">
      <c r="AQ11733" s="31"/>
    </row>
    <row r="11734" spans="43:43" x14ac:dyDescent="0.2">
      <c r="AQ11734" s="31"/>
    </row>
    <row r="11735" spans="43:43" x14ac:dyDescent="0.2">
      <c r="AQ11735" s="31"/>
    </row>
    <row r="11736" spans="43:43" x14ac:dyDescent="0.2">
      <c r="AQ11736" s="31"/>
    </row>
    <row r="11737" spans="43:43" x14ac:dyDescent="0.2">
      <c r="AQ11737" s="31"/>
    </row>
    <row r="11738" spans="43:43" x14ac:dyDescent="0.2">
      <c r="AQ11738" s="31"/>
    </row>
    <row r="11739" spans="43:43" x14ac:dyDescent="0.2">
      <c r="AQ11739" s="31"/>
    </row>
    <row r="11740" spans="43:43" x14ac:dyDescent="0.2">
      <c r="AQ11740" s="31"/>
    </row>
    <row r="11741" spans="43:43" x14ac:dyDescent="0.2">
      <c r="AQ11741" s="31"/>
    </row>
    <row r="11742" spans="43:43" x14ac:dyDescent="0.2">
      <c r="AQ11742" s="31"/>
    </row>
    <row r="11743" spans="43:43" x14ac:dyDescent="0.2">
      <c r="AQ11743" s="31"/>
    </row>
    <row r="11744" spans="43:43" x14ac:dyDescent="0.2">
      <c r="AQ11744" s="31"/>
    </row>
    <row r="11745" spans="43:43" x14ac:dyDescent="0.2">
      <c r="AQ11745" s="31"/>
    </row>
    <row r="11746" spans="43:43" x14ac:dyDescent="0.2">
      <c r="AQ11746" s="31"/>
    </row>
    <row r="11747" spans="43:43" x14ac:dyDescent="0.2">
      <c r="AQ11747" s="31"/>
    </row>
    <row r="11748" spans="43:43" x14ac:dyDescent="0.2">
      <c r="AQ11748" s="31"/>
    </row>
    <row r="11749" spans="43:43" x14ac:dyDescent="0.2">
      <c r="AQ11749" s="31"/>
    </row>
    <row r="11750" spans="43:43" x14ac:dyDescent="0.2">
      <c r="AQ11750" s="31"/>
    </row>
    <row r="11751" spans="43:43" x14ac:dyDescent="0.2">
      <c r="AQ11751" s="31"/>
    </row>
    <row r="11752" spans="43:43" x14ac:dyDescent="0.2">
      <c r="AQ11752" s="31"/>
    </row>
    <row r="11753" spans="43:43" x14ac:dyDescent="0.2">
      <c r="AQ11753" s="31"/>
    </row>
    <row r="11754" spans="43:43" x14ac:dyDescent="0.2">
      <c r="AQ11754" s="31"/>
    </row>
    <row r="11755" spans="43:43" x14ac:dyDescent="0.2">
      <c r="AQ11755" s="31"/>
    </row>
    <row r="11756" spans="43:43" x14ac:dyDescent="0.2">
      <c r="AQ11756" s="31"/>
    </row>
    <row r="11757" spans="43:43" x14ac:dyDescent="0.2">
      <c r="AQ11757" s="31"/>
    </row>
    <row r="11758" spans="43:43" x14ac:dyDescent="0.2">
      <c r="AQ11758" s="31"/>
    </row>
    <row r="11759" spans="43:43" x14ac:dyDescent="0.2">
      <c r="AQ11759" s="31"/>
    </row>
    <row r="11760" spans="43:43" x14ac:dyDescent="0.2">
      <c r="AQ11760" s="31"/>
    </row>
    <row r="11761" spans="43:43" x14ac:dyDescent="0.2">
      <c r="AQ11761" s="31"/>
    </row>
    <row r="11762" spans="43:43" x14ac:dyDescent="0.2">
      <c r="AQ11762" s="31"/>
    </row>
    <row r="11763" spans="43:43" x14ac:dyDescent="0.2">
      <c r="AQ11763" s="31"/>
    </row>
    <row r="11764" spans="43:43" x14ac:dyDescent="0.2">
      <c r="AQ11764" s="31"/>
    </row>
    <row r="11765" spans="43:43" x14ac:dyDescent="0.2">
      <c r="AQ11765" s="31"/>
    </row>
    <row r="11766" spans="43:43" x14ac:dyDescent="0.2">
      <c r="AQ11766" s="31"/>
    </row>
    <row r="11767" spans="43:43" x14ac:dyDescent="0.2">
      <c r="AQ11767" s="31"/>
    </row>
    <row r="11768" spans="43:43" x14ac:dyDescent="0.2">
      <c r="AQ11768" s="31"/>
    </row>
    <row r="11769" spans="43:43" x14ac:dyDescent="0.2">
      <c r="AQ11769" s="31"/>
    </row>
    <row r="11770" spans="43:43" x14ac:dyDescent="0.2">
      <c r="AQ11770" s="31"/>
    </row>
    <row r="11771" spans="43:43" x14ac:dyDescent="0.2">
      <c r="AQ11771" s="31"/>
    </row>
    <row r="11772" spans="43:43" x14ac:dyDescent="0.2">
      <c r="AQ11772" s="31"/>
    </row>
    <row r="11773" spans="43:43" x14ac:dyDescent="0.2">
      <c r="AQ11773" s="31"/>
    </row>
    <row r="11774" spans="43:43" x14ac:dyDescent="0.2">
      <c r="AQ11774" s="31"/>
    </row>
    <row r="11775" spans="43:43" x14ac:dyDescent="0.2">
      <c r="AQ11775" s="31"/>
    </row>
    <row r="11776" spans="43:43" x14ac:dyDescent="0.2">
      <c r="AQ11776" s="31"/>
    </row>
    <row r="11777" spans="43:43" x14ac:dyDescent="0.2">
      <c r="AQ11777" s="31"/>
    </row>
    <row r="11778" spans="43:43" x14ac:dyDescent="0.2">
      <c r="AQ11778" s="31"/>
    </row>
    <row r="11779" spans="43:43" x14ac:dyDescent="0.2">
      <c r="AQ11779" s="31"/>
    </row>
    <row r="11780" spans="43:43" x14ac:dyDescent="0.2">
      <c r="AQ11780" s="31"/>
    </row>
    <row r="11781" spans="43:43" x14ac:dyDescent="0.2">
      <c r="AQ11781" s="31"/>
    </row>
    <row r="11782" spans="43:43" x14ac:dyDescent="0.2">
      <c r="AQ11782" s="31"/>
    </row>
    <row r="11783" spans="43:43" x14ac:dyDescent="0.2">
      <c r="AQ11783" s="31"/>
    </row>
    <row r="11784" spans="43:43" x14ac:dyDescent="0.2">
      <c r="AQ11784" s="31"/>
    </row>
    <row r="11785" spans="43:43" x14ac:dyDescent="0.2">
      <c r="AQ11785" s="31"/>
    </row>
    <row r="11786" spans="43:43" x14ac:dyDescent="0.2">
      <c r="AQ11786" s="31"/>
    </row>
    <row r="11787" spans="43:43" x14ac:dyDescent="0.2">
      <c r="AQ11787" s="31"/>
    </row>
    <row r="11788" spans="43:43" x14ac:dyDescent="0.2">
      <c r="AQ11788" s="31"/>
    </row>
    <row r="11789" spans="43:43" x14ac:dyDescent="0.2">
      <c r="AQ11789" s="31"/>
    </row>
    <row r="11790" spans="43:43" x14ac:dyDescent="0.2">
      <c r="AQ11790" s="31"/>
    </row>
    <row r="11791" spans="43:43" x14ac:dyDescent="0.2">
      <c r="AQ11791" s="31"/>
    </row>
    <row r="11792" spans="43:43" x14ac:dyDescent="0.2">
      <c r="AQ11792" s="31"/>
    </row>
    <row r="11793" spans="43:43" x14ac:dyDescent="0.2">
      <c r="AQ11793" s="31"/>
    </row>
    <row r="11794" spans="43:43" x14ac:dyDescent="0.2">
      <c r="AQ11794" s="31"/>
    </row>
    <row r="11795" spans="43:43" x14ac:dyDescent="0.2">
      <c r="AQ11795" s="31"/>
    </row>
    <row r="11796" spans="43:43" x14ac:dyDescent="0.2">
      <c r="AQ11796" s="31"/>
    </row>
    <row r="11797" spans="43:43" x14ac:dyDescent="0.2">
      <c r="AQ11797" s="31"/>
    </row>
    <row r="11798" spans="43:43" x14ac:dyDescent="0.2">
      <c r="AQ11798" s="31"/>
    </row>
    <row r="11799" spans="43:43" x14ac:dyDescent="0.2">
      <c r="AQ11799" s="31"/>
    </row>
    <row r="11800" spans="43:43" x14ac:dyDescent="0.2">
      <c r="AQ11800" s="31"/>
    </row>
    <row r="11801" spans="43:43" x14ac:dyDescent="0.2">
      <c r="AQ11801" s="31"/>
    </row>
    <row r="11802" spans="43:43" x14ac:dyDescent="0.2">
      <c r="AQ11802" s="31"/>
    </row>
    <row r="11803" spans="43:43" x14ac:dyDescent="0.2">
      <c r="AQ11803" s="31"/>
    </row>
    <row r="11804" spans="43:43" x14ac:dyDescent="0.2">
      <c r="AQ11804" s="31"/>
    </row>
    <row r="11805" spans="43:43" x14ac:dyDescent="0.2">
      <c r="AQ11805" s="31"/>
    </row>
    <row r="11806" spans="43:43" x14ac:dyDescent="0.2">
      <c r="AQ11806" s="31"/>
    </row>
    <row r="11807" spans="43:43" x14ac:dyDescent="0.2">
      <c r="AQ11807" s="31"/>
    </row>
    <row r="11808" spans="43:43" x14ac:dyDescent="0.2">
      <c r="AQ11808" s="31"/>
    </row>
    <row r="11809" spans="43:43" x14ac:dyDescent="0.2">
      <c r="AQ11809" s="31"/>
    </row>
    <row r="11810" spans="43:43" x14ac:dyDescent="0.2">
      <c r="AQ11810" s="31"/>
    </row>
    <row r="11811" spans="43:43" x14ac:dyDescent="0.2">
      <c r="AQ11811" s="31"/>
    </row>
    <row r="11812" spans="43:43" x14ac:dyDescent="0.2">
      <c r="AQ11812" s="31"/>
    </row>
    <row r="11813" spans="43:43" x14ac:dyDescent="0.2">
      <c r="AQ11813" s="31"/>
    </row>
    <row r="11814" spans="43:43" x14ac:dyDescent="0.2">
      <c r="AQ11814" s="31"/>
    </row>
    <row r="11815" spans="43:43" x14ac:dyDescent="0.2">
      <c r="AQ11815" s="31"/>
    </row>
    <row r="11816" spans="43:43" x14ac:dyDescent="0.2">
      <c r="AQ11816" s="31"/>
    </row>
    <row r="11817" spans="43:43" x14ac:dyDescent="0.2">
      <c r="AQ11817" s="31"/>
    </row>
    <row r="11818" spans="43:43" x14ac:dyDescent="0.2">
      <c r="AQ11818" s="31"/>
    </row>
    <row r="11819" spans="43:43" x14ac:dyDescent="0.2">
      <c r="AQ11819" s="31"/>
    </row>
    <row r="11820" spans="43:43" x14ac:dyDescent="0.2">
      <c r="AQ11820" s="31"/>
    </row>
    <row r="11821" spans="43:43" x14ac:dyDescent="0.2">
      <c r="AQ11821" s="31"/>
    </row>
    <row r="11822" spans="43:43" x14ac:dyDescent="0.2">
      <c r="AQ11822" s="31"/>
    </row>
    <row r="11823" spans="43:43" x14ac:dyDescent="0.2">
      <c r="AQ11823" s="31"/>
    </row>
    <row r="11824" spans="43:43" x14ac:dyDescent="0.2">
      <c r="AQ11824" s="31"/>
    </row>
    <row r="11825" spans="43:43" x14ac:dyDescent="0.2">
      <c r="AQ11825" s="31"/>
    </row>
    <row r="11826" spans="43:43" x14ac:dyDescent="0.2">
      <c r="AQ11826" s="31"/>
    </row>
    <row r="11827" spans="43:43" x14ac:dyDescent="0.2">
      <c r="AQ11827" s="31"/>
    </row>
    <row r="11828" spans="43:43" x14ac:dyDescent="0.2">
      <c r="AQ11828" s="31"/>
    </row>
    <row r="11829" spans="43:43" x14ac:dyDescent="0.2">
      <c r="AQ11829" s="31"/>
    </row>
    <row r="11830" spans="43:43" x14ac:dyDescent="0.2">
      <c r="AQ11830" s="31"/>
    </row>
    <row r="11831" spans="43:43" x14ac:dyDescent="0.2">
      <c r="AQ11831" s="31"/>
    </row>
    <row r="11832" spans="43:43" x14ac:dyDescent="0.2">
      <c r="AQ11832" s="31"/>
    </row>
    <row r="11833" spans="43:43" x14ac:dyDescent="0.2">
      <c r="AQ11833" s="31"/>
    </row>
    <row r="11834" spans="43:43" x14ac:dyDescent="0.2">
      <c r="AQ11834" s="31"/>
    </row>
    <row r="11835" spans="43:43" x14ac:dyDescent="0.2">
      <c r="AQ11835" s="31"/>
    </row>
    <row r="11836" spans="43:43" x14ac:dyDescent="0.2">
      <c r="AQ11836" s="31"/>
    </row>
    <row r="11837" spans="43:43" x14ac:dyDescent="0.2">
      <c r="AQ11837" s="31"/>
    </row>
    <row r="11838" spans="43:43" x14ac:dyDescent="0.2">
      <c r="AQ11838" s="31"/>
    </row>
    <row r="11839" spans="43:43" x14ac:dyDescent="0.2">
      <c r="AQ11839" s="31"/>
    </row>
    <row r="11840" spans="43:43" x14ac:dyDescent="0.2">
      <c r="AQ11840" s="31"/>
    </row>
    <row r="11841" spans="43:43" x14ac:dyDescent="0.2">
      <c r="AQ11841" s="31"/>
    </row>
    <row r="11842" spans="43:43" x14ac:dyDescent="0.2">
      <c r="AQ11842" s="31"/>
    </row>
    <row r="11843" spans="43:43" x14ac:dyDescent="0.2">
      <c r="AQ11843" s="31"/>
    </row>
    <row r="11844" spans="43:43" x14ac:dyDescent="0.2">
      <c r="AQ11844" s="31"/>
    </row>
    <row r="11845" spans="43:43" x14ac:dyDescent="0.2">
      <c r="AQ11845" s="31"/>
    </row>
    <row r="11846" spans="43:43" x14ac:dyDescent="0.2">
      <c r="AQ11846" s="31"/>
    </row>
    <row r="11847" spans="43:43" x14ac:dyDescent="0.2">
      <c r="AQ11847" s="31"/>
    </row>
    <row r="11848" spans="43:43" x14ac:dyDescent="0.2">
      <c r="AQ11848" s="31"/>
    </row>
    <row r="11849" spans="43:43" x14ac:dyDescent="0.2">
      <c r="AQ11849" s="31"/>
    </row>
    <row r="11850" spans="43:43" x14ac:dyDescent="0.2">
      <c r="AQ11850" s="31"/>
    </row>
    <row r="11851" spans="43:43" x14ac:dyDescent="0.2">
      <c r="AQ11851" s="31"/>
    </row>
    <row r="11852" spans="43:43" x14ac:dyDescent="0.2">
      <c r="AQ11852" s="31"/>
    </row>
    <row r="11853" spans="43:43" x14ac:dyDescent="0.2">
      <c r="AQ11853" s="31"/>
    </row>
    <row r="11854" spans="43:43" x14ac:dyDescent="0.2">
      <c r="AQ11854" s="31"/>
    </row>
    <row r="11855" spans="43:43" x14ac:dyDescent="0.2">
      <c r="AQ11855" s="31"/>
    </row>
    <row r="11856" spans="43:43" x14ac:dyDescent="0.2">
      <c r="AQ11856" s="31"/>
    </row>
    <row r="11857" spans="43:43" x14ac:dyDescent="0.2">
      <c r="AQ11857" s="31"/>
    </row>
    <row r="11858" spans="43:43" x14ac:dyDescent="0.2">
      <c r="AQ11858" s="31"/>
    </row>
    <row r="11859" spans="43:43" x14ac:dyDescent="0.2">
      <c r="AQ11859" s="31"/>
    </row>
    <row r="11860" spans="43:43" x14ac:dyDescent="0.2">
      <c r="AQ11860" s="31"/>
    </row>
    <row r="11861" spans="43:43" x14ac:dyDescent="0.2">
      <c r="AQ11861" s="31"/>
    </row>
    <row r="11862" spans="43:43" x14ac:dyDescent="0.2">
      <c r="AQ11862" s="31"/>
    </row>
    <row r="11863" spans="43:43" x14ac:dyDescent="0.2">
      <c r="AQ11863" s="31"/>
    </row>
    <row r="11864" spans="43:43" x14ac:dyDescent="0.2">
      <c r="AQ11864" s="31"/>
    </row>
    <row r="11865" spans="43:43" x14ac:dyDescent="0.2">
      <c r="AQ11865" s="31"/>
    </row>
    <row r="11866" spans="43:43" x14ac:dyDescent="0.2">
      <c r="AQ11866" s="31"/>
    </row>
    <row r="11867" spans="43:43" x14ac:dyDescent="0.2">
      <c r="AQ11867" s="31"/>
    </row>
    <row r="11868" spans="43:43" x14ac:dyDescent="0.2">
      <c r="AQ11868" s="31"/>
    </row>
    <row r="11869" spans="43:43" x14ac:dyDescent="0.2">
      <c r="AQ11869" s="31"/>
    </row>
    <row r="11870" spans="43:43" x14ac:dyDescent="0.2">
      <c r="AQ11870" s="31"/>
    </row>
    <row r="11871" spans="43:43" x14ac:dyDescent="0.2">
      <c r="AQ11871" s="31"/>
    </row>
    <row r="11872" spans="43:43" x14ac:dyDescent="0.2">
      <c r="AQ11872" s="31"/>
    </row>
    <row r="11873" spans="43:43" x14ac:dyDescent="0.2">
      <c r="AQ11873" s="31"/>
    </row>
    <row r="11874" spans="43:43" x14ac:dyDescent="0.2">
      <c r="AQ11874" s="31"/>
    </row>
    <row r="11875" spans="43:43" x14ac:dyDescent="0.2">
      <c r="AQ11875" s="31"/>
    </row>
    <row r="11876" spans="43:43" x14ac:dyDescent="0.2">
      <c r="AQ11876" s="31"/>
    </row>
    <row r="11877" spans="43:43" x14ac:dyDescent="0.2">
      <c r="AQ11877" s="31"/>
    </row>
    <row r="11878" spans="43:43" x14ac:dyDescent="0.2">
      <c r="AQ11878" s="31"/>
    </row>
    <row r="11879" spans="43:43" x14ac:dyDescent="0.2">
      <c r="AQ11879" s="31"/>
    </row>
    <row r="11880" spans="43:43" x14ac:dyDescent="0.2">
      <c r="AQ11880" s="31"/>
    </row>
    <row r="11881" spans="43:43" x14ac:dyDescent="0.2">
      <c r="AQ11881" s="31"/>
    </row>
    <row r="11882" spans="43:43" x14ac:dyDescent="0.2">
      <c r="AQ11882" s="31"/>
    </row>
    <row r="11883" spans="43:43" x14ac:dyDescent="0.2">
      <c r="AQ11883" s="31"/>
    </row>
    <row r="11884" spans="43:43" x14ac:dyDescent="0.2">
      <c r="AQ11884" s="31"/>
    </row>
    <row r="11885" spans="43:43" x14ac:dyDescent="0.2">
      <c r="AQ11885" s="31"/>
    </row>
    <row r="11886" spans="43:43" x14ac:dyDescent="0.2">
      <c r="AQ11886" s="31"/>
    </row>
    <row r="11887" spans="43:43" x14ac:dyDescent="0.2">
      <c r="AQ11887" s="31"/>
    </row>
    <row r="11888" spans="43:43" x14ac:dyDescent="0.2">
      <c r="AQ11888" s="31"/>
    </row>
    <row r="11889" spans="43:43" x14ac:dyDescent="0.2">
      <c r="AQ11889" s="31"/>
    </row>
    <row r="11890" spans="43:43" x14ac:dyDescent="0.2">
      <c r="AQ11890" s="31"/>
    </row>
    <row r="11891" spans="43:43" x14ac:dyDescent="0.2">
      <c r="AQ11891" s="31"/>
    </row>
    <row r="11892" spans="43:43" x14ac:dyDescent="0.2">
      <c r="AQ11892" s="31"/>
    </row>
    <row r="11893" spans="43:43" x14ac:dyDescent="0.2">
      <c r="AQ11893" s="31"/>
    </row>
    <row r="11894" spans="43:43" x14ac:dyDescent="0.2">
      <c r="AQ11894" s="31"/>
    </row>
    <row r="11895" spans="43:43" x14ac:dyDescent="0.2">
      <c r="AQ11895" s="31"/>
    </row>
    <row r="11896" spans="43:43" x14ac:dyDescent="0.2">
      <c r="AQ11896" s="31"/>
    </row>
    <row r="11897" spans="43:43" x14ac:dyDescent="0.2">
      <c r="AQ11897" s="31"/>
    </row>
    <row r="11898" spans="43:43" x14ac:dyDescent="0.2">
      <c r="AQ11898" s="31"/>
    </row>
    <row r="11899" spans="43:43" x14ac:dyDescent="0.2">
      <c r="AQ11899" s="31"/>
    </row>
    <row r="11900" spans="43:43" x14ac:dyDescent="0.2">
      <c r="AQ11900" s="31"/>
    </row>
    <row r="11901" spans="43:43" x14ac:dyDescent="0.2">
      <c r="AQ11901" s="31"/>
    </row>
    <row r="11902" spans="43:43" x14ac:dyDescent="0.2">
      <c r="AQ11902" s="31"/>
    </row>
    <row r="11903" spans="43:43" x14ac:dyDescent="0.2">
      <c r="AQ11903" s="31"/>
    </row>
    <row r="11904" spans="43:43" x14ac:dyDescent="0.2">
      <c r="AQ11904" s="31"/>
    </row>
    <row r="11905" spans="43:43" x14ac:dyDescent="0.2">
      <c r="AQ11905" s="31"/>
    </row>
    <row r="11906" spans="43:43" x14ac:dyDescent="0.2">
      <c r="AQ11906" s="31"/>
    </row>
    <row r="11907" spans="43:43" x14ac:dyDescent="0.2">
      <c r="AQ11907" s="31"/>
    </row>
    <row r="11908" spans="43:43" x14ac:dyDescent="0.2">
      <c r="AQ11908" s="31"/>
    </row>
    <row r="11909" spans="43:43" x14ac:dyDescent="0.2">
      <c r="AQ11909" s="31"/>
    </row>
    <row r="11910" spans="43:43" x14ac:dyDescent="0.2">
      <c r="AQ11910" s="31"/>
    </row>
    <row r="11911" spans="43:43" x14ac:dyDescent="0.2">
      <c r="AQ11911" s="31"/>
    </row>
    <row r="11912" spans="43:43" x14ac:dyDescent="0.2">
      <c r="AQ11912" s="31"/>
    </row>
    <row r="11913" spans="43:43" x14ac:dyDescent="0.2">
      <c r="AQ11913" s="31"/>
    </row>
    <row r="11914" spans="43:43" x14ac:dyDescent="0.2">
      <c r="AQ11914" s="31"/>
    </row>
    <row r="11915" spans="43:43" x14ac:dyDescent="0.2">
      <c r="AQ11915" s="31"/>
    </row>
    <row r="11916" spans="43:43" x14ac:dyDescent="0.2">
      <c r="AQ11916" s="31"/>
    </row>
    <row r="11917" spans="43:43" x14ac:dyDescent="0.2">
      <c r="AQ11917" s="31"/>
    </row>
    <row r="11918" spans="43:43" x14ac:dyDescent="0.2">
      <c r="AQ11918" s="31"/>
    </row>
    <row r="11919" spans="43:43" x14ac:dyDescent="0.2">
      <c r="AQ11919" s="31"/>
    </row>
    <row r="11920" spans="43:43" x14ac:dyDescent="0.2">
      <c r="AQ11920" s="31"/>
    </row>
    <row r="11921" spans="43:43" x14ac:dyDescent="0.2">
      <c r="AQ11921" s="31"/>
    </row>
    <row r="11922" spans="43:43" x14ac:dyDescent="0.2">
      <c r="AQ11922" s="31"/>
    </row>
    <row r="11923" spans="43:43" x14ac:dyDescent="0.2">
      <c r="AQ11923" s="31"/>
    </row>
    <row r="11924" spans="43:43" x14ac:dyDescent="0.2">
      <c r="AQ11924" s="31"/>
    </row>
    <row r="11925" spans="43:43" x14ac:dyDescent="0.2">
      <c r="AQ11925" s="31"/>
    </row>
    <row r="11926" spans="43:43" x14ac:dyDescent="0.2">
      <c r="AQ11926" s="31"/>
    </row>
    <row r="11927" spans="43:43" x14ac:dyDescent="0.2">
      <c r="AQ11927" s="31"/>
    </row>
    <row r="11928" spans="43:43" x14ac:dyDescent="0.2">
      <c r="AQ11928" s="31"/>
    </row>
    <row r="11929" spans="43:43" x14ac:dyDescent="0.2">
      <c r="AQ11929" s="31"/>
    </row>
    <row r="11930" spans="43:43" x14ac:dyDescent="0.2">
      <c r="AQ11930" s="31"/>
    </row>
    <row r="11931" spans="43:43" x14ac:dyDescent="0.2">
      <c r="AQ11931" s="31"/>
    </row>
    <row r="11932" spans="43:43" x14ac:dyDescent="0.2">
      <c r="AQ11932" s="31"/>
    </row>
    <row r="11933" spans="43:43" x14ac:dyDescent="0.2">
      <c r="AQ11933" s="31"/>
    </row>
    <row r="11934" spans="43:43" x14ac:dyDescent="0.2">
      <c r="AQ11934" s="31"/>
    </row>
    <row r="11935" spans="43:43" x14ac:dyDescent="0.2">
      <c r="AQ11935" s="31"/>
    </row>
    <row r="11936" spans="43:43" x14ac:dyDescent="0.2">
      <c r="AQ11936" s="31"/>
    </row>
    <row r="11937" spans="43:43" x14ac:dyDescent="0.2">
      <c r="AQ11937" s="31"/>
    </row>
    <row r="11938" spans="43:43" x14ac:dyDescent="0.2">
      <c r="AQ11938" s="31"/>
    </row>
    <row r="11939" spans="43:43" x14ac:dyDescent="0.2">
      <c r="AQ11939" s="31"/>
    </row>
    <row r="11940" spans="43:43" x14ac:dyDescent="0.2">
      <c r="AQ11940" s="31"/>
    </row>
    <row r="11941" spans="43:43" x14ac:dyDescent="0.2">
      <c r="AQ11941" s="31"/>
    </row>
    <row r="11942" spans="43:43" x14ac:dyDescent="0.2">
      <c r="AQ11942" s="31"/>
    </row>
    <row r="11943" spans="43:43" x14ac:dyDescent="0.2">
      <c r="AQ11943" s="31"/>
    </row>
    <row r="11944" spans="43:43" x14ac:dyDescent="0.2">
      <c r="AQ11944" s="31"/>
    </row>
    <row r="11945" spans="43:43" x14ac:dyDescent="0.2">
      <c r="AQ11945" s="31"/>
    </row>
    <row r="11946" spans="43:43" x14ac:dyDescent="0.2">
      <c r="AQ11946" s="31"/>
    </row>
    <row r="11947" spans="43:43" x14ac:dyDescent="0.2">
      <c r="AQ11947" s="31"/>
    </row>
    <row r="11948" spans="43:43" x14ac:dyDescent="0.2">
      <c r="AQ11948" s="31"/>
    </row>
    <row r="11949" spans="43:43" x14ac:dyDescent="0.2">
      <c r="AQ11949" s="31"/>
    </row>
    <row r="11950" spans="43:43" x14ac:dyDescent="0.2">
      <c r="AQ11950" s="31"/>
    </row>
    <row r="11951" spans="43:43" x14ac:dyDescent="0.2">
      <c r="AQ11951" s="31"/>
    </row>
    <row r="11952" spans="43:43" x14ac:dyDescent="0.2">
      <c r="AQ11952" s="31"/>
    </row>
    <row r="11953" spans="43:43" x14ac:dyDescent="0.2">
      <c r="AQ11953" s="31"/>
    </row>
    <row r="11954" spans="43:43" x14ac:dyDescent="0.2">
      <c r="AQ11954" s="31"/>
    </row>
    <row r="11955" spans="43:43" x14ac:dyDescent="0.2">
      <c r="AQ11955" s="31"/>
    </row>
    <row r="11956" spans="43:43" x14ac:dyDescent="0.2">
      <c r="AQ11956" s="31"/>
    </row>
    <row r="11957" spans="43:43" x14ac:dyDescent="0.2">
      <c r="AQ11957" s="31"/>
    </row>
    <row r="11958" spans="43:43" x14ac:dyDescent="0.2">
      <c r="AQ11958" s="31"/>
    </row>
    <row r="11959" spans="43:43" x14ac:dyDescent="0.2">
      <c r="AQ11959" s="31"/>
    </row>
    <row r="11960" spans="43:43" x14ac:dyDescent="0.2">
      <c r="AQ11960" s="31"/>
    </row>
    <row r="11961" spans="43:43" x14ac:dyDescent="0.2">
      <c r="AQ11961" s="31"/>
    </row>
    <row r="11962" spans="43:43" x14ac:dyDescent="0.2">
      <c r="AQ11962" s="31"/>
    </row>
    <row r="11963" spans="43:43" x14ac:dyDescent="0.2">
      <c r="AQ11963" s="31"/>
    </row>
    <row r="11964" spans="43:43" x14ac:dyDescent="0.2">
      <c r="AQ11964" s="31"/>
    </row>
    <row r="11965" spans="43:43" x14ac:dyDescent="0.2">
      <c r="AQ11965" s="31"/>
    </row>
    <row r="11966" spans="43:43" x14ac:dyDescent="0.2">
      <c r="AQ11966" s="31"/>
    </row>
    <row r="11967" spans="43:43" x14ac:dyDescent="0.2">
      <c r="AQ11967" s="31"/>
    </row>
    <row r="11968" spans="43:43" x14ac:dyDescent="0.2">
      <c r="AQ11968" s="31"/>
    </row>
    <row r="11969" spans="43:43" x14ac:dyDescent="0.2">
      <c r="AQ11969" s="31"/>
    </row>
    <row r="11970" spans="43:43" x14ac:dyDescent="0.2">
      <c r="AQ11970" s="31"/>
    </row>
    <row r="11971" spans="43:43" x14ac:dyDescent="0.2">
      <c r="AQ11971" s="31"/>
    </row>
    <row r="11972" spans="43:43" x14ac:dyDescent="0.2">
      <c r="AQ11972" s="31"/>
    </row>
    <row r="11973" spans="43:43" x14ac:dyDescent="0.2">
      <c r="AQ11973" s="31"/>
    </row>
    <row r="11974" spans="43:43" x14ac:dyDescent="0.2">
      <c r="AQ11974" s="31"/>
    </row>
    <row r="11975" spans="43:43" x14ac:dyDescent="0.2">
      <c r="AQ11975" s="31"/>
    </row>
    <row r="11976" spans="43:43" x14ac:dyDescent="0.2">
      <c r="AQ11976" s="31"/>
    </row>
    <row r="11977" spans="43:43" x14ac:dyDescent="0.2">
      <c r="AQ11977" s="31"/>
    </row>
    <row r="11978" spans="43:43" x14ac:dyDescent="0.2">
      <c r="AQ11978" s="31"/>
    </row>
    <row r="11979" spans="43:43" x14ac:dyDescent="0.2">
      <c r="AQ11979" s="31"/>
    </row>
    <row r="11980" spans="43:43" x14ac:dyDescent="0.2">
      <c r="AQ11980" s="31"/>
    </row>
    <row r="11981" spans="43:43" x14ac:dyDescent="0.2">
      <c r="AQ11981" s="31"/>
    </row>
    <row r="11982" spans="43:43" x14ac:dyDescent="0.2">
      <c r="AQ11982" s="31"/>
    </row>
    <row r="11983" spans="43:43" x14ac:dyDescent="0.2">
      <c r="AQ11983" s="31"/>
    </row>
    <row r="11984" spans="43:43" x14ac:dyDescent="0.2">
      <c r="AQ11984" s="31"/>
    </row>
    <row r="11985" spans="43:43" x14ac:dyDescent="0.2">
      <c r="AQ11985" s="31"/>
    </row>
    <row r="11986" spans="43:43" x14ac:dyDescent="0.2">
      <c r="AQ11986" s="31"/>
    </row>
    <row r="11987" spans="43:43" x14ac:dyDescent="0.2">
      <c r="AQ11987" s="31"/>
    </row>
    <row r="11988" spans="43:43" x14ac:dyDescent="0.2">
      <c r="AQ11988" s="31"/>
    </row>
    <row r="11989" spans="43:43" x14ac:dyDescent="0.2">
      <c r="AQ11989" s="31"/>
    </row>
    <row r="11990" spans="43:43" x14ac:dyDescent="0.2">
      <c r="AQ11990" s="31"/>
    </row>
    <row r="11991" spans="43:43" x14ac:dyDescent="0.2">
      <c r="AQ11991" s="31"/>
    </row>
    <row r="11992" spans="43:43" x14ac:dyDescent="0.2">
      <c r="AQ11992" s="31"/>
    </row>
    <row r="11993" spans="43:43" x14ac:dyDescent="0.2">
      <c r="AQ11993" s="31"/>
    </row>
    <row r="11994" spans="43:43" x14ac:dyDescent="0.2">
      <c r="AQ11994" s="31"/>
    </row>
    <row r="11995" spans="43:43" x14ac:dyDescent="0.2">
      <c r="AQ11995" s="31"/>
    </row>
    <row r="11996" spans="43:43" x14ac:dyDescent="0.2">
      <c r="AQ11996" s="31"/>
    </row>
    <row r="11997" spans="43:43" x14ac:dyDescent="0.2">
      <c r="AQ11997" s="31"/>
    </row>
    <row r="11998" spans="43:43" x14ac:dyDescent="0.2">
      <c r="AQ11998" s="31"/>
    </row>
    <row r="11999" spans="43:43" x14ac:dyDescent="0.2">
      <c r="AQ11999" s="31"/>
    </row>
    <row r="12000" spans="43:43" x14ac:dyDescent="0.2">
      <c r="AQ12000" s="31"/>
    </row>
    <row r="12001" spans="43:43" x14ac:dyDescent="0.2">
      <c r="AQ12001" s="31"/>
    </row>
    <row r="12002" spans="43:43" x14ac:dyDescent="0.2">
      <c r="AQ12002" s="31"/>
    </row>
    <row r="12003" spans="43:43" x14ac:dyDescent="0.2">
      <c r="AQ12003" s="31"/>
    </row>
    <row r="12004" spans="43:43" x14ac:dyDescent="0.2">
      <c r="AQ12004" s="31"/>
    </row>
    <row r="12005" spans="43:43" x14ac:dyDescent="0.2">
      <c r="AQ12005" s="31"/>
    </row>
    <row r="12006" spans="43:43" x14ac:dyDescent="0.2">
      <c r="AQ12006" s="31"/>
    </row>
    <row r="12007" spans="43:43" x14ac:dyDescent="0.2">
      <c r="AQ12007" s="31"/>
    </row>
    <row r="12008" spans="43:43" x14ac:dyDescent="0.2">
      <c r="AQ12008" s="31"/>
    </row>
    <row r="12009" spans="43:43" x14ac:dyDescent="0.2">
      <c r="AQ12009" s="31"/>
    </row>
    <row r="12010" spans="43:43" x14ac:dyDescent="0.2">
      <c r="AQ12010" s="31"/>
    </row>
    <row r="12011" spans="43:43" x14ac:dyDescent="0.2">
      <c r="AQ12011" s="31"/>
    </row>
    <row r="12012" spans="43:43" x14ac:dyDescent="0.2">
      <c r="AQ12012" s="31"/>
    </row>
    <row r="12013" spans="43:43" x14ac:dyDescent="0.2">
      <c r="AQ12013" s="31"/>
    </row>
    <row r="12014" spans="43:43" x14ac:dyDescent="0.2">
      <c r="AQ12014" s="31"/>
    </row>
    <row r="12015" spans="43:43" x14ac:dyDescent="0.2">
      <c r="AQ12015" s="31"/>
    </row>
    <row r="12016" spans="43:43" x14ac:dyDescent="0.2">
      <c r="AQ12016" s="31"/>
    </row>
    <row r="12017" spans="43:43" x14ac:dyDescent="0.2">
      <c r="AQ12017" s="31"/>
    </row>
    <row r="12018" spans="43:43" x14ac:dyDescent="0.2">
      <c r="AQ12018" s="31"/>
    </row>
    <row r="12019" spans="43:43" x14ac:dyDescent="0.2">
      <c r="AQ12019" s="31"/>
    </row>
    <row r="12020" spans="43:43" x14ac:dyDescent="0.2">
      <c r="AQ12020" s="31"/>
    </row>
    <row r="12021" spans="43:43" x14ac:dyDescent="0.2">
      <c r="AQ12021" s="31"/>
    </row>
    <row r="12022" spans="43:43" x14ac:dyDescent="0.2">
      <c r="AQ12022" s="31"/>
    </row>
    <row r="12023" spans="43:43" x14ac:dyDescent="0.2">
      <c r="AQ12023" s="31"/>
    </row>
    <row r="12024" spans="43:43" x14ac:dyDescent="0.2">
      <c r="AQ12024" s="31"/>
    </row>
    <row r="12025" spans="43:43" x14ac:dyDescent="0.2">
      <c r="AQ12025" s="31"/>
    </row>
    <row r="12026" spans="43:43" x14ac:dyDescent="0.2">
      <c r="AQ12026" s="31"/>
    </row>
    <row r="12027" spans="43:43" x14ac:dyDescent="0.2">
      <c r="AQ12027" s="31"/>
    </row>
    <row r="12028" spans="43:43" x14ac:dyDescent="0.2">
      <c r="AQ12028" s="31"/>
    </row>
    <row r="12029" spans="43:43" x14ac:dyDescent="0.2">
      <c r="AQ12029" s="31"/>
    </row>
    <row r="12030" spans="43:43" x14ac:dyDescent="0.2">
      <c r="AQ12030" s="31"/>
    </row>
    <row r="12031" spans="43:43" x14ac:dyDescent="0.2">
      <c r="AQ12031" s="31"/>
    </row>
    <row r="12032" spans="43:43" x14ac:dyDescent="0.2">
      <c r="AQ12032" s="31"/>
    </row>
    <row r="12033" spans="43:43" x14ac:dyDescent="0.2">
      <c r="AQ12033" s="31"/>
    </row>
    <row r="12034" spans="43:43" x14ac:dyDescent="0.2">
      <c r="AQ12034" s="31"/>
    </row>
    <row r="12035" spans="43:43" x14ac:dyDescent="0.2">
      <c r="AQ12035" s="31"/>
    </row>
    <row r="12036" spans="43:43" x14ac:dyDescent="0.2">
      <c r="AQ12036" s="31"/>
    </row>
    <row r="12037" spans="43:43" x14ac:dyDescent="0.2">
      <c r="AQ12037" s="31"/>
    </row>
    <row r="12038" spans="43:43" x14ac:dyDescent="0.2">
      <c r="AQ12038" s="31"/>
    </row>
    <row r="12039" spans="43:43" x14ac:dyDescent="0.2">
      <c r="AQ12039" s="31"/>
    </row>
    <row r="12040" spans="43:43" x14ac:dyDescent="0.2">
      <c r="AQ12040" s="31"/>
    </row>
    <row r="12041" spans="43:43" x14ac:dyDescent="0.2">
      <c r="AQ12041" s="31"/>
    </row>
    <row r="12042" spans="43:43" x14ac:dyDescent="0.2">
      <c r="AQ12042" s="31"/>
    </row>
    <row r="12043" spans="43:43" x14ac:dyDescent="0.2">
      <c r="AQ12043" s="31"/>
    </row>
    <row r="12044" spans="43:43" x14ac:dyDescent="0.2">
      <c r="AQ12044" s="31"/>
    </row>
    <row r="12045" spans="43:43" x14ac:dyDescent="0.2">
      <c r="AQ12045" s="31"/>
    </row>
    <row r="12046" spans="43:43" x14ac:dyDescent="0.2">
      <c r="AQ12046" s="31"/>
    </row>
    <row r="12047" spans="43:43" x14ac:dyDescent="0.2">
      <c r="AQ12047" s="31"/>
    </row>
    <row r="12048" spans="43:43" x14ac:dyDescent="0.2">
      <c r="AQ12048" s="31"/>
    </row>
    <row r="12049" spans="43:43" x14ac:dyDescent="0.2">
      <c r="AQ12049" s="31"/>
    </row>
    <row r="12050" spans="43:43" x14ac:dyDescent="0.2">
      <c r="AQ12050" s="31"/>
    </row>
    <row r="12051" spans="43:43" x14ac:dyDescent="0.2">
      <c r="AQ12051" s="31"/>
    </row>
    <row r="12052" spans="43:43" x14ac:dyDescent="0.2">
      <c r="AQ12052" s="31"/>
    </row>
    <row r="12053" spans="43:43" x14ac:dyDescent="0.2">
      <c r="AQ12053" s="31"/>
    </row>
    <row r="12054" spans="43:43" x14ac:dyDescent="0.2">
      <c r="AQ12054" s="31"/>
    </row>
    <row r="12055" spans="43:43" x14ac:dyDescent="0.2">
      <c r="AQ12055" s="31"/>
    </row>
    <row r="12056" spans="43:43" x14ac:dyDescent="0.2">
      <c r="AQ12056" s="31"/>
    </row>
    <row r="12057" spans="43:43" x14ac:dyDescent="0.2">
      <c r="AQ12057" s="31"/>
    </row>
    <row r="12058" spans="43:43" x14ac:dyDescent="0.2">
      <c r="AQ12058" s="31"/>
    </row>
    <row r="12059" spans="43:43" x14ac:dyDescent="0.2">
      <c r="AQ12059" s="31"/>
    </row>
    <row r="12060" spans="43:43" x14ac:dyDescent="0.2">
      <c r="AQ12060" s="31"/>
    </row>
    <row r="12061" spans="43:43" x14ac:dyDescent="0.2">
      <c r="AQ12061" s="31"/>
    </row>
    <row r="12062" spans="43:43" x14ac:dyDescent="0.2">
      <c r="AQ12062" s="31"/>
    </row>
    <row r="12063" spans="43:43" x14ac:dyDescent="0.2">
      <c r="AQ12063" s="31"/>
    </row>
    <row r="12064" spans="43:43" x14ac:dyDescent="0.2">
      <c r="AQ12064" s="31"/>
    </row>
    <row r="12065" spans="43:43" x14ac:dyDescent="0.2">
      <c r="AQ12065" s="31"/>
    </row>
    <row r="12066" spans="43:43" x14ac:dyDescent="0.2">
      <c r="AQ12066" s="31"/>
    </row>
    <row r="12067" spans="43:43" x14ac:dyDescent="0.2">
      <c r="AQ12067" s="31"/>
    </row>
    <row r="12068" spans="43:43" x14ac:dyDescent="0.2">
      <c r="AQ12068" s="31"/>
    </row>
    <row r="12069" spans="43:43" x14ac:dyDescent="0.2">
      <c r="AQ12069" s="31"/>
    </row>
    <row r="12070" spans="43:43" x14ac:dyDescent="0.2">
      <c r="AQ12070" s="31"/>
    </row>
    <row r="12071" spans="43:43" x14ac:dyDescent="0.2">
      <c r="AQ12071" s="31"/>
    </row>
    <row r="12072" spans="43:43" x14ac:dyDescent="0.2">
      <c r="AQ12072" s="31"/>
    </row>
    <row r="12073" spans="43:43" x14ac:dyDescent="0.2">
      <c r="AQ12073" s="31"/>
    </row>
    <row r="12074" spans="43:43" x14ac:dyDescent="0.2">
      <c r="AQ12074" s="31"/>
    </row>
    <row r="12075" spans="43:43" x14ac:dyDescent="0.2">
      <c r="AQ12075" s="31"/>
    </row>
    <row r="12076" spans="43:43" x14ac:dyDescent="0.2">
      <c r="AQ12076" s="31"/>
    </row>
    <row r="12077" spans="43:43" x14ac:dyDescent="0.2">
      <c r="AQ12077" s="31"/>
    </row>
    <row r="12078" spans="43:43" x14ac:dyDescent="0.2">
      <c r="AQ12078" s="31"/>
    </row>
    <row r="12079" spans="43:43" x14ac:dyDescent="0.2">
      <c r="AQ12079" s="31"/>
    </row>
    <row r="12080" spans="43:43" x14ac:dyDescent="0.2">
      <c r="AQ12080" s="31"/>
    </row>
    <row r="12081" spans="43:43" x14ac:dyDescent="0.2">
      <c r="AQ12081" s="31"/>
    </row>
    <row r="12082" spans="43:43" x14ac:dyDescent="0.2">
      <c r="AQ12082" s="31"/>
    </row>
    <row r="12083" spans="43:43" x14ac:dyDescent="0.2">
      <c r="AQ12083" s="31"/>
    </row>
    <row r="12084" spans="43:43" x14ac:dyDescent="0.2">
      <c r="AQ12084" s="31"/>
    </row>
    <row r="12085" spans="43:43" x14ac:dyDescent="0.2">
      <c r="AQ12085" s="31"/>
    </row>
    <row r="12086" spans="43:43" x14ac:dyDescent="0.2">
      <c r="AQ12086" s="31"/>
    </row>
    <row r="12087" spans="43:43" x14ac:dyDescent="0.2">
      <c r="AQ12087" s="31"/>
    </row>
    <row r="12088" spans="43:43" x14ac:dyDescent="0.2">
      <c r="AQ12088" s="31"/>
    </row>
    <row r="12089" spans="43:43" x14ac:dyDescent="0.2">
      <c r="AQ12089" s="31"/>
    </row>
    <row r="12090" spans="43:43" x14ac:dyDescent="0.2">
      <c r="AQ12090" s="31"/>
    </row>
    <row r="12091" spans="43:43" x14ac:dyDescent="0.2">
      <c r="AQ12091" s="31"/>
    </row>
    <row r="12092" spans="43:43" x14ac:dyDescent="0.2">
      <c r="AQ12092" s="31"/>
    </row>
    <row r="12093" spans="43:43" x14ac:dyDescent="0.2">
      <c r="AQ12093" s="31"/>
    </row>
    <row r="12094" spans="43:43" x14ac:dyDescent="0.2">
      <c r="AQ12094" s="31"/>
    </row>
    <row r="12095" spans="43:43" x14ac:dyDescent="0.2">
      <c r="AQ12095" s="31"/>
    </row>
    <row r="12096" spans="43:43" x14ac:dyDescent="0.2">
      <c r="AQ12096" s="31"/>
    </row>
    <row r="12097" spans="43:43" x14ac:dyDescent="0.2">
      <c r="AQ12097" s="31"/>
    </row>
    <row r="12098" spans="43:43" x14ac:dyDescent="0.2">
      <c r="AQ12098" s="31"/>
    </row>
    <row r="12099" spans="43:43" x14ac:dyDescent="0.2">
      <c r="AQ12099" s="31"/>
    </row>
    <row r="12100" spans="43:43" x14ac:dyDescent="0.2">
      <c r="AQ12100" s="31"/>
    </row>
    <row r="12101" spans="43:43" x14ac:dyDescent="0.2">
      <c r="AQ12101" s="31"/>
    </row>
    <row r="12102" spans="43:43" x14ac:dyDescent="0.2">
      <c r="AQ12102" s="31"/>
    </row>
    <row r="12103" spans="43:43" x14ac:dyDescent="0.2">
      <c r="AQ12103" s="31"/>
    </row>
    <row r="12104" spans="43:43" x14ac:dyDescent="0.2">
      <c r="AQ12104" s="31"/>
    </row>
    <row r="12105" spans="43:43" x14ac:dyDescent="0.2">
      <c r="AQ12105" s="31"/>
    </row>
    <row r="12106" spans="43:43" x14ac:dyDescent="0.2">
      <c r="AQ12106" s="31"/>
    </row>
    <row r="12107" spans="43:43" x14ac:dyDescent="0.2">
      <c r="AQ12107" s="31"/>
    </row>
    <row r="12108" spans="43:43" x14ac:dyDescent="0.2">
      <c r="AQ12108" s="31"/>
    </row>
    <row r="12109" spans="43:43" x14ac:dyDescent="0.2">
      <c r="AQ12109" s="31"/>
    </row>
    <row r="12110" spans="43:43" x14ac:dyDescent="0.2">
      <c r="AQ12110" s="31"/>
    </row>
    <row r="12111" spans="43:43" x14ac:dyDescent="0.2">
      <c r="AQ12111" s="31"/>
    </row>
    <row r="12112" spans="43:43" x14ac:dyDescent="0.2">
      <c r="AQ12112" s="31"/>
    </row>
    <row r="12113" spans="43:43" x14ac:dyDescent="0.2">
      <c r="AQ12113" s="31"/>
    </row>
    <row r="12114" spans="43:43" x14ac:dyDescent="0.2">
      <c r="AQ12114" s="31"/>
    </row>
    <row r="12115" spans="43:43" x14ac:dyDescent="0.2">
      <c r="AQ12115" s="31"/>
    </row>
    <row r="12116" spans="43:43" x14ac:dyDescent="0.2">
      <c r="AQ12116" s="31"/>
    </row>
    <row r="12117" spans="43:43" x14ac:dyDescent="0.2">
      <c r="AQ12117" s="31"/>
    </row>
    <row r="12118" spans="43:43" x14ac:dyDescent="0.2">
      <c r="AQ12118" s="31"/>
    </row>
    <row r="12119" spans="43:43" x14ac:dyDescent="0.2">
      <c r="AQ12119" s="31"/>
    </row>
    <row r="12120" spans="43:43" x14ac:dyDescent="0.2">
      <c r="AQ12120" s="31"/>
    </row>
    <row r="12121" spans="43:43" x14ac:dyDescent="0.2">
      <c r="AQ12121" s="31"/>
    </row>
    <row r="12122" spans="43:43" x14ac:dyDescent="0.2">
      <c r="AQ12122" s="31"/>
    </row>
    <row r="12123" spans="43:43" x14ac:dyDescent="0.2">
      <c r="AQ12123" s="31"/>
    </row>
    <row r="12124" spans="43:43" x14ac:dyDescent="0.2">
      <c r="AQ12124" s="31"/>
    </row>
    <row r="12125" spans="43:43" x14ac:dyDescent="0.2">
      <c r="AQ12125" s="31"/>
    </row>
    <row r="12126" spans="43:43" x14ac:dyDescent="0.2">
      <c r="AQ12126" s="31"/>
    </row>
    <row r="12127" spans="43:43" x14ac:dyDescent="0.2">
      <c r="AQ12127" s="31"/>
    </row>
    <row r="12128" spans="43:43" x14ac:dyDescent="0.2">
      <c r="AQ12128" s="31"/>
    </row>
    <row r="12129" spans="43:43" x14ac:dyDescent="0.2">
      <c r="AQ12129" s="31"/>
    </row>
    <row r="12130" spans="43:43" x14ac:dyDescent="0.2">
      <c r="AQ12130" s="31"/>
    </row>
    <row r="12131" spans="43:43" x14ac:dyDescent="0.2">
      <c r="AQ12131" s="31"/>
    </row>
    <row r="12132" spans="43:43" x14ac:dyDescent="0.2">
      <c r="AQ12132" s="31"/>
    </row>
    <row r="12133" spans="43:43" x14ac:dyDescent="0.2">
      <c r="AQ12133" s="31"/>
    </row>
    <row r="12134" spans="43:43" x14ac:dyDescent="0.2">
      <c r="AQ12134" s="31"/>
    </row>
    <row r="12135" spans="43:43" x14ac:dyDescent="0.2">
      <c r="AQ12135" s="31"/>
    </row>
    <row r="12136" spans="43:43" x14ac:dyDescent="0.2">
      <c r="AQ12136" s="31"/>
    </row>
    <row r="12137" spans="43:43" x14ac:dyDescent="0.2">
      <c r="AQ12137" s="31"/>
    </row>
    <row r="12138" spans="43:43" x14ac:dyDescent="0.2">
      <c r="AQ12138" s="31"/>
    </row>
    <row r="12139" spans="43:43" x14ac:dyDescent="0.2">
      <c r="AQ12139" s="31"/>
    </row>
    <row r="12140" spans="43:43" x14ac:dyDescent="0.2">
      <c r="AQ12140" s="31"/>
    </row>
    <row r="12141" spans="43:43" x14ac:dyDescent="0.2">
      <c r="AQ12141" s="31"/>
    </row>
    <row r="12142" spans="43:43" x14ac:dyDescent="0.2">
      <c r="AQ12142" s="31"/>
    </row>
    <row r="12143" spans="43:43" x14ac:dyDescent="0.2">
      <c r="AQ12143" s="31"/>
    </row>
    <row r="12144" spans="43:43" x14ac:dyDescent="0.2">
      <c r="AQ12144" s="31"/>
    </row>
    <row r="12145" spans="43:43" x14ac:dyDescent="0.2">
      <c r="AQ12145" s="31"/>
    </row>
    <row r="12146" spans="43:43" x14ac:dyDescent="0.2">
      <c r="AQ12146" s="31"/>
    </row>
    <row r="12147" spans="43:43" x14ac:dyDescent="0.2">
      <c r="AQ12147" s="31"/>
    </row>
    <row r="12148" spans="43:43" x14ac:dyDescent="0.2">
      <c r="AQ12148" s="31"/>
    </row>
    <row r="12149" spans="43:43" x14ac:dyDescent="0.2">
      <c r="AQ12149" s="31"/>
    </row>
    <row r="12150" spans="43:43" x14ac:dyDescent="0.2">
      <c r="AQ12150" s="31"/>
    </row>
    <row r="12151" spans="43:43" x14ac:dyDescent="0.2">
      <c r="AQ12151" s="31"/>
    </row>
    <row r="12152" spans="43:43" x14ac:dyDescent="0.2">
      <c r="AQ12152" s="31"/>
    </row>
    <row r="12153" spans="43:43" x14ac:dyDescent="0.2">
      <c r="AQ12153" s="31"/>
    </row>
    <row r="12154" spans="43:43" x14ac:dyDescent="0.2">
      <c r="AQ12154" s="31"/>
    </row>
    <row r="12155" spans="43:43" x14ac:dyDescent="0.2">
      <c r="AQ12155" s="31"/>
    </row>
    <row r="12156" spans="43:43" x14ac:dyDescent="0.2">
      <c r="AQ12156" s="31"/>
    </row>
    <row r="12157" spans="43:43" x14ac:dyDescent="0.2">
      <c r="AQ12157" s="31"/>
    </row>
    <row r="12158" spans="43:43" x14ac:dyDescent="0.2">
      <c r="AQ12158" s="31"/>
    </row>
    <row r="12159" spans="43:43" x14ac:dyDescent="0.2">
      <c r="AQ12159" s="31"/>
    </row>
    <row r="12160" spans="43:43" x14ac:dyDescent="0.2">
      <c r="AQ12160" s="31"/>
    </row>
    <row r="12161" spans="43:43" x14ac:dyDescent="0.2">
      <c r="AQ12161" s="31"/>
    </row>
    <row r="12162" spans="43:43" x14ac:dyDescent="0.2">
      <c r="AQ12162" s="31"/>
    </row>
    <row r="12163" spans="43:43" x14ac:dyDescent="0.2">
      <c r="AQ12163" s="31"/>
    </row>
    <row r="12164" spans="43:43" x14ac:dyDescent="0.2">
      <c r="AQ12164" s="31"/>
    </row>
    <row r="12165" spans="43:43" x14ac:dyDescent="0.2">
      <c r="AQ12165" s="31"/>
    </row>
    <row r="12166" spans="43:43" x14ac:dyDescent="0.2">
      <c r="AQ12166" s="31"/>
    </row>
    <row r="12167" spans="43:43" x14ac:dyDescent="0.2">
      <c r="AQ12167" s="31"/>
    </row>
    <row r="12168" spans="43:43" x14ac:dyDescent="0.2">
      <c r="AQ12168" s="31"/>
    </row>
    <row r="12169" spans="43:43" x14ac:dyDescent="0.2">
      <c r="AQ12169" s="31"/>
    </row>
    <row r="12170" spans="43:43" x14ac:dyDescent="0.2">
      <c r="AQ12170" s="31"/>
    </row>
    <row r="12171" spans="43:43" x14ac:dyDescent="0.2">
      <c r="AQ12171" s="31"/>
    </row>
    <row r="12172" spans="43:43" x14ac:dyDescent="0.2">
      <c r="AQ12172" s="31"/>
    </row>
    <row r="12173" spans="43:43" x14ac:dyDescent="0.2">
      <c r="AQ12173" s="31"/>
    </row>
    <row r="12174" spans="43:43" x14ac:dyDescent="0.2">
      <c r="AQ12174" s="31"/>
    </row>
    <row r="12175" spans="43:43" x14ac:dyDescent="0.2">
      <c r="AQ12175" s="31"/>
    </row>
    <row r="12176" spans="43:43" x14ac:dyDescent="0.2">
      <c r="AQ12176" s="31"/>
    </row>
    <row r="12177" spans="43:43" x14ac:dyDescent="0.2">
      <c r="AQ12177" s="31"/>
    </row>
    <row r="12178" spans="43:43" x14ac:dyDescent="0.2">
      <c r="AQ12178" s="31"/>
    </row>
    <row r="12179" spans="43:43" x14ac:dyDescent="0.2">
      <c r="AQ12179" s="31"/>
    </row>
    <row r="12180" spans="43:43" x14ac:dyDescent="0.2">
      <c r="AQ12180" s="31"/>
    </row>
    <row r="12181" spans="43:43" x14ac:dyDescent="0.2">
      <c r="AQ12181" s="31"/>
    </row>
    <row r="12182" spans="43:43" x14ac:dyDescent="0.2">
      <c r="AQ12182" s="31"/>
    </row>
    <row r="12183" spans="43:43" x14ac:dyDescent="0.2">
      <c r="AQ12183" s="31"/>
    </row>
    <row r="12184" spans="43:43" x14ac:dyDescent="0.2">
      <c r="AQ12184" s="31"/>
    </row>
    <row r="12185" spans="43:43" x14ac:dyDescent="0.2">
      <c r="AQ12185" s="31"/>
    </row>
    <row r="12186" spans="43:43" x14ac:dyDescent="0.2">
      <c r="AQ12186" s="31"/>
    </row>
    <row r="12187" spans="43:43" x14ac:dyDescent="0.2">
      <c r="AQ12187" s="31"/>
    </row>
    <row r="12188" spans="43:43" x14ac:dyDescent="0.2">
      <c r="AQ12188" s="31"/>
    </row>
    <row r="12189" spans="43:43" x14ac:dyDescent="0.2">
      <c r="AQ12189" s="31"/>
    </row>
    <row r="12190" spans="43:43" x14ac:dyDescent="0.2">
      <c r="AQ12190" s="31"/>
    </row>
    <row r="12191" spans="43:43" x14ac:dyDescent="0.2">
      <c r="AQ12191" s="31"/>
    </row>
    <row r="12192" spans="43:43" x14ac:dyDescent="0.2">
      <c r="AQ12192" s="31"/>
    </row>
    <row r="12193" spans="43:43" x14ac:dyDescent="0.2">
      <c r="AQ12193" s="31"/>
    </row>
    <row r="12194" spans="43:43" x14ac:dyDescent="0.2">
      <c r="AQ12194" s="31"/>
    </row>
    <row r="12195" spans="43:43" x14ac:dyDescent="0.2">
      <c r="AQ12195" s="31"/>
    </row>
    <row r="12196" spans="43:43" x14ac:dyDescent="0.2">
      <c r="AQ12196" s="31"/>
    </row>
    <row r="12197" spans="43:43" x14ac:dyDescent="0.2">
      <c r="AQ12197" s="31"/>
    </row>
    <row r="12198" spans="43:43" x14ac:dyDescent="0.2">
      <c r="AQ12198" s="31"/>
    </row>
    <row r="12199" spans="43:43" x14ac:dyDescent="0.2">
      <c r="AQ12199" s="31"/>
    </row>
    <row r="12200" spans="43:43" x14ac:dyDescent="0.2">
      <c r="AQ12200" s="31"/>
    </row>
    <row r="12201" spans="43:43" x14ac:dyDescent="0.2">
      <c r="AQ12201" s="31"/>
    </row>
    <row r="12202" spans="43:43" x14ac:dyDescent="0.2">
      <c r="AQ12202" s="31"/>
    </row>
    <row r="12203" spans="43:43" x14ac:dyDescent="0.2">
      <c r="AQ12203" s="31"/>
    </row>
    <row r="12204" spans="43:43" x14ac:dyDescent="0.2">
      <c r="AQ12204" s="31"/>
    </row>
    <row r="12205" spans="43:43" x14ac:dyDescent="0.2">
      <c r="AQ12205" s="31"/>
    </row>
    <row r="12206" spans="43:43" x14ac:dyDescent="0.2">
      <c r="AQ12206" s="31"/>
    </row>
    <row r="12207" spans="43:43" x14ac:dyDescent="0.2">
      <c r="AQ12207" s="31"/>
    </row>
    <row r="12208" spans="43:43" x14ac:dyDescent="0.2">
      <c r="AQ12208" s="31"/>
    </row>
    <row r="12209" spans="43:43" x14ac:dyDescent="0.2">
      <c r="AQ12209" s="31"/>
    </row>
    <row r="12210" spans="43:43" x14ac:dyDescent="0.2">
      <c r="AQ12210" s="31"/>
    </row>
    <row r="12211" spans="43:43" x14ac:dyDescent="0.2">
      <c r="AQ12211" s="31"/>
    </row>
    <row r="12212" spans="43:43" x14ac:dyDescent="0.2">
      <c r="AQ12212" s="31"/>
    </row>
    <row r="12213" spans="43:43" x14ac:dyDescent="0.2">
      <c r="AQ12213" s="31"/>
    </row>
    <row r="12214" spans="43:43" x14ac:dyDescent="0.2">
      <c r="AQ12214" s="31"/>
    </row>
    <row r="12215" spans="43:43" x14ac:dyDescent="0.2">
      <c r="AQ12215" s="31"/>
    </row>
    <row r="12216" spans="43:43" x14ac:dyDescent="0.2">
      <c r="AQ12216" s="31"/>
    </row>
    <row r="12217" spans="43:43" x14ac:dyDescent="0.2">
      <c r="AQ12217" s="31"/>
    </row>
    <row r="12218" spans="43:43" x14ac:dyDescent="0.2">
      <c r="AQ12218" s="31"/>
    </row>
    <row r="12219" spans="43:43" x14ac:dyDescent="0.2">
      <c r="AQ12219" s="31"/>
    </row>
    <row r="12220" spans="43:43" x14ac:dyDescent="0.2">
      <c r="AQ12220" s="31"/>
    </row>
    <row r="12221" spans="43:43" x14ac:dyDescent="0.2">
      <c r="AQ12221" s="31"/>
    </row>
    <row r="12222" spans="43:43" x14ac:dyDescent="0.2">
      <c r="AQ12222" s="31"/>
    </row>
    <row r="12223" spans="43:43" x14ac:dyDescent="0.2">
      <c r="AQ12223" s="31"/>
    </row>
    <row r="12224" spans="43:43" x14ac:dyDescent="0.2">
      <c r="AQ12224" s="31"/>
    </row>
    <row r="12225" spans="43:43" x14ac:dyDescent="0.2">
      <c r="AQ12225" s="31"/>
    </row>
    <row r="12226" spans="43:43" x14ac:dyDescent="0.2">
      <c r="AQ12226" s="31"/>
    </row>
    <row r="12227" spans="43:43" x14ac:dyDescent="0.2">
      <c r="AQ12227" s="31"/>
    </row>
    <row r="12228" spans="43:43" x14ac:dyDescent="0.2">
      <c r="AQ12228" s="31"/>
    </row>
    <row r="12229" spans="43:43" x14ac:dyDescent="0.2">
      <c r="AQ12229" s="31"/>
    </row>
    <row r="12230" spans="43:43" x14ac:dyDescent="0.2">
      <c r="AQ12230" s="31"/>
    </row>
    <row r="12231" spans="43:43" x14ac:dyDescent="0.2">
      <c r="AQ12231" s="31"/>
    </row>
    <row r="12232" spans="43:43" x14ac:dyDescent="0.2">
      <c r="AQ12232" s="31"/>
    </row>
    <row r="12233" spans="43:43" x14ac:dyDescent="0.2">
      <c r="AQ12233" s="31"/>
    </row>
    <row r="12234" spans="43:43" x14ac:dyDescent="0.2">
      <c r="AQ12234" s="31"/>
    </row>
    <row r="12235" spans="43:43" x14ac:dyDescent="0.2">
      <c r="AQ12235" s="31"/>
    </row>
    <row r="12236" spans="43:43" x14ac:dyDescent="0.2">
      <c r="AQ12236" s="31"/>
    </row>
    <row r="12237" spans="43:43" x14ac:dyDescent="0.2">
      <c r="AQ12237" s="31"/>
    </row>
    <row r="12238" spans="43:43" x14ac:dyDescent="0.2">
      <c r="AQ12238" s="31"/>
    </row>
    <row r="12239" spans="43:43" x14ac:dyDescent="0.2">
      <c r="AQ12239" s="31"/>
    </row>
    <row r="12240" spans="43:43" x14ac:dyDescent="0.2">
      <c r="AQ12240" s="31"/>
    </row>
    <row r="12241" spans="43:43" x14ac:dyDescent="0.2">
      <c r="AQ12241" s="31"/>
    </row>
    <row r="12242" spans="43:43" x14ac:dyDescent="0.2">
      <c r="AQ12242" s="31"/>
    </row>
    <row r="12243" spans="43:43" x14ac:dyDescent="0.2">
      <c r="AQ12243" s="31"/>
    </row>
    <row r="12244" spans="43:43" x14ac:dyDescent="0.2">
      <c r="AQ12244" s="31"/>
    </row>
    <row r="12245" spans="43:43" x14ac:dyDescent="0.2">
      <c r="AQ12245" s="31"/>
    </row>
    <row r="12246" spans="43:43" x14ac:dyDescent="0.2">
      <c r="AQ12246" s="31"/>
    </row>
    <row r="12247" spans="43:43" x14ac:dyDescent="0.2">
      <c r="AQ12247" s="31"/>
    </row>
    <row r="12248" spans="43:43" x14ac:dyDescent="0.2">
      <c r="AQ12248" s="31"/>
    </row>
    <row r="12249" spans="43:43" x14ac:dyDescent="0.2">
      <c r="AQ12249" s="31"/>
    </row>
    <row r="12250" spans="43:43" x14ac:dyDescent="0.2">
      <c r="AQ12250" s="31"/>
    </row>
    <row r="12251" spans="43:43" x14ac:dyDescent="0.2">
      <c r="AQ12251" s="31"/>
    </row>
    <row r="12252" spans="43:43" x14ac:dyDescent="0.2">
      <c r="AQ12252" s="31"/>
    </row>
    <row r="12253" spans="43:43" x14ac:dyDescent="0.2">
      <c r="AQ12253" s="31"/>
    </row>
    <row r="12254" spans="43:43" x14ac:dyDescent="0.2">
      <c r="AQ12254" s="31"/>
    </row>
    <row r="12255" spans="43:43" x14ac:dyDescent="0.2">
      <c r="AQ12255" s="31"/>
    </row>
    <row r="12256" spans="43:43" x14ac:dyDescent="0.2">
      <c r="AQ12256" s="31"/>
    </row>
    <row r="12257" spans="43:43" x14ac:dyDescent="0.2">
      <c r="AQ12257" s="31"/>
    </row>
    <row r="12258" spans="43:43" x14ac:dyDescent="0.2">
      <c r="AQ12258" s="31"/>
    </row>
    <row r="12259" spans="43:43" x14ac:dyDescent="0.2">
      <c r="AQ12259" s="31"/>
    </row>
    <row r="12260" spans="43:43" x14ac:dyDescent="0.2">
      <c r="AQ12260" s="31"/>
    </row>
    <row r="12261" spans="43:43" x14ac:dyDescent="0.2">
      <c r="AQ12261" s="31"/>
    </row>
    <row r="12262" spans="43:43" x14ac:dyDescent="0.2">
      <c r="AQ12262" s="31"/>
    </row>
    <row r="12263" spans="43:43" x14ac:dyDescent="0.2">
      <c r="AQ12263" s="31"/>
    </row>
    <row r="12264" spans="43:43" x14ac:dyDescent="0.2">
      <c r="AQ12264" s="31"/>
    </row>
    <row r="12265" spans="43:43" x14ac:dyDescent="0.2">
      <c r="AQ12265" s="31"/>
    </row>
    <row r="12266" spans="43:43" x14ac:dyDescent="0.2">
      <c r="AQ12266" s="31"/>
    </row>
    <row r="12267" spans="43:43" x14ac:dyDescent="0.2">
      <c r="AQ12267" s="31"/>
    </row>
    <row r="12268" spans="43:43" x14ac:dyDescent="0.2">
      <c r="AQ12268" s="31"/>
    </row>
    <row r="12269" spans="43:43" x14ac:dyDescent="0.2">
      <c r="AQ12269" s="31"/>
    </row>
    <row r="12270" spans="43:43" x14ac:dyDescent="0.2">
      <c r="AQ12270" s="31"/>
    </row>
    <row r="12271" spans="43:43" x14ac:dyDescent="0.2">
      <c r="AQ12271" s="31"/>
    </row>
    <row r="12272" spans="43:43" x14ac:dyDescent="0.2">
      <c r="AQ12272" s="31"/>
    </row>
    <row r="12273" spans="43:43" x14ac:dyDescent="0.2">
      <c r="AQ12273" s="31"/>
    </row>
    <row r="12274" spans="43:43" x14ac:dyDescent="0.2">
      <c r="AQ12274" s="31"/>
    </row>
    <row r="12275" spans="43:43" x14ac:dyDescent="0.2">
      <c r="AQ12275" s="31"/>
    </row>
    <row r="12276" spans="43:43" x14ac:dyDescent="0.2">
      <c r="AQ12276" s="31"/>
    </row>
    <row r="12277" spans="43:43" x14ac:dyDescent="0.2">
      <c r="AQ12277" s="31"/>
    </row>
    <row r="12278" spans="43:43" x14ac:dyDescent="0.2">
      <c r="AQ12278" s="31"/>
    </row>
    <row r="12279" spans="43:43" x14ac:dyDescent="0.2">
      <c r="AQ12279" s="31"/>
    </row>
    <row r="12280" spans="43:43" x14ac:dyDescent="0.2">
      <c r="AQ12280" s="31"/>
    </row>
    <row r="12281" spans="43:43" x14ac:dyDescent="0.2">
      <c r="AQ12281" s="31"/>
    </row>
    <row r="12282" spans="43:43" x14ac:dyDescent="0.2">
      <c r="AQ12282" s="31"/>
    </row>
    <row r="12283" spans="43:43" x14ac:dyDescent="0.2">
      <c r="AQ12283" s="31"/>
    </row>
    <row r="12284" spans="43:43" x14ac:dyDescent="0.2">
      <c r="AQ12284" s="31"/>
    </row>
    <row r="12285" spans="43:43" x14ac:dyDescent="0.2">
      <c r="AQ12285" s="31"/>
    </row>
    <row r="12286" spans="43:43" x14ac:dyDescent="0.2">
      <c r="AQ12286" s="31"/>
    </row>
    <row r="12287" spans="43:43" x14ac:dyDescent="0.2">
      <c r="AQ12287" s="31"/>
    </row>
    <row r="12288" spans="43:43" x14ac:dyDescent="0.2">
      <c r="AQ12288" s="31"/>
    </row>
    <row r="12289" spans="43:43" x14ac:dyDescent="0.2">
      <c r="AQ12289" s="31"/>
    </row>
    <row r="12290" spans="43:43" x14ac:dyDescent="0.2">
      <c r="AQ12290" s="31"/>
    </row>
    <row r="12291" spans="43:43" x14ac:dyDescent="0.2">
      <c r="AQ12291" s="31"/>
    </row>
    <row r="12292" spans="43:43" x14ac:dyDescent="0.2">
      <c r="AQ12292" s="31"/>
    </row>
    <row r="12293" spans="43:43" x14ac:dyDescent="0.2">
      <c r="AQ12293" s="31"/>
    </row>
    <row r="12294" spans="43:43" x14ac:dyDescent="0.2">
      <c r="AQ12294" s="31"/>
    </row>
    <row r="12295" spans="43:43" x14ac:dyDescent="0.2">
      <c r="AQ12295" s="31"/>
    </row>
    <row r="12296" spans="43:43" x14ac:dyDescent="0.2">
      <c r="AQ12296" s="31"/>
    </row>
    <row r="12297" spans="43:43" x14ac:dyDescent="0.2">
      <c r="AQ12297" s="31"/>
    </row>
    <row r="12298" spans="43:43" x14ac:dyDescent="0.2">
      <c r="AQ12298" s="31"/>
    </row>
    <row r="12299" spans="43:43" x14ac:dyDescent="0.2">
      <c r="AQ12299" s="31"/>
    </row>
    <row r="12300" spans="43:43" x14ac:dyDescent="0.2">
      <c r="AQ12300" s="31"/>
    </row>
    <row r="12301" spans="43:43" x14ac:dyDescent="0.2">
      <c r="AQ12301" s="31"/>
    </row>
    <row r="12302" spans="43:43" x14ac:dyDescent="0.2">
      <c r="AQ12302" s="31"/>
    </row>
    <row r="12303" spans="43:43" x14ac:dyDescent="0.2">
      <c r="AQ12303" s="31"/>
    </row>
    <row r="12304" spans="43:43" x14ac:dyDescent="0.2">
      <c r="AQ12304" s="31"/>
    </row>
    <row r="12305" spans="43:43" x14ac:dyDescent="0.2">
      <c r="AQ12305" s="31"/>
    </row>
    <row r="12306" spans="43:43" x14ac:dyDescent="0.2">
      <c r="AQ12306" s="31"/>
    </row>
    <row r="12307" spans="43:43" x14ac:dyDescent="0.2">
      <c r="AQ12307" s="31"/>
    </row>
    <row r="12308" spans="43:43" x14ac:dyDescent="0.2">
      <c r="AQ12308" s="31"/>
    </row>
    <row r="12309" spans="43:43" x14ac:dyDescent="0.2">
      <c r="AQ12309" s="31"/>
    </row>
    <row r="12310" spans="43:43" x14ac:dyDescent="0.2">
      <c r="AQ12310" s="31"/>
    </row>
    <row r="12311" spans="43:43" x14ac:dyDescent="0.2">
      <c r="AQ12311" s="31"/>
    </row>
    <row r="12312" spans="43:43" x14ac:dyDescent="0.2">
      <c r="AQ12312" s="31"/>
    </row>
    <row r="12313" spans="43:43" x14ac:dyDescent="0.2">
      <c r="AQ12313" s="31"/>
    </row>
    <row r="12314" spans="43:43" x14ac:dyDescent="0.2">
      <c r="AQ12314" s="31"/>
    </row>
    <row r="12315" spans="43:43" x14ac:dyDescent="0.2">
      <c r="AQ12315" s="31"/>
    </row>
    <row r="12316" spans="43:43" x14ac:dyDescent="0.2">
      <c r="AQ12316" s="31"/>
    </row>
    <row r="12317" spans="43:43" x14ac:dyDescent="0.2">
      <c r="AQ12317" s="31"/>
    </row>
    <row r="12318" spans="43:43" x14ac:dyDescent="0.2">
      <c r="AQ12318" s="31"/>
    </row>
    <row r="12319" spans="43:43" x14ac:dyDescent="0.2">
      <c r="AQ12319" s="31"/>
    </row>
    <row r="12320" spans="43:43" x14ac:dyDescent="0.2">
      <c r="AQ12320" s="31"/>
    </row>
    <row r="12321" spans="43:43" x14ac:dyDescent="0.2">
      <c r="AQ12321" s="31"/>
    </row>
    <row r="12322" spans="43:43" x14ac:dyDescent="0.2">
      <c r="AQ12322" s="31"/>
    </row>
    <row r="12323" spans="43:43" x14ac:dyDescent="0.2">
      <c r="AQ12323" s="31"/>
    </row>
    <row r="12324" spans="43:43" x14ac:dyDescent="0.2">
      <c r="AQ12324" s="31"/>
    </row>
    <row r="12325" spans="43:43" x14ac:dyDescent="0.2">
      <c r="AQ12325" s="31"/>
    </row>
    <row r="12326" spans="43:43" x14ac:dyDescent="0.2">
      <c r="AQ12326" s="31"/>
    </row>
    <row r="12327" spans="43:43" x14ac:dyDescent="0.2">
      <c r="AQ12327" s="31"/>
    </row>
    <row r="12328" spans="43:43" x14ac:dyDescent="0.2">
      <c r="AQ12328" s="31"/>
    </row>
    <row r="12329" spans="43:43" x14ac:dyDescent="0.2">
      <c r="AQ12329" s="31"/>
    </row>
    <row r="12330" spans="43:43" x14ac:dyDescent="0.2">
      <c r="AQ12330" s="31"/>
    </row>
    <row r="12331" spans="43:43" x14ac:dyDescent="0.2">
      <c r="AQ12331" s="31"/>
    </row>
    <row r="12332" spans="43:43" x14ac:dyDescent="0.2">
      <c r="AQ12332" s="31"/>
    </row>
    <row r="12333" spans="43:43" x14ac:dyDescent="0.2">
      <c r="AQ12333" s="31"/>
    </row>
    <row r="12334" spans="43:43" x14ac:dyDescent="0.2">
      <c r="AQ12334" s="31"/>
    </row>
    <row r="12335" spans="43:43" x14ac:dyDescent="0.2">
      <c r="AQ12335" s="31"/>
    </row>
    <row r="12336" spans="43:43" x14ac:dyDescent="0.2">
      <c r="AQ12336" s="31"/>
    </row>
    <row r="12337" spans="43:43" x14ac:dyDescent="0.2">
      <c r="AQ12337" s="31"/>
    </row>
    <row r="12338" spans="43:43" x14ac:dyDescent="0.2">
      <c r="AQ12338" s="31"/>
    </row>
    <row r="12339" spans="43:43" x14ac:dyDescent="0.2">
      <c r="AQ12339" s="31"/>
    </row>
    <row r="12340" spans="43:43" x14ac:dyDescent="0.2">
      <c r="AQ12340" s="31"/>
    </row>
    <row r="12341" spans="43:43" x14ac:dyDescent="0.2">
      <c r="AQ12341" s="31"/>
    </row>
    <row r="12342" spans="43:43" x14ac:dyDescent="0.2">
      <c r="AQ12342" s="31"/>
    </row>
    <row r="12343" spans="43:43" x14ac:dyDescent="0.2">
      <c r="AQ12343" s="31"/>
    </row>
    <row r="12344" spans="43:43" x14ac:dyDescent="0.2">
      <c r="AQ12344" s="31"/>
    </row>
    <row r="12345" spans="43:43" x14ac:dyDescent="0.2">
      <c r="AQ12345" s="31"/>
    </row>
    <row r="12346" spans="43:43" x14ac:dyDescent="0.2">
      <c r="AQ12346" s="31"/>
    </row>
    <row r="12347" spans="43:43" x14ac:dyDescent="0.2">
      <c r="AQ12347" s="31"/>
    </row>
    <row r="12348" spans="43:43" x14ac:dyDescent="0.2">
      <c r="AQ12348" s="31"/>
    </row>
    <row r="12349" spans="43:43" x14ac:dyDescent="0.2">
      <c r="AQ12349" s="31"/>
    </row>
    <row r="12350" spans="43:43" x14ac:dyDescent="0.2">
      <c r="AQ12350" s="31"/>
    </row>
    <row r="12351" spans="43:43" x14ac:dyDescent="0.2">
      <c r="AQ12351" s="31"/>
    </row>
    <row r="12352" spans="43:43" x14ac:dyDescent="0.2">
      <c r="AQ12352" s="31"/>
    </row>
    <row r="12353" spans="43:43" x14ac:dyDescent="0.2">
      <c r="AQ12353" s="31"/>
    </row>
    <row r="12354" spans="43:43" x14ac:dyDescent="0.2">
      <c r="AQ12354" s="31"/>
    </row>
    <row r="12355" spans="43:43" x14ac:dyDescent="0.2">
      <c r="AQ12355" s="31"/>
    </row>
    <row r="12356" spans="43:43" x14ac:dyDescent="0.2">
      <c r="AQ12356" s="31"/>
    </row>
    <row r="12357" spans="43:43" x14ac:dyDescent="0.2">
      <c r="AQ12357" s="31"/>
    </row>
    <row r="12358" spans="43:43" x14ac:dyDescent="0.2">
      <c r="AQ12358" s="31"/>
    </row>
    <row r="12359" spans="43:43" x14ac:dyDescent="0.2">
      <c r="AQ12359" s="31"/>
    </row>
    <row r="12360" spans="43:43" x14ac:dyDescent="0.2">
      <c r="AQ12360" s="31"/>
    </row>
    <row r="12361" spans="43:43" x14ac:dyDescent="0.2">
      <c r="AQ12361" s="31"/>
    </row>
    <row r="12362" spans="43:43" x14ac:dyDescent="0.2">
      <c r="AQ12362" s="31"/>
    </row>
    <row r="12363" spans="43:43" x14ac:dyDescent="0.2">
      <c r="AQ12363" s="31"/>
    </row>
    <row r="12364" spans="43:43" x14ac:dyDescent="0.2">
      <c r="AQ12364" s="31"/>
    </row>
    <row r="12365" spans="43:43" x14ac:dyDescent="0.2">
      <c r="AQ12365" s="31"/>
    </row>
    <row r="12366" spans="43:43" x14ac:dyDescent="0.2">
      <c r="AQ12366" s="31"/>
    </row>
    <row r="12367" spans="43:43" x14ac:dyDescent="0.2">
      <c r="AQ12367" s="31"/>
    </row>
    <row r="12368" spans="43:43" x14ac:dyDescent="0.2">
      <c r="AQ12368" s="31"/>
    </row>
    <row r="12369" spans="43:43" x14ac:dyDescent="0.2">
      <c r="AQ12369" s="31"/>
    </row>
    <row r="12370" spans="43:43" x14ac:dyDescent="0.2">
      <c r="AQ12370" s="31"/>
    </row>
    <row r="12371" spans="43:43" x14ac:dyDescent="0.2">
      <c r="AQ12371" s="31"/>
    </row>
    <row r="12372" spans="43:43" x14ac:dyDescent="0.2">
      <c r="AQ12372" s="31"/>
    </row>
    <row r="12373" spans="43:43" x14ac:dyDescent="0.2">
      <c r="AQ12373" s="31"/>
    </row>
    <row r="12374" spans="43:43" x14ac:dyDescent="0.2">
      <c r="AQ12374" s="31"/>
    </row>
    <row r="12375" spans="43:43" x14ac:dyDescent="0.2">
      <c r="AQ12375" s="31"/>
    </row>
    <row r="12376" spans="43:43" x14ac:dyDescent="0.2">
      <c r="AQ12376" s="31"/>
    </row>
    <row r="12377" spans="43:43" x14ac:dyDescent="0.2">
      <c r="AQ12377" s="31"/>
    </row>
    <row r="12378" spans="43:43" x14ac:dyDescent="0.2">
      <c r="AQ12378" s="31"/>
    </row>
    <row r="12379" spans="43:43" x14ac:dyDescent="0.2">
      <c r="AQ12379" s="31"/>
    </row>
    <row r="12380" spans="43:43" x14ac:dyDescent="0.2">
      <c r="AQ12380" s="31"/>
    </row>
    <row r="12381" spans="43:43" x14ac:dyDescent="0.2">
      <c r="AQ12381" s="31"/>
    </row>
    <row r="12382" spans="43:43" x14ac:dyDescent="0.2">
      <c r="AQ12382" s="31"/>
    </row>
    <row r="12383" spans="43:43" x14ac:dyDescent="0.2">
      <c r="AQ12383" s="31"/>
    </row>
    <row r="12384" spans="43:43" x14ac:dyDescent="0.2">
      <c r="AQ12384" s="31"/>
    </row>
    <row r="12385" spans="43:43" x14ac:dyDescent="0.2">
      <c r="AQ12385" s="31"/>
    </row>
    <row r="12386" spans="43:43" x14ac:dyDescent="0.2">
      <c r="AQ12386" s="31"/>
    </row>
    <row r="12387" spans="43:43" x14ac:dyDescent="0.2">
      <c r="AQ12387" s="31"/>
    </row>
    <row r="12388" spans="43:43" x14ac:dyDescent="0.2">
      <c r="AQ12388" s="31"/>
    </row>
    <row r="12389" spans="43:43" x14ac:dyDescent="0.2">
      <c r="AQ12389" s="31"/>
    </row>
    <row r="12390" spans="43:43" x14ac:dyDescent="0.2">
      <c r="AQ12390" s="31"/>
    </row>
    <row r="12391" spans="43:43" x14ac:dyDescent="0.2">
      <c r="AQ12391" s="31"/>
    </row>
    <row r="12392" spans="43:43" x14ac:dyDescent="0.2">
      <c r="AQ12392" s="31"/>
    </row>
    <row r="12393" spans="43:43" x14ac:dyDescent="0.2">
      <c r="AQ12393" s="31"/>
    </row>
    <row r="12394" spans="43:43" x14ac:dyDescent="0.2">
      <c r="AQ12394" s="31"/>
    </row>
    <row r="12395" spans="43:43" x14ac:dyDescent="0.2">
      <c r="AQ12395" s="31"/>
    </row>
    <row r="12396" spans="43:43" x14ac:dyDescent="0.2">
      <c r="AQ12396" s="31"/>
    </row>
    <row r="12397" spans="43:43" x14ac:dyDescent="0.2">
      <c r="AQ12397" s="31"/>
    </row>
    <row r="12398" spans="43:43" x14ac:dyDescent="0.2">
      <c r="AQ12398" s="31"/>
    </row>
    <row r="12399" spans="43:43" x14ac:dyDescent="0.2">
      <c r="AQ12399" s="31"/>
    </row>
    <row r="12400" spans="43:43" x14ac:dyDescent="0.2">
      <c r="AQ12400" s="31"/>
    </row>
    <row r="12401" spans="43:43" x14ac:dyDescent="0.2">
      <c r="AQ12401" s="31"/>
    </row>
    <row r="12402" spans="43:43" x14ac:dyDescent="0.2">
      <c r="AQ12402" s="31"/>
    </row>
    <row r="12403" spans="43:43" x14ac:dyDescent="0.2">
      <c r="AQ12403" s="31"/>
    </row>
    <row r="12404" spans="43:43" x14ac:dyDescent="0.2">
      <c r="AQ12404" s="31"/>
    </row>
    <row r="12405" spans="43:43" x14ac:dyDescent="0.2">
      <c r="AQ12405" s="31"/>
    </row>
    <row r="12406" spans="43:43" x14ac:dyDescent="0.2">
      <c r="AQ12406" s="31"/>
    </row>
    <row r="12407" spans="43:43" x14ac:dyDescent="0.2">
      <c r="AQ12407" s="31"/>
    </row>
    <row r="12408" spans="43:43" x14ac:dyDescent="0.2">
      <c r="AQ12408" s="31"/>
    </row>
    <row r="12409" spans="43:43" x14ac:dyDescent="0.2">
      <c r="AQ12409" s="31"/>
    </row>
    <row r="12410" spans="43:43" x14ac:dyDescent="0.2">
      <c r="AQ12410" s="31"/>
    </row>
    <row r="12411" spans="43:43" x14ac:dyDescent="0.2">
      <c r="AQ12411" s="31"/>
    </row>
    <row r="12412" spans="43:43" x14ac:dyDescent="0.2">
      <c r="AQ12412" s="31"/>
    </row>
    <row r="12413" spans="43:43" x14ac:dyDescent="0.2">
      <c r="AQ12413" s="31"/>
    </row>
    <row r="12414" spans="43:43" x14ac:dyDescent="0.2">
      <c r="AQ12414" s="31"/>
    </row>
    <row r="12415" spans="43:43" x14ac:dyDescent="0.2">
      <c r="AQ12415" s="31"/>
    </row>
    <row r="12416" spans="43:43" x14ac:dyDescent="0.2">
      <c r="AQ12416" s="31"/>
    </row>
    <row r="12417" spans="43:43" x14ac:dyDescent="0.2">
      <c r="AQ12417" s="31"/>
    </row>
    <row r="12418" spans="43:43" x14ac:dyDescent="0.2">
      <c r="AQ12418" s="31"/>
    </row>
    <row r="12419" spans="43:43" x14ac:dyDescent="0.2">
      <c r="AQ12419" s="31"/>
    </row>
    <row r="12420" spans="43:43" x14ac:dyDescent="0.2">
      <c r="AQ12420" s="31"/>
    </row>
    <row r="12421" spans="43:43" x14ac:dyDescent="0.2">
      <c r="AQ12421" s="31"/>
    </row>
    <row r="12422" spans="43:43" x14ac:dyDescent="0.2">
      <c r="AQ12422" s="31"/>
    </row>
    <row r="12423" spans="43:43" x14ac:dyDescent="0.2">
      <c r="AQ12423" s="31"/>
    </row>
    <row r="12424" spans="43:43" x14ac:dyDescent="0.2">
      <c r="AQ12424" s="31"/>
    </row>
    <row r="12425" spans="43:43" x14ac:dyDescent="0.2">
      <c r="AQ12425" s="31"/>
    </row>
    <row r="12426" spans="43:43" x14ac:dyDescent="0.2">
      <c r="AQ12426" s="31"/>
    </row>
    <row r="12427" spans="43:43" x14ac:dyDescent="0.2">
      <c r="AQ12427" s="31"/>
    </row>
    <row r="12428" spans="43:43" x14ac:dyDescent="0.2">
      <c r="AQ12428" s="31"/>
    </row>
    <row r="12429" spans="43:43" x14ac:dyDescent="0.2">
      <c r="AQ12429" s="31"/>
    </row>
    <row r="12430" spans="43:43" x14ac:dyDescent="0.2">
      <c r="AQ12430" s="31"/>
    </row>
    <row r="12431" spans="43:43" x14ac:dyDescent="0.2">
      <c r="AQ12431" s="31"/>
    </row>
    <row r="12432" spans="43:43" x14ac:dyDescent="0.2">
      <c r="AQ12432" s="31"/>
    </row>
    <row r="12433" spans="43:43" x14ac:dyDescent="0.2">
      <c r="AQ12433" s="31"/>
    </row>
    <row r="12434" spans="43:43" x14ac:dyDescent="0.2">
      <c r="AQ12434" s="31"/>
    </row>
    <row r="12435" spans="43:43" x14ac:dyDescent="0.2">
      <c r="AQ12435" s="31"/>
    </row>
    <row r="12436" spans="43:43" x14ac:dyDescent="0.2">
      <c r="AQ12436" s="31"/>
    </row>
    <row r="12437" spans="43:43" x14ac:dyDescent="0.2">
      <c r="AQ12437" s="31"/>
    </row>
    <row r="12438" spans="43:43" x14ac:dyDescent="0.2">
      <c r="AQ12438" s="31"/>
    </row>
    <row r="12439" spans="43:43" x14ac:dyDescent="0.2">
      <c r="AQ12439" s="31"/>
    </row>
    <row r="12440" spans="43:43" x14ac:dyDescent="0.2">
      <c r="AQ12440" s="31"/>
    </row>
    <row r="12441" spans="43:43" x14ac:dyDescent="0.2">
      <c r="AQ12441" s="31"/>
    </row>
    <row r="12442" spans="43:43" x14ac:dyDescent="0.2">
      <c r="AQ12442" s="31"/>
    </row>
    <row r="12443" spans="43:43" x14ac:dyDescent="0.2">
      <c r="AQ12443" s="31"/>
    </row>
    <row r="12444" spans="43:43" x14ac:dyDescent="0.2">
      <c r="AQ12444" s="31"/>
    </row>
    <row r="12445" spans="43:43" x14ac:dyDescent="0.2">
      <c r="AQ12445" s="31"/>
    </row>
    <row r="12446" spans="43:43" x14ac:dyDescent="0.2">
      <c r="AQ12446" s="31"/>
    </row>
    <row r="12447" spans="43:43" x14ac:dyDescent="0.2">
      <c r="AQ12447" s="31"/>
    </row>
    <row r="12448" spans="43:43" x14ac:dyDescent="0.2">
      <c r="AQ12448" s="31"/>
    </row>
    <row r="12449" spans="43:43" x14ac:dyDescent="0.2">
      <c r="AQ12449" s="31"/>
    </row>
    <row r="12450" spans="43:43" x14ac:dyDescent="0.2">
      <c r="AQ12450" s="31"/>
    </row>
    <row r="12451" spans="43:43" x14ac:dyDescent="0.2">
      <c r="AQ12451" s="31"/>
    </row>
    <row r="12452" spans="43:43" x14ac:dyDescent="0.2">
      <c r="AQ12452" s="31"/>
    </row>
    <row r="12453" spans="43:43" x14ac:dyDescent="0.2">
      <c r="AQ12453" s="31"/>
    </row>
    <row r="12454" spans="43:43" x14ac:dyDescent="0.2">
      <c r="AQ12454" s="31"/>
    </row>
    <row r="12455" spans="43:43" x14ac:dyDescent="0.2">
      <c r="AQ12455" s="31"/>
    </row>
    <row r="12456" spans="43:43" x14ac:dyDescent="0.2">
      <c r="AQ12456" s="31"/>
    </row>
    <row r="12457" spans="43:43" x14ac:dyDescent="0.2">
      <c r="AQ12457" s="31"/>
    </row>
    <row r="12458" spans="43:43" x14ac:dyDescent="0.2">
      <c r="AQ12458" s="31"/>
    </row>
    <row r="12459" spans="43:43" x14ac:dyDescent="0.2">
      <c r="AQ12459" s="31"/>
    </row>
    <row r="12460" spans="43:43" x14ac:dyDescent="0.2">
      <c r="AQ12460" s="31"/>
    </row>
    <row r="12461" spans="43:43" x14ac:dyDescent="0.2">
      <c r="AQ12461" s="31"/>
    </row>
    <row r="12462" spans="43:43" x14ac:dyDescent="0.2">
      <c r="AQ12462" s="31"/>
    </row>
    <row r="12463" spans="43:43" x14ac:dyDescent="0.2">
      <c r="AQ12463" s="31"/>
    </row>
    <row r="12464" spans="43:43" x14ac:dyDescent="0.2">
      <c r="AQ12464" s="31"/>
    </row>
    <row r="12465" spans="43:43" x14ac:dyDescent="0.2">
      <c r="AQ12465" s="31"/>
    </row>
    <row r="12466" spans="43:43" x14ac:dyDescent="0.2">
      <c r="AQ12466" s="31"/>
    </row>
    <row r="12467" spans="43:43" x14ac:dyDescent="0.2">
      <c r="AQ12467" s="31"/>
    </row>
    <row r="12468" spans="43:43" x14ac:dyDescent="0.2">
      <c r="AQ12468" s="31"/>
    </row>
    <row r="12469" spans="43:43" x14ac:dyDescent="0.2">
      <c r="AQ12469" s="31"/>
    </row>
    <row r="12470" spans="43:43" x14ac:dyDescent="0.2">
      <c r="AQ12470" s="31"/>
    </row>
    <row r="12471" spans="43:43" x14ac:dyDescent="0.2">
      <c r="AQ12471" s="31"/>
    </row>
    <row r="12472" spans="43:43" x14ac:dyDescent="0.2">
      <c r="AQ12472" s="31"/>
    </row>
    <row r="12473" spans="43:43" x14ac:dyDescent="0.2">
      <c r="AQ12473" s="31"/>
    </row>
    <row r="12474" spans="43:43" x14ac:dyDescent="0.2">
      <c r="AQ12474" s="31"/>
    </row>
    <row r="12475" spans="43:43" x14ac:dyDescent="0.2">
      <c r="AQ12475" s="31"/>
    </row>
    <row r="12476" spans="43:43" x14ac:dyDescent="0.2">
      <c r="AQ12476" s="31"/>
    </row>
    <row r="12477" spans="43:43" x14ac:dyDescent="0.2">
      <c r="AQ12477" s="31"/>
    </row>
    <row r="12478" spans="43:43" x14ac:dyDescent="0.2">
      <c r="AQ12478" s="31"/>
    </row>
    <row r="12479" spans="43:43" x14ac:dyDescent="0.2">
      <c r="AQ12479" s="31"/>
    </row>
    <row r="12480" spans="43:43" x14ac:dyDescent="0.2">
      <c r="AQ12480" s="31"/>
    </row>
    <row r="12481" spans="43:43" x14ac:dyDescent="0.2">
      <c r="AQ12481" s="31"/>
    </row>
    <row r="12482" spans="43:43" x14ac:dyDescent="0.2">
      <c r="AQ12482" s="31"/>
    </row>
    <row r="12483" spans="43:43" x14ac:dyDescent="0.2">
      <c r="AQ12483" s="31"/>
    </row>
    <row r="12484" spans="43:43" x14ac:dyDescent="0.2">
      <c r="AQ12484" s="31"/>
    </row>
    <row r="12485" spans="43:43" x14ac:dyDescent="0.2">
      <c r="AQ12485" s="31"/>
    </row>
    <row r="12486" spans="43:43" x14ac:dyDescent="0.2">
      <c r="AQ12486" s="31"/>
    </row>
    <row r="12487" spans="43:43" x14ac:dyDescent="0.2">
      <c r="AQ12487" s="31"/>
    </row>
    <row r="12488" spans="43:43" x14ac:dyDescent="0.2">
      <c r="AQ12488" s="31"/>
    </row>
    <row r="12489" spans="43:43" x14ac:dyDescent="0.2">
      <c r="AQ12489" s="31"/>
    </row>
    <row r="12490" spans="43:43" x14ac:dyDescent="0.2">
      <c r="AQ12490" s="31"/>
    </row>
    <row r="12491" spans="43:43" x14ac:dyDescent="0.2">
      <c r="AQ12491" s="31"/>
    </row>
    <row r="12492" spans="43:43" x14ac:dyDescent="0.2">
      <c r="AQ12492" s="31"/>
    </row>
    <row r="12493" spans="43:43" x14ac:dyDescent="0.2">
      <c r="AQ12493" s="31"/>
    </row>
    <row r="12494" spans="43:43" x14ac:dyDescent="0.2">
      <c r="AQ12494" s="31"/>
    </row>
    <row r="12495" spans="43:43" x14ac:dyDescent="0.2">
      <c r="AQ12495" s="31"/>
    </row>
    <row r="12496" spans="43:43" x14ac:dyDescent="0.2">
      <c r="AQ12496" s="31"/>
    </row>
    <row r="12497" spans="43:43" x14ac:dyDescent="0.2">
      <c r="AQ12497" s="31"/>
    </row>
    <row r="12498" spans="43:43" x14ac:dyDescent="0.2">
      <c r="AQ12498" s="31"/>
    </row>
    <row r="12499" spans="43:43" x14ac:dyDescent="0.2">
      <c r="AQ12499" s="31"/>
    </row>
    <row r="12500" spans="43:43" x14ac:dyDescent="0.2">
      <c r="AQ12500" s="31"/>
    </row>
    <row r="12501" spans="43:43" x14ac:dyDescent="0.2">
      <c r="AQ12501" s="31"/>
    </row>
    <row r="12502" spans="43:43" x14ac:dyDescent="0.2">
      <c r="AQ12502" s="31"/>
    </row>
    <row r="12503" spans="43:43" x14ac:dyDescent="0.2">
      <c r="AQ12503" s="31"/>
    </row>
    <row r="12504" spans="43:43" x14ac:dyDescent="0.2">
      <c r="AQ12504" s="31"/>
    </row>
    <row r="12505" spans="43:43" x14ac:dyDescent="0.2">
      <c r="AQ12505" s="31"/>
    </row>
    <row r="12506" spans="43:43" x14ac:dyDescent="0.2">
      <c r="AQ12506" s="31"/>
    </row>
    <row r="12507" spans="43:43" x14ac:dyDescent="0.2">
      <c r="AQ12507" s="31"/>
    </row>
    <row r="12508" spans="43:43" x14ac:dyDescent="0.2">
      <c r="AQ12508" s="31"/>
    </row>
    <row r="12509" spans="43:43" x14ac:dyDescent="0.2">
      <c r="AQ12509" s="31"/>
    </row>
    <row r="12510" spans="43:43" x14ac:dyDescent="0.2">
      <c r="AQ12510" s="31"/>
    </row>
    <row r="12511" spans="43:43" x14ac:dyDescent="0.2">
      <c r="AQ12511" s="31"/>
    </row>
    <row r="12512" spans="43:43" x14ac:dyDescent="0.2">
      <c r="AQ12512" s="31"/>
    </row>
    <row r="12513" spans="43:43" x14ac:dyDescent="0.2">
      <c r="AQ12513" s="31"/>
    </row>
    <row r="12514" spans="43:43" x14ac:dyDescent="0.2">
      <c r="AQ12514" s="31"/>
    </row>
    <row r="12515" spans="43:43" x14ac:dyDescent="0.2">
      <c r="AQ12515" s="31"/>
    </row>
    <row r="12516" spans="43:43" x14ac:dyDescent="0.2">
      <c r="AQ12516" s="31"/>
    </row>
    <row r="12517" spans="43:43" x14ac:dyDescent="0.2">
      <c r="AQ12517" s="31"/>
    </row>
    <row r="12518" spans="43:43" x14ac:dyDescent="0.2">
      <c r="AQ12518" s="31"/>
    </row>
    <row r="12519" spans="43:43" x14ac:dyDescent="0.2">
      <c r="AQ12519" s="31"/>
    </row>
    <row r="12520" spans="43:43" x14ac:dyDescent="0.2">
      <c r="AQ12520" s="31"/>
    </row>
    <row r="12521" spans="43:43" x14ac:dyDescent="0.2">
      <c r="AQ12521" s="31"/>
    </row>
    <row r="12522" spans="43:43" x14ac:dyDescent="0.2">
      <c r="AQ12522" s="31"/>
    </row>
    <row r="12523" spans="43:43" x14ac:dyDescent="0.2">
      <c r="AQ12523" s="31"/>
    </row>
    <row r="12524" spans="43:43" x14ac:dyDescent="0.2">
      <c r="AQ12524" s="31"/>
    </row>
    <row r="12525" spans="43:43" x14ac:dyDescent="0.2">
      <c r="AQ12525" s="31"/>
    </row>
    <row r="12526" spans="43:43" x14ac:dyDescent="0.2">
      <c r="AQ12526" s="31"/>
    </row>
    <row r="12527" spans="43:43" x14ac:dyDescent="0.2">
      <c r="AQ12527" s="31"/>
    </row>
    <row r="12528" spans="43:43" x14ac:dyDescent="0.2">
      <c r="AQ12528" s="31"/>
    </row>
    <row r="12529" spans="43:43" x14ac:dyDescent="0.2">
      <c r="AQ12529" s="31"/>
    </row>
    <row r="12530" spans="43:43" x14ac:dyDescent="0.2">
      <c r="AQ12530" s="31"/>
    </row>
    <row r="12531" spans="43:43" x14ac:dyDescent="0.2">
      <c r="AQ12531" s="31"/>
    </row>
    <row r="12532" spans="43:43" x14ac:dyDescent="0.2">
      <c r="AQ12532" s="31"/>
    </row>
    <row r="12533" spans="43:43" x14ac:dyDescent="0.2">
      <c r="AQ12533" s="31"/>
    </row>
    <row r="12534" spans="43:43" x14ac:dyDescent="0.2">
      <c r="AQ12534" s="31"/>
    </row>
    <row r="12535" spans="43:43" x14ac:dyDescent="0.2">
      <c r="AQ12535" s="31"/>
    </row>
    <row r="12536" spans="43:43" x14ac:dyDescent="0.2">
      <c r="AQ12536" s="31"/>
    </row>
    <row r="12537" spans="43:43" x14ac:dyDescent="0.2">
      <c r="AQ12537" s="31"/>
    </row>
    <row r="12538" spans="43:43" x14ac:dyDescent="0.2">
      <c r="AQ12538" s="31"/>
    </row>
    <row r="12539" spans="43:43" x14ac:dyDescent="0.2">
      <c r="AQ12539" s="31"/>
    </row>
    <row r="12540" spans="43:43" x14ac:dyDescent="0.2">
      <c r="AQ12540" s="31"/>
    </row>
    <row r="12541" spans="43:43" x14ac:dyDescent="0.2">
      <c r="AQ12541" s="31"/>
    </row>
    <row r="12542" spans="43:43" x14ac:dyDescent="0.2">
      <c r="AQ12542" s="31"/>
    </row>
    <row r="12543" spans="43:43" x14ac:dyDescent="0.2">
      <c r="AQ12543" s="31"/>
    </row>
    <row r="12544" spans="43:43" x14ac:dyDescent="0.2">
      <c r="AQ12544" s="31"/>
    </row>
    <row r="12545" spans="43:43" x14ac:dyDescent="0.2">
      <c r="AQ12545" s="31"/>
    </row>
    <row r="12546" spans="43:43" x14ac:dyDescent="0.2">
      <c r="AQ12546" s="31"/>
    </row>
    <row r="12547" spans="43:43" x14ac:dyDescent="0.2">
      <c r="AQ12547" s="31"/>
    </row>
    <row r="12548" spans="43:43" x14ac:dyDescent="0.2">
      <c r="AQ12548" s="31"/>
    </row>
    <row r="12549" spans="43:43" x14ac:dyDescent="0.2">
      <c r="AQ12549" s="31"/>
    </row>
    <row r="12550" spans="43:43" x14ac:dyDescent="0.2">
      <c r="AQ12550" s="31"/>
    </row>
    <row r="12551" spans="43:43" x14ac:dyDescent="0.2">
      <c r="AQ12551" s="31"/>
    </row>
    <row r="12552" spans="43:43" x14ac:dyDescent="0.2">
      <c r="AQ12552" s="31"/>
    </row>
    <row r="12553" spans="43:43" x14ac:dyDescent="0.2">
      <c r="AQ12553" s="31"/>
    </row>
    <row r="12554" spans="43:43" x14ac:dyDescent="0.2">
      <c r="AQ12554" s="31"/>
    </row>
    <row r="12555" spans="43:43" x14ac:dyDescent="0.2">
      <c r="AQ12555" s="31"/>
    </row>
    <row r="12556" spans="43:43" x14ac:dyDescent="0.2">
      <c r="AQ12556" s="31"/>
    </row>
    <row r="12557" spans="43:43" x14ac:dyDescent="0.2">
      <c r="AQ12557" s="31"/>
    </row>
    <row r="12558" spans="43:43" x14ac:dyDescent="0.2">
      <c r="AQ12558" s="31"/>
    </row>
    <row r="12559" spans="43:43" x14ac:dyDescent="0.2">
      <c r="AQ12559" s="31"/>
    </row>
    <row r="12560" spans="43:43" x14ac:dyDescent="0.2">
      <c r="AQ12560" s="31"/>
    </row>
    <row r="12561" spans="43:43" x14ac:dyDescent="0.2">
      <c r="AQ12561" s="31"/>
    </row>
    <row r="12562" spans="43:43" x14ac:dyDescent="0.2">
      <c r="AQ12562" s="31"/>
    </row>
    <row r="12563" spans="43:43" x14ac:dyDescent="0.2">
      <c r="AQ12563" s="31"/>
    </row>
    <row r="12564" spans="43:43" x14ac:dyDescent="0.2">
      <c r="AQ12564" s="31"/>
    </row>
    <row r="12565" spans="43:43" x14ac:dyDescent="0.2">
      <c r="AQ12565" s="31"/>
    </row>
    <row r="12566" spans="43:43" x14ac:dyDescent="0.2">
      <c r="AQ12566" s="31"/>
    </row>
    <row r="12567" spans="43:43" x14ac:dyDescent="0.2">
      <c r="AQ12567" s="31"/>
    </row>
    <row r="12568" spans="43:43" x14ac:dyDescent="0.2">
      <c r="AQ12568" s="31"/>
    </row>
    <row r="12569" spans="43:43" x14ac:dyDescent="0.2">
      <c r="AQ12569" s="31"/>
    </row>
    <row r="12570" spans="43:43" x14ac:dyDescent="0.2">
      <c r="AQ12570" s="31"/>
    </row>
    <row r="12571" spans="43:43" x14ac:dyDescent="0.2">
      <c r="AQ12571" s="31"/>
    </row>
    <row r="12572" spans="43:43" x14ac:dyDescent="0.2">
      <c r="AQ12572" s="31"/>
    </row>
    <row r="12573" spans="43:43" x14ac:dyDescent="0.2">
      <c r="AQ12573" s="31"/>
    </row>
    <row r="12574" spans="43:43" x14ac:dyDescent="0.2">
      <c r="AQ12574" s="31"/>
    </row>
    <row r="12575" spans="43:43" x14ac:dyDescent="0.2">
      <c r="AQ12575" s="31"/>
    </row>
    <row r="12576" spans="43:43" x14ac:dyDescent="0.2">
      <c r="AQ12576" s="31"/>
    </row>
    <row r="12577" spans="43:43" x14ac:dyDescent="0.2">
      <c r="AQ12577" s="31"/>
    </row>
    <row r="12578" spans="43:43" x14ac:dyDescent="0.2">
      <c r="AQ12578" s="31"/>
    </row>
    <row r="12579" spans="43:43" x14ac:dyDescent="0.2">
      <c r="AQ12579" s="31"/>
    </row>
    <row r="12580" spans="43:43" x14ac:dyDescent="0.2">
      <c r="AQ12580" s="31"/>
    </row>
    <row r="12581" spans="43:43" x14ac:dyDescent="0.2">
      <c r="AQ12581" s="31"/>
    </row>
    <row r="12582" spans="43:43" x14ac:dyDescent="0.2">
      <c r="AQ12582" s="31"/>
    </row>
    <row r="12583" spans="43:43" x14ac:dyDescent="0.2">
      <c r="AQ12583" s="31"/>
    </row>
    <row r="12584" spans="43:43" x14ac:dyDescent="0.2">
      <c r="AQ12584" s="31"/>
    </row>
    <row r="12585" spans="43:43" x14ac:dyDescent="0.2">
      <c r="AQ12585" s="31"/>
    </row>
    <row r="12586" spans="43:43" x14ac:dyDescent="0.2">
      <c r="AQ12586" s="31"/>
    </row>
    <row r="12587" spans="43:43" x14ac:dyDescent="0.2">
      <c r="AQ12587" s="31"/>
    </row>
    <row r="12588" spans="43:43" x14ac:dyDescent="0.2">
      <c r="AQ12588" s="31"/>
    </row>
    <row r="12589" spans="43:43" x14ac:dyDescent="0.2">
      <c r="AQ12589" s="31"/>
    </row>
    <row r="12590" spans="43:43" x14ac:dyDescent="0.2">
      <c r="AQ12590" s="31"/>
    </row>
    <row r="12591" spans="43:43" x14ac:dyDescent="0.2">
      <c r="AQ12591" s="31"/>
    </row>
    <row r="12592" spans="43:43" x14ac:dyDescent="0.2">
      <c r="AQ12592" s="31"/>
    </row>
    <row r="12593" spans="43:43" x14ac:dyDescent="0.2">
      <c r="AQ12593" s="31"/>
    </row>
    <row r="12594" spans="43:43" x14ac:dyDescent="0.2">
      <c r="AQ12594" s="31"/>
    </row>
    <row r="12595" spans="43:43" x14ac:dyDescent="0.2">
      <c r="AQ12595" s="31"/>
    </row>
    <row r="12596" spans="43:43" x14ac:dyDescent="0.2">
      <c r="AQ12596" s="31"/>
    </row>
    <row r="12597" spans="43:43" x14ac:dyDescent="0.2">
      <c r="AQ12597" s="31"/>
    </row>
    <row r="12598" spans="43:43" x14ac:dyDescent="0.2">
      <c r="AQ12598" s="31"/>
    </row>
    <row r="12599" spans="43:43" x14ac:dyDescent="0.2">
      <c r="AQ12599" s="31"/>
    </row>
    <row r="12600" spans="43:43" x14ac:dyDescent="0.2">
      <c r="AQ12600" s="31"/>
    </row>
    <row r="12601" spans="43:43" x14ac:dyDescent="0.2">
      <c r="AQ12601" s="31"/>
    </row>
    <row r="12602" spans="43:43" x14ac:dyDescent="0.2">
      <c r="AQ12602" s="31"/>
    </row>
    <row r="12603" spans="43:43" x14ac:dyDescent="0.2">
      <c r="AQ12603" s="31"/>
    </row>
    <row r="12604" spans="43:43" x14ac:dyDescent="0.2">
      <c r="AQ12604" s="31"/>
    </row>
    <row r="12605" spans="43:43" x14ac:dyDescent="0.2">
      <c r="AQ12605" s="31"/>
    </row>
    <row r="12606" spans="43:43" x14ac:dyDescent="0.2">
      <c r="AQ12606" s="31"/>
    </row>
    <row r="12607" spans="43:43" x14ac:dyDescent="0.2">
      <c r="AQ12607" s="31"/>
    </row>
    <row r="12608" spans="43:43" x14ac:dyDescent="0.2">
      <c r="AQ12608" s="31"/>
    </row>
    <row r="12609" spans="43:43" x14ac:dyDescent="0.2">
      <c r="AQ12609" s="31"/>
    </row>
    <row r="12610" spans="43:43" x14ac:dyDescent="0.2">
      <c r="AQ12610" s="31"/>
    </row>
    <row r="12611" spans="43:43" x14ac:dyDescent="0.2">
      <c r="AQ12611" s="31"/>
    </row>
    <row r="12612" spans="43:43" x14ac:dyDescent="0.2">
      <c r="AQ12612" s="31"/>
    </row>
    <row r="12613" spans="43:43" x14ac:dyDescent="0.2">
      <c r="AQ12613" s="31"/>
    </row>
    <row r="12614" spans="43:43" x14ac:dyDescent="0.2">
      <c r="AQ12614" s="31"/>
    </row>
    <row r="12615" spans="43:43" x14ac:dyDescent="0.2">
      <c r="AQ12615" s="31"/>
    </row>
    <row r="12616" spans="43:43" x14ac:dyDescent="0.2">
      <c r="AQ12616" s="31"/>
    </row>
    <row r="12617" spans="43:43" x14ac:dyDescent="0.2">
      <c r="AQ12617" s="31"/>
    </row>
    <row r="12618" spans="43:43" x14ac:dyDescent="0.2">
      <c r="AQ12618" s="31"/>
    </row>
    <row r="12619" spans="43:43" x14ac:dyDescent="0.2">
      <c r="AQ12619" s="31"/>
    </row>
    <row r="12620" spans="43:43" x14ac:dyDescent="0.2">
      <c r="AQ12620" s="31"/>
    </row>
    <row r="12621" spans="43:43" x14ac:dyDescent="0.2">
      <c r="AQ12621" s="31"/>
    </row>
    <row r="12622" spans="43:43" x14ac:dyDescent="0.2">
      <c r="AQ12622" s="31"/>
    </row>
    <row r="12623" spans="43:43" x14ac:dyDescent="0.2">
      <c r="AQ12623" s="31"/>
    </row>
    <row r="12624" spans="43:43" x14ac:dyDescent="0.2">
      <c r="AQ12624" s="31"/>
    </row>
    <row r="12625" spans="43:43" x14ac:dyDescent="0.2">
      <c r="AQ12625" s="31"/>
    </row>
    <row r="12626" spans="43:43" x14ac:dyDescent="0.2">
      <c r="AQ12626" s="31"/>
    </row>
    <row r="12627" spans="43:43" x14ac:dyDescent="0.2">
      <c r="AQ12627" s="31"/>
    </row>
    <row r="12628" spans="43:43" x14ac:dyDescent="0.2">
      <c r="AQ12628" s="31"/>
    </row>
    <row r="12629" spans="43:43" x14ac:dyDescent="0.2">
      <c r="AQ12629" s="31"/>
    </row>
    <row r="12630" spans="43:43" x14ac:dyDescent="0.2">
      <c r="AQ12630" s="31"/>
    </row>
    <row r="12631" spans="43:43" x14ac:dyDescent="0.2">
      <c r="AQ12631" s="31"/>
    </row>
    <row r="12632" spans="43:43" x14ac:dyDescent="0.2">
      <c r="AQ12632" s="31"/>
    </row>
    <row r="12633" spans="43:43" x14ac:dyDescent="0.2">
      <c r="AQ12633" s="31"/>
    </row>
    <row r="12634" spans="43:43" x14ac:dyDescent="0.2">
      <c r="AQ12634" s="31"/>
    </row>
    <row r="12635" spans="43:43" x14ac:dyDescent="0.2">
      <c r="AQ12635" s="31"/>
    </row>
    <row r="12636" spans="43:43" x14ac:dyDescent="0.2">
      <c r="AQ12636" s="31"/>
    </row>
    <row r="12637" spans="43:43" x14ac:dyDescent="0.2">
      <c r="AQ12637" s="31"/>
    </row>
    <row r="12638" spans="43:43" x14ac:dyDescent="0.2">
      <c r="AQ12638" s="31"/>
    </row>
    <row r="12639" spans="43:43" x14ac:dyDescent="0.2">
      <c r="AQ12639" s="31"/>
    </row>
    <row r="12640" spans="43:43" x14ac:dyDescent="0.2">
      <c r="AQ12640" s="31"/>
    </row>
    <row r="12641" spans="43:43" x14ac:dyDescent="0.2">
      <c r="AQ12641" s="31"/>
    </row>
    <row r="12642" spans="43:43" x14ac:dyDescent="0.2">
      <c r="AQ12642" s="31"/>
    </row>
    <row r="12643" spans="43:43" x14ac:dyDescent="0.2">
      <c r="AQ12643" s="31"/>
    </row>
    <row r="12644" spans="43:43" x14ac:dyDescent="0.2">
      <c r="AQ12644" s="31"/>
    </row>
    <row r="12645" spans="43:43" x14ac:dyDescent="0.2">
      <c r="AQ12645" s="31"/>
    </row>
    <row r="12646" spans="43:43" x14ac:dyDescent="0.2">
      <c r="AQ12646" s="31"/>
    </row>
    <row r="12647" spans="43:43" x14ac:dyDescent="0.2">
      <c r="AQ12647" s="31"/>
    </row>
    <row r="12648" spans="43:43" x14ac:dyDescent="0.2">
      <c r="AQ12648" s="31"/>
    </row>
    <row r="12649" spans="43:43" x14ac:dyDescent="0.2">
      <c r="AQ12649" s="31"/>
    </row>
    <row r="12650" spans="43:43" x14ac:dyDescent="0.2">
      <c r="AQ12650" s="31"/>
    </row>
    <row r="12651" spans="43:43" x14ac:dyDescent="0.2">
      <c r="AQ12651" s="31"/>
    </row>
    <row r="12652" spans="43:43" x14ac:dyDescent="0.2">
      <c r="AQ12652" s="31"/>
    </row>
    <row r="12653" spans="43:43" x14ac:dyDescent="0.2">
      <c r="AQ12653" s="31"/>
    </row>
    <row r="12654" spans="43:43" x14ac:dyDescent="0.2">
      <c r="AQ12654" s="31"/>
    </row>
    <row r="12655" spans="43:43" x14ac:dyDescent="0.2">
      <c r="AQ12655" s="31"/>
    </row>
    <row r="12656" spans="43:43" x14ac:dyDescent="0.2">
      <c r="AQ12656" s="31"/>
    </row>
    <row r="12657" spans="43:43" x14ac:dyDescent="0.2">
      <c r="AQ12657" s="31"/>
    </row>
    <row r="12658" spans="43:43" x14ac:dyDescent="0.2">
      <c r="AQ12658" s="31"/>
    </row>
    <row r="12659" spans="43:43" x14ac:dyDescent="0.2">
      <c r="AQ12659" s="31"/>
    </row>
    <row r="12660" spans="43:43" x14ac:dyDescent="0.2">
      <c r="AQ12660" s="31"/>
    </row>
    <row r="12661" spans="43:43" x14ac:dyDescent="0.2">
      <c r="AQ12661" s="31"/>
    </row>
    <row r="12662" spans="43:43" x14ac:dyDescent="0.2">
      <c r="AQ12662" s="31"/>
    </row>
    <row r="12663" spans="43:43" x14ac:dyDescent="0.2">
      <c r="AQ12663" s="31"/>
    </row>
    <row r="12664" spans="43:43" x14ac:dyDescent="0.2">
      <c r="AQ12664" s="31"/>
    </row>
    <row r="12665" spans="43:43" x14ac:dyDescent="0.2">
      <c r="AQ12665" s="31"/>
    </row>
    <row r="12666" spans="43:43" x14ac:dyDescent="0.2">
      <c r="AQ12666" s="31"/>
    </row>
    <row r="12667" spans="43:43" x14ac:dyDescent="0.2">
      <c r="AQ12667" s="31"/>
    </row>
    <row r="12668" spans="43:43" x14ac:dyDescent="0.2">
      <c r="AQ12668" s="31"/>
    </row>
    <row r="12669" spans="43:43" x14ac:dyDescent="0.2">
      <c r="AQ12669" s="31"/>
    </row>
    <row r="12670" spans="43:43" x14ac:dyDescent="0.2">
      <c r="AQ12670" s="31"/>
    </row>
    <row r="12671" spans="43:43" x14ac:dyDescent="0.2">
      <c r="AQ12671" s="31"/>
    </row>
    <row r="12672" spans="43:43" x14ac:dyDescent="0.2">
      <c r="AQ12672" s="31"/>
    </row>
    <row r="12673" spans="43:43" x14ac:dyDescent="0.2">
      <c r="AQ12673" s="31"/>
    </row>
    <row r="12674" spans="43:43" x14ac:dyDescent="0.2">
      <c r="AQ12674" s="31"/>
    </row>
    <row r="12675" spans="43:43" x14ac:dyDescent="0.2">
      <c r="AQ12675" s="31"/>
    </row>
    <row r="12676" spans="43:43" x14ac:dyDescent="0.2">
      <c r="AQ12676" s="31"/>
    </row>
    <row r="12677" spans="43:43" x14ac:dyDescent="0.2">
      <c r="AQ12677" s="31"/>
    </row>
    <row r="12678" spans="43:43" x14ac:dyDescent="0.2">
      <c r="AQ12678" s="31"/>
    </row>
    <row r="12679" spans="43:43" x14ac:dyDescent="0.2">
      <c r="AQ12679" s="31"/>
    </row>
    <row r="12680" spans="43:43" x14ac:dyDescent="0.2">
      <c r="AQ12680" s="31"/>
    </row>
    <row r="12681" spans="43:43" x14ac:dyDescent="0.2">
      <c r="AQ12681" s="31"/>
    </row>
    <row r="12682" spans="43:43" x14ac:dyDescent="0.2">
      <c r="AQ12682" s="31"/>
    </row>
    <row r="12683" spans="43:43" x14ac:dyDescent="0.2">
      <c r="AQ12683" s="31"/>
    </row>
    <row r="12684" spans="43:43" x14ac:dyDescent="0.2">
      <c r="AQ12684" s="31"/>
    </row>
    <row r="12685" spans="43:43" x14ac:dyDescent="0.2">
      <c r="AQ12685" s="31"/>
    </row>
    <row r="12686" spans="43:43" x14ac:dyDescent="0.2">
      <c r="AQ12686" s="31"/>
    </row>
    <row r="12687" spans="43:43" x14ac:dyDescent="0.2">
      <c r="AQ12687" s="31"/>
    </row>
    <row r="12688" spans="43:43" x14ac:dyDescent="0.2">
      <c r="AQ12688" s="31"/>
    </row>
    <row r="12689" spans="43:43" x14ac:dyDescent="0.2">
      <c r="AQ12689" s="31"/>
    </row>
    <row r="12690" spans="43:43" x14ac:dyDescent="0.2">
      <c r="AQ12690" s="31"/>
    </row>
    <row r="12691" spans="43:43" x14ac:dyDescent="0.2">
      <c r="AQ12691" s="31"/>
    </row>
    <row r="12692" spans="43:43" x14ac:dyDescent="0.2">
      <c r="AQ12692" s="31"/>
    </row>
    <row r="12693" spans="43:43" x14ac:dyDescent="0.2">
      <c r="AQ12693" s="31"/>
    </row>
    <row r="12694" spans="43:43" x14ac:dyDescent="0.2">
      <c r="AQ12694" s="31"/>
    </row>
    <row r="12695" spans="43:43" x14ac:dyDescent="0.2">
      <c r="AQ12695" s="31"/>
    </row>
    <row r="12696" spans="43:43" x14ac:dyDescent="0.2">
      <c r="AQ12696" s="31"/>
    </row>
    <row r="12697" spans="43:43" x14ac:dyDescent="0.2">
      <c r="AQ12697" s="31"/>
    </row>
    <row r="12698" spans="43:43" x14ac:dyDescent="0.2">
      <c r="AQ12698" s="31"/>
    </row>
    <row r="12699" spans="43:43" x14ac:dyDescent="0.2">
      <c r="AQ12699" s="31"/>
    </row>
    <row r="12700" spans="43:43" x14ac:dyDescent="0.2">
      <c r="AQ12700" s="31"/>
    </row>
    <row r="12701" spans="43:43" x14ac:dyDescent="0.2">
      <c r="AQ12701" s="31"/>
    </row>
    <row r="12702" spans="43:43" x14ac:dyDescent="0.2">
      <c r="AQ12702" s="31"/>
    </row>
    <row r="12703" spans="43:43" x14ac:dyDescent="0.2">
      <c r="AQ12703" s="31"/>
    </row>
    <row r="12704" spans="43:43" x14ac:dyDescent="0.2">
      <c r="AQ12704" s="31"/>
    </row>
    <row r="12705" spans="43:43" x14ac:dyDescent="0.2">
      <c r="AQ12705" s="31"/>
    </row>
    <row r="12706" spans="43:43" x14ac:dyDescent="0.2">
      <c r="AQ12706" s="31"/>
    </row>
    <row r="12707" spans="43:43" x14ac:dyDescent="0.2">
      <c r="AQ12707" s="31"/>
    </row>
    <row r="12708" spans="43:43" x14ac:dyDescent="0.2">
      <c r="AQ12708" s="31"/>
    </row>
    <row r="12709" spans="43:43" x14ac:dyDescent="0.2">
      <c r="AQ12709" s="31"/>
    </row>
    <row r="12710" spans="43:43" x14ac:dyDescent="0.2">
      <c r="AQ12710" s="31"/>
    </row>
    <row r="12711" spans="43:43" x14ac:dyDescent="0.2">
      <c r="AQ12711" s="31"/>
    </row>
    <row r="12712" spans="43:43" x14ac:dyDescent="0.2">
      <c r="AQ12712" s="31"/>
    </row>
    <row r="12713" spans="43:43" x14ac:dyDescent="0.2">
      <c r="AQ12713" s="31"/>
    </row>
    <row r="12714" spans="43:43" x14ac:dyDescent="0.2">
      <c r="AQ12714" s="31"/>
    </row>
    <row r="12715" spans="43:43" x14ac:dyDescent="0.2">
      <c r="AQ12715" s="31"/>
    </row>
    <row r="12716" spans="43:43" x14ac:dyDescent="0.2">
      <c r="AQ12716" s="31"/>
    </row>
    <row r="12717" spans="43:43" x14ac:dyDescent="0.2">
      <c r="AQ12717" s="31"/>
    </row>
    <row r="12718" spans="43:43" x14ac:dyDescent="0.2">
      <c r="AQ12718" s="31"/>
    </row>
    <row r="12719" spans="43:43" x14ac:dyDescent="0.2">
      <c r="AQ12719" s="31"/>
    </row>
    <row r="12720" spans="43:43" x14ac:dyDescent="0.2">
      <c r="AQ12720" s="31"/>
    </row>
    <row r="12721" spans="43:43" x14ac:dyDescent="0.2">
      <c r="AQ12721" s="31"/>
    </row>
    <row r="12722" spans="43:43" x14ac:dyDescent="0.2">
      <c r="AQ12722" s="31"/>
    </row>
    <row r="12723" spans="43:43" x14ac:dyDescent="0.2">
      <c r="AQ12723" s="31"/>
    </row>
    <row r="12724" spans="43:43" x14ac:dyDescent="0.2">
      <c r="AQ12724" s="31"/>
    </row>
    <row r="12725" spans="43:43" x14ac:dyDescent="0.2">
      <c r="AQ12725" s="31"/>
    </row>
    <row r="12726" spans="43:43" x14ac:dyDescent="0.2">
      <c r="AQ12726" s="31"/>
    </row>
    <row r="12727" spans="43:43" x14ac:dyDescent="0.2">
      <c r="AQ12727" s="31"/>
    </row>
    <row r="12728" spans="43:43" x14ac:dyDescent="0.2">
      <c r="AQ12728" s="31"/>
    </row>
    <row r="12729" spans="43:43" x14ac:dyDescent="0.2">
      <c r="AQ12729" s="31"/>
    </row>
    <row r="12730" spans="43:43" x14ac:dyDescent="0.2">
      <c r="AQ12730" s="31"/>
    </row>
    <row r="12731" spans="43:43" x14ac:dyDescent="0.2">
      <c r="AQ12731" s="31"/>
    </row>
    <row r="12732" spans="43:43" x14ac:dyDescent="0.2">
      <c r="AQ12732" s="31"/>
    </row>
    <row r="12733" spans="43:43" x14ac:dyDescent="0.2">
      <c r="AQ12733" s="31"/>
    </row>
    <row r="12734" spans="43:43" x14ac:dyDescent="0.2">
      <c r="AQ12734" s="31"/>
    </row>
    <row r="12735" spans="43:43" x14ac:dyDescent="0.2">
      <c r="AQ12735" s="31"/>
    </row>
    <row r="12736" spans="43:43" x14ac:dyDescent="0.2">
      <c r="AQ12736" s="31"/>
    </row>
    <row r="12737" spans="43:43" x14ac:dyDescent="0.2">
      <c r="AQ12737" s="31"/>
    </row>
    <row r="12738" spans="43:43" x14ac:dyDescent="0.2">
      <c r="AQ12738" s="31"/>
    </row>
    <row r="12739" spans="43:43" x14ac:dyDescent="0.2">
      <c r="AQ12739" s="31"/>
    </row>
    <row r="12740" spans="43:43" x14ac:dyDescent="0.2">
      <c r="AQ12740" s="31"/>
    </row>
    <row r="12741" spans="43:43" x14ac:dyDescent="0.2">
      <c r="AQ12741" s="31"/>
    </row>
    <row r="12742" spans="43:43" x14ac:dyDescent="0.2">
      <c r="AQ12742" s="31"/>
    </row>
    <row r="12743" spans="43:43" x14ac:dyDescent="0.2">
      <c r="AQ12743" s="31"/>
    </row>
    <row r="12744" spans="43:43" x14ac:dyDescent="0.2">
      <c r="AQ12744" s="31"/>
    </row>
    <row r="12745" spans="43:43" x14ac:dyDescent="0.2">
      <c r="AQ12745" s="31"/>
    </row>
    <row r="12746" spans="43:43" x14ac:dyDescent="0.2">
      <c r="AQ12746" s="31"/>
    </row>
    <row r="12747" spans="43:43" x14ac:dyDescent="0.2">
      <c r="AQ12747" s="31"/>
    </row>
    <row r="12748" spans="43:43" x14ac:dyDescent="0.2">
      <c r="AQ12748" s="31"/>
    </row>
    <row r="12749" spans="43:43" x14ac:dyDescent="0.2">
      <c r="AQ12749" s="31"/>
    </row>
    <row r="12750" spans="43:43" x14ac:dyDescent="0.2">
      <c r="AQ12750" s="31"/>
    </row>
    <row r="12751" spans="43:43" x14ac:dyDescent="0.2">
      <c r="AQ12751" s="31"/>
    </row>
    <row r="12752" spans="43:43" x14ac:dyDescent="0.2">
      <c r="AQ12752" s="31"/>
    </row>
    <row r="12753" spans="43:43" x14ac:dyDescent="0.2">
      <c r="AQ12753" s="31"/>
    </row>
    <row r="12754" spans="43:43" x14ac:dyDescent="0.2">
      <c r="AQ12754" s="31"/>
    </row>
    <row r="12755" spans="43:43" x14ac:dyDescent="0.2">
      <c r="AQ12755" s="31"/>
    </row>
    <row r="12756" spans="43:43" x14ac:dyDescent="0.2">
      <c r="AQ12756" s="31"/>
    </row>
    <row r="12757" spans="43:43" x14ac:dyDescent="0.2">
      <c r="AQ12757" s="31"/>
    </row>
    <row r="12758" spans="43:43" x14ac:dyDescent="0.2">
      <c r="AQ12758" s="31"/>
    </row>
    <row r="12759" spans="43:43" x14ac:dyDescent="0.2">
      <c r="AQ12759" s="31"/>
    </row>
    <row r="12760" spans="43:43" x14ac:dyDescent="0.2">
      <c r="AQ12760" s="31"/>
    </row>
    <row r="12761" spans="43:43" x14ac:dyDescent="0.2">
      <c r="AQ12761" s="31"/>
    </row>
    <row r="12762" spans="43:43" x14ac:dyDescent="0.2">
      <c r="AQ12762" s="31"/>
    </row>
    <row r="12763" spans="43:43" x14ac:dyDescent="0.2">
      <c r="AQ12763" s="31"/>
    </row>
    <row r="12764" spans="43:43" x14ac:dyDescent="0.2">
      <c r="AQ12764" s="31"/>
    </row>
    <row r="12765" spans="43:43" x14ac:dyDescent="0.2">
      <c r="AQ12765" s="31"/>
    </row>
    <row r="12766" spans="43:43" x14ac:dyDescent="0.2">
      <c r="AQ12766" s="31"/>
    </row>
    <row r="12767" spans="43:43" x14ac:dyDescent="0.2">
      <c r="AQ12767" s="31"/>
    </row>
    <row r="12768" spans="43:43" x14ac:dyDescent="0.2">
      <c r="AQ12768" s="31"/>
    </row>
    <row r="12769" spans="43:43" x14ac:dyDescent="0.2">
      <c r="AQ12769" s="31"/>
    </row>
    <row r="12770" spans="43:43" x14ac:dyDescent="0.2">
      <c r="AQ12770" s="31"/>
    </row>
    <row r="12771" spans="43:43" x14ac:dyDescent="0.2">
      <c r="AQ12771" s="31"/>
    </row>
    <row r="12772" spans="43:43" x14ac:dyDescent="0.2">
      <c r="AQ12772" s="31"/>
    </row>
    <row r="12773" spans="43:43" x14ac:dyDescent="0.2">
      <c r="AQ12773" s="31"/>
    </row>
    <row r="12774" spans="43:43" x14ac:dyDescent="0.2">
      <c r="AQ12774" s="31"/>
    </row>
    <row r="12775" spans="43:43" x14ac:dyDescent="0.2">
      <c r="AQ12775" s="31"/>
    </row>
    <row r="12776" spans="43:43" x14ac:dyDescent="0.2">
      <c r="AQ12776" s="31"/>
    </row>
    <row r="12777" spans="43:43" x14ac:dyDescent="0.2">
      <c r="AQ12777" s="31"/>
    </row>
    <row r="12778" spans="43:43" x14ac:dyDescent="0.2">
      <c r="AQ12778" s="31"/>
    </row>
    <row r="12779" spans="43:43" x14ac:dyDescent="0.2">
      <c r="AQ12779" s="31"/>
    </row>
    <row r="12780" spans="43:43" x14ac:dyDescent="0.2">
      <c r="AQ12780" s="31"/>
    </row>
    <row r="12781" spans="43:43" x14ac:dyDescent="0.2">
      <c r="AQ12781" s="31"/>
    </row>
    <row r="12782" spans="43:43" x14ac:dyDescent="0.2">
      <c r="AQ12782" s="31"/>
    </row>
    <row r="12783" spans="43:43" x14ac:dyDescent="0.2">
      <c r="AQ12783" s="31"/>
    </row>
    <row r="12784" spans="43:43" x14ac:dyDescent="0.2">
      <c r="AQ12784" s="31"/>
    </row>
    <row r="12785" spans="43:43" x14ac:dyDescent="0.2">
      <c r="AQ12785" s="31"/>
    </row>
    <row r="12786" spans="43:43" x14ac:dyDescent="0.2">
      <c r="AQ12786" s="31"/>
    </row>
    <row r="12787" spans="43:43" x14ac:dyDescent="0.2">
      <c r="AQ12787" s="31"/>
    </row>
    <row r="12788" spans="43:43" x14ac:dyDescent="0.2">
      <c r="AQ12788" s="31"/>
    </row>
    <row r="12789" spans="43:43" x14ac:dyDescent="0.2">
      <c r="AQ12789" s="31"/>
    </row>
    <row r="12790" spans="43:43" x14ac:dyDescent="0.2">
      <c r="AQ12790" s="31"/>
    </row>
    <row r="12791" spans="43:43" x14ac:dyDescent="0.2">
      <c r="AQ12791" s="31"/>
    </row>
    <row r="12792" spans="43:43" x14ac:dyDescent="0.2">
      <c r="AQ12792" s="31"/>
    </row>
    <row r="12793" spans="43:43" x14ac:dyDescent="0.2">
      <c r="AQ12793" s="31"/>
    </row>
    <row r="12794" spans="43:43" x14ac:dyDescent="0.2">
      <c r="AQ12794" s="31"/>
    </row>
    <row r="12795" spans="43:43" x14ac:dyDescent="0.2">
      <c r="AQ12795" s="31"/>
    </row>
    <row r="12796" spans="43:43" x14ac:dyDescent="0.2">
      <c r="AQ12796" s="31"/>
    </row>
    <row r="12797" spans="43:43" x14ac:dyDescent="0.2">
      <c r="AQ12797" s="31"/>
    </row>
    <row r="12798" spans="43:43" x14ac:dyDescent="0.2">
      <c r="AQ12798" s="31"/>
    </row>
    <row r="12799" spans="43:43" x14ac:dyDescent="0.2">
      <c r="AQ12799" s="31"/>
    </row>
    <row r="12800" spans="43:43" x14ac:dyDescent="0.2">
      <c r="AQ12800" s="31"/>
    </row>
    <row r="12801" spans="43:43" x14ac:dyDescent="0.2">
      <c r="AQ12801" s="31"/>
    </row>
    <row r="12802" spans="43:43" x14ac:dyDescent="0.2">
      <c r="AQ12802" s="31"/>
    </row>
    <row r="12803" spans="43:43" x14ac:dyDescent="0.2">
      <c r="AQ12803" s="31"/>
    </row>
    <row r="12804" spans="43:43" x14ac:dyDescent="0.2">
      <c r="AQ12804" s="31"/>
    </row>
    <row r="12805" spans="43:43" x14ac:dyDescent="0.2">
      <c r="AQ12805" s="31"/>
    </row>
    <row r="12806" spans="43:43" x14ac:dyDescent="0.2">
      <c r="AQ12806" s="31"/>
    </row>
    <row r="12807" spans="43:43" x14ac:dyDescent="0.2">
      <c r="AQ12807" s="31"/>
    </row>
    <row r="12808" spans="43:43" x14ac:dyDescent="0.2">
      <c r="AQ12808" s="31"/>
    </row>
    <row r="12809" spans="43:43" x14ac:dyDescent="0.2">
      <c r="AQ12809" s="31"/>
    </row>
    <row r="12810" spans="43:43" x14ac:dyDescent="0.2">
      <c r="AQ12810" s="31"/>
    </row>
    <row r="12811" spans="43:43" x14ac:dyDescent="0.2">
      <c r="AQ12811" s="31"/>
    </row>
    <row r="12812" spans="43:43" x14ac:dyDescent="0.2">
      <c r="AQ12812" s="31"/>
    </row>
    <row r="12813" spans="43:43" x14ac:dyDescent="0.2">
      <c r="AQ12813" s="31"/>
    </row>
    <row r="12814" spans="43:43" x14ac:dyDescent="0.2">
      <c r="AQ12814" s="31"/>
    </row>
    <row r="12815" spans="43:43" x14ac:dyDescent="0.2">
      <c r="AQ12815" s="31"/>
    </row>
    <row r="12816" spans="43:43" x14ac:dyDescent="0.2">
      <c r="AQ12816" s="31"/>
    </row>
    <row r="12817" spans="43:43" x14ac:dyDescent="0.2">
      <c r="AQ12817" s="31"/>
    </row>
    <row r="12818" spans="43:43" x14ac:dyDescent="0.2">
      <c r="AQ12818" s="31"/>
    </row>
    <row r="12819" spans="43:43" x14ac:dyDescent="0.2">
      <c r="AQ12819" s="31"/>
    </row>
    <row r="12820" spans="43:43" x14ac:dyDescent="0.2">
      <c r="AQ12820" s="31"/>
    </row>
    <row r="12821" spans="43:43" x14ac:dyDescent="0.2">
      <c r="AQ12821" s="31"/>
    </row>
    <row r="12822" spans="43:43" x14ac:dyDescent="0.2">
      <c r="AQ12822" s="31"/>
    </row>
    <row r="12823" spans="43:43" x14ac:dyDescent="0.2">
      <c r="AQ12823" s="31"/>
    </row>
    <row r="12824" spans="43:43" x14ac:dyDescent="0.2">
      <c r="AQ12824" s="31"/>
    </row>
    <row r="12825" spans="43:43" x14ac:dyDescent="0.2">
      <c r="AQ12825" s="31"/>
    </row>
    <row r="12826" spans="43:43" x14ac:dyDescent="0.2">
      <c r="AQ12826" s="31"/>
    </row>
    <row r="12827" spans="43:43" x14ac:dyDescent="0.2">
      <c r="AQ12827" s="31"/>
    </row>
    <row r="12828" spans="43:43" x14ac:dyDescent="0.2">
      <c r="AQ12828" s="31"/>
    </row>
    <row r="12829" spans="43:43" x14ac:dyDescent="0.2">
      <c r="AQ12829" s="31"/>
    </row>
    <row r="12830" spans="43:43" x14ac:dyDescent="0.2">
      <c r="AQ12830" s="31"/>
    </row>
    <row r="12831" spans="43:43" x14ac:dyDescent="0.2">
      <c r="AQ12831" s="31"/>
    </row>
    <row r="12832" spans="43:43" x14ac:dyDescent="0.2">
      <c r="AQ12832" s="31"/>
    </row>
    <row r="12833" spans="43:43" x14ac:dyDescent="0.2">
      <c r="AQ12833" s="31"/>
    </row>
    <row r="12834" spans="43:43" x14ac:dyDescent="0.2">
      <c r="AQ12834" s="31"/>
    </row>
    <row r="12835" spans="43:43" x14ac:dyDescent="0.2">
      <c r="AQ12835" s="31"/>
    </row>
    <row r="12836" spans="43:43" x14ac:dyDescent="0.2">
      <c r="AQ12836" s="31"/>
    </row>
    <row r="12837" spans="43:43" x14ac:dyDescent="0.2">
      <c r="AQ12837" s="31"/>
    </row>
    <row r="12838" spans="43:43" x14ac:dyDescent="0.2">
      <c r="AQ12838" s="31"/>
    </row>
    <row r="12839" spans="43:43" x14ac:dyDescent="0.2">
      <c r="AQ12839" s="31"/>
    </row>
    <row r="12840" spans="43:43" x14ac:dyDescent="0.2">
      <c r="AQ12840" s="31"/>
    </row>
    <row r="12841" spans="43:43" x14ac:dyDescent="0.2">
      <c r="AQ12841" s="31"/>
    </row>
    <row r="12842" spans="43:43" x14ac:dyDescent="0.2">
      <c r="AQ12842" s="31"/>
    </row>
    <row r="12843" spans="43:43" x14ac:dyDescent="0.2">
      <c r="AQ12843" s="31"/>
    </row>
    <row r="12844" spans="43:43" x14ac:dyDescent="0.2">
      <c r="AQ12844" s="31"/>
    </row>
    <row r="12845" spans="43:43" x14ac:dyDescent="0.2">
      <c r="AQ12845" s="31"/>
    </row>
    <row r="12846" spans="43:43" x14ac:dyDescent="0.2">
      <c r="AQ12846" s="31"/>
    </row>
    <row r="12847" spans="43:43" x14ac:dyDescent="0.2">
      <c r="AQ12847" s="31"/>
    </row>
    <row r="12848" spans="43:43" x14ac:dyDescent="0.2">
      <c r="AQ12848" s="31"/>
    </row>
    <row r="12849" spans="43:43" x14ac:dyDescent="0.2">
      <c r="AQ12849" s="31"/>
    </row>
    <row r="12850" spans="43:43" x14ac:dyDescent="0.2">
      <c r="AQ12850" s="31"/>
    </row>
    <row r="12851" spans="43:43" x14ac:dyDescent="0.2">
      <c r="AQ12851" s="31"/>
    </row>
    <row r="12852" spans="43:43" x14ac:dyDescent="0.2">
      <c r="AQ12852" s="31"/>
    </row>
    <row r="12853" spans="43:43" x14ac:dyDescent="0.2">
      <c r="AQ12853" s="31"/>
    </row>
    <row r="12854" spans="43:43" x14ac:dyDescent="0.2">
      <c r="AQ12854" s="31"/>
    </row>
    <row r="12855" spans="43:43" x14ac:dyDescent="0.2">
      <c r="AQ12855" s="31"/>
    </row>
    <row r="12856" spans="43:43" x14ac:dyDescent="0.2">
      <c r="AQ12856" s="31"/>
    </row>
    <row r="12857" spans="43:43" x14ac:dyDescent="0.2">
      <c r="AQ12857" s="31"/>
    </row>
    <row r="12858" spans="43:43" x14ac:dyDescent="0.2">
      <c r="AQ12858" s="31"/>
    </row>
    <row r="12859" spans="43:43" x14ac:dyDescent="0.2">
      <c r="AQ12859" s="31"/>
    </row>
    <row r="12860" spans="43:43" x14ac:dyDescent="0.2">
      <c r="AQ12860" s="31"/>
    </row>
    <row r="12861" spans="43:43" x14ac:dyDescent="0.2">
      <c r="AQ12861" s="31"/>
    </row>
    <row r="12862" spans="43:43" x14ac:dyDescent="0.2">
      <c r="AQ12862" s="31"/>
    </row>
    <row r="12863" spans="43:43" x14ac:dyDescent="0.2">
      <c r="AQ12863" s="31"/>
    </row>
    <row r="12864" spans="43:43" x14ac:dyDescent="0.2">
      <c r="AQ12864" s="31"/>
    </row>
    <row r="12865" spans="43:43" x14ac:dyDescent="0.2">
      <c r="AQ12865" s="31"/>
    </row>
    <row r="12866" spans="43:43" x14ac:dyDescent="0.2">
      <c r="AQ12866" s="31"/>
    </row>
    <row r="12867" spans="43:43" x14ac:dyDescent="0.2">
      <c r="AQ12867" s="31"/>
    </row>
    <row r="12868" spans="43:43" x14ac:dyDescent="0.2">
      <c r="AQ12868" s="31"/>
    </row>
    <row r="12869" spans="43:43" x14ac:dyDescent="0.2">
      <c r="AQ12869" s="31"/>
    </row>
    <row r="12870" spans="43:43" x14ac:dyDescent="0.2">
      <c r="AQ12870" s="31"/>
    </row>
    <row r="12871" spans="43:43" x14ac:dyDescent="0.2">
      <c r="AQ12871" s="31"/>
    </row>
    <row r="12872" spans="43:43" x14ac:dyDescent="0.2">
      <c r="AQ12872" s="31"/>
    </row>
    <row r="12873" spans="43:43" x14ac:dyDescent="0.2">
      <c r="AQ12873" s="31"/>
    </row>
    <row r="12874" spans="43:43" x14ac:dyDescent="0.2">
      <c r="AQ12874" s="31"/>
    </row>
    <row r="12875" spans="43:43" x14ac:dyDescent="0.2">
      <c r="AQ12875" s="31"/>
    </row>
    <row r="12876" spans="43:43" x14ac:dyDescent="0.2">
      <c r="AQ12876" s="31"/>
    </row>
    <row r="12877" spans="43:43" x14ac:dyDescent="0.2">
      <c r="AQ12877" s="31"/>
    </row>
    <row r="12878" spans="43:43" x14ac:dyDescent="0.2">
      <c r="AQ12878" s="31"/>
    </row>
    <row r="12879" spans="43:43" x14ac:dyDescent="0.2">
      <c r="AQ12879" s="31"/>
    </row>
    <row r="12880" spans="43:43" x14ac:dyDescent="0.2">
      <c r="AQ12880" s="31"/>
    </row>
    <row r="12881" spans="43:43" x14ac:dyDescent="0.2">
      <c r="AQ12881" s="31"/>
    </row>
    <row r="12882" spans="43:43" x14ac:dyDescent="0.2">
      <c r="AQ12882" s="31"/>
    </row>
    <row r="12883" spans="43:43" x14ac:dyDescent="0.2">
      <c r="AQ12883" s="31"/>
    </row>
    <row r="12884" spans="43:43" x14ac:dyDescent="0.2">
      <c r="AQ12884" s="31"/>
    </row>
    <row r="12885" spans="43:43" x14ac:dyDescent="0.2">
      <c r="AQ12885" s="31"/>
    </row>
    <row r="12886" spans="43:43" x14ac:dyDescent="0.2">
      <c r="AQ12886" s="31"/>
    </row>
    <row r="12887" spans="43:43" x14ac:dyDescent="0.2">
      <c r="AQ12887" s="31"/>
    </row>
    <row r="12888" spans="43:43" x14ac:dyDescent="0.2">
      <c r="AQ12888" s="31"/>
    </row>
    <row r="12889" spans="43:43" x14ac:dyDescent="0.2">
      <c r="AQ12889" s="31"/>
    </row>
    <row r="12890" spans="43:43" x14ac:dyDescent="0.2">
      <c r="AQ12890" s="31"/>
    </row>
    <row r="12891" spans="43:43" x14ac:dyDescent="0.2">
      <c r="AQ12891" s="31"/>
    </row>
    <row r="12892" spans="43:43" x14ac:dyDescent="0.2">
      <c r="AQ12892" s="31"/>
    </row>
    <row r="12893" spans="43:43" x14ac:dyDescent="0.2">
      <c r="AQ12893" s="31"/>
    </row>
    <row r="12894" spans="43:43" x14ac:dyDescent="0.2">
      <c r="AQ12894" s="31"/>
    </row>
    <row r="12895" spans="43:43" x14ac:dyDescent="0.2">
      <c r="AQ12895" s="31"/>
    </row>
    <row r="12896" spans="43:43" x14ac:dyDescent="0.2">
      <c r="AQ12896" s="31"/>
    </row>
    <row r="12897" spans="43:43" x14ac:dyDescent="0.2">
      <c r="AQ12897" s="31"/>
    </row>
    <row r="12898" spans="43:43" x14ac:dyDescent="0.2">
      <c r="AQ12898" s="31"/>
    </row>
    <row r="12899" spans="43:43" x14ac:dyDescent="0.2">
      <c r="AQ12899" s="31"/>
    </row>
    <row r="12900" spans="43:43" x14ac:dyDescent="0.2">
      <c r="AQ12900" s="31"/>
    </row>
    <row r="12901" spans="43:43" x14ac:dyDescent="0.2">
      <c r="AQ12901" s="31"/>
    </row>
    <row r="12902" spans="43:43" x14ac:dyDescent="0.2">
      <c r="AQ12902" s="31"/>
    </row>
    <row r="12903" spans="43:43" x14ac:dyDescent="0.2">
      <c r="AQ12903" s="31"/>
    </row>
    <row r="12904" spans="43:43" x14ac:dyDescent="0.2">
      <c r="AQ12904" s="31"/>
    </row>
    <row r="12905" spans="43:43" x14ac:dyDescent="0.2">
      <c r="AQ12905" s="31"/>
    </row>
    <row r="12906" spans="43:43" x14ac:dyDescent="0.2">
      <c r="AQ12906" s="31"/>
    </row>
    <row r="12907" spans="43:43" x14ac:dyDescent="0.2">
      <c r="AQ12907" s="31"/>
    </row>
    <row r="12908" spans="43:43" x14ac:dyDescent="0.2">
      <c r="AQ12908" s="31"/>
    </row>
    <row r="12909" spans="43:43" x14ac:dyDescent="0.2">
      <c r="AQ12909" s="31"/>
    </row>
    <row r="12910" spans="43:43" x14ac:dyDescent="0.2">
      <c r="AQ12910" s="31"/>
    </row>
    <row r="12911" spans="43:43" x14ac:dyDescent="0.2">
      <c r="AQ12911" s="31"/>
    </row>
    <row r="12912" spans="43:43" x14ac:dyDescent="0.2">
      <c r="AQ12912" s="31"/>
    </row>
    <row r="12913" spans="43:43" x14ac:dyDescent="0.2">
      <c r="AQ12913" s="31"/>
    </row>
    <row r="12914" spans="43:43" x14ac:dyDescent="0.2">
      <c r="AQ12914" s="31"/>
    </row>
    <row r="12915" spans="43:43" x14ac:dyDescent="0.2">
      <c r="AQ12915" s="31"/>
    </row>
    <row r="12916" spans="43:43" x14ac:dyDescent="0.2">
      <c r="AQ12916" s="31"/>
    </row>
    <row r="12917" spans="43:43" x14ac:dyDescent="0.2">
      <c r="AQ12917" s="31"/>
    </row>
    <row r="12918" spans="43:43" x14ac:dyDescent="0.2">
      <c r="AQ12918" s="31"/>
    </row>
    <row r="12919" spans="43:43" x14ac:dyDescent="0.2">
      <c r="AQ12919" s="31"/>
    </row>
    <row r="12920" spans="43:43" x14ac:dyDescent="0.2">
      <c r="AQ12920" s="31"/>
    </row>
    <row r="12921" spans="43:43" x14ac:dyDescent="0.2">
      <c r="AQ12921" s="31"/>
    </row>
    <row r="12922" spans="43:43" x14ac:dyDescent="0.2">
      <c r="AQ12922" s="31"/>
    </row>
    <row r="12923" spans="43:43" x14ac:dyDescent="0.2">
      <c r="AQ12923" s="31"/>
    </row>
    <row r="12924" spans="43:43" x14ac:dyDescent="0.2">
      <c r="AQ12924" s="31"/>
    </row>
    <row r="12925" spans="43:43" x14ac:dyDescent="0.2">
      <c r="AQ12925" s="31"/>
    </row>
    <row r="12926" spans="43:43" x14ac:dyDescent="0.2">
      <c r="AQ12926" s="31"/>
    </row>
    <row r="12927" spans="43:43" x14ac:dyDescent="0.2">
      <c r="AQ12927" s="31"/>
    </row>
    <row r="12928" spans="43:43" x14ac:dyDescent="0.2">
      <c r="AQ12928" s="31"/>
    </row>
    <row r="12929" spans="43:43" x14ac:dyDescent="0.2">
      <c r="AQ12929" s="31"/>
    </row>
    <row r="12930" spans="43:43" x14ac:dyDescent="0.2">
      <c r="AQ12930" s="31"/>
    </row>
    <row r="12931" spans="43:43" x14ac:dyDescent="0.2">
      <c r="AQ12931" s="31"/>
    </row>
    <row r="12932" spans="43:43" x14ac:dyDescent="0.2">
      <c r="AQ12932" s="31"/>
    </row>
    <row r="12933" spans="43:43" x14ac:dyDescent="0.2">
      <c r="AQ12933" s="31"/>
    </row>
    <row r="12934" spans="43:43" x14ac:dyDescent="0.2">
      <c r="AQ12934" s="31"/>
    </row>
    <row r="12935" spans="43:43" x14ac:dyDescent="0.2">
      <c r="AQ12935" s="31"/>
    </row>
    <row r="12936" spans="43:43" x14ac:dyDescent="0.2">
      <c r="AQ12936" s="31"/>
    </row>
    <row r="12937" spans="43:43" x14ac:dyDescent="0.2">
      <c r="AQ12937" s="31"/>
    </row>
    <row r="12938" spans="43:43" x14ac:dyDescent="0.2">
      <c r="AQ12938" s="31"/>
    </row>
    <row r="12939" spans="43:43" x14ac:dyDescent="0.2">
      <c r="AQ12939" s="31"/>
    </row>
    <row r="12940" spans="43:43" x14ac:dyDescent="0.2">
      <c r="AQ12940" s="31"/>
    </row>
    <row r="12941" spans="43:43" x14ac:dyDescent="0.2">
      <c r="AQ12941" s="31"/>
    </row>
    <row r="12942" spans="43:43" x14ac:dyDescent="0.2">
      <c r="AQ12942" s="31"/>
    </row>
    <row r="12943" spans="43:43" x14ac:dyDescent="0.2">
      <c r="AQ12943" s="31"/>
    </row>
    <row r="12944" spans="43:43" x14ac:dyDescent="0.2">
      <c r="AQ12944" s="31"/>
    </row>
    <row r="12945" spans="43:43" x14ac:dyDescent="0.2">
      <c r="AQ12945" s="31"/>
    </row>
    <row r="12946" spans="43:43" x14ac:dyDescent="0.2">
      <c r="AQ12946" s="31"/>
    </row>
    <row r="12947" spans="43:43" x14ac:dyDescent="0.2">
      <c r="AQ12947" s="31"/>
    </row>
    <row r="12948" spans="43:43" x14ac:dyDescent="0.2">
      <c r="AQ12948" s="31"/>
    </row>
    <row r="12949" spans="43:43" x14ac:dyDescent="0.2">
      <c r="AQ12949" s="31"/>
    </row>
    <row r="12950" spans="43:43" x14ac:dyDescent="0.2">
      <c r="AQ12950" s="31"/>
    </row>
    <row r="12951" spans="43:43" x14ac:dyDescent="0.2">
      <c r="AQ12951" s="31"/>
    </row>
    <row r="12952" spans="43:43" x14ac:dyDescent="0.2">
      <c r="AQ12952" s="31"/>
    </row>
    <row r="12953" spans="43:43" x14ac:dyDescent="0.2">
      <c r="AQ12953" s="31"/>
    </row>
    <row r="12954" spans="43:43" x14ac:dyDescent="0.2">
      <c r="AQ12954" s="31"/>
    </row>
    <row r="12955" spans="43:43" x14ac:dyDescent="0.2">
      <c r="AQ12955" s="31"/>
    </row>
    <row r="12956" spans="43:43" x14ac:dyDescent="0.2">
      <c r="AQ12956" s="31"/>
    </row>
    <row r="12957" spans="43:43" x14ac:dyDescent="0.2">
      <c r="AQ12957" s="31"/>
    </row>
    <row r="12958" spans="43:43" x14ac:dyDescent="0.2">
      <c r="AQ12958" s="31"/>
    </row>
    <row r="12959" spans="43:43" x14ac:dyDescent="0.2">
      <c r="AQ12959" s="31"/>
    </row>
    <row r="12960" spans="43:43" x14ac:dyDescent="0.2">
      <c r="AQ12960" s="31"/>
    </row>
    <row r="12961" spans="43:43" x14ac:dyDescent="0.2">
      <c r="AQ12961" s="31"/>
    </row>
    <row r="12962" spans="43:43" x14ac:dyDescent="0.2">
      <c r="AQ12962" s="31"/>
    </row>
    <row r="12963" spans="43:43" x14ac:dyDescent="0.2">
      <c r="AQ12963" s="31"/>
    </row>
    <row r="12964" spans="43:43" x14ac:dyDescent="0.2">
      <c r="AQ12964" s="31"/>
    </row>
    <row r="12965" spans="43:43" x14ac:dyDescent="0.2">
      <c r="AQ12965" s="31"/>
    </row>
    <row r="12966" spans="43:43" x14ac:dyDescent="0.2">
      <c r="AQ12966" s="31"/>
    </row>
    <row r="12967" spans="43:43" x14ac:dyDescent="0.2">
      <c r="AQ12967" s="31"/>
    </row>
    <row r="12968" spans="43:43" x14ac:dyDescent="0.2">
      <c r="AQ12968" s="31"/>
    </row>
    <row r="12969" spans="43:43" x14ac:dyDescent="0.2">
      <c r="AQ12969" s="31"/>
    </row>
    <row r="12970" spans="43:43" x14ac:dyDescent="0.2">
      <c r="AQ12970" s="31"/>
    </row>
    <row r="12971" spans="43:43" x14ac:dyDescent="0.2">
      <c r="AQ12971" s="31"/>
    </row>
    <row r="12972" spans="43:43" x14ac:dyDescent="0.2">
      <c r="AQ12972" s="31"/>
    </row>
    <row r="12973" spans="43:43" x14ac:dyDescent="0.2">
      <c r="AQ12973" s="31"/>
    </row>
    <row r="12974" spans="43:43" x14ac:dyDescent="0.2">
      <c r="AQ12974" s="31"/>
    </row>
    <row r="12975" spans="43:43" x14ac:dyDescent="0.2">
      <c r="AQ12975" s="31"/>
    </row>
    <row r="12976" spans="43:43" x14ac:dyDescent="0.2">
      <c r="AQ12976" s="31"/>
    </row>
    <row r="12977" spans="43:43" x14ac:dyDescent="0.2">
      <c r="AQ12977" s="31"/>
    </row>
    <row r="12978" spans="43:43" x14ac:dyDescent="0.2">
      <c r="AQ12978" s="31"/>
    </row>
    <row r="12979" spans="43:43" x14ac:dyDescent="0.2">
      <c r="AQ12979" s="31"/>
    </row>
    <row r="12980" spans="43:43" x14ac:dyDescent="0.2">
      <c r="AQ12980" s="31"/>
    </row>
    <row r="12981" spans="43:43" x14ac:dyDescent="0.2">
      <c r="AQ12981" s="31"/>
    </row>
    <row r="12982" spans="43:43" x14ac:dyDescent="0.2">
      <c r="AQ12982" s="31"/>
    </row>
    <row r="12983" spans="43:43" x14ac:dyDescent="0.2">
      <c r="AQ12983" s="31"/>
    </row>
    <row r="12984" spans="43:43" x14ac:dyDescent="0.2">
      <c r="AQ12984" s="31"/>
    </row>
    <row r="12985" spans="43:43" x14ac:dyDescent="0.2">
      <c r="AQ12985" s="31"/>
    </row>
    <row r="12986" spans="43:43" x14ac:dyDescent="0.2">
      <c r="AQ12986" s="31"/>
    </row>
    <row r="12987" spans="43:43" x14ac:dyDescent="0.2">
      <c r="AQ12987" s="31"/>
    </row>
    <row r="12988" spans="43:43" x14ac:dyDescent="0.2">
      <c r="AQ12988" s="31"/>
    </row>
    <row r="12989" spans="43:43" x14ac:dyDescent="0.2">
      <c r="AQ12989" s="31"/>
    </row>
    <row r="12990" spans="43:43" x14ac:dyDescent="0.2">
      <c r="AQ12990" s="31"/>
    </row>
    <row r="12991" spans="43:43" x14ac:dyDescent="0.2">
      <c r="AQ12991" s="31"/>
    </row>
    <row r="12992" spans="43:43" x14ac:dyDescent="0.2">
      <c r="AQ12992" s="31"/>
    </row>
    <row r="12993" spans="43:43" x14ac:dyDescent="0.2">
      <c r="AQ12993" s="31"/>
    </row>
    <row r="12994" spans="43:43" x14ac:dyDescent="0.2">
      <c r="AQ12994" s="31"/>
    </row>
    <row r="12995" spans="43:43" x14ac:dyDescent="0.2">
      <c r="AQ12995" s="31"/>
    </row>
    <row r="12996" spans="43:43" x14ac:dyDescent="0.2">
      <c r="AQ12996" s="31"/>
    </row>
    <row r="12997" spans="43:43" x14ac:dyDescent="0.2">
      <c r="AQ12997" s="31"/>
    </row>
    <row r="12998" spans="43:43" x14ac:dyDescent="0.2">
      <c r="AQ12998" s="31"/>
    </row>
    <row r="12999" spans="43:43" x14ac:dyDescent="0.2">
      <c r="AQ12999" s="31"/>
    </row>
    <row r="13000" spans="43:43" x14ac:dyDescent="0.2">
      <c r="AQ13000" s="31"/>
    </row>
    <row r="13001" spans="43:43" x14ac:dyDescent="0.2">
      <c r="AQ13001" s="31"/>
    </row>
    <row r="13002" spans="43:43" x14ac:dyDescent="0.2">
      <c r="AQ13002" s="31"/>
    </row>
    <row r="13003" spans="43:43" x14ac:dyDescent="0.2">
      <c r="AQ13003" s="31"/>
    </row>
    <row r="13004" spans="43:43" x14ac:dyDescent="0.2">
      <c r="AQ13004" s="31"/>
    </row>
    <row r="13005" spans="43:43" x14ac:dyDescent="0.2">
      <c r="AQ13005" s="31"/>
    </row>
    <row r="13006" spans="43:43" x14ac:dyDescent="0.2">
      <c r="AQ13006" s="31"/>
    </row>
    <row r="13007" spans="43:43" x14ac:dyDescent="0.2">
      <c r="AQ13007" s="31"/>
    </row>
    <row r="13008" spans="43:43" x14ac:dyDescent="0.2">
      <c r="AQ13008" s="31"/>
    </row>
    <row r="13009" spans="43:43" x14ac:dyDescent="0.2">
      <c r="AQ13009" s="31"/>
    </row>
    <row r="13010" spans="43:43" x14ac:dyDescent="0.2">
      <c r="AQ13010" s="31"/>
    </row>
    <row r="13011" spans="43:43" x14ac:dyDescent="0.2">
      <c r="AQ13011" s="31"/>
    </row>
    <row r="13012" spans="43:43" x14ac:dyDescent="0.2">
      <c r="AQ13012" s="31"/>
    </row>
    <row r="13013" spans="43:43" x14ac:dyDescent="0.2">
      <c r="AQ13013" s="31"/>
    </row>
    <row r="13014" spans="43:43" x14ac:dyDescent="0.2">
      <c r="AQ13014" s="31"/>
    </row>
    <row r="13015" spans="43:43" x14ac:dyDescent="0.2">
      <c r="AQ13015" s="31"/>
    </row>
    <row r="13016" spans="43:43" x14ac:dyDescent="0.2">
      <c r="AQ13016" s="31"/>
    </row>
    <row r="13017" spans="43:43" x14ac:dyDescent="0.2">
      <c r="AQ13017" s="31"/>
    </row>
    <row r="13018" spans="43:43" x14ac:dyDescent="0.2">
      <c r="AQ13018" s="31"/>
    </row>
    <row r="13019" spans="43:43" x14ac:dyDescent="0.2">
      <c r="AQ13019" s="31"/>
    </row>
    <row r="13020" spans="43:43" x14ac:dyDescent="0.2">
      <c r="AQ13020" s="31"/>
    </row>
    <row r="13021" spans="43:43" x14ac:dyDescent="0.2">
      <c r="AQ13021" s="31"/>
    </row>
    <row r="13022" spans="43:43" x14ac:dyDescent="0.2">
      <c r="AQ13022" s="31"/>
    </row>
    <row r="13023" spans="43:43" x14ac:dyDescent="0.2">
      <c r="AQ13023" s="31"/>
    </row>
    <row r="13024" spans="43:43" x14ac:dyDescent="0.2">
      <c r="AQ13024" s="31"/>
    </row>
    <row r="13025" spans="43:43" x14ac:dyDescent="0.2">
      <c r="AQ13025" s="31"/>
    </row>
    <row r="13026" spans="43:43" x14ac:dyDescent="0.2">
      <c r="AQ13026" s="31"/>
    </row>
    <row r="13027" spans="43:43" x14ac:dyDescent="0.2">
      <c r="AQ13027" s="31"/>
    </row>
    <row r="13028" spans="43:43" x14ac:dyDescent="0.2">
      <c r="AQ13028" s="31"/>
    </row>
    <row r="13029" spans="43:43" x14ac:dyDescent="0.2">
      <c r="AQ13029" s="31"/>
    </row>
    <row r="13030" spans="43:43" x14ac:dyDescent="0.2">
      <c r="AQ13030" s="31"/>
    </row>
    <row r="13031" spans="43:43" x14ac:dyDescent="0.2">
      <c r="AQ13031" s="31"/>
    </row>
    <row r="13032" spans="43:43" x14ac:dyDescent="0.2">
      <c r="AQ13032" s="31"/>
    </row>
    <row r="13033" spans="43:43" x14ac:dyDescent="0.2">
      <c r="AQ13033" s="31"/>
    </row>
    <row r="13034" spans="43:43" x14ac:dyDescent="0.2">
      <c r="AQ13034" s="31"/>
    </row>
    <row r="13035" spans="43:43" x14ac:dyDescent="0.2">
      <c r="AQ13035" s="31"/>
    </row>
    <row r="13036" spans="43:43" x14ac:dyDescent="0.2">
      <c r="AQ13036" s="31"/>
    </row>
    <row r="13037" spans="43:43" x14ac:dyDescent="0.2">
      <c r="AQ13037" s="31"/>
    </row>
    <row r="13038" spans="43:43" x14ac:dyDescent="0.2">
      <c r="AQ13038" s="31"/>
    </row>
    <row r="13039" spans="43:43" x14ac:dyDescent="0.2">
      <c r="AQ13039" s="31"/>
    </row>
    <row r="13040" spans="43:43" x14ac:dyDescent="0.2">
      <c r="AQ13040" s="31"/>
    </row>
    <row r="13041" spans="43:43" x14ac:dyDescent="0.2">
      <c r="AQ13041" s="31"/>
    </row>
    <row r="13042" spans="43:43" x14ac:dyDescent="0.2">
      <c r="AQ13042" s="31"/>
    </row>
    <row r="13043" spans="43:43" x14ac:dyDescent="0.2">
      <c r="AQ13043" s="31"/>
    </row>
    <row r="13044" spans="43:43" x14ac:dyDescent="0.2">
      <c r="AQ13044" s="31"/>
    </row>
    <row r="13045" spans="43:43" x14ac:dyDescent="0.2">
      <c r="AQ13045" s="31"/>
    </row>
    <row r="13046" spans="43:43" x14ac:dyDescent="0.2">
      <c r="AQ13046" s="31"/>
    </row>
    <row r="13047" spans="43:43" x14ac:dyDescent="0.2">
      <c r="AQ13047" s="31"/>
    </row>
    <row r="13048" spans="43:43" x14ac:dyDescent="0.2">
      <c r="AQ13048" s="31"/>
    </row>
    <row r="13049" spans="43:43" x14ac:dyDescent="0.2">
      <c r="AQ13049" s="31"/>
    </row>
    <row r="13050" spans="43:43" x14ac:dyDescent="0.2">
      <c r="AQ13050" s="31"/>
    </row>
    <row r="13051" spans="43:43" x14ac:dyDescent="0.2">
      <c r="AQ13051" s="31"/>
    </row>
    <row r="13052" spans="43:43" x14ac:dyDescent="0.2">
      <c r="AQ13052" s="31"/>
    </row>
    <row r="13053" spans="43:43" x14ac:dyDescent="0.2">
      <c r="AQ13053" s="31"/>
    </row>
    <row r="13054" spans="43:43" x14ac:dyDescent="0.2">
      <c r="AQ13054" s="31"/>
    </row>
    <row r="13055" spans="43:43" x14ac:dyDescent="0.2">
      <c r="AQ13055" s="31"/>
    </row>
    <row r="13056" spans="43:43" x14ac:dyDescent="0.2">
      <c r="AQ13056" s="31"/>
    </row>
    <row r="13057" spans="43:43" x14ac:dyDescent="0.2">
      <c r="AQ13057" s="31"/>
    </row>
    <row r="13058" spans="43:43" x14ac:dyDescent="0.2">
      <c r="AQ13058" s="31"/>
    </row>
    <row r="13059" spans="43:43" x14ac:dyDescent="0.2">
      <c r="AQ13059" s="31"/>
    </row>
    <row r="13060" spans="43:43" x14ac:dyDescent="0.2">
      <c r="AQ13060" s="31"/>
    </row>
    <row r="13061" spans="43:43" x14ac:dyDescent="0.2">
      <c r="AQ13061" s="31"/>
    </row>
    <row r="13062" spans="43:43" x14ac:dyDescent="0.2">
      <c r="AQ13062" s="31"/>
    </row>
    <row r="13063" spans="43:43" x14ac:dyDescent="0.2">
      <c r="AQ13063" s="31"/>
    </row>
    <row r="13064" spans="43:43" x14ac:dyDescent="0.2">
      <c r="AQ13064" s="31"/>
    </row>
    <row r="13065" spans="43:43" x14ac:dyDescent="0.2">
      <c r="AQ13065" s="31"/>
    </row>
    <row r="13066" spans="43:43" x14ac:dyDescent="0.2">
      <c r="AQ13066" s="31"/>
    </row>
    <row r="13067" spans="43:43" x14ac:dyDescent="0.2">
      <c r="AQ13067" s="31"/>
    </row>
    <row r="13068" spans="43:43" x14ac:dyDescent="0.2">
      <c r="AQ13068" s="31"/>
    </row>
    <row r="13069" spans="43:43" x14ac:dyDescent="0.2">
      <c r="AQ13069" s="31"/>
    </row>
    <row r="13070" spans="43:43" x14ac:dyDescent="0.2">
      <c r="AQ13070" s="31"/>
    </row>
    <row r="13071" spans="43:43" x14ac:dyDescent="0.2">
      <c r="AQ13071" s="31"/>
    </row>
    <row r="13072" spans="43:43" x14ac:dyDescent="0.2">
      <c r="AQ13072" s="31"/>
    </row>
    <row r="13073" spans="43:43" x14ac:dyDescent="0.2">
      <c r="AQ13073" s="31"/>
    </row>
    <row r="13074" spans="43:43" x14ac:dyDescent="0.2">
      <c r="AQ13074" s="31"/>
    </row>
    <row r="13075" spans="43:43" x14ac:dyDescent="0.2">
      <c r="AQ13075" s="31"/>
    </row>
    <row r="13076" spans="43:43" x14ac:dyDescent="0.2">
      <c r="AQ13076" s="31"/>
    </row>
    <row r="13077" spans="43:43" x14ac:dyDescent="0.2">
      <c r="AQ13077" s="31"/>
    </row>
    <row r="13078" spans="43:43" x14ac:dyDescent="0.2">
      <c r="AQ13078" s="31"/>
    </row>
    <row r="13079" spans="43:43" x14ac:dyDescent="0.2">
      <c r="AQ13079" s="31"/>
    </row>
    <row r="13080" spans="43:43" x14ac:dyDescent="0.2">
      <c r="AQ13080" s="31"/>
    </row>
    <row r="13081" spans="43:43" x14ac:dyDescent="0.2">
      <c r="AQ13081" s="31"/>
    </row>
    <row r="13082" spans="43:43" x14ac:dyDescent="0.2">
      <c r="AQ13082" s="31"/>
    </row>
    <row r="13083" spans="43:43" x14ac:dyDescent="0.2">
      <c r="AQ13083" s="31"/>
    </row>
    <row r="13084" spans="43:43" x14ac:dyDescent="0.2">
      <c r="AQ13084" s="31"/>
    </row>
    <row r="13085" spans="43:43" x14ac:dyDescent="0.2">
      <c r="AQ13085" s="31"/>
    </row>
    <row r="13086" spans="43:43" x14ac:dyDescent="0.2">
      <c r="AQ13086" s="31"/>
    </row>
    <row r="13087" spans="43:43" x14ac:dyDescent="0.2">
      <c r="AQ13087" s="31"/>
    </row>
    <row r="13088" spans="43:43" x14ac:dyDescent="0.2">
      <c r="AQ13088" s="31"/>
    </row>
    <row r="13089" spans="43:43" x14ac:dyDescent="0.2">
      <c r="AQ13089" s="31"/>
    </row>
    <row r="13090" spans="43:43" x14ac:dyDescent="0.2">
      <c r="AQ13090" s="31"/>
    </row>
    <row r="13091" spans="43:43" x14ac:dyDescent="0.2">
      <c r="AQ13091" s="31"/>
    </row>
    <row r="13092" spans="43:43" x14ac:dyDescent="0.2">
      <c r="AQ13092" s="31"/>
    </row>
    <row r="13093" spans="43:43" x14ac:dyDescent="0.2">
      <c r="AQ13093" s="31"/>
    </row>
    <row r="13094" spans="43:43" x14ac:dyDescent="0.2">
      <c r="AQ13094" s="31"/>
    </row>
    <row r="13095" spans="43:43" x14ac:dyDescent="0.2">
      <c r="AQ13095" s="31"/>
    </row>
    <row r="13096" spans="43:43" x14ac:dyDescent="0.2">
      <c r="AQ13096" s="31"/>
    </row>
    <row r="13097" spans="43:43" x14ac:dyDescent="0.2">
      <c r="AQ13097" s="31"/>
    </row>
    <row r="13098" spans="43:43" x14ac:dyDescent="0.2">
      <c r="AQ13098" s="31"/>
    </row>
    <row r="13099" spans="43:43" x14ac:dyDescent="0.2">
      <c r="AQ13099" s="31"/>
    </row>
    <row r="13100" spans="43:43" x14ac:dyDescent="0.2">
      <c r="AQ13100" s="31"/>
    </row>
    <row r="13101" spans="43:43" x14ac:dyDescent="0.2">
      <c r="AQ13101" s="31"/>
    </row>
    <row r="13102" spans="43:43" x14ac:dyDescent="0.2">
      <c r="AQ13102" s="31"/>
    </row>
    <row r="13103" spans="43:43" x14ac:dyDescent="0.2">
      <c r="AQ13103" s="31"/>
    </row>
    <row r="13104" spans="43:43" x14ac:dyDescent="0.2">
      <c r="AQ13104" s="31"/>
    </row>
    <row r="13105" spans="43:43" x14ac:dyDescent="0.2">
      <c r="AQ13105" s="31"/>
    </row>
    <row r="13106" spans="43:43" x14ac:dyDescent="0.2">
      <c r="AQ13106" s="31"/>
    </row>
    <row r="13107" spans="43:43" x14ac:dyDescent="0.2">
      <c r="AQ13107" s="31"/>
    </row>
    <row r="13108" spans="43:43" x14ac:dyDescent="0.2">
      <c r="AQ13108" s="31"/>
    </row>
    <row r="13109" spans="43:43" x14ac:dyDescent="0.2">
      <c r="AQ13109" s="31"/>
    </row>
    <row r="13110" spans="43:43" x14ac:dyDescent="0.2">
      <c r="AQ13110" s="31"/>
    </row>
    <row r="13111" spans="43:43" x14ac:dyDescent="0.2">
      <c r="AQ13111" s="31"/>
    </row>
    <row r="13112" spans="43:43" x14ac:dyDescent="0.2">
      <c r="AQ13112" s="31"/>
    </row>
    <row r="13113" spans="43:43" x14ac:dyDescent="0.2">
      <c r="AQ13113" s="31"/>
    </row>
    <row r="13114" spans="43:43" x14ac:dyDescent="0.2">
      <c r="AQ13114" s="31"/>
    </row>
    <row r="13115" spans="43:43" x14ac:dyDescent="0.2">
      <c r="AQ13115" s="31"/>
    </row>
    <row r="13116" spans="43:43" x14ac:dyDescent="0.2">
      <c r="AQ13116" s="31"/>
    </row>
    <row r="13117" spans="43:43" x14ac:dyDescent="0.2">
      <c r="AQ13117" s="31"/>
    </row>
    <row r="13118" spans="43:43" x14ac:dyDescent="0.2">
      <c r="AQ13118" s="31"/>
    </row>
    <row r="13119" spans="43:43" x14ac:dyDescent="0.2">
      <c r="AQ13119" s="31"/>
    </row>
    <row r="13120" spans="43:43" x14ac:dyDescent="0.2">
      <c r="AQ13120" s="31"/>
    </row>
    <row r="13121" spans="43:43" x14ac:dyDescent="0.2">
      <c r="AQ13121" s="31"/>
    </row>
    <row r="13122" spans="43:43" x14ac:dyDescent="0.2">
      <c r="AQ13122" s="31"/>
    </row>
    <row r="13123" spans="43:43" x14ac:dyDescent="0.2">
      <c r="AQ13123" s="31"/>
    </row>
    <row r="13124" spans="43:43" x14ac:dyDescent="0.2">
      <c r="AQ13124" s="31"/>
    </row>
    <row r="13125" spans="43:43" x14ac:dyDescent="0.2">
      <c r="AQ13125" s="31"/>
    </row>
    <row r="13126" spans="43:43" x14ac:dyDescent="0.2">
      <c r="AQ13126" s="31"/>
    </row>
    <row r="13127" spans="43:43" x14ac:dyDescent="0.2">
      <c r="AQ13127" s="31"/>
    </row>
    <row r="13128" spans="43:43" x14ac:dyDescent="0.2">
      <c r="AQ13128" s="31"/>
    </row>
    <row r="13129" spans="43:43" x14ac:dyDescent="0.2">
      <c r="AQ13129" s="31"/>
    </row>
    <row r="13130" spans="43:43" x14ac:dyDescent="0.2">
      <c r="AQ13130" s="31"/>
    </row>
    <row r="13131" spans="43:43" x14ac:dyDescent="0.2">
      <c r="AQ13131" s="31"/>
    </row>
    <row r="13132" spans="43:43" x14ac:dyDescent="0.2">
      <c r="AQ13132" s="31"/>
    </row>
    <row r="13133" spans="43:43" x14ac:dyDescent="0.2">
      <c r="AQ13133" s="31"/>
    </row>
    <row r="13134" spans="43:43" x14ac:dyDescent="0.2">
      <c r="AQ13134" s="31"/>
    </row>
    <row r="13135" spans="43:43" x14ac:dyDescent="0.2">
      <c r="AQ13135" s="31"/>
    </row>
    <row r="13136" spans="43:43" x14ac:dyDescent="0.2">
      <c r="AQ13136" s="31"/>
    </row>
    <row r="13137" spans="43:43" x14ac:dyDescent="0.2">
      <c r="AQ13137" s="31"/>
    </row>
    <row r="13138" spans="43:43" x14ac:dyDescent="0.2">
      <c r="AQ13138" s="31"/>
    </row>
    <row r="13139" spans="43:43" x14ac:dyDescent="0.2">
      <c r="AQ13139" s="31"/>
    </row>
    <row r="13140" spans="43:43" x14ac:dyDescent="0.2">
      <c r="AQ13140" s="31"/>
    </row>
    <row r="13141" spans="43:43" x14ac:dyDescent="0.2">
      <c r="AQ13141" s="31"/>
    </row>
    <row r="13142" spans="43:43" x14ac:dyDescent="0.2">
      <c r="AQ13142" s="31"/>
    </row>
    <row r="13143" spans="43:43" x14ac:dyDescent="0.2">
      <c r="AQ13143" s="31"/>
    </row>
    <row r="13144" spans="43:43" x14ac:dyDescent="0.2">
      <c r="AQ13144" s="31"/>
    </row>
    <row r="13145" spans="43:43" x14ac:dyDescent="0.2">
      <c r="AQ13145" s="31"/>
    </row>
    <row r="13146" spans="43:43" x14ac:dyDescent="0.2">
      <c r="AQ13146" s="31"/>
    </row>
    <row r="13147" spans="43:43" x14ac:dyDescent="0.2">
      <c r="AQ13147" s="31"/>
    </row>
    <row r="13148" spans="43:43" x14ac:dyDescent="0.2">
      <c r="AQ13148" s="31"/>
    </row>
    <row r="13149" spans="43:43" x14ac:dyDescent="0.2">
      <c r="AQ13149" s="31"/>
    </row>
    <row r="13150" spans="43:43" x14ac:dyDescent="0.2">
      <c r="AQ13150" s="31"/>
    </row>
    <row r="13151" spans="43:43" x14ac:dyDescent="0.2">
      <c r="AQ13151" s="31"/>
    </row>
    <row r="13152" spans="43:43" x14ac:dyDescent="0.2">
      <c r="AQ13152" s="31"/>
    </row>
    <row r="13153" spans="43:43" x14ac:dyDescent="0.2">
      <c r="AQ13153" s="31"/>
    </row>
    <row r="13154" spans="43:43" x14ac:dyDescent="0.2">
      <c r="AQ13154" s="31"/>
    </row>
    <row r="13155" spans="43:43" x14ac:dyDescent="0.2">
      <c r="AQ13155" s="31"/>
    </row>
    <row r="13156" spans="43:43" x14ac:dyDescent="0.2">
      <c r="AQ13156" s="31"/>
    </row>
    <row r="13157" spans="43:43" x14ac:dyDescent="0.2">
      <c r="AQ13157" s="31"/>
    </row>
    <row r="13158" spans="43:43" x14ac:dyDescent="0.2">
      <c r="AQ13158" s="31"/>
    </row>
    <row r="13159" spans="43:43" x14ac:dyDescent="0.2">
      <c r="AQ13159" s="31"/>
    </row>
    <row r="13160" spans="43:43" x14ac:dyDescent="0.2">
      <c r="AQ13160" s="31"/>
    </row>
    <row r="13161" spans="43:43" x14ac:dyDescent="0.2">
      <c r="AQ13161" s="31"/>
    </row>
    <row r="13162" spans="43:43" x14ac:dyDescent="0.2">
      <c r="AQ13162" s="31"/>
    </row>
    <row r="13163" spans="43:43" x14ac:dyDescent="0.2">
      <c r="AQ13163" s="31"/>
    </row>
    <row r="13164" spans="43:43" x14ac:dyDescent="0.2">
      <c r="AQ13164" s="31"/>
    </row>
    <row r="13165" spans="43:43" x14ac:dyDescent="0.2">
      <c r="AQ13165" s="31"/>
    </row>
    <row r="13166" spans="43:43" x14ac:dyDescent="0.2">
      <c r="AQ13166" s="31"/>
    </row>
    <row r="13167" spans="43:43" x14ac:dyDescent="0.2">
      <c r="AQ13167" s="31"/>
    </row>
    <row r="13168" spans="43:43" x14ac:dyDescent="0.2">
      <c r="AQ13168" s="31"/>
    </row>
    <row r="13169" spans="43:43" x14ac:dyDescent="0.2">
      <c r="AQ13169" s="31"/>
    </row>
    <row r="13170" spans="43:43" x14ac:dyDescent="0.2">
      <c r="AQ13170" s="31"/>
    </row>
    <row r="13171" spans="43:43" x14ac:dyDescent="0.2">
      <c r="AQ13171" s="31"/>
    </row>
    <row r="13172" spans="43:43" x14ac:dyDescent="0.2">
      <c r="AQ13172" s="31"/>
    </row>
    <row r="13173" spans="43:43" x14ac:dyDescent="0.2">
      <c r="AQ13173" s="31"/>
    </row>
    <row r="13174" spans="43:43" x14ac:dyDescent="0.2">
      <c r="AQ13174" s="31"/>
    </row>
    <row r="13175" spans="43:43" x14ac:dyDescent="0.2">
      <c r="AQ13175" s="31"/>
    </row>
    <row r="13176" spans="43:43" x14ac:dyDescent="0.2">
      <c r="AQ13176" s="31"/>
    </row>
    <row r="13177" spans="43:43" x14ac:dyDescent="0.2">
      <c r="AQ13177" s="31"/>
    </row>
    <row r="13178" spans="43:43" x14ac:dyDescent="0.2">
      <c r="AQ13178" s="31"/>
    </row>
    <row r="13179" spans="43:43" x14ac:dyDescent="0.2">
      <c r="AQ13179" s="31"/>
    </row>
    <row r="13180" spans="43:43" x14ac:dyDescent="0.2">
      <c r="AQ13180" s="31"/>
    </row>
    <row r="13181" spans="43:43" x14ac:dyDescent="0.2">
      <c r="AQ13181" s="31"/>
    </row>
    <row r="13182" spans="43:43" x14ac:dyDescent="0.2">
      <c r="AQ13182" s="31"/>
    </row>
    <row r="13183" spans="43:43" x14ac:dyDescent="0.2">
      <c r="AQ13183" s="31"/>
    </row>
    <row r="13184" spans="43:43" x14ac:dyDescent="0.2">
      <c r="AQ13184" s="31"/>
    </row>
    <row r="13185" spans="43:43" x14ac:dyDescent="0.2">
      <c r="AQ13185" s="31"/>
    </row>
    <row r="13186" spans="43:43" x14ac:dyDescent="0.2">
      <c r="AQ13186" s="31"/>
    </row>
    <row r="13187" spans="43:43" x14ac:dyDescent="0.2">
      <c r="AQ13187" s="31"/>
    </row>
    <row r="13188" spans="43:43" x14ac:dyDescent="0.2">
      <c r="AQ13188" s="31"/>
    </row>
    <row r="13189" spans="43:43" x14ac:dyDescent="0.2">
      <c r="AQ13189" s="31"/>
    </row>
    <row r="13190" spans="43:43" x14ac:dyDescent="0.2">
      <c r="AQ13190" s="31"/>
    </row>
    <row r="13191" spans="43:43" x14ac:dyDescent="0.2">
      <c r="AQ13191" s="31"/>
    </row>
    <row r="13192" spans="43:43" x14ac:dyDescent="0.2">
      <c r="AQ13192" s="31"/>
    </row>
    <row r="13193" spans="43:43" x14ac:dyDescent="0.2">
      <c r="AQ13193" s="31"/>
    </row>
    <row r="13194" spans="43:43" x14ac:dyDescent="0.2">
      <c r="AQ13194" s="31"/>
    </row>
    <row r="13195" spans="43:43" x14ac:dyDescent="0.2">
      <c r="AQ13195" s="31"/>
    </row>
    <row r="13196" spans="43:43" x14ac:dyDescent="0.2">
      <c r="AQ13196" s="31"/>
    </row>
    <row r="13197" spans="43:43" x14ac:dyDescent="0.2">
      <c r="AQ13197" s="31"/>
    </row>
    <row r="13198" spans="43:43" x14ac:dyDescent="0.2">
      <c r="AQ13198" s="31"/>
    </row>
    <row r="13199" spans="43:43" x14ac:dyDescent="0.2">
      <c r="AQ13199" s="31"/>
    </row>
    <row r="13200" spans="43:43" x14ac:dyDescent="0.2">
      <c r="AQ13200" s="31"/>
    </row>
    <row r="13201" spans="43:43" x14ac:dyDescent="0.2">
      <c r="AQ13201" s="31"/>
    </row>
    <row r="13202" spans="43:43" x14ac:dyDescent="0.2">
      <c r="AQ13202" s="31"/>
    </row>
    <row r="13203" spans="43:43" x14ac:dyDescent="0.2">
      <c r="AQ13203" s="31"/>
    </row>
    <row r="13204" spans="43:43" x14ac:dyDescent="0.2">
      <c r="AQ13204" s="31"/>
    </row>
    <row r="13205" spans="43:43" x14ac:dyDescent="0.2">
      <c r="AQ13205" s="31"/>
    </row>
    <row r="13206" spans="43:43" x14ac:dyDescent="0.2">
      <c r="AQ13206" s="31"/>
    </row>
    <row r="13207" spans="43:43" x14ac:dyDescent="0.2">
      <c r="AQ13207" s="31"/>
    </row>
    <row r="13208" spans="43:43" x14ac:dyDescent="0.2">
      <c r="AQ13208" s="31"/>
    </row>
    <row r="13209" spans="43:43" x14ac:dyDescent="0.2">
      <c r="AQ13209" s="31"/>
    </row>
    <row r="13210" spans="43:43" x14ac:dyDescent="0.2">
      <c r="AQ13210" s="31"/>
    </row>
    <row r="13211" spans="43:43" x14ac:dyDescent="0.2">
      <c r="AQ13211" s="31"/>
    </row>
    <row r="13212" spans="43:43" x14ac:dyDescent="0.2">
      <c r="AQ13212" s="31"/>
    </row>
    <row r="13213" spans="43:43" x14ac:dyDescent="0.2">
      <c r="AQ13213" s="31"/>
    </row>
    <row r="13214" spans="43:43" x14ac:dyDescent="0.2">
      <c r="AQ13214" s="31"/>
    </row>
    <row r="13215" spans="43:43" x14ac:dyDescent="0.2">
      <c r="AQ13215" s="31"/>
    </row>
    <row r="13216" spans="43:43" x14ac:dyDescent="0.2">
      <c r="AQ13216" s="31"/>
    </row>
    <row r="13217" spans="43:43" x14ac:dyDescent="0.2">
      <c r="AQ13217" s="31"/>
    </row>
    <row r="13218" spans="43:43" x14ac:dyDescent="0.2">
      <c r="AQ13218" s="31"/>
    </row>
    <row r="13219" spans="43:43" x14ac:dyDescent="0.2">
      <c r="AQ13219" s="31"/>
    </row>
    <row r="13220" spans="43:43" x14ac:dyDescent="0.2">
      <c r="AQ13220" s="31"/>
    </row>
    <row r="13221" spans="43:43" x14ac:dyDescent="0.2">
      <c r="AQ13221" s="31"/>
    </row>
    <row r="13222" spans="43:43" x14ac:dyDescent="0.2">
      <c r="AQ13222" s="31"/>
    </row>
    <row r="13223" spans="43:43" x14ac:dyDescent="0.2">
      <c r="AQ13223" s="31"/>
    </row>
    <row r="13224" spans="43:43" x14ac:dyDescent="0.2">
      <c r="AQ13224" s="31"/>
    </row>
    <row r="13225" spans="43:43" x14ac:dyDescent="0.2">
      <c r="AQ13225" s="31"/>
    </row>
    <row r="13226" spans="43:43" x14ac:dyDescent="0.2">
      <c r="AQ13226" s="31"/>
    </row>
    <row r="13227" spans="43:43" x14ac:dyDescent="0.2">
      <c r="AQ13227" s="31"/>
    </row>
    <row r="13228" spans="43:43" x14ac:dyDescent="0.2">
      <c r="AQ13228" s="31"/>
    </row>
    <row r="13229" spans="43:43" x14ac:dyDescent="0.2">
      <c r="AQ13229" s="31"/>
    </row>
    <row r="13230" spans="43:43" x14ac:dyDescent="0.2">
      <c r="AQ13230" s="31"/>
    </row>
    <row r="13231" spans="43:43" x14ac:dyDescent="0.2">
      <c r="AQ13231" s="31"/>
    </row>
    <row r="13232" spans="43:43" x14ac:dyDescent="0.2">
      <c r="AQ13232" s="31"/>
    </row>
    <row r="13233" spans="43:43" x14ac:dyDescent="0.2">
      <c r="AQ13233" s="31"/>
    </row>
    <row r="13234" spans="43:43" x14ac:dyDescent="0.2">
      <c r="AQ13234" s="31"/>
    </row>
    <row r="13235" spans="43:43" x14ac:dyDescent="0.2">
      <c r="AQ13235" s="31"/>
    </row>
    <row r="13236" spans="43:43" x14ac:dyDescent="0.2">
      <c r="AQ13236" s="31"/>
    </row>
    <row r="13237" spans="43:43" x14ac:dyDescent="0.2">
      <c r="AQ13237" s="31"/>
    </row>
    <row r="13238" spans="43:43" x14ac:dyDescent="0.2">
      <c r="AQ13238" s="31"/>
    </row>
    <row r="13239" spans="43:43" x14ac:dyDescent="0.2">
      <c r="AQ13239" s="31"/>
    </row>
    <row r="13240" spans="43:43" x14ac:dyDescent="0.2">
      <c r="AQ13240" s="31"/>
    </row>
    <row r="13241" spans="43:43" x14ac:dyDescent="0.2">
      <c r="AQ13241" s="31"/>
    </row>
    <row r="13242" spans="43:43" x14ac:dyDescent="0.2">
      <c r="AQ13242" s="31"/>
    </row>
    <row r="13243" spans="43:43" x14ac:dyDescent="0.2">
      <c r="AQ13243" s="31"/>
    </row>
    <row r="13244" spans="43:43" x14ac:dyDescent="0.2">
      <c r="AQ13244" s="31"/>
    </row>
    <row r="13245" spans="43:43" x14ac:dyDescent="0.2">
      <c r="AQ13245" s="31"/>
    </row>
    <row r="13246" spans="43:43" x14ac:dyDescent="0.2">
      <c r="AQ13246" s="31"/>
    </row>
    <row r="13247" spans="43:43" x14ac:dyDescent="0.2">
      <c r="AQ13247" s="31"/>
    </row>
    <row r="13248" spans="43:43" x14ac:dyDescent="0.2">
      <c r="AQ13248" s="31"/>
    </row>
    <row r="13249" spans="43:43" x14ac:dyDescent="0.2">
      <c r="AQ13249" s="31"/>
    </row>
    <row r="13250" spans="43:43" x14ac:dyDescent="0.2">
      <c r="AQ13250" s="31"/>
    </row>
    <row r="13251" spans="43:43" x14ac:dyDescent="0.2">
      <c r="AQ13251" s="31"/>
    </row>
    <row r="13252" spans="43:43" x14ac:dyDescent="0.2">
      <c r="AQ13252" s="31"/>
    </row>
    <row r="13253" spans="43:43" x14ac:dyDescent="0.2">
      <c r="AQ13253" s="31"/>
    </row>
    <row r="13254" spans="43:43" x14ac:dyDescent="0.2">
      <c r="AQ13254" s="31"/>
    </row>
    <row r="13255" spans="43:43" x14ac:dyDescent="0.2">
      <c r="AQ13255" s="31"/>
    </row>
    <row r="13256" spans="43:43" x14ac:dyDescent="0.2">
      <c r="AQ13256" s="31"/>
    </row>
    <row r="13257" spans="43:43" x14ac:dyDescent="0.2">
      <c r="AQ13257" s="31"/>
    </row>
    <row r="13258" spans="43:43" x14ac:dyDescent="0.2">
      <c r="AQ13258" s="31"/>
    </row>
    <row r="13259" spans="43:43" x14ac:dyDescent="0.2">
      <c r="AQ13259" s="31"/>
    </row>
    <row r="13260" spans="43:43" x14ac:dyDescent="0.2">
      <c r="AQ13260" s="31"/>
    </row>
    <row r="13261" spans="43:43" x14ac:dyDescent="0.2">
      <c r="AQ13261" s="31"/>
    </row>
    <row r="13262" spans="43:43" x14ac:dyDescent="0.2">
      <c r="AQ13262" s="31"/>
    </row>
    <row r="13263" spans="43:43" x14ac:dyDescent="0.2">
      <c r="AQ13263" s="31"/>
    </row>
    <row r="13264" spans="43:43" x14ac:dyDescent="0.2">
      <c r="AQ13264" s="31"/>
    </row>
    <row r="13265" spans="43:43" x14ac:dyDescent="0.2">
      <c r="AQ13265" s="31"/>
    </row>
    <row r="13266" spans="43:43" x14ac:dyDescent="0.2">
      <c r="AQ13266" s="31"/>
    </row>
    <row r="13267" spans="43:43" x14ac:dyDescent="0.2">
      <c r="AQ13267" s="31"/>
    </row>
    <row r="13268" spans="43:43" x14ac:dyDescent="0.2">
      <c r="AQ13268" s="31"/>
    </row>
    <row r="13269" spans="43:43" x14ac:dyDescent="0.2">
      <c r="AQ13269" s="31"/>
    </row>
    <row r="13270" spans="43:43" x14ac:dyDescent="0.2">
      <c r="AQ13270" s="31"/>
    </row>
    <row r="13271" spans="43:43" x14ac:dyDescent="0.2">
      <c r="AQ13271" s="31"/>
    </row>
    <row r="13272" spans="43:43" x14ac:dyDescent="0.2">
      <c r="AQ13272" s="31"/>
    </row>
    <row r="13273" spans="43:43" x14ac:dyDescent="0.2">
      <c r="AQ13273" s="31"/>
    </row>
    <row r="13274" spans="43:43" x14ac:dyDescent="0.2">
      <c r="AQ13274" s="31"/>
    </row>
    <row r="13275" spans="43:43" x14ac:dyDescent="0.2">
      <c r="AQ13275" s="31"/>
    </row>
    <row r="13276" spans="43:43" x14ac:dyDescent="0.2">
      <c r="AQ13276" s="31"/>
    </row>
    <row r="13277" spans="43:43" x14ac:dyDescent="0.2">
      <c r="AQ13277" s="31"/>
    </row>
    <row r="13278" spans="43:43" x14ac:dyDescent="0.2">
      <c r="AQ13278" s="31"/>
    </row>
    <row r="13279" spans="43:43" x14ac:dyDescent="0.2">
      <c r="AQ13279" s="31"/>
    </row>
    <row r="13280" spans="43:43" x14ac:dyDescent="0.2">
      <c r="AQ13280" s="31"/>
    </row>
    <row r="13281" spans="43:43" x14ac:dyDescent="0.2">
      <c r="AQ13281" s="31"/>
    </row>
    <row r="13282" spans="43:43" x14ac:dyDescent="0.2">
      <c r="AQ13282" s="31"/>
    </row>
    <row r="13283" spans="43:43" x14ac:dyDescent="0.2">
      <c r="AQ13283" s="31"/>
    </row>
    <row r="13284" spans="43:43" x14ac:dyDescent="0.2">
      <c r="AQ13284" s="31"/>
    </row>
    <row r="13285" spans="43:43" x14ac:dyDescent="0.2">
      <c r="AQ13285" s="31"/>
    </row>
    <row r="13286" spans="43:43" x14ac:dyDescent="0.2">
      <c r="AQ13286" s="31"/>
    </row>
    <row r="13287" spans="43:43" x14ac:dyDescent="0.2">
      <c r="AQ13287" s="31"/>
    </row>
    <row r="13288" spans="43:43" x14ac:dyDescent="0.2">
      <c r="AQ13288" s="31"/>
    </row>
    <row r="13289" spans="43:43" x14ac:dyDescent="0.2">
      <c r="AQ13289" s="31"/>
    </row>
    <row r="13290" spans="43:43" x14ac:dyDescent="0.2">
      <c r="AQ13290" s="31"/>
    </row>
    <row r="13291" spans="43:43" x14ac:dyDescent="0.2">
      <c r="AQ13291" s="31"/>
    </row>
    <row r="13292" spans="43:43" x14ac:dyDescent="0.2">
      <c r="AQ13292" s="31"/>
    </row>
    <row r="13293" spans="43:43" x14ac:dyDescent="0.2">
      <c r="AQ13293" s="31"/>
    </row>
    <row r="13294" spans="43:43" x14ac:dyDescent="0.2">
      <c r="AQ13294" s="31"/>
    </row>
    <row r="13295" spans="43:43" x14ac:dyDescent="0.2">
      <c r="AQ13295" s="31"/>
    </row>
    <row r="13296" spans="43:43" x14ac:dyDescent="0.2">
      <c r="AQ13296" s="31"/>
    </row>
    <row r="13297" spans="43:43" x14ac:dyDescent="0.2">
      <c r="AQ13297" s="31"/>
    </row>
    <row r="13298" spans="43:43" x14ac:dyDescent="0.2">
      <c r="AQ13298" s="31"/>
    </row>
    <row r="13299" spans="43:43" x14ac:dyDescent="0.2">
      <c r="AQ13299" s="31"/>
    </row>
    <row r="13300" spans="43:43" x14ac:dyDescent="0.2">
      <c r="AQ13300" s="31"/>
    </row>
    <row r="13301" spans="43:43" x14ac:dyDescent="0.2">
      <c r="AQ13301" s="31"/>
    </row>
    <row r="13302" spans="43:43" x14ac:dyDescent="0.2">
      <c r="AQ13302" s="31"/>
    </row>
    <row r="13303" spans="43:43" x14ac:dyDescent="0.2">
      <c r="AQ13303" s="31"/>
    </row>
    <row r="13304" spans="43:43" x14ac:dyDescent="0.2">
      <c r="AQ13304" s="31"/>
    </row>
    <row r="13305" spans="43:43" x14ac:dyDescent="0.2">
      <c r="AQ13305" s="31"/>
    </row>
    <row r="13306" spans="43:43" x14ac:dyDescent="0.2">
      <c r="AQ13306" s="31"/>
    </row>
    <row r="13307" spans="43:43" x14ac:dyDescent="0.2">
      <c r="AQ13307" s="31"/>
    </row>
    <row r="13308" spans="43:43" x14ac:dyDescent="0.2">
      <c r="AQ13308" s="31"/>
    </row>
    <row r="13309" spans="43:43" x14ac:dyDescent="0.2">
      <c r="AQ13309" s="31"/>
    </row>
    <row r="13310" spans="43:43" x14ac:dyDescent="0.2">
      <c r="AQ13310" s="31"/>
    </row>
    <row r="13311" spans="43:43" x14ac:dyDescent="0.2">
      <c r="AQ13311" s="31"/>
    </row>
    <row r="13312" spans="43:43" x14ac:dyDescent="0.2">
      <c r="AQ13312" s="31"/>
    </row>
    <row r="13313" spans="43:43" x14ac:dyDescent="0.2">
      <c r="AQ13313" s="31"/>
    </row>
    <row r="13314" spans="43:43" x14ac:dyDescent="0.2">
      <c r="AQ13314" s="31"/>
    </row>
    <row r="13315" spans="43:43" x14ac:dyDescent="0.2">
      <c r="AQ13315" s="31"/>
    </row>
    <row r="13316" spans="43:43" x14ac:dyDescent="0.2">
      <c r="AQ13316" s="31"/>
    </row>
    <row r="13317" spans="43:43" x14ac:dyDescent="0.2">
      <c r="AQ13317" s="31"/>
    </row>
    <row r="13318" spans="43:43" x14ac:dyDescent="0.2">
      <c r="AQ13318" s="31"/>
    </row>
    <row r="13319" spans="43:43" x14ac:dyDescent="0.2">
      <c r="AQ13319" s="31"/>
    </row>
    <row r="13320" spans="43:43" x14ac:dyDescent="0.2">
      <c r="AQ13320" s="31"/>
    </row>
    <row r="13321" spans="43:43" x14ac:dyDescent="0.2">
      <c r="AQ13321" s="31"/>
    </row>
    <row r="13322" spans="43:43" x14ac:dyDescent="0.2">
      <c r="AQ13322" s="31"/>
    </row>
    <row r="13323" spans="43:43" x14ac:dyDescent="0.2">
      <c r="AQ13323" s="31"/>
    </row>
    <row r="13324" spans="43:43" x14ac:dyDescent="0.2">
      <c r="AQ13324" s="31"/>
    </row>
    <row r="13325" spans="43:43" x14ac:dyDescent="0.2">
      <c r="AQ13325" s="31"/>
    </row>
    <row r="13326" spans="43:43" x14ac:dyDescent="0.2">
      <c r="AQ13326" s="31"/>
    </row>
    <row r="13327" spans="43:43" x14ac:dyDescent="0.2">
      <c r="AQ13327" s="31"/>
    </row>
    <row r="13328" spans="43:43" x14ac:dyDescent="0.2">
      <c r="AQ13328" s="31"/>
    </row>
    <row r="13329" spans="43:43" x14ac:dyDescent="0.2">
      <c r="AQ13329" s="31"/>
    </row>
    <row r="13330" spans="43:43" x14ac:dyDescent="0.2">
      <c r="AQ13330" s="31"/>
    </row>
    <row r="13331" spans="43:43" x14ac:dyDescent="0.2">
      <c r="AQ13331" s="31"/>
    </row>
    <row r="13332" spans="43:43" x14ac:dyDescent="0.2">
      <c r="AQ13332" s="31"/>
    </row>
    <row r="13333" spans="43:43" x14ac:dyDescent="0.2">
      <c r="AQ13333" s="31"/>
    </row>
    <row r="13334" spans="43:43" x14ac:dyDescent="0.2">
      <c r="AQ13334" s="31"/>
    </row>
    <row r="13335" spans="43:43" x14ac:dyDescent="0.2">
      <c r="AQ13335" s="31"/>
    </row>
    <row r="13336" spans="43:43" x14ac:dyDescent="0.2">
      <c r="AQ13336" s="31"/>
    </row>
    <row r="13337" spans="43:43" x14ac:dyDescent="0.2">
      <c r="AQ13337" s="31"/>
    </row>
    <row r="13338" spans="43:43" x14ac:dyDescent="0.2">
      <c r="AQ13338" s="31"/>
    </row>
    <row r="13339" spans="43:43" x14ac:dyDescent="0.2">
      <c r="AQ13339" s="31"/>
    </row>
    <row r="13340" spans="43:43" x14ac:dyDescent="0.2">
      <c r="AQ13340" s="31"/>
    </row>
    <row r="13341" spans="43:43" x14ac:dyDescent="0.2">
      <c r="AQ13341" s="31"/>
    </row>
    <row r="13342" spans="43:43" x14ac:dyDescent="0.2">
      <c r="AQ13342" s="31"/>
    </row>
    <row r="13343" spans="43:43" x14ac:dyDescent="0.2">
      <c r="AQ13343" s="31"/>
    </row>
    <row r="13344" spans="43:43" x14ac:dyDescent="0.2">
      <c r="AQ13344" s="31"/>
    </row>
    <row r="13345" spans="43:43" x14ac:dyDescent="0.2">
      <c r="AQ13345" s="31"/>
    </row>
    <row r="13346" spans="43:43" x14ac:dyDescent="0.2">
      <c r="AQ13346" s="31"/>
    </row>
    <row r="13347" spans="43:43" x14ac:dyDescent="0.2">
      <c r="AQ13347" s="31"/>
    </row>
    <row r="13348" spans="43:43" x14ac:dyDescent="0.2">
      <c r="AQ13348" s="31"/>
    </row>
    <row r="13349" spans="43:43" x14ac:dyDescent="0.2">
      <c r="AQ13349" s="31"/>
    </row>
    <row r="13350" spans="43:43" x14ac:dyDescent="0.2">
      <c r="AQ13350" s="31"/>
    </row>
    <row r="13351" spans="43:43" x14ac:dyDescent="0.2">
      <c r="AQ13351" s="31"/>
    </row>
    <row r="13352" spans="43:43" x14ac:dyDescent="0.2">
      <c r="AQ13352" s="31"/>
    </row>
    <row r="13353" spans="43:43" x14ac:dyDescent="0.2">
      <c r="AQ13353" s="31"/>
    </row>
    <row r="13354" spans="43:43" x14ac:dyDescent="0.2">
      <c r="AQ13354" s="31"/>
    </row>
    <row r="13355" spans="43:43" x14ac:dyDescent="0.2">
      <c r="AQ13355" s="31"/>
    </row>
    <row r="13356" spans="43:43" x14ac:dyDescent="0.2">
      <c r="AQ13356" s="31"/>
    </row>
    <row r="13357" spans="43:43" x14ac:dyDescent="0.2">
      <c r="AQ13357" s="31"/>
    </row>
    <row r="13358" spans="43:43" x14ac:dyDescent="0.2">
      <c r="AQ13358" s="31"/>
    </row>
    <row r="13359" spans="43:43" x14ac:dyDescent="0.2">
      <c r="AQ13359" s="31"/>
    </row>
    <row r="13360" spans="43:43" x14ac:dyDescent="0.2">
      <c r="AQ13360" s="31"/>
    </row>
    <row r="13361" spans="43:43" x14ac:dyDescent="0.2">
      <c r="AQ13361" s="31"/>
    </row>
    <row r="13362" spans="43:43" x14ac:dyDescent="0.2">
      <c r="AQ13362" s="31"/>
    </row>
    <row r="13363" spans="43:43" x14ac:dyDescent="0.2">
      <c r="AQ13363" s="31"/>
    </row>
    <row r="13364" spans="43:43" x14ac:dyDescent="0.2">
      <c r="AQ13364" s="31"/>
    </row>
    <row r="13365" spans="43:43" x14ac:dyDescent="0.2">
      <c r="AQ13365" s="31"/>
    </row>
    <row r="13366" spans="43:43" x14ac:dyDescent="0.2">
      <c r="AQ13366" s="31"/>
    </row>
    <row r="13367" spans="43:43" x14ac:dyDescent="0.2">
      <c r="AQ13367" s="31"/>
    </row>
    <row r="13368" spans="43:43" x14ac:dyDescent="0.2">
      <c r="AQ13368" s="31"/>
    </row>
    <row r="13369" spans="43:43" x14ac:dyDescent="0.2">
      <c r="AQ13369" s="31"/>
    </row>
    <row r="13370" spans="43:43" x14ac:dyDescent="0.2">
      <c r="AQ13370" s="31"/>
    </row>
    <row r="13371" spans="43:43" x14ac:dyDescent="0.2">
      <c r="AQ13371" s="31"/>
    </row>
    <row r="13372" spans="43:43" x14ac:dyDescent="0.2">
      <c r="AQ13372" s="31"/>
    </row>
    <row r="13373" spans="43:43" x14ac:dyDescent="0.2">
      <c r="AQ13373" s="31"/>
    </row>
    <row r="13374" spans="43:43" x14ac:dyDescent="0.2">
      <c r="AQ13374" s="31"/>
    </row>
    <row r="13375" spans="43:43" x14ac:dyDescent="0.2">
      <c r="AQ13375" s="31"/>
    </row>
    <row r="13376" spans="43:43" x14ac:dyDescent="0.2">
      <c r="AQ13376" s="31"/>
    </row>
    <row r="13377" spans="43:43" x14ac:dyDescent="0.2">
      <c r="AQ13377" s="31"/>
    </row>
    <row r="13378" spans="43:43" x14ac:dyDescent="0.2">
      <c r="AQ13378" s="31"/>
    </row>
    <row r="13379" spans="43:43" x14ac:dyDescent="0.2">
      <c r="AQ13379" s="31"/>
    </row>
    <row r="13380" spans="43:43" x14ac:dyDescent="0.2">
      <c r="AQ13380" s="31"/>
    </row>
    <row r="13381" spans="43:43" x14ac:dyDescent="0.2">
      <c r="AQ13381" s="31"/>
    </row>
    <row r="13382" spans="43:43" x14ac:dyDescent="0.2">
      <c r="AQ13382" s="31"/>
    </row>
    <row r="13383" spans="43:43" x14ac:dyDescent="0.2">
      <c r="AQ13383" s="31"/>
    </row>
    <row r="13384" spans="43:43" x14ac:dyDescent="0.2">
      <c r="AQ13384" s="31"/>
    </row>
    <row r="13385" spans="43:43" x14ac:dyDescent="0.2">
      <c r="AQ13385" s="31"/>
    </row>
    <row r="13386" spans="43:43" x14ac:dyDescent="0.2">
      <c r="AQ13386" s="31"/>
    </row>
    <row r="13387" spans="43:43" x14ac:dyDescent="0.2">
      <c r="AQ13387" s="31"/>
    </row>
    <row r="13388" spans="43:43" x14ac:dyDescent="0.2">
      <c r="AQ13388" s="31"/>
    </row>
    <row r="13389" spans="43:43" x14ac:dyDescent="0.2">
      <c r="AQ13389" s="31"/>
    </row>
    <row r="13390" spans="43:43" x14ac:dyDescent="0.2">
      <c r="AQ13390" s="31"/>
    </row>
    <row r="13391" spans="43:43" x14ac:dyDescent="0.2">
      <c r="AQ13391" s="31"/>
    </row>
    <row r="13392" spans="43:43" x14ac:dyDescent="0.2">
      <c r="AQ13392" s="31"/>
    </row>
    <row r="13393" spans="43:43" x14ac:dyDescent="0.2">
      <c r="AQ13393" s="31"/>
    </row>
    <row r="13394" spans="43:43" x14ac:dyDescent="0.2">
      <c r="AQ13394" s="31"/>
    </row>
    <row r="13395" spans="43:43" x14ac:dyDescent="0.2">
      <c r="AQ13395" s="31"/>
    </row>
    <row r="13396" spans="43:43" x14ac:dyDescent="0.2">
      <c r="AQ13396" s="31"/>
    </row>
    <row r="13397" spans="43:43" x14ac:dyDescent="0.2">
      <c r="AQ13397" s="31"/>
    </row>
    <row r="13398" spans="43:43" x14ac:dyDescent="0.2">
      <c r="AQ13398" s="31"/>
    </row>
    <row r="13399" spans="43:43" x14ac:dyDescent="0.2">
      <c r="AQ13399" s="31"/>
    </row>
    <row r="13400" spans="43:43" x14ac:dyDescent="0.2">
      <c r="AQ13400" s="31"/>
    </row>
    <row r="13401" spans="43:43" x14ac:dyDescent="0.2">
      <c r="AQ13401" s="31"/>
    </row>
    <row r="13402" spans="43:43" x14ac:dyDescent="0.2">
      <c r="AQ13402" s="31"/>
    </row>
    <row r="13403" spans="43:43" x14ac:dyDescent="0.2">
      <c r="AQ13403" s="31"/>
    </row>
    <row r="13404" spans="43:43" x14ac:dyDescent="0.2">
      <c r="AQ13404" s="31"/>
    </row>
    <row r="13405" spans="43:43" x14ac:dyDescent="0.2">
      <c r="AQ13405" s="31"/>
    </row>
    <row r="13406" spans="43:43" x14ac:dyDescent="0.2">
      <c r="AQ13406" s="31"/>
    </row>
    <row r="13407" spans="43:43" x14ac:dyDescent="0.2">
      <c r="AQ13407" s="31"/>
    </row>
    <row r="13408" spans="43:43" x14ac:dyDescent="0.2">
      <c r="AQ13408" s="31"/>
    </row>
    <row r="13409" spans="43:43" x14ac:dyDescent="0.2">
      <c r="AQ13409" s="31"/>
    </row>
    <row r="13410" spans="43:43" x14ac:dyDescent="0.2">
      <c r="AQ13410" s="31"/>
    </row>
    <row r="13411" spans="43:43" x14ac:dyDescent="0.2">
      <c r="AQ13411" s="31"/>
    </row>
    <row r="13412" spans="43:43" x14ac:dyDescent="0.2">
      <c r="AQ13412" s="31"/>
    </row>
    <row r="13413" spans="43:43" x14ac:dyDescent="0.2">
      <c r="AQ13413" s="31"/>
    </row>
    <row r="13414" spans="43:43" x14ac:dyDescent="0.2">
      <c r="AQ13414" s="31"/>
    </row>
    <row r="13415" spans="43:43" x14ac:dyDescent="0.2">
      <c r="AQ13415" s="31"/>
    </row>
    <row r="13416" spans="43:43" x14ac:dyDescent="0.2">
      <c r="AQ13416" s="31"/>
    </row>
    <row r="13417" spans="43:43" x14ac:dyDescent="0.2">
      <c r="AQ13417" s="31"/>
    </row>
    <row r="13418" spans="43:43" x14ac:dyDescent="0.2">
      <c r="AQ13418" s="31"/>
    </row>
    <row r="13419" spans="43:43" x14ac:dyDescent="0.2">
      <c r="AQ13419" s="31"/>
    </row>
    <row r="13420" spans="43:43" x14ac:dyDescent="0.2">
      <c r="AQ13420" s="31"/>
    </row>
    <row r="13421" spans="43:43" x14ac:dyDescent="0.2">
      <c r="AQ13421" s="31"/>
    </row>
    <row r="13422" spans="43:43" x14ac:dyDescent="0.2">
      <c r="AQ13422" s="31"/>
    </row>
    <row r="13423" spans="43:43" x14ac:dyDescent="0.2">
      <c r="AQ13423" s="31"/>
    </row>
    <row r="13424" spans="43:43" x14ac:dyDescent="0.2">
      <c r="AQ13424" s="31"/>
    </row>
    <row r="13425" spans="43:43" x14ac:dyDescent="0.2">
      <c r="AQ13425" s="31"/>
    </row>
    <row r="13426" spans="43:43" x14ac:dyDescent="0.2">
      <c r="AQ13426" s="31"/>
    </row>
    <row r="13427" spans="43:43" x14ac:dyDescent="0.2">
      <c r="AQ13427" s="31"/>
    </row>
    <row r="13428" spans="43:43" x14ac:dyDescent="0.2">
      <c r="AQ13428" s="31"/>
    </row>
    <row r="13429" spans="43:43" x14ac:dyDescent="0.2">
      <c r="AQ13429" s="31"/>
    </row>
    <row r="13430" spans="43:43" x14ac:dyDescent="0.2">
      <c r="AQ13430" s="31"/>
    </row>
    <row r="13431" spans="43:43" x14ac:dyDescent="0.2">
      <c r="AQ13431" s="31"/>
    </row>
    <row r="13432" spans="43:43" x14ac:dyDescent="0.2">
      <c r="AQ13432" s="31"/>
    </row>
    <row r="13433" spans="43:43" x14ac:dyDescent="0.2">
      <c r="AQ13433" s="31"/>
    </row>
    <row r="13434" spans="43:43" x14ac:dyDescent="0.2">
      <c r="AQ13434" s="31"/>
    </row>
    <row r="13435" spans="43:43" x14ac:dyDescent="0.2">
      <c r="AQ13435" s="31"/>
    </row>
    <row r="13436" spans="43:43" x14ac:dyDescent="0.2">
      <c r="AQ13436" s="31"/>
    </row>
    <row r="13437" spans="43:43" x14ac:dyDescent="0.2">
      <c r="AQ13437" s="31"/>
    </row>
    <row r="13438" spans="43:43" x14ac:dyDescent="0.2">
      <c r="AQ13438" s="31"/>
    </row>
    <row r="13439" spans="43:43" x14ac:dyDescent="0.2">
      <c r="AQ13439" s="31"/>
    </row>
    <row r="13440" spans="43:43" x14ac:dyDescent="0.2">
      <c r="AQ13440" s="31"/>
    </row>
    <row r="13441" spans="43:43" x14ac:dyDescent="0.2">
      <c r="AQ13441" s="31"/>
    </row>
    <row r="13442" spans="43:43" x14ac:dyDescent="0.2">
      <c r="AQ13442" s="31"/>
    </row>
    <row r="13443" spans="43:43" x14ac:dyDescent="0.2">
      <c r="AQ13443" s="31"/>
    </row>
    <row r="13444" spans="43:43" x14ac:dyDescent="0.2">
      <c r="AQ13444" s="31"/>
    </row>
    <row r="13445" spans="43:43" x14ac:dyDescent="0.2">
      <c r="AQ13445" s="31"/>
    </row>
    <row r="13446" spans="43:43" x14ac:dyDescent="0.2">
      <c r="AQ13446" s="31"/>
    </row>
    <row r="13447" spans="43:43" x14ac:dyDescent="0.2">
      <c r="AQ13447" s="31"/>
    </row>
    <row r="13448" spans="43:43" x14ac:dyDescent="0.2">
      <c r="AQ13448" s="31"/>
    </row>
    <row r="13449" spans="43:43" x14ac:dyDescent="0.2">
      <c r="AQ13449" s="31"/>
    </row>
    <row r="13450" spans="43:43" x14ac:dyDescent="0.2">
      <c r="AQ13450" s="31"/>
    </row>
    <row r="13451" spans="43:43" x14ac:dyDescent="0.2">
      <c r="AQ13451" s="31"/>
    </row>
    <row r="13452" spans="43:43" x14ac:dyDescent="0.2">
      <c r="AQ13452" s="31"/>
    </row>
    <row r="13453" spans="43:43" x14ac:dyDescent="0.2">
      <c r="AQ13453" s="31"/>
    </row>
    <row r="13454" spans="43:43" x14ac:dyDescent="0.2">
      <c r="AQ13454" s="31"/>
    </row>
    <row r="13455" spans="43:43" x14ac:dyDescent="0.2">
      <c r="AQ13455" s="31"/>
    </row>
    <row r="13456" spans="43:43" x14ac:dyDescent="0.2">
      <c r="AQ13456" s="31"/>
    </row>
    <row r="13457" spans="43:43" x14ac:dyDescent="0.2">
      <c r="AQ13457" s="31"/>
    </row>
    <row r="13458" spans="43:43" x14ac:dyDescent="0.2">
      <c r="AQ13458" s="31"/>
    </row>
    <row r="13459" spans="43:43" x14ac:dyDescent="0.2">
      <c r="AQ13459" s="31"/>
    </row>
    <row r="13460" spans="43:43" x14ac:dyDescent="0.2">
      <c r="AQ13460" s="31"/>
    </row>
    <row r="13461" spans="43:43" x14ac:dyDescent="0.2">
      <c r="AQ13461" s="31"/>
    </row>
    <row r="13462" spans="43:43" x14ac:dyDescent="0.2">
      <c r="AQ13462" s="31"/>
    </row>
    <row r="13463" spans="43:43" x14ac:dyDescent="0.2">
      <c r="AQ13463" s="31"/>
    </row>
    <row r="13464" spans="43:43" x14ac:dyDescent="0.2">
      <c r="AQ13464" s="31"/>
    </row>
    <row r="13465" spans="43:43" x14ac:dyDescent="0.2">
      <c r="AQ13465" s="31"/>
    </row>
    <row r="13466" spans="43:43" x14ac:dyDescent="0.2">
      <c r="AQ13466" s="31"/>
    </row>
    <row r="13467" spans="43:43" x14ac:dyDescent="0.2">
      <c r="AQ13467" s="31"/>
    </row>
    <row r="13468" spans="43:43" x14ac:dyDescent="0.2">
      <c r="AQ13468" s="31"/>
    </row>
    <row r="13469" spans="43:43" x14ac:dyDescent="0.2">
      <c r="AQ13469" s="31"/>
    </row>
    <row r="13470" spans="43:43" x14ac:dyDescent="0.2">
      <c r="AQ13470" s="31"/>
    </row>
    <row r="13471" spans="43:43" x14ac:dyDescent="0.2">
      <c r="AQ13471" s="31"/>
    </row>
    <row r="13472" spans="43:43" x14ac:dyDescent="0.2">
      <c r="AQ13472" s="31"/>
    </row>
    <row r="13473" spans="43:43" x14ac:dyDescent="0.2">
      <c r="AQ13473" s="31"/>
    </row>
    <row r="13474" spans="43:43" x14ac:dyDescent="0.2">
      <c r="AQ13474" s="31"/>
    </row>
    <row r="13475" spans="43:43" x14ac:dyDescent="0.2">
      <c r="AQ13475" s="31"/>
    </row>
    <row r="13476" spans="43:43" x14ac:dyDescent="0.2">
      <c r="AQ13476" s="31"/>
    </row>
    <row r="13477" spans="43:43" x14ac:dyDescent="0.2">
      <c r="AQ13477" s="31"/>
    </row>
    <row r="13478" spans="43:43" x14ac:dyDescent="0.2">
      <c r="AQ13478" s="31"/>
    </row>
    <row r="13479" spans="43:43" x14ac:dyDescent="0.2">
      <c r="AQ13479" s="31"/>
    </row>
    <row r="13480" spans="43:43" x14ac:dyDescent="0.2">
      <c r="AQ13480" s="31"/>
    </row>
    <row r="13481" spans="43:43" x14ac:dyDescent="0.2">
      <c r="AQ13481" s="31"/>
    </row>
    <row r="13482" spans="43:43" x14ac:dyDescent="0.2">
      <c r="AQ13482" s="31"/>
    </row>
    <row r="13483" spans="43:43" x14ac:dyDescent="0.2">
      <c r="AQ13483" s="31"/>
    </row>
    <row r="13484" spans="43:43" x14ac:dyDescent="0.2">
      <c r="AQ13484" s="31"/>
    </row>
    <row r="13485" spans="43:43" x14ac:dyDescent="0.2">
      <c r="AQ13485" s="31"/>
    </row>
    <row r="13486" spans="43:43" x14ac:dyDescent="0.2">
      <c r="AQ13486" s="31"/>
    </row>
    <row r="13487" spans="43:43" x14ac:dyDescent="0.2">
      <c r="AQ13487" s="31"/>
    </row>
    <row r="13488" spans="43:43" x14ac:dyDescent="0.2">
      <c r="AQ13488" s="31"/>
    </row>
    <row r="13489" spans="43:43" x14ac:dyDescent="0.2">
      <c r="AQ13489" s="31"/>
    </row>
    <row r="13490" spans="43:43" x14ac:dyDescent="0.2">
      <c r="AQ13490" s="31"/>
    </row>
    <row r="13491" spans="43:43" x14ac:dyDescent="0.2">
      <c r="AQ13491" s="31"/>
    </row>
    <row r="13492" spans="43:43" x14ac:dyDescent="0.2">
      <c r="AQ13492" s="31"/>
    </row>
    <row r="13493" spans="43:43" x14ac:dyDescent="0.2">
      <c r="AQ13493" s="31"/>
    </row>
    <row r="13494" spans="43:43" x14ac:dyDescent="0.2">
      <c r="AQ13494" s="31"/>
    </row>
    <row r="13495" spans="43:43" x14ac:dyDescent="0.2">
      <c r="AQ13495" s="31"/>
    </row>
    <row r="13496" spans="43:43" x14ac:dyDescent="0.2">
      <c r="AQ13496" s="31"/>
    </row>
    <row r="13497" spans="43:43" x14ac:dyDescent="0.2">
      <c r="AQ13497" s="31"/>
    </row>
    <row r="13498" spans="43:43" x14ac:dyDescent="0.2">
      <c r="AQ13498" s="31"/>
    </row>
    <row r="13499" spans="43:43" x14ac:dyDescent="0.2">
      <c r="AQ13499" s="31"/>
    </row>
    <row r="13500" spans="43:43" x14ac:dyDescent="0.2">
      <c r="AQ13500" s="31"/>
    </row>
    <row r="13501" spans="43:43" x14ac:dyDescent="0.2">
      <c r="AQ13501" s="31"/>
    </row>
    <row r="13502" spans="43:43" x14ac:dyDescent="0.2">
      <c r="AQ13502" s="31"/>
    </row>
    <row r="13503" spans="43:43" x14ac:dyDescent="0.2">
      <c r="AQ13503" s="31"/>
    </row>
    <row r="13504" spans="43:43" x14ac:dyDescent="0.2">
      <c r="AQ13504" s="31"/>
    </row>
    <row r="13505" spans="43:43" x14ac:dyDescent="0.2">
      <c r="AQ13505" s="31"/>
    </row>
    <row r="13506" spans="43:43" x14ac:dyDescent="0.2">
      <c r="AQ13506" s="31"/>
    </row>
    <row r="13507" spans="43:43" x14ac:dyDescent="0.2">
      <c r="AQ13507" s="31"/>
    </row>
    <row r="13508" spans="43:43" x14ac:dyDescent="0.2">
      <c r="AQ13508" s="31"/>
    </row>
    <row r="13509" spans="43:43" x14ac:dyDescent="0.2">
      <c r="AQ13509" s="31"/>
    </row>
    <row r="13510" spans="43:43" x14ac:dyDescent="0.2">
      <c r="AQ13510" s="31"/>
    </row>
    <row r="13511" spans="43:43" x14ac:dyDescent="0.2">
      <c r="AQ13511" s="31"/>
    </row>
    <row r="13512" spans="43:43" x14ac:dyDescent="0.2">
      <c r="AQ13512" s="31"/>
    </row>
    <row r="13513" spans="43:43" x14ac:dyDescent="0.2">
      <c r="AQ13513" s="31"/>
    </row>
    <row r="13514" spans="43:43" x14ac:dyDescent="0.2">
      <c r="AQ13514" s="31"/>
    </row>
    <row r="13515" spans="43:43" x14ac:dyDescent="0.2">
      <c r="AQ13515" s="31"/>
    </row>
    <row r="13516" spans="43:43" x14ac:dyDescent="0.2">
      <c r="AQ13516" s="31"/>
    </row>
    <row r="13517" spans="43:43" x14ac:dyDescent="0.2">
      <c r="AQ13517" s="31"/>
    </row>
    <row r="13518" spans="43:43" x14ac:dyDescent="0.2">
      <c r="AQ13518" s="31"/>
    </row>
    <row r="13519" spans="43:43" x14ac:dyDescent="0.2">
      <c r="AQ13519" s="31"/>
    </row>
    <row r="13520" spans="43:43" x14ac:dyDescent="0.2">
      <c r="AQ13520" s="31"/>
    </row>
    <row r="13521" spans="43:43" x14ac:dyDescent="0.2">
      <c r="AQ13521" s="31"/>
    </row>
    <row r="13522" spans="43:43" x14ac:dyDescent="0.2">
      <c r="AQ13522" s="31"/>
    </row>
    <row r="13523" spans="43:43" x14ac:dyDescent="0.2">
      <c r="AQ13523" s="31"/>
    </row>
    <row r="13524" spans="43:43" x14ac:dyDescent="0.2">
      <c r="AQ13524" s="31"/>
    </row>
    <row r="13525" spans="43:43" x14ac:dyDescent="0.2">
      <c r="AQ13525" s="31"/>
    </row>
    <row r="13526" spans="43:43" x14ac:dyDescent="0.2">
      <c r="AQ13526" s="31"/>
    </row>
    <row r="13527" spans="43:43" x14ac:dyDescent="0.2">
      <c r="AQ13527" s="31"/>
    </row>
    <row r="13528" spans="43:43" x14ac:dyDescent="0.2">
      <c r="AQ13528" s="31"/>
    </row>
    <row r="13529" spans="43:43" x14ac:dyDescent="0.2">
      <c r="AQ13529" s="31"/>
    </row>
    <row r="13530" spans="43:43" x14ac:dyDescent="0.2">
      <c r="AQ13530" s="31"/>
    </row>
    <row r="13531" spans="43:43" x14ac:dyDescent="0.2">
      <c r="AQ13531" s="31"/>
    </row>
    <row r="13532" spans="43:43" x14ac:dyDescent="0.2">
      <c r="AQ13532" s="31"/>
    </row>
    <row r="13533" spans="43:43" x14ac:dyDescent="0.2">
      <c r="AQ13533" s="31"/>
    </row>
    <row r="13534" spans="43:43" x14ac:dyDescent="0.2">
      <c r="AQ13534" s="31"/>
    </row>
    <row r="13535" spans="43:43" x14ac:dyDescent="0.2">
      <c r="AQ13535" s="31"/>
    </row>
    <row r="13536" spans="43:43" x14ac:dyDescent="0.2">
      <c r="AQ13536" s="31"/>
    </row>
    <row r="13537" spans="43:43" x14ac:dyDescent="0.2">
      <c r="AQ13537" s="31"/>
    </row>
    <row r="13538" spans="43:43" x14ac:dyDescent="0.2">
      <c r="AQ13538" s="31"/>
    </row>
    <row r="13539" spans="43:43" x14ac:dyDescent="0.2">
      <c r="AQ13539" s="31"/>
    </row>
    <row r="13540" spans="43:43" x14ac:dyDescent="0.2">
      <c r="AQ13540" s="31"/>
    </row>
    <row r="13541" spans="43:43" x14ac:dyDescent="0.2">
      <c r="AQ13541" s="31"/>
    </row>
    <row r="13542" spans="43:43" x14ac:dyDescent="0.2">
      <c r="AQ13542" s="31"/>
    </row>
    <row r="13543" spans="43:43" x14ac:dyDescent="0.2">
      <c r="AQ13543" s="31"/>
    </row>
    <row r="13544" spans="43:43" x14ac:dyDescent="0.2">
      <c r="AQ13544" s="31"/>
    </row>
    <row r="13545" spans="43:43" x14ac:dyDescent="0.2">
      <c r="AQ13545" s="31"/>
    </row>
    <row r="13546" spans="43:43" x14ac:dyDescent="0.2">
      <c r="AQ13546" s="31"/>
    </row>
    <row r="13547" spans="43:43" x14ac:dyDescent="0.2">
      <c r="AQ13547" s="31"/>
    </row>
    <row r="13548" spans="43:43" x14ac:dyDescent="0.2">
      <c r="AQ13548" s="31"/>
    </row>
    <row r="13549" spans="43:43" x14ac:dyDescent="0.2">
      <c r="AQ13549" s="31"/>
    </row>
    <row r="13550" spans="43:43" x14ac:dyDescent="0.2">
      <c r="AQ13550" s="31"/>
    </row>
    <row r="13551" spans="43:43" x14ac:dyDescent="0.2">
      <c r="AQ13551" s="31"/>
    </row>
    <row r="13552" spans="43:43" x14ac:dyDescent="0.2">
      <c r="AQ13552" s="31"/>
    </row>
    <row r="13553" spans="43:43" x14ac:dyDescent="0.2">
      <c r="AQ13553" s="31"/>
    </row>
    <row r="13554" spans="43:43" x14ac:dyDescent="0.2">
      <c r="AQ13554" s="31"/>
    </row>
    <row r="13555" spans="43:43" x14ac:dyDescent="0.2">
      <c r="AQ13555" s="31"/>
    </row>
    <row r="13556" spans="43:43" x14ac:dyDescent="0.2">
      <c r="AQ13556" s="31"/>
    </row>
    <row r="13557" spans="43:43" x14ac:dyDescent="0.2">
      <c r="AQ13557" s="31"/>
    </row>
    <row r="13558" spans="43:43" x14ac:dyDescent="0.2">
      <c r="AQ13558" s="31"/>
    </row>
    <row r="13559" spans="43:43" x14ac:dyDescent="0.2">
      <c r="AQ13559" s="31"/>
    </row>
    <row r="13560" spans="43:43" x14ac:dyDescent="0.2">
      <c r="AQ13560" s="31"/>
    </row>
    <row r="13561" spans="43:43" x14ac:dyDescent="0.2">
      <c r="AQ13561" s="31"/>
    </row>
    <row r="13562" spans="43:43" x14ac:dyDescent="0.2">
      <c r="AQ13562" s="31"/>
    </row>
    <row r="13563" spans="43:43" x14ac:dyDescent="0.2">
      <c r="AQ13563" s="31"/>
    </row>
    <row r="13564" spans="43:43" x14ac:dyDescent="0.2">
      <c r="AQ13564" s="31"/>
    </row>
    <row r="13565" spans="43:43" x14ac:dyDescent="0.2">
      <c r="AQ13565" s="31"/>
    </row>
    <row r="13566" spans="43:43" x14ac:dyDescent="0.2">
      <c r="AQ13566" s="31"/>
    </row>
    <row r="13567" spans="43:43" x14ac:dyDescent="0.2">
      <c r="AQ13567" s="31"/>
    </row>
    <row r="13568" spans="43:43" x14ac:dyDescent="0.2">
      <c r="AQ13568" s="31"/>
    </row>
    <row r="13569" spans="43:43" x14ac:dyDescent="0.2">
      <c r="AQ13569" s="31"/>
    </row>
    <row r="13570" spans="43:43" x14ac:dyDescent="0.2">
      <c r="AQ13570" s="31"/>
    </row>
    <row r="13571" spans="43:43" x14ac:dyDescent="0.2">
      <c r="AQ13571" s="31"/>
    </row>
    <row r="13572" spans="43:43" x14ac:dyDescent="0.2">
      <c r="AQ13572" s="31"/>
    </row>
    <row r="13573" spans="43:43" x14ac:dyDescent="0.2">
      <c r="AQ13573" s="31"/>
    </row>
    <row r="13574" spans="43:43" x14ac:dyDescent="0.2">
      <c r="AQ13574" s="31"/>
    </row>
    <row r="13575" spans="43:43" x14ac:dyDescent="0.2">
      <c r="AQ13575" s="31"/>
    </row>
    <row r="13576" spans="43:43" x14ac:dyDescent="0.2">
      <c r="AQ13576" s="31"/>
    </row>
    <row r="13577" spans="43:43" x14ac:dyDescent="0.2">
      <c r="AQ13577" s="31"/>
    </row>
    <row r="13578" spans="43:43" x14ac:dyDescent="0.2">
      <c r="AQ13578" s="31"/>
    </row>
    <row r="13579" spans="43:43" x14ac:dyDescent="0.2">
      <c r="AQ13579" s="31"/>
    </row>
    <row r="13580" spans="43:43" x14ac:dyDescent="0.2">
      <c r="AQ13580" s="31"/>
    </row>
    <row r="13581" spans="43:43" x14ac:dyDescent="0.2">
      <c r="AQ13581" s="31"/>
    </row>
    <row r="13582" spans="43:43" x14ac:dyDescent="0.2">
      <c r="AQ13582" s="31"/>
    </row>
    <row r="13583" spans="43:43" x14ac:dyDescent="0.2">
      <c r="AQ13583" s="31"/>
    </row>
    <row r="13584" spans="43:43" x14ac:dyDescent="0.2">
      <c r="AQ13584" s="31"/>
    </row>
    <row r="13585" spans="43:43" x14ac:dyDescent="0.2">
      <c r="AQ13585" s="31"/>
    </row>
    <row r="13586" spans="43:43" x14ac:dyDescent="0.2">
      <c r="AQ13586" s="31"/>
    </row>
    <row r="13587" spans="43:43" x14ac:dyDescent="0.2">
      <c r="AQ13587" s="31"/>
    </row>
    <row r="13588" spans="43:43" x14ac:dyDescent="0.2">
      <c r="AQ13588" s="31"/>
    </row>
    <row r="13589" spans="43:43" x14ac:dyDescent="0.2">
      <c r="AQ13589" s="31"/>
    </row>
    <row r="13590" spans="43:43" x14ac:dyDescent="0.2">
      <c r="AQ13590" s="31"/>
    </row>
    <row r="13591" spans="43:43" x14ac:dyDescent="0.2">
      <c r="AQ13591" s="31"/>
    </row>
    <row r="13592" spans="43:43" x14ac:dyDescent="0.2">
      <c r="AQ13592" s="31"/>
    </row>
    <row r="13593" spans="43:43" x14ac:dyDescent="0.2">
      <c r="AQ13593" s="31"/>
    </row>
    <row r="13594" spans="43:43" x14ac:dyDescent="0.2">
      <c r="AQ13594" s="31"/>
    </row>
    <row r="13595" spans="43:43" x14ac:dyDescent="0.2">
      <c r="AQ13595" s="31"/>
    </row>
    <row r="13596" spans="43:43" x14ac:dyDescent="0.2">
      <c r="AQ13596" s="31"/>
    </row>
    <row r="13597" spans="43:43" x14ac:dyDescent="0.2">
      <c r="AQ13597" s="31"/>
    </row>
    <row r="13598" spans="43:43" x14ac:dyDescent="0.2">
      <c r="AQ13598" s="31"/>
    </row>
    <row r="13599" spans="43:43" x14ac:dyDescent="0.2">
      <c r="AQ13599" s="31"/>
    </row>
    <row r="13600" spans="43:43" x14ac:dyDescent="0.2">
      <c r="AQ13600" s="31"/>
    </row>
    <row r="13601" spans="43:43" x14ac:dyDescent="0.2">
      <c r="AQ13601" s="31"/>
    </row>
    <row r="13602" spans="43:43" x14ac:dyDescent="0.2">
      <c r="AQ13602" s="31"/>
    </row>
    <row r="13603" spans="43:43" x14ac:dyDescent="0.2">
      <c r="AQ13603" s="31"/>
    </row>
    <row r="13604" spans="43:43" x14ac:dyDescent="0.2">
      <c r="AQ13604" s="31"/>
    </row>
    <row r="13605" spans="43:43" x14ac:dyDescent="0.2">
      <c r="AQ13605" s="31"/>
    </row>
    <row r="13606" spans="43:43" x14ac:dyDescent="0.2">
      <c r="AQ13606" s="31"/>
    </row>
    <row r="13607" spans="43:43" x14ac:dyDescent="0.2">
      <c r="AQ13607" s="31"/>
    </row>
    <row r="13608" spans="43:43" x14ac:dyDescent="0.2">
      <c r="AQ13608" s="31"/>
    </row>
    <row r="13609" spans="43:43" x14ac:dyDescent="0.2">
      <c r="AQ13609" s="31"/>
    </row>
    <row r="13610" spans="43:43" x14ac:dyDescent="0.2">
      <c r="AQ13610" s="31"/>
    </row>
    <row r="13611" spans="43:43" x14ac:dyDescent="0.2">
      <c r="AQ13611" s="31"/>
    </row>
    <row r="13612" spans="43:43" x14ac:dyDescent="0.2">
      <c r="AQ13612" s="31"/>
    </row>
    <row r="13613" spans="43:43" x14ac:dyDescent="0.2">
      <c r="AQ13613" s="31"/>
    </row>
    <row r="13614" spans="43:43" x14ac:dyDescent="0.2">
      <c r="AQ13614" s="31"/>
    </row>
    <row r="13615" spans="43:43" x14ac:dyDescent="0.2">
      <c r="AQ13615" s="31"/>
    </row>
    <row r="13616" spans="43:43" x14ac:dyDescent="0.2">
      <c r="AQ13616" s="31"/>
    </row>
    <row r="13617" spans="43:43" x14ac:dyDescent="0.2">
      <c r="AQ13617" s="31"/>
    </row>
    <row r="13618" spans="43:43" x14ac:dyDescent="0.2">
      <c r="AQ13618" s="31"/>
    </row>
    <row r="13619" spans="43:43" x14ac:dyDescent="0.2">
      <c r="AQ13619" s="31"/>
    </row>
    <row r="13620" spans="43:43" x14ac:dyDescent="0.2">
      <c r="AQ13620" s="31"/>
    </row>
    <row r="13621" spans="43:43" x14ac:dyDescent="0.2">
      <c r="AQ13621" s="31"/>
    </row>
    <row r="13622" spans="43:43" x14ac:dyDescent="0.2">
      <c r="AQ13622" s="31"/>
    </row>
    <row r="13623" spans="43:43" x14ac:dyDescent="0.2">
      <c r="AQ13623" s="31"/>
    </row>
    <row r="13624" spans="43:43" x14ac:dyDescent="0.2">
      <c r="AQ13624" s="31"/>
    </row>
    <row r="13625" spans="43:43" x14ac:dyDescent="0.2">
      <c r="AQ13625" s="31"/>
    </row>
    <row r="13626" spans="43:43" x14ac:dyDescent="0.2">
      <c r="AQ13626" s="31"/>
    </row>
    <row r="13627" spans="43:43" x14ac:dyDescent="0.2">
      <c r="AQ13627" s="31"/>
    </row>
    <row r="13628" spans="43:43" x14ac:dyDescent="0.2">
      <c r="AQ13628" s="31"/>
    </row>
    <row r="13629" spans="43:43" x14ac:dyDescent="0.2">
      <c r="AQ13629" s="31"/>
    </row>
    <row r="13630" spans="43:43" x14ac:dyDescent="0.2">
      <c r="AQ13630" s="31"/>
    </row>
    <row r="13631" spans="43:43" x14ac:dyDescent="0.2">
      <c r="AQ13631" s="31"/>
    </row>
    <row r="13632" spans="43:43" x14ac:dyDescent="0.2">
      <c r="AQ13632" s="31"/>
    </row>
    <row r="13633" spans="43:43" x14ac:dyDescent="0.2">
      <c r="AQ13633" s="31"/>
    </row>
    <row r="13634" spans="43:43" x14ac:dyDescent="0.2">
      <c r="AQ13634" s="31"/>
    </row>
    <row r="13635" spans="43:43" x14ac:dyDescent="0.2">
      <c r="AQ13635" s="31"/>
    </row>
    <row r="13636" spans="43:43" x14ac:dyDescent="0.2">
      <c r="AQ13636" s="31"/>
    </row>
    <row r="13637" spans="43:43" x14ac:dyDescent="0.2">
      <c r="AQ13637" s="31"/>
    </row>
    <row r="13638" spans="43:43" x14ac:dyDescent="0.2">
      <c r="AQ13638" s="31"/>
    </row>
    <row r="13639" spans="43:43" x14ac:dyDescent="0.2">
      <c r="AQ13639" s="31"/>
    </row>
    <row r="13640" spans="43:43" x14ac:dyDescent="0.2">
      <c r="AQ13640" s="31"/>
    </row>
    <row r="13641" spans="43:43" x14ac:dyDescent="0.2">
      <c r="AQ13641" s="31"/>
    </row>
    <row r="13642" spans="43:43" x14ac:dyDescent="0.2">
      <c r="AQ13642" s="31"/>
    </row>
    <row r="13643" spans="43:43" x14ac:dyDescent="0.2">
      <c r="AQ13643" s="31"/>
    </row>
    <row r="13644" spans="43:43" x14ac:dyDescent="0.2">
      <c r="AQ13644" s="31"/>
    </row>
    <row r="13645" spans="43:43" x14ac:dyDescent="0.2">
      <c r="AQ13645" s="31"/>
    </row>
    <row r="13646" spans="43:43" x14ac:dyDescent="0.2">
      <c r="AQ13646" s="31"/>
    </row>
    <row r="13647" spans="43:43" x14ac:dyDescent="0.2">
      <c r="AQ13647" s="31"/>
    </row>
    <row r="13648" spans="43:43" x14ac:dyDescent="0.2">
      <c r="AQ13648" s="31"/>
    </row>
    <row r="13649" spans="43:43" x14ac:dyDescent="0.2">
      <c r="AQ13649" s="31"/>
    </row>
    <row r="13650" spans="43:43" x14ac:dyDescent="0.2">
      <c r="AQ13650" s="31"/>
    </row>
    <row r="13651" spans="43:43" x14ac:dyDescent="0.2">
      <c r="AQ13651" s="31"/>
    </row>
    <row r="13652" spans="43:43" x14ac:dyDescent="0.2">
      <c r="AQ13652" s="31"/>
    </row>
    <row r="13653" spans="43:43" x14ac:dyDescent="0.2">
      <c r="AQ13653" s="31"/>
    </row>
    <row r="13654" spans="43:43" x14ac:dyDescent="0.2">
      <c r="AQ13654" s="31"/>
    </row>
    <row r="13655" spans="43:43" x14ac:dyDescent="0.2">
      <c r="AQ13655" s="31"/>
    </row>
    <row r="13656" spans="43:43" x14ac:dyDescent="0.2">
      <c r="AQ13656" s="31"/>
    </row>
    <row r="13657" spans="43:43" x14ac:dyDescent="0.2">
      <c r="AQ13657" s="31"/>
    </row>
    <row r="13658" spans="43:43" x14ac:dyDescent="0.2">
      <c r="AQ13658" s="31"/>
    </row>
    <row r="13659" spans="43:43" x14ac:dyDescent="0.2">
      <c r="AQ13659" s="31"/>
    </row>
    <row r="13660" spans="43:43" x14ac:dyDescent="0.2">
      <c r="AQ13660" s="31"/>
    </row>
    <row r="13661" spans="43:43" x14ac:dyDescent="0.2">
      <c r="AQ13661" s="31"/>
    </row>
    <row r="13662" spans="43:43" x14ac:dyDescent="0.2">
      <c r="AQ13662" s="31"/>
    </row>
    <row r="13663" spans="43:43" x14ac:dyDescent="0.2">
      <c r="AQ13663" s="31"/>
    </row>
    <row r="13664" spans="43:43" x14ac:dyDescent="0.2">
      <c r="AQ13664" s="31"/>
    </row>
    <row r="13665" spans="43:43" x14ac:dyDescent="0.2">
      <c r="AQ13665" s="31"/>
    </row>
    <row r="13666" spans="43:43" x14ac:dyDescent="0.2">
      <c r="AQ13666" s="31"/>
    </row>
    <row r="13667" spans="43:43" x14ac:dyDescent="0.2">
      <c r="AQ13667" s="31"/>
    </row>
    <row r="13668" spans="43:43" x14ac:dyDescent="0.2">
      <c r="AQ13668" s="31"/>
    </row>
    <row r="13669" spans="43:43" x14ac:dyDescent="0.2">
      <c r="AQ13669" s="31"/>
    </row>
    <row r="13670" spans="43:43" x14ac:dyDescent="0.2">
      <c r="AQ13670" s="31"/>
    </row>
    <row r="13671" spans="43:43" x14ac:dyDescent="0.2">
      <c r="AQ13671" s="31"/>
    </row>
    <row r="13672" spans="43:43" x14ac:dyDescent="0.2">
      <c r="AQ13672" s="31"/>
    </row>
    <row r="13673" spans="43:43" x14ac:dyDescent="0.2">
      <c r="AQ13673" s="31"/>
    </row>
    <row r="13674" spans="43:43" x14ac:dyDescent="0.2">
      <c r="AQ13674" s="31"/>
    </row>
    <row r="13675" spans="43:43" x14ac:dyDescent="0.2">
      <c r="AQ13675" s="31"/>
    </row>
    <row r="13676" spans="43:43" x14ac:dyDescent="0.2">
      <c r="AQ13676" s="31"/>
    </row>
    <row r="13677" spans="43:43" x14ac:dyDescent="0.2">
      <c r="AQ13677" s="31"/>
    </row>
    <row r="13678" spans="43:43" x14ac:dyDescent="0.2">
      <c r="AQ13678" s="31"/>
    </row>
    <row r="13679" spans="43:43" x14ac:dyDescent="0.2">
      <c r="AQ13679" s="31"/>
    </row>
    <row r="13680" spans="43:43" x14ac:dyDescent="0.2">
      <c r="AQ13680" s="31"/>
    </row>
    <row r="13681" spans="43:43" x14ac:dyDescent="0.2">
      <c r="AQ13681" s="31"/>
    </row>
    <row r="13682" spans="43:43" x14ac:dyDescent="0.2">
      <c r="AQ13682" s="31"/>
    </row>
    <row r="13683" spans="43:43" x14ac:dyDescent="0.2">
      <c r="AQ13683" s="31"/>
    </row>
    <row r="13684" spans="43:43" x14ac:dyDescent="0.2">
      <c r="AQ13684" s="31"/>
    </row>
    <row r="13685" spans="43:43" x14ac:dyDescent="0.2">
      <c r="AQ13685" s="31"/>
    </row>
    <row r="13686" spans="43:43" x14ac:dyDescent="0.2">
      <c r="AQ13686" s="31"/>
    </row>
    <row r="13687" spans="43:43" x14ac:dyDescent="0.2">
      <c r="AQ13687" s="31"/>
    </row>
    <row r="13688" spans="43:43" x14ac:dyDescent="0.2">
      <c r="AQ13688" s="31"/>
    </row>
    <row r="13689" spans="43:43" x14ac:dyDescent="0.2">
      <c r="AQ13689" s="31"/>
    </row>
    <row r="13690" spans="43:43" x14ac:dyDescent="0.2">
      <c r="AQ13690" s="31"/>
    </row>
    <row r="13691" spans="43:43" x14ac:dyDescent="0.2">
      <c r="AQ13691" s="31"/>
    </row>
    <row r="13692" spans="43:43" x14ac:dyDescent="0.2">
      <c r="AQ13692" s="31"/>
    </row>
    <row r="13693" spans="43:43" x14ac:dyDescent="0.2">
      <c r="AQ13693" s="31"/>
    </row>
    <row r="13694" spans="43:43" x14ac:dyDescent="0.2">
      <c r="AQ13694" s="31"/>
    </row>
    <row r="13695" spans="43:43" x14ac:dyDescent="0.2">
      <c r="AQ13695" s="31"/>
    </row>
    <row r="13696" spans="43:43" x14ac:dyDescent="0.2">
      <c r="AQ13696" s="31"/>
    </row>
    <row r="13697" spans="43:43" x14ac:dyDescent="0.2">
      <c r="AQ13697" s="31"/>
    </row>
    <row r="13698" spans="43:43" x14ac:dyDescent="0.2">
      <c r="AQ13698" s="31"/>
    </row>
    <row r="13699" spans="43:43" x14ac:dyDescent="0.2">
      <c r="AQ13699" s="31"/>
    </row>
    <row r="13700" spans="43:43" x14ac:dyDescent="0.2">
      <c r="AQ13700" s="31"/>
    </row>
    <row r="13701" spans="43:43" x14ac:dyDescent="0.2">
      <c r="AQ13701" s="31"/>
    </row>
    <row r="13702" spans="43:43" x14ac:dyDescent="0.2">
      <c r="AQ13702" s="31"/>
    </row>
    <row r="13703" spans="43:43" x14ac:dyDescent="0.2">
      <c r="AQ13703" s="31"/>
    </row>
    <row r="13704" spans="43:43" x14ac:dyDescent="0.2">
      <c r="AQ13704" s="31"/>
    </row>
    <row r="13705" spans="43:43" x14ac:dyDescent="0.2">
      <c r="AQ13705" s="31"/>
    </row>
    <row r="13706" spans="43:43" x14ac:dyDescent="0.2">
      <c r="AQ13706" s="31"/>
    </row>
    <row r="13707" spans="43:43" x14ac:dyDescent="0.2">
      <c r="AQ13707" s="31"/>
    </row>
    <row r="13708" spans="43:43" x14ac:dyDescent="0.2">
      <c r="AQ13708" s="31"/>
    </row>
    <row r="13709" spans="43:43" x14ac:dyDescent="0.2">
      <c r="AQ13709" s="31"/>
    </row>
    <row r="13710" spans="43:43" x14ac:dyDescent="0.2">
      <c r="AQ13710" s="31"/>
    </row>
    <row r="13711" spans="43:43" x14ac:dyDescent="0.2">
      <c r="AQ13711" s="31"/>
    </row>
    <row r="13712" spans="43:43" x14ac:dyDescent="0.2">
      <c r="AQ13712" s="31"/>
    </row>
    <row r="13713" spans="43:43" x14ac:dyDescent="0.2">
      <c r="AQ13713" s="31"/>
    </row>
    <row r="13714" spans="43:43" x14ac:dyDescent="0.2">
      <c r="AQ13714" s="31"/>
    </row>
    <row r="13715" spans="43:43" x14ac:dyDescent="0.2">
      <c r="AQ13715" s="31"/>
    </row>
    <row r="13716" spans="43:43" x14ac:dyDescent="0.2">
      <c r="AQ13716" s="31"/>
    </row>
    <row r="13717" spans="43:43" x14ac:dyDescent="0.2">
      <c r="AQ13717" s="31"/>
    </row>
    <row r="13718" spans="43:43" x14ac:dyDescent="0.2">
      <c r="AQ13718" s="31"/>
    </row>
    <row r="13719" spans="43:43" x14ac:dyDescent="0.2">
      <c r="AQ13719" s="31"/>
    </row>
    <row r="13720" spans="43:43" x14ac:dyDescent="0.2">
      <c r="AQ13720" s="31"/>
    </row>
    <row r="13721" spans="43:43" x14ac:dyDescent="0.2">
      <c r="AQ13721" s="31"/>
    </row>
    <row r="13722" spans="43:43" x14ac:dyDescent="0.2">
      <c r="AQ13722" s="31"/>
    </row>
    <row r="13723" spans="43:43" x14ac:dyDescent="0.2">
      <c r="AQ13723" s="31"/>
    </row>
    <row r="13724" spans="43:43" x14ac:dyDescent="0.2">
      <c r="AQ13724" s="31"/>
    </row>
    <row r="13725" spans="43:43" x14ac:dyDescent="0.2">
      <c r="AQ13725" s="31"/>
    </row>
    <row r="13726" spans="43:43" x14ac:dyDescent="0.2">
      <c r="AQ13726" s="31"/>
    </row>
    <row r="13727" spans="43:43" x14ac:dyDescent="0.2">
      <c r="AQ13727" s="31"/>
    </row>
    <row r="13728" spans="43:43" x14ac:dyDescent="0.2">
      <c r="AQ13728" s="31"/>
    </row>
    <row r="13729" spans="43:43" x14ac:dyDescent="0.2">
      <c r="AQ13729" s="31"/>
    </row>
    <row r="13730" spans="43:43" x14ac:dyDescent="0.2">
      <c r="AQ13730" s="31"/>
    </row>
    <row r="13731" spans="43:43" x14ac:dyDescent="0.2">
      <c r="AQ13731" s="31"/>
    </row>
    <row r="13732" spans="43:43" x14ac:dyDescent="0.2">
      <c r="AQ13732" s="31"/>
    </row>
    <row r="13733" spans="43:43" x14ac:dyDescent="0.2">
      <c r="AQ13733" s="31"/>
    </row>
    <row r="13734" spans="43:43" x14ac:dyDescent="0.2">
      <c r="AQ13734" s="31"/>
    </row>
    <row r="13735" spans="43:43" x14ac:dyDescent="0.2">
      <c r="AQ13735" s="31"/>
    </row>
    <row r="13736" spans="43:43" x14ac:dyDescent="0.2">
      <c r="AQ13736" s="31"/>
    </row>
    <row r="13737" spans="43:43" x14ac:dyDescent="0.2">
      <c r="AQ13737" s="31"/>
    </row>
    <row r="13738" spans="43:43" x14ac:dyDescent="0.2">
      <c r="AQ13738" s="31"/>
    </row>
    <row r="13739" spans="43:43" x14ac:dyDescent="0.2">
      <c r="AQ13739" s="31"/>
    </row>
    <row r="13740" spans="43:43" x14ac:dyDescent="0.2">
      <c r="AQ13740" s="31"/>
    </row>
    <row r="13741" spans="43:43" x14ac:dyDescent="0.2">
      <c r="AQ13741" s="31"/>
    </row>
    <row r="13742" spans="43:43" x14ac:dyDescent="0.2">
      <c r="AQ13742" s="31"/>
    </row>
    <row r="13743" spans="43:43" x14ac:dyDescent="0.2">
      <c r="AQ13743" s="31"/>
    </row>
    <row r="13744" spans="43:43" x14ac:dyDescent="0.2">
      <c r="AQ13744" s="31"/>
    </row>
    <row r="13745" spans="43:43" x14ac:dyDescent="0.2">
      <c r="AQ13745" s="31"/>
    </row>
    <row r="13746" spans="43:43" x14ac:dyDescent="0.2">
      <c r="AQ13746" s="31"/>
    </row>
    <row r="13747" spans="43:43" x14ac:dyDescent="0.2">
      <c r="AQ13747" s="31"/>
    </row>
    <row r="13748" spans="43:43" x14ac:dyDescent="0.2">
      <c r="AQ13748" s="31"/>
    </row>
    <row r="13749" spans="43:43" x14ac:dyDescent="0.2">
      <c r="AQ13749" s="31"/>
    </row>
    <row r="13750" spans="43:43" x14ac:dyDescent="0.2">
      <c r="AQ13750" s="31"/>
    </row>
    <row r="13751" spans="43:43" x14ac:dyDescent="0.2">
      <c r="AQ13751" s="31"/>
    </row>
    <row r="13752" spans="43:43" x14ac:dyDescent="0.2">
      <c r="AQ13752" s="31"/>
    </row>
    <row r="13753" spans="43:43" x14ac:dyDescent="0.2">
      <c r="AQ13753" s="31"/>
    </row>
    <row r="13754" spans="43:43" x14ac:dyDescent="0.2">
      <c r="AQ13754" s="31"/>
    </row>
    <row r="13755" spans="43:43" x14ac:dyDescent="0.2">
      <c r="AQ13755" s="31"/>
    </row>
    <row r="13756" spans="43:43" x14ac:dyDescent="0.2">
      <c r="AQ13756" s="31"/>
    </row>
    <row r="13757" spans="43:43" x14ac:dyDescent="0.2">
      <c r="AQ13757" s="31"/>
    </row>
    <row r="13758" spans="43:43" x14ac:dyDescent="0.2">
      <c r="AQ13758" s="31"/>
    </row>
    <row r="13759" spans="43:43" x14ac:dyDescent="0.2">
      <c r="AQ13759" s="31"/>
    </row>
    <row r="13760" spans="43:43" x14ac:dyDescent="0.2">
      <c r="AQ13760" s="31"/>
    </row>
    <row r="13761" spans="43:43" x14ac:dyDescent="0.2">
      <c r="AQ13761" s="31"/>
    </row>
    <row r="13762" spans="43:43" x14ac:dyDescent="0.2">
      <c r="AQ13762" s="31"/>
    </row>
    <row r="13763" spans="43:43" x14ac:dyDescent="0.2">
      <c r="AQ13763" s="31"/>
    </row>
    <row r="13764" spans="43:43" x14ac:dyDescent="0.2">
      <c r="AQ13764" s="31"/>
    </row>
    <row r="13765" spans="43:43" x14ac:dyDescent="0.2">
      <c r="AQ13765" s="31"/>
    </row>
    <row r="13766" spans="43:43" x14ac:dyDescent="0.2">
      <c r="AQ13766" s="31"/>
    </row>
    <row r="13767" spans="43:43" x14ac:dyDescent="0.2">
      <c r="AQ13767" s="31"/>
    </row>
    <row r="13768" spans="43:43" x14ac:dyDescent="0.2">
      <c r="AQ13768" s="31"/>
    </row>
    <row r="13769" spans="43:43" x14ac:dyDescent="0.2">
      <c r="AQ13769" s="31"/>
    </row>
    <row r="13770" spans="43:43" x14ac:dyDescent="0.2">
      <c r="AQ13770" s="31"/>
    </row>
    <row r="13771" spans="43:43" x14ac:dyDescent="0.2">
      <c r="AQ13771" s="31"/>
    </row>
    <row r="13772" spans="43:43" x14ac:dyDescent="0.2">
      <c r="AQ13772" s="31"/>
    </row>
    <row r="13773" spans="43:43" x14ac:dyDescent="0.2">
      <c r="AQ13773" s="31"/>
    </row>
    <row r="13774" spans="43:43" x14ac:dyDescent="0.2">
      <c r="AQ13774" s="31"/>
    </row>
    <row r="13775" spans="43:43" x14ac:dyDescent="0.2">
      <c r="AQ13775" s="31"/>
    </row>
    <row r="13776" spans="43:43" x14ac:dyDescent="0.2">
      <c r="AQ13776" s="31"/>
    </row>
    <row r="13777" spans="43:43" x14ac:dyDescent="0.2">
      <c r="AQ13777" s="31"/>
    </row>
    <row r="13778" spans="43:43" x14ac:dyDescent="0.2">
      <c r="AQ13778" s="31"/>
    </row>
    <row r="13779" spans="43:43" x14ac:dyDescent="0.2">
      <c r="AQ13779" s="31"/>
    </row>
    <row r="13780" spans="43:43" x14ac:dyDescent="0.2">
      <c r="AQ13780" s="31"/>
    </row>
    <row r="13781" spans="43:43" x14ac:dyDescent="0.2">
      <c r="AQ13781" s="31"/>
    </row>
    <row r="13782" spans="43:43" x14ac:dyDescent="0.2">
      <c r="AQ13782" s="31"/>
    </row>
    <row r="13783" spans="43:43" x14ac:dyDescent="0.2">
      <c r="AQ13783" s="31"/>
    </row>
    <row r="13784" spans="43:43" x14ac:dyDescent="0.2">
      <c r="AQ13784" s="31"/>
    </row>
    <row r="13785" spans="43:43" x14ac:dyDescent="0.2">
      <c r="AQ13785" s="31"/>
    </row>
    <row r="13786" spans="43:43" x14ac:dyDescent="0.2">
      <c r="AQ13786" s="31"/>
    </row>
    <row r="13787" spans="43:43" x14ac:dyDescent="0.2">
      <c r="AQ13787" s="31"/>
    </row>
    <row r="13788" spans="43:43" x14ac:dyDescent="0.2">
      <c r="AQ13788" s="31"/>
    </row>
    <row r="13789" spans="43:43" x14ac:dyDescent="0.2">
      <c r="AQ13789" s="31"/>
    </row>
    <row r="13790" spans="43:43" x14ac:dyDescent="0.2">
      <c r="AQ13790" s="31"/>
    </row>
    <row r="13791" spans="43:43" x14ac:dyDescent="0.2">
      <c r="AQ13791" s="31"/>
    </row>
    <row r="13792" spans="43:43" x14ac:dyDescent="0.2">
      <c r="AQ13792" s="31"/>
    </row>
    <row r="13793" spans="43:43" x14ac:dyDescent="0.2">
      <c r="AQ13793" s="31"/>
    </row>
    <row r="13794" spans="43:43" x14ac:dyDescent="0.2">
      <c r="AQ13794" s="31"/>
    </row>
    <row r="13795" spans="43:43" x14ac:dyDescent="0.2">
      <c r="AQ13795" s="31"/>
    </row>
    <row r="13796" spans="43:43" x14ac:dyDescent="0.2">
      <c r="AQ13796" s="31"/>
    </row>
    <row r="13797" spans="43:43" x14ac:dyDescent="0.2">
      <c r="AQ13797" s="31"/>
    </row>
    <row r="13798" spans="43:43" x14ac:dyDescent="0.2">
      <c r="AQ13798" s="31"/>
    </row>
    <row r="13799" spans="43:43" x14ac:dyDescent="0.2">
      <c r="AQ13799" s="31"/>
    </row>
    <row r="13800" spans="43:43" x14ac:dyDescent="0.2">
      <c r="AQ13800" s="31"/>
    </row>
    <row r="13801" spans="43:43" x14ac:dyDescent="0.2">
      <c r="AQ13801" s="31"/>
    </row>
    <row r="13802" spans="43:43" x14ac:dyDescent="0.2">
      <c r="AQ13802" s="31"/>
    </row>
    <row r="13803" spans="43:43" x14ac:dyDescent="0.2">
      <c r="AQ13803" s="31"/>
    </row>
    <row r="13804" spans="43:43" x14ac:dyDescent="0.2">
      <c r="AQ13804" s="31"/>
    </row>
    <row r="13805" spans="43:43" x14ac:dyDescent="0.2">
      <c r="AQ13805" s="31"/>
    </row>
    <row r="13806" spans="43:43" x14ac:dyDescent="0.2">
      <c r="AQ13806" s="31"/>
    </row>
    <row r="13807" spans="43:43" x14ac:dyDescent="0.2">
      <c r="AQ13807" s="31"/>
    </row>
    <row r="13808" spans="43:43" x14ac:dyDescent="0.2">
      <c r="AQ13808" s="31"/>
    </row>
    <row r="13809" spans="43:43" x14ac:dyDescent="0.2">
      <c r="AQ13809" s="31"/>
    </row>
    <row r="13810" spans="43:43" x14ac:dyDescent="0.2">
      <c r="AQ13810" s="31"/>
    </row>
    <row r="13811" spans="43:43" x14ac:dyDescent="0.2">
      <c r="AQ13811" s="31"/>
    </row>
    <row r="13812" spans="43:43" x14ac:dyDescent="0.2">
      <c r="AQ13812" s="31"/>
    </row>
    <row r="13813" spans="43:43" x14ac:dyDescent="0.2">
      <c r="AQ13813" s="31"/>
    </row>
    <row r="13814" spans="43:43" x14ac:dyDescent="0.2">
      <c r="AQ13814" s="31"/>
    </row>
    <row r="13815" spans="43:43" x14ac:dyDescent="0.2">
      <c r="AQ13815" s="31"/>
    </row>
    <row r="13816" spans="43:43" x14ac:dyDescent="0.2">
      <c r="AQ13816" s="31"/>
    </row>
    <row r="13817" spans="43:43" x14ac:dyDescent="0.2">
      <c r="AQ13817" s="31"/>
    </row>
    <row r="13818" spans="43:43" x14ac:dyDescent="0.2">
      <c r="AQ13818" s="31"/>
    </row>
    <row r="13819" spans="43:43" x14ac:dyDescent="0.2">
      <c r="AQ13819" s="31"/>
    </row>
    <row r="13820" spans="43:43" x14ac:dyDescent="0.2">
      <c r="AQ13820" s="31"/>
    </row>
    <row r="13821" spans="43:43" x14ac:dyDescent="0.2">
      <c r="AQ13821" s="31"/>
    </row>
    <row r="13822" spans="43:43" x14ac:dyDescent="0.2">
      <c r="AQ13822" s="31"/>
    </row>
    <row r="13823" spans="43:43" x14ac:dyDescent="0.2">
      <c r="AQ13823" s="31"/>
    </row>
    <row r="13824" spans="43:43" x14ac:dyDescent="0.2">
      <c r="AQ13824" s="31"/>
    </row>
    <row r="13825" spans="43:43" x14ac:dyDescent="0.2">
      <c r="AQ13825" s="31"/>
    </row>
    <row r="13826" spans="43:43" x14ac:dyDescent="0.2">
      <c r="AQ13826" s="31"/>
    </row>
    <row r="13827" spans="43:43" x14ac:dyDescent="0.2">
      <c r="AQ13827" s="31"/>
    </row>
    <row r="13828" spans="43:43" x14ac:dyDescent="0.2">
      <c r="AQ13828" s="31"/>
    </row>
    <row r="13829" spans="43:43" x14ac:dyDescent="0.2">
      <c r="AQ13829" s="31"/>
    </row>
    <row r="13830" spans="43:43" x14ac:dyDescent="0.2">
      <c r="AQ13830" s="31"/>
    </row>
    <row r="13831" spans="43:43" x14ac:dyDescent="0.2">
      <c r="AQ13831" s="31"/>
    </row>
    <row r="13832" spans="43:43" x14ac:dyDescent="0.2">
      <c r="AQ13832" s="31"/>
    </row>
    <row r="13833" spans="43:43" x14ac:dyDescent="0.2">
      <c r="AQ13833" s="31"/>
    </row>
    <row r="13834" spans="43:43" x14ac:dyDescent="0.2">
      <c r="AQ13834" s="31"/>
    </row>
    <row r="13835" spans="43:43" x14ac:dyDescent="0.2">
      <c r="AQ13835" s="31"/>
    </row>
    <row r="13836" spans="43:43" x14ac:dyDescent="0.2">
      <c r="AQ13836" s="31"/>
    </row>
    <row r="13837" spans="43:43" x14ac:dyDescent="0.2">
      <c r="AQ13837" s="31"/>
    </row>
    <row r="13838" spans="43:43" x14ac:dyDescent="0.2">
      <c r="AQ13838" s="31"/>
    </row>
    <row r="13839" spans="43:43" x14ac:dyDescent="0.2">
      <c r="AQ13839" s="31"/>
    </row>
    <row r="13840" spans="43:43" x14ac:dyDescent="0.2">
      <c r="AQ13840" s="31"/>
    </row>
    <row r="13841" spans="43:43" x14ac:dyDescent="0.2">
      <c r="AQ13841" s="31"/>
    </row>
    <row r="13842" spans="43:43" x14ac:dyDescent="0.2">
      <c r="AQ13842" s="31"/>
    </row>
    <row r="13843" spans="43:43" x14ac:dyDescent="0.2">
      <c r="AQ13843" s="31"/>
    </row>
    <row r="13844" spans="43:43" x14ac:dyDescent="0.2">
      <c r="AQ13844" s="31"/>
    </row>
    <row r="13845" spans="43:43" x14ac:dyDescent="0.2">
      <c r="AQ13845" s="31"/>
    </row>
    <row r="13846" spans="43:43" x14ac:dyDescent="0.2">
      <c r="AQ13846" s="31"/>
    </row>
    <row r="13847" spans="43:43" x14ac:dyDescent="0.2">
      <c r="AQ13847" s="31"/>
    </row>
    <row r="13848" spans="43:43" x14ac:dyDescent="0.2">
      <c r="AQ13848" s="31"/>
    </row>
    <row r="13849" spans="43:43" x14ac:dyDescent="0.2">
      <c r="AQ13849" s="31"/>
    </row>
    <row r="13850" spans="43:43" x14ac:dyDescent="0.2">
      <c r="AQ13850" s="31"/>
    </row>
    <row r="13851" spans="43:43" x14ac:dyDescent="0.2">
      <c r="AQ13851" s="31"/>
    </row>
    <row r="13852" spans="43:43" x14ac:dyDescent="0.2">
      <c r="AQ13852" s="31"/>
    </row>
    <row r="13853" spans="43:43" x14ac:dyDescent="0.2">
      <c r="AQ13853" s="31"/>
    </row>
    <row r="13854" spans="43:43" x14ac:dyDescent="0.2">
      <c r="AQ13854" s="31"/>
    </row>
    <row r="13855" spans="43:43" x14ac:dyDescent="0.2">
      <c r="AQ13855" s="31"/>
    </row>
    <row r="13856" spans="43:43" x14ac:dyDescent="0.2">
      <c r="AQ13856" s="31"/>
    </row>
    <row r="13857" spans="43:43" x14ac:dyDescent="0.2">
      <c r="AQ13857" s="31"/>
    </row>
    <row r="13858" spans="43:43" x14ac:dyDescent="0.2">
      <c r="AQ13858" s="31"/>
    </row>
    <row r="13859" spans="43:43" x14ac:dyDescent="0.2">
      <c r="AQ13859" s="31"/>
    </row>
    <row r="13860" spans="43:43" x14ac:dyDescent="0.2">
      <c r="AQ13860" s="31"/>
    </row>
    <row r="13861" spans="43:43" x14ac:dyDescent="0.2">
      <c r="AQ13861" s="31"/>
    </row>
    <row r="13862" spans="43:43" x14ac:dyDescent="0.2">
      <c r="AQ13862" s="31"/>
    </row>
    <row r="13863" spans="43:43" x14ac:dyDescent="0.2">
      <c r="AQ13863" s="31"/>
    </row>
    <row r="13864" spans="43:43" x14ac:dyDescent="0.2">
      <c r="AQ13864" s="31"/>
    </row>
    <row r="13865" spans="43:43" x14ac:dyDescent="0.2">
      <c r="AQ13865" s="31"/>
    </row>
    <row r="13866" spans="43:43" x14ac:dyDescent="0.2">
      <c r="AQ13866" s="31"/>
    </row>
    <row r="13867" spans="43:43" x14ac:dyDescent="0.2">
      <c r="AQ13867" s="31"/>
    </row>
    <row r="13868" spans="43:43" x14ac:dyDescent="0.2">
      <c r="AQ13868" s="31"/>
    </row>
    <row r="13869" spans="43:43" x14ac:dyDescent="0.2">
      <c r="AQ13869" s="31"/>
    </row>
    <row r="13870" spans="43:43" x14ac:dyDescent="0.2">
      <c r="AQ13870" s="31"/>
    </row>
    <row r="13871" spans="43:43" x14ac:dyDescent="0.2">
      <c r="AQ13871" s="31"/>
    </row>
    <row r="13872" spans="43:43" x14ac:dyDescent="0.2">
      <c r="AQ13872" s="31"/>
    </row>
    <row r="13873" spans="43:43" x14ac:dyDescent="0.2">
      <c r="AQ13873" s="31"/>
    </row>
    <row r="13874" spans="43:43" x14ac:dyDescent="0.2">
      <c r="AQ13874" s="31"/>
    </row>
    <row r="13875" spans="43:43" x14ac:dyDescent="0.2">
      <c r="AQ13875" s="31"/>
    </row>
    <row r="13876" spans="43:43" x14ac:dyDescent="0.2">
      <c r="AQ13876" s="31"/>
    </row>
    <row r="13877" spans="43:43" x14ac:dyDescent="0.2">
      <c r="AQ13877" s="31"/>
    </row>
    <row r="13878" spans="43:43" x14ac:dyDescent="0.2">
      <c r="AQ13878" s="31"/>
    </row>
    <row r="13879" spans="43:43" x14ac:dyDescent="0.2">
      <c r="AQ13879" s="31"/>
    </row>
    <row r="13880" spans="43:43" x14ac:dyDescent="0.2">
      <c r="AQ13880" s="31"/>
    </row>
    <row r="13881" spans="43:43" x14ac:dyDescent="0.2">
      <c r="AQ13881" s="31"/>
    </row>
    <row r="13882" spans="43:43" x14ac:dyDescent="0.2">
      <c r="AQ13882" s="31"/>
    </row>
    <row r="13883" spans="43:43" x14ac:dyDescent="0.2">
      <c r="AQ13883" s="31"/>
    </row>
    <row r="13884" spans="43:43" x14ac:dyDescent="0.2">
      <c r="AQ13884" s="31"/>
    </row>
    <row r="13885" spans="43:43" x14ac:dyDescent="0.2">
      <c r="AQ13885" s="31"/>
    </row>
    <row r="13886" spans="43:43" x14ac:dyDescent="0.2">
      <c r="AQ13886" s="31"/>
    </row>
    <row r="13887" spans="43:43" x14ac:dyDescent="0.2">
      <c r="AQ13887" s="31"/>
    </row>
    <row r="13888" spans="43:43" x14ac:dyDescent="0.2">
      <c r="AQ13888" s="31"/>
    </row>
    <row r="13889" spans="43:43" x14ac:dyDescent="0.2">
      <c r="AQ13889" s="31"/>
    </row>
    <row r="13890" spans="43:43" x14ac:dyDescent="0.2">
      <c r="AQ13890" s="31"/>
    </row>
    <row r="13891" spans="43:43" x14ac:dyDescent="0.2">
      <c r="AQ13891" s="31"/>
    </row>
    <row r="13892" spans="43:43" x14ac:dyDescent="0.2">
      <c r="AQ13892" s="31"/>
    </row>
    <row r="13893" spans="43:43" x14ac:dyDescent="0.2">
      <c r="AQ13893" s="31"/>
    </row>
    <row r="13894" spans="43:43" x14ac:dyDescent="0.2">
      <c r="AQ13894" s="31"/>
    </row>
    <row r="13895" spans="43:43" x14ac:dyDescent="0.2">
      <c r="AQ13895" s="31"/>
    </row>
    <row r="13896" spans="43:43" x14ac:dyDescent="0.2">
      <c r="AQ13896" s="31"/>
    </row>
    <row r="13897" spans="43:43" x14ac:dyDescent="0.2">
      <c r="AQ13897" s="31"/>
    </row>
    <row r="13898" spans="43:43" x14ac:dyDescent="0.2">
      <c r="AQ13898" s="31"/>
    </row>
    <row r="13899" spans="43:43" x14ac:dyDescent="0.2">
      <c r="AQ13899" s="31"/>
    </row>
    <row r="13900" spans="43:43" x14ac:dyDescent="0.2">
      <c r="AQ13900" s="31"/>
    </row>
    <row r="13901" spans="43:43" x14ac:dyDescent="0.2">
      <c r="AQ13901" s="31"/>
    </row>
    <row r="13902" spans="43:43" x14ac:dyDescent="0.2">
      <c r="AQ13902" s="31"/>
    </row>
    <row r="13903" spans="43:43" x14ac:dyDescent="0.2">
      <c r="AQ13903" s="31"/>
    </row>
    <row r="13904" spans="43:43" x14ac:dyDescent="0.2">
      <c r="AQ13904" s="31"/>
    </row>
    <row r="13905" spans="43:43" x14ac:dyDescent="0.2">
      <c r="AQ13905" s="31"/>
    </row>
    <row r="13906" spans="43:43" x14ac:dyDescent="0.2">
      <c r="AQ13906" s="31"/>
    </row>
    <row r="13907" spans="43:43" x14ac:dyDescent="0.2">
      <c r="AQ13907" s="31"/>
    </row>
    <row r="13908" spans="43:43" x14ac:dyDescent="0.2">
      <c r="AQ13908" s="31"/>
    </row>
    <row r="13909" spans="43:43" x14ac:dyDescent="0.2">
      <c r="AQ13909" s="31"/>
    </row>
    <row r="13910" spans="43:43" x14ac:dyDescent="0.2">
      <c r="AQ13910" s="31"/>
    </row>
    <row r="13911" spans="43:43" x14ac:dyDescent="0.2">
      <c r="AQ13911" s="31"/>
    </row>
    <row r="13912" spans="43:43" x14ac:dyDescent="0.2">
      <c r="AQ13912" s="31"/>
    </row>
    <row r="13913" spans="43:43" x14ac:dyDescent="0.2">
      <c r="AQ13913" s="31"/>
    </row>
    <row r="13914" spans="43:43" x14ac:dyDescent="0.2">
      <c r="AQ13914" s="31"/>
    </row>
    <row r="13915" spans="43:43" x14ac:dyDescent="0.2">
      <c r="AQ13915" s="31"/>
    </row>
    <row r="13916" spans="43:43" x14ac:dyDescent="0.2">
      <c r="AQ13916" s="31"/>
    </row>
    <row r="13917" spans="43:43" x14ac:dyDescent="0.2">
      <c r="AQ13917" s="31"/>
    </row>
    <row r="13918" spans="43:43" x14ac:dyDescent="0.2">
      <c r="AQ13918" s="31"/>
    </row>
    <row r="13919" spans="43:43" x14ac:dyDescent="0.2">
      <c r="AQ13919" s="31"/>
    </row>
    <row r="13920" spans="43:43" x14ac:dyDescent="0.2">
      <c r="AQ13920" s="31"/>
    </row>
    <row r="13921" spans="43:43" x14ac:dyDescent="0.2">
      <c r="AQ13921" s="31"/>
    </row>
    <row r="13922" spans="43:43" x14ac:dyDescent="0.2">
      <c r="AQ13922" s="31"/>
    </row>
    <row r="13923" spans="43:43" x14ac:dyDescent="0.2">
      <c r="AQ13923" s="31"/>
    </row>
    <row r="13924" spans="43:43" x14ac:dyDescent="0.2">
      <c r="AQ13924" s="31"/>
    </row>
    <row r="13925" spans="43:43" x14ac:dyDescent="0.2">
      <c r="AQ13925" s="31"/>
    </row>
    <row r="13926" spans="43:43" x14ac:dyDescent="0.2">
      <c r="AQ13926" s="31"/>
    </row>
    <row r="13927" spans="43:43" x14ac:dyDescent="0.2">
      <c r="AQ13927" s="31"/>
    </row>
    <row r="13928" spans="43:43" x14ac:dyDescent="0.2">
      <c r="AQ13928" s="31"/>
    </row>
    <row r="13929" spans="43:43" x14ac:dyDescent="0.2">
      <c r="AQ13929" s="31"/>
    </row>
    <row r="13930" spans="43:43" x14ac:dyDescent="0.2">
      <c r="AQ13930" s="31"/>
    </row>
    <row r="13931" spans="43:43" x14ac:dyDescent="0.2">
      <c r="AQ13931" s="31"/>
    </row>
    <row r="13932" spans="43:43" x14ac:dyDescent="0.2">
      <c r="AQ13932" s="31"/>
    </row>
    <row r="13933" spans="43:43" x14ac:dyDescent="0.2">
      <c r="AQ13933" s="31"/>
    </row>
    <row r="13934" spans="43:43" x14ac:dyDescent="0.2">
      <c r="AQ13934" s="31"/>
    </row>
    <row r="13935" spans="43:43" x14ac:dyDescent="0.2">
      <c r="AQ13935" s="31"/>
    </row>
    <row r="13936" spans="43:43" x14ac:dyDescent="0.2">
      <c r="AQ13936" s="31"/>
    </row>
    <row r="13937" spans="43:43" x14ac:dyDescent="0.2">
      <c r="AQ13937" s="31"/>
    </row>
    <row r="13938" spans="43:43" x14ac:dyDescent="0.2">
      <c r="AQ13938" s="31"/>
    </row>
    <row r="13939" spans="43:43" x14ac:dyDescent="0.2">
      <c r="AQ13939" s="31"/>
    </row>
    <row r="13940" spans="43:43" x14ac:dyDescent="0.2">
      <c r="AQ13940" s="31"/>
    </row>
    <row r="13941" spans="43:43" x14ac:dyDescent="0.2">
      <c r="AQ13941" s="31"/>
    </row>
    <row r="13942" spans="43:43" x14ac:dyDescent="0.2">
      <c r="AQ13942" s="31"/>
    </row>
    <row r="13943" spans="43:43" x14ac:dyDescent="0.2">
      <c r="AQ13943" s="31"/>
    </row>
    <row r="13944" spans="43:43" x14ac:dyDescent="0.2">
      <c r="AQ13944" s="31"/>
    </row>
    <row r="13945" spans="43:43" x14ac:dyDescent="0.2">
      <c r="AQ13945" s="31"/>
    </row>
    <row r="13946" spans="43:43" x14ac:dyDescent="0.2">
      <c r="AQ13946" s="31"/>
    </row>
    <row r="13947" spans="43:43" x14ac:dyDescent="0.2">
      <c r="AQ13947" s="31"/>
    </row>
    <row r="13948" spans="43:43" x14ac:dyDescent="0.2">
      <c r="AQ13948" s="31"/>
    </row>
    <row r="13949" spans="43:43" x14ac:dyDescent="0.2">
      <c r="AQ13949" s="31"/>
    </row>
    <row r="13950" spans="43:43" x14ac:dyDescent="0.2">
      <c r="AQ13950" s="31"/>
    </row>
    <row r="13951" spans="43:43" x14ac:dyDescent="0.2">
      <c r="AQ13951" s="31"/>
    </row>
    <row r="13952" spans="43:43" x14ac:dyDescent="0.2">
      <c r="AQ13952" s="31"/>
    </row>
    <row r="13953" spans="43:43" x14ac:dyDescent="0.2">
      <c r="AQ13953" s="31"/>
    </row>
    <row r="13954" spans="43:43" x14ac:dyDescent="0.2">
      <c r="AQ13954" s="31"/>
    </row>
    <row r="13955" spans="43:43" x14ac:dyDescent="0.2">
      <c r="AQ13955" s="31"/>
    </row>
    <row r="13956" spans="43:43" x14ac:dyDescent="0.2">
      <c r="AQ13956" s="31"/>
    </row>
    <row r="13957" spans="43:43" x14ac:dyDescent="0.2">
      <c r="AQ13957" s="31"/>
    </row>
    <row r="13958" spans="43:43" x14ac:dyDescent="0.2">
      <c r="AQ13958" s="31"/>
    </row>
    <row r="13959" spans="43:43" x14ac:dyDescent="0.2">
      <c r="AQ13959" s="31"/>
    </row>
    <row r="13960" spans="43:43" x14ac:dyDescent="0.2">
      <c r="AQ13960" s="31"/>
    </row>
    <row r="13961" spans="43:43" x14ac:dyDescent="0.2">
      <c r="AQ13961" s="31"/>
    </row>
    <row r="13962" spans="43:43" x14ac:dyDescent="0.2">
      <c r="AQ13962" s="31"/>
    </row>
    <row r="13963" spans="43:43" x14ac:dyDescent="0.2">
      <c r="AQ13963" s="31"/>
    </row>
    <row r="13964" spans="43:43" x14ac:dyDescent="0.2">
      <c r="AQ13964" s="31"/>
    </row>
    <row r="13965" spans="43:43" x14ac:dyDescent="0.2">
      <c r="AQ13965" s="31"/>
    </row>
    <row r="13966" spans="43:43" x14ac:dyDescent="0.2">
      <c r="AQ13966" s="31"/>
    </row>
    <row r="13967" spans="43:43" x14ac:dyDescent="0.2">
      <c r="AQ13967" s="31"/>
    </row>
    <row r="13968" spans="43:43" x14ac:dyDescent="0.2">
      <c r="AQ13968" s="31"/>
    </row>
    <row r="13969" spans="43:43" x14ac:dyDescent="0.2">
      <c r="AQ13969" s="31"/>
    </row>
    <row r="13970" spans="43:43" x14ac:dyDescent="0.2">
      <c r="AQ13970" s="31"/>
    </row>
    <row r="13971" spans="43:43" x14ac:dyDescent="0.2">
      <c r="AQ13971" s="31"/>
    </row>
    <row r="13972" spans="43:43" x14ac:dyDescent="0.2">
      <c r="AQ13972" s="31"/>
    </row>
    <row r="13973" spans="43:43" x14ac:dyDescent="0.2">
      <c r="AQ13973" s="31"/>
    </row>
    <row r="13974" spans="43:43" x14ac:dyDescent="0.2">
      <c r="AQ13974" s="31"/>
    </row>
    <row r="13975" spans="43:43" x14ac:dyDescent="0.2">
      <c r="AQ13975" s="31"/>
    </row>
    <row r="13976" spans="43:43" x14ac:dyDescent="0.2">
      <c r="AQ13976" s="31"/>
    </row>
    <row r="13977" spans="43:43" x14ac:dyDescent="0.2">
      <c r="AQ13977" s="31"/>
    </row>
    <row r="13978" spans="43:43" x14ac:dyDescent="0.2">
      <c r="AQ13978" s="31"/>
    </row>
    <row r="13979" spans="43:43" x14ac:dyDescent="0.2">
      <c r="AQ13979" s="31"/>
    </row>
    <row r="13980" spans="43:43" x14ac:dyDescent="0.2">
      <c r="AQ13980" s="31"/>
    </row>
    <row r="13981" spans="43:43" x14ac:dyDescent="0.2">
      <c r="AQ13981" s="31"/>
    </row>
    <row r="13982" spans="43:43" x14ac:dyDescent="0.2">
      <c r="AQ13982" s="31"/>
    </row>
    <row r="13983" spans="43:43" x14ac:dyDescent="0.2">
      <c r="AQ13983" s="31"/>
    </row>
    <row r="13984" spans="43:43" x14ac:dyDescent="0.2">
      <c r="AQ13984" s="31"/>
    </row>
    <row r="13985" spans="43:43" x14ac:dyDescent="0.2">
      <c r="AQ13985" s="31"/>
    </row>
    <row r="13986" spans="43:43" x14ac:dyDescent="0.2">
      <c r="AQ13986" s="31"/>
    </row>
    <row r="13987" spans="43:43" x14ac:dyDescent="0.2">
      <c r="AQ13987" s="31"/>
    </row>
    <row r="13988" spans="43:43" x14ac:dyDescent="0.2">
      <c r="AQ13988" s="31"/>
    </row>
    <row r="13989" spans="43:43" x14ac:dyDescent="0.2">
      <c r="AQ13989" s="31"/>
    </row>
    <row r="13990" spans="43:43" x14ac:dyDescent="0.2">
      <c r="AQ13990" s="31"/>
    </row>
    <row r="13991" spans="43:43" x14ac:dyDescent="0.2">
      <c r="AQ13991" s="31"/>
    </row>
    <row r="13992" spans="43:43" x14ac:dyDescent="0.2">
      <c r="AQ13992" s="31"/>
    </row>
    <row r="13993" spans="43:43" x14ac:dyDescent="0.2">
      <c r="AQ13993" s="31"/>
    </row>
    <row r="13994" spans="43:43" x14ac:dyDescent="0.2">
      <c r="AQ13994" s="31"/>
    </row>
    <row r="13995" spans="43:43" x14ac:dyDescent="0.2">
      <c r="AQ13995" s="31"/>
    </row>
    <row r="13996" spans="43:43" x14ac:dyDescent="0.2">
      <c r="AQ13996" s="31"/>
    </row>
    <row r="13997" spans="43:43" x14ac:dyDescent="0.2">
      <c r="AQ13997" s="31"/>
    </row>
    <row r="13998" spans="43:43" x14ac:dyDescent="0.2">
      <c r="AQ13998" s="31"/>
    </row>
    <row r="13999" spans="43:43" x14ac:dyDescent="0.2">
      <c r="AQ13999" s="31"/>
    </row>
    <row r="14000" spans="43:43" x14ac:dyDescent="0.2">
      <c r="AQ14000" s="31"/>
    </row>
    <row r="14001" spans="43:43" x14ac:dyDescent="0.2">
      <c r="AQ14001" s="31"/>
    </row>
    <row r="14002" spans="43:43" x14ac:dyDescent="0.2">
      <c r="AQ14002" s="31"/>
    </row>
    <row r="14003" spans="43:43" x14ac:dyDescent="0.2">
      <c r="AQ14003" s="31"/>
    </row>
    <row r="14004" spans="43:43" x14ac:dyDescent="0.2">
      <c r="AQ14004" s="31"/>
    </row>
    <row r="14005" spans="43:43" x14ac:dyDescent="0.2">
      <c r="AQ14005" s="31"/>
    </row>
    <row r="14006" spans="43:43" x14ac:dyDescent="0.2">
      <c r="AQ14006" s="31"/>
    </row>
    <row r="14007" spans="43:43" x14ac:dyDescent="0.2">
      <c r="AQ14007" s="31"/>
    </row>
    <row r="14008" spans="43:43" x14ac:dyDescent="0.2">
      <c r="AQ14008" s="31"/>
    </row>
    <row r="14009" spans="43:43" x14ac:dyDescent="0.2">
      <c r="AQ14009" s="31"/>
    </row>
    <row r="14010" spans="43:43" x14ac:dyDescent="0.2">
      <c r="AQ14010" s="31"/>
    </row>
    <row r="14011" spans="43:43" x14ac:dyDescent="0.2">
      <c r="AQ14011" s="31"/>
    </row>
    <row r="14012" spans="43:43" x14ac:dyDescent="0.2">
      <c r="AQ14012" s="31"/>
    </row>
    <row r="14013" spans="43:43" x14ac:dyDescent="0.2">
      <c r="AQ14013" s="31"/>
    </row>
    <row r="14014" spans="43:43" x14ac:dyDescent="0.2">
      <c r="AQ14014" s="31"/>
    </row>
    <row r="14015" spans="43:43" x14ac:dyDescent="0.2">
      <c r="AQ14015" s="31"/>
    </row>
    <row r="14016" spans="43:43" x14ac:dyDescent="0.2">
      <c r="AQ14016" s="31"/>
    </row>
    <row r="14017" spans="43:43" x14ac:dyDescent="0.2">
      <c r="AQ14017" s="31"/>
    </row>
    <row r="14018" spans="43:43" x14ac:dyDescent="0.2">
      <c r="AQ14018" s="31"/>
    </row>
    <row r="14019" spans="43:43" x14ac:dyDescent="0.2">
      <c r="AQ14019" s="31"/>
    </row>
    <row r="14020" spans="43:43" x14ac:dyDescent="0.2">
      <c r="AQ14020" s="31"/>
    </row>
    <row r="14021" spans="43:43" x14ac:dyDescent="0.2">
      <c r="AQ14021" s="31"/>
    </row>
    <row r="14022" spans="43:43" x14ac:dyDescent="0.2">
      <c r="AQ14022" s="31"/>
    </row>
    <row r="14023" spans="43:43" x14ac:dyDescent="0.2">
      <c r="AQ14023" s="31"/>
    </row>
    <row r="14024" spans="43:43" x14ac:dyDescent="0.2">
      <c r="AQ14024" s="31"/>
    </row>
    <row r="14025" spans="43:43" x14ac:dyDescent="0.2">
      <c r="AQ14025" s="31"/>
    </row>
    <row r="14026" spans="43:43" x14ac:dyDescent="0.2">
      <c r="AQ14026" s="31"/>
    </row>
    <row r="14027" spans="43:43" x14ac:dyDescent="0.2">
      <c r="AQ14027" s="31"/>
    </row>
    <row r="14028" spans="43:43" x14ac:dyDescent="0.2">
      <c r="AQ14028" s="31"/>
    </row>
    <row r="14029" spans="43:43" x14ac:dyDescent="0.2">
      <c r="AQ14029" s="31"/>
    </row>
    <row r="14030" spans="43:43" x14ac:dyDescent="0.2">
      <c r="AQ14030" s="31"/>
    </row>
    <row r="14031" spans="43:43" x14ac:dyDescent="0.2">
      <c r="AQ14031" s="31"/>
    </row>
    <row r="14032" spans="43:43" x14ac:dyDescent="0.2">
      <c r="AQ14032" s="31"/>
    </row>
    <row r="14033" spans="43:43" x14ac:dyDescent="0.2">
      <c r="AQ14033" s="31"/>
    </row>
    <row r="14034" spans="43:43" x14ac:dyDescent="0.2">
      <c r="AQ14034" s="31"/>
    </row>
    <row r="14035" spans="43:43" x14ac:dyDescent="0.2">
      <c r="AQ14035" s="31"/>
    </row>
    <row r="14036" spans="43:43" x14ac:dyDescent="0.2">
      <c r="AQ14036" s="31"/>
    </row>
    <row r="14037" spans="43:43" x14ac:dyDescent="0.2">
      <c r="AQ14037" s="31"/>
    </row>
    <row r="14038" spans="43:43" x14ac:dyDescent="0.2">
      <c r="AQ14038" s="31"/>
    </row>
    <row r="14039" spans="43:43" x14ac:dyDescent="0.2">
      <c r="AQ14039" s="31"/>
    </row>
    <row r="14040" spans="43:43" x14ac:dyDescent="0.2">
      <c r="AQ14040" s="31"/>
    </row>
    <row r="14041" spans="43:43" x14ac:dyDescent="0.2">
      <c r="AQ14041" s="31"/>
    </row>
    <row r="14042" spans="43:43" x14ac:dyDescent="0.2">
      <c r="AQ14042" s="31"/>
    </row>
    <row r="14043" spans="43:43" x14ac:dyDescent="0.2">
      <c r="AQ14043" s="31"/>
    </row>
    <row r="14044" spans="43:43" x14ac:dyDescent="0.2">
      <c r="AQ14044" s="31"/>
    </row>
    <row r="14045" spans="43:43" x14ac:dyDescent="0.2">
      <c r="AQ14045" s="31"/>
    </row>
    <row r="14046" spans="43:43" x14ac:dyDescent="0.2">
      <c r="AQ14046" s="31"/>
    </row>
    <row r="14047" spans="43:43" x14ac:dyDescent="0.2">
      <c r="AQ14047" s="31"/>
    </row>
    <row r="14048" spans="43:43" x14ac:dyDescent="0.2">
      <c r="AQ14048" s="31"/>
    </row>
    <row r="14049" spans="43:43" x14ac:dyDescent="0.2">
      <c r="AQ14049" s="31"/>
    </row>
    <row r="14050" spans="43:43" x14ac:dyDescent="0.2">
      <c r="AQ14050" s="31"/>
    </row>
    <row r="14051" spans="43:43" x14ac:dyDescent="0.2">
      <c r="AQ14051" s="31"/>
    </row>
    <row r="14052" spans="43:43" x14ac:dyDescent="0.2">
      <c r="AQ14052" s="31"/>
    </row>
    <row r="14053" spans="43:43" x14ac:dyDescent="0.2">
      <c r="AQ14053" s="31"/>
    </row>
    <row r="14054" spans="43:43" x14ac:dyDescent="0.2">
      <c r="AQ14054" s="31"/>
    </row>
    <row r="14055" spans="43:43" x14ac:dyDescent="0.2">
      <c r="AQ14055" s="31"/>
    </row>
    <row r="14056" spans="43:43" x14ac:dyDescent="0.2">
      <c r="AQ14056" s="31"/>
    </row>
    <row r="14057" spans="43:43" x14ac:dyDescent="0.2">
      <c r="AQ14057" s="31"/>
    </row>
    <row r="14058" spans="43:43" x14ac:dyDescent="0.2">
      <c r="AQ14058" s="31"/>
    </row>
    <row r="14059" spans="43:43" x14ac:dyDescent="0.2">
      <c r="AQ14059" s="31"/>
    </row>
    <row r="14060" spans="43:43" x14ac:dyDescent="0.2">
      <c r="AQ14060" s="31"/>
    </row>
    <row r="14061" spans="43:43" x14ac:dyDescent="0.2">
      <c r="AQ14061" s="31"/>
    </row>
    <row r="14062" spans="43:43" x14ac:dyDescent="0.2">
      <c r="AQ14062" s="31"/>
    </row>
    <row r="14063" spans="43:43" x14ac:dyDescent="0.2">
      <c r="AQ14063" s="31"/>
    </row>
    <row r="14064" spans="43:43" x14ac:dyDescent="0.2">
      <c r="AQ14064" s="31"/>
    </row>
    <row r="14065" spans="43:43" x14ac:dyDescent="0.2">
      <c r="AQ14065" s="31"/>
    </row>
    <row r="14066" spans="43:43" x14ac:dyDescent="0.2">
      <c r="AQ14066" s="31"/>
    </row>
    <row r="14067" spans="43:43" x14ac:dyDescent="0.2">
      <c r="AQ14067" s="31"/>
    </row>
    <row r="14068" spans="43:43" x14ac:dyDescent="0.2">
      <c r="AQ14068" s="31"/>
    </row>
    <row r="14069" spans="43:43" x14ac:dyDescent="0.2">
      <c r="AQ14069" s="31"/>
    </row>
    <row r="14070" spans="43:43" x14ac:dyDescent="0.2">
      <c r="AQ14070" s="31"/>
    </row>
    <row r="14071" spans="43:43" x14ac:dyDescent="0.2">
      <c r="AQ14071" s="31"/>
    </row>
    <row r="14072" spans="43:43" x14ac:dyDescent="0.2">
      <c r="AQ14072" s="31"/>
    </row>
    <row r="14073" spans="43:43" x14ac:dyDescent="0.2">
      <c r="AQ14073" s="31"/>
    </row>
    <row r="14074" spans="43:43" x14ac:dyDescent="0.2">
      <c r="AQ14074" s="31"/>
    </row>
    <row r="14075" spans="43:43" x14ac:dyDescent="0.2">
      <c r="AQ14075" s="31"/>
    </row>
    <row r="14076" spans="43:43" x14ac:dyDescent="0.2">
      <c r="AQ14076" s="31"/>
    </row>
    <row r="14077" spans="43:43" x14ac:dyDescent="0.2">
      <c r="AQ14077" s="31"/>
    </row>
    <row r="14078" spans="43:43" x14ac:dyDescent="0.2">
      <c r="AQ14078" s="31"/>
    </row>
    <row r="14079" spans="43:43" x14ac:dyDescent="0.2">
      <c r="AQ14079" s="31"/>
    </row>
    <row r="14080" spans="43:43" x14ac:dyDescent="0.2">
      <c r="AQ14080" s="31"/>
    </row>
    <row r="14081" spans="43:43" x14ac:dyDescent="0.2">
      <c r="AQ14081" s="31"/>
    </row>
    <row r="14082" spans="43:43" x14ac:dyDescent="0.2">
      <c r="AQ14082" s="31"/>
    </row>
    <row r="14083" spans="43:43" x14ac:dyDescent="0.2">
      <c r="AQ14083" s="31"/>
    </row>
    <row r="14084" spans="43:43" x14ac:dyDescent="0.2">
      <c r="AQ14084" s="31"/>
    </row>
    <row r="14085" spans="43:43" x14ac:dyDescent="0.2">
      <c r="AQ14085" s="31"/>
    </row>
    <row r="14086" spans="43:43" x14ac:dyDescent="0.2">
      <c r="AQ14086" s="31"/>
    </row>
    <row r="14087" spans="43:43" x14ac:dyDescent="0.2">
      <c r="AQ14087" s="31"/>
    </row>
    <row r="14088" spans="43:43" x14ac:dyDescent="0.2">
      <c r="AQ14088" s="31"/>
    </row>
    <row r="14089" spans="43:43" x14ac:dyDescent="0.2">
      <c r="AQ14089" s="31"/>
    </row>
    <row r="14090" spans="43:43" x14ac:dyDescent="0.2">
      <c r="AQ14090" s="31"/>
    </row>
    <row r="14091" spans="43:43" x14ac:dyDescent="0.2">
      <c r="AQ14091" s="31"/>
    </row>
    <row r="14092" spans="43:43" x14ac:dyDescent="0.2">
      <c r="AQ14092" s="31"/>
    </row>
    <row r="14093" spans="43:43" x14ac:dyDescent="0.2">
      <c r="AQ14093" s="31"/>
    </row>
    <row r="14094" spans="43:43" x14ac:dyDescent="0.2">
      <c r="AQ14094" s="31"/>
    </row>
    <row r="14095" spans="43:43" x14ac:dyDescent="0.2">
      <c r="AQ14095" s="31"/>
    </row>
    <row r="14096" spans="43:43" x14ac:dyDescent="0.2">
      <c r="AQ14096" s="31"/>
    </row>
    <row r="14097" spans="43:43" x14ac:dyDescent="0.2">
      <c r="AQ14097" s="31"/>
    </row>
    <row r="14098" spans="43:43" x14ac:dyDescent="0.2">
      <c r="AQ14098" s="31"/>
    </row>
    <row r="14099" spans="43:43" x14ac:dyDescent="0.2">
      <c r="AQ14099" s="31"/>
    </row>
    <row r="14100" spans="43:43" x14ac:dyDescent="0.2">
      <c r="AQ14100" s="31"/>
    </row>
    <row r="14101" spans="43:43" x14ac:dyDescent="0.2">
      <c r="AQ14101" s="31"/>
    </row>
    <row r="14102" spans="43:43" x14ac:dyDescent="0.2">
      <c r="AQ14102" s="31"/>
    </row>
    <row r="14103" spans="43:43" x14ac:dyDescent="0.2">
      <c r="AQ14103" s="31"/>
    </row>
    <row r="14104" spans="43:43" x14ac:dyDescent="0.2">
      <c r="AQ14104" s="31"/>
    </row>
    <row r="14105" spans="43:43" x14ac:dyDescent="0.2">
      <c r="AQ14105" s="31"/>
    </row>
    <row r="14106" spans="43:43" x14ac:dyDescent="0.2">
      <c r="AQ14106" s="31"/>
    </row>
    <row r="14107" spans="43:43" x14ac:dyDescent="0.2">
      <c r="AQ14107" s="31"/>
    </row>
    <row r="14108" spans="43:43" x14ac:dyDescent="0.2">
      <c r="AQ14108" s="31"/>
    </row>
    <row r="14109" spans="43:43" x14ac:dyDescent="0.2">
      <c r="AQ14109" s="31"/>
    </row>
    <row r="14110" spans="43:43" x14ac:dyDescent="0.2">
      <c r="AQ14110" s="31"/>
    </row>
    <row r="14111" spans="43:43" x14ac:dyDescent="0.2">
      <c r="AQ14111" s="31"/>
    </row>
    <row r="14112" spans="43:43" x14ac:dyDescent="0.2">
      <c r="AQ14112" s="31"/>
    </row>
    <row r="14113" spans="43:43" x14ac:dyDescent="0.2">
      <c r="AQ14113" s="31"/>
    </row>
    <row r="14114" spans="43:43" x14ac:dyDescent="0.2">
      <c r="AQ14114" s="31"/>
    </row>
    <row r="14115" spans="43:43" x14ac:dyDescent="0.2">
      <c r="AQ14115" s="31"/>
    </row>
    <row r="14116" spans="43:43" x14ac:dyDescent="0.2">
      <c r="AQ14116" s="31"/>
    </row>
    <row r="14117" spans="43:43" x14ac:dyDescent="0.2">
      <c r="AQ14117" s="31"/>
    </row>
    <row r="14118" spans="43:43" x14ac:dyDescent="0.2">
      <c r="AQ14118" s="31"/>
    </row>
    <row r="14119" spans="43:43" x14ac:dyDescent="0.2">
      <c r="AQ14119" s="31"/>
    </row>
    <row r="14120" spans="43:43" x14ac:dyDescent="0.2">
      <c r="AQ14120" s="31"/>
    </row>
    <row r="14121" spans="43:43" x14ac:dyDescent="0.2">
      <c r="AQ14121" s="31"/>
    </row>
    <row r="14122" spans="43:43" x14ac:dyDescent="0.2">
      <c r="AQ14122" s="31"/>
    </row>
    <row r="14123" spans="43:43" x14ac:dyDescent="0.2">
      <c r="AQ14123" s="31"/>
    </row>
    <row r="14124" spans="43:43" x14ac:dyDescent="0.2">
      <c r="AQ14124" s="31"/>
    </row>
    <row r="14125" spans="43:43" x14ac:dyDescent="0.2">
      <c r="AQ14125" s="31"/>
    </row>
    <row r="14126" spans="43:43" x14ac:dyDescent="0.2">
      <c r="AQ14126" s="31"/>
    </row>
    <row r="14127" spans="43:43" x14ac:dyDescent="0.2">
      <c r="AQ14127" s="31"/>
    </row>
    <row r="14128" spans="43:43" x14ac:dyDescent="0.2">
      <c r="AQ14128" s="31"/>
    </row>
    <row r="14129" spans="43:43" x14ac:dyDescent="0.2">
      <c r="AQ14129" s="31"/>
    </row>
    <row r="14130" spans="43:43" x14ac:dyDescent="0.2">
      <c r="AQ14130" s="31"/>
    </row>
    <row r="14131" spans="43:43" x14ac:dyDescent="0.2">
      <c r="AQ14131" s="31"/>
    </row>
    <row r="14132" spans="43:43" x14ac:dyDescent="0.2">
      <c r="AQ14132" s="31"/>
    </row>
    <row r="14133" spans="43:43" x14ac:dyDescent="0.2">
      <c r="AQ14133" s="31"/>
    </row>
    <row r="14134" spans="43:43" x14ac:dyDescent="0.2">
      <c r="AQ14134" s="31"/>
    </row>
    <row r="14135" spans="43:43" x14ac:dyDescent="0.2">
      <c r="AQ14135" s="31"/>
    </row>
    <row r="14136" spans="43:43" x14ac:dyDescent="0.2">
      <c r="AQ14136" s="31"/>
    </row>
    <row r="14137" spans="43:43" x14ac:dyDescent="0.2">
      <c r="AQ14137" s="31"/>
    </row>
    <row r="14138" spans="43:43" x14ac:dyDescent="0.2">
      <c r="AQ14138" s="31"/>
    </row>
    <row r="14139" spans="43:43" x14ac:dyDescent="0.2">
      <c r="AQ14139" s="31"/>
    </row>
    <row r="14140" spans="43:43" x14ac:dyDescent="0.2">
      <c r="AQ14140" s="31"/>
    </row>
    <row r="14141" spans="43:43" x14ac:dyDescent="0.2">
      <c r="AQ14141" s="31"/>
    </row>
    <row r="14142" spans="43:43" x14ac:dyDescent="0.2">
      <c r="AQ14142" s="31"/>
    </row>
    <row r="14143" spans="43:43" x14ac:dyDescent="0.2">
      <c r="AQ14143" s="31"/>
    </row>
    <row r="14144" spans="43:43" x14ac:dyDescent="0.2">
      <c r="AQ14144" s="31"/>
    </row>
    <row r="14145" spans="43:43" x14ac:dyDescent="0.2">
      <c r="AQ14145" s="31"/>
    </row>
    <row r="14146" spans="43:43" x14ac:dyDescent="0.2">
      <c r="AQ14146" s="31"/>
    </row>
    <row r="14147" spans="43:43" x14ac:dyDescent="0.2">
      <c r="AQ14147" s="31"/>
    </row>
    <row r="14148" spans="43:43" x14ac:dyDescent="0.2">
      <c r="AQ14148" s="31"/>
    </row>
    <row r="14149" spans="43:43" x14ac:dyDescent="0.2">
      <c r="AQ14149" s="31"/>
    </row>
    <row r="14150" spans="43:43" x14ac:dyDescent="0.2">
      <c r="AQ14150" s="31"/>
    </row>
    <row r="14151" spans="43:43" x14ac:dyDescent="0.2">
      <c r="AQ14151" s="31"/>
    </row>
    <row r="14152" spans="43:43" x14ac:dyDescent="0.2">
      <c r="AQ14152" s="31"/>
    </row>
    <row r="14153" spans="43:43" x14ac:dyDescent="0.2">
      <c r="AQ14153" s="31"/>
    </row>
    <row r="14154" spans="43:43" x14ac:dyDescent="0.2">
      <c r="AQ14154" s="31"/>
    </row>
    <row r="14155" spans="43:43" x14ac:dyDescent="0.2">
      <c r="AQ14155" s="31"/>
    </row>
    <row r="14156" spans="43:43" x14ac:dyDescent="0.2">
      <c r="AQ14156" s="31"/>
    </row>
    <row r="14157" spans="43:43" x14ac:dyDescent="0.2">
      <c r="AQ14157" s="31"/>
    </row>
    <row r="14158" spans="43:43" x14ac:dyDescent="0.2">
      <c r="AQ14158" s="31"/>
    </row>
    <row r="14159" spans="43:43" x14ac:dyDescent="0.2">
      <c r="AQ14159" s="31"/>
    </row>
    <row r="14160" spans="43:43" x14ac:dyDescent="0.2">
      <c r="AQ14160" s="31"/>
    </row>
    <row r="14161" spans="43:43" x14ac:dyDescent="0.2">
      <c r="AQ14161" s="31"/>
    </row>
    <row r="14162" spans="43:43" x14ac:dyDescent="0.2">
      <c r="AQ14162" s="31"/>
    </row>
    <row r="14163" spans="43:43" x14ac:dyDescent="0.2">
      <c r="AQ14163" s="31"/>
    </row>
    <row r="14164" spans="43:43" x14ac:dyDescent="0.2">
      <c r="AQ14164" s="31"/>
    </row>
    <row r="14165" spans="43:43" x14ac:dyDescent="0.2">
      <c r="AQ14165" s="31"/>
    </row>
    <row r="14166" spans="43:43" x14ac:dyDescent="0.2">
      <c r="AQ14166" s="31"/>
    </row>
    <row r="14167" spans="43:43" x14ac:dyDescent="0.2">
      <c r="AQ14167" s="31"/>
    </row>
    <row r="14168" spans="43:43" x14ac:dyDescent="0.2">
      <c r="AQ14168" s="31"/>
    </row>
    <row r="14169" spans="43:43" x14ac:dyDescent="0.2">
      <c r="AQ14169" s="31"/>
    </row>
    <row r="14170" spans="43:43" x14ac:dyDescent="0.2">
      <c r="AQ14170" s="31"/>
    </row>
    <row r="14171" spans="43:43" x14ac:dyDescent="0.2">
      <c r="AQ14171" s="31"/>
    </row>
    <row r="14172" spans="43:43" x14ac:dyDescent="0.2">
      <c r="AQ14172" s="31"/>
    </row>
    <row r="14173" spans="43:43" x14ac:dyDescent="0.2">
      <c r="AQ14173" s="31"/>
    </row>
    <row r="14174" spans="43:43" x14ac:dyDescent="0.2">
      <c r="AQ14174" s="31"/>
    </row>
    <row r="14175" spans="43:43" x14ac:dyDescent="0.2">
      <c r="AQ14175" s="31"/>
    </row>
    <row r="14176" spans="43:43" x14ac:dyDescent="0.2">
      <c r="AQ14176" s="31"/>
    </row>
    <row r="14177" spans="43:43" x14ac:dyDescent="0.2">
      <c r="AQ14177" s="31"/>
    </row>
    <row r="14178" spans="43:43" x14ac:dyDescent="0.2">
      <c r="AQ14178" s="31"/>
    </row>
    <row r="14179" spans="43:43" x14ac:dyDescent="0.2">
      <c r="AQ14179" s="31"/>
    </row>
    <row r="14180" spans="43:43" x14ac:dyDescent="0.2">
      <c r="AQ14180" s="31"/>
    </row>
    <row r="14181" spans="43:43" x14ac:dyDescent="0.2">
      <c r="AQ14181" s="31"/>
    </row>
    <row r="14182" spans="43:43" x14ac:dyDescent="0.2">
      <c r="AQ14182" s="31"/>
    </row>
    <row r="14183" spans="43:43" x14ac:dyDescent="0.2">
      <c r="AQ14183" s="31"/>
    </row>
    <row r="14184" spans="43:43" x14ac:dyDescent="0.2">
      <c r="AQ14184" s="31"/>
    </row>
    <row r="14185" spans="43:43" x14ac:dyDescent="0.2">
      <c r="AQ14185" s="31"/>
    </row>
    <row r="14186" spans="43:43" x14ac:dyDescent="0.2">
      <c r="AQ14186" s="31"/>
    </row>
    <row r="14187" spans="43:43" x14ac:dyDescent="0.2">
      <c r="AQ14187" s="31"/>
    </row>
    <row r="14188" spans="43:43" x14ac:dyDescent="0.2">
      <c r="AQ14188" s="31"/>
    </row>
    <row r="14189" spans="43:43" x14ac:dyDescent="0.2">
      <c r="AQ14189" s="31"/>
    </row>
    <row r="14190" spans="43:43" x14ac:dyDescent="0.2">
      <c r="AQ14190" s="31"/>
    </row>
    <row r="14191" spans="43:43" x14ac:dyDescent="0.2">
      <c r="AQ14191" s="31"/>
    </row>
    <row r="14192" spans="43:43" x14ac:dyDescent="0.2">
      <c r="AQ14192" s="31"/>
    </row>
    <row r="14193" spans="43:43" x14ac:dyDescent="0.2">
      <c r="AQ14193" s="31"/>
    </row>
    <row r="14194" spans="43:43" x14ac:dyDescent="0.2">
      <c r="AQ14194" s="31"/>
    </row>
    <row r="14195" spans="43:43" x14ac:dyDescent="0.2">
      <c r="AQ14195" s="31"/>
    </row>
    <row r="14196" spans="43:43" x14ac:dyDescent="0.2">
      <c r="AQ14196" s="31"/>
    </row>
    <row r="14197" spans="43:43" x14ac:dyDescent="0.2">
      <c r="AQ14197" s="31"/>
    </row>
    <row r="14198" spans="43:43" x14ac:dyDescent="0.2">
      <c r="AQ14198" s="31"/>
    </row>
    <row r="14199" spans="43:43" x14ac:dyDescent="0.2">
      <c r="AQ14199" s="31"/>
    </row>
    <row r="14200" spans="43:43" x14ac:dyDescent="0.2">
      <c r="AQ14200" s="31"/>
    </row>
    <row r="14201" spans="43:43" x14ac:dyDescent="0.2">
      <c r="AQ14201" s="31"/>
    </row>
    <row r="14202" spans="43:43" x14ac:dyDescent="0.2">
      <c r="AQ14202" s="31"/>
    </row>
    <row r="14203" spans="43:43" x14ac:dyDescent="0.2">
      <c r="AQ14203" s="31"/>
    </row>
    <row r="14204" spans="43:43" x14ac:dyDescent="0.2">
      <c r="AQ14204" s="31"/>
    </row>
    <row r="14205" spans="43:43" x14ac:dyDescent="0.2">
      <c r="AQ14205" s="31"/>
    </row>
    <row r="14206" spans="43:43" x14ac:dyDescent="0.2">
      <c r="AQ14206" s="31"/>
    </row>
    <row r="14207" spans="43:43" x14ac:dyDescent="0.2">
      <c r="AQ14207" s="31"/>
    </row>
    <row r="14208" spans="43:43" x14ac:dyDescent="0.2">
      <c r="AQ14208" s="31"/>
    </row>
    <row r="14209" spans="43:43" x14ac:dyDescent="0.2">
      <c r="AQ14209" s="31"/>
    </row>
    <row r="14210" spans="43:43" x14ac:dyDescent="0.2">
      <c r="AQ14210" s="31"/>
    </row>
    <row r="14211" spans="43:43" x14ac:dyDescent="0.2">
      <c r="AQ14211" s="31"/>
    </row>
    <row r="14212" spans="43:43" x14ac:dyDescent="0.2">
      <c r="AQ14212" s="31"/>
    </row>
    <row r="14213" spans="43:43" x14ac:dyDescent="0.2">
      <c r="AQ14213" s="31"/>
    </row>
    <row r="14214" spans="43:43" x14ac:dyDescent="0.2">
      <c r="AQ14214" s="31"/>
    </row>
    <row r="14215" spans="43:43" x14ac:dyDescent="0.2">
      <c r="AQ14215" s="31"/>
    </row>
    <row r="14216" spans="43:43" x14ac:dyDescent="0.2">
      <c r="AQ14216" s="31"/>
    </row>
    <row r="14217" spans="43:43" x14ac:dyDescent="0.2">
      <c r="AQ14217" s="31"/>
    </row>
    <row r="14218" spans="43:43" x14ac:dyDescent="0.2">
      <c r="AQ14218" s="31"/>
    </row>
    <row r="14219" spans="43:43" x14ac:dyDescent="0.2">
      <c r="AQ14219" s="31"/>
    </row>
    <row r="14220" spans="43:43" x14ac:dyDescent="0.2">
      <c r="AQ14220" s="31"/>
    </row>
    <row r="14221" spans="43:43" x14ac:dyDescent="0.2">
      <c r="AQ14221" s="31"/>
    </row>
    <row r="14222" spans="43:43" x14ac:dyDescent="0.2">
      <c r="AQ14222" s="31"/>
    </row>
    <row r="14223" spans="43:43" x14ac:dyDescent="0.2">
      <c r="AQ14223" s="31"/>
    </row>
    <row r="14224" spans="43:43" x14ac:dyDescent="0.2">
      <c r="AQ14224" s="31"/>
    </row>
    <row r="14225" spans="43:43" x14ac:dyDescent="0.2">
      <c r="AQ14225" s="31"/>
    </row>
    <row r="14226" spans="43:43" x14ac:dyDescent="0.2">
      <c r="AQ14226" s="31"/>
    </row>
    <row r="14227" spans="43:43" x14ac:dyDescent="0.2">
      <c r="AQ14227" s="31"/>
    </row>
    <row r="14228" spans="43:43" x14ac:dyDescent="0.2">
      <c r="AQ14228" s="31"/>
    </row>
    <row r="14229" spans="43:43" x14ac:dyDescent="0.2">
      <c r="AQ14229" s="31"/>
    </row>
    <row r="14230" spans="43:43" x14ac:dyDescent="0.2">
      <c r="AQ14230" s="31"/>
    </row>
    <row r="14231" spans="43:43" x14ac:dyDescent="0.2">
      <c r="AQ14231" s="31"/>
    </row>
    <row r="14232" spans="43:43" x14ac:dyDescent="0.2">
      <c r="AQ14232" s="31"/>
    </row>
    <row r="14233" spans="43:43" x14ac:dyDescent="0.2">
      <c r="AQ14233" s="31"/>
    </row>
    <row r="14234" spans="43:43" x14ac:dyDescent="0.2">
      <c r="AQ14234" s="31"/>
    </row>
    <row r="14235" spans="43:43" x14ac:dyDescent="0.2">
      <c r="AQ14235" s="31"/>
    </row>
    <row r="14236" spans="43:43" x14ac:dyDescent="0.2">
      <c r="AQ14236" s="31"/>
    </row>
    <row r="14237" spans="43:43" x14ac:dyDescent="0.2">
      <c r="AQ14237" s="31"/>
    </row>
    <row r="14238" spans="43:43" x14ac:dyDescent="0.2">
      <c r="AQ14238" s="31"/>
    </row>
    <row r="14239" spans="43:43" x14ac:dyDescent="0.2">
      <c r="AQ14239" s="31"/>
    </row>
    <row r="14240" spans="43:43" x14ac:dyDescent="0.2">
      <c r="AQ14240" s="31"/>
    </row>
    <row r="14241" spans="43:43" x14ac:dyDescent="0.2">
      <c r="AQ14241" s="31"/>
    </row>
    <row r="14242" spans="43:43" x14ac:dyDescent="0.2">
      <c r="AQ14242" s="31"/>
    </row>
    <row r="14243" spans="43:43" x14ac:dyDescent="0.2">
      <c r="AQ14243" s="31"/>
    </row>
    <row r="14244" spans="43:43" x14ac:dyDescent="0.2">
      <c r="AQ14244" s="31"/>
    </row>
    <row r="14245" spans="43:43" x14ac:dyDescent="0.2">
      <c r="AQ14245" s="31"/>
    </row>
    <row r="14246" spans="43:43" x14ac:dyDescent="0.2">
      <c r="AQ14246" s="31"/>
    </row>
    <row r="14247" spans="43:43" x14ac:dyDescent="0.2">
      <c r="AQ14247" s="31"/>
    </row>
    <row r="14248" spans="43:43" x14ac:dyDescent="0.2">
      <c r="AQ14248" s="31"/>
    </row>
    <row r="14249" spans="43:43" x14ac:dyDescent="0.2">
      <c r="AQ14249" s="31"/>
    </row>
    <row r="14250" spans="43:43" x14ac:dyDescent="0.2">
      <c r="AQ14250" s="31"/>
    </row>
    <row r="14251" spans="43:43" x14ac:dyDescent="0.2">
      <c r="AQ14251" s="31"/>
    </row>
    <row r="14252" spans="43:43" x14ac:dyDescent="0.2">
      <c r="AQ14252" s="31"/>
    </row>
    <row r="14253" spans="43:43" x14ac:dyDescent="0.2">
      <c r="AQ14253" s="31"/>
    </row>
    <row r="14254" spans="43:43" x14ac:dyDescent="0.2">
      <c r="AQ14254" s="31"/>
    </row>
    <row r="14255" spans="43:43" x14ac:dyDescent="0.2">
      <c r="AQ14255" s="31"/>
    </row>
    <row r="14256" spans="43:43" x14ac:dyDescent="0.2">
      <c r="AQ14256" s="31"/>
    </row>
    <row r="14257" spans="43:43" x14ac:dyDescent="0.2">
      <c r="AQ14257" s="31"/>
    </row>
    <row r="14258" spans="43:43" x14ac:dyDescent="0.2">
      <c r="AQ14258" s="31"/>
    </row>
    <row r="14259" spans="43:43" x14ac:dyDescent="0.2">
      <c r="AQ14259" s="31"/>
    </row>
    <row r="14260" spans="43:43" x14ac:dyDescent="0.2">
      <c r="AQ14260" s="31"/>
    </row>
    <row r="14261" spans="43:43" x14ac:dyDescent="0.2">
      <c r="AQ14261" s="31"/>
    </row>
    <row r="14262" spans="43:43" x14ac:dyDescent="0.2">
      <c r="AQ14262" s="31"/>
    </row>
    <row r="14263" spans="43:43" x14ac:dyDescent="0.2">
      <c r="AQ14263" s="31"/>
    </row>
    <row r="14264" spans="43:43" x14ac:dyDescent="0.2">
      <c r="AQ14264" s="31"/>
    </row>
    <row r="14265" spans="43:43" x14ac:dyDescent="0.2">
      <c r="AQ14265" s="31"/>
    </row>
    <row r="14266" spans="43:43" x14ac:dyDescent="0.2">
      <c r="AQ14266" s="31"/>
    </row>
    <row r="14267" spans="43:43" x14ac:dyDescent="0.2">
      <c r="AQ14267" s="31"/>
    </row>
    <row r="14268" spans="43:43" x14ac:dyDescent="0.2">
      <c r="AQ14268" s="31"/>
    </row>
    <row r="14269" spans="43:43" x14ac:dyDescent="0.2">
      <c r="AQ14269" s="31"/>
    </row>
    <row r="14270" spans="43:43" x14ac:dyDescent="0.2">
      <c r="AQ14270" s="31"/>
    </row>
    <row r="14271" spans="43:43" x14ac:dyDescent="0.2">
      <c r="AQ14271" s="31"/>
    </row>
    <row r="14272" spans="43:43" x14ac:dyDescent="0.2">
      <c r="AQ14272" s="31"/>
    </row>
    <row r="14273" spans="43:43" x14ac:dyDescent="0.2">
      <c r="AQ14273" s="31"/>
    </row>
    <row r="14274" spans="43:43" x14ac:dyDescent="0.2">
      <c r="AQ14274" s="31"/>
    </row>
    <row r="14275" spans="43:43" x14ac:dyDescent="0.2">
      <c r="AQ14275" s="31"/>
    </row>
    <row r="14276" spans="43:43" x14ac:dyDescent="0.2">
      <c r="AQ14276" s="31"/>
    </row>
    <row r="14277" spans="43:43" x14ac:dyDescent="0.2">
      <c r="AQ14277" s="31"/>
    </row>
    <row r="14278" spans="43:43" x14ac:dyDescent="0.2">
      <c r="AQ14278" s="31"/>
    </row>
    <row r="14279" spans="43:43" x14ac:dyDescent="0.2">
      <c r="AQ14279" s="31"/>
    </row>
    <row r="14280" spans="43:43" x14ac:dyDescent="0.2">
      <c r="AQ14280" s="31"/>
    </row>
    <row r="14281" spans="43:43" x14ac:dyDescent="0.2">
      <c r="AQ14281" s="31"/>
    </row>
    <row r="14282" spans="43:43" x14ac:dyDescent="0.2">
      <c r="AQ14282" s="31"/>
    </row>
    <row r="14283" spans="43:43" x14ac:dyDescent="0.2">
      <c r="AQ14283" s="31"/>
    </row>
    <row r="14284" spans="43:43" x14ac:dyDescent="0.2">
      <c r="AQ14284" s="31"/>
    </row>
    <row r="14285" spans="43:43" x14ac:dyDescent="0.2">
      <c r="AQ14285" s="31"/>
    </row>
    <row r="14286" spans="43:43" x14ac:dyDescent="0.2">
      <c r="AQ14286" s="31"/>
    </row>
    <row r="14287" spans="43:43" x14ac:dyDescent="0.2">
      <c r="AQ14287" s="31"/>
    </row>
    <row r="14288" spans="43:43" x14ac:dyDescent="0.2">
      <c r="AQ14288" s="31"/>
    </row>
    <row r="14289" spans="43:43" x14ac:dyDescent="0.2">
      <c r="AQ14289" s="31"/>
    </row>
    <row r="14290" spans="43:43" x14ac:dyDescent="0.2">
      <c r="AQ14290" s="31"/>
    </row>
    <row r="14291" spans="43:43" x14ac:dyDescent="0.2">
      <c r="AQ14291" s="31"/>
    </row>
    <row r="14292" spans="43:43" x14ac:dyDescent="0.2">
      <c r="AQ14292" s="31"/>
    </row>
    <row r="14293" spans="43:43" x14ac:dyDescent="0.2">
      <c r="AQ14293" s="31"/>
    </row>
    <row r="14294" spans="43:43" x14ac:dyDescent="0.2">
      <c r="AQ14294" s="31"/>
    </row>
    <row r="14295" spans="43:43" x14ac:dyDescent="0.2">
      <c r="AQ14295" s="31"/>
    </row>
    <row r="14296" spans="43:43" x14ac:dyDescent="0.2">
      <c r="AQ14296" s="31"/>
    </row>
    <row r="14297" spans="43:43" x14ac:dyDescent="0.2">
      <c r="AQ14297" s="31"/>
    </row>
    <row r="14298" spans="43:43" x14ac:dyDescent="0.2">
      <c r="AQ14298" s="31"/>
    </row>
    <row r="14299" spans="43:43" x14ac:dyDescent="0.2">
      <c r="AQ14299" s="31"/>
    </row>
    <row r="14300" spans="43:43" x14ac:dyDescent="0.2">
      <c r="AQ14300" s="31"/>
    </row>
    <row r="14301" spans="43:43" x14ac:dyDescent="0.2">
      <c r="AQ14301" s="31"/>
    </row>
    <row r="14302" spans="43:43" x14ac:dyDescent="0.2">
      <c r="AQ14302" s="31"/>
    </row>
    <row r="14303" spans="43:43" x14ac:dyDescent="0.2">
      <c r="AQ14303" s="31"/>
    </row>
    <row r="14304" spans="43:43" x14ac:dyDescent="0.2">
      <c r="AQ14304" s="31"/>
    </row>
    <row r="14305" spans="43:43" x14ac:dyDescent="0.2">
      <c r="AQ14305" s="31"/>
    </row>
    <row r="14306" spans="43:43" x14ac:dyDescent="0.2">
      <c r="AQ14306" s="31"/>
    </row>
    <row r="14307" spans="43:43" x14ac:dyDescent="0.2">
      <c r="AQ14307" s="31"/>
    </row>
    <row r="14308" spans="43:43" x14ac:dyDescent="0.2">
      <c r="AQ14308" s="31"/>
    </row>
    <row r="14309" spans="43:43" x14ac:dyDescent="0.2">
      <c r="AQ14309" s="31"/>
    </row>
    <row r="14310" spans="43:43" x14ac:dyDescent="0.2">
      <c r="AQ14310" s="31"/>
    </row>
    <row r="14311" spans="43:43" x14ac:dyDescent="0.2">
      <c r="AQ14311" s="31"/>
    </row>
    <row r="14312" spans="43:43" x14ac:dyDescent="0.2">
      <c r="AQ14312" s="31"/>
    </row>
    <row r="14313" spans="43:43" x14ac:dyDescent="0.2">
      <c r="AQ14313" s="31"/>
    </row>
    <row r="14314" spans="43:43" x14ac:dyDescent="0.2">
      <c r="AQ14314" s="31"/>
    </row>
    <row r="14315" spans="43:43" x14ac:dyDescent="0.2">
      <c r="AQ14315" s="31"/>
    </row>
    <row r="14316" spans="43:43" x14ac:dyDescent="0.2">
      <c r="AQ14316" s="31"/>
    </row>
    <row r="14317" spans="43:43" x14ac:dyDescent="0.2">
      <c r="AQ14317" s="31"/>
    </row>
    <row r="14318" spans="43:43" x14ac:dyDescent="0.2">
      <c r="AQ14318" s="31"/>
    </row>
    <row r="14319" spans="43:43" x14ac:dyDescent="0.2">
      <c r="AQ14319" s="31"/>
    </row>
    <row r="14320" spans="43:43" x14ac:dyDescent="0.2">
      <c r="AQ14320" s="31"/>
    </row>
    <row r="14321" spans="43:43" x14ac:dyDescent="0.2">
      <c r="AQ14321" s="31"/>
    </row>
    <row r="14322" spans="43:43" x14ac:dyDescent="0.2">
      <c r="AQ14322" s="31"/>
    </row>
    <row r="14323" spans="43:43" x14ac:dyDescent="0.2">
      <c r="AQ14323" s="31"/>
    </row>
    <row r="14324" spans="43:43" x14ac:dyDescent="0.2">
      <c r="AQ14324" s="31"/>
    </row>
    <row r="14325" spans="43:43" x14ac:dyDescent="0.2">
      <c r="AQ14325" s="31"/>
    </row>
    <row r="14326" spans="43:43" x14ac:dyDescent="0.2">
      <c r="AQ14326" s="31"/>
    </row>
    <row r="14327" spans="43:43" x14ac:dyDescent="0.2">
      <c r="AQ14327" s="31"/>
    </row>
    <row r="14328" spans="43:43" x14ac:dyDescent="0.2">
      <c r="AQ14328" s="31"/>
    </row>
    <row r="14329" spans="43:43" x14ac:dyDescent="0.2">
      <c r="AQ14329" s="31"/>
    </row>
    <row r="14330" spans="43:43" x14ac:dyDescent="0.2">
      <c r="AQ14330" s="31"/>
    </row>
    <row r="14331" spans="43:43" x14ac:dyDescent="0.2">
      <c r="AQ14331" s="31"/>
    </row>
    <row r="14332" spans="43:43" x14ac:dyDescent="0.2">
      <c r="AQ14332" s="31"/>
    </row>
    <row r="14333" spans="43:43" x14ac:dyDescent="0.2">
      <c r="AQ14333" s="31"/>
    </row>
    <row r="14334" spans="43:43" x14ac:dyDescent="0.2">
      <c r="AQ14334" s="31"/>
    </row>
    <row r="14335" spans="43:43" x14ac:dyDescent="0.2">
      <c r="AQ14335" s="31"/>
    </row>
    <row r="14336" spans="43:43" x14ac:dyDescent="0.2">
      <c r="AQ14336" s="31"/>
    </row>
    <row r="14337" spans="43:43" x14ac:dyDescent="0.2">
      <c r="AQ14337" s="31"/>
    </row>
    <row r="14338" spans="43:43" x14ac:dyDescent="0.2">
      <c r="AQ14338" s="31"/>
    </row>
    <row r="14339" spans="43:43" x14ac:dyDescent="0.2">
      <c r="AQ14339" s="31"/>
    </row>
    <row r="14340" spans="43:43" x14ac:dyDescent="0.2">
      <c r="AQ14340" s="31"/>
    </row>
    <row r="14341" spans="43:43" x14ac:dyDescent="0.2">
      <c r="AQ14341" s="31"/>
    </row>
    <row r="14342" spans="43:43" x14ac:dyDescent="0.2">
      <c r="AQ14342" s="31"/>
    </row>
    <row r="14343" spans="43:43" x14ac:dyDescent="0.2">
      <c r="AQ14343" s="31"/>
    </row>
    <row r="14344" spans="43:43" x14ac:dyDescent="0.2">
      <c r="AQ14344" s="31"/>
    </row>
    <row r="14345" spans="43:43" x14ac:dyDescent="0.2">
      <c r="AQ14345" s="31"/>
    </row>
    <row r="14346" spans="43:43" x14ac:dyDescent="0.2">
      <c r="AQ14346" s="31"/>
    </row>
    <row r="14347" spans="43:43" x14ac:dyDescent="0.2">
      <c r="AQ14347" s="31"/>
    </row>
    <row r="14348" spans="43:43" x14ac:dyDescent="0.2">
      <c r="AQ14348" s="31"/>
    </row>
    <row r="14349" spans="43:43" x14ac:dyDescent="0.2">
      <c r="AQ14349" s="31"/>
    </row>
    <row r="14350" spans="43:43" x14ac:dyDescent="0.2">
      <c r="AQ14350" s="31"/>
    </row>
    <row r="14351" spans="43:43" x14ac:dyDescent="0.2">
      <c r="AQ14351" s="31"/>
    </row>
    <row r="14352" spans="43:43" x14ac:dyDescent="0.2">
      <c r="AQ14352" s="31"/>
    </row>
    <row r="14353" spans="43:43" x14ac:dyDescent="0.2">
      <c r="AQ14353" s="31"/>
    </row>
    <row r="14354" spans="43:43" x14ac:dyDescent="0.2">
      <c r="AQ14354" s="31"/>
    </row>
    <row r="14355" spans="43:43" x14ac:dyDescent="0.2">
      <c r="AQ14355" s="31"/>
    </row>
    <row r="14356" spans="43:43" x14ac:dyDescent="0.2">
      <c r="AQ14356" s="31"/>
    </row>
    <row r="14357" spans="43:43" x14ac:dyDescent="0.2">
      <c r="AQ14357" s="31"/>
    </row>
    <row r="14358" spans="43:43" x14ac:dyDescent="0.2">
      <c r="AQ14358" s="31"/>
    </row>
    <row r="14359" spans="43:43" x14ac:dyDescent="0.2">
      <c r="AQ14359" s="31"/>
    </row>
    <row r="14360" spans="43:43" x14ac:dyDescent="0.2">
      <c r="AQ14360" s="31"/>
    </row>
    <row r="14361" spans="43:43" x14ac:dyDescent="0.2">
      <c r="AQ14361" s="31"/>
    </row>
    <row r="14362" spans="43:43" x14ac:dyDescent="0.2">
      <c r="AQ14362" s="31"/>
    </row>
    <row r="14363" spans="43:43" x14ac:dyDescent="0.2">
      <c r="AQ14363" s="31"/>
    </row>
    <row r="14364" spans="43:43" x14ac:dyDescent="0.2">
      <c r="AQ14364" s="31"/>
    </row>
    <row r="14365" spans="43:43" x14ac:dyDescent="0.2">
      <c r="AQ14365" s="31"/>
    </row>
    <row r="14366" spans="43:43" x14ac:dyDescent="0.2">
      <c r="AQ14366" s="31"/>
    </row>
    <row r="14367" spans="43:43" x14ac:dyDescent="0.2">
      <c r="AQ14367" s="31"/>
    </row>
    <row r="14368" spans="43:43" x14ac:dyDescent="0.2">
      <c r="AQ14368" s="31"/>
    </row>
    <row r="14369" spans="43:43" x14ac:dyDescent="0.2">
      <c r="AQ14369" s="31"/>
    </row>
    <row r="14370" spans="43:43" x14ac:dyDescent="0.2">
      <c r="AQ14370" s="31"/>
    </row>
    <row r="14371" spans="43:43" x14ac:dyDescent="0.2">
      <c r="AQ14371" s="31"/>
    </row>
    <row r="14372" spans="43:43" x14ac:dyDescent="0.2">
      <c r="AQ14372" s="31"/>
    </row>
    <row r="14373" spans="43:43" x14ac:dyDescent="0.2">
      <c r="AQ14373" s="31"/>
    </row>
    <row r="14374" spans="43:43" x14ac:dyDescent="0.2">
      <c r="AQ14374" s="31"/>
    </row>
    <row r="14375" spans="43:43" x14ac:dyDescent="0.2">
      <c r="AQ14375" s="31"/>
    </row>
    <row r="14376" spans="43:43" x14ac:dyDescent="0.2">
      <c r="AQ14376" s="31"/>
    </row>
    <row r="14377" spans="43:43" x14ac:dyDescent="0.2">
      <c r="AQ14377" s="31"/>
    </row>
    <row r="14378" spans="43:43" x14ac:dyDescent="0.2">
      <c r="AQ14378" s="31"/>
    </row>
    <row r="14379" spans="43:43" x14ac:dyDescent="0.2">
      <c r="AQ14379" s="31"/>
    </row>
    <row r="14380" spans="43:43" x14ac:dyDescent="0.2">
      <c r="AQ14380" s="31"/>
    </row>
    <row r="14381" spans="43:43" x14ac:dyDescent="0.2">
      <c r="AQ14381" s="31"/>
    </row>
    <row r="14382" spans="43:43" x14ac:dyDescent="0.2">
      <c r="AQ14382" s="31"/>
    </row>
    <row r="14383" spans="43:43" x14ac:dyDescent="0.2">
      <c r="AQ14383" s="31"/>
    </row>
    <row r="14384" spans="43:43" x14ac:dyDescent="0.2">
      <c r="AQ14384" s="31"/>
    </row>
    <row r="14385" spans="43:43" x14ac:dyDescent="0.2">
      <c r="AQ14385" s="31"/>
    </row>
    <row r="14386" spans="43:43" x14ac:dyDescent="0.2">
      <c r="AQ14386" s="31"/>
    </row>
    <row r="14387" spans="43:43" x14ac:dyDescent="0.2">
      <c r="AQ14387" s="31"/>
    </row>
    <row r="14388" spans="43:43" x14ac:dyDescent="0.2">
      <c r="AQ14388" s="31"/>
    </row>
    <row r="14389" spans="43:43" x14ac:dyDescent="0.2">
      <c r="AQ14389" s="31"/>
    </row>
    <row r="14390" spans="43:43" x14ac:dyDescent="0.2">
      <c r="AQ14390" s="31"/>
    </row>
    <row r="14391" spans="43:43" x14ac:dyDescent="0.2">
      <c r="AQ14391" s="31"/>
    </row>
    <row r="14392" spans="43:43" x14ac:dyDescent="0.2">
      <c r="AQ14392" s="31"/>
    </row>
    <row r="14393" spans="43:43" x14ac:dyDescent="0.2">
      <c r="AQ14393" s="31"/>
    </row>
    <row r="14394" spans="43:43" x14ac:dyDescent="0.2">
      <c r="AQ14394" s="31"/>
    </row>
    <row r="14395" spans="43:43" x14ac:dyDescent="0.2">
      <c r="AQ14395" s="31"/>
    </row>
    <row r="14396" spans="43:43" x14ac:dyDescent="0.2">
      <c r="AQ14396" s="31"/>
    </row>
    <row r="14397" spans="43:43" x14ac:dyDescent="0.2">
      <c r="AQ14397" s="31"/>
    </row>
    <row r="14398" spans="43:43" x14ac:dyDescent="0.2">
      <c r="AQ14398" s="31"/>
    </row>
    <row r="14399" spans="43:43" x14ac:dyDescent="0.2">
      <c r="AQ14399" s="31"/>
    </row>
    <row r="14400" spans="43:43" x14ac:dyDescent="0.2">
      <c r="AQ14400" s="31"/>
    </row>
    <row r="14401" spans="43:43" x14ac:dyDescent="0.2">
      <c r="AQ14401" s="31"/>
    </row>
    <row r="14402" spans="43:43" x14ac:dyDescent="0.2">
      <c r="AQ14402" s="31"/>
    </row>
    <row r="14403" spans="43:43" x14ac:dyDescent="0.2">
      <c r="AQ14403" s="31"/>
    </row>
    <row r="14404" spans="43:43" x14ac:dyDescent="0.2">
      <c r="AQ14404" s="31"/>
    </row>
    <row r="14405" spans="43:43" x14ac:dyDescent="0.2">
      <c r="AQ14405" s="31"/>
    </row>
    <row r="14406" spans="43:43" x14ac:dyDescent="0.2">
      <c r="AQ14406" s="31"/>
    </row>
    <row r="14407" spans="43:43" x14ac:dyDescent="0.2">
      <c r="AQ14407" s="31"/>
    </row>
    <row r="14408" spans="43:43" x14ac:dyDescent="0.2">
      <c r="AQ14408" s="31"/>
    </row>
    <row r="14409" spans="43:43" x14ac:dyDescent="0.2">
      <c r="AQ14409" s="31"/>
    </row>
    <row r="14410" spans="43:43" x14ac:dyDescent="0.2">
      <c r="AQ14410" s="31"/>
    </row>
    <row r="14411" spans="43:43" x14ac:dyDescent="0.2">
      <c r="AQ14411" s="31"/>
    </row>
    <row r="14412" spans="43:43" x14ac:dyDescent="0.2">
      <c r="AQ14412" s="31"/>
    </row>
    <row r="14413" spans="43:43" x14ac:dyDescent="0.2">
      <c r="AQ14413" s="31"/>
    </row>
    <row r="14414" spans="43:43" x14ac:dyDescent="0.2">
      <c r="AQ14414" s="31"/>
    </row>
    <row r="14415" spans="43:43" x14ac:dyDescent="0.2">
      <c r="AQ14415" s="31"/>
    </row>
    <row r="14416" spans="43:43" x14ac:dyDescent="0.2">
      <c r="AQ14416" s="31"/>
    </row>
    <row r="14417" spans="43:43" x14ac:dyDescent="0.2">
      <c r="AQ14417" s="31"/>
    </row>
    <row r="14418" spans="43:43" x14ac:dyDescent="0.2">
      <c r="AQ14418" s="31"/>
    </row>
    <row r="14419" spans="43:43" x14ac:dyDescent="0.2">
      <c r="AQ14419" s="31"/>
    </row>
    <row r="14420" spans="43:43" x14ac:dyDescent="0.2">
      <c r="AQ14420" s="31"/>
    </row>
    <row r="14421" spans="43:43" x14ac:dyDescent="0.2">
      <c r="AQ14421" s="31"/>
    </row>
    <row r="14422" spans="43:43" x14ac:dyDescent="0.2">
      <c r="AQ14422" s="31"/>
    </row>
    <row r="14423" spans="43:43" x14ac:dyDescent="0.2">
      <c r="AQ14423" s="31"/>
    </row>
    <row r="14424" spans="43:43" x14ac:dyDescent="0.2">
      <c r="AQ14424" s="31"/>
    </row>
    <row r="14425" spans="43:43" x14ac:dyDescent="0.2">
      <c r="AQ14425" s="31"/>
    </row>
    <row r="14426" spans="43:43" x14ac:dyDescent="0.2">
      <c r="AQ14426" s="31"/>
    </row>
    <row r="14427" spans="43:43" x14ac:dyDescent="0.2">
      <c r="AQ14427" s="31"/>
    </row>
    <row r="14428" spans="43:43" x14ac:dyDescent="0.2">
      <c r="AQ14428" s="31"/>
    </row>
    <row r="14429" spans="43:43" x14ac:dyDescent="0.2">
      <c r="AQ14429" s="31"/>
    </row>
    <row r="14430" spans="43:43" x14ac:dyDescent="0.2">
      <c r="AQ14430" s="31"/>
    </row>
    <row r="14431" spans="43:43" x14ac:dyDescent="0.2">
      <c r="AQ14431" s="31"/>
    </row>
    <row r="14432" spans="43:43" x14ac:dyDescent="0.2">
      <c r="AQ14432" s="31"/>
    </row>
    <row r="14433" spans="43:43" x14ac:dyDescent="0.2">
      <c r="AQ14433" s="31"/>
    </row>
    <row r="14434" spans="43:43" x14ac:dyDescent="0.2">
      <c r="AQ14434" s="31"/>
    </row>
    <row r="14435" spans="43:43" x14ac:dyDescent="0.2">
      <c r="AQ14435" s="31"/>
    </row>
    <row r="14436" spans="43:43" x14ac:dyDescent="0.2">
      <c r="AQ14436" s="31"/>
    </row>
    <row r="14437" spans="43:43" x14ac:dyDescent="0.2">
      <c r="AQ14437" s="31"/>
    </row>
    <row r="14438" spans="43:43" x14ac:dyDescent="0.2">
      <c r="AQ14438" s="31"/>
    </row>
    <row r="14439" spans="43:43" x14ac:dyDescent="0.2">
      <c r="AQ14439" s="31"/>
    </row>
    <row r="14440" spans="43:43" x14ac:dyDescent="0.2">
      <c r="AQ14440" s="31"/>
    </row>
    <row r="14441" spans="43:43" x14ac:dyDescent="0.2">
      <c r="AQ14441" s="31"/>
    </row>
    <row r="14442" spans="43:43" x14ac:dyDescent="0.2">
      <c r="AQ14442" s="31"/>
    </row>
    <row r="14443" spans="43:43" x14ac:dyDescent="0.2">
      <c r="AQ14443" s="31"/>
    </row>
    <row r="14444" spans="43:43" x14ac:dyDescent="0.2">
      <c r="AQ14444" s="31"/>
    </row>
    <row r="14445" spans="43:43" x14ac:dyDescent="0.2">
      <c r="AQ14445" s="31"/>
    </row>
    <row r="14446" spans="43:43" x14ac:dyDescent="0.2">
      <c r="AQ14446" s="31"/>
    </row>
    <row r="14447" spans="43:43" x14ac:dyDescent="0.2">
      <c r="AQ14447" s="31"/>
    </row>
    <row r="14448" spans="43:43" x14ac:dyDescent="0.2">
      <c r="AQ14448" s="31"/>
    </row>
    <row r="14449" spans="43:43" x14ac:dyDescent="0.2">
      <c r="AQ14449" s="31"/>
    </row>
    <row r="14450" spans="43:43" x14ac:dyDescent="0.2">
      <c r="AQ14450" s="31"/>
    </row>
    <row r="14451" spans="43:43" x14ac:dyDescent="0.2">
      <c r="AQ14451" s="31"/>
    </row>
    <row r="14452" spans="43:43" x14ac:dyDescent="0.2">
      <c r="AQ14452" s="31"/>
    </row>
    <row r="14453" spans="43:43" x14ac:dyDescent="0.2">
      <c r="AQ14453" s="31"/>
    </row>
    <row r="14454" spans="43:43" x14ac:dyDescent="0.2">
      <c r="AQ14454" s="31"/>
    </row>
    <row r="14455" spans="43:43" x14ac:dyDescent="0.2">
      <c r="AQ14455" s="31"/>
    </row>
    <row r="14456" spans="43:43" x14ac:dyDescent="0.2">
      <c r="AQ14456" s="31"/>
    </row>
    <row r="14457" spans="43:43" x14ac:dyDescent="0.2">
      <c r="AQ14457" s="31"/>
    </row>
    <row r="14458" spans="43:43" x14ac:dyDescent="0.2">
      <c r="AQ14458" s="31"/>
    </row>
    <row r="14459" spans="43:43" x14ac:dyDescent="0.2">
      <c r="AQ14459" s="31"/>
    </row>
    <row r="14460" spans="43:43" x14ac:dyDescent="0.2">
      <c r="AQ14460" s="31"/>
    </row>
    <row r="14461" spans="43:43" x14ac:dyDescent="0.2">
      <c r="AQ14461" s="31"/>
    </row>
    <row r="14462" spans="43:43" x14ac:dyDescent="0.2">
      <c r="AQ14462" s="31"/>
    </row>
    <row r="14463" spans="43:43" x14ac:dyDescent="0.2">
      <c r="AQ14463" s="31"/>
    </row>
    <row r="14464" spans="43:43" x14ac:dyDescent="0.2">
      <c r="AQ14464" s="31"/>
    </row>
    <row r="14465" spans="43:43" x14ac:dyDescent="0.2">
      <c r="AQ14465" s="31"/>
    </row>
    <row r="14466" spans="43:43" x14ac:dyDescent="0.2">
      <c r="AQ14466" s="31"/>
    </row>
    <row r="14467" spans="43:43" x14ac:dyDescent="0.2">
      <c r="AQ14467" s="31"/>
    </row>
    <row r="14468" spans="43:43" x14ac:dyDescent="0.2">
      <c r="AQ14468" s="31"/>
    </row>
    <row r="14469" spans="43:43" x14ac:dyDescent="0.2">
      <c r="AQ14469" s="31"/>
    </row>
    <row r="14470" spans="43:43" x14ac:dyDescent="0.2">
      <c r="AQ14470" s="31"/>
    </row>
    <row r="14471" spans="43:43" x14ac:dyDescent="0.2">
      <c r="AQ14471" s="31"/>
    </row>
    <row r="14472" spans="43:43" x14ac:dyDescent="0.2">
      <c r="AQ14472" s="31"/>
    </row>
    <row r="14473" spans="43:43" x14ac:dyDescent="0.2">
      <c r="AQ14473" s="31"/>
    </row>
    <row r="14474" spans="43:43" x14ac:dyDescent="0.2">
      <c r="AQ14474" s="31"/>
    </row>
    <row r="14475" spans="43:43" x14ac:dyDescent="0.2">
      <c r="AQ14475" s="31"/>
    </row>
    <row r="14476" spans="43:43" x14ac:dyDescent="0.2">
      <c r="AQ14476" s="31"/>
    </row>
    <row r="14477" spans="43:43" x14ac:dyDescent="0.2">
      <c r="AQ14477" s="31"/>
    </row>
    <row r="14478" spans="43:43" x14ac:dyDescent="0.2">
      <c r="AQ14478" s="31"/>
    </row>
    <row r="14479" spans="43:43" x14ac:dyDescent="0.2">
      <c r="AQ14479" s="31"/>
    </row>
    <row r="14480" spans="43:43" x14ac:dyDescent="0.2">
      <c r="AQ14480" s="31"/>
    </row>
    <row r="14481" spans="43:43" x14ac:dyDescent="0.2">
      <c r="AQ14481" s="31"/>
    </row>
    <row r="14482" spans="43:43" x14ac:dyDescent="0.2">
      <c r="AQ14482" s="31"/>
    </row>
    <row r="14483" spans="43:43" x14ac:dyDescent="0.2">
      <c r="AQ14483" s="31"/>
    </row>
    <row r="14484" spans="43:43" x14ac:dyDescent="0.2">
      <c r="AQ14484" s="31"/>
    </row>
    <row r="14485" spans="43:43" x14ac:dyDescent="0.2">
      <c r="AQ14485" s="31"/>
    </row>
    <row r="14486" spans="43:43" x14ac:dyDescent="0.2">
      <c r="AQ14486" s="31"/>
    </row>
    <row r="14487" spans="43:43" x14ac:dyDescent="0.2">
      <c r="AQ14487" s="31"/>
    </row>
    <row r="14488" spans="43:43" x14ac:dyDescent="0.2">
      <c r="AQ14488" s="31"/>
    </row>
    <row r="14489" spans="43:43" x14ac:dyDescent="0.2">
      <c r="AQ14489" s="31"/>
    </row>
    <row r="14490" spans="43:43" x14ac:dyDescent="0.2">
      <c r="AQ14490" s="31"/>
    </row>
    <row r="14491" spans="43:43" x14ac:dyDescent="0.2">
      <c r="AQ14491" s="31"/>
    </row>
    <row r="14492" spans="43:43" x14ac:dyDescent="0.2">
      <c r="AQ14492" s="31"/>
    </row>
    <row r="14493" spans="43:43" x14ac:dyDescent="0.2">
      <c r="AQ14493" s="31"/>
    </row>
    <row r="14494" spans="43:43" x14ac:dyDescent="0.2">
      <c r="AQ14494" s="31"/>
    </row>
    <row r="14495" spans="43:43" x14ac:dyDescent="0.2">
      <c r="AQ14495" s="31"/>
    </row>
    <row r="14496" spans="43:43" x14ac:dyDescent="0.2">
      <c r="AQ14496" s="31"/>
    </row>
    <row r="14497" spans="43:43" x14ac:dyDescent="0.2">
      <c r="AQ14497" s="31"/>
    </row>
    <row r="14498" spans="43:43" x14ac:dyDescent="0.2">
      <c r="AQ14498" s="31"/>
    </row>
    <row r="14499" spans="43:43" x14ac:dyDescent="0.2">
      <c r="AQ14499" s="31"/>
    </row>
    <row r="14500" spans="43:43" x14ac:dyDescent="0.2">
      <c r="AQ14500" s="31"/>
    </row>
    <row r="14501" spans="43:43" x14ac:dyDescent="0.2">
      <c r="AQ14501" s="31"/>
    </row>
    <row r="14502" spans="43:43" x14ac:dyDescent="0.2">
      <c r="AQ14502" s="31"/>
    </row>
    <row r="14503" spans="43:43" x14ac:dyDescent="0.2">
      <c r="AQ14503" s="31"/>
    </row>
    <row r="14504" spans="43:43" x14ac:dyDescent="0.2">
      <c r="AQ14504" s="31"/>
    </row>
    <row r="14505" spans="43:43" x14ac:dyDescent="0.2">
      <c r="AQ14505" s="31"/>
    </row>
    <row r="14506" spans="43:43" x14ac:dyDescent="0.2">
      <c r="AQ14506" s="31"/>
    </row>
    <row r="14507" spans="43:43" x14ac:dyDescent="0.2">
      <c r="AQ14507" s="31"/>
    </row>
    <row r="14508" spans="43:43" x14ac:dyDescent="0.2">
      <c r="AQ14508" s="31"/>
    </row>
    <row r="14509" spans="43:43" x14ac:dyDescent="0.2">
      <c r="AQ14509" s="31"/>
    </row>
    <row r="14510" spans="43:43" x14ac:dyDescent="0.2">
      <c r="AQ14510" s="31"/>
    </row>
    <row r="14511" spans="43:43" x14ac:dyDescent="0.2">
      <c r="AQ14511" s="31"/>
    </row>
    <row r="14512" spans="43:43" x14ac:dyDescent="0.2">
      <c r="AQ14512" s="31"/>
    </row>
    <row r="14513" spans="43:43" x14ac:dyDescent="0.2">
      <c r="AQ14513" s="31"/>
    </row>
    <row r="14514" spans="43:43" x14ac:dyDescent="0.2">
      <c r="AQ14514" s="31"/>
    </row>
    <row r="14515" spans="43:43" x14ac:dyDescent="0.2">
      <c r="AQ14515" s="31"/>
    </row>
    <row r="14516" spans="43:43" x14ac:dyDescent="0.2">
      <c r="AQ14516" s="31"/>
    </row>
    <row r="14517" spans="43:43" x14ac:dyDescent="0.2">
      <c r="AQ14517" s="31"/>
    </row>
    <row r="14518" spans="43:43" x14ac:dyDescent="0.2">
      <c r="AQ14518" s="31"/>
    </row>
    <row r="14519" spans="43:43" x14ac:dyDescent="0.2">
      <c r="AQ14519" s="31"/>
    </row>
    <row r="14520" spans="43:43" x14ac:dyDescent="0.2">
      <c r="AQ14520" s="31"/>
    </row>
    <row r="14521" spans="43:43" x14ac:dyDescent="0.2">
      <c r="AQ14521" s="31"/>
    </row>
    <row r="14522" spans="43:43" x14ac:dyDescent="0.2">
      <c r="AQ14522" s="31"/>
    </row>
    <row r="14523" spans="43:43" x14ac:dyDescent="0.2">
      <c r="AQ14523" s="31"/>
    </row>
    <row r="14524" spans="43:43" x14ac:dyDescent="0.2">
      <c r="AQ14524" s="31"/>
    </row>
    <row r="14525" spans="43:43" x14ac:dyDescent="0.2">
      <c r="AQ14525" s="31"/>
    </row>
    <row r="14526" spans="43:43" x14ac:dyDescent="0.2">
      <c r="AQ14526" s="31"/>
    </row>
    <row r="14527" spans="43:43" x14ac:dyDescent="0.2">
      <c r="AQ14527" s="31"/>
    </row>
    <row r="14528" spans="43:43" x14ac:dyDescent="0.2">
      <c r="AQ14528" s="31"/>
    </row>
    <row r="14529" spans="43:43" x14ac:dyDescent="0.2">
      <c r="AQ14529" s="31"/>
    </row>
    <row r="14530" spans="43:43" x14ac:dyDescent="0.2">
      <c r="AQ14530" s="31"/>
    </row>
    <row r="14531" spans="43:43" x14ac:dyDescent="0.2">
      <c r="AQ14531" s="31"/>
    </row>
    <row r="14532" spans="43:43" x14ac:dyDescent="0.2">
      <c r="AQ14532" s="31"/>
    </row>
    <row r="14533" spans="43:43" x14ac:dyDescent="0.2">
      <c r="AQ14533" s="31"/>
    </row>
    <row r="14534" spans="43:43" x14ac:dyDescent="0.2">
      <c r="AQ14534" s="31"/>
    </row>
    <row r="14535" spans="43:43" x14ac:dyDescent="0.2">
      <c r="AQ14535" s="31"/>
    </row>
    <row r="14536" spans="43:43" x14ac:dyDescent="0.2">
      <c r="AQ14536" s="31"/>
    </row>
    <row r="14537" spans="43:43" x14ac:dyDescent="0.2">
      <c r="AQ14537" s="31"/>
    </row>
    <row r="14538" spans="43:43" x14ac:dyDescent="0.2">
      <c r="AQ14538" s="31"/>
    </row>
    <row r="14539" spans="43:43" x14ac:dyDescent="0.2">
      <c r="AQ14539" s="31"/>
    </row>
    <row r="14540" spans="43:43" x14ac:dyDescent="0.2">
      <c r="AQ14540" s="31"/>
    </row>
    <row r="14541" spans="43:43" x14ac:dyDescent="0.2">
      <c r="AQ14541" s="31"/>
    </row>
    <row r="14542" spans="43:43" x14ac:dyDescent="0.2">
      <c r="AQ14542" s="31"/>
    </row>
    <row r="14543" spans="43:43" x14ac:dyDescent="0.2">
      <c r="AQ14543" s="31"/>
    </row>
    <row r="14544" spans="43:43" x14ac:dyDescent="0.2">
      <c r="AQ14544" s="31"/>
    </row>
    <row r="14545" spans="43:43" x14ac:dyDescent="0.2">
      <c r="AQ14545" s="31"/>
    </row>
    <row r="14546" spans="43:43" x14ac:dyDescent="0.2">
      <c r="AQ14546" s="31"/>
    </row>
    <row r="14547" spans="43:43" x14ac:dyDescent="0.2">
      <c r="AQ14547" s="31"/>
    </row>
    <row r="14548" spans="43:43" x14ac:dyDescent="0.2">
      <c r="AQ14548" s="31"/>
    </row>
    <row r="14549" spans="43:43" x14ac:dyDescent="0.2">
      <c r="AQ14549" s="31"/>
    </row>
    <row r="14550" spans="43:43" x14ac:dyDescent="0.2">
      <c r="AQ14550" s="31"/>
    </row>
    <row r="14551" spans="43:43" x14ac:dyDescent="0.2">
      <c r="AQ14551" s="31"/>
    </row>
    <row r="14552" spans="43:43" x14ac:dyDescent="0.2">
      <c r="AQ14552" s="31"/>
    </row>
    <row r="14553" spans="43:43" x14ac:dyDescent="0.2">
      <c r="AQ14553" s="31"/>
    </row>
    <row r="14554" spans="43:43" x14ac:dyDescent="0.2">
      <c r="AQ14554" s="31"/>
    </row>
    <row r="14555" spans="43:43" x14ac:dyDescent="0.2">
      <c r="AQ14555" s="31"/>
    </row>
    <row r="14556" spans="43:43" x14ac:dyDescent="0.2">
      <c r="AQ14556" s="31"/>
    </row>
    <row r="14557" spans="43:43" x14ac:dyDescent="0.2">
      <c r="AQ14557" s="31"/>
    </row>
    <row r="14558" spans="43:43" x14ac:dyDescent="0.2">
      <c r="AQ14558" s="31"/>
    </row>
    <row r="14559" spans="43:43" x14ac:dyDescent="0.2">
      <c r="AQ14559" s="31"/>
    </row>
    <row r="14560" spans="43:43" x14ac:dyDescent="0.2">
      <c r="AQ14560" s="31"/>
    </row>
    <row r="14561" spans="43:43" x14ac:dyDescent="0.2">
      <c r="AQ14561" s="31"/>
    </row>
    <row r="14562" spans="43:43" x14ac:dyDescent="0.2">
      <c r="AQ14562" s="31"/>
    </row>
    <row r="14563" spans="43:43" x14ac:dyDescent="0.2">
      <c r="AQ14563" s="31"/>
    </row>
    <row r="14564" spans="43:43" x14ac:dyDescent="0.2">
      <c r="AQ14564" s="31"/>
    </row>
    <row r="14565" spans="43:43" x14ac:dyDescent="0.2">
      <c r="AQ14565" s="31"/>
    </row>
    <row r="14566" spans="43:43" x14ac:dyDescent="0.2">
      <c r="AQ14566" s="31"/>
    </row>
    <row r="14567" spans="43:43" x14ac:dyDescent="0.2">
      <c r="AQ14567" s="31"/>
    </row>
    <row r="14568" spans="43:43" x14ac:dyDescent="0.2">
      <c r="AQ14568" s="31"/>
    </row>
    <row r="14569" spans="43:43" x14ac:dyDescent="0.2">
      <c r="AQ14569" s="31"/>
    </row>
    <row r="14570" spans="43:43" x14ac:dyDescent="0.2">
      <c r="AQ14570" s="31"/>
    </row>
    <row r="14571" spans="43:43" x14ac:dyDescent="0.2">
      <c r="AQ14571" s="31"/>
    </row>
    <row r="14572" spans="43:43" x14ac:dyDescent="0.2">
      <c r="AQ14572" s="31"/>
    </row>
    <row r="14573" spans="43:43" x14ac:dyDescent="0.2">
      <c r="AQ14573" s="31"/>
    </row>
    <row r="14574" spans="43:43" x14ac:dyDescent="0.2">
      <c r="AQ14574" s="31"/>
    </row>
    <row r="14575" spans="43:43" x14ac:dyDescent="0.2">
      <c r="AQ14575" s="31"/>
    </row>
    <row r="14576" spans="43:43" x14ac:dyDescent="0.2">
      <c r="AQ14576" s="31"/>
    </row>
    <row r="14577" spans="43:43" x14ac:dyDescent="0.2">
      <c r="AQ14577" s="31"/>
    </row>
    <row r="14578" spans="43:43" x14ac:dyDescent="0.2">
      <c r="AQ14578" s="31"/>
    </row>
    <row r="14579" spans="43:43" x14ac:dyDescent="0.2">
      <c r="AQ14579" s="31"/>
    </row>
    <row r="14580" spans="43:43" x14ac:dyDescent="0.2">
      <c r="AQ14580" s="31"/>
    </row>
    <row r="14581" spans="43:43" x14ac:dyDescent="0.2">
      <c r="AQ14581" s="31"/>
    </row>
    <row r="14582" spans="43:43" x14ac:dyDescent="0.2">
      <c r="AQ14582" s="31"/>
    </row>
    <row r="14583" spans="43:43" x14ac:dyDescent="0.2">
      <c r="AQ14583" s="31"/>
    </row>
    <row r="14584" spans="43:43" x14ac:dyDescent="0.2">
      <c r="AQ14584" s="31"/>
    </row>
    <row r="14585" spans="43:43" x14ac:dyDescent="0.2">
      <c r="AQ14585" s="31"/>
    </row>
    <row r="14586" spans="43:43" x14ac:dyDescent="0.2">
      <c r="AQ14586" s="31"/>
    </row>
    <row r="14587" spans="43:43" x14ac:dyDescent="0.2">
      <c r="AQ14587" s="31"/>
    </row>
    <row r="14588" spans="43:43" x14ac:dyDescent="0.2">
      <c r="AQ14588" s="31"/>
    </row>
    <row r="14589" spans="43:43" x14ac:dyDescent="0.2">
      <c r="AQ14589" s="31"/>
    </row>
    <row r="14590" spans="43:43" x14ac:dyDescent="0.2">
      <c r="AQ14590" s="31"/>
    </row>
    <row r="14591" spans="43:43" x14ac:dyDescent="0.2">
      <c r="AQ14591" s="31"/>
    </row>
    <row r="14592" spans="43:43" x14ac:dyDescent="0.2">
      <c r="AQ14592" s="31"/>
    </row>
    <row r="14593" spans="43:43" x14ac:dyDescent="0.2">
      <c r="AQ14593" s="31"/>
    </row>
    <row r="14594" spans="43:43" x14ac:dyDescent="0.2">
      <c r="AQ14594" s="31"/>
    </row>
    <row r="14595" spans="43:43" x14ac:dyDescent="0.2">
      <c r="AQ14595" s="31"/>
    </row>
    <row r="14596" spans="43:43" x14ac:dyDescent="0.2">
      <c r="AQ14596" s="31"/>
    </row>
    <row r="14597" spans="43:43" x14ac:dyDescent="0.2">
      <c r="AQ14597" s="31"/>
    </row>
    <row r="14598" spans="43:43" x14ac:dyDescent="0.2">
      <c r="AQ14598" s="31"/>
    </row>
    <row r="14599" spans="43:43" x14ac:dyDescent="0.2">
      <c r="AQ14599" s="31"/>
    </row>
    <row r="14600" spans="43:43" x14ac:dyDescent="0.2">
      <c r="AQ14600" s="31"/>
    </row>
    <row r="14601" spans="43:43" x14ac:dyDescent="0.2">
      <c r="AQ14601" s="31"/>
    </row>
    <row r="14602" spans="43:43" x14ac:dyDescent="0.2">
      <c r="AQ14602" s="31"/>
    </row>
    <row r="14603" spans="43:43" x14ac:dyDescent="0.2">
      <c r="AQ14603" s="31"/>
    </row>
    <row r="14604" spans="43:43" x14ac:dyDescent="0.2">
      <c r="AQ14604" s="31"/>
    </row>
    <row r="14605" spans="43:43" x14ac:dyDescent="0.2">
      <c r="AQ14605" s="31"/>
    </row>
    <row r="14606" spans="43:43" x14ac:dyDescent="0.2">
      <c r="AQ14606" s="31"/>
    </row>
    <row r="14607" spans="43:43" x14ac:dyDescent="0.2">
      <c r="AQ14607" s="31"/>
    </row>
    <row r="14608" spans="43:43" x14ac:dyDescent="0.2">
      <c r="AQ14608" s="31"/>
    </row>
    <row r="14609" spans="43:43" x14ac:dyDescent="0.2">
      <c r="AQ14609" s="31"/>
    </row>
    <row r="14610" spans="43:43" x14ac:dyDescent="0.2">
      <c r="AQ14610" s="31"/>
    </row>
    <row r="14611" spans="43:43" x14ac:dyDescent="0.2">
      <c r="AQ14611" s="31"/>
    </row>
    <row r="14612" spans="43:43" x14ac:dyDescent="0.2">
      <c r="AQ14612" s="31"/>
    </row>
    <row r="14613" spans="43:43" x14ac:dyDescent="0.2">
      <c r="AQ14613" s="31"/>
    </row>
    <row r="14614" spans="43:43" x14ac:dyDescent="0.2">
      <c r="AQ14614" s="31"/>
    </row>
    <row r="14615" spans="43:43" x14ac:dyDescent="0.2">
      <c r="AQ14615" s="31"/>
    </row>
    <row r="14616" spans="43:43" x14ac:dyDescent="0.2">
      <c r="AQ14616" s="31"/>
    </row>
    <row r="14617" spans="43:43" x14ac:dyDescent="0.2">
      <c r="AQ14617" s="31"/>
    </row>
    <row r="14618" spans="43:43" x14ac:dyDescent="0.2">
      <c r="AQ14618" s="31"/>
    </row>
    <row r="14619" spans="43:43" x14ac:dyDescent="0.2">
      <c r="AQ14619" s="31"/>
    </row>
    <row r="14620" spans="43:43" x14ac:dyDescent="0.2">
      <c r="AQ14620" s="31"/>
    </row>
    <row r="14621" spans="43:43" x14ac:dyDescent="0.2">
      <c r="AQ14621" s="31"/>
    </row>
    <row r="14622" spans="43:43" x14ac:dyDescent="0.2">
      <c r="AQ14622" s="31"/>
    </row>
    <row r="14623" spans="43:43" x14ac:dyDescent="0.2">
      <c r="AQ14623" s="31"/>
    </row>
    <row r="14624" spans="43:43" x14ac:dyDescent="0.2">
      <c r="AQ14624" s="31"/>
    </row>
    <row r="14625" spans="43:43" x14ac:dyDescent="0.2">
      <c r="AQ14625" s="31"/>
    </row>
    <row r="14626" spans="43:43" x14ac:dyDescent="0.2">
      <c r="AQ14626" s="31"/>
    </row>
    <row r="14627" spans="43:43" x14ac:dyDescent="0.2">
      <c r="AQ14627" s="31"/>
    </row>
    <row r="14628" spans="43:43" x14ac:dyDescent="0.2">
      <c r="AQ14628" s="31"/>
    </row>
    <row r="14629" spans="43:43" x14ac:dyDescent="0.2">
      <c r="AQ14629" s="31"/>
    </row>
    <row r="14630" spans="43:43" x14ac:dyDescent="0.2">
      <c r="AQ14630" s="31"/>
    </row>
    <row r="14631" spans="43:43" x14ac:dyDescent="0.2">
      <c r="AQ14631" s="31"/>
    </row>
    <row r="14632" spans="43:43" x14ac:dyDescent="0.2">
      <c r="AQ14632" s="31"/>
    </row>
    <row r="14633" spans="43:43" x14ac:dyDescent="0.2">
      <c r="AQ14633" s="31"/>
    </row>
    <row r="14634" spans="43:43" x14ac:dyDescent="0.2">
      <c r="AQ14634" s="31"/>
    </row>
    <row r="14635" spans="43:43" x14ac:dyDescent="0.2">
      <c r="AQ14635" s="31"/>
    </row>
    <row r="14636" spans="43:43" x14ac:dyDescent="0.2">
      <c r="AQ14636" s="31"/>
    </row>
    <row r="14637" spans="43:43" x14ac:dyDescent="0.2">
      <c r="AQ14637" s="31"/>
    </row>
    <row r="14638" spans="43:43" x14ac:dyDescent="0.2">
      <c r="AQ14638" s="31"/>
    </row>
    <row r="14639" spans="43:43" x14ac:dyDescent="0.2">
      <c r="AQ14639" s="31"/>
    </row>
    <row r="14640" spans="43:43" x14ac:dyDescent="0.2">
      <c r="AQ14640" s="31"/>
    </row>
    <row r="14641" spans="43:43" x14ac:dyDescent="0.2">
      <c r="AQ14641" s="31"/>
    </row>
    <row r="14642" spans="43:43" x14ac:dyDescent="0.2">
      <c r="AQ14642" s="31"/>
    </row>
    <row r="14643" spans="43:43" x14ac:dyDescent="0.2">
      <c r="AQ14643" s="31"/>
    </row>
    <row r="14644" spans="43:43" x14ac:dyDescent="0.2">
      <c r="AQ14644" s="31"/>
    </row>
    <row r="14645" spans="43:43" x14ac:dyDescent="0.2">
      <c r="AQ14645" s="31"/>
    </row>
    <row r="14646" spans="43:43" x14ac:dyDescent="0.2">
      <c r="AQ14646" s="31"/>
    </row>
    <row r="14647" spans="43:43" x14ac:dyDescent="0.2">
      <c r="AQ14647" s="31"/>
    </row>
    <row r="14648" spans="43:43" x14ac:dyDescent="0.2">
      <c r="AQ14648" s="31"/>
    </row>
    <row r="14649" spans="43:43" x14ac:dyDescent="0.2">
      <c r="AQ14649" s="31"/>
    </row>
    <row r="14650" spans="43:43" x14ac:dyDescent="0.2">
      <c r="AQ14650" s="31"/>
    </row>
    <row r="14651" spans="43:43" x14ac:dyDescent="0.2">
      <c r="AQ14651" s="31"/>
    </row>
    <row r="14652" spans="43:43" x14ac:dyDescent="0.2">
      <c r="AQ14652" s="31"/>
    </row>
    <row r="14653" spans="43:43" x14ac:dyDescent="0.2">
      <c r="AQ14653" s="31"/>
    </row>
    <row r="14654" spans="43:43" x14ac:dyDescent="0.2">
      <c r="AQ14654" s="31"/>
    </row>
    <row r="14655" spans="43:43" x14ac:dyDescent="0.2">
      <c r="AQ14655" s="31"/>
    </row>
    <row r="14656" spans="43:43" x14ac:dyDescent="0.2">
      <c r="AQ14656" s="31"/>
    </row>
    <row r="14657" spans="43:43" x14ac:dyDescent="0.2">
      <c r="AQ14657" s="31"/>
    </row>
    <row r="14658" spans="43:43" x14ac:dyDescent="0.2">
      <c r="AQ14658" s="31"/>
    </row>
    <row r="14659" spans="43:43" x14ac:dyDescent="0.2">
      <c r="AQ14659" s="31"/>
    </row>
    <row r="14660" spans="43:43" x14ac:dyDescent="0.2">
      <c r="AQ14660" s="31"/>
    </row>
    <row r="14661" spans="43:43" x14ac:dyDescent="0.2">
      <c r="AQ14661" s="31"/>
    </row>
    <row r="14662" spans="43:43" x14ac:dyDescent="0.2">
      <c r="AQ14662" s="31"/>
    </row>
    <row r="14663" spans="43:43" x14ac:dyDescent="0.2">
      <c r="AQ14663" s="31"/>
    </row>
    <row r="14664" spans="43:43" x14ac:dyDescent="0.2">
      <c r="AQ14664" s="31"/>
    </row>
    <row r="14665" spans="43:43" x14ac:dyDescent="0.2">
      <c r="AQ14665" s="31"/>
    </row>
    <row r="14666" spans="43:43" x14ac:dyDescent="0.2">
      <c r="AQ14666" s="31"/>
    </row>
    <row r="14667" spans="43:43" x14ac:dyDescent="0.2">
      <c r="AQ14667" s="31"/>
    </row>
    <row r="14668" spans="43:43" x14ac:dyDescent="0.2">
      <c r="AQ14668" s="31"/>
    </row>
    <row r="14669" spans="43:43" x14ac:dyDescent="0.2">
      <c r="AQ14669" s="31"/>
    </row>
    <row r="14670" spans="43:43" x14ac:dyDescent="0.2">
      <c r="AQ14670" s="31"/>
    </row>
    <row r="14671" spans="43:43" x14ac:dyDescent="0.2">
      <c r="AQ14671" s="31"/>
    </row>
    <row r="14672" spans="43:43" x14ac:dyDescent="0.2">
      <c r="AQ14672" s="31"/>
    </row>
    <row r="14673" spans="43:43" x14ac:dyDescent="0.2">
      <c r="AQ14673" s="31"/>
    </row>
    <row r="14674" spans="43:43" x14ac:dyDescent="0.2">
      <c r="AQ14674" s="31"/>
    </row>
    <row r="14675" spans="43:43" x14ac:dyDescent="0.2">
      <c r="AQ14675" s="31"/>
    </row>
    <row r="14676" spans="43:43" x14ac:dyDescent="0.2">
      <c r="AQ14676" s="31"/>
    </row>
    <row r="14677" spans="43:43" x14ac:dyDescent="0.2">
      <c r="AQ14677" s="31"/>
    </row>
    <row r="14678" spans="43:43" x14ac:dyDescent="0.2">
      <c r="AQ14678" s="31"/>
    </row>
    <row r="14679" spans="43:43" x14ac:dyDescent="0.2">
      <c r="AQ14679" s="31"/>
    </row>
    <row r="14680" spans="43:43" x14ac:dyDescent="0.2">
      <c r="AQ14680" s="31"/>
    </row>
    <row r="14681" spans="43:43" x14ac:dyDescent="0.2">
      <c r="AQ14681" s="31"/>
    </row>
    <row r="14682" spans="43:43" x14ac:dyDescent="0.2">
      <c r="AQ14682" s="31"/>
    </row>
    <row r="14683" spans="43:43" x14ac:dyDescent="0.2">
      <c r="AQ14683" s="31"/>
    </row>
    <row r="14684" spans="43:43" x14ac:dyDescent="0.2">
      <c r="AQ14684" s="31"/>
    </row>
    <row r="14685" spans="43:43" x14ac:dyDescent="0.2">
      <c r="AQ14685" s="31"/>
    </row>
    <row r="14686" spans="43:43" x14ac:dyDescent="0.2">
      <c r="AQ14686" s="31"/>
    </row>
    <row r="14687" spans="43:43" x14ac:dyDescent="0.2">
      <c r="AQ14687" s="31"/>
    </row>
    <row r="14688" spans="43:43" x14ac:dyDescent="0.2">
      <c r="AQ14688" s="31"/>
    </row>
    <row r="14689" spans="43:43" x14ac:dyDescent="0.2">
      <c r="AQ14689" s="31"/>
    </row>
    <row r="14690" spans="43:43" x14ac:dyDescent="0.2">
      <c r="AQ14690" s="31"/>
    </row>
    <row r="14691" spans="43:43" x14ac:dyDescent="0.2">
      <c r="AQ14691" s="31"/>
    </row>
    <row r="14692" spans="43:43" x14ac:dyDescent="0.2">
      <c r="AQ14692" s="31"/>
    </row>
    <row r="14693" spans="43:43" x14ac:dyDescent="0.2">
      <c r="AQ14693" s="31"/>
    </row>
    <row r="14694" spans="43:43" x14ac:dyDescent="0.2">
      <c r="AQ14694" s="31"/>
    </row>
    <row r="14695" spans="43:43" x14ac:dyDescent="0.2">
      <c r="AQ14695" s="31"/>
    </row>
    <row r="14696" spans="43:43" x14ac:dyDescent="0.2">
      <c r="AQ14696" s="31"/>
    </row>
    <row r="14697" spans="43:43" x14ac:dyDescent="0.2">
      <c r="AQ14697" s="31"/>
    </row>
    <row r="14698" spans="43:43" x14ac:dyDescent="0.2">
      <c r="AQ14698" s="31"/>
    </row>
    <row r="14699" spans="43:43" x14ac:dyDescent="0.2">
      <c r="AQ14699" s="31"/>
    </row>
    <row r="14700" spans="43:43" x14ac:dyDescent="0.2">
      <c r="AQ14700" s="31"/>
    </row>
    <row r="14701" spans="43:43" x14ac:dyDescent="0.2">
      <c r="AQ14701" s="31"/>
    </row>
    <row r="14702" spans="43:43" x14ac:dyDescent="0.2">
      <c r="AQ14702" s="31"/>
    </row>
    <row r="14703" spans="43:43" x14ac:dyDescent="0.2">
      <c r="AQ14703" s="31"/>
    </row>
    <row r="14704" spans="43:43" x14ac:dyDescent="0.2">
      <c r="AQ14704" s="31"/>
    </row>
    <row r="14705" spans="43:43" x14ac:dyDescent="0.2">
      <c r="AQ14705" s="31"/>
    </row>
    <row r="14706" spans="43:43" x14ac:dyDescent="0.2">
      <c r="AQ14706" s="31"/>
    </row>
    <row r="14707" spans="43:43" x14ac:dyDescent="0.2">
      <c r="AQ14707" s="31"/>
    </row>
    <row r="14708" spans="43:43" x14ac:dyDescent="0.2">
      <c r="AQ14708" s="31"/>
    </row>
    <row r="14709" spans="43:43" x14ac:dyDescent="0.2">
      <c r="AQ14709" s="31"/>
    </row>
    <row r="14710" spans="43:43" x14ac:dyDescent="0.2">
      <c r="AQ14710" s="31"/>
    </row>
    <row r="14711" spans="43:43" x14ac:dyDescent="0.2">
      <c r="AQ14711" s="31"/>
    </row>
    <row r="14712" spans="43:43" x14ac:dyDescent="0.2">
      <c r="AQ14712" s="31"/>
    </row>
    <row r="14713" spans="43:43" x14ac:dyDescent="0.2">
      <c r="AQ14713" s="31"/>
    </row>
    <row r="14714" spans="43:43" x14ac:dyDescent="0.2">
      <c r="AQ14714" s="31"/>
    </row>
    <row r="14715" spans="43:43" x14ac:dyDescent="0.2">
      <c r="AQ14715" s="31"/>
    </row>
    <row r="14716" spans="43:43" x14ac:dyDescent="0.2">
      <c r="AQ14716" s="31"/>
    </row>
    <row r="14717" spans="43:43" x14ac:dyDescent="0.2">
      <c r="AQ14717" s="31"/>
    </row>
    <row r="14718" spans="43:43" x14ac:dyDescent="0.2">
      <c r="AQ14718" s="31"/>
    </row>
    <row r="14719" spans="43:43" x14ac:dyDescent="0.2">
      <c r="AQ14719" s="31"/>
    </row>
    <row r="14720" spans="43:43" x14ac:dyDescent="0.2">
      <c r="AQ14720" s="31"/>
    </row>
    <row r="14721" spans="43:43" x14ac:dyDescent="0.2">
      <c r="AQ14721" s="31"/>
    </row>
    <row r="14722" spans="43:43" x14ac:dyDescent="0.2">
      <c r="AQ14722" s="31"/>
    </row>
    <row r="14723" spans="43:43" x14ac:dyDescent="0.2">
      <c r="AQ14723" s="31"/>
    </row>
    <row r="14724" spans="43:43" x14ac:dyDescent="0.2">
      <c r="AQ14724" s="31"/>
    </row>
    <row r="14725" spans="43:43" x14ac:dyDescent="0.2">
      <c r="AQ14725" s="31"/>
    </row>
    <row r="14726" spans="43:43" x14ac:dyDescent="0.2">
      <c r="AQ14726" s="31"/>
    </row>
    <row r="14727" spans="43:43" x14ac:dyDescent="0.2">
      <c r="AQ14727" s="31"/>
    </row>
    <row r="14728" spans="43:43" x14ac:dyDescent="0.2">
      <c r="AQ14728" s="31"/>
    </row>
    <row r="14729" spans="43:43" x14ac:dyDescent="0.2">
      <c r="AQ14729" s="31"/>
    </row>
    <row r="14730" spans="43:43" x14ac:dyDescent="0.2">
      <c r="AQ14730" s="31"/>
    </row>
    <row r="14731" spans="43:43" x14ac:dyDescent="0.2">
      <c r="AQ14731" s="31"/>
    </row>
    <row r="14732" spans="43:43" x14ac:dyDescent="0.2">
      <c r="AQ14732" s="31"/>
    </row>
    <row r="14733" spans="43:43" x14ac:dyDescent="0.2">
      <c r="AQ14733" s="31"/>
    </row>
    <row r="14734" spans="43:43" x14ac:dyDescent="0.2">
      <c r="AQ14734" s="31"/>
    </row>
    <row r="14735" spans="43:43" x14ac:dyDescent="0.2">
      <c r="AQ14735" s="31"/>
    </row>
    <row r="14736" spans="43:43" x14ac:dyDescent="0.2">
      <c r="AQ14736" s="31"/>
    </row>
    <row r="14737" spans="43:43" x14ac:dyDescent="0.2">
      <c r="AQ14737" s="31"/>
    </row>
    <row r="14738" spans="43:43" x14ac:dyDescent="0.2">
      <c r="AQ14738" s="31"/>
    </row>
    <row r="14739" spans="43:43" x14ac:dyDescent="0.2">
      <c r="AQ14739" s="31"/>
    </row>
    <row r="14740" spans="43:43" x14ac:dyDescent="0.2">
      <c r="AQ14740" s="31"/>
    </row>
    <row r="14741" spans="43:43" x14ac:dyDescent="0.2">
      <c r="AQ14741" s="31"/>
    </row>
    <row r="14742" spans="43:43" x14ac:dyDescent="0.2">
      <c r="AQ14742" s="31"/>
    </row>
    <row r="14743" spans="43:43" x14ac:dyDescent="0.2">
      <c r="AQ14743" s="31"/>
    </row>
    <row r="14744" spans="43:43" x14ac:dyDescent="0.2">
      <c r="AQ14744" s="31"/>
    </row>
    <row r="14745" spans="43:43" x14ac:dyDescent="0.2">
      <c r="AQ14745" s="31"/>
    </row>
    <row r="14746" spans="43:43" x14ac:dyDescent="0.2">
      <c r="AQ14746" s="31"/>
    </row>
    <row r="14747" spans="43:43" x14ac:dyDescent="0.2">
      <c r="AQ14747" s="31"/>
    </row>
    <row r="14748" spans="43:43" x14ac:dyDescent="0.2">
      <c r="AQ14748" s="31"/>
    </row>
    <row r="14749" spans="43:43" x14ac:dyDescent="0.2">
      <c r="AQ14749" s="31"/>
    </row>
    <row r="14750" spans="43:43" x14ac:dyDescent="0.2">
      <c r="AQ14750" s="31"/>
    </row>
    <row r="14751" spans="43:43" x14ac:dyDescent="0.2">
      <c r="AQ14751" s="31"/>
    </row>
    <row r="14752" spans="43:43" x14ac:dyDescent="0.2">
      <c r="AQ14752" s="31"/>
    </row>
    <row r="14753" spans="43:43" x14ac:dyDescent="0.2">
      <c r="AQ14753" s="31"/>
    </row>
    <row r="14754" spans="43:43" x14ac:dyDescent="0.2">
      <c r="AQ14754" s="31"/>
    </row>
    <row r="14755" spans="43:43" x14ac:dyDescent="0.2">
      <c r="AQ14755" s="31"/>
    </row>
    <row r="14756" spans="43:43" x14ac:dyDescent="0.2">
      <c r="AQ14756" s="31"/>
    </row>
    <row r="14757" spans="43:43" x14ac:dyDescent="0.2">
      <c r="AQ14757" s="31"/>
    </row>
    <row r="14758" spans="43:43" x14ac:dyDescent="0.2">
      <c r="AQ14758" s="31"/>
    </row>
    <row r="14759" spans="43:43" x14ac:dyDescent="0.2">
      <c r="AQ14759" s="31"/>
    </row>
    <row r="14760" spans="43:43" x14ac:dyDescent="0.2">
      <c r="AQ14760" s="31"/>
    </row>
    <row r="14761" spans="43:43" x14ac:dyDescent="0.2">
      <c r="AQ14761" s="31"/>
    </row>
    <row r="14762" spans="43:43" x14ac:dyDescent="0.2">
      <c r="AQ14762" s="31"/>
    </row>
    <row r="14763" spans="43:43" x14ac:dyDescent="0.2">
      <c r="AQ14763" s="31"/>
    </row>
    <row r="14764" spans="43:43" x14ac:dyDescent="0.2">
      <c r="AQ14764" s="31"/>
    </row>
    <row r="14765" spans="43:43" x14ac:dyDescent="0.2">
      <c r="AQ14765" s="31"/>
    </row>
    <row r="14766" spans="43:43" x14ac:dyDescent="0.2">
      <c r="AQ14766" s="31"/>
    </row>
    <row r="14767" spans="43:43" x14ac:dyDescent="0.2">
      <c r="AQ14767" s="31"/>
    </row>
    <row r="14768" spans="43:43" x14ac:dyDescent="0.2">
      <c r="AQ14768" s="31"/>
    </row>
    <row r="14769" spans="43:43" x14ac:dyDescent="0.2">
      <c r="AQ14769" s="31"/>
    </row>
    <row r="14770" spans="43:43" x14ac:dyDescent="0.2">
      <c r="AQ14770" s="31"/>
    </row>
    <row r="14771" spans="43:43" x14ac:dyDescent="0.2">
      <c r="AQ14771" s="31"/>
    </row>
    <row r="14772" spans="43:43" x14ac:dyDescent="0.2">
      <c r="AQ14772" s="31"/>
    </row>
    <row r="14773" spans="43:43" x14ac:dyDescent="0.2">
      <c r="AQ14773" s="31"/>
    </row>
    <row r="14774" spans="43:43" x14ac:dyDescent="0.2">
      <c r="AQ14774" s="31"/>
    </row>
    <row r="14775" spans="43:43" x14ac:dyDescent="0.2">
      <c r="AQ14775" s="31"/>
    </row>
    <row r="14776" spans="43:43" x14ac:dyDescent="0.2">
      <c r="AQ14776" s="31"/>
    </row>
    <row r="14777" spans="43:43" x14ac:dyDescent="0.2">
      <c r="AQ14777" s="31"/>
    </row>
    <row r="14778" spans="43:43" x14ac:dyDescent="0.2">
      <c r="AQ14778" s="31"/>
    </row>
    <row r="14779" spans="43:43" x14ac:dyDescent="0.2">
      <c r="AQ14779" s="31"/>
    </row>
    <row r="14780" spans="43:43" x14ac:dyDescent="0.2">
      <c r="AQ14780" s="31"/>
    </row>
    <row r="14781" spans="43:43" x14ac:dyDescent="0.2">
      <c r="AQ14781" s="31"/>
    </row>
    <row r="14782" spans="43:43" x14ac:dyDescent="0.2">
      <c r="AQ14782" s="31"/>
    </row>
    <row r="14783" spans="43:43" x14ac:dyDescent="0.2">
      <c r="AQ14783" s="31"/>
    </row>
    <row r="14784" spans="43:43" x14ac:dyDescent="0.2">
      <c r="AQ14784" s="31"/>
    </row>
    <row r="14785" spans="43:43" x14ac:dyDescent="0.2">
      <c r="AQ14785" s="31"/>
    </row>
    <row r="14786" spans="43:43" x14ac:dyDescent="0.2">
      <c r="AQ14786" s="31"/>
    </row>
    <row r="14787" spans="43:43" x14ac:dyDescent="0.2">
      <c r="AQ14787" s="31"/>
    </row>
    <row r="14788" spans="43:43" x14ac:dyDescent="0.2">
      <c r="AQ14788" s="31"/>
    </row>
    <row r="14789" spans="43:43" x14ac:dyDescent="0.2">
      <c r="AQ14789" s="31"/>
    </row>
    <row r="14790" spans="43:43" x14ac:dyDescent="0.2">
      <c r="AQ14790" s="31"/>
    </row>
    <row r="14791" spans="43:43" x14ac:dyDescent="0.2">
      <c r="AQ14791" s="31"/>
    </row>
    <row r="14792" spans="43:43" x14ac:dyDescent="0.2">
      <c r="AQ14792" s="31"/>
    </row>
    <row r="14793" spans="43:43" x14ac:dyDescent="0.2">
      <c r="AQ14793" s="31"/>
    </row>
    <row r="14794" spans="43:43" x14ac:dyDescent="0.2">
      <c r="AQ14794" s="31"/>
    </row>
    <row r="14795" spans="43:43" x14ac:dyDescent="0.2">
      <c r="AQ14795" s="31"/>
    </row>
    <row r="14796" spans="43:43" x14ac:dyDescent="0.2">
      <c r="AQ14796" s="31"/>
    </row>
    <row r="14797" spans="43:43" x14ac:dyDescent="0.2">
      <c r="AQ14797" s="31"/>
    </row>
    <row r="14798" spans="43:43" x14ac:dyDescent="0.2">
      <c r="AQ14798" s="31"/>
    </row>
    <row r="14799" spans="43:43" x14ac:dyDescent="0.2">
      <c r="AQ14799" s="31"/>
    </row>
    <row r="14800" spans="43:43" x14ac:dyDescent="0.2">
      <c r="AQ14800" s="31"/>
    </row>
    <row r="14801" spans="43:43" x14ac:dyDescent="0.2">
      <c r="AQ14801" s="31"/>
    </row>
    <row r="14802" spans="43:43" x14ac:dyDescent="0.2">
      <c r="AQ14802" s="31"/>
    </row>
    <row r="14803" spans="43:43" x14ac:dyDescent="0.2">
      <c r="AQ14803" s="31"/>
    </row>
    <row r="14804" spans="43:43" x14ac:dyDescent="0.2">
      <c r="AQ14804" s="31"/>
    </row>
    <row r="14805" spans="43:43" x14ac:dyDescent="0.2">
      <c r="AQ14805" s="31"/>
    </row>
    <row r="14806" spans="43:43" x14ac:dyDescent="0.2">
      <c r="AQ14806" s="31"/>
    </row>
    <row r="14807" spans="43:43" x14ac:dyDescent="0.2">
      <c r="AQ14807" s="31"/>
    </row>
    <row r="14808" spans="43:43" x14ac:dyDescent="0.2">
      <c r="AQ14808" s="31"/>
    </row>
    <row r="14809" spans="43:43" x14ac:dyDescent="0.2">
      <c r="AQ14809" s="31"/>
    </row>
    <row r="14810" spans="43:43" x14ac:dyDescent="0.2">
      <c r="AQ14810" s="31"/>
    </row>
    <row r="14811" spans="43:43" x14ac:dyDescent="0.2">
      <c r="AQ14811" s="31"/>
    </row>
    <row r="14812" spans="43:43" x14ac:dyDescent="0.2">
      <c r="AQ14812" s="31"/>
    </row>
    <row r="14813" spans="43:43" x14ac:dyDescent="0.2">
      <c r="AQ14813" s="31"/>
    </row>
    <row r="14814" spans="43:43" x14ac:dyDescent="0.2">
      <c r="AQ14814" s="31"/>
    </row>
    <row r="14815" spans="43:43" x14ac:dyDescent="0.2">
      <c r="AQ14815" s="31"/>
    </row>
    <row r="14816" spans="43:43" x14ac:dyDescent="0.2">
      <c r="AQ14816" s="31"/>
    </row>
    <row r="14817" spans="43:43" x14ac:dyDescent="0.2">
      <c r="AQ14817" s="31"/>
    </row>
    <row r="14818" spans="43:43" x14ac:dyDescent="0.2">
      <c r="AQ14818" s="31"/>
    </row>
    <row r="14819" spans="43:43" x14ac:dyDescent="0.2">
      <c r="AQ14819" s="31"/>
    </row>
    <row r="14820" spans="43:43" x14ac:dyDescent="0.2">
      <c r="AQ14820" s="31"/>
    </row>
    <row r="14821" spans="43:43" x14ac:dyDescent="0.2">
      <c r="AQ14821" s="31"/>
    </row>
    <row r="14822" spans="43:43" x14ac:dyDescent="0.2">
      <c r="AQ14822" s="31"/>
    </row>
    <row r="14823" spans="43:43" x14ac:dyDescent="0.2">
      <c r="AQ14823" s="31"/>
    </row>
    <row r="14824" spans="43:43" x14ac:dyDescent="0.2">
      <c r="AQ14824" s="31"/>
    </row>
    <row r="14825" spans="43:43" x14ac:dyDescent="0.2">
      <c r="AQ14825" s="31"/>
    </row>
    <row r="14826" spans="43:43" x14ac:dyDescent="0.2">
      <c r="AQ14826" s="31"/>
    </row>
    <row r="14827" spans="43:43" x14ac:dyDescent="0.2">
      <c r="AQ14827" s="31"/>
    </row>
    <row r="14828" spans="43:43" x14ac:dyDescent="0.2">
      <c r="AQ14828" s="31"/>
    </row>
    <row r="14829" spans="43:43" x14ac:dyDescent="0.2">
      <c r="AQ14829" s="31"/>
    </row>
    <row r="14830" spans="43:43" x14ac:dyDescent="0.2">
      <c r="AQ14830" s="31"/>
    </row>
    <row r="14831" spans="43:43" x14ac:dyDescent="0.2">
      <c r="AQ14831" s="31"/>
    </row>
    <row r="14832" spans="43:43" x14ac:dyDescent="0.2">
      <c r="AQ14832" s="31"/>
    </row>
    <row r="14833" spans="43:43" x14ac:dyDescent="0.2">
      <c r="AQ14833" s="31"/>
    </row>
    <row r="14834" spans="43:43" x14ac:dyDescent="0.2">
      <c r="AQ14834" s="31"/>
    </row>
    <row r="14835" spans="43:43" x14ac:dyDescent="0.2">
      <c r="AQ14835" s="31"/>
    </row>
    <row r="14836" spans="43:43" x14ac:dyDescent="0.2">
      <c r="AQ14836" s="31"/>
    </row>
    <row r="14837" spans="43:43" x14ac:dyDescent="0.2">
      <c r="AQ14837" s="31"/>
    </row>
    <row r="14838" spans="43:43" x14ac:dyDescent="0.2">
      <c r="AQ14838" s="31"/>
    </row>
    <row r="14839" spans="43:43" x14ac:dyDescent="0.2">
      <c r="AQ14839" s="31"/>
    </row>
    <row r="14840" spans="43:43" x14ac:dyDescent="0.2">
      <c r="AQ14840" s="31"/>
    </row>
    <row r="14841" spans="43:43" x14ac:dyDescent="0.2">
      <c r="AQ14841" s="31"/>
    </row>
    <row r="14842" spans="43:43" x14ac:dyDescent="0.2">
      <c r="AQ14842" s="31"/>
    </row>
    <row r="14843" spans="43:43" x14ac:dyDescent="0.2">
      <c r="AQ14843" s="31"/>
    </row>
    <row r="14844" spans="43:43" x14ac:dyDescent="0.2">
      <c r="AQ14844" s="31"/>
    </row>
    <row r="14845" spans="43:43" x14ac:dyDescent="0.2">
      <c r="AQ14845" s="31"/>
    </row>
    <row r="14846" spans="43:43" x14ac:dyDescent="0.2">
      <c r="AQ14846" s="31"/>
    </row>
    <row r="14847" spans="43:43" x14ac:dyDescent="0.2">
      <c r="AQ14847" s="31"/>
    </row>
    <row r="14848" spans="43:43" x14ac:dyDescent="0.2">
      <c r="AQ14848" s="31"/>
    </row>
    <row r="14849" spans="43:43" x14ac:dyDescent="0.2">
      <c r="AQ14849" s="31"/>
    </row>
    <row r="14850" spans="43:43" x14ac:dyDescent="0.2">
      <c r="AQ14850" s="31"/>
    </row>
    <row r="14851" spans="43:43" x14ac:dyDescent="0.2">
      <c r="AQ14851" s="31"/>
    </row>
    <row r="14852" spans="43:43" x14ac:dyDescent="0.2">
      <c r="AQ14852" s="31"/>
    </row>
    <row r="14853" spans="43:43" x14ac:dyDescent="0.2">
      <c r="AQ14853" s="31"/>
    </row>
    <row r="14854" spans="43:43" x14ac:dyDescent="0.2">
      <c r="AQ14854" s="31"/>
    </row>
    <row r="14855" spans="43:43" x14ac:dyDescent="0.2">
      <c r="AQ14855" s="31"/>
    </row>
    <row r="14856" spans="43:43" x14ac:dyDescent="0.2">
      <c r="AQ14856" s="31"/>
    </row>
    <row r="14857" spans="43:43" x14ac:dyDescent="0.2">
      <c r="AQ14857" s="31"/>
    </row>
    <row r="14858" spans="43:43" x14ac:dyDescent="0.2">
      <c r="AQ14858" s="31"/>
    </row>
    <row r="14859" spans="43:43" x14ac:dyDescent="0.2">
      <c r="AQ14859" s="31"/>
    </row>
    <row r="14860" spans="43:43" x14ac:dyDescent="0.2">
      <c r="AQ14860" s="31"/>
    </row>
    <row r="14861" spans="43:43" x14ac:dyDescent="0.2">
      <c r="AQ14861" s="31"/>
    </row>
    <row r="14862" spans="43:43" x14ac:dyDescent="0.2">
      <c r="AQ14862" s="31"/>
    </row>
    <row r="14863" spans="43:43" x14ac:dyDescent="0.2">
      <c r="AQ14863" s="31"/>
    </row>
    <row r="14864" spans="43:43" x14ac:dyDescent="0.2">
      <c r="AQ14864" s="31"/>
    </row>
    <row r="14865" spans="43:43" x14ac:dyDescent="0.2">
      <c r="AQ14865" s="31"/>
    </row>
    <row r="14866" spans="43:43" x14ac:dyDescent="0.2">
      <c r="AQ14866" s="31"/>
    </row>
    <row r="14867" spans="43:43" x14ac:dyDescent="0.2">
      <c r="AQ14867" s="31"/>
    </row>
    <row r="14868" spans="43:43" x14ac:dyDescent="0.2">
      <c r="AQ14868" s="31"/>
    </row>
    <row r="14869" spans="43:43" x14ac:dyDescent="0.2">
      <c r="AQ14869" s="31"/>
    </row>
    <row r="14870" spans="43:43" x14ac:dyDescent="0.2">
      <c r="AQ14870" s="31"/>
    </row>
    <row r="14871" spans="43:43" x14ac:dyDescent="0.2">
      <c r="AQ14871" s="31"/>
    </row>
    <row r="14872" spans="43:43" x14ac:dyDescent="0.2">
      <c r="AQ14872" s="31"/>
    </row>
    <row r="14873" spans="43:43" x14ac:dyDescent="0.2">
      <c r="AQ14873" s="31"/>
    </row>
    <row r="14874" spans="43:43" x14ac:dyDescent="0.2">
      <c r="AQ14874" s="31"/>
    </row>
    <row r="14875" spans="43:43" x14ac:dyDescent="0.2">
      <c r="AQ14875" s="31"/>
    </row>
    <row r="14876" spans="43:43" x14ac:dyDescent="0.2">
      <c r="AQ14876" s="31"/>
    </row>
    <row r="14877" spans="43:43" x14ac:dyDescent="0.2">
      <c r="AQ14877" s="31"/>
    </row>
    <row r="14878" spans="43:43" x14ac:dyDescent="0.2">
      <c r="AQ14878" s="31"/>
    </row>
    <row r="14879" spans="43:43" x14ac:dyDescent="0.2">
      <c r="AQ14879" s="31"/>
    </row>
    <row r="14880" spans="43:43" x14ac:dyDescent="0.2">
      <c r="AQ14880" s="31"/>
    </row>
    <row r="14881" spans="43:43" x14ac:dyDescent="0.2">
      <c r="AQ14881" s="31"/>
    </row>
    <row r="14882" spans="43:43" x14ac:dyDescent="0.2">
      <c r="AQ14882" s="31"/>
    </row>
    <row r="14883" spans="43:43" x14ac:dyDescent="0.2">
      <c r="AQ14883" s="31"/>
    </row>
    <row r="14884" spans="43:43" x14ac:dyDescent="0.2">
      <c r="AQ14884" s="31"/>
    </row>
    <row r="14885" spans="43:43" x14ac:dyDescent="0.2">
      <c r="AQ14885" s="31"/>
    </row>
    <row r="14886" spans="43:43" x14ac:dyDescent="0.2">
      <c r="AQ14886" s="31"/>
    </row>
    <row r="14887" spans="43:43" x14ac:dyDescent="0.2">
      <c r="AQ14887" s="31"/>
    </row>
    <row r="14888" spans="43:43" x14ac:dyDescent="0.2">
      <c r="AQ14888" s="31"/>
    </row>
    <row r="14889" spans="43:43" x14ac:dyDescent="0.2">
      <c r="AQ14889" s="31"/>
    </row>
    <row r="14890" spans="43:43" x14ac:dyDescent="0.2">
      <c r="AQ14890" s="31"/>
    </row>
    <row r="14891" spans="43:43" x14ac:dyDescent="0.2">
      <c r="AQ14891" s="31"/>
    </row>
    <row r="14892" spans="43:43" x14ac:dyDescent="0.2">
      <c r="AQ14892" s="31"/>
    </row>
    <row r="14893" spans="43:43" x14ac:dyDescent="0.2">
      <c r="AQ14893" s="31"/>
    </row>
    <row r="14894" spans="43:43" x14ac:dyDescent="0.2">
      <c r="AQ14894" s="31"/>
    </row>
    <row r="14895" spans="43:43" x14ac:dyDescent="0.2">
      <c r="AQ14895" s="31"/>
    </row>
    <row r="14896" spans="43:43" x14ac:dyDescent="0.2">
      <c r="AQ14896" s="31"/>
    </row>
    <row r="14897" spans="43:43" x14ac:dyDescent="0.2">
      <c r="AQ14897" s="31"/>
    </row>
    <row r="14898" spans="43:43" x14ac:dyDescent="0.2">
      <c r="AQ14898" s="31"/>
    </row>
    <row r="14899" spans="43:43" x14ac:dyDescent="0.2">
      <c r="AQ14899" s="31"/>
    </row>
    <row r="14900" spans="43:43" x14ac:dyDescent="0.2">
      <c r="AQ14900" s="31"/>
    </row>
    <row r="14901" spans="43:43" x14ac:dyDescent="0.2">
      <c r="AQ14901" s="31"/>
    </row>
    <row r="14902" spans="43:43" x14ac:dyDescent="0.2">
      <c r="AQ14902" s="31"/>
    </row>
    <row r="14903" spans="43:43" x14ac:dyDescent="0.2">
      <c r="AQ14903" s="31"/>
    </row>
    <row r="14904" spans="43:43" x14ac:dyDescent="0.2">
      <c r="AQ14904" s="31"/>
    </row>
    <row r="14905" spans="43:43" x14ac:dyDescent="0.2">
      <c r="AQ14905" s="31"/>
    </row>
    <row r="14906" spans="43:43" x14ac:dyDescent="0.2">
      <c r="AQ14906" s="31"/>
    </row>
    <row r="14907" spans="43:43" x14ac:dyDescent="0.2">
      <c r="AQ14907" s="31"/>
    </row>
    <row r="14908" spans="43:43" x14ac:dyDescent="0.2">
      <c r="AQ14908" s="31"/>
    </row>
    <row r="14909" spans="43:43" x14ac:dyDescent="0.2">
      <c r="AQ14909" s="31"/>
    </row>
    <row r="14910" spans="43:43" x14ac:dyDescent="0.2">
      <c r="AQ14910" s="31"/>
    </row>
    <row r="14911" spans="43:43" x14ac:dyDescent="0.2">
      <c r="AQ14911" s="31"/>
    </row>
    <row r="14912" spans="43:43" x14ac:dyDescent="0.2">
      <c r="AQ14912" s="31"/>
    </row>
    <row r="14913" spans="43:43" x14ac:dyDescent="0.2">
      <c r="AQ14913" s="31"/>
    </row>
    <row r="14914" spans="43:43" x14ac:dyDescent="0.2">
      <c r="AQ14914" s="31"/>
    </row>
    <row r="14915" spans="43:43" x14ac:dyDescent="0.2">
      <c r="AQ14915" s="31"/>
    </row>
    <row r="14916" spans="43:43" x14ac:dyDescent="0.2">
      <c r="AQ14916" s="31"/>
    </row>
    <row r="14917" spans="43:43" x14ac:dyDescent="0.2">
      <c r="AQ14917" s="31"/>
    </row>
    <row r="14918" spans="43:43" x14ac:dyDescent="0.2">
      <c r="AQ14918" s="31"/>
    </row>
    <row r="14919" spans="43:43" x14ac:dyDescent="0.2">
      <c r="AQ14919" s="31"/>
    </row>
    <row r="14920" spans="43:43" x14ac:dyDescent="0.2">
      <c r="AQ14920" s="31"/>
    </row>
    <row r="14921" spans="43:43" x14ac:dyDescent="0.2">
      <c r="AQ14921" s="31"/>
    </row>
    <row r="14922" spans="43:43" x14ac:dyDescent="0.2">
      <c r="AQ14922" s="31"/>
    </row>
    <row r="14923" spans="43:43" x14ac:dyDescent="0.2">
      <c r="AQ14923" s="31"/>
    </row>
    <row r="14924" spans="43:43" x14ac:dyDescent="0.2">
      <c r="AQ14924" s="31"/>
    </row>
    <row r="14925" spans="43:43" x14ac:dyDescent="0.2">
      <c r="AQ14925" s="31"/>
    </row>
    <row r="14926" spans="43:43" x14ac:dyDescent="0.2">
      <c r="AQ14926" s="31"/>
    </row>
    <row r="14927" spans="43:43" x14ac:dyDescent="0.2">
      <c r="AQ14927" s="31"/>
    </row>
    <row r="14928" spans="43:43" x14ac:dyDescent="0.2">
      <c r="AQ14928" s="31"/>
    </row>
    <row r="14929" spans="43:43" x14ac:dyDescent="0.2">
      <c r="AQ14929" s="31"/>
    </row>
    <row r="14930" spans="43:43" x14ac:dyDescent="0.2">
      <c r="AQ14930" s="31"/>
    </row>
    <row r="14931" spans="43:43" x14ac:dyDescent="0.2">
      <c r="AQ14931" s="31"/>
    </row>
    <row r="14932" spans="43:43" x14ac:dyDescent="0.2">
      <c r="AQ14932" s="31"/>
    </row>
    <row r="14933" spans="43:43" x14ac:dyDescent="0.2">
      <c r="AQ14933" s="31"/>
    </row>
    <row r="14934" spans="43:43" x14ac:dyDescent="0.2">
      <c r="AQ14934" s="31"/>
    </row>
    <row r="14935" spans="43:43" x14ac:dyDescent="0.2">
      <c r="AQ14935" s="31"/>
    </row>
    <row r="14936" spans="43:43" x14ac:dyDescent="0.2">
      <c r="AQ14936" s="31"/>
    </row>
    <row r="14937" spans="43:43" x14ac:dyDescent="0.2">
      <c r="AQ14937" s="31"/>
    </row>
    <row r="14938" spans="43:43" x14ac:dyDescent="0.2">
      <c r="AQ14938" s="31"/>
    </row>
    <row r="14939" spans="43:43" x14ac:dyDescent="0.2">
      <c r="AQ14939" s="31"/>
    </row>
    <row r="14940" spans="43:43" x14ac:dyDescent="0.2">
      <c r="AQ14940" s="31"/>
    </row>
    <row r="14941" spans="43:43" x14ac:dyDescent="0.2">
      <c r="AQ14941" s="31"/>
    </row>
    <row r="14942" spans="43:43" x14ac:dyDescent="0.2">
      <c r="AQ14942" s="31"/>
    </row>
    <row r="14943" spans="43:43" x14ac:dyDescent="0.2">
      <c r="AQ14943" s="31"/>
    </row>
    <row r="14944" spans="43:43" x14ac:dyDescent="0.2">
      <c r="AQ14944" s="31"/>
    </row>
    <row r="14945" spans="43:43" x14ac:dyDescent="0.2">
      <c r="AQ14945" s="31"/>
    </row>
    <row r="14946" spans="43:43" x14ac:dyDescent="0.2">
      <c r="AQ14946" s="31"/>
    </row>
    <row r="14947" spans="43:43" x14ac:dyDescent="0.2">
      <c r="AQ14947" s="31"/>
    </row>
    <row r="14948" spans="43:43" x14ac:dyDescent="0.2">
      <c r="AQ14948" s="31"/>
    </row>
    <row r="14949" spans="43:43" x14ac:dyDescent="0.2">
      <c r="AQ14949" s="31"/>
    </row>
    <row r="14950" spans="43:43" x14ac:dyDescent="0.2">
      <c r="AQ14950" s="31"/>
    </row>
    <row r="14951" spans="43:43" x14ac:dyDescent="0.2">
      <c r="AQ14951" s="31"/>
    </row>
    <row r="14952" spans="43:43" x14ac:dyDescent="0.2">
      <c r="AQ14952" s="31"/>
    </row>
    <row r="14953" spans="43:43" x14ac:dyDescent="0.2">
      <c r="AQ14953" s="31"/>
    </row>
    <row r="14954" spans="43:43" x14ac:dyDescent="0.2">
      <c r="AQ14954" s="31"/>
    </row>
    <row r="14955" spans="43:43" x14ac:dyDescent="0.2">
      <c r="AQ14955" s="31"/>
    </row>
    <row r="14956" spans="43:43" x14ac:dyDescent="0.2">
      <c r="AQ14956" s="31"/>
    </row>
    <row r="14957" spans="43:43" x14ac:dyDescent="0.2">
      <c r="AQ14957" s="31"/>
    </row>
    <row r="14958" spans="43:43" x14ac:dyDescent="0.2">
      <c r="AQ14958" s="31"/>
    </row>
    <row r="14959" spans="43:43" x14ac:dyDescent="0.2">
      <c r="AQ14959" s="31"/>
    </row>
    <row r="14960" spans="43:43" x14ac:dyDescent="0.2">
      <c r="AQ14960" s="31"/>
    </row>
    <row r="14961" spans="43:43" x14ac:dyDescent="0.2">
      <c r="AQ14961" s="31"/>
    </row>
    <row r="14962" spans="43:43" x14ac:dyDescent="0.2">
      <c r="AQ14962" s="31"/>
    </row>
    <row r="14963" spans="43:43" x14ac:dyDescent="0.2">
      <c r="AQ14963" s="31"/>
    </row>
    <row r="14964" spans="43:43" x14ac:dyDescent="0.2">
      <c r="AQ14964" s="31"/>
    </row>
    <row r="14965" spans="43:43" x14ac:dyDescent="0.2">
      <c r="AQ14965" s="31"/>
    </row>
    <row r="14966" spans="43:43" x14ac:dyDescent="0.2">
      <c r="AQ14966" s="31"/>
    </row>
    <row r="14967" spans="43:43" x14ac:dyDescent="0.2">
      <c r="AQ14967" s="31"/>
    </row>
    <row r="14968" spans="43:43" x14ac:dyDescent="0.2">
      <c r="AQ14968" s="31"/>
    </row>
    <row r="14969" spans="43:43" x14ac:dyDescent="0.2">
      <c r="AQ14969" s="31"/>
    </row>
    <row r="14970" spans="43:43" x14ac:dyDescent="0.2">
      <c r="AQ14970" s="31"/>
    </row>
    <row r="14971" spans="43:43" x14ac:dyDescent="0.2">
      <c r="AQ14971" s="31"/>
    </row>
    <row r="14972" spans="43:43" x14ac:dyDescent="0.2">
      <c r="AQ14972" s="31"/>
    </row>
    <row r="14973" spans="43:43" x14ac:dyDescent="0.2">
      <c r="AQ14973" s="31"/>
    </row>
    <row r="14974" spans="43:43" x14ac:dyDescent="0.2">
      <c r="AQ14974" s="31"/>
    </row>
    <row r="14975" spans="43:43" x14ac:dyDescent="0.2">
      <c r="AQ14975" s="31"/>
    </row>
    <row r="14976" spans="43:43" x14ac:dyDescent="0.2">
      <c r="AQ14976" s="31"/>
    </row>
    <row r="14977" spans="43:43" x14ac:dyDescent="0.2">
      <c r="AQ14977" s="31"/>
    </row>
    <row r="14978" spans="43:43" x14ac:dyDescent="0.2">
      <c r="AQ14978" s="31"/>
    </row>
    <row r="14979" spans="43:43" x14ac:dyDescent="0.2">
      <c r="AQ14979" s="31"/>
    </row>
    <row r="14980" spans="43:43" x14ac:dyDescent="0.2">
      <c r="AQ14980" s="31"/>
    </row>
    <row r="14981" spans="43:43" x14ac:dyDescent="0.2">
      <c r="AQ14981" s="31"/>
    </row>
    <row r="14982" spans="43:43" x14ac:dyDescent="0.2">
      <c r="AQ14982" s="31"/>
    </row>
    <row r="14983" spans="43:43" x14ac:dyDescent="0.2">
      <c r="AQ14983" s="31"/>
    </row>
    <row r="14984" spans="43:43" x14ac:dyDescent="0.2">
      <c r="AQ14984" s="31"/>
    </row>
    <row r="14985" spans="43:43" x14ac:dyDescent="0.2">
      <c r="AQ14985" s="31"/>
    </row>
    <row r="14986" spans="43:43" x14ac:dyDescent="0.2">
      <c r="AQ14986" s="31"/>
    </row>
    <row r="14987" spans="43:43" x14ac:dyDescent="0.2">
      <c r="AQ14987" s="31"/>
    </row>
    <row r="14988" spans="43:43" x14ac:dyDescent="0.2">
      <c r="AQ14988" s="31"/>
    </row>
    <row r="14989" spans="43:43" x14ac:dyDescent="0.2">
      <c r="AQ14989" s="31"/>
    </row>
    <row r="14990" spans="43:43" x14ac:dyDescent="0.2">
      <c r="AQ14990" s="31"/>
    </row>
    <row r="14991" spans="43:43" x14ac:dyDescent="0.2">
      <c r="AQ14991" s="31"/>
    </row>
    <row r="14992" spans="43:43" x14ac:dyDescent="0.2">
      <c r="AQ14992" s="31"/>
    </row>
    <row r="14993" spans="43:43" x14ac:dyDescent="0.2">
      <c r="AQ14993" s="31"/>
    </row>
    <row r="14994" spans="43:43" x14ac:dyDescent="0.2">
      <c r="AQ14994" s="31"/>
    </row>
    <row r="14995" spans="43:43" x14ac:dyDescent="0.2">
      <c r="AQ14995" s="31"/>
    </row>
    <row r="14996" spans="43:43" x14ac:dyDescent="0.2">
      <c r="AQ14996" s="31"/>
    </row>
    <row r="14997" spans="43:43" x14ac:dyDescent="0.2">
      <c r="AQ14997" s="31"/>
    </row>
    <row r="14998" spans="43:43" x14ac:dyDescent="0.2">
      <c r="AQ14998" s="31"/>
    </row>
    <row r="14999" spans="43:43" x14ac:dyDescent="0.2">
      <c r="AQ14999" s="31"/>
    </row>
    <row r="15000" spans="43:43" x14ac:dyDescent="0.2">
      <c r="AQ15000" s="31"/>
    </row>
    <row r="15001" spans="43:43" x14ac:dyDescent="0.2">
      <c r="AQ15001" s="31"/>
    </row>
    <row r="15002" spans="43:43" x14ac:dyDescent="0.2">
      <c r="AQ15002" s="31"/>
    </row>
    <row r="15003" spans="43:43" x14ac:dyDescent="0.2">
      <c r="AQ15003" s="31"/>
    </row>
    <row r="15004" spans="43:43" x14ac:dyDescent="0.2">
      <c r="AQ15004" s="31"/>
    </row>
    <row r="15005" spans="43:43" x14ac:dyDescent="0.2">
      <c r="AQ15005" s="31"/>
    </row>
    <row r="15006" spans="43:43" x14ac:dyDescent="0.2">
      <c r="AQ15006" s="31"/>
    </row>
    <row r="15007" spans="43:43" x14ac:dyDescent="0.2">
      <c r="AQ15007" s="31"/>
    </row>
    <row r="15008" spans="43:43" x14ac:dyDescent="0.2">
      <c r="AQ15008" s="31"/>
    </row>
    <row r="15009" spans="43:43" x14ac:dyDescent="0.2">
      <c r="AQ15009" s="31"/>
    </row>
    <row r="15010" spans="43:43" x14ac:dyDescent="0.2">
      <c r="AQ15010" s="31"/>
    </row>
    <row r="15011" spans="43:43" x14ac:dyDescent="0.2">
      <c r="AQ15011" s="31"/>
    </row>
    <row r="15012" spans="43:43" x14ac:dyDescent="0.2">
      <c r="AQ15012" s="31"/>
    </row>
    <row r="15013" spans="43:43" x14ac:dyDescent="0.2">
      <c r="AQ15013" s="31"/>
    </row>
    <row r="15014" spans="43:43" x14ac:dyDescent="0.2">
      <c r="AQ15014" s="31"/>
    </row>
    <row r="15015" spans="43:43" x14ac:dyDescent="0.2">
      <c r="AQ15015" s="31"/>
    </row>
    <row r="15016" spans="43:43" x14ac:dyDescent="0.2">
      <c r="AQ15016" s="31"/>
    </row>
    <row r="15017" spans="43:43" x14ac:dyDescent="0.2">
      <c r="AQ15017" s="31"/>
    </row>
    <row r="15018" spans="43:43" x14ac:dyDescent="0.2">
      <c r="AQ15018" s="31"/>
    </row>
    <row r="15019" spans="43:43" x14ac:dyDescent="0.2">
      <c r="AQ15019" s="31"/>
    </row>
    <row r="15020" spans="43:43" x14ac:dyDescent="0.2">
      <c r="AQ15020" s="31"/>
    </row>
    <row r="15021" spans="43:43" x14ac:dyDescent="0.2">
      <c r="AQ15021" s="31"/>
    </row>
    <row r="15022" spans="43:43" x14ac:dyDescent="0.2">
      <c r="AQ15022" s="31"/>
    </row>
    <row r="15023" spans="43:43" x14ac:dyDescent="0.2">
      <c r="AQ15023" s="31"/>
    </row>
    <row r="15024" spans="43:43" x14ac:dyDescent="0.2">
      <c r="AQ15024" s="31"/>
    </row>
    <row r="15025" spans="43:43" x14ac:dyDescent="0.2">
      <c r="AQ15025" s="31"/>
    </row>
    <row r="15026" spans="43:43" x14ac:dyDescent="0.2">
      <c r="AQ15026" s="31"/>
    </row>
    <row r="15027" spans="43:43" x14ac:dyDescent="0.2">
      <c r="AQ15027" s="31"/>
    </row>
    <row r="15028" spans="43:43" x14ac:dyDescent="0.2">
      <c r="AQ15028" s="31"/>
    </row>
    <row r="15029" spans="43:43" x14ac:dyDescent="0.2">
      <c r="AQ15029" s="31"/>
    </row>
    <row r="15030" spans="43:43" x14ac:dyDescent="0.2">
      <c r="AQ15030" s="31"/>
    </row>
    <row r="15031" spans="43:43" x14ac:dyDescent="0.2">
      <c r="AQ15031" s="31"/>
    </row>
    <row r="15032" spans="43:43" x14ac:dyDescent="0.2">
      <c r="AQ15032" s="31"/>
    </row>
    <row r="15033" spans="43:43" x14ac:dyDescent="0.2">
      <c r="AQ15033" s="31"/>
    </row>
    <row r="15034" spans="43:43" x14ac:dyDescent="0.2">
      <c r="AQ15034" s="31"/>
    </row>
    <row r="15035" spans="43:43" x14ac:dyDescent="0.2">
      <c r="AQ15035" s="31"/>
    </row>
    <row r="15036" spans="43:43" x14ac:dyDescent="0.2">
      <c r="AQ15036" s="31"/>
    </row>
    <row r="15037" spans="43:43" x14ac:dyDescent="0.2">
      <c r="AQ15037" s="31"/>
    </row>
    <row r="15038" spans="43:43" x14ac:dyDescent="0.2">
      <c r="AQ15038" s="31"/>
    </row>
    <row r="15039" spans="43:43" x14ac:dyDescent="0.2">
      <c r="AQ15039" s="31"/>
    </row>
    <row r="15040" spans="43:43" x14ac:dyDescent="0.2">
      <c r="AQ15040" s="31"/>
    </row>
    <row r="15041" spans="43:43" x14ac:dyDescent="0.2">
      <c r="AQ15041" s="31"/>
    </row>
    <row r="15042" spans="43:43" x14ac:dyDescent="0.2">
      <c r="AQ15042" s="31"/>
    </row>
    <row r="15043" spans="43:43" x14ac:dyDescent="0.2">
      <c r="AQ15043" s="31"/>
    </row>
    <row r="15044" spans="43:43" x14ac:dyDescent="0.2">
      <c r="AQ15044" s="31"/>
    </row>
    <row r="15045" spans="43:43" x14ac:dyDescent="0.2">
      <c r="AQ15045" s="31"/>
    </row>
    <row r="15046" spans="43:43" x14ac:dyDescent="0.2">
      <c r="AQ15046" s="31"/>
    </row>
    <row r="15047" spans="43:43" x14ac:dyDescent="0.2">
      <c r="AQ15047" s="31"/>
    </row>
    <row r="15048" spans="43:43" x14ac:dyDescent="0.2">
      <c r="AQ15048" s="31"/>
    </row>
    <row r="15049" spans="43:43" x14ac:dyDescent="0.2">
      <c r="AQ15049" s="31"/>
    </row>
    <row r="15050" spans="43:43" x14ac:dyDescent="0.2">
      <c r="AQ15050" s="31"/>
    </row>
    <row r="15051" spans="43:43" x14ac:dyDescent="0.2">
      <c r="AQ15051" s="31"/>
    </row>
    <row r="15052" spans="43:43" x14ac:dyDescent="0.2">
      <c r="AQ15052" s="31"/>
    </row>
    <row r="15053" spans="43:43" x14ac:dyDescent="0.2">
      <c r="AQ15053" s="31"/>
    </row>
    <row r="15054" spans="43:43" x14ac:dyDescent="0.2">
      <c r="AQ15054" s="31"/>
    </row>
    <row r="15055" spans="43:43" x14ac:dyDescent="0.2">
      <c r="AQ15055" s="31"/>
    </row>
    <row r="15056" spans="43:43" x14ac:dyDescent="0.2">
      <c r="AQ15056" s="31"/>
    </row>
    <row r="15057" spans="43:43" x14ac:dyDescent="0.2">
      <c r="AQ15057" s="31"/>
    </row>
    <row r="15058" spans="43:43" x14ac:dyDescent="0.2">
      <c r="AQ15058" s="31"/>
    </row>
    <row r="15059" spans="43:43" x14ac:dyDescent="0.2">
      <c r="AQ15059" s="31"/>
    </row>
    <row r="15060" spans="43:43" x14ac:dyDescent="0.2">
      <c r="AQ15060" s="31"/>
    </row>
    <row r="15061" spans="43:43" x14ac:dyDescent="0.2">
      <c r="AQ15061" s="31"/>
    </row>
    <row r="15062" spans="43:43" x14ac:dyDescent="0.2">
      <c r="AQ15062" s="31"/>
    </row>
    <row r="15063" spans="43:43" x14ac:dyDescent="0.2">
      <c r="AQ15063" s="31"/>
    </row>
    <row r="15064" spans="43:43" x14ac:dyDescent="0.2">
      <c r="AQ15064" s="31"/>
    </row>
    <row r="15065" spans="43:43" x14ac:dyDescent="0.2">
      <c r="AQ15065" s="31"/>
    </row>
    <row r="15066" spans="43:43" x14ac:dyDescent="0.2">
      <c r="AQ15066" s="31"/>
    </row>
    <row r="15067" spans="43:43" x14ac:dyDescent="0.2">
      <c r="AQ15067" s="31"/>
    </row>
    <row r="15068" spans="43:43" x14ac:dyDescent="0.2">
      <c r="AQ15068" s="31"/>
    </row>
    <row r="15069" spans="43:43" x14ac:dyDescent="0.2">
      <c r="AQ15069" s="31"/>
    </row>
    <row r="15070" spans="43:43" x14ac:dyDescent="0.2">
      <c r="AQ15070" s="31"/>
    </row>
    <row r="15071" spans="43:43" x14ac:dyDescent="0.2">
      <c r="AQ15071" s="31"/>
    </row>
    <row r="15072" spans="43:43" x14ac:dyDescent="0.2">
      <c r="AQ15072" s="31"/>
    </row>
    <row r="15073" spans="43:43" x14ac:dyDescent="0.2">
      <c r="AQ15073" s="31"/>
    </row>
    <row r="15074" spans="43:43" x14ac:dyDescent="0.2">
      <c r="AQ15074" s="31"/>
    </row>
    <row r="15075" spans="43:43" x14ac:dyDescent="0.2">
      <c r="AQ15075" s="31"/>
    </row>
    <row r="15076" spans="43:43" x14ac:dyDescent="0.2">
      <c r="AQ15076" s="31"/>
    </row>
    <row r="15077" spans="43:43" x14ac:dyDescent="0.2">
      <c r="AQ15077" s="31"/>
    </row>
    <row r="15078" spans="43:43" x14ac:dyDescent="0.2">
      <c r="AQ15078" s="31"/>
    </row>
    <row r="15079" spans="43:43" x14ac:dyDescent="0.2">
      <c r="AQ15079" s="31"/>
    </row>
    <row r="15080" spans="43:43" x14ac:dyDescent="0.2">
      <c r="AQ15080" s="31"/>
    </row>
    <row r="15081" spans="43:43" x14ac:dyDescent="0.2">
      <c r="AQ15081" s="31"/>
    </row>
    <row r="15082" spans="43:43" x14ac:dyDescent="0.2">
      <c r="AQ15082" s="31"/>
    </row>
    <row r="15083" spans="43:43" x14ac:dyDescent="0.2">
      <c r="AQ15083" s="31"/>
    </row>
    <row r="15084" spans="43:43" x14ac:dyDescent="0.2">
      <c r="AQ15084" s="31"/>
    </row>
    <row r="15085" spans="43:43" x14ac:dyDescent="0.2">
      <c r="AQ15085" s="31"/>
    </row>
    <row r="15086" spans="43:43" x14ac:dyDescent="0.2">
      <c r="AQ15086" s="31"/>
    </row>
    <row r="15087" spans="43:43" x14ac:dyDescent="0.2">
      <c r="AQ15087" s="31"/>
    </row>
    <row r="15088" spans="43:43" x14ac:dyDescent="0.2">
      <c r="AQ15088" s="31"/>
    </row>
    <row r="15089" spans="43:43" x14ac:dyDescent="0.2">
      <c r="AQ15089" s="31"/>
    </row>
    <row r="15090" spans="43:43" x14ac:dyDescent="0.2">
      <c r="AQ15090" s="31"/>
    </row>
    <row r="15091" spans="43:43" x14ac:dyDescent="0.2">
      <c r="AQ15091" s="31"/>
    </row>
    <row r="15092" spans="43:43" x14ac:dyDescent="0.2">
      <c r="AQ15092" s="31"/>
    </row>
    <row r="15093" spans="43:43" x14ac:dyDescent="0.2">
      <c r="AQ15093" s="31"/>
    </row>
    <row r="15094" spans="43:43" x14ac:dyDescent="0.2">
      <c r="AQ15094" s="31"/>
    </row>
    <row r="15095" spans="43:43" x14ac:dyDescent="0.2">
      <c r="AQ15095" s="31"/>
    </row>
    <row r="15096" spans="43:43" x14ac:dyDescent="0.2">
      <c r="AQ15096" s="31"/>
    </row>
    <row r="15097" spans="43:43" x14ac:dyDescent="0.2">
      <c r="AQ15097" s="31"/>
    </row>
    <row r="15098" spans="43:43" x14ac:dyDescent="0.2">
      <c r="AQ15098" s="31"/>
    </row>
    <row r="15099" spans="43:43" x14ac:dyDescent="0.2">
      <c r="AQ15099" s="31"/>
    </row>
    <row r="15100" spans="43:43" x14ac:dyDescent="0.2">
      <c r="AQ15100" s="31"/>
    </row>
    <row r="15101" spans="43:43" x14ac:dyDescent="0.2">
      <c r="AQ15101" s="31"/>
    </row>
    <row r="15102" spans="43:43" x14ac:dyDescent="0.2">
      <c r="AQ15102" s="31"/>
    </row>
    <row r="15103" spans="43:43" x14ac:dyDescent="0.2">
      <c r="AQ15103" s="31"/>
    </row>
    <row r="15104" spans="43:43" x14ac:dyDescent="0.2">
      <c r="AQ15104" s="31"/>
    </row>
    <row r="15105" spans="43:43" x14ac:dyDescent="0.2">
      <c r="AQ15105" s="31"/>
    </row>
    <row r="15106" spans="43:43" x14ac:dyDescent="0.2">
      <c r="AQ15106" s="31"/>
    </row>
    <row r="15107" spans="43:43" x14ac:dyDescent="0.2">
      <c r="AQ15107" s="31"/>
    </row>
    <row r="15108" spans="43:43" x14ac:dyDescent="0.2">
      <c r="AQ15108" s="31"/>
    </row>
    <row r="15109" spans="43:43" x14ac:dyDescent="0.2">
      <c r="AQ15109" s="31"/>
    </row>
    <row r="15110" spans="43:43" x14ac:dyDescent="0.2">
      <c r="AQ15110" s="31"/>
    </row>
    <row r="15111" spans="43:43" x14ac:dyDescent="0.2">
      <c r="AQ15111" s="31"/>
    </row>
    <row r="15112" spans="43:43" x14ac:dyDescent="0.2">
      <c r="AQ15112" s="31"/>
    </row>
    <row r="15113" spans="43:43" x14ac:dyDescent="0.2">
      <c r="AQ15113" s="31"/>
    </row>
    <row r="15114" spans="43:43" x14ac:dyDescent="0.2">
      <c r="AQ15114" s="31"/>
    </row>
    <row r="15115" spans="43:43" x14ac:dyDescent="0.2">
      <c r="AQ15115" s="31"/>
    </row>
    <row r="15116" spans="43:43" x14ac:dyDescent="0.2">
      <c r="AQ15116" s="31"/>
    </row>
    <row r="15117" spans="43:43" x14ac:dyDescent="0.2">
      <c r="AQ15117" s="31"/>
    </row>
    <row r="15118" spans="43:43" x14ac:dyDescent="0.2">
      <c r="AQ15118" s="31"/>
    </row>
    <row r="15119" spans="43:43" x14ac:dyDescent="0.2">
      <c r="AQ15119" s="31"/>
    </row>
    <row r="15120" spans="43:43" x14ac:dyDescent="0.2">
      <c r="AQ15120" s="31"/>
    </row>
    <row r="15121" spans="43:43" x14ac:dyDescent="0.2">
      <c r="AQ15121" s="31"/>
    </row>
    <row r="15122" spans="43:43" x14ac:dyDescent="0.2">
      <c r="AQ15122" s="31"/>
    </row>
    <row r="15123" spans="43:43" x14ac:dyDescent="0.2">
      <c r="AQ15123" s="31"/>
    </row>
    <row r="15124" spans="43:43" x14ac:dyDescent="0.2">
      <c r="AQ15124" s="31"/>
    </row>
    <row r="15125" spans="43:43" x14ac:dyDescent="0.2">
      <c r="AQ15125" s="31"/>
    </row>
    <row r="15126" spans="43:43" x14ac:dyDescent="0.2">
      <c r="AQ15126" s="31"/>
    </row>
    <row r="15127" spans="43:43" x14ac:dyDescent="0.2">
      <c r="AQ15127" s="31"/>
    </row>
    <row r="15128" spans="43:43" x14ac:dyDescent="0.2">
      <c r="AQ15128" s="31"/>
    </row>
    <row r="15129" spans="43:43" x14ac:dyDescent="0.2">
      <c r="AQ15129" s="31"/>
    </row>
    <row r="15130" spans="43:43" x14ac:dyDescent="0.2">
      <c r="AQ15130" s="31"/>
    </row>
    <row r="15131" spans="43:43" x14ac:dyDescent="0.2">
      <c r="AQ15131" s="31"/>
    </row>
    <row r="15132" spans="43:43" x14ac:dyDescent="0.2">
      <c r="AQ15132" s="31"/>
    </row>
    <row r="15133" spans="43:43" x14ac:dyDescent="0.2">
      <c r="AQ15133" s="31"/>
    </row>
    <row r="15134" spans="43:43" x14ac:dyDescent="0.2">
      <c r="AQ15134" s="31"/>
    </row>
    <row r="15135" spans="43:43" x14ac:dyDescent="0.2">
      <c r="AQ15135" s="31"/>
    </row>
    <row r="15136" spans="43:43" x14ac:dyDescent="0.2">
      <c r="AQ15136" s="31"/>
    </row>
    <row r="15137" spans="43:43" x14ac:dyDescent="0.2">
      <c r="AQ15137" s="31"/>
    </row>
    <row r="15138" spans="43:43" x14ac:dyDescent="0.2">
      <c r="AQ15138" s="31"/>
    </row>
    <row r="15139" spans="43:43" x14ac:dyDescent="0.2">
      <c r="AQ15139" s="31"/>
    </row>
    <row r="15140" spans="43:43" x14ac:dyDescent="0.2">
      <c r="AQ15140" s="31"/>
    </row>
    <row r="15141" spans="43:43" x14ac:dyDescent="0.2">
      <c r="AQ15141" s="31"/>
    </row>
    <row r="15142" spans="43:43" x14ac:dyDescent="0.2">
      <c r="AQ15142" s="31"/>
    </row>
    <row r="15143" spans="43:43" x14ac:dyDescent="0.2">
      <c r="AQ15143" s="31"/>
    </row>
    <row r="15144" spans="43:43" x14ac:dyDescent="0.2">
      <c r="AQ15144" s="31"/>
    </row>
    <row r="15145" spans="43:43" x14ac:dyDescent="0.2">
      <c r="AQ15145" s="31"/>
    </row>
    <row r="15146" spans="43:43" x14ac:dyDescent="0.2">
      <c r="AQ15146" s="31"/>
    </row>
    <row r="15147" spans="43:43" x14ac:dyDescent="0.2">
      <c r="AQ15147" s="31"/>
    </row>
    <row r="15148" spans="43:43" x14ac:dyDescent="0.2">
      <c r="AQ15148" s="31"/>
    </row>
    <row r="15149" spans="43:43" x14ac:dyDescent="0.2">
      <c r="AQ15149" s="31"/>
    </row>
    <row r="15150" spans="43:43" x14ac:dyDescent="0.2">
      <c r="AQ15150" s="31"/>
    </row>
    <row r="15151" spans="43:43" x14ac:dyDescent="0.2">
      <c r="AQ15151" s="31"/>
    </row>
    <row r="15152" spans="43:43" x14ac:dyDescent="0.2">
      <c r="AQ15152" s="31"/>
    </row>
    <row r="15153" spans="43:43" x14ac:dyDescent="0.2">
      <c r="AQ15153" s="31"/>
    </row>
    <row r="15154" spans="43:43" x14ac:dyDescent="0.2">
      <c r="AQ15154" s="31"/>
    </row>
    <row r="15155" spans="43:43" x14ac:dyDescent="0.2">
      <c r="AQ15155" s="31"/>
    </row>
    <row r="15156" spans="43:43" x14ac:dyDescent="0.2">
      <c r="AQ15156" s="31"/>
    </row>
    <row r="15157" spans="43:43" x14ac:dyDescent="0.2">
      <c r="AQ15157" s="31"/>
    </row>
    <row r="15158" spans="43:43" x14ac:dyDescent="0.2">
      <c r="AQ15158" s="31"/>
    </row>
    <row r="15159" spans="43:43" x14ac:dyDescent="0.2">
      <c r="AQ15159" s="31"/>
    </row>
    <row r="15160" spans="43:43" x14ac:dyDescent="0.2">
      <c r="AQ15160" s="31"/>
    </row>
    <row r="15161" spans="43:43" x14ac:dyDescent="0.2">
      <c r="AQ15161" s="31"/>
    </row>
    <row r="15162" spans="43:43" x14ac:dyDescent="0.2">
      <c r="AQ15162" s="31"/>
    </row>
    <row r="15163" spans="43:43" x14ac:dyDescent="0.2">
      <c r="AQ15163" s="31"/>
    </row>
    <row r="15164" spans="43:43" x14ac:dyDescent="0.2">
      <c r="AQ15164" s="31"/>
    </row>
    <row r="15165" spans="43:43" x14ac:dyDescent="0.2">
      <c r="AQ15165" s="31"/>
    </row>
    <row r="15166" spans="43:43" x14ac:dyDescent="0.2">
      <c r="AQ15166" s="31"/>
    </row>
    <row r="15167" spans="43:43" x14ac:dyDescent="0.2">
      <c r="AQ15167" s="31"/>
    </row>
    <row r="15168" spans="43:43" x14ac:dyDescent="0.2">
      <c r="AQ15168" s="31"/>
    </row>
    <row r="15169" spans="43:43" x14ac:dyDescent="0.2">
      <c r="AQ15169" s="31"/>
    </row>
    <row r="15170" spans="43:43" x14ac:dyDescent="0.2">
      <c r="AQ15170" s="31"/>
    </row>
    <row r="15171" spans="43:43" x14ac:dyDescent="0.2">
      <c r="AQ15171" s="31"/>
    </row>
    <row r="15172" spans="43:43" x14ac:dyDescent="0.2">
      <c r="AQ15172" s="31"/>
    </row>
    <row r="15173" spans="43:43" x14ac:dyDescent="0.2">
      <c r="AQ15173" s="31"/>
    </row>
    <row r="15174" spans="43:43" x14ac:dyDescent="0.2">
      <c r="AQ15174" s="31"/>
    </row>
    <row r="15175" spans="43:43" x14ac:dyDescent="0.2">
      <c r="AQ15175" s="31"/>
    </row>
    <row r="15176" spans="43:43" x14ac:dyDescent="0.2">
      <c r="AQ15176" s="31"/>
    </row>
    <row r="15177" spans="43:43" x14ac:dyDescent="0.2">
      <c r="AQ15177" s="31"/>
    </row>
    <row r="15178" spans="43:43" x14ac:dyDescent="0.2">
      <c r="AQ15178" s="31"/>
    </row>
    <row r="15179" spans="43:43" x14ac:dyDescent="0.2">
      <c r="AQ15179" s="31"/>
    </row>
    <row r="15180" spans="43:43" x14ac:dyDescent="0.2">
      <c r="AQ15180" s="31"/>
    </row>
    <row r="15181" spans="43:43" x14ac:dyDescent="0.2">
      <c r="AQ15181" s="31"/>
    </row>
    <row r="15182" spans="43:43" x14ac:dyDescent="0.2">
      <c r="AQ15182" s="31"/>
    </row>
    <row r="15183" spans="43:43" x14ac:dyDescent="0.2">
      <c r="AQ15183" s="31"/>
    </row>
    <row r="15184" spans="43:43" x14ac:dyDescent="0.2">
      <c r="AQ15184" s="31"/>
    </row>
    <row r="15185" spans="43:43" x14ac:dyDescent="0.2">
      <c r="AQ15185" s="31"/>
    </row>
    <row r="15186" spans="43:43" x14ac:dyDescent="0.2">
      <c r="AQ15186" s="31"/>
    </row>
    <row r="15187" spans="43:43" x14ac:dyDescent="0.2">
      <c r="AQ15187" s="31"/>
    </row>
    <row r="15188" spans="43:43" x14ac:dyDescent="0.2">
      <c r="AQ15188" s="31"/>
    </row>
    <row r="15189" spans="43:43" x14ac:dyDescent="0.2">
      <c r="AQ15189" s="31"/>
    </row>
    <row r="15190" spans="43:43" x14ac:dyDescent="0.2">
      <c r="AQ15190" s="31"/>
    </row>
    <row r="15191" spans="43:43" x14ac:dyDescent="0.2">
      <c r="AQ15191" s="31"/>
    </row>
    <row r="15192" spans="43:43" x14ac:dyDescent="0.2">
      <c r="AQ15192" s="31"/>
    </row>
    <row r="15193" spans="43:43" x14ac:dyDescent="0.2">
      <c r="AQ15193" s="31"/>
    </row>
    <row r="15194" spans="43:43" x14ac:dyDescent="0.2">
      <c r="AQ15194" s="31"/>
    </row>
    <row r="15195" spans="43:43" x14ac:dyDescent="0.2">
      <c r="AQ15195" s="31"/>
    </row>
    <row r="15196" spans="43:43" x14ac:dyDescent="0.2">
      <c r="AQ15196" s="31"/>
    </row>
    <row r="15197" spans="43:43" x14ac:dyDescent="0.2">
      <c r="AQ15197" s="31"/>
    </row>
    <row r="15198" spans="43:43" x14ac:dyDescent="0.2">
      <c r="AQ15198" s="31"/>
    </row>
    <row r="15199" spans="43:43" x14ac:dyDescent="0.2">
      <c r="AQ15199" s="31"/>
    </row>
    <row r="15200" spans="43:43" x14ac:dyDescent="0.2">
      <c r="AQ15200" s="31"/>
    </row>
    <row r="15201" spans="43:43" x14ac:dyDescent="0.2">
      <c r="AQ15201" s="31"/>
    </row>
    <row r="15202" spans="43:43" x14ac:dyDescent="0.2">
      <c r="AQ15202" s="31"/>
    </row>
    <row r="15203" spans="43:43" x14ac:dyDescent="0.2">
      <c r="AQ15203" s="31"/>
    </row>
    <row r="15204" spans="43:43" x14ac:dyDescent="0.2">
      <c r="AQ15204" s="31"/>
    </row>
    <row r="15205" spans="43:43" x14ac:dyDescent="0.2">
      <c r="AQ15205" s="31"/>
    </row>
    <row r="15206" spans="43:43" x14ac:dyDescent="0.2">
      <c r="AQ15206" s="31"/>
    </row>
    <row r="15207" spans="43:43" x14ac:dyDescent="0.2">
      <c r="AQ15207" s="31"/>
    </row>
    <row r="15208" spans="43:43" x14ac:dyDescent="0.2">
      <c r="AQ15208" s="31"/>
    </row>
    <row r="15209" spans="43:43" x14ac:dyDescent="0.2">
      <c r="AQ15209" s="31"/>
    </row>
    <row r="15210" spans="43:43" x14ac:dyDescent="0.2">
      <c r="AQ15210" s="31"/>
    </row>
    <row r="15211" spans="43:43" x14ac:dyDescent="0.2">
      <c r="AQ15211" s="31"/>
    </row>
    <row r="15212" spans="43:43" x14ac:dyDescent="0.2">
      <c r="AQ15212" s="31"/>
    </row>
    <row r="15213" spans="43:43" x14ac:dyDescent="0.2">
      <c r="AQ15213" s="31"/>
    </row>
    <row r="15214" spans="43:43" x14ac:dyDescent="0.2">
      <c r="AQ15214" s="31"/>
    </row>
    <row r="15215" spans="43:43" x14ac:dyDescent="0.2">
      <c r="AQ15215" s="31"/>
    </row>
    <row r="15216" spans="43:43" x14ac:dyDescent="0.2">
      <c r="AQ15216" s="31"/>
    </row>
    <row r="15217" spans="43:43" x14ac:dyDescent="0.2">
      <c r="AQ15217" s="31"/>
    </row>
    <row r="15218" spans="43:43" x14ac:dyDescent="0.2">
      <c r="AQ15218" s="31"/>
    </row>
    <row r="15219" spans="43:43" x14ac:dyDescent="0.2">
      <c r="AQ15219" s="31"/>
    </row>
    <row r="15220" spans="43:43" x14ac:dyDescent="0.2">
      <c r="AQ15220" s="31"/>
    </row>
    <row r="15221" spans="43:43" x14ac:dyDescent="0.2">
      <c r="AQ15221" s="31"/>
    </row>
    <row r="15222" spans="43:43" x14ac:dyDescent="0.2">
      <c r="AQ15222" s="31"/>
    </row>
    <row r="15223" spans="43:43" x14ac:dyDescent="0.2">
      <c r="AQ15223" s="31"/>
    </row>
    <row r="15224" spans="43:43" x14ac:dyDescent="0.2">
      <c r="AQ15224" s="31"/>
    </row>
    <row r="15225" spans="43:43" x14ac:dyDescent="0.2">
      <c r="AQ15225" s="31"/>
    </row>
    <row r="15226" spans="43:43" x14ac:dyDescent="0.2">
      <c r="AQ15226" s="31"/>
    </row>
    <row r="15227" spans="43:43" x14ac:dyDescent="0.2">
      <c r="AQ15227" s="31"/>
    </row>
    <row r="15228" spans="43:43" x14ac:dyDescent="0.2">
      <c r="AQ15228" s="31"/>
    </row>
    <row r="15229" spans="43:43" x14ac:dyDescent="0.2">
      <c r="AQ15229" s="31"/>
    </row>
    <row r="15230" spans="43:43" x14ac:dyDescent="0.2">
      <c r="AQ15230" s="31"/>
    </row>
    <row r="15231" spans="43:43" x14ac:dyDescent="0.2">
      <c r="AQ15231" s="31"/>
    </row>
    <row r="15232" spans="43:43" x14ac:dyDescent="0.2">
      <c r="AQ15232" s="31"/>
    </row>
    <row r="15233" spans="43:43" x14ac:dyDescent="0.2">
      <c r="AQ15233" s="31"/>
    </row>
    <row r="15234" spans="43:43" x14ac:dyDescent="0.2">
      <c r="AQ15234" s="31"/>
    </row>
    <row r="15235" spans="43:43" x14ac:dyDescent="0.2">
      <c r="AQ15235" s="31"/>
    </row>
    <row r="15236" spans="43:43" x14ac:dyDescent="0.2">
      <c r="AQ15236" s="31"/>
    </row>
    <row r="15237" spans="43:43" x14ac:dyDescent="0.2">
      <c r="AQ15237" s="31"/>
    </row>
    <row r="15238" spans="43:43" x14ac:dyDescent="0.2">
      <c r="AQ15238" s="31"/>
    </row>
    <row r="15239" spans="43:43" x14ac:dyDescent="0.2">
      <c r="AQ15239" s="31"/>
    </row>
    <row r="15240" spans="43:43" x14ac:dyDescent="0.2">
      <c r="AQ15240" s="31"/>
    </row>
    <row r="15241" spans="43:43" x14ac:dyDescent="0.2">
      <c r="AQ15241" s="31"/>
    </row>
    <row r="15242" spans="43:43" x14ac:dyDescent="0.2">
      <c r="AQ15242" s="31"/>
    </row>
    <row r="15243" spans="43:43" x14ac:dyDescent="0.2">
      <c r="AQ15243" s="31"/>
    </row>
    <row r="15244" spans="43:43" x14ac:dyDescent="0.2">
      <c r="AQ15244" s="31"/>
    </row>
    <row r="15245" spans="43:43" x14ac:dyDescent="0.2">
      <c r="AQ15245" s="31"/>
    </row>
    <row r="15246" spans="43:43" x14ac:dyDescent="0.2">
      <c r="AQ15246" s="31"/>
    </row>
    <row r="15247" spans="43:43" x14ac:dyDescent="0.2">
      <c r="AQ15247" s="31"/>
    </row>
    <row r="15248" spans="43:43" x14ac:dyDescent="0.2">
      <c r="AQ15248" s="31"/>
    </row>
    <row r="15249" spans="43:43" x14ac:dyDescent="0.2">
      <c r="AQ15249" s="31"/>
    </row>
    <row r="15250" spans="43:43" x14ac:dyDescent="0.2">
      <c r="AQ15250" s="31"/>
    </row>
    <row r="15251" spans="43:43" x14ac:dyDescent="0.2">
      <c r="AQ15251" s="31"/>
    </row>
    <row r="15252" spans="43:43" x14ac:dyDescent="0.2">
      <c r="AQ15252" s="31"/>
    </row>
    <row r="15253" spans="43:43" x14ac:dyDescent="0.2">
      <c r="AQ15253" s="31"/>
    </row>
    <row r="15254" spans="43:43" x14ac:dyDescent="0.2">
      <c r="AQ15254" s="31"/>
    </row>
    <row r="15255" spans="43:43" x14ac:dyDescent="0.2">
      <c r="AQ15255" s="31"/>
    </row>
    <row r="15256" spans="43:43" x14ac:dyDescent="0.2">
      <c r="AQ15256" s="31"/>
    </row>
    <row r="15257" spans="43:43" x14ac:dyDescent="0.2">
      <c r="AQ15257" s="31"/>
    </row>
    <row r="15258" spans="43:43" x14ac:dyDescent="0.2">
      <c r="AQ15258" s="31"/>
    </row>
    <row r="15259" spans="43:43" x14ac:dyDescent="0.2">
      <c r="AQ15259" s="31"/>
    </row>
    <row r="15260" spans="43:43" x14ac:dyDescent="0.2">
      <c r="AQ15260" s="31"/>
    </row>
    <row r="15261" spans="43:43" x14ac:dyDescent="0.2">
      <c r="AQ15261" s="31"/>
    </row>
    <row r="15262" spans="43:43" x14ac:dyDescent="0.2">
      <c r="AQ15262" s="31"/>
    </row>
    <row r="15263" spans="43:43" x14ac:dyDescent="0.2">
      <c r="AQ15263" s="31"/>
    </row>
    <row r="15264" spans="43:43" x14ac:dyDescent="0.2">
      <c r="AQ15264" s="31"/>
    </row>
    <row r="15265" spans="43:43" x14ac:dyDescent="0.2">
      <c r="AQ15265" s="31"/>
    </row>
    <row r="15266" spans="43:43" x14ac:dyDescent="0.2">
      <c r="AQ15266" s="31"/>
    </row>
    <row r="15267" spans="43:43" x14ac:dyDescent="0.2">
      <c r="AQ15267" s="31"/>
    </row>
    <row r="15268" spans="43:43" x14ac:dyDescent="0.2">
      <c r="AQ15268" s="31"/>
    </row>
    <row r="15269" spans="43:43" x14ac:dyDescent="0.2">
      <c r="AQ15269" s="31"/>
    </row>
    <row r="15270" spans="43:43" x14ac:dyDescent="0.2">
      <c r="AQ15270" s="31"/>
    </row>
    <row r="15271" spans="43:43" x14ac:dyDescent="0.2">
      <c r="AQ15271" s="31"/>
    </row>
    <row r="15272" spans="43:43" x14ac:dyDescent="0.2">
      <c r="AQ15272" s="31"/>
    </row>
    <row r="15273" spans="43:43" x14ac:dyDescent="0.2">
      <c r="AQ15273" s="31"/>
    </row>
    <row r="15274" spans="43:43" x14ac:dyDescent="0.2">
      <c r="AQ15274" s="31"/>
    </row>
    <row r="15275" spans="43:43" x14ac:dyDescent="0.2">
      <c r="AQ15275" s="31"/>
    </row>
    <row r="15276" spans="43:43" x14ac:dyDescent="0.2">
      <c r="AQ15276" s="31"/>
    </row>
    <row r="15277" spans="43:43" x14ac:dyDescent="0.2">
      <c r="AQ15277" s="31"/>
    </row>
    <row r="15278" spans="43:43" x14ac:dyDescent="0.2">
      <c r="AQ15278" s="31"/>
    </row>
    <row r="15279" spans="43:43" x14ac:dyDescent="0.2">
      <c r="AQ15279" s="31"/>
    </row>
    <row r="15280" spans="43:43" x14ac:dyDescent="0.2">
      <c r="AQ15280" s="31"/>
    </row>
    <row r="15281" spans="43:43" x14ac:dyDescent="0.2">
      <c r="AQ15281" s="31"/>
    </row>
    <row r="15282" spans="43:43" x14ac:dyDescent="0.2">
      <c r="AQ15282" s="31"/>
    </row>
    <row r="15283" spans="43:43" x14ac:dyDescent="0.2">
      <c r="AQ15283" s="31"/>
    </row>
    <row r="15284" spans="43:43" x14ac:dyDescent="0.2">
      <c r="AQ15284" s="31"/>
    </row>
    <row r="15285" spans="43:43" x14ac:dyDescent="0.2">
      <c r="AQ15285" s="31"/>
    </row>
    <row r="15286" spans="43:43" x14ac:dyDescent="0.2">
      <c r="AQ15286" s="31"/>
    </row>
    <row r="15287" spans="43:43" x14ac:dyDescent="0.2">
      <c r="AQ15287" s="31"/>
    </row>
    <row r="15288" spans="43:43" x14ac:dyDescent="0.2">
      <c r="AQ15288" s="31"/>
    </row>
    <row r="15289" spans="43:43" x14ac:dyDescent="0.2">
      <c r="AQ15289" s="31"/>
    </row>
    <row r="15290" spans="43:43" x14ac:dyDescent="0.2">
      <c r="AQ15290" s="31"/>
    </row>
    <row r="15291" spans="43:43" x14ac:dyDescent="0.2">
      <c r="AQ15291" s="31"/>
    </row>
    <row r="15292" spans="43:43" x14ac:dyDescent="0.2">
      <c r="AQ15292" s="31"/>
    </row>
    <row r="15293" spans="43:43" x14ac:dyDescent="0.2">
      <c r="AQ15293" s="31"/>
    </row>
    <row r="15294" spans="43:43" x14ac:dyDescent="0.2">
      <c r="AQ15294" s="31"/>
    </row>
    <row r="15295" spans="43:43" x14ac:dyDescent="0.2">
      <c r="AQ15295" s="31"/>
    </row>
    <row r="15296" spans="43:43" x14ac:dyDescent="0.2">
      <c r="AQ15296" s="31"/>
    </row>
    <row r="15297" spans="43:43" x14ac:dyDescent="0.2">
      <c r="AQ15297" s="31"/>
    </row>
    <row r="15298" spans="43:43" x14ac:dyDescent="0.2">
      <c r="AQ15298" s="31"/>
    </row>
    <row r="15299" spans="43:43" x14ac:dyDescent="0.2">
      <c r="AQ15299" s="31"/>
    </row>
    <row r="15300" spans="43:43" x14ac:dyDescent="0.2">
      <c r="AQ15300" s="31"/>
    </row>
    <row r="15301" spans="43:43" x14ac:dyDescent="0.2">
      <c r="AQ15301" s="31"/>
    </row>
    <row r="15302" spans="43:43" x14ac:dyDescent="0.2">
      <c r="AQ15302" s="31"/>
    </row>
    <row r="15303" spans="43:43" x14ac:dyDescent="0.2">
      <c r="AQ15303" s="31"/>
    </row>
    <row r="15304" spans="43:43" x14ac:dyDescent="0.2">
      <c r="AQ15304" s="31"/>
    </row>
    <row r="15305" spans="43:43" x14ac:dyDescent="0.2">
      <c r="AQ15305" s="31"/>
    </row>
    <row r="15306" spans="43:43" x14ac:dyDescent="0.2">
      <c r="AQ15306" s="31"/>
    </row>
    <row r="15307" spans="43:43" x14ac:dyDescent="0.2">
      <c r="AQ15307" s="31"/>
    </row>
    <row r="15308" spans="43:43" x14ac:dyDescent="0.2">
      <c r="AQ15308" s="31"/>
    </row>
    <row r="15309" spans="43:43" x14ac:dyDescent="0.2">
      <c r="AQ15309" s="31"/>
    </row>
    <row r="15310" spans="43:43" x14ac:dyDescent="0.2">
      <c r="AQ15310" s="31"/>
    </row>
    <row r="15311" spans="43:43" x14ac:dyDescent="0.2">
      <c r="AQ15311" s="31"/>
    </row>
    <row r="15312" spans="43:43" x14ac:dyDescent="0.2">
      <c r="AQ15312" s="31"/>
    </row>
    <row r="15313" spans="43:43" x14ac:dyDescent="0.2">
      <c r="AQ15313" s="31"/>
    </row>
    <row r="15314" spans="43:43" x14ac:dyDescent="0.2">
      <c r="AQ15314" s="31"/>
    </row>
    <row r="15315" spans="43:43" x14ac:dyDescent="0.2">
      <c r="AQ15315" s="31"/>
    </row>
    <row r="15316" spans="43:43" x14ac:dyDescent="0.2">
      <c r="AQ15316" s="31"/>
    </row>
    <row r="15317" spans="43:43" x14ac:dyDescent="0.2">
      <c r="AQ15317" s="31"/>
    </row>
    <row r="15318" spans="43:43" x14ac:dyDescent="0.2">
      <c r="AQ15318" s="31"/>
    </row>
    <row r="15319" spans="43:43" x14ac:dyDescent="0.2">
      <c r="AQ15319" s="31"/>
    </row>
    <row r="15320" spans="43:43" x14ac:dyDescent="0.2">
      <c r="AQ15320" s="31"/>
    </row>
    <row r="15321" spans="43:43" x14ac:dyDescent="0.2">
      <c r="AQ15321" s="31"/>
    </row>
    <row r="15322" spans="43:43" x14ac:dyDescent="0.2">
      <c r="AQ15322" s="31"/>
    </row>
    <row r="15323" spans="43:43" x14ac:dyDescent="0.2">
      <c r="AQ15323" s="31"/>
    </row>
    <row r="15324" spans="43:43" x14ac:dyDescent="0.2">
      <c r="AQ15324" s="31"/>
    </row>
    <row r="15325" spans="43:43" x14ac:dyDescent="0.2">
      <c r="AQ15325" s="31"/>
    </row>
    <row r="15326" spans="43:43" x14ac:dyDescent="0.2">
      <c r="AQ15326" s="31"/>
    </row>
    <row r="15327" spans="43:43" x14ac:dyDescent="0.2">
      <c r="AQ15327" s="31"/>
    </row>
    <row r="15328" spans="43:43" x14ac:dyDescent="0.2">
      <c r="AQ15328" s="31"/>
    </row>
    <row r="15329" spans="43:43" x14ac:dyDescent="0.2">
      <c r="AQ15329" s="31"/>
    </row>
    <row r="15330" spans="43:43" x14ac:dyDescent="0.2">
      <c r="AQ15330" s="31"/>
    </row>
    <row r="15331" spans="43:43" x14ac:dyDescent="0.2">
      <c r="AQ15331" s="31"/>
    </row>
    <row r="15332" spans="43:43" x14ac:dyDescent="0.2">
      <c r="AQ15332" s="31"/>
    </row>
    <row r="15333" spans="43:43" x14ac:dyDescent="0.2">
      <c r="AQ15333" s="31"/>
    </row>
    <row r="15334" spans="43:43" x14ac:dyDescent="0.2">
      <c r="AQ15334" s="31"/>
    </row>
    <row r="15335" spans="43:43" x14ac:dyDescent="0.2">
      <c r="AQ15335" s="31"/>
    </row>
    <row r="15336" spans="43:43" x14ac:dyDescent="0.2">
      <c r="AQ15336" s="31"/>
    </row>
    <row r="15337" spans="43:43" x14ac:dyDescent="0.2">
      <c r="AQ15337" s="31"/>
    </row>
    <row r="15338" spans="43:43" x14ac:dyDescent="0.2">
      <c r="AQ15338" s="31"/>
    </row>
    <row r="15339" spans="43:43" x14ac:dyDescent="0.2">
      <c r="AQ15339" s="31"/>
    </row>
    <row r="15340" spans="43:43" x14ac:dyDescent="0.2">
      <c r="AQ15340" s="31"/>
    </row>
    <row r="15341" spans="43:43" x14ac:dyDescent="0.2">
      <c r="AQ15341" s="31"/>
    </row>
    <row r="15342" spans="43:43" x14ac:dyDescent="0.2">
      <c r="AQ15342" s="31"/>
    </row>
    <row r="15343" spans="43:43" x14ac:dyDescent="0.2">
      <c r="AQ15343" s="31"/>
    </row>
    <row r="15344" spans="43:43" x14ac:dyDescent="0.2">
      <c r="AQ15344" s="31"/>
    </row>
    <row r="15345" spans="43:43" x14ac:dyDescent="0.2">
      <c r="AQ15345" s="31"/>
    </row>
    <row r="15346" spans="43:43" x14ac:dyDescent="0.2">
      <c r="AQ15346" s="31"/>
    </row>
    <row r="15347" spans="43:43" x14ac:dyDescent="0.2">
      <c r="AQ15347" s="31"/>
    </row>
    <row r="15348" spans="43:43" x14ac:dyDescent="0.2">
      <c r="AQ15348" s="31"/>
    </row>
    <row r="15349" spans="43:43" x14ac:dyDescent="0.2">
      <c r="AQ15349" s="31"/>
    </row>
    <row r="15350" spans="43:43" x14ac:dyDescent="0.2">
      <c r="AQ15350" s="31"/>
    </row>
    <row r="15351" spans="43:43" x14ac:dyDescent="0.2">
      <c r="AQ15351" s="31"/>
    </row>
    <row r="15352" spans="43:43" x14ac:dyDescent="0.2">
      <c r="AQ15352" s="31"/>
    </row>
    <row r="15353" spans="43:43" x14ac:dyDescent="0.2">
      <c r="AQ15353" s="31"/>
    </row>
    <row r="15354" spans="43:43" x14ac:dyDescent="0.2">
      <c r="AQ15354" s="31"/>
    </row>
    <row r="15355" spans="43:43" x14ac:dyDescent="0.2">
      <c r="AQ15355" s="31"/>
    </row>
    <row r="15356" spans="43:43" x14ac:dyDescent="0.2">
      <c r="AQ15356" s="31"/>
    </row>
    <row r="15357" spans="43:43" x14ac:dyDescent="0.2">
      <c r="AQ15357" s="31"/>
    </row>
    <row r="15358" spans="43:43" x14ac:dyDescent="0.2">
      <c r="AQ15358" s="31"/>
    </row>
    <row r="15359" spans="43:43" x14ac:dyDescent="0.2">
      <c r="AQ15359" s="31"/>
    </row>
    <row r="15360" spans="43:43" x14ac:dyDescent="0.2">
      <c r="AQ15360" s="31"/>
    </row>
    <row r="15361" spans="43:43" x14ac:dyDescent="0.2">
      <c r="AQ15361" s="31"/>
    </row>
    <row r="15362" spans="43:43" x14ac:dyDescent="0.2">
      <c r="AQ15362" s="31"/>
    </row>
    <row r="15363" spans="43:43" x14ac:dyDescent="0.2">
      <c r="AQ15363" s="31"/>
    </row>
    <row r="15364" spans="43:43" x14ac:dyDescent="0.2">
      <c r="AQ15364" s="31"/>
    </row>
    <row r="15365" spans="43:43" x14ac:dyDescent="0.2">
      <c r="AQ15365" s="31"/>
    </row>
    <row r="15366" spans="43:43" x14ac:dyDescent="0.2">
      <c r="AQ15366" s="31"/>
    </row>
    <row r="15367" spans="43:43" x14ac:dyDescent="0.2">
      <c r="AQ15367" s="31"/>
    </row>
    <row r="15368" spans="43:43" x14ac:dyDescent="0.2">
      <c r="AQ15368" s="31"/>
    </row>
    <row r="15369" spans="43:43" x14ac:dyDescent="0.2">
      <c r="AQ15369" s="31"/>
    </row>
    <row r="15370" spans="43:43" x14ac:dyDescent="0.2">
      <c r="AQ15370" s="31"/>
    </row>
    <row r="15371" spans="43:43" x14ac:dyDescent="0.2">
      <c r="AQ15371" s="31"/>
    </row>
    <row r="15372" spans="43:43" x14ac:dyDescent="0.2">
      <c r="AQ15372" s="31"/>
    </row>
    <row r="15373" spans="43:43" x14ac:dyDescent="0.2">
      <c r="AQ15373" s="31"/>
    </row>
    <row r="15374" spans="43:43" x14ac:dyDescent="0.2">
      <c r="AQ15374" s="31"/>
    </row>
    <row r="15375" spans="43:43" x14ac:dyDescent="0.2">
      <c r="AQ15375" s="31"/>
    </row>
    <row r="15376" spans="43:43" x14ac:dyDescent="0.2">
      <c r="AQ15376" s="31"/>
    </row>
    <row r="15377" spans="43:43" x14ac:dyDescent="0.2">
      <c r="AQ15377" s="31"/>
    </row>
    <row r="15378" spans="43:43" x14ac:dyDescent="0.2">
      <c r="AQ15378" s="31"/>
    </row>
    <row r="15379" spans="43:43" x14ac:dyDescent="0.2">
      <c r="AQ15379" s="31"/>
    </row>
    <row r="15380" spans="43:43" x14ac:dyDescent="0.2">
      <c r="AQ15380" s="31"/>
    </row>
    <row r="15381" spans="43:43" x14ac:dyDescent="0.2">
      <c r="AQ15381" s="31"/>
    </row>
    <row r="15382" spans="43:43" x14ac:dyDescent="0.2">
      <c r="AQ15382" s="31"/>
    </row>
    <row r="15383" spans="43:43" x14ac:dyDescent="0.2">
      <c r="AQ15383" s="31"/>
    </row>
    <row r="15384" spans="43:43" x14ac:dyDescent="0.2">
      <c r="AQ15384" s="31"/>
    </row>
    <row r="15385" spans="43:43" x14ac:dyDescent="0.2">
      <c r="AQ15385" s="31"/>
    </row>
    <row r="15386" spans="43:43" x14ac:dyDescent="0.2">
      <c r="AQ15386" s="31"/>
    </row>
    <row r="15387" spans="43:43" x14ac:dyDescent="0.2">
      <c r="AQ15387" s="31"/>
    </row>
    <row r="15388" spans="43:43" x14ac:dyDescent="0.2">
      <c r="AQ15388" s="31"/>
    </row>
    <row r="15389" spans="43:43" x14ac:dyDescent="0.2">
      <c r="AQ15389" s="31"/>
    </row>
    <row r="15390" spans="43:43" x14ac:dyDescent="0.2">
      <c r="AQ15390" s="31"/>
    </row>
    <row r="15391" spans="43:43" x14ac:dyDescent="0.2">
      <c r="AQ15391" s="31"/>
    </row>
    <row r="15392" spans="43:43" x14ac:dyDescent="0.2">
      <c r="AQ15392" s="31"/>
    </row>
    <row r="15393" spans="43:43" x14ac:dyDescent="0.2">
      <c r="AQ15393" s="31"/>
    </row>
    <row r="15394" spans="43:43" x14ac:dyDescent="0.2">
      <c r="AQ15394" s="31"/>
    </row>
    <row r="15395" spans="43:43" x14ac:dyDescent="0.2">
      <c r="AQ15395" s="31"/>
    </row>
    <row r="15396" spans="43:43" x14ac:dyDescent="0.2">
      <c r="AQ15396" s="31"/>
    </row>
    <row r="15397" spans="43:43" x14ac:dyDescent="0.2">
      <c r="AQ15397" s="31"/>
    </row>
    <row r="15398" spans="43:43" x14ac:dyDescent="0.2">
      <c r="AQ15398" s="31"/>
    </row>
    <row r="15399" spans="43:43" x14ac:dyDescent="0.2">
      <c r="AQ15399" s="31"/>
    </row>
    <row r="15400" spans="43:43" x14ac:dyDescent="0.2">
      <c r="AQ15400" s="31"/>
    </row>
    <row r="15401" spans="43:43" x14ac:dyDescent="0.2">
      <c r="AQ15401" s="31"/>
    </row>
    <row r="15402" spans="43:43" x14ac:dyDescent="0.2">
      <c r="AQ15402" s="31"/>
    </row>
    <row r="15403" spans="43:43" x14ac:dyDescent="0.2">
      <c r="AQ15403" s="31"/>
    </row>
    <row r="15404" spans="43:43" x14ac:dyDescent="0.2">
      <c r="AQ15404" s="31"/>
    </row>
    <row r="15405" spans="43:43" x14ac:dyDescent="0.2">
      <c r="AQ15405" s="31"/>
    </row>
    <row r="15406" spans="43:43" x14ac:dyDescent="0.2">
      <c r="AQ15406" s="31"/>
    </row>
    <row r="15407" spans="43:43" x14ac:dyDescent="0.2">
      <c r="AQ15407" s="31"/>
    </row>
    <row r="15408" spans="43:43" x14ac:dyDescent="0.2">
      <c r="AQ15408" s="31"/>
    </row>
    <row r="15409" spans="43:43" x14ac:dyDescent="0.2">
      <c r="AQ15409" s="31"/>
    </row>
    <row r="15410" spans="43:43" x14ac:dyDescent="0.2">
      <c r="AQ15410" s="31"/>
    </row>
    <row r="15411" spans="43:43" x14ac:dyDescent="0.2">
      <c r="AQ15411" s="31"/>
    </row>
    <row r="15412" spans="43:43" x14ac:dyDescent="0.2">
      <c r="AQ15412" s="31"/>
    </row>
    <row r="15413" spans="43:43" x14ac:dyDescent="0.2">
      <c r="AQ15413" s="31"/>
    </row>
    <row r="15414" spans="43:43" x14ac:dyDescent="0.2">
      <c r="AQ15414" s="31"/>
    </row>
    <row r="15415" spans="43:43" x14ac:dyDescent="0.2">
      <c r="AQ15415" s="31"/>
    </row>
    <row r="15416" spans="43:43" x14ac:dyDescent="0.2">
      <c r="AQ15416" s="31"/>
    </row>
    <row r="15417" spans="43:43" x14ac:dyDescent="0.2">
      <c r="AQ15417" s="31"/>
    </row>
    <row r="15418" spans="43:43" x14ac:dyDescent="0.2">
      <c r="AQ15418" s="31"/>
    </row>
    <row r="15419" spans="43:43" x14ac:dyDescent="0.2">
      <c r="AQ15419" s="31"/>
    </row>
    <row r="15420" spans="43:43" x14ac:dyDescent="0.2">
      <c r="AQ15420" s="31"/>
    </row>
    <row r="15421" spans="43:43" x14ac:dyDescent="0.2">
      <c r="AQ15421" s="31"/>
    </row>
    <row r="15422" spans="43:43" x14ac:dyDescent="0.2">
      <c r="AQ15422" s="31"/>
    </row>
    <row r="15423" spans="43:43" x14ac:dyDescent="0.2">
      <c r="AQ15423" s="31"/>
    </row>
    <row r="15424" spans="43:43" x14ac:dyDescent="0.2">
      <c r="AQ15424" s="31"/>
    </row>
    <row r="15425" spans="43:43" x14ac:dyDescent="0.2">
      <c r="AQ15425" s="31"/>
    </row>
    <row r="15426" spans="43:43" x14ac:dyDescent="0.2">
      <c r="AQ15426" s="31"/>
    </row>
    <row r="15427" spans="43:43" x14ac:dyDescent="0.2">
      <c r="AQ15427" s="31"/>
    </row>
    <row r="15428" spans="43:43" x14ac:dyDescent="0.2">
      <c r="AQ15428" s="31"/>
    </row>
    <row r="15429" spans="43:43" x14ac:dyDescent="0.2">
      <c r="AQ15429" s="31"/>
    </row>
    <row r="15430" spans="43:43" x14ac:dyDescent="0.2">
      <c r="AQ15430" s="31"/>
    </row>
    <row r="15431" spans="43:43" x14ac:dyDescent="0.2">
      <c r="AQ15431" s="31"/>
    </row>
    <row r="15432" spans="43:43" x14ac:dyDescent="0.2">
      <c r="AQ15432" s="31"/>
    </row>
    <row r="15433" spans="43:43" x14ac:dyDescent="0.2">
      <c r="AQ15433" s="31"/>
    </row>
    <row r="15434" spans="43:43" x14ac:dyDescent="0.2">
      <c r="AQ15434" s="31"/>
    </row>
    <row r="15435" spans="43:43" x14ac:dyDescent="0.2">
      <c r="AQ15435" s="31"/>
    </row>
    <row r="15436" spans="43:43" x14ac:dyDescent="0.2">
      <c r="AQ15436" s="31"/>
    </row>
    <row r="15437" spans="43:43" x14ac:dyDescent="0.2">
      <c r="AQ15437" s="31"/>
    </row>
    <row r="15438" spans="43:43" x14ac:dyDescent="0.2">
      <c r="AQ15438" s="31"/>
    </row>
    <row r="15439" spans="43:43" x14ac:dyDescent="0.2">
      <c r="AQ15439" s="31"/>
    </row>
    <row r="15440" spans="43:43" x14ac:dyDescent="0.2">
      <c r="AQ15440" s="31"/>
    </row>
    <row r="15441" spans="43:43" x14ac:dyDescent="0.2">
      <c r="AQ15441" s="31"/>
    </row>
    <row r="15442" spans="43:43" x14ac:dyDescent="0.2">
      <c r="AQ15442" s="31"/>
    </row>
    <row r="15443" spans="43:43" x14ac:dyDescent="0.2">
      <c r="AQ15443" s="31"/>
    </row>
    <row r="15444" spans="43:43" x14ac:dyDescent="0.2">
      <c r="AQ15444" s="31"/>
    </row>
    <row r="15445" spans="43:43" x14ac:dyDescent="0.2">
      <c r="AQ15445" s="31"/>
    </row>
    <row r="15446" spans="43:43" x14ac:dyDescent="0.2">
      <c r="AQ15446" s="31"/>
    </row>
    <row r="15447" spans="43:43" x14ac:dyDescent="0.2">
      <c r="AQ15447" s="31"/>
    </row>
    <row r="15448" spans="43:43" x14ac:dyDescent="0.2">
      <c r="AQ15448" s="31"/>
    </row>
    <row r="15449" spans="43:43" x14ac:dyDescent="0.2">
      <c r="AQ15449" s="31"/>
    </row>
    <row r="15450" spans="43:43" x14ac:dyDescent="0.2">
      <c r="AQ15450" s="31"/>
    </row>
    <row r="15451" spans="43:43" x14ac:dyDescent="0.2">
      <c r="AQ15451" s="31"/>
    </row>
    <row r="15452" spans="43:43" x14ac:dyDescent="0.2">
      <c r="AQ15452" s="31"/>
    </row>
    <row r="15453" spans="43:43" x14ac:dyDescent="0.2">
      <c r="AQ15453" s="31"/>
    </row>
    <row r="15454" spans="43:43" x14ac:dyDescent="0.2">
      <c r="AQ15454" s="31"/>
    </row>
    <row r="15455" spans="43:43" x14ac:dyDescent="0.2">
      <c r="AQ15455" s="31"/>
    </row>
    <row r="15456" spans="43:43" x14ac:dyDescent="0.2">
      <c r="AQ15456" s="31"/>
    </row>
    <row r="15457" spans="43:43" x14ac:dyDescent="0.2">
      <c r="AQ15457" s="31"/>
    </row>
    <row r="15458" spans="43:43" x14ac:dyDescent="0.2">
      <c r="AQ15458" s="31"/>
    </row>
    <row r="15459" spans="43:43" x14ac:dyDescent="0.2">
      <c r="AQ15459" s="31"/>
    </row>
    <row r="15460" spans="43:43" x14ac:dyDescent="0.2">
      <c r="AQ15460" s="31"/>
    </row>
    <row r="15461" spans="43:43" x14ac:dyDescent="0.2">
      <c r="AQ15461" s="31"/>
    </row>
    <row r="15462" spans="43:43" x14ac:dyDescent="0.2">
      <c r="AQ15462" s="31"/>
    </row>
    <row r="15463" spans="43:43" x14ac:dyDescent="0.2">
      <c r="AQ15463" s="31"/>
    </row>
    <row r="15464" spans="43:43" x14ac:dyDescent="0.2">
      <c r="AQ15464" s="31"/>
    </row>
    <row r="15465" spans="43:43" x14ac:dyDescent="0.2">
      <c r="AQ15465" s="31"/>
    </row>
    <row r="15466" spans="43:43" x14ac:dyDescent="0.2">
      <c r="AQ15466" s="31"/>
    </row>
    <row r="15467" spans="43:43" x14ac:dyDescent="0.2">
      <c r="AQ15467" s="31"/>
    </row>
    <row r="15468" spans="43:43" x14ac:dyDescent="0.2">
      <c r="AQ15468" s="31"/>
    </row>
    <row r="15469" spans="43:43" x14ac:dyDescent="0.2">
      <c r="AQ15469" s="31"/>
    </row>
    <row r="15470" spans="43:43" x14ac:dyDescent="0.2">
      <c r="AQ15470" s="31"/>
    </row>
    <row r="15471" spans="43:43" x14ac:dyDescent="0.2">
      <c r="AQ15471" s="31"/>
    </row>
    <row r="15472" spans="43:43" x14ac:dyDescent="0.2">
      <c r="AQ15472" s="31"/>
    </row>
    <row r="15473" spans="43:43" x14ac:dyDescent="0.2">
      <c r="AQ15473" s="31"/>
    </row>
    <row r="15474" spans="43:43" x14ac:dyDescent="0.2">
      <c r="AQ15474" s="31"/>
    </row>
    <row r="15475" spans="43:43" x14ac:dyDescent="0.2">
      <c r="AQ15475" s="31"/>
    </row>
    <row r="15476" spans="43:43" x14ac:dyDescent="0.2">
      <c r="AQ15476" s="31"/>
    </row>
    <row r="15477" spans="43:43" x14ac:dyDescent="0.2">
      <c r="AQ15477" s="31"/>
    </row>
    <row r="15478" spans="43:43" x14ac:dyDescent="0.2">
      <c r="AQ15478" s="31"/>
    </row>
    <row r="15479" spans="43:43" x14ac:dyDescent="0.2">
      <c r="AQ15479" s="31"/>
    </row>
    <row r="15480" spans="43:43" x14ac:dyDescent="0.2">
      <c r="AQ15480" s="31"/>
    </row>
    <row r="15481" spans="43:43" x14ac:dyDescent="0.2">
      <c r="AQ15481" s="31"/>
    </row>
    <row r="15482" spans="43:43" x14ac:dyDescent="0.2">
      <c r="AQ15482" s="31"/>
    </row>
    <row r="15483" spans="43:43" x14ac:dyDescent="0.2">
      <c r="AQ15483" s="31"/>
    </row>
    <row r="15484" spans="43:43" x14ac:dyDescent="0.2">
      <c r="AQ15484" s="31"/>
    </row>
    <row r="15485" spans="43:43" x14ac:dyDescent="0.2">
      <c r="AQ15485" s="31"/>
    </row>
    <row r="15486" spans="43:43" x14ac:dyDescent="0.2">
      <c r="AQ15486" s="31"/>
    </row>
    <row r="15487" spans="43:43" x14ac:dyDescent="0.2">
      <c r="AQ15487" s="31"/>
    </row>
    <row r="15488" spans="43:43" x14ac:dyDescent="0.2">
      <c r="AQ15488" s="31"/>
    </row>
    <row r="15489" spans="43:43" x14ac:dyDescent="0.2">
      <c r="AQ15489" s="31"/>
    </row>
    <row r="15490" spans="43:43" x14ac:dyDescent="0.2">
      <c r="AQ15490" s="31"/>
    </row>
    <row r="15491" spans="43:43" x14ac:dyDescent="0.2">
      <c r="AQ15491" s="31"/>
    </row>
    <row r="15492" spans="43:43" x14ac:dyDescent="0.2">
      <c r="AQ15492" s="31"/>
    </row>
    <row r="15493" spans="43:43" x14ac:dyDescent="0.2">
      <c r="AQ15493" s="31"/>
    </row>
    <row r="15494" spans="43:43" x14ac:dyDescent="0.2">
      <c r="AQ15494" s="31"/>
    </row>
    <row r="15495" spans="43:43" x14ac:dyDescent="0.2">
      <c r="AQ15495" s="31"/>
    </row>
    <row r="15496" spans="43:43" x14ac:dyDescent="0.2">
      <c r="AQ15496" s="31"/>
    </row>
    <row r="15497" spans="43:43" x14ac:dyDescent="0.2">
      <c r="AQ15497" s="31"/>
    </row>
    <row r="15498" spans="43:43" x14ac:dyDescent="0.2">
      <c r="AQ15498" s="31"/>
    </row>
    <row r="15499" spans="43:43" x14ac:dyDescent="0.2">
      <c r="AQ15499" s="31"/>
    </row>
    <row r="15500" spans="43:43" x14ac:dyDescent="0.2">
      <c r="AQ15500" s="31"/>
    </row>
    <row r="15501" spans="43:43" x14ac:dyDescent="0.2">
      <c r="AQ15501" s="31"/>
    </row>
    <row r="15502" spans="43:43" x14ac:dyDescent="0.2">
      <c r="AQ15502" s="31"/>
    </row>
    <row r="15503" spans="43:43" x14ac:dyDescent="0.2">
      <c r="AQ15503" s="31"/>
    </row>
    <row r="15504" spans="43:43" x14ac:dyDescent="0.2">
      <c r="AQ15504" s="31"/>
    </row>
    <row r="15505" spans="43:43" x14ac:dyDescent="0.2">
      <c r="AQ15505" s="31"/>
    </row>
    <row r="15506" spans="43:43" x14ac:dyDescent="0.2">
      <c r="AQ15506" s="31"/>
    </row>
    <row r="15507" spans="43:43" x14ac:dyDescent="0.2">
      <c r="AQ15507" s="31"/>
    </row>
    <row r="15508" spans="43:43" x14ac:dyDescent="0.2">
      <c r="AQ15508" s="31"/>
    </row>
    <row r="15509" spans="43:43" x14ac:dyDescent="0.2">
      <c r="AQ15509" s="31"/>
    </row>
    <row r="15510" spans="43:43" x14ac:dyDescent="0.2">
      <c r="AQ15510" s="31"/>
    </row>
    <row r="15511" spans="43:43" x14ac:dyDescent="0.2">
      <c r="AQ15511" s="31"/>
    </row>
    <row r="15512" spans="43:43" x14ac:dyDescent="0.2">
      <c r="AQ15512" s="31"/>
    </row>
    <row r="15513" spans="43:43" x14ac:dyDescent="0.2">
      <c r="AQ15513" s="31"/>
    </row>
    <row r="15514" spans="43:43" x14ac:dyDescent="0.2">
      <c r="AQ15514" s="31"/>
    </row>
    <row r="15515" spans="43:43" x14ac:dyDescent="0.2">
      <c r="AQ15515" s="31"/>
    </row>
    <row r="15516" spans="43:43" x14ac:dyDescent="0.2">
      <c r="AQ15516" s="31"/>
    </row>
    <row r="15517" spans="43:43" x14ac:dyDescent="0.2">
      <c r="AQ15517" s="31"/>
    </row>
    <row r="15518" spans="43:43" x14ac:dyDescent="0.2">
      <c r="AQ15518" s="31"/>
    </row>
    <row r="15519" spans="43:43" x14ac:dyDescent="0.2">
      <c r="AQ15519" s="31"/>
    </row>
    <row r="15520" spans="43:43" x14ac:dyDescent="0.2">
      <c r="AQ15520" s="31"/>
    </row>
    <row r="15521" spans="43:43" x14ac:dyDescent="0.2">
      <c r="AQ15521" s="31"/>
    </row>
    <row r="15522" spans="43:43" x14ac:dyDescent="0.2">
      <c r="AQ15522" s="31"/>
    </row>
    <row r="15523" spans="43:43" x14ac:dyDescent="0.2">
      <c r="AQ15523" s="31"/>
    </row>
    <row r="15524" spans="43:43" x14ac:dyDescent="0.2">
      <c r="AQ15524" s="31"/>
    </row>
    <row r="15525" spans="43:43" x14ac:dyDescent="0.2">
      <c r="AQ15525" s="31"/>
    </row>
    <row r="15526" spans="43:43" x14ac:dyDescent="0.2">
      <c r="AQ15526" s="31"/>
    </row>
    <row r="15527" spans="43:43" x14ac:dyDescent="0.2">
      <c r="AQ15527" s="31"/>
    </row>
    <row r="15528" spans="43:43" x14ac:dyDescent="0.2">
      <c r="AQ15528" s="31"/>
    </row>
    <row r="15529" spans="43:43" x14ac:dyDescent="0.2">
      <c r="AQ15529" s="31"/>
    </row>
    <row r="15530" spans="43:43" x14ac:dyDescent="0.2">
      <c r="AQ15530" s="31"/>
    </row>
    <row r="15531" spans="43:43" x14ac:dyDescent="0.2">
      <c r="AQ15531" s="31"/>
    </row>
    <row r="15532" spans="43:43" x14ac:dyDescent="0.2">
      <c r="AQ15532" s="31"/>
    </row>
    <row r="15533" spans="43:43" x14ac:dyDescent="0.2">
      <c r="AQ15533" s="31"/>
    </row>
    <row r="15534" spans="43:43" x14ac:dyDescent="0.2">
      <c r="AQ15534" s="31"/>
    </row>
    <row r="15535" spans="43:43" x14ac:dyDescent="0.2">
      <c r="AQ15535" s="31"/>
    </row>
    <row r="15536" spans="43:43" x14ac:dyDescent="0.2">
      <c r="AQ15536" s="31"/>
    </row>
    <row r="15537" spans="43:43" x14ac:dyDescent="0.2">
      <c r="AQ15537" s="31"/>
    </row>
    <row r="15538" spans="43:43" x14ac:dyDescent="0.2">
      <c r="AQ15538" s="31"/>
    </row>
    <row r="15539" spans="43:43" x14ac:dyDescent="0.2">
      <c r="AQ15539" s="31"/>
    </row>
    <row r="15540" spans="43:43" x14ac:dyDescent="0.2">
      <c r="AQ15540" s="31"/>
    </row>
    <row r="15541" spans="43:43" x14ac:dyDescent="0.2">
      <c r="AQ15541" s="31"/>
    </row>
    <row r="15542" spans="43:43" x14ac:dyDescent="0.2">
      <c r="AQ15542" s="31"/>
    </row>
    <row r="15543" spans="43:43" x14ac:dyDescent="0.2">
      <c r="AQ15543" s="31"/>
    </row>
    <row r="15544" spans="43:43" x14ac:dyDescent="0.2">
      <c r="AQ15544" s="31"/>
    </row>
    <row r="15545" spans="43:43" x14ac:dyDescent="0.2">
      <c r="AQ15545" s="31"/>
    </row>
    <row r="15546" spans="43:43" x14ac:dyDescent="0.2">
      <c r="AQ15546" s="31"/>
    </row>
    <row r="15547" spans="43:43" x14ac:dyDescent="0.2">
      <c r="AQ15547" s="31"/>
    </row>
    <row r="15548" spans="43:43" x14ac:dyDescent="0.2">
      <c r="AQ15548" s="31"/>
    </row>
    <row r="15549" spans="43:43" x14ac:dyDescent="0.2">
      <c r="AQ15549" s="31"/>
    </row>
    <row r="15550" spans="43:43" x14ac:dyDescent="0.2">
      <c r="AQ15550" s="31"/>
    </row>
    <row r="15551" spans="43:43" x14ac:dyDescent="0.2">
      <c r="AQ15551" s="31"/>
    </row>
    <row r="15552" spans="43:43" x14ac:dyDescent="0.2">
      <c r="AQ15552" s="31"/>
    </row>
    <row r="15553" spans="43:43" x14ac:dyDescent="0.2">
      <c r="AQ15553" s="31"/>
    </row>
    <row r="15554" spans="43:43" x14ac:dyDescent="0.2">
      <c r="AQ15554" s="31"/>
    </row>
    <row r="15555" spans="43:43" x14ac:dyDescent="0.2">
      <c r="AQ15555" s="31"/>
    </row>
    <row r="15556" spans="43:43" x14ac:dyDescent="0.2">
      <c r="AQ15556" s="31"/>
    </row>
    <row r="15557" spans="43:43" x14ac:dyDescent="0.2">
      <c r="AQ15557" s="31"/>
    </row>
    <row r="15558" spans="43:43" x14ac:dyDescent="0.2">
      <c r="AQ15558" s="31"/>
    </row>
    <row r="15559" spans="43:43" x14ac:dyDescent="0.2">
      <c r="AQ15559" s="31"/>
    </row>
    <row r="15560" spans="43:43" x14ac:dyDescent="0.2">
      <c r="AQ15560" s="31"/>
    </row>
    <row r="15561" spans="43:43" x14ac:dyDescent="0.2">
      <c r="AQ15561" s="31"/>
    </row>
    <row r="15562" spans="43:43" x14ac:dyDescent="0.2">
      <c r="AQ15562" s="31"/>
    </row>
    <row r="15563" spans="43:43" x14ac:dyDescent="0.2">
      <c r="AQ15563" s="31"/>
    </row>
    <row r="15564" spans="43:43" x14ac:dyDescent="0.2">
      <c r="AQ15564" s="31"/>
    </row>
    <row r="15565" spans="43:43" x14ac:dyDescent="0.2">
      <c r="AQ15565" s="31"/>
    </row>
    <row r="15566" spans="43:43" x14ac:dyDescent="0.2">
      <c r="AQ15566" s="31"/>
    </row>
    <row r="15567" spans="43:43" x14ac:dyDescent="0.2">
      <c r="AQ15567" s="31"/>
    </row>
    <row r="15568" spans="43:43" x14ac:dyDescent="0.2">
      <c r="AQ15568" s="31"/>
    </row>
    <row r="15569" spans="43:43" x14ac:dyDescent="0.2">
      <c r="AQ15569" s="31"/>
    </row>
    <row r="15570" spans="43:43" x14ac:dyDescent="0.2">
      <c r="AQ15570" s="31"/>
    </row>
    <row r="15571" spans="43:43" x14ac:dyDescent="0.2">
      <c r="AQ15571" s="31"/>
    </row>
    <row r="15572" spans="43:43" x14ac:dyDescent="0.2">
      <c r="AQ15572" s="31"/>
    </row>
    <row r="15573" spans="43:43" x14ac:dyDescent="0.2">
      <c r="AQ15573" s="31"/>
    </row>
    <row r="15574" spans="43:43" x14ac:dyDescent="0.2">
      <c r="AQ15574" s="31"/>
    </row>
    <row r="15575" spans="43:43" x14ac:dyDescent="0.2">
      <c r="AQ15575" s="31"/>
    </row>
    <row r="15576" spans="43:43" x14ac:dyDescent="0.2">
      <c r="AQ15576" s="31"/>
    </row>
    <row r="15577" spans="43:43" x14ac:dyDescent="0.2">
      <c r="AQ15577" s="31"/>
    </row>
    <row r="15578" spans="43:43" x14ac:dyDescent="0.2">
      <c r="AQ15578" s="31"/>
    </row>
    <row r="15579" spans="43:43" x14ac:dyDescent="0.2">
      <c r="AQ15579" s="31"/>
    </row>
    <row r="15580" spans="43:43" x14ac:dyDescent="0.2">
      <c r="AQ15580" s="31"/>
    </row>
    <row r="15581" spans="43:43" x14ac:dyDescent="0.2">
      <c r="AQ15581" s="31"/>
    </row>
    <row r="15582" spans="43:43" x14ac:dyDescent="0.2">
      <c r="AQ15582" s="31"/>
    </row>
    <row r="15583" spans="43:43" x14ac:dyDescent="0.2">
      <c r="AQ15583" s="31"/>
    </row>
    <row r="15584" spans="43:43" x14ac:dyDescent="0.2">
      <c r="AQ15584" s="31"/>
    </row>
    <row r="15585" spans="43:43" x14ac:dyDescent="0.2">
      <c r="AQ15585" s="31"/>
    </row>
    <row r="15586" spans="43:43" x14ac:dyDescent="0.2">
      <c r="AQ15586" s="31"/>
    </row>
    <row r="15587" spans="43:43" x14ac:dyDescent="0.2">
      <c r="AQ15587" s="31"/>
    </row>
    <row r="15588" spans="43:43" x14ac:dyDescent="0.2">
      <c r="AQ15588" s="31"/>
    </row>
    <row r="15589" spans="43:43" x14ac:dyDescent="0.2">
      <c r="AQ15589" s="31"/>
    </row>
    <row r="15590" spans="43:43" x14ac:dyDescent="0.2">
      <c r="AQ15590" s="31"/>
    </row>
    <row r="15591" spans="43:43" x14ac:dyDescent="0.2">
      <c r="AQ15591" s="31"/>
    </row>
    <row r="15592" spans="43:43" x14ac:dyDescent="0.2">
      <c r="AQ15592" s="31"/>
    </row>
    <row r="15593" spans="43:43" x14ac:dyDescent="0.2">
      <c r="AQ15593" s="31"/>
    </row>
    <row r="15594" spans="43:43" x14ac:dyDescent="0.2">
      <c r="AQ15594" s="31"/>
    </row>
    <row r="15595" spans="43:43" x14ac:dyDescent="0.2">
      <c r="AQ15595" s="31"/>
    </row>
    <row r="15596" spans="43:43" x14ac:dyDescent="0.2">
      <c r="AQ15596" s="31"/>
    </row>
    <row r="15597" spans="43:43" x14ac:dyDescent="0.2">
      <c r="AQ15597" s="31"/>
    </row>
    <row r="15598" spans="43:43" x14ac:dyDescent="0.2">
      <c r="AQ15598" s="31"/>
    </row>
    <row r="15599" spans="43:43" x14ac:dyDescent="0.2">
      <c r="AQ15599" s="31"/>
    </row>
    <row r="15600" spans="43:43" x14ac:dyDescent="0.2">
      <c r="AQ15600" s="31"/>
    </row>
    <row r="15601" spans="43:43" x14ac:dyDescent="0.2">
      <c r="AQ15601" s="31"/>
    </row>
    <row r="15602" spans="43:43" x14ac:dyDescent="0.2">
      <c r="AQ15602" s="31"/>
    </row>
    <row r="15603" spans="43:43" x14ac:dyDescent="0.2">
      <c r="AQ15603" s="31"/>
    </row>
    <row r="15604" spans="43:43" x14ac:dyDescent="0.2">
      <c r="AQ15604" s="31"/>
    </row>
    <row r="15605" spans="43:43" x14ac:dyDescent="0.2">
      <c r="AQ15605" s="31"/>
    </row>
    <row r="15606" spans="43:43" x14ac:dyDescent="0.2">
      <c r="AQ15606" s="31"/>
    </row>
    <row r="15607" spans="43:43" x14ac:dyDescent="0.2">
      <c r="AQ15607" s="31"/>
    </row>
    <row r="15608" spans="43:43" x14ac:dyDescent="0.2">
      <c r="AQ15608" s="31"/>
    </row>
    <row r="15609" spans="43:43" x14ac:dyDescent="0.2">
      <c r="AQ15609" s="31"/>
    </row>
    <row r="15610" spans="43:43" x14ac:dyDescent="0.2">
      <c r="AQ15610" s="31"/>
    </row>
    <row r="15611" spans="43:43" x14ac:dyDescent="0.2">
      <c r="AQ15611" s="31"/>
    </row>
    <row r="15612" spans="43:43" x14ac:dyDescent="0.2">
      <c r="AQ15612" s="31"/>
    </row>
    <row r="15613" spans="43:43" x14ac:dyDescent="0.2">
      <c r="AQ15613" s="31"/>
    </row>
    <row r="15614" spans="43:43" x14ac:dyDescent="0.2">
      <c r="AQ15614" s="31"/>
    </row>
    <row r="15615" spans="43:43" x14ac:dyDescent="0.2">
      <c r="AQ15615" s="31"/>
    </row>
    <row r="15616" spans="43:43" x14ac:dyDescent="0.2">
      <c r="AQ15616" s="31"/>
    </row>
    <row r="15617" spans="43:43" x14ac:dyDescent="0.2">
      <c r="AQ15617" s="31"/>
    </row>
    <row r="15618" spans="43:43" x14ac:dyDescent="0.2">
      <c r="AQ15618" s="31"/>
    </row>
    <row r="15619" spans="43:43" x14ac:dyDescent="0.2">
      <c r="AQ15619" s="31"/>
    </row>
    <row r="15620" spans="43:43" x14ac:dyDescent="0.2">
      <c r="AQ15620" s="31"/>
    </row>
    <row r="15621" spans="43:43" x14ac:dyDescent="0.2">
      <c r="AQ15621" s="31"/>
    </row>
    <row r="15622" spans="43:43" x14ac:dyDescent="0.2">
      <c r="AQ15622" s="31"/>
    </row>
    <row r="15623" spans="43:43" x14ac:dyDescent="0.2">
      <c r="AQ15623" s="31"/>
    </row>
    <row r="15624" spans="43:43" x14ac:dyDescent="0.2">
      <c r="AQ15624" s="31"/>
    </row>
    <row r="15625" spans="43:43" x14ac:dyDescent="0.2">
      <c r="AQ15625" s="31"/>
    </row>
    <row r="15626" spans="43:43" x14ac:dyDescent="0.2">
      <c r="AQ15626" s="31"/>
    </row>
    <row r="15627" spans="43:43" x14ac:dyDescent="0.2">
      <c r="AQ15627" s="31"/>
    </row>
    <row r="15628" spans="43:43" x14ac:dyDescent="0.2">
      <c r="AQ15628" s="31"/>
    </row>
    <row r="15629" spans="43:43" x14ac:dyDescent="0.2">
      <c r="AQ15629" s="31"/>
    </row>
    <row r="15630" spans="43:43" x14ac:dyDescent="0.2">
      <c r="AQ15630" s="31"/>
    </row>
    <row r="15631" spans="43:43" x14ac:dyDescent="0.2">
      <c r="AQ15631" s="31"/>
    </row>
    <row r="15632" spans="43:43" x14ac:dyDescent="0.2">
      <c r="AQ15632" s="31"/>
    </row>
    <row r="15633" spans="43:43" x14ac:dyDescent="0.2">
      <c r="AQ15633" s="31"/>
    </row>
    <row r="15634" spans="43:43" x14ac:dyDescent="0.2">
      <c r="AQ15634" s="31"/>
    </row>
    <row r="15635" spans="43:43" x14ac:dyDescent="0.2">
      <c r="AQ15635" s="31"/>
    </row>
    <row r="15636" spans="43:43" x14ac:dyDescent="0.2">
      <c r="AQ15636" s="31"/>
    </row>
    <row r="15637" spans="43:43" x14ac:dyDescent="0.2">
      <c r="AQ15637" s="31"/>
    </row>
    <row r="15638" spans="43:43" x14ac:dyDescent="0.2">
      <c r="AQ15638" s="31"/>
    </row>
    <row r="15639" spans="43:43" x14ac:dyDescent="0.2">
      <c r="AQ15639" s="31"/>
    </row>
    <row r="15640" spans="43:43" x14ac:dyDescent="0.2">
      <c r="AQ15640" s="31"/>
    </row>
    <row r="15641" spans="43:43" x14ac:dyDescent="0.2">
      <c r="AQ15641" s="31"/>
    </row>
    <row r="15642" spans="43:43" x14ac:dyDescent="0.2">
      <c r="AQ15642" s="31"/>
    </row>
    <row r="15643" spans="43:43" x14ac:dyDescent="0.2">
      <c r="AQ15643" s="31"/>
    </row>
    <row r="15644" spans="43:43" x14ac:dyDescent="0.2">
      <c r="AQ15644" s="31"/>
    </row>
    <row r="15645" spans="43:43" x14ac:dyDescent="0.2">
      <c r="AQ15645" s="31"/>
    </row>
    <row r="15646" spans="43:43" x14ac:dyDescent="0.2">
      <c r="AQ15646" s="31"/>
    </row>
    <row r="15647" spans="43:43" x14ac:dyDescent="0.2">
      <c r="AQ15647" s="31"/>
    </row>
    <row r="15648" spans="43:43" x14ac:dyDescent="0.2">
      <c r="AQ15648" s="31"/>
    </row>
    <row r="15649" spans="43:43" x14ac:dyDescent="0.2">
      <c r="AQ15649" s="31"/>
    </row>
    <row r="15650" spans="43:43" x14ac:dyDescent="0.2">
      <c r="AQ15650" s="31"/>
    </row>
    <row r="15651" spans="43:43" x14ac:dyDescent="0.2">
      <c r="AQ15651" s="31"/>
    </row>
    <row r="15652" spans="43:43" x14ac:dyDescent="0.2">
      <c r="AQ15652" s="31"/>
    </row>
    <row r="15653" spans="43:43" x14ac:dyDescent="0.2">
      <c r="AQ15653" s="31"/>
    </row>
    <row r="15654" spans="43:43" x14ac:dyDescent="0.2">
      <c r="AQ15654" s="31"/>
    </row>
    <row r="15655" spans="43:43" x14ac:dyDescent="0.2">
      <c r="AQ15655" s="31"/>
    </row>
    <row r="15656" spans="43:43" x14ac:dyDescent="0.2">
      <c r="AQ15656" s="31"/>
    </row>
    <row r="15657" spans="43:43" x14ac:dyDescent="0.2">
      <c r="AQ15657" s="31"/>
    </row>
    <row r="15658" spans="43:43" x14ac:dyDescent="0.2">
      <c r="AQ15658" s="31"/>
    </row>
    <row r="15659" spans="43:43" x14ac:dyDescent="0.2">
      <c r="AQ15659" s="31"/>
    </row>
    <row r="15660" spans="43:43" x14ac:dyDescent="0.2">
      <c r="AQ15660" s="31"/>
    </row>
    <row r="15661" spans="43:43" x14ac:dyDescent="0.2">
      <c r="AQ15661" s="31"/>
    </row>
    <row r="15662" spans="43:43" x14ac:dyDescent="0.2">
      <c r="AQ15662" s="31"/>
    </row>
    <row r="15663" spans="43:43" x14ac:dyDescent="0.2">
      <c r="AQ15663" s="31"/>
    </row>
    <row r="15664" spans="43:43" x14ac:dyDescent="0.2">
      <c r="AQ15664" s="31"/>
    </row>
    <row r="15665" spans="43:43" x14ac:dyDescent="0.2">
      <c r="AQ15665" s="31"/>
    </row>
    <row r="15666" spans="43:43" x14ac:dyDescent="0.2">
      <c r="AQ15666" s="31"/>
    </row>
    <row r="15667" spans="43:43" x14ac:dyDescent="0.2">
      <c r="AQ15667" s="31"/>
    </row>
    <row r="15668" spans="43:43" x14ac:dyDescent="0.2">
      <c r="AQ15668" s="31"/>
    </row>
    <row r="15669" spans="43:43" x14ac:dyDescent="0.2">
      <c r="AQ15669" s="31"/>
    </row>
    <row r="15670" spans="43:43" x14ac:dyDescent="0.2">
      <c r="AQ15670" s="31"/>
    </row>
    <row r="15671" spans="43:43" x14ac:dyDescent="0.2">
      <c r="AQ15671" s="31"/>
    </row>
    <row r="15672" spans="43:43" x14ac:dyDescent="0.2">
      <c r="AQ15672" s="31"/>
    </row>
    <row r="15673" spans="43:43" x14ac:dyDescent="0.2">
      <c r="AQ15673" s="31"/>
    </row>
    <row r="15674" spans="43:43" x14ac:dyDescent="0.2">
      <c r="AQ15674" s="31"/>
    </row>
    <row r="15675" spans="43:43" x14ac:dyDescent="0.2">
      <c r="AQ15675" s="31"/>
    </row>
    <row r="15676" spans="43:43" x14ac:dyDescent="0.2">
      <c r="AQ15676" s="31"/>
    </row>
    <row r="15677" spans="43:43" x14ac:dyDescent="0.2">
      <c r="AQ15677" s="31"/>
    </row>
    <row r="15678" spans="43:43" x14ac:dyDescent="0.2">
      <c r="AQ15678" s="31"/>
    </row>
    <row r="15679" spans="43:43" x14ac:dyDescent="0.2">
      <c r="AQ15679" s="31"/>
    </row>
    <row r="15680" spans="43:43" x14ac:dyDescent="0.2">
      <c r="AQ15680" s="31"/>
    </row>
    <row r="15681" spans="43:43" x14ac:dyDescent="0.2">
      <c r="AQ15681" s="31"/>
    </row>
    <row r="15682" spans="43:43" x14ac:dyDescent="0.2">
      <c r="AQ15682" s="31"/>
    </row>
    <row r="15683" spans="43:43" x14ac:dyDescent="0.2">
      <c r="AQ15683" s="31"/>
    </row>
    <row r="15684" spans="43:43" x14ac:dyDescent="0.2">
      <c r="AQ15684" s="31"/>
    </row>
    <row r="15685" spans="43:43" x14ac:dyDescent="0.2">
      <c r="AQ15685" s="31"/>
    </row>
    <row r="15686" spans="43:43" x14ac:dyDescent="0.2">
      <c r="AQ15686" s="31"/>
    </row>
    <row r="15687" spans="43:43" x14ac:dyDescent="0.2">
      <c r="AQ15687" s="31"/>
    </row>
    <row r="15688" spans="43:43" x14ac:dyDescent="0.2">
      <c r="AQ15688" s="31"/>
    </row>
    <row r="15689" spans="43:43" x14ac:dyDescent="0.2">
      <c r="AQ15689" s="31"/>
    </row>
    <row r="15690" spans="43:43" x14ac:dyDescent="0.2">
      <c r="AQ15690" s="31"/>
    </row>
    <row r="15691" spans="43:43" x14ac:dyDescent="0.2">
      <c r="AQ15691" s="31"/>
    </row>
    <row r="15692" spans="43:43" x14ac:dyDescent="0.2">
      <c r="AQ15692" s="31"/>
    </row>
    <row r="15693" spans="43:43" x14ac:dyDescent="0.2">
      <c r="AQ15693" s="31"/>
    </row>
    <row r="15694" spans="43:43" x14ac:dyDescent="0.2">
      <c r="AQ15694" s="31"/>
    </row>
    <row r="15695" spans="43:43" x14ac:dyDescent="0.2">
      <c r="AQ15695" s="31"/>
    </row>
    <row r="15696" spans="43:43" x14ac:dyDescent="0.2">
      <c r="AQ15696" s="31"/>
    </row>
    <row r="15697" spans="43:43" x14ac:dyDescent="0.2">
      <c r="AQ15697" s="31"/>
    </row>
    <row r="15698" spans="43:43" x14ac:dyDescent="0.2">
      <c r="AQ15698" s="31"/>
    </row>
    <row r="15699" spans="43:43" x14ac:dyDescent="0.2">
      <c r="AQ15699" s="31"/>
    </row>
    <row r="15700" spans="43:43" x14ac:dyDescent="0.2">
      <c r="AQ15700" s="31"/>
    </row>
    <row r="15701" spans="43:43" x14ac:dyDescent="0.2">
      <c r="AQ15701" s="31"/>
    </row>
    <row r="15702" spans="43:43" x14ac:dyDescent="0.2">
      <c r="AQ15702" s="31"/>
    </row>
    <row r="15703" spans="43:43" x14ac:dyDescent="0.2">
      <c r="AQ15703" s="31"/>
    </row>
    <row r="15704" spans="43:43" x14ac:dyDescent="0.2">
      <c r="AQ15704" s="31"/>
    </row>
    <row r="15705" spans="43:43" x14ac:dyDescent="0.2">
      <c r="AQ15705" s="31"/>
    </row>
    <row r="15706" spans="43:43" x14ac:dyDescent="0.2">
      <c r="AQ15706" s="31"/>
    </row>
    <row r="15707" spans="43:43" x14ac:dyDescent="0.2">
      <c r="AQ15707" s="31"/>
    </row>
    <row r="15708" spans="43:43" x14ac:dyDescent="0.2">
      <c r="AQ15708" s="31"/>
    </row>
    <row r="15709" spans="43:43" x14ac:dyDescent="0.2">
      <c r="AQ15709" s="31"/>
    </row>
    <row r="15710" spans="43:43" x14ac:dyDescent="0.2">
      <c r="AQ15710" s="31"/>
    </row>
    <row r="15711" spans="43:43" x14ac:dyDescent="0.2">
      <c r="AQ15711" s="31"/>
    </row>
    <row r="15712" spans="43:43" x14ac:dyDescent="0.2">
      <c r="AQ15712" s="31"/>
    </row>
    <row r="15713" spans="43:43" x14ac:dyDescent="0.2">
      <c r="AQ15713" s="31"/>
    </row>
    <row r="15714" spans="43:43" x14ac:dyDescent="0.2">
      <c r="AQ15714" s="31"/>
    </row>
    <row r="15715" spans="43:43" x14ac:dyDescent="0.2">
      <c r="AQ15715" s="31"/>
    </row>
    <row r="15716" spans="43:43" x14ac:dyDescent="0.2">
      <c r="AQ15716" s="31"/>
    </row>
    <row r="15717" spans="43:43" x14ac:dyDescent="0.2">
      <c r="AQ15717" s="31"/>
    </row>
    <row r="15718" spans="43:43" x14ac:dyDescent="0.2">
      <c r="AQ15718" s="31"/>
    </row>
    <row r="15719" spans="43:43" x14ac:dyDescent="0.2">
      <c r="AQ15719" s="31"/>
    </row>
    <row r="15720" spans="43:43" x14ac:dyDescent="0.2">
      <c r="AQ15720" s="31"/>
    </row>
    <row r="15721" spans="43:43" x14ac:dyDescent="0.2">
      <c r="AQ15721" s="31"/>
    </row>
    <row r="15722" spans="43:43" x14ac:dyDescent="0.2">
      <c r="AQ15722" s="31"/>
    </row>
    <row r="15723" spans="43:43" x14ac:dyDescent="0.2">
      <c r="AQ15723" s="31"/>
    </row>
    <row r="15724" spans="43:43" x14ac:dyDescent="0.2">
      <c r="AQ15724" s="31"/>
    </row>
    <row r="15725" spans="43:43" x14ac:dyDescent="0.2">
      <c r="AQ15725" s="31"/>
    </row>
    <row r="15726" spans="43:43" x14ac:dyDescent="0.2">
      <c r="AQ15726" s="31"/>
    </row>
    <row r="15727" spans="43:43" x14ac:dyDescent="0.2">
      <c r="AQ15727" s="31"/>
    </row>
    <row r="15728" spans="43:43" x14ac:dyDescent="0.2">
      <c r="AQ15728" s="31"/>
    </row>
    <row r="15729" spans="43:43" x14ac:dyDescent="0.2">
      <c r="AQ15729" s="31"/>
    </row>
    <row r="15730" spans="43:43" x14ac:dyDescent="0.2">
      <c r="AQ15730" s="31"/>
    </row>
    <row r="15731" spans="43:43" x14ac:dyDescent="0.2">
      <c r="AQ15731" s="31"/>
    </row>
    <row r="15732" spans="43:43" x14ac:dyDescent="0.2">
      <c r="AQ15732" s="31"/>
    </row>
    <row r="15733" spans="43:43" x14ac:dyDescent="0.2">
      <c r="AQ15733" s="31"/>
    </row>
    <row r="15734" spans="43:43" x14ac:dyDescent="0.2">
      <c r="AQ15734" s="31"/>
    </row>
    <row r="15735" spans="43:43" x14ac:dyDescent="0.2">
      <c r="AQ15735" s="31"/>
    </row>
    <row r="15736" spans="43:43" x14ac:dyDescent="0.2">
      <c r="AQ15736" s="31"/>
    </row>
    <row r="15737" spans="43:43" x14ac:dyDescent="0.2">
      <c r="AQ15737" s="31"/>
    </row>
    <row r="15738" spans="43:43" x14ac:dyDescent="0.2">
      <c r="AQ15738" s="31"/>
    </row>
    <row r="15739" spans="43:43" x14ac:dyDescent="0.2">
      <c r="AQ15739" s="31"/>
    </row>
    <row r="15740" spans="43:43" x14ac:dyDescent="0.2">
      <c r="AQ15740" s="31"/>
    </row>
    <row r="15741" spans="43:43" x14ac:dyDescent="0.2">
      <c r="AQ15741" s="31"/>
    </row>
    <row r="15742" spans="43:43" x14ac:dyDescent="0.2">
      <c r="AQ15742" s="31"/>
    </row>
    <row r="15743" spans="43:43" x14ac:dyDescent="0.2">
      <c r="AQ15743" s="31"/>
    </row>
    <row r="15744" spans="43:43" x14ac:dyDescent="0.2">
      <c r="AQ15744" s="31"/>
    </row>
    <row r="15745" spans="43:43" x14ac:dyDescent="0.2">
      <c r="AQ15745" s="31"/>
    </row>
    <row r="15746" spans="43:43" x14ac:dyDescent="0.2">
      <c r="AQ15746" s="31"/>
    </row>
    <row r="15747" spans="43:43" x14ac:dyDescent="0.2">
      <c r="AQ15747" s="31"/>
    </row>
    <row r="15748" spans="43:43" x14ac:dyDescent="0.2">
      <c r="AQ15748" s="31"/>
    </row>
    <row r="15749" spans="43:43" x14ac:dyDescent="0.2">
      <c r="AQ15749" s="31"/>
    </row>
    <row r="15750" spans="43:43" x14ac:dyDescent="0.2">
      <c r="AQ15750" s="31"/>
    </row>
    <row r="15751" spans="43:43" x14ac:dyDescent="0.2">
      <c r="AQ15751" s="31"/>
    </row>
    <row r="15752" spans="43:43" x14ac:dyDescent="0.2">
      <c r="AQ15752" s="31"/>
    </row>
    <row r="15753" spans="43:43" x14ac:dyDescent="0.2">
      <c r="AQ15753" s="31"/>
    </row>
    <row r="15754" spans="43:43" x14ac:dyDescent="0.2">
      <c r="AQ15754" s="31"/>
    </row>
    <row r="15755" spans="43:43" x14ac:dyDescent="0.2">
      <c r="AQ15755" s="31"/>
    </row>
    <row r="15756" spans="43:43" x14ac:dyDescent="0.2">
      <c r="AQ15756" s="31"/>
    </row>
    <row r="15757" spans="43:43" x14ac:dyDescent="0.2">
      <c r="AQ15757" s="31"/>
    </row>
    <row r="15758" spans="43:43" x14ac:dyDescent="0.2">
      <c r="AQ15758" s="31"/>
    </row>
    <row r="15759" spans="43:43" x14ac:dyDescent="0.2">
      <c r="AQ15759" s="31"/>
    </row>
    <row r="15760" spans="43:43" x14ac:dyDescent="0.2">
      <c r="AQ15760" s="31"/>
    </row>
    <row r="15761" spans="43:43" x14ac:dyDescent="0.2">
      <c r="AQ15761" s="31"/>
    </row>
    <row r="15762" spans="43:43" x14ac:dyDescent="0.2">
      <c r="AQ15762" s="31"/>
    </row>
    <row r="15763" spans="43:43" x14ac:dyDescent="0.2">
      <c r="AQ15763" s="31"/>
    </row>
    <row r="15764" spans="43:43" x14ac:dyDescent="0.2">
      <c r="AQ15764" s="31"/>
    </row>
    <row r="15765" spans="43:43" x14ac:dyDescent="0.2">
      <c r="AQ15765" s="31"/>
    </row>
    <row r="15766" spans="43:43" x14ac:dyDescent="0.2">
      <c r="AQ15766" s="31"/>
    </row>
    <row r="15767" spans="43:43" x14ac:dyDescent="0.2">
      <c r="AQ15767" s="31"/>
    </row>
    <row r="15768" spans="43:43" x14ac:dyDescent="0.2">
      <c r="AQ15768" s="31"/>
    </row>
    <row r="15769" spans="43:43" x14ac:dyDescent="0.2">
      <c r="AQ15769" s="31"/>
    </row>
    <row r="15770" spans="43:43" x14ac:dyDescent="0.2">
      <c r="AQ15770" s="31"/>
    </row>
    <row r="15771" spans="43:43" x14ac:dyDescent="0.2">
      <c r="AQ15771" s="31"/>
    </row>
    <row r="15772" spans="43:43" x14ac:dyDescent="0.2">
      <c r="AQ15772" s="31"/>
    </row>
    <row r="15773" spans="43:43" x14ac:dyDescent="0.2">
      <c r="AQ15773" s="31"/>
    </row>
    <row r="15774" spans="43:43" x14ac:dyDescent="0.2">
      <c r="AQ15774" s="31"/>
    </row>
    <row r="15775" spans="43:43" x14ac:dyDescent="0.2">
      <c r="AQ15775" s="31"/>
    </row>
    <row r="15776" spans="43:43" x14ac:dyDescent="0.2">
      <c r="AQ15776" s="31"/>
    </row>
    <row r="15777" spans="43:43" x14ac:dyDescent="0.2">
      <c r="AQ15777" s="31"/>
    </row>
    <row r="15778" spans="43:43" x14ac:dyDescent="0.2">
      <c r="AQ15778" s="31"/>
    </row>
    <row r="15779" spans="43:43" x14ac:dyDescent="0.2">
      <c r="AQ15779" s="31"/>
    </row>
    <row r="15780" spans="43:43" x14ac:dyDescent="0.2">
      <c r="AQ15780" s="31"/>
    </row>
    <row r="15781" spans="43:43" x14ac:dyDescent="0.2">
      <c r="AQ15781" s="31"/>
    </row>
    <row r="15782" spans="43:43" x14ac:dyDescent="0.2">
      <c r="AQ15782" s="31"/>
    </row>
    <row r="15783" spans="43:43" x14ac:dyDescent="0.2">
      <c r="AQ15783" s="31"/>
    </row>
    <row r="15784" spans="43:43" x14ac:dyDescent="0.2">
      <c r="AQ15784" s="31"/>
    </row>
    <row r="15785" spans="43:43" x14ac:dyDescent="0.2">
      <c r="AQ15785" s="31"/>
    </row>
    <row r="15786" spans="43:43" x14ac:dyDescent="0.2">
      <c r="AQ15786" s="31"/>
    </row>
    <row r="15787" spans="43:43" x14ac:dyDescent="0.2">
      <c r="AQ15787" s="31"/>
    </row>
    <row r="15788" spans="43:43" x14ac:dyDescent="0.2">
      <c r="AQ15788" s="31"/>
    </row>
    <row r="15789" spans="43:43" x14ac:dyDescent="0.2">
      <c r="AQ15789" s="31"/>
    </row>
    <row r="15790" spans="43:43" x14ac:dyDescent="0.2">
      <c r="AQ15790" s="31"/>
    </row>
    <row r="15791" spans="43:43" x14ac:dyDescent="0.2">
      <c r="AQ15791" s="31"/>
    </row>
    <row r="15792" spans="43:43" x14ac:dyDescent="0.2">
      <c r="AQ15792" s="31"/>
    </row>
    <row r="15793" spans="43:43" x14ac:dyDescent="0.2">
      <c r="AQ15793" s="31"/>
    </row>
    <row r="15794" spans="43:43" x14ac:dyDescent="0.2">
      <c r="AQ15794" s="31"/>
    </row>
    <row r="15795" spans="43:43" x14ac:dyDescent="0.2">
      <c r="AQ15795" s="31"/>
    </row>
    <row r="15796" spans="43:43" x14ac:dyDescent="0.2">
      <c r="AQ15796" s="31"/>
    </row>
    <row r="15797" spans="43:43" x14ac:dyDescent="0.2">
      <c r="AQ15797" s="31"/>
    </row>
    <row r="15798" spans="43:43" x14ac:dyDescent="0.2">
      <c r="AQ15798" s="31"/>
    </row>
    <row r="15799" spans="43:43" x14ac:dyDescent="0.2">
      <c r="AQ15799" s="31"/>
    </row>
    <row r="15800" spans="43:43" x14ac:dyDescent="0.2">
      <c r="AQ15800" s="31"/>
    </row>
    <row r="15801" spans="43:43" x14ac:dyDescent="0.2">
      <c r="AQ15801" s="31"/>
    </row>
    <row r="15802" spans="43:43" x14ac:dyDescent="0.2">
      <c r="AQ15802" s="31"/>
    </row>
    <row r="15803" spans="43:43" x14ac:dyDescent="0.2">
      <c r="AQ15803" s="31"/>
    </row>
    <row r="15804" spans="43:43" x14ac:dyDescent="0.2">
      <c r="AQ15804" s="31"/>
    </row>
    <row r="15805" spans="43:43" x14ac:dyDescent="0.2">
      <c r="AQ15805" s="31"/>
    </row>
    <row r="15806" spans="43:43" x14ac:dyDescent="0.2">
      <c r="AQ15806" s="31"/>
    </row>
    <row r="15807" spans="43:43" x14ac:dyDescent="0.2">
      <c r="AQ15807" s="31"/>
    </row>
    <row r="15808" spans="43:43" x14ac:dyDescent="0.2">
      <c r="AQ15808" s="31"/>
    </row>
    <row r="15809" spans="43:43" x14ac:dyDescent="0.2">
      <c r="AQ15809" s="31"/>
    </row>
    <row r="15810" spans="43:43" x14ac:dyDescent="0.2">
      <c r="AQ15810" s="31"/>
    </row>
    <row r="15811" spans="43:43" x14ac:dyDescent="0.2">
      <c r="AQ15811" s="31"/>
    </row>
    <row r="15812" spans="43:43" x14ac:dyDescent="0.2">
      <c r="AQ15812" s="31"/>
    </row>
    <row r="15813" spans="43:43" x14ac:dyDescent="0.2">
      <c r="AQ15813" s="31"/>
    </row>
    <row r="15814" spans="43:43" x14ac:dyDescent="0.2">
      <c r="AQ15814" s="31"/>
    </row>
    <row r="15815" spans="43:43" x14ac:dyDescent="0.2">
      <c r="AQ15815" s="31"/>
    </row>
    <row r="15816" spans="43:43" x14ac:dyDescent="0.2">
      <c r="AQ15816" s="31"/>
    </row>
    <row r="15817" spans="43:43" x14ac:dyDescent="0.2">
      <c r="AQ15817" s="31"/>
    </row>
    <row r="15818" spans="43:43" x14ac:dyDescent="0.2">
      <c r="AQ15818" s="31"/>
    </row>
    <row r="15819" spans="43:43" x14ac:dyDescent="0.2">
      <c r="AQ15819" s="31"/>
    </row>
    <row r="15820" spans="43:43" x14ac:dyDescent="0.2">
      <c r="AQ15820" s="31"/>
    </row>
    <row r="15821" spans="43:43" x14ac:dyDescent="0.2">
      <c r="AQ15821" s="31"/>
    </row>
    <row r="15822" spans="43:43" x14ac:dyDescent="0.2">
      <c r="AQ15822" s="31"/>
    </row>
    <row r="15823" spans="43:43" x14ac:dyDescent="0.2">
      <c r="AQ15823" s="31"/>
    </row>
    <row r="15824" spans="43:43" x14ac:dyDescent="0.2">
      <c r="AQ15824" s="31"/>
    </row>
    <row r="15825" spans="43:43" x14ac:dyDescent="0.2">
      <c r="AQ15825" s="31"/>
    </row>
    <row r="15826" spans="43:43" x14ac:dyDescent="0.2">
      <c r="AQ15826" s="31"/>
    </row>
    <row r="15827" spans="43:43" x14ac:dyDescent="0.2">
      <c r="AQ15827" s="31"/>
    </row>
    <row r="15828" spans="43:43" x14ac:dyDescent="0.2">
      <c r="AQ15828" s="31"/>
    </row>
    <row r="15829" spans="43:43" x14ac:dyDescent="0.2">
      <c r="AQ15829" s="31"/>
    </row>
    <row r="15830" spans="43:43" x14ac:dyDescent="0.2">
      <c r="AQ15830" s="31"/>
    </row>
    <row r="15831" spans="43:43" x14ac:dyDescent="0.2">
      <c r="AQ15831" s="31"/>
    </row>
    <row r="15832" spans="43:43" x14ac:dyDescent="0.2">
      <c r="AQ15832" s="31"/>
    </row>
    <row r="15833" spans="43:43" x14ac:dyDescent="0.2">
      <c r="AQ15833" s="31"/>
    </row>
    <row r="15834" spans="43:43" x14ac:dyDescent="0.2">
      <c r="AQ15834" s="31"/>
    </row>
    <row r="15835" spans="43:43" x14ac:dyDescent="0.2">
      <c r="AQ15835" s="31"/>
    </row>
    <row r="15836" spans="43:43" x14ac:dyDescent="0.2">
      <c r="AQ15836" s="31"/>
    </row>
    <row r="15837" spans="43:43" x14ac:dyDescent="0.2">
      <c r="AQ15837" s="31"/>
    </row>
    <row r="15838" spans="43:43" x14ac:dyDescent="0.2">
      <c r="AQ15838" s="31"/>
    </row>
    <row r="15839" spans="43:43" x14ac:dyDescent="0.2">
      <c r="AQ15839" s="31"/>
    </row>
    <row r="15840" spans="43:43" x14ac:dyDescent="0.2">
      <c r="AQ15840" s="31"/>
    </row>
    <row r="15841" spans="43:43" x14ac:dyDescent="0.2">
      <c r="AQ15841" s="31"/>
    </row>
    <row r="15842" spans="43:43" x14ac:dyDescent="0.2">
      <c r="AQ15842" s="31"/>
    </row>
    <row r="15843" spans="43:43" x14ac:dyDescent="0.2">
      <c r="AQ15843" s="31"/>
    </row>
    <row r="15844" spans="43:43" x14ac:dyDescent="0.2">
      <c r="AQ15844" s="31"/>
    </row>
    <row r="15845" spans="43:43" x14ac:dyDescent="0.2">
      <c r="AQ15845" s="31"/>
    </row>
    <row r="15846" spans="43:43" x14ac:dyDescent="0.2">
      <c r="AQ15846" s="31"/>
    </row>
    <row r="15847" spans="43:43" x14ac:dyDescent="0.2">
      <c r="AQ15847" s="31"/>
    </row>
    <row r="15848" spans="43:43" x14ac:dyDescent="0.2">
      <c r="AQ15848" s="31"/>
    </row>
    <row r="15849" spans="43:43" x14ac:dyDescent="0.2">
      <c r="AQ15849" s="31"/>
    </row>
    <row r="15850" spans="43:43" x14ac:dyDescent="0.2">
      <c r="AQ15850" s="31"/>
    </row>
    <row r="15851" spans="43:43" x14ac:dyDescent="0.2">
      <c r="AQ15851" s="31"/>
    </row>
    <row r="15852" spans="43:43" x14ac:dyDescent="0.2">
      <c r="AQ15852" s="31"/>
    </row>
    <row r="15853" spans="43:43" x14ac:dyDescent="0.2">
      <c r="AQ15853" s="31"/>
    </row>
    <row r="15854" spans="43:43" x14ac:dyDescent="0.2">
      <c r="AQ15854" s="31"/>
    </row>
    <row r="15855" spans="43:43" x14ac:dyDescent="0.2">
      <c r="AQ15855" s="31"/>
    </row>
    <row r="15856" spans="43:43" x14ac:dyDescent="0.2">
      <c r="AQ15856" s="31"/>
    </row>
    <row r="15857" spans="43:43" x14ac:dyDescent="0.2">
      <c r="AQ15857" s="31"/>
    </row>
    <row r="15858" spans="43:43" x14ac:dyDescent="0.2">
      <c r="AQ15858" s="31"/>
    </row>
    <row r="15859" spans="43:43" x14ac:dyDescent="0.2">
      <c r="AQ15859" s="31"/>
    </row>
    <row r="15860" spans="43:43" x14ac:dyDescent="0.2">
      <c r="AQ15860" s="31"/>
    </row>
    <row r="15861" spans="43:43" x14ac:dyDescent="0.2">
      <c r="AQ15861" s="31"/>
    </row>
    <row r="15862" spans="43:43" x14ac:dyDescent="0.2">
      <c r="AQ15862" s="31"/>
    </row>
    <row r="15863" spans="43:43" x14ac:dyDescent="0.2">
      <c r="AQ15863" s="31"/>
    </row>
    <row r="15864" spans="43:43" x14ac:dyDescent="0.2">
      <c r="AQ15864" s="31"/>
    </row>
    <row r="15865" spans="43:43" x14ac:dyDescent="0.2">
      <c r="AQ15865" s="31"/>
    </row>
    <row r="15866" spans="43:43" x14ac:dyDescent="0.2">
      <c r="AQ15866" s="31"/>
    </row>
    <row r="15867" spans="43:43" x14ac:dyDescent="0.2">
      <c r="AQ15867" s="31"/>
    </row>
    <row r="15868" spans="43:43" x14ac:dyDescent="0.2">
      <c r="AQ15868" s="31"/>
    </row>
    <row r="15869" spans="43:43" x14ac:dyDescent="0.2">
      <c r="AQ15869" s="31"/>
    </row>
    <row r="15870" spans="43:43" x14ac:dyDescent="0.2">
      <c r="AQ15870" s="31"/>
    </row>
    <row r="15871" spans="43:43" x14ac:dyDescent="0.2">
      <c r="AQ15871" s="31"/>
    </row>
    <row r="15872" spans="43:43" x14ac:dyDescent="0.2">
      <c r="AQ15872" s="31"/>
    </row>
    <row r="15873" spans="43:43" x14ac:dyDescent="0.2">
      <c r="AQ15873" s="31"/>
    </row>
    <row r="15874" spans="43:43" x14ac:dyDescent="0.2">
      <c r="AQ15874" s="31"/>
    </row>
    <row r="15875" spans="43:43" x14ac:dyDescent="0.2">
      <c r="AQ15875" s="31"/>
    </row>
    <row r="15876" spans="43:43" x14ac:dyDescent="0.2">
      <c r="AQ15876" s="31"/>
    </row>
    <row r="15877" spans="43:43" x14ac:dyDescent="0.2">
      <c r="AQ15877" s="31"/>
    </row>
    <row r="15878" spans="43:43" x14ac:dyDescent="0.2">
      <c r="AQ15878" s="31"/>
    </row>
    <row r="15879" spans="43:43" x14ac:dyDescent="0.2">
      <c r="AQ15879" s="31"/>
    </row>
    <row r="15880" spans="43:43" x14ac:dyDescent="0.2">
      <c r="AQ15880" s="31"/>
    </row>
    <row r="15881" spans="43:43" x14ac:dyDescent="0.2">
      <c r="AQ15881" s="31"/>
    </row>
    <row r="15882" spans="43:43" x14ac:dyDescent="0.2">
      <c r="AQ15882" s="31"/>
    </row>
    <row r="15883" spans="43:43" x14ac:dyDescent="0.2">
      <c r="AQ15883" s="31"/>
    </row>
    <row r="15884" spans="43:43" x14ac:dyDescent="0.2">
      <c r="AQ15884" s="31"/>
    </row>
    <row r="15885" spans="43:43" x14ac:dyDescent="0.2">
      <c r="AQ15885" s="31"/>
    </row>
    <row r="15886" spans="43:43" x14ac:dyDescent="0.2">
      <c r="AQ15886" s="31"/>
    </row>
    <row r="15887" spans="43:43" x14ac:dyDescent="0.2">
      <c r="AQ15887" s="31"/>
    </row>
    <row r="15888" spans="43:43" x14ac:dyDescent="0.2">
      <c r="AQ15888" s="31"/>
    </row>
    <row r="15889" spans="43:43" x14ac:dyDescent="0.2">
      <c r="AQ15889" s="31"/>
    </row>
    <row r="15890" spans="43:43" x14ac:dyDescent="0.2">
      <c r="AQ15890" s="31"/>
    </row>
    <row r="15891" spans="43:43" x14ac:dyDescent="0.2">
      <c r="AQ15891" s="31"/>
    </row>
    <row r="15892" spans="43:43" x14ac:dyDescent="0.2">
      <c r="AQ15892" s="31"/>
    </row>
    <row r="15893" spans="43:43" x14ac:dyDescent="0.2">
      <c r="AQ15893" s="31"/>
    </row>
    <row r="15894" spans="43:43" x14ac:dyDescent="0.2">
      <c r="AQ15894" s="31"/>
    </row>
    <row r="15895" spans="43:43" x14ac:dyDescent="0.2">
      <c r="AQ15895" s="31"/>
    </row>
    <row r="15896" spans="43:43" x14ac:dyDescent="0.2">
      <c r="AQ15896" s="31"/>
    </row>
    <row r="15897" spans="43:43" x14ac:dyDescent="0.2">
      <c r="AQ15897" s="31"/>
    </row>
    <row r="15898" spans="43:43" x14ac:dyDescent="0.2">
      <c r="AQ15898" s="31"/>
    </row>
    <row r="15899" spans="43:43" x14ac:dyDescent="0.2">
      <c r="AQ15899" s="31"/>
    </row>
    <row r="15900" spans="43:43" x14ac:dyDescent="0.2">
      <c r="AQ15900" s="31"/>
    </row>
    <row r="15901" spans="43:43" x14ac:dyDescent="0.2">
      <c r="AQ15901" s="31"/>
    </row>
    <row r="15902" spans="43:43" x14ac:dyDescent="0.2">
      <c r="AQ15902" s="31"/>
    </row>
    <row r="15903" spans="43:43" x14ac:dyDescent="0.2">
      <c r="AQ15903" s="31"/>
    </row>
    <row r="15904" spans="43:43" x14ac:dyDescent="0.2">
      <c r="AQ15904" s="31"/>
    </row>
    <row r="15905" spans="43:43" x14ac:dyDescent="0.2">
      <c r="AQ15905" s="31"/>
    </row>
    <row r="15906" spans="43:43" x14ac:dyDescent="0.2">
      <c r="AQ15906" s="31"/>
    </row>
    <row r="15907" spans="43:43" x14ac:dyDescent="0.2">
      <c r="AQ15907" s="31"/>
    </row>
    <row r="15908" spans="43:43" x14ac:dyDescent="0.2">
      <c r="AQ15908" s="31"/>
    </row>
    <row r="15909" spans="43:43" x14ac:dyDescent="0.2">
      <c r="AQ15909" s="31"/>
    </row>
    <row r="15910" spans="43:43" x14ac:dyDescent="0.2">
      <c r="AQ15910" s="31"/>
    </row>
    <row r="15911" spans="43:43" x14ac:dyDescent="0.2">
      <c r="AQ15911" s="31"/>
    </row>
    <row r="15912" spans="43:43" x14ac:dyDescent="0.2">
      <c r="AQ15912" s="31"/>
    </row>
    <row r="15913" spans="43:43" x14ac:dyDescent="0.2">
      <c r="AQ15913" s="31"/>
    </row>
    <row r="15914" spans="43:43" x14ac:dyDescent="0.2">
      <c r="AQ15914" s="31"/>
    </row>
    <row r="15915" spans="43:43" x14ac:dyDescent="0.2">
      <c r="AQ15915" s="31"/>
    </row>
    <row r="15916" spans="43:43" x14ac:dyDescent="0.2">
      <c r="AQ15916" s="31"/>
    </row>
    <row r="15917" spans="43:43" x14ac:dyDescent="0.2">
      <c r="AQ15917" s="31"/>
    </row>
    <row r="15918" spans="43:43" x14ac:dyDescent="0.2">
      <c r="AQ15918" s="31"/>
    </row>
    <row r="15919" spans="43:43" x14ac:dyDescent="0.2">
      <c r="AQ15919" s="31"/>
    </row>
    <row r="15920" spans="43:43" x14ac:dyDescent="0.2">
      <c r="AQ15920" s="31"/>
    </row>
    <row r="15921" spans="43:43" x14ac:dyDescent="0.2">
      <c r="AQ15921" s="31"/>
    </row>
    <row r="15922" spans="43:43" x14ac:dyDescent="0.2">
      <c r="AQ15922" s="31"/>
    </row>
    <row r="15923" spans="43:43" x14ac:dyDescent="0.2">
      <c r="AQ15923" s="31"/>
    </row>
    <row r="15924" spans="43:43" x14ac:dyDescent="0.2">
      <c r="AQ15924" s="31"/>
    </row>
    <row r="15925" spans="43:43" x14ac:dyDescent="0.2">
      <c r="AQ15925" s="31"/>
    </row>
    <row r="15926" spans="43:43" x14ac:dyDescent="0.2">
      <c r="AQ15926" s="31"/>
    </row>
    <row r="15927" spans="43:43" x14ac:dyDescent="0.2">
      <c r="AQ15927" s="31"/>
    </row>
    <row r="15928" spans="43:43" x14ac:dyDescent="0.2">
      <c r="AQ15928" s="31"/>
    </row>
    <row r="15929" spans="43:43" x14ac:dyDescent="0.2">
      <c r="AQ15929" s="31"/>
    </row>
    <row r="15930" spans="43:43" x14ac:dyDescent="0.2">
      <c r="AQ15930" s="31"/>
    </row>
    <row r="15931" spans="43:43" x14ac:dyDescent="0.2">
      <c r="AQ15931" s="31"/>
    </row>
    <row r="15932" spans="43:43" x14ac:dyDescent="0.2">
      <c r="AQ15932" s="31"/>
    </row>
    <row r="15933" spans="43:43" x14ac:dyDescent="0.2">
      <c r="AQ15933" s="31"/>
    </row>
    <row r="15934" spans="43:43" x14ac:dyDescent="0.2">
      <c r="AQ15934" s="31"/>
    </row>
    <row r="15935" spans="43:43" x14ac:dyDescent="0.2">
      <c r="AQ15935" s="31"/>
    </row>
    <row r="15936" spans="43:43" x14ac:dyDescent="0.2">
      <c r="AQ15936" s="31"/>
    </row>
    <row r="15937" spans="43:43" x14ac:dyDescent="0.2">
      <c r="AQ15937" s="31"/>
    </row>
    <row r="15938" spans="43:43" x14ac:dyDescent="0.2">
      <c r="AQ15938" s="31"/>
    </row>
    <row r="15939" spans="43:43" x14ac:dyDescent="0.2">
      <c r="AQ15939" s="31"/>
    </row>
    <row r="15940" spans="43:43" x14ac:dyDescent="0.2">
      <c r="AQ15940" s="31"/>
    </row>
    <row r="15941" spans="43:43" x14ac:dyDescent="0.2">
      <c r="AQ15941" s="31"/>
    </row>
    <row r="15942" spans="43:43" x14ac:dyDescent="0.2">
      <c r="AQ15942" s="31"/>
    </row>
    <row r="15943" spans="43:43" x14ac:dyDescent="0.2">
      <c r="AQ15943" s="31"/>
    </row>
    <row r="15944" spans="43:43" x14ac:dyDescent="0.2">
      <c r="AQ15944" s="31"/>
    </row>
    <row r="15945" spans="43:43" x14ac:dyDescent="0.2">
      <c r="AQ15945" s="31"/>
    </row>
    <row r="15946" spans="43:43" x14ac:dyDescent="0.2">
      <c r="AQ15946" s="31"/>
    </row>
    <row r="15947" spans="43:43" x14ac:dyDescent="0.2">
      <c r="AQ15947" s="31"/>
    </row>
    <row r="15948" spans="43:43" x14ac:dyDescent="0.2">
      <c r="AQ15948" s="31"/>
    </row>
    <row r="15949" spans="43:43" x14ac:dyDescent="0.2">
      <c r="AQ15949" s="31"/>
    </row>
    <row r="15950" spans="43:43" x14ac:dyDescent="0.2">
      <c r="AQ15950" s="31"/>
    </row>
    <row r="15951" spans="43:43" x14ac:dyDescent="0.2">
      <c r="AQ15951" s="31"/>
    </row>
    <row r="15952" spans="43:43" x14ac:dyDescent="0.2">
      <c r="AQ15952" s="31"/>
    </row>
    <row r="15953" spans="43:43" x14ac:dyDescent="0.2">
      <c r="AQ15953" s="31"/>
    </row>
    <row r="15954" spans="43:43" x14ac:dyDescent="0.2">
      <c r="AQ15954" s="31"/>
    </row>
    <row r="15955" spans="43:43" x14ac:dyDescent="0.2">
      <c r="AQ15955" s="31"/>
    </row>
    <row r="15956" spans="43:43" x14ac:dyDescent="0.2">
      <c r="AQ15956" s="31"/>
    </row>
    <row r="15957" spans="43:43" x14ac:dyDescent="0.2">
      <c r="AQ15957" s="31"/>
    </row>
    <row r="15958" spans="43:43" x14ac:dyDescent="0.2">
      <c r="AQ15958" s="31"/>
    </row>
    <row r="15959" spans="43:43" x14ac:dyDescent="0.2">
      <c r="AQ15959" s="31"/>
    </row>
    <row r="15960" spans="43:43" x14ac:dyDescent="0.2">
      <c r="AQ15960" s="31"/>
    </row>
    <row r="15961" spans="43:43" x14ac:dyDescent="0.2">
      <c r="AQ15961" s="31"/>
    </row>
    <row r="15962" spans="43:43" x14ac:dyDescent="0.2">
      <c r="AQ15962" s="31"/>
    </row>
    <row r="15963" spans="43:43" x14ac:dyDescent="0.2">
      <c r="AQ15963" s="31"/>
    </row>
    <row r="15964" spans="43:43" x14ac:dyDescent="0.2">
      <c r="AQ15964" s="31"/>
    </row>
    <row r="15965" spans="43:43" x14ac:dyDescent="0.2">
      <c r="AQ15965" s="31"/>
    </row>
    <row r="15966" spans="43:43" x14ac:dyDescent="0.2">
      <c r="AQ15966" s="31"/>
    </row>
    <row r="15967" spans="43:43" x14ac:dyDescent="0.2">
      <c r="AQ15967" s="31"/>
    </row>
    <row r="15968" spans="43:43" x14ac:dyDescent="0.2">
      <c r="AQ15968" s="31"/>
    </row>
    <row r="15969" spans="43:43" x14ac:dyDescent="0.2">
      <c r="AQ15969" s="31"/>
    </row>
    <row r="15970" spans="43:43" x14ac:dyDescent="0.2">
      <c r="AQ15970" s="31"/>
    </row>
    <row r="15971" spans="43:43" x14ac:dyDescent="0.2">
      <c r="AQ15971" s="31"/>
    </row>
    <row r="15972" spans="43:43" x14ac:dyDescent="0.2">
      <c r="AQ15972" s="31"/>
    </row>
    <row r="15973" spans="43:43" x14ac:dyDescent="0.2">
      <c r="AQ15973" s="31"/>
    </row>
    <row r="15974" spans="43:43" x14ac:dyDescent="0.2">
      <c r="AQ15974" s="31"/>
    </row>
    <row r="15975" spans="43:43" x14ac:dyDescent="0.2">
      <c r="AQ15975" s="31"/>
    </row>
    <row r="15976" spans="43:43" x14ac:dyDescent="0.2">
      <c r="AQ15976" s="31"/>
    </row>
    <row r="15977" spans="43:43" x14ac:dyDescent="0.2">
      <c r="AQ15977" s="31"/>
    </row>
    <row r="15978" spans="43:43" x14ac:dyDescent="0.2">
      <c r="AQ15978" s="31"/>
    </row>
    <row r="15979" spans="43:43" x14ac:dyDescent="0.2">
      <c r="AQ15979" s="31"/>
    </row>
    <row r="15980" spans="43:43" x14ac:dyDescent="0.2">
      <c r="AQ15980" s="31"/>
    </row>
    <row r="15981" spans="43:43" x14ac:dyDescent="0.2">
      <c r="AQ15981" s="31"/>
    </row>
    <row r="15982" spans="43:43" x14ac:dyDescent="0.2">
      <c r="AQ15982" s="31"/>
    </row>
    <row r="15983" spans="43:43" x14ac:dyDescent="0.2">
      <c r="AQ15983" s="31"/>
    </row>
    <row r="15984" spans="43:43" x14ac:dyDescent="0.2">
      <c r="AQ15984" s="31"/>
    </row>
    <row r="15985" spans="43:43" x14ac:dyDescent="0.2">
      <c r="AQ15985" s="31"/>
    </row>
    <row r="15986" spans="43:43" x14ac:dyDescent="0.2">
      <c r="AQ15986" s="31"/>
    </row>
    <row r="15987" spans="43:43" x14ac:dyDescent="0.2">
      <c r="AQ15987" s="31"/>
    </row>
    <row r="15988" spans="43:43" x14ac:dyDescent="0.2">
      <c r="AQ15988" s="31"/>
    </row>
    <row r="15989" spans="43:43" x14ac:dyDescent="0.2">
      <c r="AQ15989" s="31"/>
    </row>
    <row r="15990" spans="43:43" x14ac:dyDescent="0.2">
      <c r="AQ15990" s="31"/>
    </row>
    <row r="15991" spans="43:43" x14ac:dyDescent="0.2">
      <c r="AQ15991" s="31"/>
    </row>
    <row r="15992" spans="43:43" x14ac:dyDescent="0.2">
      <c r="AQ15992" s="31"/>
    </row>
    <row r="15993" spans="43:43" x14ac:dyDescent="0.2">
      <c r="AQ15993" s="31"/>
    </row>
    <row r="15994" spans="43:43" x14ac:dyDescent="0.2">
      <c r="AQ15994" s="31"/>
    </row>
    <row r="15995" spans="43:43" x14ac:dyDescent="0.2">
      <c r="AQ15995" s="31"/>
    </row>
    <row r="15996" spans="43:43" x14ac:dyDescent="0.2">
      <c r="AQ15996" s="31"/>
    </row>
    <row r="15997" spans="43:43" x14ac:dyDescent="0.2">
      <c r="AQ15997" s="31"/>
    </row>
    <row r="15998" spans="43:43" x14ac:dyDescent="0.2">
      <c r="AQ15998" s="31"/>
    </row>
    <row r="15999" spans="43:43" x14ac:dyDescent="0.2">
      <c r="AQ15999" s="31"/>
    </row>
    <row r="16000" spans="43:43" x14ac:dyDescent="0.2">
      <c r="AQ16000" s="31"/>
    </row>
    <row r="16001" spans="43:43" x14ac:dyDescent="0.2">
      <c r="AQ16001" s="31"/>
    </row>
    <row r="16002" spans="43:43" x14ac:dyDescent="0.2">
      <c r="AQ16002" s="31"/>
    </row>
    <row r="16003" spans="43:43" x14ac:dyDescent="0.2">
      <c r="AQ16003" s="31"/>
    </row>
    <row r="16004" spans="43:43" x14ac:dyDescent="0.2">
      <c r="AQ16004" s="31"/>
    </row>
    <row r="16005" spans="43:43" x14ac:dyDescent="0.2">
      <c r="AQ16005" s="31"/>
    </row>
    <row r="16006" spans="43:43" x14ac:dyDescent="0.2">
      <c r="AQ16006" s="31"/>
    </row>
    <row r="16007" spans="43:43" x14ac:dyDescent="0.2">
      <c r="AQ16007" s="31"/>
    </row>
    <row r="16008" spans="43:43" x14ac:dyDescent="0.2">
      <c r="AQ16008" s="31"/>
    </row>
    <row r="16009" spans="43:43" x14ac:dyDescent="0.2">
      <c r="AQ16009" s="31"/>
    </row>
    <row r="16010" spans="43:43" x14ac:dyDescent="0.2">
      <c r="AQ16010" s="31"/>
    </row>
    <row r="16011" spans="43:43" x14ac:dyDescent="0.2">
      <c r="AQ16011" s="31"/>
    </row>
    <row r="16012" spans="43:43" x14ac:dyDescent="0.2">
      <c r="AQ16012" s="31"/>
    </row>
    <row r="16013" spans="43:43" x14ac:dyDescent="0.2">
      <c r="AQ16013" s="31"/>
    </row>
    <row r="16014" spans="43:43" x14ac:dyDescent="0.2">
      <c r="AQ16014" s="31"/>
    </row>
    <row r="16015" spans="43:43" x14ac:dyDescent="0.2">
      <c r="AQ16015" s="31"/>
    </row>
    <row r="16016" spans="43:43" x14ac:dyDescent="0.2">
      <c r="AQ16016" s="31"/>
    </row>
    <row r="16017" spans="43:43" x14ac:dyDescent="0.2">
      <c r="AQ16017" s="31"/>
    </row>
    <row r="16018" spans="43:43" x14ac:dyDescent="0.2">
      <c r="AQ16018" s="31"/>
    </row>
    <row r="16019" spans="43:43" x14ac:dyDescent="0.2">
      <c r="AQ16019" s="31"/>
    </row>
    <row r="16020" spans="43:43" x14ac:dyDescent="0.2">
      <c r="AQ16020" s="31"/>
    </row>
    <row r="16021" spans="43:43" x14ac:dyDescent="0.2">
      <c r="AQ16021" s="31"/>
    </row>
    <row r="16022" spans="43:43" x14ac:dyDescent="0.2">
      <c r="AQ16022" s="31"/>
    </row>
    <row r="16023" spans="43:43" x14ac:dyDescent="0.2">
      <c r="AQ16023" s="31"/>
    </row>
    <row r="16024" spans="43:43" x14ac:dyDescent="0.2">
      <c r="AQ16024" s="31"/>
    </row>
    <row r="16025" spans="43:43" x14ac:dyDescent="0.2">
      <c r="AQ16025" s="31"/>
    </row>
    <row r="16026" spans="43:43" x14ac:dyDescent="0.2">
      <c r="AQ16026" s="31"/>
    </row>
    <row r="16027" spans="43:43" x14ac:dyDescent="0.2">
      <c r="AQ16027" s="31"/>
    </row>
    <row r="16028" spans="43:43" x14ac:dyDescent="0.2">
      <c r="AQ16028" s="31"/>
    </row>
    <row r="16029" spans="43:43" x14ac:dyDescent="0.2">
      <c r="AQ16029" s="31"/>
    </row>
    <row r="16030" spans="43:43" x14ac:dyDescent="0.2">
      <c r="AQ16030" s="31"/>
    </row>
    <row r="16031" spans="43:43" x14ac:dyDescent="0.2">
      <c r="AQ16031" s="31"/>
    </row>
    <row r="16032" spans="43:43" x14ac:dyDescent="0.2">
      <c r="AQ16032" s="31"/>
    </row>
    <row r="16033" spans="43:43" x14ac:dyDescent="0.2">
      <c r="AQ16033" s="31"/>
    </row>
    <row r="16034" spans="43:43" x14ac:dyDescent="0.2">
      <c r="AQ16034" s="31"/>
    </row>
    <row r="16035" spans="43:43" x14ac:dyDescent="0.2">
      <c r="AQ16035" s="31"/>
    </row>
    <row r="16036" spans="43:43" x14ac:dyDescent="0.2">
      <c r="AQ16036" s="31"/>
    </row>
    <row r="16037" spans="43:43" x14ac:dyDescent="0.2">
      <c r="AQ16037" s="31"/>
    </row>
    <row r="16038" spans="43:43" x14ac:dyDescent="0.2">
      <c r="AQ16038" s="31"/>
    </row>
    <row r="16039" spans="43:43" x14ac:dyDescent="0.2">
      <c r="AQ16039" s="31"/>
    </row>
    <row r="16040" spans="43:43" x14ac:dyDescent="0.2">
      <c r="AQ16040" s="31"/>
    </row>
    <row r="16041" spans="43:43" x14ac:dyDescent="0.2">
      <c r="AQ16041" s="31"/>
    </row>
    <row r="16042" spans="43:43" x14ac:dyDescent="0.2">
      <c r="AQ16042" s="31"/>
    </row>
    <row r="16043" spans="43:43" x14ac:dyDescent="0.2">
      <c r="AQ16043" s="31"/>
    </row>
    <row r="16044" spans="43:43" x14ac:dyDescent="0.2">
      <c r="AQ16044" s="31"/>
    </row>
    <row r="16045" spans="43:43" x14ac:dyDescent="0.2">
      <c r="AQ16045" s="31"/>
    </row>
    <row r="16046" spans="43:43" x14ac:dyDescent="0.2">
      <c r="AQ16046" s="31"/>
    </row>
    <row r="16047" spans="43:43" x14ac:dyDescent="0.2">
      <c r="AQ16047" s="31"/>
    </row>
    <row r="16048" spans="43:43" x14ac:dyDescent="0.2">
      <c r="AQ16048" s="31"/>
    </row>
    <row r="16049" spans="43:43" x14ac:dyDescent="0.2">
      <c r="AQ16049" s="31"/>
    </row>
    <row r="16050" spans="43:43" x14ac:dyDescent="0.2">
      <c r="AQ16050" s="31"/>
    </row>
    <row r="16051" spans="43:43" x14ac:dyDescent="0.2">
      <c r="AQ16051" s="31"/>
    </row>
    <row r="16052" spans="43:43" x14ac:dyDescent="0.2">
      <c r="AQ16052" s="31"/>
    </row>
    <row r="16053" spans="43:43" x14ac:dyDescent="0.2">
      <c r="AQ16053" s="31"/>
    </row>
    <row r="16054" spans="43:43" x14ac:dyDescent="0.2">
      <c r="AQ16054" s="31"/>
    </row>
    <row r="16055" spans="43:43" x14ac:dyDescent="0.2">
      <c r="AQ16055" s="31"/>
    </row>
    <row r="16056" spans="43:43" x14ac:dyDescent="0.2">
      <c r="AQ16056" s="31"/>
    </row>
    <row r="16057" spans="43:43" x14ac:dyDescent="0.2">
      <c r="AQ16057" s="31"/>
    </row>
    <row r="16058" spans="43:43" x14ac:dyDescent="0.2">
      <c r="AQ16058" s="31"/>
    </row>
    <row r="16059" spans="43:43" x14ac:dyDescent="0.2">
      <c r="AQ16059" s="31"/>
    </row>
    <row r="16060" spans="43:43" x14ac:dyDescent="0.2">
      <c r="AQ16060" s="31"/>
    </row>
    <row r="16061" spans="43:43" x14ac:dyDescent="0.2">
      <c r="AQ16061" s="31"/>
    </row>
    <row r="16062" spans="43:43" x14ac:dyDescent="0.2">
      <c r="AQ16062" s="31"/>
    </row>
    <row r="16063" spans="43:43" x14ac:dyDescent="0.2">
      <c r="AQ16063" s="31"/>
    </row>
    <row r="16064" spans="43:43" x14ac:dyDescent="0.2">
      <c r="AQ16064" s="31"/>
    </row>
    <row r="16065" spans="43:43" x14ac:dyDescent="0.2">
      <c r="AQ16065" s="31"/>
    </row>
    <row r="16066" spans="43:43" x14ac:dyDescent="0.2">
      <c r="AQ16066" s="31"/>
    </row>
    <row r="16067" spans="43:43" x14ac:dyDescent="0.2">
      <c r="AQ16067" s="31"/>
    </row>
    <row r="16068" spans="43:43" x14ac:dyDescent="0.2">
      <c r="AQ16068" s="31"/>
    </row>
    <row r="16069" spans="43:43" x14ac:dyDescent="0.2">
      <c r="AQ16069" s="31"/>
    </row>
    <row r="16070" spans="43:43" x14ac:dyDescent="0.2">
      <c r="AQ16070" s="31"/>
    </row>
    <row r="16071" spans="43:43" x14ac:dyDescent="0.2">
      <c r="AQ16071" s="31"/>
    </row>
    <row r="16072" spans="43:43" x14ac:dyDescent="0.2">
      <c r="AQ16072" s="31"/>
    </row>
    <row r="16073" spans="43:43" x14ac:dyDescent="0.2">
      <c r="AQ16073" s="31"/>
    </row>
    <row r="16074" spans="43:43" x14ac:dyDescent="0.2">
      <c r="AQ16074" s="31"/>
    </row>
    <row r="16075" spans="43:43" x14ac:dyDescent="0.2">
      <c r="AQ16075" s="31"/>
    </row>
    <row r="16076" spans="43:43" x14ac:dyDescent="0.2">
      <c r="AQ16076" s="31"/>
    </row>
    <row r="16077" spans="43:43" x14ac:dyDescent="0.2">
      <c r="AQ16077" s="31"/>
    </row>
    <row r="16078" spans="43:43" x14ac:dyDescent="0.2">
      <c r="AQ16078" s="31"/>
    </row>
    <row r="16079" spans="43:43" x14ac:dyDescent="0.2">
      <c r="AQ16079" s="31"/>
    </row>
    <row r="16080" spans="43:43" x14ac:dyDescent="0.2">
      <c r="AQ16080" s="31"/>
    </row>
    <row r="16081" spans="43:43" x14ac:dyDescent="0.2">
      <c r="AQ16081" s="31"/>
    </row>
    <row r="16082" spans="43:43" x14ac:dyDescent="0.2">
      <c r="AQ16082" s="31"/>
    </row>
    <row r="16083" spans="43:43" x14ac:dyDescent="0.2">
      <c r="AQ16083" s="31"/>
    </row>
    <row r="16084" spans="43:43" x14ac:dyDescent="0.2">
      <c r="AQ16084" s="31"/>
    </row>
    <row r="16085" spans="43:43" x14ac:dyDescent="0.2">
      <c r="AQ16085" s="31"/>
    </row>
    <row r="16086" spans="43:43" x14ac:dyDescent="0.2">
      <c r="AQ16086" s="31"/>
    </row>
    <row r="16087" spans="43:43" x14ac:dyDescent="0.2">
      <c r="AQ16087" s="31"/>
    </row>
    <row r="16088" spans="43:43" x14ac:dyDescent="0.2">
      <c r="AQ16088" s="31"/>
    </row>
    <row r="16089" spans="43:43" x14ac:dyDescent="0.2">
      <c r="AQ16089" s="31"/>
    </row>
    <row r="16090" spans="43:43" x14ac:dyDescent="0.2">
      <c r="AQ16090" s="31"/>
    </row>
    <row r="16091" spans="43:43" x14ac:dyDescent="0.2">
      <c r="AQ16091" s="31"/>
    </row>
    <row r="16092" spans="43:43" x14ac:dyDescent="0.2">
      <c r="AQ16092" s="31"/>
    </row>
    <row r="16093" spans="43:43" x14ac:dyDescent="0.2">
      <c r="AQ16093" s="31"/>
    </row>
    <row r="16094" spans="43:43" x14ac:dyDescent="0.2">
      <c r="AQ16094" s="31"/>
    </row>
    <row r="16095" spans="43:43" x14ac:dyDescent="0.2">
      <c r="AQ16095" s="31"/>
    </row>
    <row r="16096" spans="43:43" x14ac:dyDescent="0.2">
      <c r="AQ16096" s="31"/>
    </row>
    <row r="16097" spans="43:43" x14ac:dyDescent="0.2">
      <c r="AQ16097" s="31"/>
    </row>
    <row r="16098" spans="43:43" x14ac:dyDescent="0.2">
      <c r="AQ16098" s="31"/>
    </row>
    <row r="16099" spans="43:43" x14ac:dyDescent="0.2">
      <c r="AQ16099" s="31"/>
    </row>
    <row r="16100" spans="43:43" x14ac:dyDescent="0.2">
      <c r="AQ16100" s="31"/>
    </row>
    <row r="16101" spans="43:43" x14ac:dyDescent="0.2">
      <c r="AQ16101" s="31"/>
    </row>
    <row r="16102" spans="43:43" x14ac:dyDescent="0.2">
      <c r="AQ16102" s="31"/>
    </row>
    <row r="16103" spans="43:43" x14ac:dyDescent="0.2">
      <c r="AQ16103" s="31"/>
    </row>
    <row r="16104" spans="43:43" x14ac:dyDescent="0.2">
      <c r="AQ16104" s="31"/>
    </row>
    <row r="16105" spans="43:43" x14ac:dyDescent="0.2">
      <c r="AQ16105" s="31"/>
    </row>
    <row r="16106" spans="43:43" x14ac:dyDescent="0.2">
      <c r="AQ16106" s="31"/>
    </row>
    <row r="16107" spans="43:43" x14ac:dyDescent="0.2">
      <c r="AQ16107" s="31"/>
    </row>
    <row r="16108" spans="43:43" x14ac:dyDescent="0.2">
      <c r="AQ16108" s="31"/>
    </row>
    <row r="16109" spans="43:43" x14ac:dyDescent="0.2">
      <c r="AQ16109" s="31"/>
    </row>
    <row r="16110" spans="43:43" x14ac:dyDescent="0.2">
      <c r="AQ16110" s="31"/>
    </row>
    <row r="16111" spans="43:43" x14ac:dyDescent="0.2">
      <c r="AQ16111" s="31"/>
    </row>
    <row r="16112" spans="43:43" x14ac:dyDescent="0.2">
      <c r="AQ16112" s="31"/>
    </row>
    <row r="16113" spans="43:43" x14ac:dyDescent="0.2">
      <c r="AQ16113" s="31"/>
    </row>
    <row r="16114" spans="43:43" x14ac:dyDescent="0.2">
      <c r="AQ16114" s="31"/>
    </row>
    <row r="16115" spans="43:43" x14ac:dyDescent="0.2">
      <c r="AQ16115" s="31"/>
    </row>
    <row r="16116" spans="43:43" x14ac:dyDescent="0.2">
      <c r="AQ16116" s="31"/>
    </row>
    <row r="16117" spans="43:43" x14ac:dyDescent="0.2">
      <c r="AQ16117" s="31"/>
    </row>
    <row r="16118" spans="43:43" x14ac:dyDescent="0.2">
      <c r="AQ16118" s="31"/>
    </row>
    <row r="16119" spans="43:43" x14ac:dyDescent="0.2">
      <c r="AQ16119" s="31"/>
    </row>
    <row r="16120" spans="43:43" x14ac:dyDescent="0.2">
      <c r="AQ16120" s="31"/>
    </row>
    <row r="16121" spans="43:43" x14ac:dyDescent="0.2">
      <c r="AQ16121" s="31"/>
    </row>
    <row r="16122" spans="43:43" x14ac:dyDescent="0.2">
      <c r="AQ16122" s="31"/>
    </row>
    <row r="16123" spans="43:43" x14ac:dyDescent="0.2">
      <c r="AQ16123" s="31"/>
    </row>
    <row r="16124" spans="43:43" x14ac:dyDescent="0.2">
      <c r="AQ16124" s="31"/>
    </row>
    <row r="16125" spans="43:43" x14ac:dyDescent="0.2">
      <c r="AQ16125" s="31"/>
    </row>
    <row r="16126" spans="43:43" x14ac:dyDescent="0.2">
      <c r="AQ16126" s="31"/>
    </row>
    <row r="16127" spans="43:43" x14ac:dyDescent="0.2">
      <c r="AQ16127" s="31"/>
    </row>
    <row r="16128" spans="43:43" x14ac:dyDescent="0.2">
      <c r="AQ16128" s="31"/>
    </row>
    <row r="16129" spans="43:43" x14ac:dyDescent="0.2">
      <c r="AQ16129" s="31"/>
    </row>
    <row r="16130" spans="43:43" x14ac:dyDescent="0.2">
      <c r="AQ16130" s="31"/>
    </row>
    <row r="16131" spans="43:43" x14ac:dyDescent="0.2">
      <c r="AQ16131" s="31"/>
    </row>
    <row r="16132" spans="43:43" x14ac:dyDescent="0.2">
      <c r="AQ16132" s="31"/>
    </row>
    <row r="16133" spans="43:43" x14ac:dyDescent="0.2">
      <c r="AQ16133" s="31"/>
    </row>
    <row r="16134" spans="43:43" x14ac:dyDescent="0.2">
      <c r="AQ16134" s="31"/>
    </row>
    <row r="16135" spans="43:43" x14ac:dyDescent="0.2">
      <c r="AQ16135" s="31"/>
    </row>
    <row r="16136" spans="43:43" x14ac:dyDescent="0.2">
      <c r="AQ16136" s="31"/>
    </row>
    <row r="16137" spans="43:43" x14ac:dyDescent="0.2">
      <c r="AQ16137" s="31"/>
    </row>
    <row r="16138" spans="43:43" x14ac:dyDescent="0.2">
      <c r="AQ16138" s="31"/>
    </row>
    <row r="16139" spans="43:43" x14ac:dyDescent="0.2">
      <c r="AQ16139" s="31"/>
    </row>
    <row r="16140" spans="43:43" x14ac:dyDescent="0.2">
      <c r="AQ16140" s="31"/>
    </row>
    <row r="16141" spans="43:43" x14ac:dyDescent="0.2">
      <c r="AQ16141" s="31"/>
    </row>
    <row r="16142" spans="43:43" x14ac:dyDescent="0.2">
      <c r="AQ16142" s="31"/>
    </row>
    <row r="16143" spans="43:43" x14ac:dyDescent="0.2">
      <c r="AQ16143" s="31"/>
    </row>
    <row r="16144" spans="43:43" x14ac:dyDescent="0.2">
      <c r="AQ16144" s="31"/>
    </row>
    <row r="16145" spans="43:43" x14ac:dyDescent="0.2">
      <c r="AQ16145" s="31"/>
    </row>
    <row r="16146" spans="43:43" x14ac:dyDescent="0.2">
      <c r="AQ16146" s="31"/>
    </row>
    <row r="16147" spans="43:43" x14ac:dyDescent="0.2">
      <c r="AQ16147" s="31"/>
    </row>
    <row r="16148" spans="43:43" x14ac:dyDescent="0.2">
      <c r="AQ16148" s="31"/>
    </row>
    <row r="16149" spans="43:43" x14ac:dyDescent="0.2">
      <c r="AQ16149" s="31"/>
    </row>
    <row r="16150" spans="43:43" x14ac:dyDescent="0.2">
      <c r="AQ16150" s="31"/>
    </row>
    <row r="16151" spans="43:43" x14ac:dyDescent="0.2">
      <c r="AQ16151" s="31"/>
    </row>
    <row r="16152" spans="43:43" x14ac:dyDescent="0.2">
      <c r="AQ16152" s="31"/>
    </row>
    <row r="16153" spans="43:43" x14ac:dyDescent="0.2">
      <c r="AQ16153" s="31"/>
    </row>
    <row r="16154" spans="43:43" x14ac:dyDescent="0.2">
      <c r="AQ16154" s="31"/>
    </row>
    <row r="16155" spans="43:43" x14ac:dyDescent="0.2">
      <c r="AQ16155" s="31"/>
    </row>
    <row r="16156" spans="43:43" x14ac:dyDescent="0.2">
      <c r="AQ16156" s="31"/>
    </row>
    <row r="16157" spans="43:43" x14ac:dyDescent="0.2">
      <c r="AQ16157" s="31"/>
    </row>
    <row r="16158" spans="43:43" x14ac:dyDescent="0.2">
      <c r="AQ16158" s="31"/>
    </row>
    <row r="16159" spans="43:43" x14ac:dyDescent="0.2">
      <c r="AQ16159" s="31"/>
    </row>
    <row r="16160" spans="43:43" x14ac:dyDescent="0.2">
      <c r="AQ16160" s="31"/>
    </row>
    <row r="16161" spans="43:43" x14ac:dyDescent="0.2">
      <c r="AQ16161" s="31"/>
    </row>
    <row r="16162" spans="43:43" x14ac:dyDescent="0.2">
      <c r="AQ16162" s="31"/>
    </row>
    <row r="16163" spans="43:43" x14ac:dyDescent="0.2">
      <c r="AQ16163" s="31"/>
    </row>
    <row r="16164" spans="43:43" x14ac:dyDescent="0.2">
      <c r="AQ16164" s="31"/>
    </row>
    <row r="16165" spans="43:43" x14ac:dyDescent="0.2">
      <c r="AQ16165" s="31"/>
    </row>
    <row r="16166" spans="43:43" x14ac:dyDescent="0.2">
      <c r="AQ16166" s="31"/>
    </row>
    <row r="16167" spans="43:43" x14ac:dyDescent="0.2">
      <c r="AQ16167" s="31"/>
    </row>
    <row r="16168" spans="43:43" x14ac:dyDescent="0.2">
      <c r="AQ16168" s="31"/>
    </row>
    <row r="16169" spans="43:43" x14ac:dyDescent="0.2">
      <c r="AQ16169" s="31"/>
    </row>
    <row r="16170" spans="43:43" x14ac:dyDescent="0.2">
      <c r="AQ16170" s="31"/>
    </row>
    <row r="16171" spans="43:43" x14ac:dyDescent="0.2">
      <c r="AQ16171" s="31"/>
    </row>
    <row r="16172" spans="43:43" x14ac:dyDescent="0.2">
      <c r="AQ16172" s="31"/>
    </row>
    <row r="16173" spans="43:43" x14ac:dyDescent="0.2">
      <c r="AQ16173" s="31"/>
    </row>
    <row r="16174" spans="43:43" x14ac:dyDescent="0.2">
      <c r="AQ16174" s="31"/>
    </row>
    <row r="16175" spans="43:43" x14ac:dyDescent="0.2">
      <c r="AQ16175" s="31"/>
    </row>
    <row r="16176" spans="43:43" x14ac:dyDescent="0.2">
      <c r="AQ16176" s="31"/>
    </row>
    <row r="16177" spans="43:43" x14ac:dyDescent="0.2">
      <c r="AQ16177" s="31"/>
    </row>
    <row r="16178" spans="43:43" x14ac:dyDescent="0.2">
      <c r="AQ16178" s="31"/>
    </row>
    <row r="16179" spans="43:43" x14ac:dyDescent="0.2">
      <c r="AQ16179" s="31"/>
    </row>
    <row r="16180" spans="43:43" x14ac:dyDescent="0.2">
      <c r="AQ16180" s="31"/>
    </row>
    <row r="16181" spans="43:43" x14ac:dyDescent="0.2">
      <c r="AQ16181" s="31"/>
    </row>
    <row r="16182" spans="43:43" x14ac:dyDescent="0.2">
      <c r="AQ16182" s="31"/>
    </row>
    <row r="16183" spans="43:43" x14ac:dyDescent="0.2">
      <c r="AQ16183" s="31"/>
    </row>
    <row r="16184" spans="43:43" x14ac:dyDescent="0.2">
      <c r="AQ16184" s="31"/>
    </row>
    <row r="16185" spans="43:43" x14ac:dyDescent="0.2">
      <c r="AQ16185" s="31"/>
    </row>
    <row r="16186" spans="43:43" x14ac:dyDescent="0.2">
      <c r="AQ16186" s="31"/>
    </row>
    <row r="16187" spans="43:43" x14ac:dyDescent="0.2">
      <c r="AQ16187" s="31"/>
    </row>
    <row r="16188" spans="43:43" x14ac:dyDescent="0.2">
      <c r="AQ16188" s="31"/>
    </row>
    <row r="16189" spans="43:43" x14ac:dyDescent="0.2">
      <c r="AQ16189" s="31"/>
    </row>
    <row r="16190" spans="43:43" x14ac:dyDescent="0.2">
      <c r="AQ16190" s="31"/>
    </row>
    <row r="16191" spans="43:43" x14ac:dyDescent="0.2">
      <c r="AQ16191" s="31"/>
    </row>
    <row r="16192" spans="43:43" x14ac:dyDescent="0.2">
      <c r="AQ16192" s="31"/>
    </row>
    <row r="16193" spans="43:43" x14ac:dyDescent="0.2">
      <c r="AQ16193" s="31"/>
    </row>
    <row r="16194" spans="43:43" x14ac:dyDescent="0.2">
      <c r="AQ16194" s="31"/>
    </row>
    <row r="16195" spans="43:43" x14ac:dyDescent="0.2">
      <c r="AQ16195" s="31"/>
    </row>
    <row r="16196" spans="43:43" x14ac:dyDescent="0.2">
      <c r="AQ16196" s="31"/>
    </row>
    <row r="16197" spans="43:43" x14ac:dyDescent="0.2">
      <c r="AQ16197" s="31"/>
    </row>
    <row r="16198" spans="43:43" x14ac:dyDescent="0.2">
      <c r="AQ16198" s="31"/>
    </row>
    <row r="16199" spans="43:43" x14ac:dyDescent="0.2">
      <c r="AQ16199" s="31"/>
    </row>
    <row r="16200" spans="43:43" x14ac:dyDescent="0.2">
      <c r="AQ16200" s="31"/>
    </row>
    <row r="16201" spans="43:43" x14ac:dyDescent="0.2">
      <c r="AQ16201" s="31"/>
    </row>
    <row r="16202" spans="43:43" x14ac:dyDescent="0.2">
      <c r="AQ16202" s="31"/>
    </row>
    <row r="16203" spans="43:43" x14ac:dyDescent="0.2">
      <c r="AQ16203" s="31"/>
    </row>
    <row r="16204" spans="43:43" x14ac:dyDescent="0.2">
      <c r="AQ16204" s="31"/>
    </row>
    <row r="16205" spans="43:43" x14ac:dyDescent="0.2">
      <c r="AQ16205" s="31"/>
    </row>
    <row r="16206" spans="43:43" x14ac:dyDescent="0.2">
      <c r="AQ16206" s="31"/>
    </row>
    <row r="16207" spans="43:43" x14ac:dyDescent="0.2">
      <c r="AQ16207" s="31"/>
    </row>
    <row r="16208" spans="43:43" x14ac:dyDescent="0.2">
      <c r="AQ16208" s="31"/>
    </row>
    <row r="16209" spans="43:43" x14ac:dyDescent="0.2">
      <c r="AQ16209" s="31"/>
    </row>
    <row r="16210" spans="43:43" x14ac:dyDescent="0.2">
      <c r="AQ16210" s="31"/>
    </row>
    <row r="16211" spans="43:43" x14ac:dyDescent="0.2">
      <c r="AQ16211" s="31"/>
    </row>
    <row r="16212" spans="43:43" x14ac:dyDescent="0.2">
      <c r="AQ16212" s="31"/>
    </row>
    <row r="16213" spans="43:43" x14ac:dyDescent="0.2">
      <c r="AQ16213" s="31"/>
    </row>
    <row r="16214" spans="43:43" x14ac:dyDescent="0.2">
      <c r="AQ16214" s="31"/>
    </row>
    <row r="16215" spans="43:43" x14ac:dyDescent="0.2">
      <c r="AQ16215" s="31"/>
    </row>
    <row r="16216" spans="43:43" x14ac:dyDescent="0.2">
      <c r="AQ16216" s="31"/>
    </row>
    <row r="16217" spans="43:43" x14ac:dyDescent="0.2">
      <c r="AQ16217" s="31"/>
    </row>
    <row r="16218" spans="43:43" x14ac:dyDescent="0.2">
      <c r="AQ16218" s="31"/>
    </row>
    <row r="16219" spans="43:43" x14ac:dyDescent="0.2">
      <c r="AQ16219" s="31"/>
    </row>
    <row r="16220" spans="43:43" x14ac:dyDescent="0.2">
      <c r="AQ16220" s="31"/>
    </row>
    <row r="16221" spans="43:43" x14ac:dyDescent="0.2">
      <c r="AQ16221" s="31"/>
    </row>
    <row r="16222" spans="43:43" x14ac:dyDescent="0.2">
      <c r="AQ16222" s="31"/>
    </row>
    <row r="16223" spans="43:43" x14ac:dyDescent="0.2">
      <c r="AQ16223" s="31"/>
    </row>
    <row r="16224" spans="43:43" x14ac:dyDescent="0.2">
      <c r="AQ16224" s="31"/>
    </row>
    <row r="16225" spans="43:43" x14ac:dyDescent="0.2">
      <c r="AQ16225" s="31"/>
    </row>
    <row r="16226" spans="43:43" x14ac:dyDescent="0.2">
      <c r="AQ16226" s="31"/>
    </row>
    <row r="16227" spans="43:43" x14ac:dyDescent="0.2">
      <c r="AQ16227" s="31"/>
    </row>
    <row r="16228" spans="43:43" x14ac:dyDescent="0.2">
      <c r="AQ16228" s="31"/>
    </row>
    <row r="16229" spans="43:43" x14ac:dyDescent="0.2">
      <c r="AQ16229" s="31"/>
    </row>
    <row r="16230" spans="43:43" x14ac:dyDescent="0.2">
      <c r="AQ16230" s="31"/>
    </row>
    <row r="16231" spans="43:43" x14ac:dyDescent="0.2">
      <c r="AQ16231" s="31"/>
    </row>
    <row r="16232" spans="43:43" x14ac:dyDescent="0.2">
      <c r="AQ16232" s="31"/>
    </row>
    <row r="16233" spans="43:43" x14ac:dyDescent="0.2">
      <c r="AQ16233" s="31"/>
    </row>
    <row r="16234" spans="43:43" x14ac:dyDescent="0.2">
      <c r="AQ16234" s="31"/>
    </row>
    <row r="16235" spans="43:43" x14ac:dyDescent="0.2">
      <c r="AQ16235" s="31"/>
    </row>
    <row r="16236" spans="43:43" x14ac:dyDescent="0.2">
      <c r="AQ16236" s="31"/>
    </row>
    <row r="16237" spans="43:43" x14ac:dyDescent="0.2">
      <c r="AQ16237" s="31"/>
    </row>
    <row r="16238" spans="43:43" x14ac:dyDescent="0.2">
      <c r="AQ16238" s="31"/>
    </row>
    <row r="16239" spans="43:43" x14ac:dyDescent="0.2">
      <c r="AQ16239" s="31"/>
    </row>
    <row r="16240" spans="43:43" x14ac:dyDescent="0.2">
      <c r="AQ16240" s="31"/>
    </row>
    <row r="16241" spans="43:43" x14ac:dyDescent="0.2">
      <c r="AQ16241" s="31"/>
    </row>
    <row r="16242" spans="43:43" x14ac:dyDescent="0.2">
      <c r="AQ16242" s="31"/>
    </row>
    <row r="16243" spans="43:43" x14ac:dyDescent="0.2">
      <c r="AQ16243" s="31"/>
    </row>
    <row r="16244" spans="43:43" x14ac:dyDescent="0.2">
      <c r="AQ16244" s="31"/>
    </row>
    <row r="16245" spans="43:43" x14ac:dyDescent="0.2">
      <c r="AQ16245" s="31"/>
    </row>
    <row r="16246" spans="43:43" x14ac:dyDescent="0.2">
      <c r="AQ16246" s="31"/>
    </row>
    <row r="16247" spans="43:43" x14ac:dyDescent="0.2">
      <c r="AQ16247" s="31"/>
    </row>
    <row r="16248" spans="43:43" x14ac:dyDescent="0.2">
      <c r="AQ16248" s="31"/>
    </row>
    <row r="16249" spans="43:43" x14ac:dyDescent="0.2">
      <c r="AQ16249" s="31"/>
    </row>
    <row r="16250" spans="43:43" x14ac:dyDescent="0.2">
      <c r="AQ16250" s="31"/>
    </row>
    <row r="16251" spans="43:43" x14ac:dyDescent="0.2">
      <c r="AQ16251" s="31"/>
    </row>
    <row r="16252" spans="43:43" x14ac:dyDescent="0.2">
      <c r="AQ16252" s="31"/>
    </row>
    <row r="16253" spans="43:43" x14ac:dyDescent="0.2">
      <c r="AQ16253" s="31"/>
    </row>
    <row r="16254" spans="43:43" x14ac:dyDescent="0.2">
      <c r="AQ16254" s="31"/>
    </row>
    <row r="16255" spans="43:43" x14ac:dyDescent="0.2">
      <c r="AQ16255" s="31"/>
    </row>
    <row r="16256" spans="43:43" x14ac:dyDescent="0.2">
      <c r="AQ16256" s="31"/>
    </row>
    <row r="16257" spans="43:43" x14ac:dyDescent="0.2">
      <c r="AQ16257" s="31"/>
    </row>
    <row r="16258" spans="43:43" x14ac:dyDescent="0.2">
      <c r="AQ16258" s="31"/>
    </row>
    <row r="16259" spans="43:43" x14ac:dyDescent="0.2">
      <c r="AQ16259" s="31"/>
    </row>
    <row r="16260" spans="43:43" x14ac:dyDescent="0.2">
      <c r="AQ16260" s="31"/>
    </row>
    <row r="16261" spans="43:43" x14ac:dyDescent="0.2">
      <c r="AQ16261" s="31"/>
    </row>
    <row r="16262" spans="43:43" x14ac:dyDescent="0.2">
      <c r="AQ16262" s="31"/>
    </row>
    <row r="16263" spans="43:43" x14ac:dyDescent="0.2">
      <c r="AQ16263" s="31"/>
    </row>
    <row r="16264" spans="43:43" x14ac:dyDescent="0.2">
      <c r="AQ16264" s="31"/>
    </row>
    <row r="16265" spans="43:43" x14ac:dyDescent="0.2">
      <c r="AQ16265" s="31"/>
    </row>
    <row r="16266" spans="43:43" x14ac:dyDescent="0.2">
      <c r="AQ16266" s="31"/>
    </row>
    <row r="16267" spans="43:43" x14ac:dyDescent="0.2">
      <c r="AQ16267" s="31"/>
    </row>
    <row r="16268" spans="43:43" x14ac:dyDescent="0.2">
      <c r="AQ16268" s="31"/>
    </row>
    <row r="16269" spans="43:43" x14ac:dyDescent="0.2">
      <c r="AQ16269" s="31"/>
    </row>
    <row r="16270" spans="43:43" x14ac:dyDescent="0.2">
      <c r="AQ16270" s="31"/>
    </row>
    <row r="16271" spans="43:43" x14ac:dyDescent="0.2">
      <c r="AQ16271" s="31"/>
    </row>
    <row r="16272" spans="43:43" x14ac:dyDescent="0.2">
      <c r="AQ16272" s="31"/>
    </row>
    <row r="16273" spans="43:43" x14ac:dyDescent="0.2">
      <c r="AQ16273" s="31"/>
    </row>
    <row r="16274" spans="43:43" x14ac:dyDescent="0.2">
      <c r="AQ16274" s="31"/>
    </row>
    <row r="16275" spans="43:43" x14ac:dyDescent="0.2">
      <c r="AQ16275" s="31"/>
    </row>
    <row r="16276" spans="43:43" x14ac:dyDescent="0.2">
      <c r="AQ16276" s="31"/>
    </row>
    <row r="16277" spans="43:43" x14ac:dyDescent="0.2">
      <c r="AQ16277" s="31"/>
    </row>
    <row r="16278" spans="43:43" x14ac:dyDescent="0.2">
      <c r="AQ16278" s="31"/>
    </row>
    <row r="16279" spans="43:43" x14ac:dyDescent="0.2">
      <c r="AQ16279" s="31"/>
    </row>
    <row r="16280" spans="43:43" x14ac:dyDescent="0.2">
      <c r="AQ16280" s="31"/>
    </row>
    <row r="16281" spans="43:43" x14ac:dyDescent="0.2">
      <c r="AQ16281" s="31"/>
    </row>
    <row r="16282" spans="43:43" x14ac:dyDescent="0.2">
      <c r="AQ16282" s="31"/>
    </row>
    <row r="16283" spans="43:43" x14ac:dyDescent="0.2">
      <c r="AQ16283" s="31"/>
    </row>
    <row r="16284" spans="43:43" x14ac:dyDescent="0.2">
      <c r="AQ16284" s="31"/>
    </row>
    <row r="16285" spans="43:43" x14ac:dyDescent="0.2">
      <c r="AQ16285" s="31"/>
    </row>
    <row r="16286" spans="43:43" x14ac:dyDescent="0.2">
      <c r="AQ16286" s="31"/>
    </row>
    <row r="16287" spans="43:43" x14ac:dyDescent="0.2">
      <c r="AQ16287" s="31"/>
    </row>
    <row r="16288" spans="43:43" x14ac:dyDescent="0.2">
      <c r="AQ16288" s="31"/>
    </row>
    <row r="16289" spans="43:43" x14ac:dyDescent="0.2">
      <c r="AQ16289" s="31"/>
    </row>
    <row r="16290" spans="43:43" x14ac:dyDescent="0.2">
      <c r="AQ16290" s="31"/>
    </row>
    <row r="16291" spans="43:43" x14ac:dyDescent="0.2">
      <c r="AQ16291" s="31"/>
    </row>
    <row r="16292" spans="43:43" x14ac:dyDescent="0.2">
      <c r="AQ16292" s="31"/>
    </row>
    <row r="16293" spans="43:43" x14ac:dyDescent="0.2">
      <c r="AQ16293" s="31"/>
    </row>
    <row r="16294" spans="43:43" x14ac:dyDescent="0.2">
      <c r="AQ16294" s="31"/>
    </row>
    <row r="16295" spans="43:43" x14ac:dyDescent="0.2">
      <c r="AQ16295" s="31"/>
    </row>
    <row r="16296" spans="43:43" x14ac:dyDescent="0.2">
      <c r="AQ16296" s="31"/>
    </row>
    <row r="16297" spans="43:43" x14ac:dyDescent="0.2">
      <c r="AQ16297" s="31"/>
    </row>
    <row r="16298" spans="43:43" x14ac:dyDescent="0.2">
      <c r="AQ16298" s="31"/>
    </row>
    <row r="16299" spans="43:43" x14ac:dyDescent="0.2">
      <c r="AQ16299" s="31"/>
    </row>
    <row r="16300" spans="43:43" x14ac:dyDescent="0.2">
      <c r="AQ16300" s="31"/>
    </row>
    <row r="16301" spans="43:43" x14ac:dyDescent="0.2">
      <c r="AQ16301" s="31"/>
    </row>
    <row r="16302" spans="43:43" x14ac:dyDescent="0.2">
      <c r="AQ16302" s="31"/>
    </row>
    <row r="16303" spans="43:43" x14ac:dyDescent="0.2">
      <c r="AQ16303" s="31"/>
    </row>
    <row r="16304" spans="43:43" x14ac:dyDescent="0.2">
      <c r="AQ16304" s="31"/>
    </row>
    <row r="16305" spans="43:43" x14ac:dyDescent="0.2">
      <c r="AQ16305" s="31"/>
    </row>
    <row r="16306" spans="43:43" x14ac:dyDescent="0.2">
      <c r="AQ16306" s="31"/>
    </row>
    <row r="16307" spans="43:43" x14ac:dyDescent="0.2">
      <c r="AQ16307" s="31"/>
    </row>
    <row r="16308" spans="43:43" x14ac:dyDescent="0.2">
      <c r="AQ16308" s="31"/>
    </row>
    <row r="16309" spans="43:43" x14ac:dyDescent="0.2">
      <c r="AQ16309" s="31"/>
    </row>
    <row r="16310" spans="43:43" x14ac:dyDescent="0.2">
      <c r="AQ16310" s="31"/>
    </row>
    <row r="16311" spans="43:43" x14ac:dyDescent="0.2">
      <c r="AQ16311" s="31"/>
    </row>
    <row r="16312" spans="43:43" x14ac:dyDescent="0.2">
      <c r="AQ16312" s="31"/>
    </row>
    <row r="16313" spans="43:43" x14ac:dyDescent="0.2">
      <c r="AQ16313" s="31"/>
    </row>
    <row r="16314" spans="43:43" x14ac:dyDescent="0.2">
      <c r="AQ16314" s="31"/>
    </row>
    <row r="16315" spans="43:43" x14ac:dyDescent="0.2">
      <c r="AQ16315" s="31"/>
    </row>
    <row r="16316" spans="43:43" x14ac:dyDescent="0.2">
      <c r="AQ16316" s="31"/>
    </row>
    <row r="16317" spans="43:43" x14ac:dyDescent="0.2">
      <c r="AQ16317" s="31"/>
    </row>
    <row r="16318" spans="43:43" x14ac:dyDescent="0.2">
      <c r="AQ16318" s="31"/>
    </row>
    <row r="16319" spans="43:43" x14ac:dyDescent="0.2">
      <c r="AQ16319" s="31"/>
    </row>
    <row r="16320" spans="43:43" x14ac:dyDescent="0.2">
      <c r="AQ16320" s="31"/>
    </row>
    <row r="16321" spans="43:43" x14ac:dyDescent="0.2">
      <c r="AQ16321" s="31"/>
    </row>
    <row r="16322" spans="43:43" x14ac:dyDescent="0.2">
      <c r="AQ16322" s="31"/>
    </row>
    <row r="16323" spans="43:43" x14ac:dyDescent="0.2">
      <c r="AQ16323" s="31"/>
    </row>
    <row r="16324" spans="43:43" x14ac:dyDescent="0.2">
      <c r="AQ16324" s="31"/>
    </row>
    <row r="16325" spans="43:43" x14ac:dyDescent="0.2">
      <c r="AQ16325" s="31"/>
    </row>
    <row r="16326" spans="43:43" x14ac:dyDescent="0.2">
      <c r="AQ16326" s="31"/>
    </row>
    <row r="16327" spans="43:43" x14ac:dyDescent="0.2">
      <c r="AQ16327" s="31"/>
    </row>
    <row r="16328" spans="43:43" x14ac:dyDescent="0.2">
      <c r="AQ16328" s="31"/>
    </row>
    <row r="16329" spans="43:43" x14ac:dyDescent="0.2">
      <c r="AQ16329" s="31"/>
    </row>
    <row r="16330" spans="43:43" x14ac:dyDescent="0.2">
      <c r="AQ16330" s="31"/>
    </row>
    <row r="16331" spans="43:43" x14ac:dyDescent="0.2">
      <c r="AQ16331" s="31"/>
    </row>
    <row r="16332" spans="43:43" x14ac:dyDescent="0.2">
      <c r="AQ16332" s="31"/>
    </row>
    <row r="16333" spans="43:43" x14ac:dyDescent="0.2">
      <c r="AQ16333" s="31"/>
    </row>
    <row r="16334" spans="43:43" x14ac:dyDescent="0.2">
      <c r="AQ16334" s="31"/>
    </row>
    <row r="16335" spans="43:43" x14ac:dyDescent="0.2">
      <c r="AQ16335" s="31"/>
    </row>
    <row r="16336" spans="43:43" x14ac:dyDescent="0.2">
      <c r="AQ16336" s="31"/>
    </row>
    <row r="16337" spans="43:43" x14ac:dyDescent="0.2">
      <c r="AQ16337" s="31"/>
    </row>
    <row r="16338" spans="43:43" x14ac:dyDescent="0.2">
      <c r="AQ16338" s="31"/>
    </row>
    <row r="16339" spans="43:43" x14ac:dyDescent="0.2">
      <c r="AQ16339" s="31"/>
    </row>
    <row r="16340" spans="43:43" x14ac:dyDescent="0.2">
      <c r="AQ16340" s="31"/>
    </row>
    <row r="16341" spans="43:43" x14ac:dyDescent="0.2">
      <c r="AQ16341" s="31"/>
    </row>
    <row r="16342" spans="43:43" x14ac:dyDescent="0.2">
      <c r="AQ16342" s="31"/>
    </row>
    <row r="16343" spans="43:43" x14ac:dyDescent="0.2">
      <c r="AQ16343" s="31"/>
    </row>
    <row r="16344" spans="43:43" x14ac:dyDescent="0.2">
      <c r="AQ16344" s="31"/>
    </row>
    <row r="16345" spans="43:43" x14ac:dyDescent="0.2">
      <c r="AQ16345" s="31"/>
    </row>
    <row r="16346" spans="43:43" x14ac:dyDescent="0.2">
      <c r="AQ16346" s="31"/>
    </row>
    <row r="16347" spans="43:43" x14ac:dyDescent="0.2">
      <c r="AQ16347" s="31"/>
    </row>
    <row r="16348" spans="43:43" x14ac:dyDescent="0.2">
      <c r="AQ16348" s="31"/>
    </row>
    <row r="16349" spans="43:43" x14ac:dyDescent="0.2">
      <c r="AQ16349" s="31"/>
    </row>
    <row r="16350" spans="43:43" x14ac:dyDescent="0.2">
      <c r="AQ16350" s="31"/>
    </row>
    <row r="16351" spans="43:43" x14ac:dyDescent="0.2">
      <c r="AQ16351" s="31"/>
    </row>
    <row r="16352" spans="43:43" x14ac:dyDescent="0.2">
      <c r="AQ16352" s="31"/>
    </row>
    <row r="16353" spans="43:43" x14ac:dyDescent="0.2">
      <c r="AQ16353" s="31"/>
    </row>
    <row r="16354" spans="43:43" x14ac:dyDescent="0.2">
      <c r="AQ16354" s="31"/>
    </row>
    <row r="16355" spans="43:43" x14ac:dyDescent="0.2">
      <c r="AQ16355" s="31"/>
    </row>
    <row r="16356" spans="43:43" x14ac:dyDescent="0.2">
      <c r="AQ16356" s="31"/>
    </row>
    <row r="16357" spans="43:43" x14ac:dyDescent="0.2">
      <c r="AQ16357" s="31"/>
    </row>
    <row r="16358" spans="43:43" x14ac:dyDescent="0.2">
      <c r="AQ16358" s="31"/>
    </row>
    <row r="16359" spans="43:43" x14ac:dyDescent="0.2">
      <c r="AQ16359" s="31"/>
    </row>
    <row r="16360" spans="43:43" x14ac:dyDescent="0.2">
      <c r="AQ16360" s="31"/>
    </row>
    <row r="16361" spans="43:43" x14ac:dyDescent="0.2">
      <c r="AQ16361" s="31"/>
    </row>
    <row r="16362" spans="43:43" x14ac:dyDescent="0.2">
      <c r="AQ16362" s="31"/>
    </row>
    <row r="16363" spans="43:43" x14ac:dyDescent="0.2">
      <c r="AQ16363" s="31"/>
    </row>
    <row r="16364" spans="43:43" x14ac:dyDescent="0.2">
      <c r="AQ16364" s="31"/>
    </row>
    <row r="16365" spans="43:43" x14ac:dyDescent="0.2">
      <c r="AQ16365" s="31"/>
    </row>
    <row r="16366" spans="43:43" x14ac:dyDescent="0.2">
      <c r="AQ16366" s="31"/>
    </row>
    <row r="16367" spans="43:43" x14ac:dyDescent="0.2">
      <c r="AQ16367" s="31"/>
    </row>
    <row r="16368" spans="43:43" x14ac:dyDescent="0.2">
      <c r="AQ16368" s="31"/>
    </row>
    <row r="16369" spans="43:43" x14ac:dyDescent="0.2">
      <c r="AQ16369" s="31"/>
    </row>
    <row r="16370" spans="43:43" x14ac:dyDescent="0.2">
      <c r="AQ16370" s="31"/>
    </row>
    <row r="16371" spans="43:43" x14ac:dyDescent="0.2">
      <c r="AQ16371" s="31"/>
    </row>
    <row r="16372" spans="43:43" x14ac:dyDescent="0.2">
      <c r="AQ16372" s="31"/>
    </row>
    <row r="16373" spans="43:43" x14ac:dyDescent="0.2">
      <c r="AQ16373" s="31"/>
    </row>
    <row r="16374" spans="43:43" x14ac:dyDescent="0.2">
      <c r="AQ16374" s="31"/>
    </row>
    <row r="16375" spans="43:43" x14ac:dyDescent="0.2">
      <c r="AQ16375" s="31"/>
    </row>
    <row r="16376" spans="43:43" x14ac:dyDescent="0.2">
      <c r="AQ16376" s="31"/>
    </row>
    <row r="16377" spans="43:43" x14ac:dyDescent="0.2">
      <c r="AQ16377" s="31"/>
    </row>
    <row r="16378" spans="43:43" x14ac:dyDescent="0.2">
      <c r="AQ16378" s="31"/>
    </row>
    <row r="16379" spans="43:43" x14ac:dyDescent="0.2">
      <c r="AQ16379" s="31"/>
    </row>
    <row r="16380" spans="43:43" x14ac:dyDescent="0.2">
      <c r="AQ16380" s="31"/>
    </row>
    <row r="16381" spans="43:43" x14ac:dyDescent="0.2">
      <c r="AQ16381" s="31"/>
    </row>
    <row r="16382" spans="43:43" x14ac:dyDescent="0.2">
      <c r="AQ16382" s="31"/>
    </row>
    <row r="16383" spans="43:43" x14ac:dyDescent="0.2">
      <c r="AQ16383" s="31"/>
    </row>
    <row r="16384" spans="43:43" x14ac:dyDescent="0.2">
      <c r="AQ16384" s="31"/>
    </row>
    <row r="16385" spans="43:43" x14ac:dyDescent="0.2">
      <c r="AQ16385" s="31"/>
    </row>
    <row r="16386" spans="43:43" x14ac:dyDescent="0.2">
      <c r="AQ16386" s="31"/>
    </row>
    <row r="16387" spans="43:43" x14ac:dyDescent="0.2">
      <c r="AQ16387" s="31"/>
    </row>
    <row r="16388" spans="43:43" x14ac:dyDescent="0.2">
      <c r="AQ16388" s="31"/>
    </row>
    <row r="16389" spans="43:43" x14ac:dyDescent="0.2">
      <c r="AQ16389" s="31"/>
    </row>
    <row r="16390" spans="43:43" x14ac:dyDescent="0.2">
      <c r="AQ16390" s="31"/>
    </row>
    <row r="16391" spans="43:43" x14ac:dyDescent="0.2">
      <c r="AQ16391" s="31"/>
    </row>
    <row r="16392" spans="43:43" x14ac:dyDescent="0.2">
      <c r="AQ16392" s="31"/>
    </row>
    <row r="16393" spans="43:43" x14ac:dyDescent="0.2">
      <c r="AQ16393" s="31"/>
    </row>
    <row r="16394" spans="43:43" x14ac:dyDescent="0.2">
      <c r="AQ16394" s="31"/>
    </row>
    <row r="16395" spans="43:43" x14ac:dyDescent="0.2">
      <c r="AQ16395" s="31"/>
    </row>
    <row r="16396" spans="43:43" x14ac:dyDescent="0.2">
      <c r="AQ16396" s="31"/>
    </row>
    <row r="16397" spans="43:43" x14ac:dyDescent="0.2">
      <c r="AQ16397" s="31"/>
    </row>
    <row r="16398" spans="43:43" x14ac:dyDescent="0.2">
      <c r="AQ16398" s="31"/>
    </row>
    <row r="16399" spans="43:43" x14ac:dyDescent="0.2">
      <c r="AQ16399" s="31"/>
    </row>
    <row r="16400" spans="43:43" x14ac:dyDescent="0.2">
      <c r="AQ16400" s="31"/>
    </row>
    <row r="16401" spans="43:43" x14ac:dyDescent="0.2">
      <c r="AQ16401" s="31"/>
    </row>
    <row r="16402" spans="43:43" x14ac:dyDescent="0.2">
      <c r="AQ16402" s="31"/>
    </row>
    <row r="16403" spans="43:43" x14ac:dyDescent="0.2">
      <c r="AQ16403" s="31"/>
    </row>
    <row r="16404" spans="43:43" x14ac:dyDescent="0.2">
      <c r="AQ16404" s="31"/>
    </row>
    <row r="16405" spans="43:43" x14ac:dyDescent="0.2">
      <c r="AQ16405" s="31"/>
    </row>
    <row r="16406" spans="43:43" x14ac:dyDescent="0.2">
      <c r="AQ16406" s="31"/>
    </row>
    <row r="16407" spans="43:43" x14ac:dyDescent="0.2">
      <c r="AQ16407" s="31"/>
    </row>
    <row r="16408" spans="43:43" x14ac:dyDescent="0.2">
      <c r="AQ16408" s="31"/>
    </row>
    <row r="16409" spans="43:43" x14ac:dyDescent="0.2">
      <c r="AQ16409" s="31"/>
    </row>
    <row r="16410" spans="43:43" x14ac:dyDescent="0.2">
      <c r="AQ16410" s="31"/>
    </row>
    <row r="16411" spans="43:43" x14ac:dyDescent="0.2">
      <c r="AQ16411" s="31"/>
    </row>
    <row r="16412" spans="43:43" x14ac:dyDescent="0.2">
      <c r="AQ16412" s="31"/>
    </row>
    <row r="16413" spans="43:43" x14ac:dyDescent="0.2">
      <c r="AQ16413" s="31"/>
    </row>
    <row r="16414" spans="43:43" x14ac:dyDescent="0.2">
      <c r="AQ16414" s="31"/>
    </row>
    <row r="16415" spans="43:43" x14ac:dyDescent="0.2">
      <c r="AQ16415" s="31"/>
    </row>
    <row r="16416" spans="43:43" x14ac:dyDescent="0.2">
      <c r="AQ16416" s="31"/>
    </row>
    <row r="16417" spans="43:43" x14ac:dyDescent="0.2">
      <c r="AQ16417" s="31"/>
    </row>
    <row r="16418" spans="43:43" x14ac:dyDescent="0.2">
      <c r="AQ16418" s="31"/>
    </row>
    <row r="16419" spans="43:43" x14ac:dyDescent="0.2">
      <c r="AQ16419" s="31"/>
    </row>
    <row r="16420" spans="43:43" x14ac:dyDescent="0.2">
      <c r="AQ16420" s="31"/>
    </row>
    <row r="16421" spans="43:43" x14ac:dyDescent="0.2">
      <c r="AQ16421" s="31"/>
    </row>
    <row r="16422" spans="43:43" x14ac:dyDescent="0.2">
      <c r="AQ16422" s="31"/>
    </row>
    <row r="16423" spans="43:43" x14ac:dyDescent="0.2">
      <c r="AQ16423" s="31"/>
    </row>
    <row r="16424" spans="43:43" x14ac:dyDescent="0.2">
      <c r="AQ16424" s="31"/>
    </row>
    <row r="16425" spans="43:43" x14ac:dyDescent="0.2">
      <c r="AQ16425" s="31"/>
    </row>
    <row r="16426" spans="43:43" x14ac:dyDescent="0.2">
      <c r="AQ16426" s="31"/>
    </row>
    <row r="16427" spans="43:43" x14ac:dyDescent="0.2">
      <c r="AQ16427" s="31"/>
    </row>
    <row r="16428" spans="43:43" x14ac:dyDescent="0.2">
      <c r="AQ16428" s="31"/>
    </row>
    <row r="16429" spans="43:43" x14ac:dyDescent="0.2">
      <c r="AQ16429" s="31"/>
    </row>
    <row r="16430" spans="43:43" x14ac:dyDescent="0.2">
      <c r="AQ16430" s="31"/>
    </row>
    <row r="16431" spans="43:43" x14ac:dyDescent="0.2">
      <c r="AQ16431" s="31"/>
    </row>
    <row r="16432" spans="43:43" x14ac:dyDescent="0.2">
      <c r="AQ16432" s="31"/>
    </row>
    <row r="16433" spans="43:43" x14ac:dyDescent="0.2">
      <c r="AQ16433" s="31"/>
    </row>
    <row r="16434" spans="43:43" x14ac:dyDescent="0.2">
      <c r="AQ16434" s="31"/>
    </row>
    <row r="16435" spans="43:43" x14ac:dyDescent="0.2">
      <c r="AQ16435" s="31"/>
    </row>
    <row r="16436" spans="43:43" x14ac:dyDescent="0.2">
      <c r="AQ16436" s="31"/>
    </row>
    <row r="16437" spans="43:43" x14ac:dyDescent="0.2">
      <c r="AQ16437" s="31"/>
    </row>
    <row r="16438" spans="43:43" x14ac:dyDescent="0.2">
      <c r="AQ16438" s="31"/>
    </row>
    <row r="16439" spans="43:43" x14ac:dyDescent="0.2">
      <c r="AQ16439" s="31"/>
    </row>
    <row r="16440" spans="43:43" x14ac:dyDescent="0.2">
      <c r="AQ16440" s="31"/>
    </row>
    <row r="16441" spans="43:43" x14ac:dyDescent="0.2">
      <c r="AQ16441" s="31"/>
    </row>
    <row r="16442" spans="43:43" x14ac:dyDescent="0.2">
      <c r="AQ16442" s="31"/>
    </row>
    <row r="16443" spans="43:43" x14ac:dyDescent="0.2">
      <c r="AQ16443" s="31"/>
    </row>
    <row r="16444" spans="43:43" x14ac:dyDescent="0.2">
      <c r="AQ16444" s="31"/>
    </row>
    <row r="16445" spans="43:43" x14ac:dyDescent="0.2">
      <c r="AQ16445" s="31"/>
    </row>
    <row r="16446" spans="43:43" x14ac:dyDescent="0.2">
      <c r="AQ16446" s="31"/>
    </row>
    <row r="16447" spans="43:43" x14ac:dyDescent="0.2">
      <c r="AQ16447" s="31"/>
    </row>
    <row r="16448" spans="43:43" x14ac:dyDescent="0.2">
      <c r="AQ16448" s="31"/>
    </row>
    <row r="16449" spans="43:43" x14ac:dyDescent="0.2">
      <c r="AQ16449" s="31"/>
    </row>
    <row r="16450" spans="43:43" x14ac:dyDescent="0.2">
      <c r="AQ16450" s="31"/>
    </row>
    <row r="16451" spans="43:43" x14ac:dyDescent="0.2">
      <c r="AQ16451" s="31"/>
    </row>
    <row r="16452" spans="43:43" x14ac:dyDescent="0.2">
      <c r="AQ16452" s="31"/>
    </row>
    <row r="16453" spans="43:43" x14ac:dyDescent="0.2">
      <c r="AQ16453" s="31"/>
    </row>
    <row r="16454" spans="43:43" x14ac:dyDescent="0.2">
      <c r="AQ16454" s="31"/>
    </row>
    <row r="16455" spans="43:43" x14ac:dyDescent="0.2">
      <c r="AQ16455" s="31"/>
    </row>
    <row r="16456" spans="43:43" x14ac:dyDescent="0.2">
      <c r="AQ16456" s="31"/>
    </row>
    <row r="16457" spans="43:43" x14ac:dyDescent="0.2">
      <c r="AQ16457" s="31"/>
    </row>
    <row r="16458" spans="43:43" x14ac:dyDescent="0.2">
      <c r="AQ16458" s="31"/>
    </row>
    <row r="16459" spans="43:43" x14ac:dyDescent="0.2">
      <c r="AQ16459" s="31"/>
    </row>
    <row r="16460" spans="43:43" x14ac:dyDescent="0.2">
      <c r="AQ16460" s="31"/>
    </row>
    <row r="16461" spans="43:43" x14ac:dyDescent="0.2">
      <c r="AQ16461" s="31"/>
    </row>
    <row r="16462" spans="43:43" x14ac:dyDescent="0.2">
      <c r="AQ16462" s="31"/>
    </row>
    <row r="16463" spans="43:43" x14ac:dyDescent="0.2">
      <c r="AQ16463" s="31"/>
    </row>
    <row r="16464" spans="43:43" x14ac:dyDescent="0.2">
      <c r="AQ16464" s="31"/>
    </row>
    <row r="16465" spans="43:43" x14ac:dyDescent="0.2">
      <c r="AQ16465" s="31"/>
    </row>
    <row r="16466" spans="43:43" x14ac:dyDescent="0.2">
      <c r="AQ16466" s="31"/>
    </row>
    <row r="16467" spans="43:43" x14ac:dyDescent="0.2">
      <c r="AQ16467" s="31"/>
    </row>
    <row r="16468" spans="43:43" x14ac:dyDescent="0.2">
      <c r="AQ16468" s="31"/>
    </row>
    <row r="16469" spans="43:43" x14ac:dyDescent="0.2">
      <c r="AQ16469" s="31"/>
    </row>
    <row r="16470" spans="43:43" x14ac:dyDescent="0.2">
      <c r="AQ16470" s="31"/>
    </row>
    <row r="16471" spans="43:43" x14ac:dyDescent="0.2">
      <c r="AQ16471" s="31"/>
    </row>
    <row r="16472" spans="43:43" x14ac:dyDescent="0.2">
      <c r="AQ16472" s="31"/>
    </row>
    <row r="16473" spans="43:43" x14ac:dyDescent="0.2">
      <c r="AQ16473" s="31"/>
    </row>
    <row r="16474" spans="43:43" x14ac:dyDescent="0.2">
      <c r="AQ16474" s="31"/>
    </row>
    <row r="16475" spans="43:43" x14ac:dyDescent="0.2">
      <c r="AQ16475" s="31"/>
    </row>
    <row r="16476" spans="43:43" x14ac:dyDescent="0.2">
      <c r="AQ16476" s="31"/>
    </row>
    <row r="16477" spans="43:43" x14ac:dyDescent="0.2">
      <c r="AQ16477" s="31"/>
    </row>
    <row r="16478" spans="43:43" x14ac:dyDescent="0.2">
      <c r="AQ16478" s="31"/>
    </row>
    <row r="16479" spans="43:43" x14ac:dyDescent="0.2">
      <c r="AQ16479" s="31"/>
    </row>
    <row r="16480" spans="43:43" x14ac:dyDescent="0.2">
      <c r="AQ16480" s="31"/>
    </row>
    <row r="16481" spans="43:43" x14ac:dyDescent="0.2">
      <c r="AQ16481" s="31"/>
    </row>
    <row r="16482" spans="43:43" x14ac:dyDescent="0.2">
      <c r="AQ16482" s="31"/>
    </row>
    <row r="16483" spans="43:43" x14ac:dyDescent="0.2">
      <c r="AQ16483" s="31"/>
    </row>
    <row r="16484" spans="43:43" x14ac:dyDescent="0.2">
      <c r="AQ16484" s="31"/>
    </row>
    <row r="16485" spans="43:43" x14ac:dyDescent="0.2">
      <c r="AQ16485" s="31"/>
    </row>
    <row r="16486" spans="43:43" x14ac:dyDescent="0.2">
      <c r="AQ16486" s="31"/>
    </row>
    <row r="16487" spans="43:43" x14ac:dyDescent="0.2">
      <c r="AQ16487" s="31"/>
    </row>
    <row r="16488" spans="43:43" x14ac:dyDescent="0.2">
      <c r="AQ16488" s="31"/>
    </row>
    <row r="16489" spans="43:43" x14ac:dyDescent="0.2">
      <c r="AQ16489" s="31"/>
    </row>
    <row r="16490" spans="43:43" x14ac:dyDescent="0.2">
      <c r="AQ16490" s="31"/>
    </row>
    <row r="16491" spans="43:43" x14ac:dyDescent="0.2">
      <c r="AQ16491" s="31"/>
    </row>
    <row r="16492" spans="43:43" x14ac:dyDescent="0.2">
      <c r="AQ16492" s="31"/>
    </row>
    <row r="16493" spans="43:43" x14ac:dyDescent="0.2">
      <c r="AQ16493" s="31"/>
    </row>
    <row r="16494" spans="43:43" x14ac:dyDescent="0.2">
      <c r="AQ16494" s="31"/>
    </row>
    <row r="16495" spans="43:43" x14ac:dyDescent="0.2">
      <c r="AQ16495" s="31"/>
    </row>
    <row r="16496" spans="43:43" x14ac:dyDescent="0.2">
      <c r="AQ16496" s="31"/>
    </row>
    <row r="16497" spans="43:43" x14ac:dyDescent="0.2">
      <c r="AQ16497" s="31"/>
    </row>
    <row r="16498" spans="43:43" x14ac:dyDescent="0.2">
      <c r="AQ16498" s="31"/>
    </row>
    <row r="16499" spans="43:43" x14ac:dyDescent="0.2">
      <c r="AQ16499" s="31"/>
    </row>
    <row r="16500" spans="43:43" x14ac:dyDescent="0.2">
      <c r="AQ16500" s="31"/>
    </row>
    <row r="16501" spans="43:43" x14ac:dyDescent="0.2">
      <c r="AQ16501" s="31"/>
    </row>
    <row r="16502" spans="43:43" x14ac:dyDescent="0.2">
      <c r="AQ16502" s="31"/>
    </row>
    <row r="16503" spans="43:43" x14ac:dyDescent="0.2">
      <c r="AQ16503" s="31"/>
    </row>
    <row r="16504" spans="43:43" x14ac:dyDescent="0.2">
      <c r="AQ16504" s="31"/>
    </row>
    <row r="16505" spans="43:43" x14ac:dyDescent="0.2">
      <c r="AQ16505" s="31"/>
    </row>
    <row r="16506" spans="43:43" x14ac:dyDescent="0.2">
      <c r="AQ16506" s="31"/>
    </row>
    <row r="16507" spans="43:43" x14ac:dyDescent="0.2">
      <c r="AQ16507" s="31"/>
    </row>
    <row r="16508" spans="43:43" x14ac:dyDescent="0.2">
      <c r="AQ16508" s="31"/>
    </row>
    <row r="16509" spans="43:43" x14ac:dyDescent="0.2">
      <c r="AQ16509" s="31"/>
    </row>
    <row r="16510" spans="43:43" x14ac:dyDescent="0.2">
      <c r="AQ16510" s="31"/>
    </row>
    <row r="16511" spans="43:43" x14ac:dyDescent="0.2">
      <c r="AQ16511" s="31"/>
    </row>
    <row r="16512" spans="43:43" x14ac:dyDescent="0.2">
      <c r="AQ16512" s="31"/>
    </row>
    <row r="16513" spans="43:43" x14ac:dyDescent="0.2">
      <c r="AQ16513" s="31"/>
    </row>
    <row r="16514" spans="43:43" x14ac:dyDescent="0.2">
      <c r="AQ16514" s="31"/>
    </row>
    <row r="16515" spans="43:43" x14ac:dyDescent="0.2">
      <c r="AQ16515" s="31"/>
    </row>
    <row r="16516" spans="43:43" x14ac:dyDescent="0.2">
      <c r="AQ16516" s="31"/>
    </row>
    <row r="16517" spans="43:43" x14ac:dyDescent="0.2">
      <c r="AQ16517" s="31"/>
    </row>
    <row r="16518" spans="43:43" x14ac:dyDescent="0.2">
      <c r="AQ16518" s="31"/>
    </row>
    <row r="16519" spans="43:43" x14ac:dyDescent="0.2">
      <c r="AQ16519" s="31"/>
    </row>
    <row r="16520" spans="43:43" x14ac:dyDescent="0.2">
      <c r="AQ16520" s="31"/>
    </row>
    <row r="16521" spans="43:43" x14ac:dyDescent="0.2">
      <c r="AQ16521" s="31"/>
    </row>
    <row r="16522" spans="43:43" x14ac:dyDescent="0.2">
      <c r="AQ16522" s="31"/>
    </row>
    <row r="16523" spans="43:43" x14ac:dyDescent="0.2">
      <c r="AQ16523" s="31"/>
    </row>
    <row r="16524" spans="43:43" x14ac:dyDescent="0.2">
      <c r="AQ16524" s="31"/>
    </row>
    <row r="16525" spans="43:43" x14ac:dyDescent="0.2">
      <c r="AQ16525" s="31"/>
    </row>
    <row r="16526" spans="43:43" x14ac:dyDescent="0.2">
      <c r="AQ16526" s="31"/>
    </row>
    <row r="16527" spans="43:43" x14ac:dyDescent="0.2">
      <c r="AQ16527" s="31"/>
    </row>
    <row r="16528" spans="43:43" x14ac:dyDescent="0.2">
      <c r="AQ16528" s="31"/>
    </row>
    <row r="16529" spans="43:43" x14ac:dyDescent="0.2">
      <c r="AQ16529" s="31"/>
    </row>
    <row r="16530" spans="43:43" x14ac:dyDescent="0.2">
      <c r="AQ16530" s="31"/>
    </row>
    <row r="16531" spans="43:43" x14ac:dyDescent="0.2">
      <c r="AQ16531" s="31"/>
    </row>
    <row r="16532" spans="43:43" x14ac:dyDescent="0.2">
      <c r="AQ16532" s="31"/>
    </row>
    <row r="16533" spans="43:43" x14ac:dyDescent="0.2">
      <c r="AQ16533" s="31"/>
    </row>
    <row r="16534" spans="43:43" x14ac:dyDescent="0.2">
      <c r="AQ16534" s="31"/>
    </row>
    <row r="16535" spans="43:43" x14ac:dyDescent="0.2">
      <c r="AQ16535" s="31"/>
    </row>
    <row r="16536" spans="43:43" x14ac:dyDescent="0.2">
      <c r="AQ16536" s="31"/>
    </row>
    <row r="16537" spans="43:43" x14ac:dyDescent="0.2">
      <c r="AQ16537" s="31"/>
    </row>
    <row r="16538" spans="43:43" x14ac:dyDescent="0.2">
      <c r="AQ16538" s="31"/>
    </row>
    <row r="16539" spans="43:43" x14ac:dyDescent="0.2">
      <c r="AQ16539" s="31"/>
    </row>
    <row r="16540" spans="43:43" x14ac:dyDescent="0.2">
      <c r="AQ16540" s="31"/>
    </row>
    <row r="16541" spans="43:43" x14ac:dyDescent="0.2">
      <c r="AQ16541" s="31"/>
    </row>
    <row r="16542" spans="43:43" x14ac:dyDescent="0.2">
      <c r="AQ16542" s="31"/>
    </row>
    <row r="16543" spans="43:43" x14ac:dyDescent="0.2">
      <c r="AQ16543" s="31"/>
    </row>
    <row r="16544" spans="43:43" x14ac:dyDescent="0.2">
      <c r="AQ16544" s="31"/>
    </row>
    <row r="16545" spans="43:43" x14ac:dyDescent="0.2">
      <c r="AQ16545" s="31"/>
    </row>
    <row r="16546" spans="43:43" x14ac:dyDescent="0.2">
      <c r="AQ16546" s="31"/>
    </row>
    <row r="16547" spans="43:43" x14ac:dyDescent="0.2">
      <c r="AQ16547" s="31"/>
    </row>
    <row r="16548" spans="43:43" x14ac:dyDescent="0.2">
      <c r="AQ16548" s="31"/>
    </row>
    <row r="16549" spans="43:43" x14ac:dyDescent="0.2">
      <c r="AQ16549" s="31"/>
    </row>
    <row r="16550" spans="43:43" x14ac:dyDescent="0.2">
      <c r="AQ16550" s="31"/>
    </row>
    <row r="16551" spans="43:43" x14ac:dyDescent="0.2">
      <c r="AQ16551" s="31"/>
    </row>
    <row r="16552" spans="43:43" x14ac:dyDescent="0.2">
      <c r="AQ16552" s="31"/>
    </row>
    <row r="16553" spans="43:43" x14ac:dyDescent="0.2">
      <c r="AQ16553" s="31"/>
    </row>
    <row r="16554" spans="43:43" x14ac:dyDescent="0.2">
      <c r="AQ16554" s="31"/>
    </row>
    <row r="16555" spans="43:43" x14ac:dyDescent="0.2">
      <c r="AQ16555" s="31"/>
    </row>
    <row r="16556" spans="43:43" x14ac:dyDescent="0.2">
      <c r="AQ16556" s="31"/>
    </row>
    <row r="16557" spans="43:43" x14ac:dyDescent="0.2">
      <c r="AQ16557" s="31"/>
    </row>
    <row r="16558" spans="43:43" x14ac:dyDescent="0.2">
      <c r="AQ16558" s="31"/>
    </row>
    <row r="16559" spans="43:43" x14ac:dyDescent="0.2">
      <c r="AQ16559" s="31"/>
    </row>
    <row r="16560" spans="43:43" x14ac:dyDescent="0.2">
      <c r="AQ16560" s="31"/>
    </row>
    <row r="16561" spans="43:43" x14ac:dyDescent="0.2">
      <c r="AQ16561" s="31"/>
    </row>
    <row r="16562" spans="43:43" x14ac:dyDescent="0.2">
      <c r="AQ16562" s="31"/>
    </row>
    <row r="16563" spans="43:43" x14ac:dyDescent="0.2">
      <c r="AQ16563" s="31"/>
    </row>
    <row r="16564" spans="43:43" x14ac:dyDescent="0.2">
      <c r="AQ16564" s="31"/>
    </row>
    <row r="16565" spans="43:43" x14ac:dyDescent="0.2">
      <c r="AQ16565" s="31"/>
    </row>
    <row r="16566" spans="43:43" x14ac:dyDescent="0.2">
      <c r="AQ16566" s="31"/>
    </row>
    <row r="16567" spans="43:43" x14ac:dyDescent="0.2">
      <c r="AQ16567" s="31"/>
    </row>
    <row r="16568" spans="43:43" x14ac:dyDescent="0.2">
      <c r="AQ16568" s="31"/>
    </row>
    <row r="16569" spans="43:43" x14ac:dyDescent="0.2">
      <c r="AQ16569" s="31"/>
    </row>
    <row r="16570" spans="43:43" x14ac:dyDescent="0.2">
      <c r="AQ16570" s="31"/>
    </row>
    <row r="16571" spans="43:43" x14ac:dyDescent="0.2">
      <c r="AQ16571" s="31"/>
    </row>
    <row r="16572" spans="43:43" x14ac:dyDescent="0.2">
      <c r="AQ16572" s="31"/>
    </row>
    <row r="16573" spans="43:43" x14ac:dyDescent="0.2">
      <c r="AQ16573" s="31"/>
    </row>
    <row r="16574" spans="43:43" x14ac:dyDescent="0.2">
      <c r="AQ16574" s="31"/>
    </row>
    <row r="16575" spans="43:43" x14ac:dyDescent="0.2">
      <c r="AQ16575" s="31"/>
    </row>
    <row r="16576" spans="43:43" x14ac:dyDescent="0.2">
      <c r="AQ16576" s="31"/>
    </row>
    <row r="16577" spans="43:43" x14ac:dyDescent="0.2">
      <c r="AQ16577" s="31"/>
    </row>
    <row r="16578" spans="43:43" x14ac:dyDescent="0.2">
      <c r="AQ16578" s="31"/>
    </row>
    <row r="16579" spans="43:43" x14ac:dyDescent="0.2">
      <c r="AQ16579" s="31"/>
    </row>
    <row r="16580" spans="43:43" x14ac:dyDescent="0.2">
      <c r="AQ16580" s="31"/>
    </row>
    <row r="16581" spans="43:43" x14ac:dyDescent="0.2">
      <c r="AQ16581" s="31"/>
    </row>
    <row r="16582" spans="43:43" x14ac:dyDescent="0.2">
      <c r="AQ16582" s="31"/>
    </row>
    <row r="16583" spans="43:43" x14ac:dyDescent="0.2">
      <c r="AQ16583" s="31"/>
    </row>
    <row r="16584" spans="43:43" x14ac:dyDescent="0.2">
      <c r="AQ16584" s="31"/>
    </row>
    <row r="16585" spans="43:43" x14ac:dyDescent="0.2">
      <c r="AQ16585" s="31"/>
    </row>
    <row r="16586" spans="43:43" x14ac:dyDescent="0.2">
      <c r="AQ16586" s="31"/>
    </row>
    <row r="16587" spans="43:43" x14ac:dyDescent="0.2">
      <c r="AQ16587" s="31"/>
    </row>
    <row r="16588" spans="43:43" x14ac:dyDescent="0.2">
      <c r="AQ16588" s="31"/>
    </row>
    <row r="16589" spans="43:43" x14ac:dyDescent="0.2">
      <c r="AQ16589" s="31"/>
    </row>
    <row r="16590" spans="43:43" x14ac:dyDescent="0.2">
      <c r="AQ16590" s="31"/>
    </row>
    <row r="16591" spans="43:43" x14ac:dyDescent="0.2">
      <c r="AQ16591" s="31"/>
    </row>
    <row r="16592" spans="43:43" x14ac:dyDescent="0.2">
      <c r="AQ16592" s="31"/>
    </row>
    <row r="16593" spans="43:43" x14ac:dyDescent="0.2">
      <c r="AQ16593" s="31"/>
    </row>
    <row r="16594" spans="43:43" x14ac:dyDescent="0.2">
      <c r="AQ16594" s="31"/>
    </row>
    <row r="16595" spans="43:43" x14ac:dyDescent="0.2">
      <c r="AQ16595" s="31"/>
    </row>
    <row r="16596" spans="43:43" x14ac:dyDescent="0.2">
      <c r="AQ16596" s="31"/>
    </row>
    <row r="16597" spans="43:43" x14ac:dyDescent="0.2">
      <c r="AQ16597" s="31"/>
    </row>
    <row r="16598" spans="43:43" x14ac:dyDescent="0.2">
      <c r="AQ16598" s="31"/>
    </row>
    <row r="16599" spans="43:43" x14ac:dyDescent="0.2">
      <c r="AQ16599" s="31"/>
    </row>
    <row r="16600" spans="43:43" x14ac:dyDescent="0.2">
      <c r="AQ16600" s="31"/>
    </row>
    <row r="16601" spans="43:43" x14ac:dyDescent="0.2">
      <c r="AQ16601" s="31"/>
    </row>
    <row r="16602" spans="43:43" x14ac:dyDescent="0.2">
      <c r="AQ16602" s="31"/>
    </row>
    <row r="16603" spans="43:43" x14ac:dyDescent="0.2">
      <c r="AQ16603" s="31"/>
    </row>
    <row r="16604" spans="43:43" x14ac:dyDescent="0.2">
      <c r="AQ16604" s="31"/>
    </row>
    <row r="16605" spans="43:43" x14ac:dyDescent="0.2">
      <c r="AQ16605" s="31"/>
    </row>
    <row r="16606" spans="43:43" x14ac:dyDescent="0.2">
      <c r="AQ16606" s="31"/>
    </row>
    <row r="16607" spans="43:43" x14ac:dyDescent="0.2">
      <c r="AQ16607" s="31"/>
    </row>
    <row r="16608" spans="43:43" x14ac:dyDescent="0.2">
      <c r="AQ16608" s="31"/>
    </row>
    <row r="16609" spans="43:43" x14ac:dyDescent="0.2">
      <c r="AQ16609" s="31"/>
    </row>
    <row r="16610" spans="43:43" x14ac:dyDescent="0.2">
      <c r="AQ16610" s="31"/>
    </row>
    <row r="16611" spans="43:43" x14ac:dyDescent="0.2">
      <c r="AQ16611" s="31"/>
    </row>
    <row r="16612" spans="43:43" x14ac:dyDescent="0.2">
      <c r="AQ16612" s="31"/>
    </row>
    <row r="16613" spans="43:43" x14ac:dyDescent="0.2">
      <c r="AQ16613" s="31"/>
    </row>
    <row r="16614" spans="43:43" x14ac:dyDescent="0.2">
      <c r="AQ16614" s="31"/>
    </row>
    <row r="16615" spans="43:43" x14ac:dyDescent="0.2">
      <c r="AQ16615" s="31"/>
    </row>
    <row r="16616" spans="43:43" x14ac:dyDescent="0.2">
      <c r="AQ16616" s="31"/>
    </row>
    <row r="16617" spans="43:43" x14ac:dyDescent="0.2">
      <c r="AQ16617" s="31"/>
    </row>
    <row r="16618" spans="43:43" x14ac:dyDescent="0.2">
      <c r="AQ16618" s="31"/>
    </row>
    <row r="16619" spans="43:43" x14ac:dyDescent="0.2">
      <c r="AQ16619" s="31"/>
    </row>
    <row r="16620" spans="43:43" x14ac:dyDescent="0.2">
      <c r="AQ16620" s="31"/>
    </row>
    <row r="16621" spans="43:43" x14ac:dyDescent="0.2">
      <c r="AQ16621" s="31"/>
    </row>
    <row r="16622" spans="43:43" x14ac:dyDescent="0.2">
      <c r="AQ16622" s="31"/>
    </row>
    <row r="16623" spans="43:43" x14ac:dyDescent="0.2">
      <c r="AQ16623" s="31"/>
    </row>
    <row r="16624" spans="43:43" x14ac:dyDescent="0.2">
      <c r="AQ16624" s="31"/>
    </row>
    <row r="16625" spans="43:43" x14ac:dyDescent="0.2">
      <c r="AQ16625" s="31"/>
    </row>
    <row r="16626" spans="43:43" x14ac:dyDescent="0.2">
      <c r="AQ16626" s="31"/>
    </row>
    <row r="16627" spans="43:43" x14ac:dyDescent="0.2">
      <c r="AQ16627" s="31"/>
    </row>
    <row r="16628" spans="43:43" x14ac:dyDescent="0.2">
      <c r="AQ16628" s="31"/>
    </row>
    <row r="16629" spans="43:43" x14ac:dyDescent="0.2">
      <c r="AQ16629" s="31"/>
    </row>
    <row r="16630" spans="43:43" x14ac:dyDescent="0.2">
      <c r="AQ16630" s="31"/>
    </row>
    <row r="16631" spans="43:43" x14ac:dyDescent="0.2">
      <c r="AQ16631" s="31"/>
    </row>
    <row r="16632" spans="43:43" x14ac:dyDescent="0.2">
      <c r="AQ16632" s="31"/>
    </row>
    <row r="16633" spans="43:43" x14ac:dyDescent="0.2">
      <c r="AQ16633" s="31"/>
    </row>
    <row r="16634" spans="43:43" x14ac:dyDescent="0.2">
      <c r="AQ16634" s="31"/>
    </row>
    <row r="16635" spans="43:43" x14ac:dyDescent="0.2">
      <c r="AQ16635" s="31"/>
    </row>
    <row r="16636" spans="43:43" x14ac:dyDescent="0.2">
      <c r="AQ16636" s="31"/>
    </row>
    <row r="16637" spans="43:43" x14ac:dyDescent="0.2">
      <c r="AQ16637" s="31"/>
    </row>
    <row r="16638" spans="43:43" x14ac:dyDescent="0.2">
      <c r="AQ16638" s="31"/>
    </row>
    <row r="16639" spans="43:43" x14ac:dyDescent="0.2">
      <c r="AQ16639" s="31"/>
    </row>
    <row r="16640" spans="43:43" x14ac:dyDescent="0.2">
      <c r="AQ16640" s="31"/>
    </row>
    <row r="16641" spans="43:43" x14ac:dyDescent="0.2">
      <c r="AQ16641" s="31"/>
    </row>
    <row r="16642" spans="43:43" x14ac:dyDescent="0.2">
      <c r="AQ16642" s="31"/>
    </row>
    <row r="16643" spans="43:43" x14ac:dyDescent="0.2">
      <c r="AQ16643" s="31"/>
    </row>
    <row r="16644" spans="43:43" x14ac:dyDescent="0.2">
      <c r="AQ16644" s="31"/>
    </row>
    <row r="16645" spans="43:43" x14ac:dyDescent="0.2">
      <c r="AQ16645" s="31"/>
    </row>
    <row r="16646" spans="43:43" x14ac:dyDescent="0.2">
      <c r="AQ16646" s="31"/>
    </row>
    <row r="16647" spans="43:43" x14ac:dyDescent="0.2">
      <c r="AQ16647" s="31"/>
    </row>
    <row r="16648" spans="43:43" x14ac:dyDescent="0.2">
      <c r="AQ16648" s="31"/>
    </row>
    <row r="16649" spans="43:43" x14ac:dyDescent="0.2">
      <c r="AQ16649" s="31"/>
    </row>
    <row r="16650" spans="43:43" x14ac:dyDescent="0.2">
      <c r="AQ16650" s="31"/>
    </row>
    <row r="16651" spans="43:43" x14ac:dyDescent="0.2">
      <c r="AQ16651" s="31"/>
    </row>
    <row r="16652" spans="43:43" x14ac:dyDescent="0.2">
      <c r="AQ16652" s="31"/>
    </row>
    <row r="16653" spans="43:43" x14ac:dyDescent="0.2">
      <c r="AQ16653" s="31"/>
    </row>
    <row r="16654" spans="43:43" x14ac:dyDescent="0.2">
      <c r="AQ16654" s="31"/>
    </row>
    <row r="16655" spans="43:43" x14ac:dyDescent="0.2">
      <c r="AQ16655" s="31"/>
    </row>
    <row r="16656" spans="43:43" x14ac:dyDescent="0.2">
      <c r="AQ16656" s="31"/>
    </row>
    <row r="16657" spans="43:43" x14ac:dyDescent="0.2">
      <c r="AQ16657" s="31"/>
    </row>
    <row r="16658" spans="43:43" x14ac:dyDescent="0.2">
      <c r="AQ16658" s="31"/>
    </row>
    <row r="16659" spans="43:43" x14ac:dyDescent="0.2">
      <c r="AQ16659" s="31"/>
    </row>
    <row r="16660" spans="43:43" x14ac:dyDescent="0.2">
      <c r="AQ16660" s="31"/>
    </row>
    <row r="16661" spans="43:43" x14ac:dyDescent="0.2">
      <c r="AQ16661" s="31"/>
    </row>
    <row r="16662" spans="43:43" x14ac:dyDescent="0.2">
      <c r="AQ16662" s="31"/>
    </row>
    <row r="16663" spans="43:43" x14ac:dyDescent="0.2">
      <c r="AQ16663" s="31"/>
    </row>
    <row r="16664" spans="43:43" x14ac:dyDescent="0.2">
      <c r="AQ16664" s="31"/>
    </row>
    <row r="16665" spans="43:43" x14ac:dyDescent="0.2">
      <c r="AQ16665" s="31"/>
    </row>
    <row r="16666" spans="43:43" x14ac:dyDescent="0.2">
      <c r="AQ16666" s="31"/>
    </row>
    <row r="16667" spans="43:43" x14ac:dyDescent="0.2">
      <c r="AQ16667" s="31"/>
    </row>
    <row r="16668" spans="43:43" x14ac:dyDescent="0.2">
      <c r="AQ16668" s="31"/>
    </row>
    <row r="16669" spans="43:43" x14ac:dyDescent="0.2">
      <c r="AQ16669" s="31"/>
    </row>
    <row r="16670" spans="43:43" x14ac:dyDescent="0.2">
      <c r="AQ16670" s="31"/>
    </row>
    <row r="16671" spans="43:43" x14ac:dyDescent="0.2">
      <c r="AQ16671" s="31"/>
    </row>
    <row r="16672" spans="43:43" x14ac:dyDescent="0.2">
      <c r="AQ16672" s="31"/>
    </row>
    <row r="16673" spans="43:43" x14ac:dyDescent="0.2">
      <c r="AQ16673" s="31"/>
    </row>
    <row r="16674" spans="43:43" x14ac:dyDescent="0.2">
      <c r="AQ16674" s="31"/>
    </row>
    <row r="16675" spans="43:43" x14ac:dyDescent="0.2">
      <c r="AQ16675" s="31"/>
    </row>
    <row r="16676" spans="43:43" x14ac:dyDescent="0.2">
      <c r="AQ16676" s="31"/>
    </row>
    <row r="16677" spans="43:43" x14ac:dyDescent="0.2">
      <c r="AQ16677" s="31"/>
    </row>
    <row r="16678" spans="43:43" x14ac:dyDescent="0.2">
      <c r="AQ16678" s="31"/>
    </row>
    <row r="16679" spans="43:43" x14ac:dyDescent="0.2">
      <c r="AQ16679" s="31"/>
    </row>
    <row r="16680" spans="43:43" x14ac:dyDescent="0.2">
      <c r="AQ16680" s="31"/>
    </row>
    <row r="16681" spans="43:43" x14ac:dyDescent="0.2">
      <c r="AQ16681" s="31"/>
    </row>
    <row r="16682" spans="43:43" x14ac:dyDescent="0.2">
      <c r="AQ16682" s="31"/>
    </row>
    <row r="16683" spans="43:43" x14ac:dyDescent="0.2">
      <c r="AQ16683" s="31"/>
    </row>
    <row r="16684" spans="43:43" x14ac:dyDescent="0.2">
      <c r="AQ16684" s="31"/>
    </row>
    <row r="16685" spans="43:43" x14ac:dyDescent="0.2">
      <c r="AQ16685" s="31"/>
    </row>
    <row r="16686" spans="43:43" x14ac:dyDescent="0.2">
      <c r="AQ16686" s="31"/>
    </row>
    <row r="16687" spans="43:43" x14ac:dyDescent="0.2">
      <c r="AQ16687" s="31"/>
    </row>
    <row r="16688" spans="43:43" x14ac:dyDescent="0.2">
      <c r="AQ16688" s="31"/>
    </row>
    <row r="16689" spans="43:43" x14ac:dyDescent="0.2">
      <c r="AQ16689" s="31"/>
    </row>
    <row r="16690" spans="43:43" x14ac:dyDescent="0.2">
      <c r="AQ16690" s="31"/>
    </row>
    <row r="16691" spans="43:43" x14ac:dyDescent="0.2">
      <c r="AQ16691" s="31"/>
    </row>
    <row r="16692" spans="43:43" x14ac:dyDescent="0.2">
      <c r="AQ16692" s="31"/>
    </row>
    <row r="16693" spans="43:43" x14ac:dyDescent="0.2">
      <c r="AQ16693" s="31"/>
    </row>
    <row r="16694" spans="43:43" x14ac:dyDescent="0.2">
      <c r="AQ16694" s="31"/>
    </row>
    <row r="16695" spans="43:43" x14ac:dyDescent="0.2">
      <c r="AQ16695" s="31"/>
    </row>
    <row r="16696" spans="43:43" x14ac:dyDescent="0.2">
      <c r="AQ16696" s="31"/>
    </row>
    <row r="16697" spans="43:43" x14ac:dyDescent="0.2">
      <c r="AQ16697" s="31"/>
    </row>
    <row r="16698" spans="43:43" x14ac:dyDescent="0.2">
      <c r="AQ16698" s="31"/>
    </row>
    <row r="16699" spans="43:43" x14ac:dyDescent="0.2">
      <c r="AQ16699" s="31"/>
    </row>
    <row r="16700" spans="43:43" x14ac:dyDescent="0.2">
      <c r="AQ16700" s="31"/>
    </row>
    <row r="16701" spans="43:43" x14ac:dyDescent="0.2">
      <c r="AQ16701" s="31"/>
    </row>
    <row r="16702" spans="43:43" x14ac:dyDescent="0.2">
      <c r="AQ16702" s="31"/>
    </row>
    <row r="16703" spans="43:43" x14ac:dyDescent="0.2">
      <c r="AQ16703" s="31"/>
    </row>
    <row r="16704" spans="43:43" x14ac:dyDescent="0.2">
      <c r="AQ16704" s="31"/>
    </row>
    <row r="16705" spans="43:43" x14ac:dyDescent="0.2">
      <c r="AQ16705" s="31"/>
    </row>
    <row r="16706" spans="43:43" x14ac:dyDescent="0.2">
      <c r="AQ16706" s="31"/>
    </row>
    <row r="16707" spans="43:43" x14ac:dyDescent="0.2">
      <c r="AQ16707" s="31"/>
    </row>
    <row r="16708" spans="43:43" x14ac:dyDescent="0.2">
      <c r="AQ16708" s="31"/>
    </row>
    <row r="16709" spans="43:43" x14ac:dyDescent="0.2">
      <c r="AQ16709" s="31"/>
    </row>
    <row r="16710" spans="43:43" x14ac:dyDescent="0.2">
      <c r="AQ16710" s="31"/>
    </row>
    <row r="16711" spans="43:43" x14ac:dyDescent="0.2">
      <c r="AQ16711" s="31"/>
    </row>
    <row r="16712" spans="43:43" x14ac:dyDescent="0.2">
      <c r="AQ16712" s="31"/>
    </row>
    <row r="16713" spans="43:43" x14ac:dyDescent="0.2">
      <c r="AQ16713" s="31"/>
    </row>
    <row r="16714" spans="43:43" x14ac:dyDescent="0.2">
      <c r="AQ16714" s="31"/>
    </row>
    <row r="16715" spans="43:43" x14ac:dyDescent="0.2">
      <c r="AQ16715" s="31"/>
    </row>
    <row r="16716" spans="43:43" x14ac:dyDescent="0.2">
      <c r="AQ16716" s="31"/>
    </row>
    <row r="16717" spans="43:43" x14ac:dyDescent="0.2">
      <c r="AQ16717" s="31"/>
    </row>
    <row r="16718" spans="43:43" x14ac:dyDescent="0.2">
      <c r="AQ16718" s="31"/>
    </row>
    <row r="16719" spans="43:43" x14ac:dyDescent="0.2">
      <c r="AQ16719" s="31"/>
    </row>
    <row r="16720" spans="43:43" x14ac:dyDescent="0.2">
      <c r="AQ16720" s="31"/>
    </row>
    <row r="16721" spans="43:43" x14ac:dyDescent="0.2">
      <c r="AQ16721" s="31"/>
    </row>
    <row r="16722" spans="43:43" x14ac:dyDescent="0.2">
      <c r="AQ16722" s="31"/>
    </row>
    <row r="16723" spans="43:43" x14ac:dyDescent="0.2">
      <c r="AQ16723" s="31"/>
    </row>
    <row r="16724" spans="43:43" x14ac:dyDescent="0.2">
      <c r="AQ16724" s="31"/>
    </row>
    <row r="16725" spans="43:43" x14ac:dyDescent="0.2">
      <c r="AQ16725" s="31"/>
    </row>
    <row r="16726" spans="43:43" x14ac:dyDescent="0.2">
      <c r="AQ16726" s="31"/>
    </row>
    <row r="16727" spans="43:43" x14ac:dyDescent="0.2">
      <c r="AQ16727" s="31"/>
    </row>
    <row r="16728" spans="43:43" x14ac:dyDescent="0.2">
      <c r="AQ16728" s="31"/>
    </row>
    <row r="16729" spans="43:43" x14ac:dyDescent="0.2">
      <c r="AQ16729" s="31"/>
    </row>
    <row r="16730" spans="43:43" x14ac:dyDescent="0.2">
      <c r="AQ16730" s="31"/>
    </row>
    <row r="16731" spans="43:43" x14ac:dyDescent="0.2">
      <c r="AQ16731" s="31"/>
    </row>
    <row r="16732" spans="43:43" x14ac:dyDescent="0.2">
      <c r="AQ16732" s="31"/>
    </row>
    <row r="16733" spans="43:43" x14ac:dyDescent="0.2">
      <c r="AQ16733" s="31"/>
    </row>
    <row r="16734" spans="43:43" x14ac:dyDescent="0.2">
      <c r="AQ16734" s="31"/>
    </row>
    <row r="16735" spans="43:43" x14ac:dyDescent="0.2">
      <c r="AQ16735" s="31"/>
    </row>
    <row r="16736" spans="43:43" x14ac:dyDescent="0.2">
      <c r="AQ16736" s="31"/>
    </row>
    <row r="16737" spans="43:43" x14ac:dyDescent="0.2">
      <c r="AQ16737" s="31"/>
    </row>
    <row r="16738" spans="43:43" x14ac:dyDescent="0.2">
      <c r="AQ16738" s="31"/>
    </row>
    <row r="16739" spans="43:43" x14ac:dyDescent="0.2">
      <c r="AQ16739" s="31"/>
    </row>
    <row r="16740" spans="43:43" x14ac:dyDescent="0.2">
      <c r="AQ16740" s="31"/>
    </row>
    <row r="16741" spans="43:43" x14ac:dyDescent="0.2">
      <c r="AQ16741" s="31"/>
    </row>
    <row r="16742" spans="43:43" x14ac:dyDescent="0.2">
      <c r="AQ16742" s="31"/>
    </row>
    <row r="16743" spans="43:43" x14ac:dyDescent="0.2">
      <c r="AQ16743" s="31"/>
    </row>
    <row r="16744" spans="43:43" x14ac:dyDescent="0.2">
      <c r="AQ16744" s="31"/>
    </row>
    <row r="16745" spans="43:43" x14ac:dyDescent="0.2">
      <c r="AQ16745" s="31"/>
    </row>
    <row r="16746" spans="43:43" x14ac:dyDescent="0.2">
      <c r="AQ16746" s="31"/>
    </row>
    <row r="16747" spans="43:43" x14ac:dyDescent="0.2">
      <c r="AQ16747" s="31"/>
    </row>
    <row r="16748" spans="43:43" x14ac:dyDescent="0.2">
      <c r="AQ16748" s="31"/>
    </row>
    <row r="16749" spans="43:43" x14ac:dyDescent="0.2">
      <c r="AQ16749" s="31"/>
    </row>
    <row r="16750" spans="43:43" x14ac:dyDescent="0.2">
      <c r="AQ16750" s="31"/>
    </row>
    <row r="16751" spans="43:43" x14ac:dyDescent="0.2">
      <c r="AQ16751" s="31"/>
    </row>
    <row r="16752" spans="43:43" x14ac:dyDescent="0.2">
      <c r="AQ16752" s="31"/>
    </row>
    <row r="16753" spans="43:43" x14ac:dyDescent="0.2">
      <c r="AQ16753" s="31"/>
    </row>
    <row r="16754" spans="43:43" x14ac:dyDescent="0.2">
      <c r="AQ16754" s="31"/>
    </row>
    <row r="16755" spans="43:43" x14ac:dyDescent="0.2">
      <c r="AQ16755" s="31"/>
    </row>
    <row r="16756" spans="43:43" x14ac:dyDescent="0.2">
      <c r="AQ16756" s="31"/>
    </row>
    <row r="16757" spans="43:43" x14ac:dyDescent="0.2">
      <c r="AQ16757" s="31"/>
    </row>
    <row r="16758" spans="43:43" x14ac:dyDescent="0.2">
      <c r="AQ16758" s="31"/>
    </row>
    <row r="16759" spans="43:43" x14ac:dyDescent="0.2">
      <c r="AQ16759" s="31"/>
    </row>
    <row r="16760" spans="43:43" x14ac:dyDescent="0.2">
      <c r="AQ16760" s="31"/>
    </row>
    <row r="16761" spans="43:43" x14ac:dyDescent="0.2">
      <c r="AQ16761" s="31"/>
    </row>
    <row r="16762" spans="43:43" x14ac:dyDescent="0.2">
      <c r="AQ16762" s="31"/>
    </row>
    <row r="16763" spans="43:43" x14ac:dyDescent="0.2">
      <c r="AQ16763" s="31"/>
    </row>
    <row r="16764" spans="43:43" x14ac:dyDescent="0.2">
      <c r="AQ16764" s="31"/>
    </row>
    <row r="16765" spans="43:43" x14ac:dyDescent="0.2">
      <c r="AQ16765" s="31"/>
    </row>
    <row r="16766" spans="43:43" x14ac:dyDescent="0.2">
      <c r="AQ16766" s="31"/>
    </row>
    <row r="16767" spans="43:43" x14ac:dyDescent="0.2">
      <c r="AQ16767" s="31"/>
    </row>
    <row r="16768" spans="43:43" x14ac:dyDescent="0.2">
      <c r="AQ16768" s="31"/>
    </row>
    <row r="16769" spans="43:43" x14ac:dyDescent="0.2">
      <c r="AQ16769" s="31"/>
    </row>
    <row r="16770" spans="43:43" x14ac:dyDescent="0.2">
      <c r="AQ16770" s="31"/>
    </row>
    <row r="16771" spans="43:43" x14ac:dyDescent="0.2">
      <c r="AQ16771" s="31"/>
    </row>
    <row r="16772" spans="43:43" x14ac:dyDescent="0.2">
      <c r="AQ16772" s="31"/>
    </row>
    <row r="16773" spans="43:43" x14ac:dyDescent="0.2">
      <c r="AQ16773" s="31"/>
    </row>
    <row r="16774" spans="43:43" x14ac:dyDescent="0.2">
      <c r="AQ16774" s="31"/>
    </row>
    <row r="16775" spans="43:43" x14ac:dyDescent="0.2">
      <c r="AQ16775" s="31"/>
    </row>
    <row r="16776" spans="43:43" x14ac:dyDescent="0.2">
      <c r="AQ16776" s="31"/>
    </row>
    <row r="16777" spans="43:43" x14ac:dyDescent="0.2">
      <c r="AQ16777" s="31"/>
    </row>
    <row r="16778" spans="43:43" x14ac:dyDescent="0.2">
      <c r="AQ16778" s="31"/>
    </row>
    <row r="16779" spans="43:43" x14ac:dyDescent="0.2">
      <c r="AQ16779" s="31"/>
    </row>
    <row r="16780" spans="43:43" x14ac:dyDescent="0.2">
      <c r="AQ16780" s="31"/>
    </row>
    <row r="16781" spans="43:43" x14ac:dyDescent="0.2">
      <c r="AQ16781" s="31"/>
    </row>
    <row r="16782" spans="43:43" x14ac:dyDescent="0.2">
      <c r="AQ16782" s="31"/>
    </row>
    <row r="16783" spans="43:43" x14ac:dyDescent="0.2">
      <c r="AQ16783" s="31"/>
    </row>
    <row r="16784" spans="43:43" x14ac:dyDescent="0.2">
      <c r="AQ16784" s="31"/>
    </row>
    <row r="16785" spans="43:43" x14ac:dyDescent="0.2">
      <c r="AQ16785" s="31"/>
    </row>
    <row r="16786" spans="43:43" x14ac:dyDescent="0.2">
      <c r="AQ16786" s="31"/>
    </row>
    <row r="16787" spans="43:43" x14ac:dyDescent="0.2">
      <c r="AQ16787" s="31"/>
    </row>
    <row r="16788" spans="43:43" x14ac:dyDescent="0.2">
      <c r="AQ16788" s="31"/>
    </row>
    <row r="16789" spans="43:43" x14ac:dyDescent="0.2">
      <c r="AQ16789" s="31"/>
    </row>
    <row r="16790" spans="43:43" x14ac:dyDescent="0.2">
      <c r="AQ16790" s="31"/>
    </row>
    <row r="16791" spans="43:43" x14ac:dyDescent="0.2">
      <c r="AQ16791" s="31"/>
    </row>
    <row r="16792" spans="43:43" x14ac:dyDescent="0.2">
      <c r="AQ16792" s="31"/>
    </row>
    <row r="16793" spans="43:43" x14ac:dyDescent="0.2">
      <c r="AQ16793" s="31"/>
    </row>
    <row r="16794" spans="43:43" x14ac:dyDescent="0.2">
      <c r="AQ16794" s="31"/>
    </row>
    <row r="16795" spans="43:43" x14ac:dyDescent="0.2">
      <c r="AQ16795" s="31"/>
    </row>
    <row r="16796" spans="43:43" x14ac:dyDescent="0.2">
      <c r="AQ16796" s="31"/>
    </row>
    <row r="16797" spans="43:43" x14ac:dyDescent="0.2">
      <c r="AQ16797" s="31"/>
    </row>
    <row r="16798" spans="43:43" x14ac:dyDescent="0.2">
      <c r="AQ16798" s="31"/>
    </row>
    <row r="16799" spans="43:43" x14ac:dyDescent="0.2">
      <c r="AQ16799" s="31"/>
    </row>
    <row r="16800" spans="43:43" x14ac:dyDescent="0.2">
      <c r="AQ16800" s="31"/>
    </row>
    <row r="16801" spans="43:43" x14ac:dyDescent="0.2">
      <c r="AQ16801" s="31"/>
    </row>
    <row r="16802" spans="43:43" x14ac:dyDescent="0.2">
      <c r="AQ16802" s="31"/>
    </row>
    <row r="16803" spans="43:43" x14ac:dyDescent="0.2">
      <c r="AQ16803" s="31"/>
    </row>
    <row r="16804" spans="43:43" x14ac:dyDescent="0.2">
      <c r="AQ16804" s="31"/>
    </row>
    <row r="16805" spans="43:43" x14ac:dyDescent="0.2">
      <c r="AQ16805" s="31"/>
    </row>
    <row r="16806" spans="43:43" x14ac:dyDescent="0.2">
      <c r="AQ16806" s="31"/>
    </row>
    <row r="16807" spans="43:43" x14ac:dyDescent="0.2">
      <c r="AQ16807" s="31"/>
    </row>
    <row r="16808" spans="43:43" x14ac:dyDescent="0.2">
      <c r="AQ16808" s="31"/>
    </row>
    <row r="16809" spans="43:43" x14ac:dyDescent="0.2">
      <c r="AQ16809" s="31"/>
    </row>
    <row r="16810" spans="43:43" x14ac:dyDescent="0.2">
      <c r="AQ16810" s="31"/>
    </row>
    <row r="16811" spans="43:43" x14ac:dyDescent="0.2">
      <c r="AQ16811" s="31"/>
    </row>
    <row r="16812" spans="43:43" x14ac:dyDescent="0.2">
      <c r="AQ16812" s="31"/>
    </row>
    <row r="16813" spans="43:43" x14ac:dyDescent="0.2">
      <c r="AQ16813" s="31"/>
    </row>
    <row r="16814" spans="43:43" x14ac:dyDescent="0.2">
      <c r="AQ16814" s="31"/>
    </row>
    <row r="16815" spans="43:43" x14ac:dyDescent="0.2">
      <c r="AQ16815" s="31"/>
    </row>
    <row r="16816" spans="43:43" x14ac:dyDescent="0.2">
      <c r="AQ16816" s="31"/>
    </row>
    <row r="16817" spans="43:43" x14ac:dyDescent="0.2">
      <c r="AQ16817" s="31"/>
    </row>
    <row r="16818" spans="43:43" x14ac:dyDescent="0.2">
      <c r="AQ16818" s="31"/>
    </row>
    <row r="16819" spans="43:43" x14ac:dyDescent="0.2">
      <c r="AQ16819" s="31"/>
    </row>
    <row r="16820" spans="43:43" x14ac:dyDescent="0.2">
      <c r="AQ16820" s="31"/>
    </row>
    <row r="16821" spans="43:43" x14ac:dyDescent="0.2">
      <c r="AQ16821" s="31"/>
    </row>
    <row r="16822" spans="43:43" x14ac:dyDescent="0.2">
      <c r="AQ16822" s="31"/>
    </row>
    <row r="16823" spans="43:43" x14ac:dyDescent="0.2">
      <c r="AQ16823" s="31"/>
    </row>
    <row r="16824" spans="43:43" x14ac:dyDescent="0.2">
      <c r="AQ16824" s="31"/>
    </row>
    <row r="16825" spans="43:43" x14ac:dyDescent="0.2">
      <c r="AQ16825" s="31"/>
    </row>
    <row r="16826" spans="43:43" x14ac:dyDescent="0.2">
      <c r="AQ16826" s="31"/>
    </row>
    <row r="16827" spans="43:43" x14ac:dyDescent="0.2">
      <c r="AQ16827" s="31"/>
    </row>
    <row r="16828" spans="43:43" x14ac:dyDescent="0.2">
      <c r="AQ16828" s="31"/>
    </row>
    <row r="16829" spans="43:43" x14ac:dyDescent="0.2">
      <c r="AQ16829" s="31"/>
    </row>
    <row r="16830" spans="43:43" x14ac:dyDescent="0.2">
      <c r="AQ16830" s="31"/>
    </row>
    <row r="16831" spans="43:43" x14ac:dyDescent="0.2">
      <c r="AQ16831" s="31"/>
    </row>
    <row r="16832" spans="43:43" x14ac:dyDescent="0.2">
      <c r="AQ16832" s="31"/>
    </row>
    <row r="16833" spans="43:43" x14ac:dyDescent="0.2">
      <c r="AQ16833" s="31"/>
    </row>
    <row r="16834" spans="43:43" x14ac:dyDescent="0.2">
      <c r="AQ16834" s="31"/>
    </row>
    <row r="16835" spans="43:43" x14ac:dyDescent="0.2">
      <c r="AQ16835" s="31"/>
    </row>
    <row r="16836" spans="43:43" x14ac:dyDescent="0.2">
      <c r="AQ16836" s="31"/>
    </row>
    <row r="16837" spans="43:43" x14ac:dyDescent="0.2">
      <c r="AQ16837" s="31"/>
    </row>
    <row r="16838" spans="43:43" x14ac:dyDescent="0.2">
      <c r="AQ16838" s="31"/>
    </row>
    <row r="16839" spans="43:43" x14ac:dyDescent="0.2">
      <c r="AQ16839" s="31"/>
    </row>
    <row r="16840" spans="43:43" x14ac:dyDescent="0.2">
      <c r="AQ16840" s="31"/>
    </row>
    <row r="16841" spans="43:43" x14ac:dyDescent="0.2">
      <c r="AQ16841" s="31"/>
    </row>
    <row r="16842" spans="43:43" x14ac:dyDescent="0.2">
      <c r="AQ16842" s="31"/>
    </row>
    <row r="16843" spans="43:43" x14ac:dyDescent="0.2">
      <c r="AQ16843" s="31"/>
    </row>
    <row r="16844" spans="43:43" x14ac:dyDescent="0.2">
      <c r="AQ16844" s="31"/>
    </row>
    <row r="16845" spans="43:43" x14ac:dyDescent="0.2">
      <c r="AQ16845" s="31"/>
    </row>
    <row r="16846" spans="43:43" x14ac:dyDescent="0.2">
      <c r="AQ16846" s="31"/>
    </row>
    <row r="16847" spans="43:43" x14ac:dyDescent="0.2">
      <c r="AQ16847" s="31"/>
    </row>
    <row r="16848" spans="43:43" x14ac:dyDescent="0.2">
      <c r="AQ16848" s="31"/>
    </row>
    <row r="16849" spans="43:43" x14ac:dyDescent="0.2">
      <c r="AQ16849" s="31"/>
    </row>
    <row r="16850" spans="43:43" x14ac:dyDescent="0.2">
      <c r="AQ16850" s="31"/>
    </row>
    <row r="16851" spans="43:43" x14ac:dyDescent="0.2">
      <c r="AQ16851" s="31"/>
    </row>
    <row r="16852" spans="43:43" x14ac:dyDescent="0.2">
      <c r="AQ16852" s="31"/>
    </row>
    <row r="16853" spans="43:43" x14ac:dyDescent="0.2">
      <c r="AQ16853" s="31"/>
    </row>
    <row r="16854" spans="43:43" x14ac:dyDescent="0.2">
      <c r="AQ16854" s="31"/>
    </row>
    <row r="16855" spans="43:43" x14ac:dyDescent="0.2">
      <c r="AQ16855" s="31"/>
    </row>
    <row r="16856" spans="43:43" x14ac:dyDescent="0.2">
      <c r="AQ16856" s="31"/>
    </row>
    <row r="16857" spans="43:43" x14ac:dyDescent="0.2">
      <c r="AQ16857" s="31"/>
    </row>
    <row r="16858" spans="43:43" x14ac:dyDescent="0.2">
      <c r="AQ16858" s="31"/>
    </row>
    <row r="16859" spans="43:43" x14ac:dyDescent="0.2">
      <c r="AQ16859" s="31"/>
    </row>
    <row r="16860" spans="43:43" x14ac:dyDescent="0.2">
      <c r="AQ16860" s="31"/>
    </row>
    <row r="16861" spans="43:43" x14ac:dyDescent="0.2">
      <c r="AQ16861" s="31"/>
    </row>
    <row r="16862" spans="43:43" x14ac:dyDescent="0.2">
      <c r="AQ16862" s="31"/>
    </row>
    <row r="16863" spans="43:43" x14ac:dyDescent="0.2">
      <c r="AQ16863" s="31"/>
    </row>
    <row r="16864" spans="43:43" x14ac:dyDescent="0.2">
      <c r="AQ16864" s="31"/>
    </row>
    <row r="16865" spans="43:43" x14ac:dyDescent="0.2">
      <c r="AQ16865" s="31"/>
    </row>
    <row r="16866" spans="43:43" x14ac:dyDescent="0.2">
      <c r="AQ16866" s="31"/>
    </row>
    <row r="16867" spans="43:43" x14ac:dyDescent="0.2">
      <c r="AQ16867" s="31"/>
    </row>
    <row r="16868" spans="43:43" x14ac:dyDescent="0.2">
      <c r="AQ16868" s="31"/>
    </row>
    <row r="16869" spans="43:43" x14ac:dyDescent="0.2">
      <c r="AQ16869" s="31"/>
    </row>
    <row r="16870" spans="43:43" x14ac:dyDescent="0.2">
      <c r="AQ16870" s="31"/>
    </row>
    <row r="16871" spans="43:43" x14ac:dyDescent="0.2">
      <c r="AQ16871" s="31"/>
    </row>
    <row r="16872" spans="43:43" x14ac:dyDescent="0.2">
      <c r="AQ16872" s="31"/>
    </row>
    <row r="16873" spans="43:43" x14ac:dyDescent="0.2">
      <c r="AQ16873" s="31"/>
    </row>
    <row r="16874" spans="43:43" x14ac:dyDescent="0.2">
      <c r="AQ16874" s="31"/>
    </row>
    <row r="16875" spans="43:43" x14ac:dyDescent="0.2">
      <c r="AQ16875" s="31"/>
    </row>
    <row r="16876" spans="43:43" x14ac:dyDescent="0.2">
      <c r="AQ16876" s="31"/>
    </row>
    <row r="16877" spans="43:43" x14ac:dyDescent="0.2">
      <c r="AQ16877" s="31"/>
    </row>
    <row r="16878" spans="43:43" x14ac:dyDescent="0.2">
      <c r="AQ16878" s="31"/>
    </row>
    <row r="16879" spans="43:43" x14ac:dyDescent="0.2">
      <c r="AQ16879" s="31"/>
    </row>
    <row r="16880" spans="43:43" x14ac:dyDescent="0.2">
      <c r="AQ16880" s="31"/>
    </row>
    <row r="16881" spans="43:43" x14ac:dyDescent="0.2">
      <c r="AQ16881" s="31"/>
    </row>
    <row r="16882" spans="43:43" x14ac:dyDescent="0.2">
      <c r="AQ16882" s="31"/>
    </row>
    <row r="16883" spans="43:43" x14ac:dyDescent="0.2">
      <c r="AQ16883" s="31"/>
    </row>
    <row r="16884" spans="43:43" x14ac:dyDescent="0.2">
      <c r="AQ16884" s="31"/>
    </row>
    <row r="16885" spans="43:43" x14ac:dyDescent="0.2">
      <c r="AQ16885" s="31"/>
    </row>
    <row r="16886" spans="43:43" x14ac:dyDescent="0.2">
      <c r="AQ16886" s="31"/>
    </row>
    <row r="16887" spans="43:43" x14ac:dyDescent="0.2">
      <c r="AQ16887" s="31"/>
    </row>
    <row r="16888" spans="43:43" x14ac:dyDescent="0.2">
      <c r="AQ16888" s="31"/>
    </row>
    <row r="16889" spans="43:43" x14ac:dyDescent="0.2">
      <c r="AQ16889" s="31"/>
    </row>
    <row r="16890" spans="43:43" x14ac:dyDescent="0.2">
      <c r="AQ16890" s="31"/>
    </row>
    <row r="16891" spans="43:43" x14ac:dyDescent="0.2">
      <c r="AQ16891" s="31"/>
    </row>
    <row r="16892" spans="43:43" x14ac:dyDescent="0.2">
      <c r="AQ16892" s="31"/>
    </row>
    <row r="16893" spans="43:43" x14ac:dyDescent="0.2">
      <c r="AQ16893" s="31"/>
    </row>
    <row r="16894" spans="43:43" x14ac:dyDescent="0.2">
      <c r="AQ16894" s="31"/>
    </row>
    <row r="16895" spans="43:43" x14ac:dyDescent="0.2">
      <c r="AQ16895" s="31"/>
    </row>
    <row r="16896" spans="43:43" x14ac:dyDescent="0.2">
      <c r="AQ16896" s="31"/>
    </row>
    <row r="16897" spans="43:43" x14ac:dyDescent="0.2">
      <c r="AQ16897" s="31"/>
    </row>
    <row r="16898" spans="43:43" x14ac:dyDescent="0.2">
      <c r="AQ16898" s="31"/>
    </row>
    <row r="16899" spans="43:43" x14ac:dyDescent="0.2">
      <c r="AQ16899" s="31"/>
    </row>
    <row r="16900" spans="43:43" x14ac:dyDescent="0.2">
      <c r="AQ16900" s="31"/>
    </row>
    <row r="16901" spans="43:43" x14ac:dyDescent="0.2">
      <c r="AQ16901" s="31"/>
    </row>
    <row r="16902" spans="43:43" x14ac:dyDescent="0.2">
      <c r="AQ16902" s="31"/>
    </row>
    <row r="16903" spans="43:43" x14ac:dyDescent="0.2">
      <c r="AQ16903" s="31"/>
    </row>
    <row r="16904" spans="43:43" x14ac:dyDescent="0.2">
      <c r="AQ16904" s="31"/>
    </row>
    <row r="16905" spans="43:43" x14ac:dyDescent="0.2">
      <c r="AQ16905" s="31"/>
    </row>
    <row r="16906" spans="43:43" x14ac:dyDescent="0.2">
      <c r="AQ16906" s="31"/>
    </row>
    <row r="16907" spans="43:43" x14ac:dyDescent="0.2">
      <c r="AQ16907" s="31"/>
    </row>
    <row r="16908" spans="43:43" x14ac:dyDescent="0.2">
      <c r="AQ16908" s="31"/>
    </row>
    <row r="16909" spans="43:43" x14ac:dyDescent="0.2">
      <c r="AQ16909" s="31"/>
    </row>
    <row r="16910" spans="43:43" x14ac:dyDescent="0.2">
      <c r="AQ16910" s="31"/>
    </row>
    <row r="16911" spans="43:43" x14ac:dyDescent="0.2">
      <c r="AQ16911" s="31"/>
    </row>
    <row r="16912" spans="43:43" x14ac:dyDescent="0.2">
      <c r="AQ16912" s="31"/>
    </row>
    <row r="16913" spans="43:43" x14ac:dyDescent="0.2">
      <c r="AQ16913" s="31"/>
    </row>
    <row r="16914" spans="43:43" x14ac:dyDescent="0.2">
      <c r="AQ16914" s="31"/>
    </row>
    <row r="16915" spans="43:43" x14ac:dyDescent="0.2">
      <c r="AQ16915" s="31"/>
    </row>
    <row r="16916" spans="43:43" x14ac:dyDescent="0.2">
      <c r="AQ16916" s="31"/>
    </row>
    <row r="16917" spans="43:43" x14ac:dyDescent="0.2">
      <c r="AQ16917" s="31"/>
    </row>
    <row r="16918" spans="43:43" x14ac:dyDescent="0.2">
      <c r="AQ16918" s="31"/>
    </row>
    <row r="16919" spans="43:43" x14ac:dyDescent="0.2">
      <c r="AQ16919" s="31"/>
    </row>
    <row r="16920" spans="43:43" x14ac:dyDescent="0.2">
      <c r="AQ16920" s="31"/>
    </row>
    <row r="16921" spans="43:43" x14ac:dyDescent="0.2">
      <c r="AQ16921" s="31"/>
    </row>
    <row r="16922" spans="43:43" x14ac:dyDescent="0.2">
      <c r="AQ16922" s="31"/>
    </row>
    <row r="16923" spans="43:43" x14ac:dyDescent="0.2">
      <c r="AQ16923" s="31"/>
    </row>
    <row r="16924" spans="43:43" x14ac:dyDescent="0.2">
      <c r="AQ16924" s="31"/>
    </row>
    <row r="16925" spans="43:43" x14ac:dyDescent="0.2">
      <c r="AQ16925" s="31"/>
    </row>
    <row r="16926" spans="43:43" x14ac:dyDescent="0.2">
      <c r="AQ16926" s="31"/>
    </row>
    <row r="16927" spans="43:43" x14ac:dyDescent="0.2">
      <c r="AQ16927" s="31"/>
    </row>
    <row r="16928" spans="43:43" x14ac:dyDescent="0.2">
      <c r="AQ16928" s="31"/>
    </row>
    <row r="16929" spans="43:43" x14ac:dyDescent="0.2">
      <c r="AQ16929" s="31"/>
    </row>
    <row r="16930" spans="43:43" x14ac:dyDescent="0.2">
      <c r="AQ16930" s="31"/>
    </row>
    <row r="16931" spans="43:43" x14ac:dyDescent="0.2">
      <c r="AQ16931" s="31"/>
    </row>
    <row r="16932" spans="43:43" x14ac:dyDescent="0.2">
      <c r="AQ16932" s="31"/>
    </row>
    <row r="16933" spans="43:43" x14ac:dyDescent="0.2">
      <c r="AQ16933" s="31"/>
    </row>
    <row r="16934" spans="43:43" x14ac:dyDescent="0.2">
      <c r="AQ16934" s="31"/>
    </row>
    <row r="16935" spans="43:43" x14ac:dyDescent="0.2">
      <c r="AQ16935" s="31"/>
    </row>
    <row r="16936" spans="43:43" x14ac:dyDescent="0.2">
      <c r="AQ16936" s="31"/>
    </row>
    <row r="16937" spans="43:43" x14ac:dyDescent="0.2">
      <c r="AQ16937" s="31"/>
    </row>
    <row r="16938" spans="43:43" x14ac:dyDescent="0.2">
      <c r="AQ16938" s="31"/>
    </row>
    <row r="16939" spans="43:43" x14ac:dyDescent="0.2">
      <c r="AQ16939" s="31"/>
    </row>
    <row r="16940" spans="43:43" x14ac:dyDescent="0.2">
      <c r="AQ16940" s="31"/>
    </row>
    <row r="16941" spans="43:43" x14ac:dyDescent="0.2">
      <c r="AQ16941" s="31"/>
    </row>
    <row r="16942" spans="43:43" x14ac:dyDescent="0.2">
      <c r="AQ16942" s="31"/>
    </row>
    <row r="16943" spans="43:43" x14ac:dyDescent="0.2">
      <c r="AQ16943" s="31"/>
    </row>
    <row r="16944" spans="43:43" x14ac:dyDescent="0.2">
      <c r="AQ16944" s="31"/>
    </row>
    <row r="16945" spans="43:43" x14ac:dyDescent="0.2">
      <c r="AQ16945" s="31"/>
    </row>
    <row r="16946" spans="43:43" x14ac:dyDescent="0.2">
      <c r="AQ16946" s="31"/>
    </row>
    <row r="16947" spans="43:43" x14ac:dyDescent="0.2">
      <c r="AQ16947" s="31"/>
    </row>
    <row r="16948" spans="43:43" x14ac:dyDescent="0.2">
      <c r="AQ16948" s="31"/>
    </row>
    <row r="16949" spans="43:43" x14ac:dyDescent="0.2">
      <c r="AQ16949" s="31"/>
    </row>
    <row r="16950" spans="43:43" x14ac:dyDescent="0.2">
      <c r="AQ16950" s="31"/>
    </row>
    <row r="16951" spans="43:43" x14ac:dyDescent="0.2">
      <c r="AQ16951" s="31"/>
    </row>
    <row r="16952" spans="43:43" x14ac:dyDescent="0.2">
      <c r="AQ16952" s="31"/>
    </row>
    <row r="16953" spans="43:43" x14ac:dyDescent="0.2">
      <c r="AQ16953" s="31"/>
    </row>
    <row r="16954" spans="43:43" x14ac:dyDescent="0.2">
      <c r="AQ16954" s="31"/>
    </row>
    <row r="16955" spans="43:43" x14ac:dyDescent="0.2">
      <c r="AQ16955" s="31"/>
    </row>
    <row r="16956" spans="43:43" x14ac:dyDescent="0.2">
      <c r="AQ16956" s="31"/>
    </row>
    <row r="16957" spans="43:43" x14ac:dyDescent="0.2">
      <c r="AQ16957" s="31"/>
    </row>
    <row r="16958" spans="43:43" x14ac:dyDescent="0.2">
      <c r="AQ16958" s="31"/>
    </row>
    <row r="16959" spans="43:43" x14ac:dyDescent="0.2">
      <c r="AQ16959" s="31"/>
    </row>
    <row r="16960" spans="43:43" x14ac:dyDescent="0.2">
      <c r="AQ16960" s="31"/>
    </row>
    <row r="16961" spans="43:43" x14ac:dyDescent="0.2">
      <c r="AQ16961" s="31"/>
    </row>
    <row r="16962" spans="43:43" x14ac:dyDescent="0.2">
      <c r="AQ16962" s="31"/>
    </row>
    <row r="16963" spans="43:43" x14ac:dyDescent="0.2">
      <c r="AQ16963" s="31"/>
    </row>
    <row r="16964" spans="43:43" x14ac:dyDescent="0.2">
      <c r="AQ16964" s="31"/>
    </row>
    <row r="16965" spans="43:43" x14ac:dyDescent="0.2">
      <c r="AQ16965" s="31"/>
    </row>
    <row r="16966" spans="43:43" x14ac:dyDescent="0.2">
      <c r="AQ16966" s="31"/>
    </row>
    <row r="16967" spans="43:43" x14ac:dyDescent="0.2">
      <c r="AQ16967" s="31"/>
    </row>
    <row r="16968" spans="43:43" x14ac:dyDescent="0.2">
      <c r="AQ16968" s="31"/>
    </row>
    <row r="16969" spans="43:43" x14ac:dyDescent="0.2">
      <c r="AQ16969" s="31"/>
    </row>
    <row r="16970" spans="43:43" x14ac:dyDescent="0.2">
      <c r="AQ16970" s="31"/>
    </row>
    <row r="16971" spans="43:43" x14ac:dyDescent="0.2">
      <c r="AQ16971" s="31"/>
    </row>
    <row r="16972" spans="43:43" x14ac:dyDescent="0.2">
      <c r="AQ16972" s="31"/>
    </row>
    <row r="16973" spans="43:43" x14ac:dyDescent="0.2">
      <c r="AQ16973" s="31"/>
    </row>
    <row r="16974" spans="43:43" x14ac:dyDescent="0.2">
      <c r="AQ16974" s="31"/>
    </row>
    <row r="16975" spans="43:43" x14ac:dyDescent="0.2">
      <c r="AQ16975" s="31"/>
    </row>
    <row r="16976" spans="43:43" x14ac:dyDescent="0.2">
      <c r="AQ16976" s="31"/>
    </row>
    <row r="16977" spans="43:43" x14ac:dyDescent="0.2">
      <c r="AQ16977" s="31"/>
    </row>
    <row r="16978" spans="43:43" x14ac:dyDescent="0.2">
      <c r="AQ16978" s="31"/>
    </row>
    <row r="16979" spans="43:43" x14ac:dyDescent="0.2">
      <c r="AQ16979" s="31"/>
    </row>
    <row r="16980" spans="43:43" x14ac:dyDescent="0.2">
      <c r="AQ16980" s="31"/>
    </row>
    <row r="16981" spans="43:43" x14ac:dyDescent="0.2">
      <c r="AQ16981" s="31"/>
    </row>
    <row r="16982" spans="43:43" x14ac:dyDescent="0.2">
      <c r="AQ16982" s="31"/>
    </row>
    <row r="16983" spans="43:43" x14ac:dyDescent="0.2">
      <c r="AQ16983" s="31"/>
    </row>
    <row r="16984" spans="43:43" x14ac:dyDescent="0.2">
      <c r="AQ16984" s="31"/>
    </row>
    <row r="16985" spans="43:43" x14ac:dyDescent="0.2">
      <c r="AQ16985" s="31"/>
    </row>
    <row r="16986" spans="43:43" x14ac:dyDescent="0.2">
      <c r="AQ16986" s="31"/>
    </row>
    <row r="16987" spans="43:43" x14ac:dyDescent="0.2">
      <c r="AQ16987" s="31"/>
    </row>
    <row r="16988" spans="43:43" x14ac:dyDescent="0.2">
      <c r="AQ16988" s="31"/>
    </row>
    <row r="16989" spans="43:43" x14ac:dyDescent="0.2">
      <c r="AQ16989" s="31"/>
    </row>
    <row r="16990" spans="43:43" x14ac:dyDescent="0.2">
      <c r="AQ16990" s="31"/>
    </row>
    <row r="16991" spans="43:43" x14ac:dyDescent="0.2">
      <c r="AQ16991" s="31"/>
    </row>
    <row r="16992" spans="43:43" x14ac:dyDescent="0.2">
      <c r="AQ16992" s="31"/>
    </row>
    <row r="16993" spans="43:43" x14ac:dyDescent="0.2">
      <c r="AQ16993" s="31"/>
    </row>
    <row r="16994" spans="43:43" x14ac:dyDescent="0.2">
      <c r="AQ16994" s="31"/>
    </row>
    <row r="16995" spans="43:43" x14ac:dyDescent="0.2">
      <c r="AQ16995" s="31"/>
    </row>
    <row r="16996" spans="43:43" x14ac:dyDescent="0.2">
      <c r="AQ16996" s="31"/>
    </row>
    <row r="16997" spans="43:43" x14ac:dyDescent="0.2">
      <c r="AQ16997" s="31"/>
    </row>
    <row r="16998" spans="43:43" x14ac:dyDescent="0.2">
      <c r="AQ16998" s="31"/>
    </row>
    <row r="16999" spans="43:43" x14ac:dyDescent="0.2">
      <c r="AQ16999" s="31"/>
    </row>
    <row r="17000" spans="43:43" x14ac:dyDescent="0.2">
      <c r="AQ17000" s="31"/>
    </row>
    <row r="17001" spans="43:43" x14ac:dyDescent="0.2">
      <c r="AQ17001" s="31"/>
    </row>
    <row r="17002" spans="43:43" x14ac:dyDescent="0.2">
      <c r="AQ17002" s="31"/>
    </row>
    <row r="17003" spans="43:43" x14ac:dyDescent="0.2">
      <c r="AQ17003" s="31"/>
    </row>
    <row r="17004" spans="43:43" x14ac:dyDescent="0.2">
      <c r="AQ17004" s="31"/>
    </row>
    <row r="17005" spans="43:43" x14ac:dyDescent="0.2">
      <c r="AQ17005" s="31"/>
    </row>
    <row r="17006" spans="43:43" x14ac:dyDescent="0.2">
      <c r="AQ17006" s="31"/>
    </row>
    <row r="17007" spans="43:43" x14ac:dyDescent="0.2">
      <c r="AQ17007" s="31"/>
    </row>
    <row r="17008" spans="43:43" x14ac:dyDescent="0.2">
      <c r="AQ17008" s="31"/>
    </row>
    <row r="17009" spans="43:43" x14ac:dyDescent="0.2">
      <c r="AQ17009" s="31"/>
    </row>
    <row r="17010" spans="43:43" x14ac:dyDescent="0.2">
      <c r="AQ17010" s="31"/>
    </row>
    <row r="17011" spans="43:43" x14ac:dyDescent="0.2">
      <c r="AQ17011" s="31"/>
    </row>
    <row r="17012" spans="43:43" x14ac:dyDescent="0.2">
      <c r="AQ17012" s="31"/>
    </row>
    <row r="17013" spans="43:43" x14ac:dyDescent="0.2">
      <c r="AQ17013" s="31"/>
    </row>
    <row r="17014" spans="43:43" x14ac:dyDescent="0.2">
      <c r="AQ17014" s="31"/>
    </row>
    <row r="17015" spans="43:43" x14ac:dyDescent="0.2">
      <c r="AQ17015" s="31"/>
    </row>
    <row r="17016" spans="43:43" x14ac:dyDescent="0.2">
      <c r="AQ17016" s="31"/>
    </row>
    <row r="17017" spans="43:43" x14ac:dyDescent="0.2">
      <c r="AQ17017" s="31"/>
    </row>
    <row r="17018" spans="43:43" x14ac:dyDescent="0.2">
      <c r="AQ17018" s="31"/>
    </row>
    <row r="17019" spans="43:43" x14ac:dyDescent="0.2">
      <c r="AQ17019" s="31"/>
    </row>
    <row r="17020" spans="43:43" x14ac:dyDescent="0.2">
      <c r="AQ17020" s="31"/>
    </row>
    <row r="17021" spans="43:43" x14ac:dyDescent="0.2">
      <c r="AQ17021" s="31"/>
    </row>
    <row r="17022" spans="43:43" x14ac:dyDescent="0.2">
      <c r="AQ17022" s="31"/>
    </row>
    <row r="17023" spans="43:43" x14ac:dyDescent="0.2">
      <c r="AQ17023" s="31"/>
    </row>
    <row r="17024" spans="43:43" x14ac:dyDescent="0.2">
      <c r="AQ17024" s="31"/>
    </row>
    <row r="17025" spans="43:43" x14ac:dyDescent="0.2">
      <c r="AQ17025" s="31"/>
    </row>
    <row r="17026" spans="43:43" x14ac:dyDescent="0.2">
      <c r="AQ17026" s="31"/>
    </row>
    <row r="17027" spans="43:43" x14ac:dyDescent="0.2">
      <c r="AQ17027" s="31"/>
    </row>
    <row r="17028" spans="43:43" x14ac:dyDescent="0.2">
      <c r="AQ17028" s="31"/>
    </row>
    <row r="17029" spans="43:43" x14ac:dyDescent="0.2">
      <c r="AQ17029" s="31"/>
    </row>
    <row r="17030" spans="43:43" x14ac:dyDescent="0.2">
      <c r="AQ17030" s="31"/>
    </row>
    <row r="17031" spans="43:43" x14ac:dyDescent="0.2">
      <c r="AQ17031" s="31"/>
    </row>
    <row r="17032" spans="43:43" x14ac:dyDescent="0.2">
      <c r="AQ17032" s="31"/>
    </row>
    <row r="17033" spans="43:43" x14ac:dyDescent="0.2">
      <c r="AQ17033" s="31"/>
    </row>
    <row r="17034" spans="43:43" x14ac:dyDescent="0.2">
      <c r="AQ17034" s="31"/>
    </row>
    <row r="17035" spans="43:43" x14ac:dyDescent="0.2">
      <c r="AQ17035" s="31"/>
    </row>
    <row r="17036" spans="43:43" x14ac:dyDescent="0.2">
      <c r="AQ17036" s="31"/>
    </row>
    <row r="17037" spans="43:43" x14ac:dyDescent="0.2">
      <c r="AQ17037" s="31"/>
    </row>
    <row r="17038" spans="43:43" x14ac:dyDescent="0.2">
      <c r="AQ17038" s="31"/>
    </row>
    <row r="17039" spans="43:43" x14ac:dyDescent="0.2">
      <c r="AQ17039" s="31"/>
    </row>
    <row r="17040" spans="43:43" x14ac:dyDescent="0.2">
      <c r="AQ17040" s="31"/>
    </row>
    <row r="17041" spans="43:43" x14ac:dyDescent="0.2">
      <c r="AQ17041" s="31"/>
    </row>
    <row r="17042" spans="43:43" x14ac:dyDescent="0.2">
      <c r="AQ17042" s="31"/>
    </row>
    <row r="17043" spans="43:43" x14ac:dyDescent="0.2">
      <c r="AQ17043" s="31"/>
    </row>
    <row r="17044" spans="43:43" x14ac:dyDescent="0.2">
      <c r="AQ17044" s="31"/>
    </row>
    <row r="17045" spans="43:43" x14ac:dyDescent="0.2">
      <c r="AQ17045" s="31"/>
    </row>
    <row r="17046" spans="43:43" x14ac:dyDescent="0.2">
      <c r="AQ17046" s="31"/>
    </row>
    <row r="17047" spans="43:43" x14ac:dyDescent="0.2">
      <c r="AQ17047" s="31"/>
    </row>
    <row r="17048" spans="43:43" x14ac:dyDescent="0.2">
      <c r="AQ17048" s="31"/>
    </row>
    <row r="17049" spans="43:43" x14ac:dyDescent="0.2">
      <c r="AQ17049" s="31"/>
    </row>
    <row r="17050" spans="43:43" x14ac:dyDescent="0.2">
      <c r="AQ17050" s="31"/>
    </row>
    <row r="17051" spans="43:43" x14ac:dyDescent="0.2">
      <c r="AQ17051" s="31"/>
    </row>
    <row r="17052" spans="43:43" x14ac:dyDescent="0.2">
      <c r="AQ17052" s="31"/>
    </row>
    <row r="17053" spans="43:43" x14ac:dyDescent="0.2">
      <c r="AQ17053" s="31"/>
    </row>
    <row r="17054" spans="43:43" x14ac:dyDescent="0.2">
      <c r="AQ17054" s="31"/>
    </row>
    <row r="17055" spans="43:43" x14ac:dyDescent="0.2">
      <c r="AQ17055" s="31"/>
    </row>
    <row r="17056" spans="43:43" x14ac:dyDescent="0.2">
      <c r="AQ17056" s="31"/>
    </row>
    <row r="17057" spans="43:43" x14ac:dyDescent="0.2">
      <c r="AQ17057" s="31"/>
    </row>
    <row r="17058" spans="43:43" x14ac:dyDescent="0.2">
      <c r="AQ17058" s="31"/>
    </row>
    <row r="17059" spans="43:43" x14ac:dyDescent="0.2">
      <c r="AQ17059" s="31"/>
    </row>
    <row r="17060" spans="43:43" x14ac:dyDescent="0.2">
      <c r="AQ17060" s="31"/>
    </row>
    <row r="17061" spans="43:43" x14ac:dyDescent="0.2">
      <c r="AQ17061" s="31"/>
    </row>
    <row r="17062" spans="43:43" x14ac:dyDescent="0.2">
      <c r="AQ17062" s="31"/>
    </row>
    <row r="17063" spans="43:43" x14ac:dyDescent="0.2">
      <c r="AQ17063" s="31"/>
    </row>
    <row r="17064" spans="43:43" x14ac:dyDescent="0.2">
      <c r="AQ17064" s="31"/>
    </row>
    <row r="17065" spans="43:43" x14ac:dyDescent="0.2">
      <c r="AQ17065" s="31"/>
    </row>
    <row r="17066" spans="43:43" x14ac:dyDescent="0.2">
      <c r="AQ17066" s="31"/>
    </row>
    <row r="17067" spans="43:43" x14ac:dyDescent="0.2">
      <c r="AQ17067" s="31"/>
    </row>
    <row r="17068" spans="43:43" x14ac:dyDescent="0.2">
      <c r="AQ17068" s="31"/>
    </row>
    <row r="17069" spans="43:43" x14ac:dyDescent="0.2">
      <c r="AQ17069" s="31"/>
    </row>
    <row r="17070" spans="43:43" x14ac:dyDescent="0.2">
      <c r="AQ17070" s="31"/>
    </row>
    <row r="17071" spans="43:43" x14ac:dyDescent="0.2">
      <c r="AQ17071" s="31"/>
    </row>
    <row r="17072" spans="43:43" x14ac:dyDescent="0.2">
      <c r="AQ17072" s="31"/>
    </row>
    <row r="17073" spans="43:43" x14ac:dyDescent="0.2">
      <c r="AQ17073" s="31"/>
    </row>
    <row r="17074" spans="43:43" x14ac:dyDescent="0.2">
      <c r="AQ17074" s="31"/>
    </row>
    <row r="17075" spans="43:43" x14ac:dyDescent="0.2">
      <c r="AQ17075" s="31"/>
    </row>
    <row r="17076" spans="43:43" x14ac:dyDescent="0.2">
      <c r="AQ17076" s="31"/>
    </row>
    <row r="17077" spans="43:43" x14ac:dyDescent="0.2">
      <c r="AQ17077" s="31"/>
    </row>
    <row r="17078" spans="43:43" x14ac:dyDescent="0.2">
      <c r="AQ17078" s="31"/>
    </row>
    <row r="17079" spans="43:43" x14ac:dyDescent="0.2">
      <c r="AQ17079" s="31"/>
    </row>
    <row r="17080" spans="43:43" x14ac:dyDescent="0.2">
      <c r="AQ17080" s="31"/>
    </row>
    <row r="17081" spans="43:43" x14ac:dyDescent="0.2">
      <c r="AQ17081" s="31"/>
    </row>
    <row r="17082" spans="43:43" x14ac:dyDescent="0.2">
      <c r="AQ17082" s="31"/>
    </row>
    <row r="17083" spans="43:43" x14ac:dyDescent="0.2">
      <c r="AQ17083" s="31"/>
    </row>
    <row r="17084" spans="43:43" x14ac:dyDescent="0.2">
      <c r="AQ17084" s="31"/>
    </row>
    <row r="17085" spans="43:43" x14ac:dyDescent="0.2">
      <c r="AQ17085" s="31"/>
    </row>
    <row r="17086" spans="43:43" x14ac:dyDescent="0.2">
      <c r="AQ17086" s="31"/>
    </row>
    <row r="17087" spans="43:43" x14ac:dyDescent="0.2">
      <c r="AQ17087" s="31"/>
    </row>
    <row r="17088" spans="43:43" x14ac:dyDescent="0.2">
      <c r="AQ17088" s="31"/>
    </row>
    <row r="17089" spans="43:43" x14ac:dyDescent="0.2">
      <c r="AQ17089" s="31"/>
    </row>
    <row r="17090" spans="43:43" x14ac:dyDescent="0.2">
      <c r="AQ17090" s="31"/>
    </row>
    <row r="17091" spans="43:43" x14ac:dyDescent="0.2">
      <c r="AQ17091" s="31"/>
    </row>
    <row r="17092" spans="43:43" x14ac:dyDescent="0.2">
      <c r="AQ17092" s="31"/>
    </row>
    <row r="17093" spans="43:43" x14ac:dyDescent="0.2">
      <c r="AQ17093" s="31"/>
    </row>
    <row r="17094" spans="43:43" x14ac:dyDescent="0.2">
      <c r="AQ17094" s="31"/>
    </row>
    <row r="17095" spans="43:43" x14ac:dyDescent="0.2">
      <c r="AQ17095" s="31"/>
    </row>
    <row r="17096" spans="43:43" x14ac:dyDescent="0.2">
      <c r="AQ17096" s="31"/>
    </row>
    <row r="17097" spans="43:43" x14ac:dyDescent="0.2">
      <c r="AQ17097" s="31"/>
    </row>
    <row r="17098" spans="43:43" x14ac:dyDescent="0.2">
      <c r="AQ17098" s="31"/>
    </row>
    <row r="17099" spans="43:43" x14ac:dyDescent="0.2">
      <c r="AQ17099" s="31"/>
    </row>
    <row r="17100" spans="43:43" x14ac:dyDescent="0.2">
      <c r="AQ17100" s="31"/>
    </row>
    <row r="17101" spans="43:43" x14ac:dyDescent="0.2">
      <c r="AQ17101" s="31"/>
    </row>
    <row r="17102" spans="43:43" x14ac:dyDescent="0.2">
      <c r="AQ17102" s="31"/>
    </row>
    <row r="17103" spans="43:43" x14ac:dyDescent="0.2">
      <c r="AQ17103" s="31"/>
    </row>
    <row r="17104" spans="43:43" x14ac:dyDescent="0.2">
      <c r="AQ17104" s="31"/>
    </row>
    <row r="17105" spans="43:43" x14ac:dyDescent="0.2">
      <c r="AQ17105" s="31"/>
    </row>
    <row r="17106" spans="43:43" x14ac:dyDescent="0.2">
      <c r="AQ17106" s="31"/>
    </row>
    <row r="17107" spans="43:43" x14ac:dyDescent="0.2">
      <c r="AQ17107" s="31"/>
    </row>
    <row r="17108" spans="43:43" x14ac:dyDescent="0.2">
      <c r="AQ17108" s="31"/>
    </row>
    <row r="17109" spans="43:43" x14ac:dyDescent="0.2">
      <c r="AQ17109" s="31"/>
    </row>
    <row r="17110" spans="43:43" x14ac:dyDescent="0.2">
      <c r="AQ17110" s="31"/>
    </row>
    <row r="17111" spans="43:43" x14ac:dyDescent="0.2">
      <c r="AQ17111" s="31"/>
    </row>
    <row r="17112" spans="43:43" x14ac:dyDescent="0.2">
      <c r="AQ17112" s="31"/>
    </row>
    <row r="17113" spans="43:43" x14ac:dyDescent="0.2">
      <c r="AQ17113" s="31"/>
    </row>
    <row r="17114" spans="43:43" x14ac:dyDescent="0.2">
      <c r="AQ17114" s="31"/>
    </row>
    <row r="17115" spans="43:43" x14ac:dyDescent="0.2">
      <c r="AQ17115" s="31"/>
    </row>
    <row r="17116" spans="43:43" x14ac:dyDescent="0.2">
      <c r="AQ17116" s="31"/>
    </row>
    <row r="17117" spans="43:43" x14ac:dyDescent="0.2">
      <c r="AQ17117" s="31"/>
    </row>
    <row r="17118" spans="43:43" x14ac:dyDescent="0.2">
      <c r="AQ17118" s="31"/>
    </row>
    <row r="17119" spans="43:43" x14ac:dyDescent="0.2">
      <c r="AQ17119" s="31"/>
    </row>
    <row r="17120" spans="43:43" x14ac:dyDescent="0.2">
      <c r="AQ17120" s="31"/>
    </row>
    <row r="17121" spans="43:43" x14ac:dyDescent="0.2">
      <c r="AQ17121" s="31"/>
    </row>
    <row r="17122" spans="43:43" x14ac:dyDescent="0.2">
      <c r="AQ17122" s="31"/>
    </row>
    <row r="17123" spans="43:43" x14ac:dyDescent="0.2">
      <c r="AQ17123" s="31"/>
    </row>
    <row r="17124" spans="43:43" x14ac:dyDescent="0.2">
      <c r="AQ17124" s="31"/>
    </row>
    <row r="17125" spans="43:43" x14ac:dyDescent="0.2">
      <c r="AQ17125" s="31"/>
    </row>
    <row r="17126" spans="43:43" x14ac:dyDescent="0.2">
      <c r="AQ17126" s="31"/>
    </row>
    <row r="17127" spans="43:43" x14ac:dyDescent="0.2">
      <c r="AQ17127" s="31"/>
    </row>
    <row r="17128" spans="43:43" x14ac:dyDescent="0.2">
      <c r="AQ17128" s="31"/>
    </row>
    <row r="17129" spans="43:43" x14ac:dyDescent="0.2">
      <c r="AQ17129" s="31"/>
    </row>
    <row r="17130" spans="43:43" x14ac:dyDescent="0.2">
      <c r="AQ17130" s="31"/>
    </row>
    <row r="17131" spans="43:43" x14ac:dyDescent="0.2">
      <c r="AQ17131" s="31"/>
    </row>
    <row r="17132" spans="43:43" x14ac:dyDescent="0.2">
      <c r="AQ17132" s="31"/>
    </row>
    <row r="17133" spans="43:43" x14ac:dyDescent="0.2">
      <c r="AQ17133" s="31"/>
    </row>
    <row r="17134" spans="43:43" x14ac:dyDescent="0.2">
      <c r="AQ17134" s="31"/>
    </row>
    <row r="17135" spans="43:43" x14ac:dyDescent="0.2">
      <c r="AQ17135" s="31"/>
    </row>
    <row r="17136" spans="43:43" x14ac:dyDescent="0.2">
      <c r="AQ17136" s="31"/>
    </row>
    <row r="17137" spans="43:43" x14ac:dyDescent="0.2">
      <c r="AQ17137" s="31"/>
    </row>
    <row r="17138" spans="43:43" x14ac:dyDescent="0.2">
      <c r="AQ17138" s="31"/>
    </row>
    <row r="17139" spans="43:43" x14ac:dyDescent="0.2">
      <c r="AQ17139" s="31"/>
    </row>
    <row r="17140" spans="43:43" x14ac:dyDescent="0.2">
      <c r="AQ17140" s="31"/>
    </row>
    <row r="17141" spans="43:43" x14ac:dyDescent="0.2">
      <c r="AQ17141" s="31"/>
    </row>
    <row r="17142" spans="43:43" x14ac:dyDescent="0.2">
      <c r="AQ17142" s="31"/>
    </row>
    <row r="17143" spans="43:43" x14ac:dyDescent="0.2">
      <c r="AQ17143" s="31"/>
    </row>
    <row r="17144" spans="43:43" x14ac:dyDescent="0.2">
      <c r="AQ17144" s="31"/>
    </row>
    <row r="17145" spans="43:43" x14ac:dyDescent="0.2">
      <c r="AQ17145" s="31"/>
    </row>
    <row r="17146" spans="43:43" x14ac:dyDescent="0.2">
      <c r="AQ17146" s="31"/>
    </row>
    <row r="17147" spans="43:43" x14ac:dyDescent="0.2">
      <c r="AQ17147" s="31"/>
    </row>
    <row r="17148" spans="43:43" x14ac:dyDescent="0.2">
      <c r="AQ17148" s="31"/>
    </row>
    <row r="17149" spans="43:43" x14ac:dyDescent="0.2">
      <c r="AQ17149" s="31"/>
    </row>
    <row r="17150" spans="43:43" x14ac:dyDescent="0.2">
      <c r="AQ17150" s="31"/>
    </row>
    <row r="17151" spans="43:43" x14ac:dyDescent="0.2">
      <c r="AQ17151" s="31"/>
    </row>
    <row r="17152" spans="43:43" x14ac:dyDescent="0.2">
      <c r="AQ17152" s="31"/>
    </row>
    <row r="17153" spans="43:43" x14ac:dyDescent="0.2">
      <c r="AQ17153" s="31"/>
    </row>
    <row r="17154" spans="43:43" x14ac:dyDescent="0.2">
      <c r="AQ17154" s="31"/>
    </row>
    <row r="17155" spans="43:43" x14ac:dyDescent="0.2">
      <c r="AQ17155" s="31"/>
    </row>
    <row r="17156" spans="43:43" x14ac:dyDescent="0.2">
      <c r="AQ17156" s="31"/>
    </row>
    <row r="17157" spans="43:43" x14ac:dyDescent="0.2">
      <c r="AQ17157" s="31"/>
    </row>
    <row r="17158" spans="43:43" x14ac:dyDescent="0.2">
      <c r="AQ17158" s="31"/>
    </row>
    <row r="17159" spans="43:43" x14ac:dyDescent="0.2">
      <c r="AQ17159" s="31"/>
    </row>
    <row r="17160" spans="43:43" x14ac:dyDescent="0.2">
      <c r="AQ17160" s="31"/>
    </row>
    <row r="17161" spans="43:43" x14ac:dyDescent="0.2">
      <c r="AQ17161" s="31"/>
    </row>
    <row r="17162" spans="43:43" x14ac:dyDescent="0.2">
      <c r="AQ17162" s="31"/>
    </row>
    <row r="17163" spans="43:43" x14ac:dyDescent="0.2">
      <c r="AQ17163" s="31"/>
    </row>
    <row r="17164" spans="43:43" x14ac:dyDescent="0.2">
      <c r="AQ17164" s="31"/>
    </row>
    <row r="17165" spans="43:43" x14ac:dyDescent="0.2">
      <c r="AQ17165" s="31"/>
    </row>
    <row r="17166" spans="43:43" x14ac:dyDescent="0.2">
      <c r="AQ17166" s="31"/>
    </row>
    <row r="17167" spans="43:43" x14ac:dyDescent="0.2">
      <c r="AQ17167" s="31"/>
    </row>
    <row r="17168" spans="43:43" x14ac:dyDescent="0.2">
      <c r="AQ17168" s="31"/>
    </row>
    <row r="17169" spans="43:43" x14ac:dyDescent="0.2">
      <c r="AQ17169" s="31"/>
    </row>
    <row r="17170" spans="43:43" x14ac:dyDescent="0.2">
      <c r="AQ17170" s="31"/>
    </row>
    <row r="17171" spans="43:43" x14ac:dyDescent="0.2">
      <c r="AQ17171" s="31"/>
    </row>
    <row r="17172" spans="43:43" x14ac:dyDescent="0.2">
      <c r="AQ17172" s="31"/>
    </row>
    <row r="17173" spans="43:43" x14ac:dyDescent="0.2">
      <c r="AQ17173" s="31"/>
    </row>
    <row r="17174" spans="43:43" x14ac:dyDescent="0.2">
      <c r="AQ17174" s="31"/>
    </row>
    <row r="17175" spans="43:43" x14ac:dyDescent="0.2">
      <c r="AQ17175" s="31"/>
    </row>
    <row r="17176" spans="43:43" x14ac:dyDescent="0.2">
      <c r="AQ17176" s="31"/>
    </row>
    <row r="17177" spans="43:43" x14ac:dyDescent="0.2">
      <c r="AQ17177" s="31"/>
    </row>
    <row r="17178" spans="43:43" x14ac:dyDescent="0.2">
      <c r="AQ17178" s="31"/>
    </row>
    <row r="17179" spans="43:43" x14ac:dyDescent="0.2">
      <c r="AQ17179" s="31"/>
    </row>
    <row r="17180" spans="43:43" x14ac:dyDescent="0.2">
      <c r="AQ17180" s="31"/>
    </row>
    <row r="17181" spans="43:43" x14ac:dyDescent="0.2">
      <c r="AQ17181" s="31"/>
    </row>
    <row r="17182" spans="43:43" x14ac:dyDescent="0.2">
      <c r="AQ17182" s="31"/>
    </row>
    <row r="17183" spans="43:43" x14ac:dyDescent="0.2">
      <c r="AQ17183" s="31"/>
    </row>
    <row r="17184" spans="43:43" x14ac:dyDescent="0.2">
      <c r="AQ17184" s="31"/>
    </row>
    <row r="17185" spans="43:43" x14ac:dyDescent="0.2">
      <c r="AQ17185" s="31"/>
    </row>
    <row r="17186" spans="43:43" x14ac:dyDescent="0.2">
      <c r="AQ17186" s="31"/>
    </row>
    <row r="17187" spans="43:43" x14ac:dyDescent="0.2">
      <c r="AQ17187" s="31"/>
    </row>
    <row r="17188" spans="43:43" x14ac:dyDescent="0.2">
      <c r="AQ17188" s="31"/>
    </row>
    <row r="17189" spans="43:43" x14ac:dyDescent="0.2">
      <c r="AQ17189" s="31"/>
    </row>
    <row r="17190" spans="43:43" x14ac:dyDescent="0.2">
      <c r="AQ17190" s="31"/>
    </row>
    <row r="17191" spans="43:43" x14ac:dyDescent="0.2">
      <c r="AQ17191" s="31"/>
    </row>
    <row r="17192" spans="43:43" x14ac:dyDescent="0.2">
      <c r="AQ17192" s="31"/>
    </row>
    <row r="17193" spans="43:43" x14ac:dyDescent="0.2">
      <c r="AQ17193" s="31"/>
    </row>
    <row r="17194" spans="43:43" x14ac:dyDescent="0.2">
      <c r="AQ17194" s="31"/>
    </row>
    <row r="17195" spans="43:43" x14ac:dyDescent="0.2">
      <c r="AQ17195" s="31"/>
    </row>
    <row r="17196" spans="43:43" x14ac:dyDescent="0.2">
      <c r="AQ17196" s="31"/>
    </row>
    <row r="17197" spans="43:43" x14ac:dyDescent="0.2">
      <c r="AQ17197" s="31"/>
    </row>
    <row r="17198" spans="43:43" x14ac:dyDescent="0.2">
      <c r="AQ17198" s="31"/>
    </row>
    <row r="17199" spans="43:43" x14ac:dyDescent="0.2">
      <c r="AQ17199" s="31"/>
    </row>
    <row r="17200" spans="43:43" x14ac:dyDescent="0.2">
      <c r="AQ17200" s="31"/>
    </row>
    <row r="17201" spans="43:43" x14ac:dyDescent="0.2">
      <c r="AQ17201" s="31"/>
    </row>
    <row r="17202" spans="43:43" x14ac:dyDescent="0.2">
      <c r="AQ17202" s="31"/>
    </row>
    <row r="17203" spans="43:43" x14ac:dyDescent="0.2">
      <c r="AQ17203" s="31"/>
    </row>
    <row r="17204" spans="43:43" x14ac:dyDescent="0.2">
      <c r="AQ17204" s="31"/>
    </row>
    <row r="17205" spans="43:43" x14ac:dyDescent="0.2">
      <c r="AQ17205" s="31"/>
    </row>
    <row r="17206" spans="43:43" x14ac:dyDescent="0.2">
      <c r="AQ17206" s="31"/>
    </row>
    <row r="17207" spans="43:43" x14ac:dyDescent="0.2">
      <c r="AQ17207" s="31"/>
    </row>
    <row r="17208" spans="43:43" x14ac:dyDescent="0.2">
      <c r="AQ17208" s="31"/>
    </row>
    <row r="17209" spans="43:43" x14ac:dyDescent="0.2">
      <c r="AQ17209" s="31"/>
    </row>
    <row r="17210" spans="43:43" x14ac:dyDescent="0.2">
      <c r="AQ17210" s="31"/>
    </row>
    <row r="17211" spans="43:43" x14ac:dyDescent="0.2">
      <c r="AQ17211" s="31"/>
    </row>
    <row r="17212" spans="43:43" x14ac:dyDescent="0.2">
      <c r="AQ17212" s="31"/>
    </row>
    <row r="17213" spans="43:43" x14ac:dyDescent="0.2">
      <c r="AQ17213" s="31"/>
    </row>
    <row r="17214" spans="43:43" x14ac:dyDescent="0.2">
      <c r="AQ17214" s="31"/>
    </row>
    <row r="17215" spans="43:43" x14ac:dyDescent="0.2">
      <c r="AQ17215" s="31"/>
    </row>
    <row r="17216" spans="43:43" x14ac:dyDescent="0.2">
      <c r="AQ17216" s="31"/>
    </row>
    <row r="17217" spans="43:43" x14ac:dyDescent="0.2">
      <c r="AQ17217" s="31"/>
    </row>
    <row r="17218" spans="43:43" x14ac:dyDescent="0.2">
      <c r="AQ17218" s="31"/>
    </row>
    <row r="17219" spans="43:43" x14ac:dyDescent="0.2">
      <c r="AQ17219" s="31"/>
    </row>
    <row r="17220" spans="43:43" x14ac:dyDescent="0.2">
      <c r="AQ17220" s="31"/>
    </row>
    <row r="17221" spans="43:43" x14ac:dyDescent="0.2">
      <c r="AQ17221" s="31"/>
    </row>
    <row r="17222" spans="43:43" x14ac:dyDescent="0.2">
      <c r="AQ17222" s="31"/>
    </row>
    <row r="17223" spans="43:43" x14ac:dyDescent="0.2">
      <c r="AQ17223" s="31"/>
    </row>
    <row r="17224" spans="43:43" x14ac:dyDescent="0.2">
      <c r="AQ17224" s="31"/>
    </row>
    <row r="17225" spans="43:43" x14ac:dyDescent="0.2">
      <c r="AQ17225" s="31"/>
    </row>
    <row r="17226" spans="43:43" x14ac:dyDescent="0.2">
      <c r="AQ17226" s="31"/>
    </row>
    <row r="17227" spans="43:43" x14ac:dyDescent="0.2">
      <c r="AQ17227" s="31"/>
    </row>
    <row r="17228" spans="43:43" x14ac:dyDescent="0.2">
      <c r="AQ17228" s="31"/>
    </row>
    <row r="17229" spans="43:43" x14ac:dyDescent="0.2">
      <c r="AQ17229" s="31"/>
    </row>
    <row r="17230" spans="43:43" x14ac:dyDescent="0.2">
      <c r="AQ17230" s="31"/>
    </row>
    <row r="17231" spans="43:43" x14ac:dyDescent="0.2">
      <c r="AQ17231" s="31"/>
    </row>
    <row r="17232" spans="43:43" x14ac:dyDescent="0.2">
      <c r="AQ17232" s="31"/>
    </row>
    <row r="17233" spans="43:43" x14ac:dyDescent="0.2">
      <c r="AQ17233" s="31"/>
    </row>
    <row r="17234" spans="43:43" x14ac:dyDescent="0.2">
      <c r="AQ17234" s="31"/>
    </row>
    <row r="17235" spans="43:43" x14ac:dyDescent="0.2">
      <c r="AQ17235" s="31"/>
    </row>
    <row r="17236" spans="43:43" x14ac:dyDescent="0.2">
      <c r="AQ17236" s="31"/>
    </row>
    <row r="17237" spans="43:43" x14ac:dyDescent="0.2">
      <c r="AQ17237" s="31"/>
    </row>
    <row r="17238" spans="43:43" x14ac:dyDescent="0.2">
      <c r="AQ17238" s="31"/>
    </row>
    <row r="17239" spans="43:43" x14ac:dyDescent="0.2">
      <c r="AQ17239" s="31"/>
    </row>
    <row r="17240" spans="43:43" x14ac:dyDescent="0.2">
      <c r="AQ17240" s="31"/>
    </row>
    <row r="17241" spans="43:43" x14ac:dyDescent="0.2">
      <c r="AQ17241" s="31"/>
    </row>
    <row r="17242" spans="43:43" x14ac:dyDescent="0.2">
      <c r="AQ17242" s="31"/>
    </row>
    <row r="17243" spans="43:43" x14ac:dyDescent="0.2">
      <c r="AQ17243" s="31"/>
    </row>
    <row r="17244" spans="43:43" x14ac:dyDescent="0.2">
      <c r="AQ17244" s="31"/>
    </row>
    <row r="17245" spans="43:43" x14ac:dyDescent="0.2">
      <c r="AQ17245" s="31"/>
    </row>
    <row r="17246" spans="43:43" x14ac:dyDescent="0.2">
      <c r="AQ17246" s="31"/>
    </row>
    <row r="17247" spans="43:43" x14ac:dyDescent="0.2">
      <c r="AQ17247" s="31"/>
    </row>
    <row r="17248" spans="43:43" x14ac:dyDescent="0.2">
      <c r="AQ17248" s="31"/>
    </row>
    <row r="17249" spans="43:43" x14ac:dyDescent="0.2">
      <c r="AQ17249" s="31"/>
    </row>
    <row r="17250" spans="43:43" x14ac:dyDescent="0.2">
      <c r="AQ17250" s="31"/>
    </row>
    <row r="17251" spans="43:43" x14ac:dyDescent="0.2">
      <c r="AQ17251" s="31"/>
    </row>
    <row r="17252" spans="43:43" x14ac:dyDescent="0.2">
      <c r="AQ17252" s="31"/>
    </row>
    <row r="17253" spans="43:43" x14ac:dyDescent="0.2">
      <c r="AQ17253" s="31"/>
    </row>
    <row r="17254" spans="43:43" x14ac:dyDescent="0.2">
      <c r="AQ17254" s="31"/>
    </row>
    <row r="17255" spans="43:43" x14ac:dyDescent="0.2">
      <c r="AQ17255" s="31"/>
    </row>
    <row r="17256" spans="43:43" x14ac:dyDescent="0.2">
      <c r="AQ17256" s="31"/>
    </row>
    <row r="17257" spans="43:43" x14ac:dyDescent="0.2">
      <c r="AQ17257" s="31"/>
    </row>
    <row r="17258" spans="43:43" x14ac:dyDescent="0.2">
      <c r="AQ17258" s="31"/>
    </row>
    <row r="17259" spans="43:43" x14ac:dyDescent="0.2">
      <c r="AQ17259" s="31"/>
    </row>
    <row r="17260" spans="43:43" x14ac:dyDescent="0.2">
      <c r="AQ17260" s="31"/>
    </row>
    <row r="17261" spans="43:43" x14ac:dyDescent="0.2">
      <c r="AQ17261" s="31"/>
    </row>
    <row r="17262" spans="43:43" x14ac:dyDescent="0.2">
      <c r="AQ17262" s="31"/>
    </row>
    <row r="17263" spans="43:43" x14ac:dyDescent="0.2">
      <c r="AQ17263" s="31"/>
    </row>
    <row r="17264" spans="43:43" x14ac:dyDescent="0.2">
      <c r="AQ17264" s="31"/>
    </row>
    <row r="17265" spans="43:43" x14ac:dyDescent="0.2">
      <c r="AQ17265" s="31"/>
    </row>
    <row r="17266" spans="43:43" x14ac:dyDescent="0.2">
      <c r="AQ17266" s="31"/>
    </row>
    <row r="17267" spans="43:43" x14ac:dyDescent="0.2">
      <c r="AQ17267" s="31"/>
    </row>
    <row r="17268" spans="43:43" x14ac:dyDescent="0.2">
      <c r="AQ17268" s="31"/>
    </row>
    <row r="17269" spans="43:43" x14ac:dyDescent="0.2">
      <c r="AQ17269" s="31"/>
    </row>
    <row r="17270" spans="43:43" x14ac:dyDescent="0.2">
      <c r="AQ17270" s="31"/>
    </row>
    <row r="17271" spans="43:43" x14ac:dyDescent="0.2">
      <c r="AQ17271" s="31"/>
    </row>
    <row r="17272" spans="43:43" x14ac:dyDescent="0.2">
      <c r="AQ17272" s="31"/>
    </row>
    <row r="17273" spans="43:43" x14ac:dyDescent="0.2">
      <c r="AQ17273" s="31"/>
    </row>
    <row r="17274" spans="43:43" x14ac:dyDescent="0.2">
      <c r="AQ17274" s="31"/>
    </row>
    <row r="17275" spans="43:43" x14ac:dyDescent="0.2">
      <c r="AQ17275" s="31"/>
    </row>
    <row r="17276" spans="43:43" x14ac:dyDescent="0.2">
      <c r="AQ17276" s="31"/>
    </row>
    <row r="17277" spans="43:43" x14ac:dyDescent="0.2">
      <c r="AQ17277" s="31"/>
    </row>
    <row r="17278" spans="43:43" x14ac:dyDescent="0.2">
      <c r="AQ17278" s="31"/>
    </row>
    <row r="17279" spans="43:43" x14ac:dyDescent="0.2">
      <c r="AQ17279" s="31"/>
    </row>
    <row r="17280" spans="43:43" x14ac:dyDescent="0.2">
      <c r="AQ17280" s="31"/>
    </row>
    <row r="17281" spans="43:43" x14ac:dyDescent="0.2">
      <c r="AQ17281" s="31"/>
    </row>
    <row r="17282" spans="43:43" x14ac:dyDescent="0.2">
      <c r="AQ17282" s="31"/>
    </row>
    <row r="17283" spans="43:43" x14ac:dyDescent="0.2">
      <c r="AQ17283" s="31"/>
    </row>
    <row r="17284" spans="43:43" x14ac:dyDescent="0.2">
      <c r="AQ17284" s="31"/>
    </row>
    <row r="17285" spans="43:43" x14ac:dyDescent="0.2">
      <c r="AQ17285" s="31"/>
    </row>
    <row r="17286" spans="43:43" x14ac:dyDescent="0.2">
      <c r="AQ17286" s="31"/>
    </row>
    <row r="17287" spans="43:43" x14ac:dyDescent="0.2">
      <c r="AQ17287" s="31"/>
    </row>
    <row r="17288" spans="43:43" x14ac:dyDescent="0.2">
      <c r="AQ17288" s="31"/>
    </row>
    <row r="17289" spans="43:43" x14ac:dyDescent="0.2">
      <c r="AQ17289" s="31"/>
    </row>
    <row r="17290" spans="43:43" x14ac:dyDescent="0.2">
      <c r="AQ17290" s="31"/>
    </row>
    <row r="17291" spans="43:43" x14ac:dyDescent="0.2">
      <c r="AQ17291" s="31"/>
    </row>
    <row r="17292" spans="43:43" x14ac:dyDescent="0.2">
      <c r="AQ17292" s="31"/>
    </row>
    <row r="17293" spans="43:43" x14ac:dyDescent="0.2">
      <c r="AQ17293" s="31"/>
    </row>
    <row r="17294" spans="43:43" x14ac:dyDescent="0.2">
      <c r="AQ17294" s="31"/>
    </row>
    <row r="17295" spans="43:43" x14ac:dyDescent="0.2">
      <c r="AQ17295" s="31"/>
    </row>
    <row r="17296" spans="43:43" x14ac:dyDescent="0.2">
      <c r="AQ17296" s="31"/>
    </row>
    <row r="17297" spans="43:43" x14ac:dyDescent="0.2">
      <c r="AQ17297" s="31"/>
    </row>
    <row r="17298" spans="43:43" x14ac:dyDescent="0.2">
      <c r="AQ17298" s="31"/>
    </row>
    <row r="17299" spans="43:43" x14ac:dyDescent="0.2">
      <c r="AQ17299" s="31"/>
    </row>
    <row r="17300" spans="43:43" x14ac:dyDescent="0.2">
      <c r="AQ17300" s="31"/>
    </row>
    <row r="17301" spans="43:43" x14ac:dyDescent="0.2">
      <c r="AQ17301" s="31"/>
    </row>
    <row r="17302" spans="43:43" x14ac:dyDescent="0.2">
      <c r="AQ17302" s="31"/>
    </row>
    <row r="17303" spans="43:43" x14ac:dyDescent="0.2">
      <c r="AQ17303" s="31"/>
    </row>
    <row r="17304" spans="43:43" x14ac:dyDescent="0.2">
      <c r="AQ17304" s="31"/>
    </row>
    <row r="17305" spans="43:43" x14ac:dyDescent="0.2">
      <c r="AQ17305" s="31"/>
    </row>
    <row r="17306" spans="43:43" x14ac:dyDescent="0.2">
      <c r="AQ17306" s="31"/>
    </row>
    <row r="17307" spans="43:43" x14ac:dyDescent="0.2">
      <c r="AQ17307" s="31"/>
    </row>
    <row r="17308" spans="43:43" x14ac:dyDescent="0.2">
      <c r="AQ17308" s="31"/>
    </row>
    <row r="17309" spans="43:43" x14ac:dyDescent="0.2">
      <c r="AQ17309" s="31"/>
    </row>
    <row r="17310" spans="43:43" x14ac:dyDescent="0.2">
      <c r="AQ17310" s="31"/>
    </row>
    <row r="17311" spans="43:43" x14ac:dyDescent="0.2">
      <c r="AQ17311" s="31"/>
    </row>
    <row r="17312" spans="43:43" x14ac:dyDescent="0.2">
      <c r="AQ17312" s="31"/>
    </row>
    <row r="17313" spans="43:43" x14ac:dyDescent="0.2">
      <c r="AQ17313" s="31"/>
    </row>
    <row r="17314" spans="43:43" x14ac:dyDescent="0.2">
      <c r="AQ17314" s="31"/>
    </row>
    <row r="17315" spans="43:43" x14ac:dyDescent="0.2">
      <c r="AQ17315" s="31"/>
    </row>
    <row r="17316" spans="43:43" x14ac:dyDescent="0.2">
      <c r="AQ17316" s="31"/>
    </row>
    <row r="17317" spans="43:43" x14ac:dyDescent="0.2">
      <c r="AQ17317" s="31"/>
    </row>
    <row r="17318" spans="43:43" x14ac:dyDescent="0.2">
      <c r="AQ17318" s="31"/>
    </row>
    <row r="17319" spans="43:43" x14ac:dyDescent="0.2">
      <c r="AQ17319" s="31"/>
    </row>
    <row r="17320" spans="43:43" x14ac:dyDescent="0.2">
      <c r="AQ17320" s="31"/>
    </row>
    <row r="17321" spans="43:43" x14ac:dyDescent="0.2">
      <c r="AQ17321" s="31"/>
    </row>
    <row r="17322" spans="43:43" x14ac:dyDescent="0.2">
      <c r="AQ17322" s="31"/>
    </row>
    <row r="17323" spans="43:43" x14ac:dyDescent="0.2">
      <c r="AQ17323" s="31"/>
    </row>
    <row r="17324" spans="43:43" x14ac:dyDescent="0.2">
      <c r="AQ17324" s="31"/>
    </row>
    <row r="17325" spans="43:43" x14ac:dyDescent="0.2">
      <c r="AQ17325" s="31"/>
    </row>
    <row r="17326" spans="43:43" x14ac:dyDescent="0.2">
      <c r="AQ17326" s="31"/>
    </row>
    <row r="17327" spans="43:43" x14ac:dyDescent="0.2">
      <c r="AQ17327" s="31"/>
    </row>
    <row r="17328" spans="43:43" x14ac:dyDescent="0.2">
      <c r="AQ17328" s="31"/>
    </row>
    <row r="17329" spans="43:43" x14ac:dyDescent="0.2">
      <c r="AQ17329" s="31"/>
    </row>
    <row r="17330" spans="43:43" x14ac:dyDescent="0.2">
      <c r="AQ17330" s="31"/>
    </row>
    <row r="17331" spans="43:43" x14ac:dyDescent="0.2">
      <c r="AQ17331" s="31"/>
    </row>
    <row r="17332" spans="43:43" x14ac:dyDescent="0.2">
      <c r="AQ17332" s="31"/>
    </row>
    <row r="17333" spans="43:43" x14ac:dyDescent="0.2">
      <c r="AQ17333" s="31"/>
    </row>
    <row r="17334" spans="43:43" x14ac:dyDescent="0.2">
      <c r="AQ17334" s="31"/>
    </row>
    <row r="17335" spans="43:43" x14ac:dyDescent="0.2">
      <c r="AQ17335" s="31"/>
    </row>
    <row r="17336" spans="43:43" x14ac:dyDescent="0.2">
      <c r="AQ17336" s="31"/>
    </row>
    <row r="17337" spans="43:43" x14ac:dyDescent="0.2">
      <c r="AQ17337" s="31"/>
    </row>
    <row r="17338" spans="43:43" x14ac:dyDescent="0.2">
      <c r="AQ17338" s="31"/>
    </row>
    <row r="17339" spans="43:43" x14ac:dyDescent="0.2">
      <c r="AQ17339" s="31"/>
    </row>
    <row r="17340" spans="43:43" x14ac:dyDescent="0.2">
      <c r="AQ17340" s="31"/>
    </row>
    <row r="17341" spans="43:43" x14ac:dyDescent="0.2">
      <c r="AQ17341" s="31"/>
    </row>
    <row r="17342" spans="43:43" x14ac:dyDescent="0.2">
      <c r="AQ17342" s="31"/>
    </row>
    <row r="17343" spans="43:43" x14ac:dyDescent="0.2">
      <c r="AQ17343" s="31"/>
    </row>
    <row r="17344" spans="43:43" x14ac:dyDescent="0.2">
      <c r="AQ17344" s="31"/>
    </row>
    <row r="17345" spans="43:43" x14ac:dyDescent="0.2">
      <c r="AQ17345" s="31"/>
    </row>
    <row r="17346" spans="43:43" x14ac:dyDescent="0.2">
      <c r="AQ17346" s="31"/>
    </row>
    <row r="17347" spans="43:43" x14ac:dyDescent="0.2">
      <c r="AQ17347" s="31"/>
    </row>
    <row r="17348" spans="43:43" x14ac:dyDescent="0.2">
      <c r="AQ17348" s="31"/>
    </row>
    <row r="17349" spans="43:43" x14ac:dyDescent="0.2">
      <c r="AQ17349" s="31"/>
    </row>
    <row r="17350" spans="43:43" x14ac:dyDescent="0.2">
      <c r="AQ17350" s="31"/>
    </row>
    <row r="17351" spans="43:43" x14ac:dyDescent="0.2">
      <c r="AQ17351" s="31"/>
    </row>
    <row r="17352" spans="43:43" x14ac:dyDescent="0.2">
      <c r="AQ17352" s="31"/>
    </row>
    <row r="17353" spans="43:43" x14ac:dyDescent="0.2">
      <c r="AQ17353" s="31"/>
    </row>
    <row r="17354" spans="43:43" x14ac:dyDescent="0.2">
      <c r="AQ17354" s="31"/>
    </row>
    <row r="17355" spans="43:43" x14ac:dyDescent="0.2">
      <c r="AQ17355" s="31"/>
    </row>
    <row r="17356" spans="43:43" x14ac:dyDescent="0.2">
      <c r="AQ17356" s="31"/>
    </row>
    <row r="17357" spans="43:43" x14ac:dyDescent="0.2">
      <c r="AQ17357" s="31"/>
    </row>
    <row r="17358" spans="43:43" x14ac:dyDescent="0.2">
      <c r="AQ17358" s="31"/>
    </row>
    <row r="17359" spans="43:43" x14ac:dyDescent="0.2">
      <c r="AQ17359" s="31"/>
    </row>
    <row r="17360" spans="43:43" x14ac:dyDescent="0.2">
      <c r="AQ17360" s="31"/>
    </row>
    <row r="17361" spans="43:43" x14ac:dyDescent="0.2">
      <c r="AQ17361" s="31"/>
    </row>
    <row r="17362" spans="43:43" x14ac:dyDescent="0.2">
      <c r="AQ17362" s="31"/>
    </row>
    <row r="17363" spans="43:43" x14ac:dyDescent="0.2">
      <c r="AQ17363" s="31"/>
    </row>
    <row r="17364" spans="43:43" x14ac:dyDescent="0.2">
      <c r="AQ17364" s="31"/>
    </row>
    <row r="17365" spans="43:43" x14ac:dyDescent="0.2">
      <c r="AQ17365" s="31"/>
    </row>
    <row r="17366" spans="43:43" x14ac:dyDescent="0.2">
      <c r="AQ17366" s="31"/>
    </row>
    <row r="17367" spans="43:43" x14ac:dyDescent="0.2">
      <c r="AQ17367" s="31"/>
    </row>
    <row r="17368" spans="43:43" x14ac:dyDescent="0.2">
      <c r="AQ17368" s="31"/>
    </row>
    <row r="17369" spans="43:43" x14ac:dyDescent="0.2">
      <c r="AQ17369" s="31"/>
    </row>
    <row r="17370" spans="43:43" x14ac:dyDescent="0.2">
      <c r="AQ17370" s="31"/>
    </row>
    <row r="17371" spans="43:43" x14ac:dyDescent="0.2">
      <c r="AQ17371" s="31"/>
    </row>
    <row r="17372" spans="43:43" x14ac:dyDescent="0.2">
      <c r="AQ17372" s="31"/>
    </row>
    <row r="17373" spans="43:43" x14ac:dyDescent="0.2">
      <c r="AQ17373" s="31"/>
    </row>
    <row r="17374" spans="43:43" x14ac:dyDescent="0.2">
      <c r="AQ17374" s="31"/>
    </row>
    <row r="17375" spans="43:43" x14ac:dyDescent="0.2">
      <c r="AQ17375" s="31"/>
    </row>
    <row r="17376" spans="43:43" x14ac:dyDescent="0.2">
      <c r="AQ17376" s="31"/>
    </row>
    <row r="17377" spans="43:43" x14ac:dyDescent="0.2">
      <c r="AQ17377" s="31"/>
    </row>
    <row r="17378" spans="43:43" x14ac:dyDescent="0.2">
      <c r="AQ17378" s="31"/>
    </row>
    <row r="17379" spans="43:43" x14ac:dyDescent="0.2">
      <c r="AQ17379" s="31"/>
    </row>
    <row r="17380" spans="43:43" x14ac:dyDescent="0.2">
      <c r="AQ17380" s="31"/>
    </row>
    <row r="17381" spans="43:43" x14ac:dyDescent="0.2">
      <c r="AQ17381" s="31"/>
    </row>
    <row r="17382" spans="43:43" x14ac:dyDescent="0.2">
      <c r="AQ17382" s="31"/>
    </row>
    <row r="17383" spans="43:43" x14ac:dyDescent="0.2">
      <c r="AQ17383" s="31"/>
    </row>
    <row r="17384" spans="43:43" x14ac:dyDescent="0.2">
      <c r="AQ17384" s="31"/>
    </row>
    <row r="17385" spans="43:43" x14ac:dyDescent="0.2">
      <c r="AQ17385" s="31"/>
    </row>
    <row r="17386" spans="43:43" x14ac:dyDescent="0.2">
      <c r="AQ17386" s="31"/>
    </row>
    <row r="17387" spans="43:43" x14ac:dyDescent="0.2">
      <c r="AQ17387" s="31"/>
    </row>
    <row r="17388" spans="43:43" x14ac:dyDescent="0.2">
      <c r="AQ17388" s="31"/>
    </row>
    <row r="17389" spans="43:43" x14ac:dyDescent="0.2">
      <c r="AQ17389" s="31"/>
    </row>
    <row r="17390" spans="43:43" x14ac:dyDescent="0.2">
      <c r="AQ17390" s="31"/>
    </row>
    <row r="17391" spans="43:43" x14ac:dyDescent="0.2">
      <c r="AQ17391" s="31"/>
    </row>
    <row r="17392" spans="43:43" x14ac:dyDescent="0.2">
      <c r="AQ17392" s="31"/>
    </row>
    <row r="17393" spans="43:43" x14ac:dyDescent="0.2">
      <c r="AQ17393" s="31"/>
    </row>
    <row r="17394" spans="43:43" x14ac:dyDescent="0.2">
      <c r="AQ17394" s="31"/>
    </row>
    <row r="17395" spans="43:43" x14ac:dyDescent="0.2">
      <c r="AQ17395" s="31"/>
    </row>
    <row r="17396" spans="43:43" x14ac:dyDescent="0.2">
      <c r="AQ17396" s="31"/>
    </row>
    <row r="17397" spans="43:43" x14ac:dyDescent="0.2">
      <c r="AQ17397" s="31"/>
    </row>
    <row r="17398" spans="43:43" x14ac:dyDescent="0.2">
      <c r="AQ17398" s="31"/>
    </row>
    <row r="17399" spans="43:43" x14ac:dyDescent="0.2">
      <c r="AQ17399" s="31"/>
    </row>
    <row r="17400" spans="43:43" x14ac:dyDescent="0.2">
      <c r="AQ17400" s="31"/>
    </row>
    <row r="17401" spans="43:43" x14ac:dyDescent="0.2">
      <c r="AQ17401" s="31"/>
    </row>
    <row r="17402" spans="43:43" x14ac:dyDescent="0.2">
      <c r="AQ17402" s="31"/>
    </row>
    <row r="17403" spans="43:43" x14ac:dyDescent="0.2">
      <c r="AQ17403" s="31"/>
    </row>
    <row r="17404" spans="43:43" x14ac:dyDescent="0.2">
      <c r="AQ17404" s="31"/>
    </row>
    <row r="17405" spans="43:43" x14ac:dyDescent="0.2">
      <c r="AQ17405" s="31"/>
    </row>
    <row r="17406" spans="43:43" x14ac:dyDescent="0.2">
      <c r="AQ17406" s="31"/>
    </row>
    <row r="17407" spans="43:43" x14ac:dyDescent="0.2">
      <c r="AQ17407" s="31"/>
    </row>
    <row r="17408" spans="43:43" x14ac:dyDescent="0.2">
      <c r="AQ17408" s="31"/>
    </row>
    <row r="17409" spans="43:43" x14ac:dyDescent="0.2">
      <c r="AQ17409" s="31"/>
    </row>
    <row r="17410" spans="43:43" x14ac:dyDescent="0.2">
      <c r="AQ17410" s="31"/>
    </row>
    <row r="17411" spans="43:43" x14ac:dyDescent="0.2">
      <c r="AQ17411" s="31"/>
    </row>
    <row r="17412" spans="43:43" x14ac:dyDescent="0.2">
      <c r="AQ17412" s="31"/>
    </row>
    <row r="17413" spans="43:43" x14ac:dyDescent="0.2">
      <c r="AQ17413" s="31"/>
    </row>
    <row r="17414" spans="43:43" x14ac:dyDescent="0.2">
      <c r="AQ17414" s="31"/>
    </row>
    <row r="17415" spans="43:43" x14ac:dyDescent="0.2">
      <c r="AQ17415" s="31"/>
    </row>
    <row r="17416" spans="43:43" x14ac:dyDescent="0.2">
      <c r="AQ17416" s="31"/>
    </row>
    <row r="17417" spans="43:43" x14ac:dyDescent="0.2">
      <c r="AQ17417" s="31"/>
    </row>
    <row r="17418" spans="43:43" x14ac:dyDescent="0.2">
      <c r="AQ17418" s="31"/>
    </row>
    <row r="17419" spans="43:43" x14ac:dyDescent="0.2">
      <c r="AQ17419" s="31"/>
    </row>
    <row r="17420" spans="43:43" x14ac:dyDescent="0.2">
      <c r="AQ17420" s="31"/>
    </row>
    <row r="17421" spans="43:43" x14ac:dyDescent="0.2">
      <c r="AQ17421" s="31"/>
    </row>
    <row r="17422" spans="43:43" x14ac:dyDescent="0.2">
      <c r="AQ17422" s="31"/>
    </row>
    <row r="17423" spans="43:43" x14ac:dyDescent="0.2">
      <c r="AQ17423" s="31"/>
    </row>
    <row r="17424" spans="43:43" x14ac:dyDescent="0.2">
      <c r="AQ17424" s="31"/>
    </row>
    <row r="17425" spans="43:43" x14ac:dyDescent="0.2">
      <c r="AQ17425" s="31"/>
    </row>
    <row r="17426" spans="43:43" x14ac:dyDescent="0.2">
      <c r="AQ17426" s="31"/>
    </row>
    <row r="17427" spans="43:43" x14ac:dyDescent="0.2">
      <c r="AQ17427" s="31"/>
    </row>
    <row r="17428" spans="43:43" x14ac:dyDescent="0.2">
      <c r="AQ17428" s="31"/>
    </row>
    <row r="17429" spans="43:43" x14ac:dyDescent="0.2">
      <c r="AQ17429" s="31"/>
    </row>
    <row r="17430" spans="43:43" x14ac:dyDescent="0.2">
      <c r="AQ17430" s="31"/>
    </row>
    <row r="17431" spans="43:43" x14ac:dyDescent="0.2">
      <c r="AQ17431" s="31"/>
    </row>
    <row r="17432" spans="43:43" x14ac:dyDescent="0.2">
      <c r="AQ17432" s="31"/>
    </row>
    <row r="17433" spans="43:43" x14ac:dyDescent="0.2">
      <c r="AQ17433" s="31"/>
    </row>
    <row r="17434" spans="43:43" x14ac:dyDescent="0.2">
      <c r="AQ17434" s="31"/>
    </row>
    <row r="17435" spans="43:43" x14ac:dyDescent="0.2">
      <c r="AQ17435" s="31"/>
    </row>
    <row r="17436" spans="43:43" x14ac:dyDescent="0.2">
      <c r="AQ17436" s="31"/>
    </row>
    <row r="17437" spans="43:43" x14ac:dyDescent="0.2">
      <c r="AQ17437" s="31"/>
    </row>
    <row r="17438" spans="43:43" x14ac:dyDescent="0.2">
      <c r="AQ17438" s="31"/>
    </row>
    <row r="17439" spans="43:43" x14ac:dyDescent="0.2">
      <c r="AQ17439" s="31"/>
    </row>
    <row r="17440" spans="43:43" x14ac:dyDescent="0.2">
      <c r="AQ17440" s="31"/>
    </row>
    <row r="17441" spans="43:43" x14ac:dyDescent="0.2">
      <c r="AQ17441" s="31"/>
    </row>
    <row r="17442" spans="43:43" x14ac:dyDescent="0.2">
      <c r="AQ17442" s="31"/>
    </row>
    <row r="17443" spans="43:43" x14ac:dyDescent="0.2">
      <c r="AQ17443" s="31"/>
    </row>
    <row r="17444" spans="43:43" x14ac:dyDescent="0.2">
      <c r="AQ17444" s="31"/>
    </row>
    <row r="17445" spans="43:43" x14ac:dyDescent="0.2">
      <c r="AQ17445" s="31"/>
    </row>
    <row r="17446" spans="43:43" x14ac:dyDescent="0.2">
      <c r="AQ17446" s="31"/>
    </row>
    <row r="17447" spans="43:43" x14ac:dyDescent="0.2">
      <c r="AQ17447" s="31"/>
    </row>
    <row r="17448" spans="43:43" x14ac:dyDescent="0.2">
      <c r="AQ17448" s="31"/>
    </row>
    <row r="17449" spans="43:43" x14ac:dyDescent="0.2">
      <c r="AQ17449" s="31"/>
    </row>
    <row r="17450" spans="43:43" x14ac:dyDescent="0.2">
      <c r="AQ17450" s="31"/>
    </row>
    <row r="17451" spans="43:43" x14ac:dyDescent="0.2">
      <c r="AQ17451" s="31"/>
    </row>
    <row r="17452" spans="43:43" x14ac:dyDescent="0.2">
      <c r="AQ17452" s="31"/>
    </row>
    <row r="17453" spans="43:43" x14ac:dyDescent="0.2">
      <c r="AQ17453" s="31"/>
    </row>
    <row r="17454" spans="43:43" x14ac:dyDescent="0.2">
      <c r="AQ17454" s="31"/>
    </row>
    <row r="17455" spans="43:43" x14ac:dyDescent="0.2">
      <c r="AQ17455" s="31"/>
    </row>
    <row r="17456" spans="43:43" x14ac:dyDescent="0.2">
      <c r="AQ17456" s="31"/>
    </row>
    <row r="17457" spans="43:43" x14ac:dyDescent="0.2">
      <c r="AQ17457" s="31"/>
    </row>
    <row r="17458" spans="43:43" x14ac:dyDescent="0.2">
      <c r="AQ17458" s="31"/>
    </row>
    <row r="17459" spans="43:43" x14ac:dyDescent="0.2">
      <c r="AQ17459" s="31"/>
    </row>
    <row r="17460" spans="43:43" x14ac:dyDescent="0.2">
      <c r="AQ17460" s="31"/>
    </row>
    <row r="17461" spans="43:43" x14ac:dyDescent="0.2">
      <c r="AQ17461" s="31"/>
    </row>
    <row r="17462" spans="43:43" x14ac:dyDescent="0.2">
      <c r="AQ17462" s="31"/>
    </row>
    <row r="17463" spans="43:43" x14ac:dyDescent="0.2">
      <c r="AQ17463" s="31"/>
    </row>
    <row r="17464" spans="43:43" x14ac:dyDescent="0.2">
      <c r="AQ17464" s="31"/>
    </row>
    <row r="17465" spans="43:43" x14ac:dyDescent="0.2">
      <c r="AQ17465" s="31"/>
    </row>
    <row r="17466" spans="43:43" x14ac:dyDescent="0.2">
      <c r="AQ17466" s="31"/>
    </row>
    <row r="17467" spans="43:43" x14ac:dyDescent="0.2">
      <c r="AQ17467" s="31"/>
    </row>
    <row r="17468" spans="43:43" x14ac:dyDescent="0.2">
      <c r="AQ17468" s="31"/>
    </row>
    <row r="17469" spans="43:43" x14ac:dyDescent="0.2">
      <c r="AQ17469" s="31"/>
    </row>
    <row r="17470" spans="43:43" x14ac:dyDescent="0.2">
      <c r="AQ17470" s="31"/>
    </row>
    <row r="17471" spans="43:43" x14ac:dyDescent="0.2">
      <c r="AQ17471" s="31"/>
    </row>
    <row r="17472" spans="43:43" x14ac:dyDescent="0.2">
      <c r="AQ17472" s="31"/>
    </row>
    <row r="17473" spans="43:43" x14ac:dyDescent="0.2">
      <c r="AQ17473" s="31"/>
    </row>
    <row r="17474" spans="43:43" x14ac:dyDescent="0.2">
      <c r="AQ17474" s="31"/>
    </row>
    <row r="17475" spans="43:43" x14ac:dyDescent="0.2">
      <c r="AQ17475" s="31"/>
    </row>
    <row r="17476" spans="43:43" x14ac:dyDescent="0.2">
      <c r="AQ17476" s="31"/>
    </row>
    <row r="17477" spans="43:43" x14ac:dyDescent="0.2">
      <c r="AQ17477" s="31"/>
    </row>
    <row r="17478" spans="43:43" x14ac:dyDescent="0.2">
      <c r="AQ17478" s="31"/>
    </row>
    <row r="17479" spans="43:43" x14ac:dyDescent="0.2">
      <c r="AQ17479" s="31"/>
    </row>
    <row r="17480" spans="43:43" x14ac:dyDescent="0.2">
      <c r="AQ17480" s="31"/>
    </row>
    <row r="17481" spans="43:43" x14ac:dyDescent="0.2">
      <c r="AQ17481" s="31"/>
    </row>
    <row r="17482" spans="43:43" x14ac:dyDescent="0.2">
      <c r="AQ17482" s="31"/>
    </row>
    <row r="17483" spans="43:43" x14ac:dyDescent="0.2">
      <c r="AQ17483" s="31"/>
    </row>
    <row r="17484" spans="43:43" x14ac:dyDescent="0.2">
      <c r="AQ17484" s="31"/>
    </row>
    <row r="17485" spans="43:43" x14ac:dyDescent="0.2">
      <c r="AQ17485" s="31"/>
    </row>
    <row r="17486" spans="43:43" x14ac:dyDescent="0.2">
      <c r="AQ17486" s="31"/>
    </row>
    <row r="17487" spans="43:43" x14ac:dyDescent="0.2">
      <c r="AQ17487" s="31"/>
    </row>
    <row r="17488" spans="43:43" x14ac:dyDescent="0.2">
      <c r="AQ17488" s="31"/>
    </row>
    <row r="17489" spans="43:43" x14ac:dyDescent="0.2">
      <c r="AQ17489" s="31"/>
    </row>
    <row r="17490" spans="43:43" x14ac:dyDescent="0.2">
      <c r="AQ17490" s="31"/>
    </row>
    <row r="17491" spans="43:43" x14ac:dyDescent="0.2">
      <c r="AQ17491" s="31"/>
    </row>
    <row r="17492" spans="43:43" x14ac:dyDescent="0.2">
      <c r="AQ17492" s="31"/>
    </row>
    <row r="17493" spans="43:43" x14ac:dyDescent="0.2">
      <c r="AQ17493" s="31"/>
    </row>
    <row r="17494" spans="43:43" x14ac:dyDescent="0.2">
      <c r="AQ17494" s="31"/>
    </row>
    <row r="17495" spans="43:43" x14ac:dyDescent="0.2">
      <c r="AQ17495" s="31"/>
    </row>
    <row r="17496" spans="43:43" x14ac:dyDescent="0.2">
      <c r="AQ17496" s="31"/>
    </row>
    <row r="17497" spans="43:43" x14ac:dyDescent="0.2">
      <c r="AQ17497" s="31"/>
    </row>
    <row r="17498" spans="43:43" x14ac:dyDescent="0.2">
      <c r="AQ17498" s="31"/>
    </row>
    <row r="17499" spans="43:43" x14ac:dyDescent="0.2">
      <c r="AQ17499" s="31"/>
    </row>
    <row r="17500" spans="43:43" x14ac:dyDescent="0.2">
      <c r="AQ17500" s="31"/>
    </row>
    <row r="17501" spans="43:43" x14ac:dyDescent="0.2">
      <c r="AQ17501" s="31"/>
    </row>
    <row r="17502" spans="43:43" x14ac:dyDescent="0.2">
      <c r="AQ17502" s="31"/>
    </row>
    <row r="17503" spans="43:43" x14ac:dyDescent="0.2">
      <c r="AQ17503" s="31"/>
    </row>
    <row r="17504" spans="43:43" x14ac:dyDescent="0.2">
      <c r="AQ17504" s="31"/>
    </row>
    <row r="17505" spans="43:43" x14ac:dyDescent="0.2">
      <c r="AQ17505" s="31"/>
    </row>
    <row r="17506" spans="43:43" x14ac:dyDescent="0.2">
      <c r="AQ17506" s="31"/>
    </row>
    <row r="17507" spans="43:43" x14ac:dyDescent="0.2">
      <c r="AQ17507" s="31"/>
    </row>
    <row r="17508" spans="43:43" x14ac:dyDescent="0.2">
      <c r="AQ17508" s="31"/>
    </row>
    <row r="17509" spans="43:43" x14ac:dyDescent="0.2">
      <c r="AQ17509" s="31"/>
    </row>
    <row r="17510" spans="43:43" x14ac:dyDescent="0.2">
      <c r="AQ17510" s="31"/>
    </row>
    <row r="17511" spans="43:43" x14ac:dyDescent="0.2">
      <c r="AQ17511" s="31"/>
    </row>
    <row r="17512" spans="43:43" x14ac:dyDescent="0.2">
      <c r="AQ17512" s="31"/>
    </row>
    <row r="17513" spans="43:43" x14ac:dyDescent="0.2">
      <c r="AQ17513" s="31"/>
    </row>
    <row r="17514" spans="43:43" x14ac:dyDescent="0.2">
      <c r="AQ17514" s="31"/>
    </row>
    <row r="17515" spans="43:43" x14ac:dyDescent="0.2">
      <c r="AQ17515" s="31"/>
    </row>
    <row r="17516" spans="43:43" x14ac:dyDescent="0.2">
      <c r="AQ17516" s="31"/>
    </row>
    <row r="17517" spans="43:43" x14ac:dyDescent="0.2">
      <c r="AQ17517" s="31"/>
    </row>
    <row r="17518" spans="43:43" x14ac:dyDescent="0.2">
      <c r="AQ17518" s="31"/>
    </row>
    <row r="17519" spans="43:43" x14ac:dyDescent="0.2">
      <c r="AQ17519" s="31"/>
    </row>
    <row r="17520" spans="43:43" x14ac:dyDescent="0.2">
      <c r="AQ17520" s="31"/>
    </row>
    <row r="17521" spans="43:43" x14ac:dyDescent="0.2">
      <c r="AQ17521" s="31"/>
    </row>
    <row r="17522" spans="43:43" x14ac:dyDescent="0.2">
      <c r="AQ17522" s="31"/>
    </row>
    <row r="17523" spans="43:43" x14ac:dyDescent="0.2">
      <c r="AQ17523" s="31"/>
    </row>
    <row r="17524" spans="43:43" x14ac:dyDescent="0.2">
      <c r="AQ17524" s="31"/>
    </row>
    <row r="17525" spans="43:43" x14ac:dyDescent="0.2">
      <c r="AQ17525" s="31"/>
    </row>
    <row r="17526" spans="43:43" x14ac:dyDescent="0.2">
      <c r="AQ17526" s="31"/>
    </row>
    <row r="17527" spans="43:43" x14ac:dyDescent="0.2">
      <c r="AQ17527" s="31"/>
    </row>
    <row r="17528" spans="43:43" x14ac:dyDescent="0.2">
      <c r="AQ17528" s="31"/>
    </row>
    <row r="17529" spans="43:43" x14ac:dyDescent="0.2">
      <c r="AQ17529" s="31"/>
    </row>
    <row r="17530" spans="43:43" x14ac:dyDescent="0.2">
      <c r="AQ17530" s="31"/>
    </row>
    <row r="17531" spans="43:43" x14ac:dyDescent="0.2">
      <c r="AQ17531" s="31"/>
    </row>
    <row r="17532" spans="43:43" x14ac:dyDescent="0.2">
      <c r="AQ17532" s="31"/>
    </row>
    <row r="17533" spans="43:43" x14ac:dyDescent="0.2">
      <c r="AQ17533" s="31"/>
    </row>
    <row r="17534" spans="43:43" x14ac:dyDescent="0.2">
      <c r="AQ17534" s="31"/>
    </row>
    <row r="17535" spans="43:43" x14ac:dyDescent="0.2">
      <c r="AQ17535" s="31"/>
    </row>
    <row r="17536" spans="43:43" x14ac:dyDescent="0.2">
      <c r="AQ17536" s="31"/>
    </row>
    <row r="17537" spans="43:43" x14ac:dyDescent="0.2">
      <c r="AQ17537" s="31"/>
    </row>
    <row r="17538" spans="43:43" x14ac:dyDescent="0.2">
      <c r="AQ17538" s="31"/>
    </row>
    <row r="17539" spans="43:43" x14ac:dyDescent="0.2">
      <c r="AQ17539" s="31"/>
    </row>
    <row r="17540" spans="43:43" x14ac:dyDescent="0.2">
      <c r="AQ17540" s="31"/>
    </row>
    <row r="17541" spans="43:43" x14ac:dyDescent="0.2">
      <c r="AQ17541" s="31"/>
    </row>
    <row r="17542" spans="43:43" x14ac:dyDescent="0.2">
      <c r="AQ17542" s="31"/>
    </row>
    <row r="17543" spans="43:43" x14ac:dyDescent="0.2">
      <c r="AQ17543" s="31"/>
    </row>
    <row r="17544" spans="43:43" x14ac:dyDescent="0.2">
      <c r="AQ17544" s="31"/>
    </row>
    <row r="17545" spans="43:43" x14ac:dyDescent="0.2">
      <c r="AQ17545" s="31"/>
    </row>
    <row r="17546" spans="43:43" x14ac:dyDescent="0.2">
      <c r="AQ17546" s="31"/>
    </row>
    <row r="17547" spans="43:43" x14ac:dyDescent="0.2">
      <c r="AQ17547" s="31"/>
    </row>
    <row r="17548" spans="43:43" x14ac:dyDescent="0.2">
      <c r="AQ17548" s="31"/>
    </row>
    <row r="17549" spans="43:43" x14ac:dyDescent="0.2">
      <c r="AQ17549" s="31"/>
    </row>
    <row r="17550" spans="43:43" x14ac:dyDescent="0.2">
      <c r="AQ17550" s="31"/>
    </row>
    <row r="17551" spans="43:43" x14ac:dyDescent="0.2">
      <c r="AQ17551" s="31"/>
    </row>
    <row r="17552" spans="43:43" x14ac:dyDescent="0.2">
      <c r="AQ17552" s="31"/>
    </row>
    <row r="17553" spans="43:43" x14ac:dyDescent="0.2">
      <c r="AQ17553" s="31"/>
    </row>
    <row r="17554" spans="43:43" x14ac:dyDescent="0.2">
      <c r="AQ17554" s="31"/>
    </row>
    <row r="17555" spans="43:43" x14ac:dyDescent="0.2">
      <c r="AQ17555" s="31"/>
    </row>
    <row r="17556" spans="43:43" x14ac:dyDescent="0.2">
      <c r="AQ17556" s="31"/>
    </row>
    <row r="17557" spans="43:43" x14ac:dyDescent="0.2">
      <c r="AQ17557" s="31"/>
    </row>
    <row r="17558" spans="43:43" x14ac:dyDescent="0.2">
      <c r="AQ17558" s="31"/>
    </row>
    <row r="17559" spans="43:43" x14ac:dyDescent="0.2">
      <c r="AQ17559" s="31"/>
    </row>
    <row r="17560" spans="43:43" x14ac:dyDescent="0.2">
      <c r="AQ17560" s="31"/>
    </row>
    <row r="17561" spans="43:43" x14ac:dyDescent="0.2">
      <c r="AQ17561" s="31"/>
    </row>
    <row r="17562" spans="43:43" x14ac:dyDescent="0.2">
      <c r="AQ17562" s="31"/>
    </row>
    <row r="17563" spans="43:43" x14ac:dyDescent="0.2">
      <c r="AQ17563" s="31"/>
    </row>
    <row r="17564" spans="43:43" x14ac:dyDescent="0.2">
      <c r="AQ17564" s="31"/>
    </row>
    <row r="17565" spans="43:43" x14ac:dyDescent="0.2">
      <c r="AQ17565" s="31"/>
    </row>
    <row r="17566" spans="43:43" x14ac:dyDescent="0.2">
      <c r="AQ17566" s="31"/>
    </row>
    <row r="17567" spans="43:43" x14ac:dyDescent="0.2">
      <c r="AQ17567" s="31"/>
    </row>
    <row r="17568" spans="43:43" x14ac:dyDescent="0.2">
      <c r="AQ17568" s="31"/>
    </row>
    <row r="17569" spans="43:43" x14ac:dyDescent="0.2">
      <c r="AQ17569" s="31"/>
    </row>
    <row r="17570" spans="43:43" x14ac:dyDescent="0.2">
      <c r="AQ17570" s="31"/>
    </row>
    <row r="17571" spans="43:43" x14ac:dyDescent="0.2">
      <c r="AQ17571" s="31"/>
    </row>
    <row r="17572" spans="43:43" x14ac:dyDescent="0.2">
      <c r="AQ17572" s="31"/>
    </row>
    <row r="17573" spans="43:43" x14ac:dyDescent="0.2">
      <c r="AQ17573" s="31"/>
    </row>
    <row r="17574" spans="43:43" x14ac:dyDescent="0.2">
      <c r="AQ17574" s="31"/>
    </row>
    <row r="17575" spans="43:43" x14ac:dyDescent="0.2">
      <c r="AQ17575" s="31"/>
    </row>
    <row r="17576" spans="43:43" x14ac:dyDescent="0.2">
      <c r="AQ17576" s="31"/>
    </row>
    <row r="17577" spans="43:43" x14ac:dyDescent="0.2">
      <c r="AQ17577" s="31"/>
    </row>
    <row r="17578" spans="43:43" x14ac:dyDescent="0.2">
      <c r="AQ17578" s="31"/>
    </row>
    <row r="17579" spans="43:43" x14ac:dyDescent="0.2">
      <c r="AQ17579" s="31"/>
    </row>
    <row r="17580" spans="43:43" x14ac:dyDescent="0.2">
      <c r="AQ17580" s="31"/>
    </row>
    <row r="17581" spans="43:43" x14ac:dyDescent="0.2">
      <c r="AQ17581" s="31"/>
    </row>
    <row r="17582" spans="43:43" x14ac:dyDescent="0.2">
      <c r="AQ17582" s="31"/>
    </row>
    <row r="17583" spans="43:43" x14ac:dyDescent="0.2">
      <c r="AQ17583" s="31"/>
    </row>
    <row r="17584" spans="43:43" x14ac:dyDescent="0.2">
      <c r="AQ17584" s="31"/>
    </row>
    <row r="17585" spans="43:43" x14ac:dyDescent="0.2">
      <c r="AQ17585" s="31"/>
    </row>
    <row r="17586" spans="43:43" x14ac:dyDescent="0.2">
      <c r="AQ17586" s="31"/>
    </row>
    <row r="17587" spans="43:43" x14ac:dyDescent="0.2">
      <c r="AQ17587" s="31"/>
    </row>
    <row r="17588" spans="43:43" x14ac:dyDescent="0.2">
      <c r="AQ17588" s="31"/>
    </row>
    <row r="17589" spans="43:43" x14ac:dyDescent="0.2">
      <c r="AQ17589" s="31"/>
    </row>
    <row r="17590" spans="43:43" x14ac:dyDescent="0.2">
      <c r="AQ17590" s="31"/>
    </row>
    <row r="17591" spans="43:43" x14ac:dyDescent="0.2">
      <c r="AQ17591" s="31"/>
    </row>
    <row r="17592" spans="43:43" x14ac:dyDescent="0.2">
      <c r="AQ17592" s="31"/>
    </row>
    <row r="17593" spans="43:43" x14ac:dyDescent="0.2">
      <c r="AQ17593" s="31"/>
    </row>
    <row r="17594" spans="43:43" x14ac:dyDescent="0.2">
      <c r="AQ17594" s="31"/>
    </row>
    <row r="17595" spans="43:43" x14ac:dyDescent="0.2">
      <c r="AQ17595" s="31"/>
    </row>
    <row r="17596" spans="43:43" x14ac:dyDescent="0.2">
      <c r="AQ17596" s="31"/>
    </row>
    <row r="17597" spans="43:43" x14ac:dyDescent="0.2">
      <c r="AQ17597" s="31"/>
    </row>
    <row r="17598" spans="43:43" x14ac:dyDescent="0.2">
      <c r="AQ17598" s="31"/>
    </row>
    <row r="17599" spans="43:43" x14ac:dyDescent="0.2">
      <c r="AQ17599" s="31"/>
    </row>
    <row r="17600" spans="43:43" x14ac:dyDescent="0.2">
      <c r="AQ17600" s="31"/>
    </row>
    <row r="17601" spans="43:43" x14ac:dyDescent="0.2">
      <c r="AQ17601" s="31"/>
    </row>
    <row r="17602" spans="43:43" x14ac:dyDescent="0.2">
      <c r="AQ17602" s="31"/>
    </row>
    <row r="17603" spans="43:43" x14ac:dyDescent="0.2">
      <c r="AQ17603" s="31"/>
    </row>
    <row r="17604" spans="43:43" x14ac:dyDescent="0.2">
      <c r="AQ17604" s="31"/>
    </row>
    <row r="17605" spans="43:43" x14ac:dyDescent="0.2">
      <c r="AQ17605" s="31"/>
    </row>
    <row r="17606" spans="43:43" x14ac:dyDescent="0.2">
      <c r="AQ17606" s="31"/>
    </row>
    <row r="17607" spans="43:43" x14ac:dyDescent="0.2">
      <c r="AQ17607" s="31"/>
    </row>
    <row r="17608" spans="43:43" x14ac:dyDescent="0.2">
      <c r="AQ17608" s="31"/>
    </row>
    <row r="17609" spans="43:43" x14ac:dyDescent="0.2">
      <c r="AQ17609" s="31"/>
    </row>
    <row r="17610" spans="43:43" x14ac:dyDescent="0.2">
      <c r="AQ17610" s="31"/>
    </row>
    <row r="17611" spans="43:43" x14ac:dyDescent="0.2">
      <c r="AQ17611" s="31"/>
    </row>
    <row r="17612" spans="43:43" x14ac:dyDescent="0.2">
      <c r="AQ17612" s="31"/>
    </row>
    <row r="17613" spans="43:43" x14ac:dyDescent="0.2">
      <c r="AQ17613" s="31"/>
    </row>
    <row r="17614" spans="43:43" x14ac:dyDescent="0.2">
      <c r="AQ17614" s="31"/>
    </row>
    <row r="17615" spans="43:43" x14ac:dyDescent="0.2">
      <c r="AQ17615" s="31"/>
    </row>
    <row r="17616" spans="43:43" x14ac:dyDescent="0.2">
      <c r="AQ17616" s="31"/>
    </row>
    <row r="17617" spans="43:43" x14ac:dyDescent="0.2">
      <c r="AQ17617" s="31"/>
    </row>
    <row r="17618" spans="43:43" x14ac:dyDescent="0.2">
      <c r="AQ17618" s="31"/>
    </row>
    <row r="17619" spans="43:43" x14ac:dyDescent="0.2">
      <c r="AQ17619" s="31"/>
    </row>
    <row r="17620" spans="43:43" x14ac:dyDescent="0.2">
      <c r="AQ17620" s="31"/>
    </row>
    <row r="17621" spans="43:43" x14ac:dyDescent="0.2">
      <c r="AQ17621" s="31"/>
    </row>
    <row r="17622" spans="43:43" x14ac:dyDescent="0.2">
      <c r="AQ17622" s="31"/>
    </row>
    <row r="17623" spans="43:43" x14ac:dyDescent="0.2">
      <c r="AQ17623" s="31"/>
    </row>
    <row r="17624" spans="43:43" x14ac:dyDescent="0.2">
      <c r="AQ17624" s="31"/>
    </row>
    <row r="17625" spans="43:43" x14ac:dyDescent="0.2">
      <c r="AQ17625" s="31"/>
    </row>
    <row r="17626" spans="43:43" x14ac:dyDescent="0.2">
      <c r="AQ17626" s="31"/>
    </row>
    <row r="17627" spans="43:43" x14ac:dyDescent="0.2">
      <c r="AQ17627" s="31"/>
    </row>
    <row r="17628" spans="43:43" x14ac:dyDescent="0.2">
      <c r="AQ17628" s="31"/>
    </row>
    <row r="17629" spans="43:43" x14ac:dyDescent="0.2">
      <c r="AQ17629" s="31"/>
    </row>
    <row r="17630" spans="43:43" x14ac:dyDescent="0.2">
      <c r="AQ17630" s="31"/>
    </row>
    <row r="17631" spans="43:43" x14ac:dyDescent="0.2">
      <c r="AQ17631" s="31"/>
    </row>
    <row r="17632" spans="43:43" x14ac:dyDescent="0.2">
      <c r="AQ17632" s="31"/>
    </row>
    <row r="17633" spans="43:43" x14ac:dyDescent="0.2">
      <c r="AQ17633" s="31"/>
    </row>
    <row r="17634" spans="43:43" x14ac:dyDescent="0.2">
      <c r="AQ17634" s="31"/>
    </row>
    <row r="17635" spans="43:43" x14ac:dyDescent="0.2">
      <c r="AQ17635" s="31"/>
    </row>
    <row r="17636" spans="43:43" x14ac:dyDescent="0.2">
      <c r="AQ17636" s="31"/>
    </row>
    <row r="17637" spans="43:43" x14ac:dyDescent="0.2">
      <c r="AQ17637" s="31"/>
    </row>
    <row r="17638" spans="43:43" x14ac:dyDescent="0.2">
      <c r="AQ17638" s="31"/>
    </row>
    <row r="17639" spans="43:43" x14ac:dyDescent="0.2">
      <c r="AQ17639" s="31"/>
    </row>
    <row r="17640" spans="43:43" x14ac:dyDescent="0.2">
      <c r="AQ17640" s="31"/>
    </row>
    <row r="17641" spans="43:43" x14ac:dyDescent="0.2">
      <c r="AQ17641" s="31"/>
    </row>
    <row r="17642" spans="43:43" x14ac:dyDescent="0.2">
      <c r="AQ17642" s="31"/>
    </row>
    <row r="17643" spans="43:43" x14ac:dyDescent="0.2">
      <c r="AQ17643" s="31"/>
    </row>
    <row r="17644" spans="43:43" x14ac:dyDescent="0.2">
      <c r="AQ17644" s="31"/>
    </row>
    <row r="17645" spans="43:43" x14ac:dyDescent="0.2">
      <c r="AQ17645" s="31"/>
    </row>
    <row r="17646" spans="43:43" x14ac:dyDescent="0.2">
      <c r="AQ17646" s="31"/>
    </row>
    <row r="17647" spans="43:43" x14ac:dyDescent="0.2">
      <c r="AQ17647" s="31"/>
    </row>
    <row r="17648" spans="43:43" x14ac:dyDescent="0.2">
      <c r="AQ17648" s="31"/>
    </row>
    <row r="17649" spans="43:43" x14ac:dyDescent="0.2">
      <c r="AQ17649" s="31"/>
    </row>
    <row r="17650" spans="43:43" x14ac:dyDescent="0.2">
      <c r="AQ17650" s="31"/>
    </row>
    <row r="17651" spans="43:43" x14ac:dyDescent="0.2">
      <c r="AQ17651" s="31"/>
    </row>
    <row r="17652" spans="43:43" x14ac:dyDescent="0.2">
      <c r="AQ17652" s="31"/>
    </row>
    <row r="17653" spans="43:43" x14ac:dyDescent="0.2">
      <c r="AQ17653" s="31"/>
    </row>
    <row r="17654" spans="43:43" x14ac:dyDescent="0.2">
      <c r="AQ17654" s="31"/>
    </row>
    <row r="17655" spans="43:43" x14ac:dyDescent="0.2">
      <c r="AQ17655" s="31"/>
    </row>
    <row r="17656" spans="43:43" x14ac:dyDescent="0.2">
      <c r="AQ17656" s="31"/>
    </row>
    <row r="17657" spans="43:43" x14ac:dyDescent="0.2">
      <c r="AQ17657" s="31"/>
    </row>
    <row r="17658" spans="43:43" x14ac:dyDescent="0.2">
      <c r="AQ17658" s="31"/>
    </row>
    <row r="17659" spans="43:43" x14ac:dyDescent="0.2">
      <c r="AQ17659" s="31"/>
    </row>
    <row r="17660" spans="43:43" x14ac:dyDescent="0.2">
      <c r="AQ17660" s="31"/>
    </row>
    <row r="17661" spans="43:43" x14ac:dyDescent="0.2">
      <c r="AQ17661" s="31"/>
    </row>
    <row r="17662" spans="43:43" x14ac:dyDescent="0.2">
      <c r="AQ17662" s="31"/>
    </row>
    <row r="17663" spans="43:43" x14ac:dyDescent="0.2">
      <c r="AQ17663" s="31"/>
    </row>
    <row r="17664" spans="43:43" x14ac:dyDescent="0.2">
      <c r="AQ17664" s="31"/>
    </row>
    <row r="17665" spans="43:43" x14ac:dyDescent="0.2">
      <c r="AQ17665" s="31"/>
    </row>
    <row r="17666" spans="43:43" x14ac:dyDescent="0.2">
      <c r="AQ17666" s="31"/>
    </row>
    <row r="17667" spans="43:43" x14ac:dyDescent="0.2">
      <c r="AQ17667" s="31"/>
    </row>
    <row r="17668" spans="43:43" x14ac:dyDescent="0.2">
      <c r="AQ17668" s="31"/>
    </row>
    <row r="17669" spans="43:43" x14ac:dyDescent="0.2">
      <c r="AQ17669" s="31"/>
    </row>
    <row r="17670" spans="43:43" x14ac:dyDescent="0.2">
      <c r="AQ17670" s="31"/>
    </row>
    <row r="17671" spans="43:43" x14ac:dyDescent="0.2">
      <c r="AQ17671" s="31"/>
    </row>
    <row r="17672" spans="43:43" x14ac:dyDescent="0.2">
      <c r="AQ17672" s="31"/>
    </row>
    <row r="17673" spans="43:43" x14ac:dyDescent="0.2">
      <c r="AQ17673" s="31"/>
    </row>
    <row r="17674" spans="43:43" x14ac:dyDescent="0.2">
      <c r="AQ17674" s="31"/>
    </row>
    <row r="17675" spans="43:43" x14ac:dyDescent="0.2">
      <c r="AQ17675" s="31"/>
    </row>
    <row r="17676" spans="43:43" x14ac:dyDescent="0.2">
      <c r="AQ17676" s="31"/>
    </row>
    <row r="17677" spans="43:43" x14ac:dyDescent="0.2">
      <c r="AQ17677" s="31"/>
    </row>
    <row r="17678" spans="43:43" x14ac:dyDescent="0.2">
      <c r="AQ17678" s="31"/>
    </row>
    <row r="17679" spans="43:43" x14ac:dyDescent="0.2">
      <c r="AQ17679" s="31"/>
    </row>
    <row r="17680" spans="43:43" x14ac:dyDescent="0.2">
      <c r="AQ17680" s="31"/>
    </row>
    <row r="17681" spans="43:43" x14ac:dyDescent="0.2">
      <c r="AQ17681" s="31"/>
    </row>
    <row r="17682" spans="43:43" x14ac:dyDescent="0.2">
      <c r="AQ17682" s="31"/>
    </row>
    <row r="17683" spans="43:43" x14ac:dyDescent="0.2">
      <c r="AQ17683" s="31"/>
    </row>
    <row r="17684" spans="43:43" x14ac:dyDescent="0.2">
      <c r="AQ17684" s="31"/>
    </row>
    <row r="17685" spans="43:43" x14ac:dyDescent="0.2">
      <c r="AQ17685" s="31"/>
    </row>
    <row r="17686" spans="43:43" x14ac:dyDescent="0.2">
      <c r="AQ17686" s="31"/>
    </row>
    <row r="17687" spans="43:43" x14ac:dyDescent="0.2">
      <c r="AQ17687" s="31"/>
    </row>
    <row r="17688" spans="43:43" x14ac:dyDescent="0.2">
      <c r="AQ17688" s="31"/>
    </row>
    <row r="17689" spans="43:43" x14ac:dyDescent="0.2">
      <c r="AQ17689" s="31"/>
    </row>
    <row r="17690" spans="43:43" x14ac:dyDescent="0.2">
      <c r="AQ17690" s="31"/>
    </row>
    <row r="17691" spans="43:43" x14ac:dyDescent="0.2">
      <c r="AQ17691" s="31"/>
    </row>
    <row r="17692" spans="43:43" x14ac:dyDescent="0.2">
      <c r="AQ17692" s="31"/>
    </row>
    <row r="17693" spans="43:43" x14ac:dyDescent="0.2">
      <c r="AQ17693" s="31"/>
    </row>
    <row r="17694" spans="43:43" x14ac:dyDescent="0.2">
      <c r="AQ17694" s="31"/>
    </row>
    <row r="17695" spans="43:43" x14ac:dyDescent="0.2">
      <c r="AQ17695" s="31"/>
    </row>
    <row r="17696" spans="43:43" x14ac:dyDescent="0.2">
      <c r="AQ17696" s="31"/>
    </row>
    <row r="17697" spans="43:43" x14ac:dyDescent="0.2">
      <c r="AQ17697" s="31"/>
    </row>
    <row r="17698" spans="43:43" x14ac:dyDescent="0.2">
      <c r="AQ17698" s="31"/>
    </row>
    <row r="17699" spans="43:43" x14ac:dyDescent="0.2">
      <c r="AQ17699" s="31"/>
    </row>
    <row r="17700" spans="43:43" x14ac:dyDescent="0.2">
      <c r="AQ17700" s="31"/>
    </row>
    <row r="17701" spans="43:43" x14ac:dyDescent="0.2">
      <c r="AQ17701" s="31"/>
    </row>
    <row r="17702" spans="43:43" x14ac:dyDescent="0.2">
      <c r="AQ17702" s="31"/>
    </row>
    <row r="17703" spans="43:43" x14ac:dyDescent="0.2">
      <c r="AQ17703" s="31"/>
    </row>
    <row r="17704" spans="43:43" x14ac:dyDescent="0.2">
      <c r="AQ17704" s="31"/>
    </row>
    <row r="17705" spans="43:43" x14ac:dyDescent="0.2">
      <c r="AQ17705" s="31"/>
    </row>
    <row r="17706" spans="43:43" x14ac:dyDescent="0.2">
      <c r="AQ17706" s="31"/>
    </row>
    <row r="17707" spans="43:43" x14ac:dyDescent="0.2">
      <c r="AQ17707" s="31"/>
    </row>
    <row r="17708" spans="43:43" x14ac:dyDescent="0.2">
      <c r="AQ17708" s="31"/>
    </row>
    <row r="17709" spans="43:43" x14ac:dyDescent="0.2">
      <c r="AQ17709" s="31"/>
    </row>
    <row r="17710" spans="43:43" x14ac:dyDescent="0.2">
      <c r="AQ17710" s="31"/>
    </row>
    <row r="17711" spans="43:43" x14ac:dyDescent="0.2">
      <c r="AQ17711" s="31"/>
    </row>
    <row r="17712" spans="43:43" x14ac:dyDescent="0.2">
      <c r="AQ17712" s="31"/>
    </row>
    <row r="17713" spans="43:43" x14ac:dyDescent="0.2">
      <c r="AQ17713" s="31"/>
    </row>
    <row r="17714" spans="43:43" x14ac:dyDescent="0.2">
      <c r="AQ17714" s="31"/>
    </row>
    <row r="17715" spans="43:43" x14ac:dyDescent="0.2">
      <c r="AQ17715" s="31"/>
    </row>
    <row r="17716" spans="43:43" x14ac:dyDescent="0.2">
      <c r="AQ17716" s="31"/>
    </row>
    <row r="17717" spans="43:43" x14ac:dyDescent="0.2">
      <c r="AQ17717" s="31"/>
    </row>
    <row r="17718" spans="43:43" x14ac:dyDescent="0.2">
      <c r="AQ17718" s="31"/>
    </row>
    <row r="17719" spans="43:43" x14ac:dyDescent="0.2">
      <c r="AQ17719" s="31"/>
    </row>
    <row r="17720" spans="43:43" x14ac:dyDescent="0.2">
      <c r="AQ17720" s="31"/>
    </row>
    <row r="17721" spans="43:43" x14ac:dyDescent="0.2">
      <c r="AQ17721" s="31"/>
    </row>
    <row r="17722" spans="43:43" x14ac:dyDescent="0.2">
      <c r="AQ17722" s="31"/>
    </row>
    <row r="17723" spans="43:43" x14ac:dyDescent="0.2">
      <c r="AQ17723" s="31"/>
    </row>
    <row r="17724" spans="43:43" x14ac:dyDescent="0.2">
      <c r="AQ17724" s="31"/>
    </row>
    <row r="17725" spans="43:43" x14ac:dyDescent="0.2">
      <c r="AQ17725" s="31"/>
    </row>
    <row r="17726" spans="43:43" x14ac:dyDescent="0.2">
      <c r="AQ17726" s="31"/>
    </row>
    <row r="17727" spans="43:43" x14ac:dyDescent="0.2">
      <c r="AQ17727" s="31"/>
    </row>
    <row r="17728" spans="43:43" x14ac:dyDescent="0.2">
      <c r="AQ17728" s="31"/>
    </row>
    <row r="17729" spans="43:43" x14ac:dyDescent="0.2">
      <c r="AQ17729" s="31"/>
    </row>
    <row r="17730" spans="43:43" x14ac:dyDescent="0.2">
      <c r="AQ17730" s="31"/>
    </row>
    <row r="17731" spans="43:43" x14ac:dyDescent="0.2">
      <c r="AQ17731" s="31"/>
    </row>
    <row r="17732" spans="43:43" x14ac:dyDescent="0.2">
      <c r="AQ17732" s="31"/>
    </row>
    <row r="17733" spans="43:43" x14ac:dyDescent="0.2">
      <c r="AQ17733" s="31"/>
    </row>
    <row r="17734" spans="43:43" x14ac:dyDescent="0.2">
      <c r="AQ17734" s="31"/>
    </row>
    <row r="17735" spans="43:43" x14ac:dyDescent="0.2">
      <c r="AQ17735" s="31"/>
    </row>
    <row r="17736" spans="43:43" x14ac:dyDescent="0.2">
      <c r="AQ17736" s="31"/>
    </row>
    <row r="17737" spans="43:43" x14ac:dyDescent="0.2">
      <c r="AQ17737" s="31"/>
    </row>
    <row r="17738" spans="43:43" x14ac:dyDescent="0.2">
      <c r="AQ17738" s="31"/>
    </row>
    <row r="17739" spans="43:43" x14ac:dyDescent="0.2">
      <c r="AQ17739" s="31"/>
    </row>
    <row r="17740" spans="43:43" x14ac:dyDescent="0.2">
      <c r="AQ17740" s="31"/>
    </row>
    <row r="17741" spans="43:43" x14ac:dyDescent="0.2">
      <c r="AQ17741" s="31"/>
    </row>
    <row r="17742" spans="43:43" x14ac:dyDescent="0.2">
      <c r="AQ17742" s="31"/>
    </row>
    <row r="17743" spans="43:43" x14ac:dyDescent="0.2">
      <c r="AQ17743" s="31"/>
    </row>
    <row r="17744" spans="43:43" x14ac:dyDescent="0.2">
      <c r="AQ17744" s="31"/>
    </row>
    <row r="17745" spans="43:43" x14ac:dyDescent="0.2">
      <c r="AQ17745" s="31"/>
    </row>
    <row r="17746" spans="43:43" x14ac:dyDescent="0.2">
      <c r="AQ17746" s="31"/>
    </row>
    <row r="17747" spans="43:43" x14ac:dyDescent="0.2">
      <c r="AQ17747" s="31"/>
    </row>
    <row r="17748" spans="43:43" x14ac:dyDescent="0.2">
      <c r="AQ17748" s="31"/>
    </row>
    <row r="17749" spans="43:43" x14ac:dyDescent="0.2">
      <c r="AQ17749" s="31"/>
    </row>
    <row r="17750" spans="43:43" x14ac:dyDescent="0.2">
      <c r="AQ17750" s="31"/>
    </row>
    <row r="17751" spans="43:43" x14ac:dyDescent="0.2">
      <c r="AQ17751" s="31"/>
    </row>
    <row r="17752" spans="43:43" x14ac:dyDescent="0.2">
      <c r="AQ17752" s="31"/>
    </row>
    <row r="17753" spans="43:43" x14ac:dyDescent="0.2">
      <c r="AQ17753" s="31"/>
    </row>
    <row r="17754" spans="43:43" x14ac:dyDescent="0.2">
      <c r="AQ17754" s="31"/>
    </row>
    <row r="17755" spans="43:43" x14ac:dyDescent="0.2">
      <c r="AQ17755" s="31"/>
    </row>
    <row r="17756" spans="43:43" x14ac:dyDescent="0.2">
      <c r="AQ17756" s="31"/>
    </row>
    <row r="17757" spans="43:43" x14ac:dyDescent="0.2">
      <c r="AQ17757" s="31"/>
    </row>
    <row r="17758" spans="43:43" x14ac:dyDescent="0.2">
      <c r="AQ17758" s="31"/>
    </row>
    <row r="17759" spans="43:43" x14ac:dyDescent="0.2">
      <c r="AQ17759" s="31"/>
    </row>
    <row r="17760" spans="43:43" x14ac:dyDescent="0.2">
      <c r="AQ17760" s="31"/>
    </row>
    <row r="17761" spans="43:43" x14ac:dyDescent="0.2">
      <c r="AQ17761" s="31"/>
    </row>
    <row r="17762" spans="43:43" x14ac:dyDescent="0.2">
      <c r="AQ17762" s="31"/>
    </row>
    <row r="17763" spans="43:43" x14ac:dyDescent="0.2">
      <c r="AQ17763" s="31"/>
    </row>
    <row r="17764" spans="43:43" x14ac:dyDescent="0.2">
      <c r="AQ17764" s="31"/>
    </row>
    <row r="17765" spans="43:43" x14ac:dyDescent="0.2">
      <c r="AQ17765" s="31"/>
    </row>
    <row r="17766" spans="43:43" x14ac:dyDescent="0.2">
      <c r="AQ17766" s="31"/>
    </row>
    <row r="17767" spans="43:43" x14ac:dyDescent="0.2">
      <c r="AQ17767" s="31"/>
    </row>
    <row r="17768" spans="43:43" x14ac:dyDescent="0.2">
      <c r="AQ17768" s="31"/>
    </row>
    <row r="17769" spans="43:43" x14ac:dyDescent="0.2">
      <c r="AQ17769" s="31"/>
    </row>
    <row r="17770" spans="43:43" x14ac:dyDescent="0.2">
      <c r="AQ17770" s="31"/>
    </row>
    <row r="17771" spans="43:43" x14ac:dyDescent="0.2">
      <c r="AQ17771" s="31"/>
    </row>
    <row r="17772" spans="43:43" x14ac:dyDescent="0.2">
      <c r="AQ17772" s="31"/>
    </row>
    <row r="17773" spans="43:43" x14ac:dyDescent="0.2">
      <c r="AQ17773" s="31"/>
    </row>
    <row r="17774" spans="43:43" x14ac:dyDescent="0.2">
      <c r="AQ17774" s="31"/>
    </row>
    <row r="17775" spans="43:43" x14ac:dyDescent="0.2">
      <c r="AQ17775" s="31"/>
    </row>
    <row r="17776" spans="43:43" x14ac:dyDescent="0.2">
      <c r="AQ17776" s="31"/>
    </row>
    <row r="17777" spans="43:43" x14ac:dyDescent="0.2">
      <c r="AQ17777" s="31"/>
    </row>
    <row r="17778" spans="43:43" x14ac:dyDescent="0.2">
      <c r="AQ17778" s="31"/>
    </row>
    <row r="17779" spans="43:43" x14ac:dyDescent="0.2">
      <c r="AQ17779" s="31"/>
    </row>
    <row r="17780" spans="43:43" x14ac:dyDescent="0.2">
      <c r="AQ17780" s="31"/>
    </row>
    <row r="17781" spans="43:43" x14ac:dyDescent="0.2">
      <c r="AQ17781" s="31"/>
    </row>
    <row r="17782" spans="43:43" x14ac:dyDescent="0.2">
      <c r="AQ17782" s="31"/>
    </row>
    <row r="17783" spans="43:43" x14ac:dyDescent="0.2">
      <c r="AQ17783" s="31"/>
    </row>
    <row r="17784" spans="43:43" x14ac:dyDescent="0.2">
      <c r="AQ17784" s="31"/>
    </row>
    <row r="17785" spans="43:43" x14ac:dyDescent="0.2">
      <c r="AQ17785" s="31"/>
    </row>
    <row r="17786" spans="43:43" x14ac:dyDescent="0.2">
      <c r="AQ17786" s="31"/>
    </row>
    <row r="17787" spans="43:43" x14ac:dyDescent="0.2">
      <c r="AQ17787" s="31"/>
    </row>
    <row r="17788" spans="43:43" x14ac:dyDescent="0.2">
      <c r="AQ17788" s="31"/>
    </row>
    <row r="17789" spans="43:43" x14ac:dyDescent="0.2">
      <c r="AQ17789" s="31"/>
    </row>
    <row r="17790" spans="43:43" x14ac:dyDescent="0.2">
      <c r="AQ17790" s="31"/>
    </row>
    <row r="17791" spans="43:43" x14ac:dyDescent="0.2">
      <c r="AQ17791" s="31"/>
    </row>
    <row r="17792" spans="43:43" x14ac:dyDescent="0.2">
      <c r="AQ17792" s="31"/>
    </row>
    <row r="17793" spans="43:43" x14ac:dyDescent="0.2">
      <c r="AQ17793" s="31"/>
    </row>
    <row r="17794" spans="43:43" x14ac:dyDescent="0.2">
      <c r="AQ17794" s="31"/>
    </row>
    <row r="17795" spans="43:43" x14ac:dyDescent="0.2">
      <c r="AQ17795" s="31"/>
    </row>
    <row r="17796" spans="43:43" x14ac:dyDescent="0.2">
      <c r="AQ17796" s="31"/>
    </row>
    <row r="17797" spans="43:43" x14ac:dyDescent="0.2">
      <c r="AQ17797" s="31"/>
    </row>
    <row r="17798" spans="43:43" x14ac:dyDescent="0.2">
      <c r="AQ17798" s="31"/>
    </row>
    <row r="17799" spans="43:43" x14ac:dyDescent="0.2">
      <c r="AQ17799" s="31"/>
    </row>
    <row r="17800" spans="43:43" x14ac:dyDescent="0.2">
      <c r="AQ17800" s="31"/>
    </row>
    <row r="17801" spans="43:43" x14ac:dyDescent="0.2">
      <c r="AQ17801" s="31"/>
    </row>
    <row r="17802" spans="43:43" x14ac:dyDescent="0.2">
      <c r="AQ17802" s="31"/>
    </row>
    <row r="17803" spans="43:43" x14ac:dyDescent="0.2">
      <c r="AQ17803" s="31"/>
    </row>
    <row r="17804" spans="43:43" x14ac:dyDescent="0.2">
      <c r="AQ17804" s="31"/>
    </row>
    <row r="17805" spans="43:43" x14ac:dyDescent="0.2">
      <c r="AQ17805" s="31"/>
    </row>
    <row r="17806" spans="43:43" x14ac:dyDescent="0.2">
      <c r="AQ17806" s="31"/>
    </row>
    <row r="17807" spans="43:43" x14ac:dyDescent="0.2">
      <c r="AQ17807" s="31"/>
    </row>
    <row r="17808" spans="43:43" x14ac:dyDescent="0.2">
      <c r="AQ17808" s="31"/>
    </row>
    <row r="17809" spans="43:43" x14ac:dyDescent="0.2">
      <c r="AQ17809" s="31"/>
    </row>
    <row r="17810" spans="43:43" x14ac:dyDescent="0.2">
      <c r="AQ17810" s="31"/>
    </row>
    <row r="17811" spans="43:43" x14ac:dyDescent="0.2">
      <c r="AQ17811" s="31"/>
    </row>
    <row r="17812" spans="43:43" x14ac:dyDescent="0.2">
      <c r="AQ17812" s="31"/>
    </row>
    <row r="17813" spans="43:43" x14ac:dyDescent="0.2">
      <c r="AQ17813" s="31"/>
    </row>
    <row r="17814" spans="43:43" x14ac:dyDescent="0.2">
      <c r="AQ17814" s="31"/>
    </row>
    <row r="17815" spans="43:43" x14ac:dyDescent="0.2">
      <c r="AQ17815" s="31"/>
    </row>
    <row r="17816" spans="43:43" x14ac:dyDescent="0.2">
      <c r="AQ17816" s="31"/>
    </row>
    <row r="17817" spans="43:43" x14ac:dyDescent="0.2">
      <c r="AQ17817" s="31"/>
    </row>
    <row r="17818" spans="43:43" x14ac:dyDescent="0.2">
      <c r="AQ17818" s="31"/>
    </row>
    <row r="17819" spans="43:43" x14ac:dyDescent="0.2">
      <c r="AQ17819" s="31"/>
    </row>
    <row r="17820" spans="43:43" x14ac:dyDescent="0.2">
      <c r="AQ17820" s="31"/>
    </row>
    <row r="17821" spans="43:43" x14ac:dyDescent="0.2">
      <c r="AQ17821" s="31"/>
    </row>
    <row r="17822" spans="43:43" x14ac:dyDescent="0.2">
      <c r="AQ17822" s="31"/>
    </row>
    <row r="17823" spans="43:43" x14ac:dyDescent="0.2">
      <c r="AQ17823" s="31"/>
    </row>
    <row r="17824" spans="43:43" x14ac:dyDescent="0.2">
      <c r="AQ17824" s="31"/>
    </row>
    <row r="17825" spans="43:43" x14ac:dyDescent="0.2">
      <c r="AQ17825" s="31"/>
    </row>
    <row r="17826" spans="43:43" x14ac:dyDescent="0.2">
      <c r="AQ17826" s="31"/>
    </row>
    <row r="17827" spans="43:43" x14ac:dyDescent="0.2">
      <c r="AQ17827" s="31"/>
    </row>
    <row r="17828" spans="43:43" x14ac:dyDescent="0.2">
      <c r="AQ17828" s="31"/>
    </row>
    <row r="17829" spans="43:43" x14ac:dyDescent="0.2">
      <c r="AQ17829" s="31"/>
    </row>
    <row r="17830" spans="43:43" x14ac:dyDescent="0.2">
      <c r="AQ17830" s="31"/>
    </row>
    <row r="17831" spans="43:43" x14ac:dyDescent="0.2">
      <c r="AQ17831" s="31"/>
    </row>
    <row r="17832" spans="43:43" x14ac:dyDescent="0.2">
      <c r="AQ17832" s="31"/>
    </row>
    <row r="17833" spans="43:43" x14ac:dyDescent="0.2">
      <c r="AQ17833" s="31"/>
    </row>
    <row r="17834" spans="43:43" x14ac:dyDescent="0.2">
      <c r="AQ17834" s="31"/>
    </row>
    <row r="17835" spans="43:43" x14ac:dyDescent="0.2">
      <c r="AQ17835" s="31"/>
    </row>
    <row r="17836" spans="43:43" x14ac:dyDescent="0.2">
      <c r="AQ17836" s="31"/>
    </row>
    <row r="17837" spans="43:43" x14ac:dyDescent="0.2">
      <c r="AQ17837" s="31"/>
    </row>
    <row r="17838" spans="43:43" x14ac:dyDescent="0.2">
      <c r="AQ17838" s="31"/>
    </row>
    <row r="17839" spans="43:43" x14ac:dyDescent="0.2">
      <c r="AQ17839" s="31"/>
    </row>
    <row r="17840" spans="43:43" x14ac:dyDescent="0.2">
      <c r="AQ17840" s="31"/>
    </row>
    <row r="17841" spans="43:43" x14ac:dyDescent="0.2">
      <c r="AQ17841" s="31"/>
    </row>
    <row r="17842" spans="43:43" x14ac:dyDescent="0.2">
      <c r="AQ17842" s="31"/>
    </row>
    <row r="17843" spans="43:43" x14ac:dyDescent="0.2">
      <c r="AQ17843" s="31"/>
    </row>
    <row r="17844" spans="43:43" x14ac:dyDescent="0.2">
      <c r="AQ17844" s="31"/>
    </row>
    <row r="17845" spans="43:43" x14ac:dyDescent="0.2">
      <c r="AQ17845" s="31"/>
    </row>
    <row r="17846" spans="43:43" x14ac:dyDescent="0.2">
      <c r="AQ17846" s="31"/>
    </row>
    <row r="17847" spans="43:43" x14ac:dyDescent="0.2">
      <c r="AQ17847" s="31"/>
    </row>
    <row r="17848" spans="43:43" x14ac:dyDescent="0.2">
      <c r="AQ17848" s="31"/>
    </row>
    <row r="17849" spans="43:43" x14ac:dyDescent="0.2">
      <c r="AQ17849" s="31"/>
    </row>
    <row r="17850" spans="43:43" x14ac:dyDescent="0.2">
      <c r="AQ17850" s="31"/>
    </row>
    <row r="17851" spans="43:43" x14ac:dyDescent="0.2">
      <c r="AQ17851" s="31"/>
    </row>
    <row r="17852" spans="43:43" x14ac:dyDescent="0.2">
      <c r="AQ17852" s="31"/>
    </row>
    <row r="17853" spans="43:43" x14ac:dyDescent="0.2">
      <c r="AQ17853" s="31"/>
    </row>
    <row r="17854" spans="43:43" x14ac:dyDescent="0.2">
      <c r="AQ17854" s="31"/>
    </row>
    <row r="17855" spans="43:43" x14ac:dyDescent="0.2">
      <c r="AQ17855" s="31"/>
    </row>
    <row r="17856" spans="43:43" x14ac:dyDescent="0.2">
      <c r="AQ17856" s="31"/>
    </row>
    <row r="17857" spans="43:43" x14ac:dyDescent="0.2">
      <c r="AQ17857" s="31"/>
    </row>
    <row r="17858" spans="43:43" x14ac:dyDescent="0.2">
      <c r="AQ17858" s="31"/>
    </row>
    <row r="17859" spans="43:43" x14ac:dyDescent="0.2">
      <c r="AQ17859" s="31"/>
    </row>
    <row r="17860" spans="43:43" x14ac:dyDescent="0.2">
      <c r="AQ17860" s="31"/>
    </row>
    <row r="17861" spans="43:43" x14ac:dyDescent="0.2">
      <c r="AQ17861" s="31"/>
    </row>
    <row r="17862" spans="43:43" x14ac:dyDescent="0.2">
      <c r="AQ17862" s="31"/>
    </row>
    <row r="17863" spans="43:43" x14ac:dyDescent="0.2">
      <c r="AQ17863" s="31"/>
    </row>
    <row r="17864" spans="43:43" x14ac:dyDescent="0.2">
      <c r="AQ17864" s="31"/>
    </row>
    <row r="17865" spans="43:43" x14ac:dyDescent="0.2">
      <c r="AQ17865" s="31"/>
    </row>
    <row r="17866" spans="43:43" x14ac:dyDescent="0.2">
      <c r="AQ17866" s="31"/>
    </row>
    <row r="17867" spans="43:43" x14ac:dyDescent="0.2">
      <c r="AQ17867" s="31"/>
    </row>
    <row r="17868" spans="43:43" x14ac:dyDescent="0.2">
      <c r="AQ17868" s="31"/>
    </row>
    <row r="17869" spans="43:43" x14ac:dyDescent="0.2">
      <c r="AQ17869" s="31"/>
    </row>
    <row r="17870" spans="43:43" x14ac:dyDescent="0.2">
      <c r="AQ17870" s="31"/>
    </row>
    <row r="17871" spans="43:43" x14ac:dyDescent="0.2">
      <c r="AQ17871" s="31"/>
    </row>
    <row r="17872" spans="43:43" x14ac:dyDescent="0.2">
      <c r="AQ17872" s="31"/>
    </row>
    <row r="17873" spans="43:43" x14ac:dyDescent="0.2">
      <c r="AQ17873" s="31"/>
    </row>
    <row r="17874" spans="43:43" x14ac:dyDescent="0.2">
      <c r="AQ17874" s="31"/>
    </row>
    <row r="17875" spans="43:43" x14ac:dyDescent="0.2">
      <c r="AQ17875" s="31"/>
    </row>
    <row r="17876" spans="43:43" x14ac:dyDescent="0.2">
      <c r="AQ17876" s="31"/>
    </row>
    <row r="17877" spans="43:43" x14ac:dyDescent="0.2">
      <c r="AQ17877" s="31"/>
    </row>
    <row r="17878" spans="43:43" x14ac:dyDescent="0.2">
      <c r="AQ17878" s="31"/>
    </row>
    <row r="17879" spans="43:43" x14ac:dyDescent="0.2">
      <c r="AQ17879" s="31"/>
    </row>
    <row r="17880" spans="43:43" x14ac:dyDescent="0.2">
      <c r="AQ17880" s="31"/>
    </row>
    <row r="17881" spans="43:43" x14ac:dyDescent="0.2">
      <c r="AQ17881" s="31"/>
    </row>
    <row r="17882" spans="43:43" x14ac:dyDescent="0.2">
      <c r="AQ17882" s="31"/>
    </row>
    <row r="17883" spans="43:43" x14ac:dyDescent="0.2">
      <c r="AQ17883" s="31"/>
    </row>
    <row r="17884" spans="43:43" x14ac:dyDescent="0.2">
      <c r="AQ17884" s="31"/>
    </row>
    <row r="17885" spans="43:43" x14ac:dyDescent="0.2">
      <c r="AQ17885" s="31"/>
    </row>
    <row r="17886" spans="43:43" x14ac:dyDescent="0.2">
      <c r="AQ17886" s="31"/>
    </row>
    <row r="17887" spans="43:43" x14ac:dyDescent="0.2">
      <c r="AQ17887" s="31"/>
    </row>
    <row r="17888" spans="43:43" x14ac:dyDescent="0.2">
      <c r="AQ17888" s="31"/>
    </row>
    <row r="17889" spans="43:43" x14ac:dyDescent="0.2">
      <c r="AQ17889" s="31"/>
    </row>
    <row r="17890" spans="43:43" x14ac:dyDescent="0.2">
      <c r="AQ17890" s="31"/>
    </row>
    <row r="17891" spans="43:43" x14ac:dyDescent="0.2">
      <c r="AQ17891" s="31"/>
    </row>
    <row r="17892" spans="43:43" x14ac:dyDescent="0.2">
      <c r="AQ17892" s="31"/>
    </row>
    <row r="17893" spans="43:43" x14ac:dyDescent="0.2">
      <c r="AQ17893" s="31"/>
    </row>
    <row r="17894" spans="43:43" x14ac:dyDescent="0.2">
      <c r="AQ17894" s="31"/>
    </row>
    <row r="17895" spans="43:43" x14ac:dyDescent="0.2">
      <c r="AQ17895" s="31"/>
    </row>
    <row r="17896" spans="43:43" x14ac:dyDescent="0.2">
      <c r="AQ17896" s="31"/>
    </row>
    <row r="17897" spans="43:43" x14ac:dyDescent="0.2">
      <c r="AQ17897" s="31"/>
    </row>
    <row r="17898" spans="43:43" x14ac:dyDescent="0.2">
      <c r="AQ17898" s="31"/>
    </row>
    <row r="17899" spans="43:43" x14ac:dyDescent="0.2">
      <c r="AQ17899" s="31"/>
    </row>
    <row r="17900" spans="43:43" x14ac:dyDescent="0.2">
      <c r="AQ17900" s="31"/>
    </row>
    <row r="17901" spans="43:43" x14ac:dyDescent="0.2">
      <c r="AQ17901" s="31"/>
    </row>
    <row r="17902" spans="43:43" x14ac:dyDescent="0.2">
      <c r="AQ17902" s="31"/>
    </row>
    <row r="17903" spans="43:43" x14ac:dyDescent="0.2">
      <c r="AQ17903" s="31"/>
    </row>
    <row r="17904" spans="43:43" x14ac:dyDescent="0.2">
      <c r="AQ17904" s="31"/>
    </row>
    <row r="17905" spans="43:43" x14ac:dyDescent="0.2">
      <c r="AQ17905" s="31"/>
    </row>
    <row r="17906" spans="43:43" x14ac:dyDescent="0.2">
      <c r="AQ17906" s="31"/>
    </row>
    <row r="17907" spans="43:43" x14ac:dyDescent="0.2">
      <c r="AQ17907" s="31"/>
    </row>
    <row r="17908" spans="43:43" x14ac:dyDescent="0.2">
      <c r="AQ17908" s="31"/>
    </row>
    <row r="17909" spans="43:43" x14ac:dyDescent="0.2">
      <c r="AQ17909" s="31"/>
    </row>
    <row r="17910" spans="43:43" x14ac:dyDescent="0.2">
      <c r="AQ17910" s="31"/>
    </row>
    <row r="17911" spans="43:43" x14ac:dyDescent="0.2">
      <c r="AQ17911" s="31"/>
    </row>
    <row r="17912" spans="43:43" x14ac:dyDescent="0.2">
      <c r="AQ17912" s="31"/>
    </row>
    <row r="17913" spans="43:43" x14ac:dyDescent="0.2">
      <c r="AQ17913" s="31"/>
    </row>
    <row r="17914" spans="43:43" x14ac:dyDescent="0.2">
      <c r="AQ17914" s="31"/>
    </row>
    <row r="17915" spans="43:43" x14ac:dyDescent="0.2">
      <c r="AQ17915" s="31"/>
    </row>
    <row r="17916" spans="43:43" x14ac:dyDescent="0.2">
      <c r="AQ17916" s="31"/>
    </row>
    <row r="17917" spans="43:43" x14ac:dyDescent="0.2">
      <c r="AQ17917" s="31"/>
    </row>
    <row r="17918" spans="43:43" x14ac:dyDescent="0.2">
      <c r="AQ17918" s="31"/>
    </row>
    <row r="17919" spans="43:43" x14ac:dyDescent="0.2">
      <c r="AQ17919" s="31"/>
    </row>
    <row r="17920" spans="43:43" x14ac:dyDescent="0.2">
      <c r="AQ17920" s="31"/>
    </row>
    <row r="17921" spans="43:43" x14ac:dyDescent="0.2">
      <c r="AQ17921" s="31"/>
    </row>
    <row r="17922" spans="43:43" x14ac:dyDescent="0.2">
      <c r="AQ17922" s="31"/>
    </row>
    <row r="17923" spans="43:43" x14ac:dyDescent="0.2">
      <c r="AQ17923" s="31"/>
    </row>
    <row r="17924" spans="43:43" x14ac:dyDescent="0.2">
      <c r="AQ17924" s="31"/>
    </row>
    <row r="17925" spans="43:43" x14ac:dyDescent="0.2">
      <c r="AQ17925" s="31"/>
    </row>
    <row r="17926" spans="43:43" x14ac:dyDescent="0.2">
      <c r="AQ17926" s="31"/>
    </row>
    <row r="17927" spans="43:43" x14ac:dyDescent="0.2">
      <c r="AQ17927" s="31"/>
    </row>
    <row r="17928" spans="43:43" x14ac:dyDescent="0.2">
      <c r="AQ17928" s="31"/>
    </row>
    <row r="17929" spans="43:43" x14ac:dyDescent="0.2">
      <c r="AQ17929" s="31"/>
    </row>
    <row r="17930" spans="43:43" x14ac:dyDescent="0.2">
      <c r="AQ17930" s="31"/>
    </row>
    <row r="17931" spans="43:43" x14ac:dyDescent="0.2">
      <c r="AQ17931" s="31"/>
    </row>
    <row r="17932" spans="43:43" x14ac:dyDescent="0.2">
      <c r="AQ17932" s="31"/>
    </row>
    <row r="17933" spans="43:43" x14ac:dyDescent="0.2">
      <c r="AQ17933" s="31"/>
    </row>
    <row r="17934" spans="43:43" x14ac:dyDescent="0.2">
      <c r="AQ17934" s="31"/>
    </row>
    <row r="17935" spans="43:43" x14ac:dyDescent="0.2">
      <c r="AQ17935" s="31"/>
    </row>
    <row r="17936" spans="43:43" x14ac:dyDescent="0.2">
      <c r="AQ17936" s="31"/>
    </row>
    <row r="17937" spans="43:43" x14ac:dyDescent="0.2">
      <c r="AQ17937" s="31"/>
    </row>
    <row r="17938" spans="43:43" x14ac:dyDescent="0.2">
      <c r="AQ17938" s="31"/>
    </row>
    <row r="17939" spans="43:43" x14ac:dyDescent="0.2">
      <c r="AQ17939" s="31"/>
    </row>
    <row r="17940" spans="43:43" x14ac:dyDescent="0.2">
      <c r="AQ17940" s="31"/>
    </row>
    <row r="17941" spans="43:43" x14ac:dyDescent="0.2">
      <c r="AQ17941" s="31"/>
    </row>
    <row r="17942" spans="43:43" x14ac:dyDescent="0.2">
      <c r="AQ17942" s="31"/>
    </row>
    <row r="17943" spans="43:43" x14ac:dyDescent="0.2">
      <c r="AQ17943" s="31"/>
    </row>
    <row r="17944" spans="43:43" x14ac:dyDescent="0.2">
      <c r="AQ17944" s="31"/>
    </row>
    <row r="17945" spans="43:43" x14ac:dyDescent="0.2">
      <c r="AQ17945" s="31"/>
    </row>
    <row r="17946" spans="43:43" x14ac:dyDescent="0.2">
      <c r="AQ17946" s="31"/>
    </row>
    <row r="17947" spans="43:43" x14ac:dyDescent="0.2">
      <c r="AQ17947" s="31"/>
    </row>
    <row r="17948" spans="43:43" x14ac:dyDescent="0.2">
      <c r="AQ17948" s="31"/>
    </row>
    <row r="17949" spans="43:43" x14ac:dyDescent="0.2">
      <c r="AQ17949" s="31"/>
    </row>
    <row r="17950" spans="43:43" x14ac:dyDescent="0.2">
      <c r="AQ17950" s="31"/>
    </row>
    <row r="17951" spans="43:43" x14ac:dyDescent="0.2">
      <c r="AQ17951" s="31"/>
    </row>
    <row r="17952" spans="43:43" x14ac:dyDescent="0.2">
      <c r="AQ17952" s="31"/>
    </row>
    <row r="17953" spans="43:43" x14ac:dyDescent="0.2">
      <c r="AQ17953" s="31"/>
    </row>
    <row r="17954" spans="43:43" x14ac:dyDescent="0.2">
      <c r="AQ17954" s="31"/>
    </row>
    <row r="17955" spans="43:43" x14ac:dyDescent="0.2">
      <c r="AQ17955" s="31"/>
    </row>
    <row r="17956" spans="43:43" x14ac:dyDescent="0.2">
      <c r="AQ17956" s="31"/>
    </row>
    <row r="17957" spans="43:43" x14ac:dyDescent="0.2">
      <c r="AQ17957" s="31"/>
    </row>
    <row r="17958" spans="43:43" x14ac:dyDescent="0.2">
      <c r="AQ17958" s="31"/>
    </row>
    <row r="17959" spans="43:43" x14ac:dyDescent="0.2">
      <c r="AQ17959" s="31"/>
    </row>
    <row r="17960" spans="43:43" x14ac:dyDescent="0.2">
      <c r="AQ17960" s="31"/>
    </row>
    <row r="17961" spans="43:43" x14ac:dyDescent="0.2">
      <c r="AQ17961" s="31"/>
    </row>
    <row r="17962" spans="43:43" x14ac:dyDescent="0.2">
      <c r="AQ17962" s="31"/>
    </row>
    <row r="17963" spans="43:43" x14ac:dyDescent="0.2">
      <c r="AQ17963" s="31"/>
    </row>
    <row r="17964" spans="43:43" x14ac:dyDescent="0.2">
      <c r="AQ17964" s="31"/>
    </row>
    <row r="17965" spans="43:43" x14ac:dyDescent="0.2">
      <c r="AQ17965" s="31"/>
    </row>
    <row r="17966" spans="43:43" x14ac:dyDescent="0.2">
      <c r="AQ17966" s="31"/>
    </row>
    <row r="17967" spans="43:43" x14ac:dyDescent="0.2">
      <c r="AQ17967" s="31"/>
    </row>
    <row r="17968" spans="43:43" x14ac:dyDescent="0.2">
      <c r="AQ17968" s="31"/>
    </row>
    <row r="17969" spans="43:43" x14ac:dyDescent="0.2">
      <c r="AQ17969" s="31"/>
    </row>
    <row r="17970" spans="43:43" x14ac:dyDescent="0.2">
      <c r="AQ17970" s="31"/>
    </row>
    <row r="17971" spans="43:43" x14ac:dyDescent="0.2">
      <c r="AQ17971" s="31"/>
    </row>
    <row r="17972" spans="43:43" x14ac:dyDescent="0.2">
      <c r="AQ17972" s="31"/>
    </row>
    <row r="17973" spans="43:43" x14ac:dyDescent="0.2">
      <c r="AQ17973" s="31"/>
    </row>
    <row r="17974" spans="43:43" x14ac:dyDescent="0.2">
      <c r="AQ17974" s="31"/>
    </row>
    <row r="17975" spans="43:43" x14ac:dyDescent="0.2">
      <c r="AQ17975" s="31"/>
    </row>
    <row r="17976" spans="43:43" x14ac:dyDescent="0.2">
      <c r="AQ17976" s="31"/>
    </row>
    <row r="17977" spans="43:43" x14ac:dyDescent="0.2">
      <c r="AQ17977" s="31"/>
    </row>
    <row r="17978" spans="43:43" x14ac:dyDescent="0.2">
      <c r="AQ17978" s="31"/>
    </row>
    <row r="17979" spans="43:43" x14ac:dyDescent="0.2">
      <c r="AQ17979" s="31"/>
    </row>
    <row r="17980" spans="43:43" x14ac:dyDescent="0.2">
      <c r="AQ17980" s="31"/>
    </row>
    <row r="17981" spans="43:43" x14ac:dyDescent="0.2">
      <c r="AQ17981" s="31"/>
    </row>
    <row r="17982" spans="43:43" x14ac:dyDescent="0.2">
      <c r="AQ17982" s="31"/>
    </row>
    <row r="17983" spans="43:43" x14ac:dyDescent="0.2">
      <c r="AQ17983" s="31"/>
    </row>
    <row r="17984" spans="43:43" x14ac:dyDescent="0.2">
      <c r="AQ17984" s="31"/>
    </row>
    <row r="17985" spans="43:43" x14ac:dyDescent="0.2">
      <c r="AQ17985" s="31"/>
    </row>
    <row r="17986" spans="43:43" x14ac:dyDescent="0.2">
      <c r="AQ17986" s="31"/>
    </row>
    <row r="17987" spans="43:43" x14ac:dyDescent="0.2">
      <c r="AQ17987" s="31"/>
    </row>
    <row r="17988" spans="43:43" x14ac:dyDescent="0.2">
      <c r="AQ17988" s="31"/>
    </row>
    <row r="17989" spans="43:43" x14ac:dyDescent="0.2">
      <c r="AQ17989" s="31"/>
    </row>
    <row r="17990" spans="43:43" x14ac:dyDescent="0.2">
      <c r="AQ17990" s="31"/>
    </row>
    <row r="17991" spans="43:43" x14ac:dyDescent="0.2">
      <c r="AQ17991" s="31"/>
    </row>
    <row r="17992" spans="43:43" x14ac:dyDescent="0.2">
      <c r="AQ17992" s="31"/>
    </row>
    <row r="17993" spans="43:43" x14ac:dyDescent="0.2">
      <c r="AQ17993" s="31"/>
    </row>
    <row r="17994" spans="43:43" x14ac:dyDescent="0.2">
      <c r="AQ17994" s="31"/>
    </row>
    <row r="17995" spans="43:43" x14ac:dyDescent="0.2">
      <c r="AQ17995" s="31"/>
    </row>
    <row r="17996" spans="43:43" x14ac:dyDescent="0.2">
      <c r="AQ17996" s="31"/>
    </row>
    <row r="17997" spans="43:43" x14ac:dyDescent="0.2">
      <c r="AQ17997" s="31"/>
    </row>
    <row r="17998" spans="43:43" x14ac:dyDescent="0.2">
      <c r="AQ17998" s="31"/>
    </row>
    <row r="17999" spans="43:43" x14ac:dyDescent="0.2">
      <c r="AQ17999" s="31"/>
    </row>
    <row r="18000" spans="43:43" x14ac:dyDescent="0.2">
      <c r="AQ18000" s="31"/>
    </row>
    <row r="18001" spans="43:43" x14ac:dyDescent="0.2">
      <c r="AQ18001" s="31"/>
    </row>
    <row r="18002" spans="43:43" x14ac:dyDescent="0.2">
      <c r="AQ18002" s="31"/>
    </row>
    <row r="18003" spans="43:43" x14ac:dyDescent="0.2">
      <c r="AQ18003" s="31"/>
    </row>
    <row r="18004" spans="43:43" x14ac:dyDescent="0.2">
      <c r="AQ18004" s="31"/>
    </row>
    <row r="18005" spans="43:43" x14ac:dyDescent="0.2">
      <c r="AQ18005" s="31"/>
    </row>
    <row r="18006" spans="43:43" x14ac:dyDescent="0.2">
      <c r="AQ18006" s="31"/>
    </row>
    <row r="18007" spans="43:43" x14ac:dyDescent="0.2">
      <c r="AQ18007" s="31"/>
    </row>
    <row r="18008" spans="43:43" x14ac:dyDescent="0.2">
      <c r="AQ18008" s="31"/>
    </row>
    <row r="18009" spans="43:43" x14ac:dyDescent="0.2">
      <c r="AQ18009" s="31"/>
    </row>
    <row r="18010" spans="43:43" x14ac:dyDescent="0.2">
      <c r="AQ18010" s="31"/>
    </row>
    <row r="18011" spans="43:43" x14ac:dyDescent="0.2">
      <c r="AQ18011" s="31"/>
    </row>
    <row r="18012" spans="43:43" x14ac:dyDescent="0.2">
      <c r="AQ18012" s="31"/>
    </row>
    <row r="18013" spans="43:43" x14ac:dyDescent="0.2">
      <c r="AQ18013" s="31"/>
    </row>
    <row r="18014" spans="43:43" x14ac:dyDescent="0.2">
      <c r="AQ18014" s="31"/>
    </row>
    <row r="18015" spans="43:43" x14ac:dyDescent="0.2">
      <c r="AQ18015" s="31"/>
    </row>
    <row r="18016" spans="43:43" x14ac:dyDescent="0.2">
      <c r="AQ18016" s="31"/>
    </row>
    <row r="18017" spans="43:43" x14ac:dyDescent="0.2">
      <c r="AQ18017" s="31"/>
    </row>
    <row r="18018" spans="43:43" x14ac:dyDescent="0.2">
      <c r="AQ18018" s="31"/>
    </row>
    <row r="18019" spans="43:43" x14ac:dyDescent="0.2">
      <c r="AQ18019" s="31"/>
    </row>
    <row r="18020" spans="43:43" x14ac:dyDescent="0.2">
      <c r="AQ18020" s="31"/>
    </row>
    <row r="18021" spans="43:43" x14ac:dyDescent="0.2">
      <c r="AQ18021" s="31"/>
    </row>
    <row r="18022" spans="43:43" x14ac:dyDescent="0.2">
      <c r="AQ18022" s="31"/>
    </row>
    <row r="18023" spans="43:43" x14ac:dyDescent="0.2">
      <c r="AQ18023" s="31"/>
    </row>
    <row r="18024" spans="43:43" x14ac:dyDescent="0.2">
      <c r="AQ18024" s="31"/>
    </row>
    <row r="18025" spans="43:43" x14ac:dyDescent="0.2">
      <c r="AQ18025" s="31"/>
    </row>
    <row r="18026" spans="43:43" x14ac:dyDescent="0.2">
      <c r="AQ18026" s="31"/>
    </row>
    <row r="18027" spans="43:43" x14ac:dyDescent="0.2">
      <c r="AQ18027" s="31"/>
    </row>
    <row r="18028" spans="43:43" x14ac:dyDescent="0.2">
      <c r="AQ18028" s="31"/>
    </row>
    <row r="18029" spans="43:43" x14ac:dyDescent="0.2">
      <c r="AQ18029" s="31"/>
    </row>
    <row r="18030" spans="43:43" x14ac:dyDescent="0.2">
      <c r="AQ18030" s="31"/>
    </row>
    <row r="18031" spans="43:43" x14ac:dyDescent="0.2">
      <c r="AQ18031" s="31"/>
    </row>
    <row r="18032" spans="43:43" x14ac:dyDescent="0.2">
      <c r="AQ18032" s="31"/>
    </row>
    <row r="18033" spans="43:43" x14ac:dyDescent="0.2">
      <c r="AQ18033" s="31"/>
    </row>
    <row r="18034" spans="43:43" x14ac:dyDescent="0.2">
      <c r="AQ18034" s="31"/>
    </row>
    <row r="18035" spans="43:43" x14ac:dyDescent="0.2">
      <c r="AQ18035" s="31"/>
    </row>
    <row r="18036" spans="43:43" x14ac:dyDescent="0.2">
      <c r="AQ18036" s="31"/>
    </row>
    <row r="18037" spans="43:43" x14ac:dyDescent="0.2">
      <c r="AQ18037" s="31"/>
    </row>
    <row r="18038" spans="43:43" x14ac:dyDescent="0.2">
      <c r="AQ18038" s="31"/>
    </row>
    <row r="18039" spans="43:43" x14ac:dyDescent="0.2">
      <c r="AQ18039" s="31"/>
    </row>
    <row r="18040" spans="43:43" x14ac:dyDescent="0.2">
      <c r="AQ18040" s="31"/>
    </row>
    <row r="18041" spans="43:43" x14ac:dyDescent="0.2">
      <c r="AQ18041" s="31"/>
    </row>
    <row r="18042" spans="43:43" x14ac:dyDescent="0.2">
      <c r="AQ18042" s="31"/>
    </row>
    <row r="18043" spans="43:43" x14ac:dyDescent="0.2">
      <c r="AQ18043" s="31"/>
    </row>
    <row r="18044" spans="43:43" x14ac:dyDescent="0.2">
      <c r="AQ18044" s="31"/>
    </row>
    <row r="18045" spans="43:43" x14ac:dyDescent="0.2">
      <c r="AQ18045" s="31"/>
    </row>
    <row r="18046" spans="43:43" x14ac:dyDescent="0.2">
      <c r="AQ18046" s="31"/>
    </row>
    <row r="18047" spans="43:43" x14ac:dyDescent="0.2">
      <c r="AQ18047" s="31"/>
    </row>
    <row r="18048" spans="43:43" x14ac:dyDescent="0.2">
      <c r="AQ18048" s="31"/>
    </row>
    <row r="18049" spans="43:43" x14ac:dyDescent="0.2">
      <c r="AQ18049" s="31"/>
    </row>
    <row r="18050" spans="43:43" x14ac:dyDescent="0.2">
      <c r="AQ18050" s="31"/>
    </row>
    <row r="18051" spans="43:43" x14ac:dyDescent="0.2">
      <c r="AQ18051" s="31"/>
    </row>
    <row r="18052" spans="43:43" x14ac:dyDescent="0.2">
      <c r="AQ18052" s="31"/>
    </row>
    <row r="18053" spans="43:43" x14ac:dyDescent="0.2">
      <c r="AQ18053" s="31"/>
    </row>
    <row r="18054" spans="43:43" x14ac:dyDescent="0.2">
      <c r="AQ18054" s="31"/>
    </row>
    <row r="18055" spans="43:43" x14ac:dyDescent="0.2">
      <c r="AQ18055" s="31"/>
    </row>
    <row r="18056" spans="43:43" x14ac:dyDescent="0.2">
      <c r="AQ18056" s="31"/>
    </row>
    <row r="18057" spans="43:43" x14ac:dyDescent="0.2">
      <c r="AQ18057" s="31"/>
    </row>
    <row r="18058" spans="43:43" x14ac:dyDescent="0.2">
      <c r="AQ18058" s="31"/>
    </row>
    <row r="18059" spans="43:43" x14ac:dyDescent="0.2">
      <c r="AQ18059" s="31"/>
    </row>
    <row r="18060" spans="43:43" x14ac:dyDescent="0.2">
      <c r="AQ18060" s="31"/>
    </row>
    <row r="18061" spans="43:43" x14ac:dyDescent="0.2">
      <c r="AQ18061" s="31"/>
    </row>
    <row r="18062" spans="43:43" x14ac:dyDescent="0.2">
      <c r="AQ18062" s="31"/>
    </row>
    <row r="18063" spans="43:43" x14ac:dyDescent="0.2">
      <c r="AQ18063" s="31"/>
    </row>
    <row r="18064" spans="43:43" x14ac:dyDescent="0.2">
      <c r="AQ18064" s="31"/>
    </row>
    <row r="18065" spans="43:43" x14ac:dyDescent="0.2">
      <c r="AQ18065" s="31"/>
    </row>
    <row r="18066" spans="43:43" x14ac:dyDescent="0.2">
      <c r="AQ18066" s="31"/>
    </row>
    <row r="18067" spans="43:43" x14ac:dyDescent="0.2">
      <c r="AQ18067" s="31"/>
    </row>
    <row r="18068" spans="43:43" x14ac:dyDescent="0.2">
      <c r="AQ18068" s="31"/>
    </row>
    <row r="18069" spans="43:43" x14ac:dyDescent="0.2">
      <c r="AQ18069" s="31"/>
    </row>
    <row r="18070" spans="43:43" x14ac:dyDescent="0.2">
      <c r="AQ18070" s="31"/>
    </row>
    <row r="18071" spans="43:43" x14ac:dyDescent="0.2">
      <c r="AQ18071" s="31"/>
    </row>
    <row r="18072" spans="43:43" x14ac:dyDescent="0.2">
      <c r="AQ18072" s="31"/>
    </row>
    <row r="18073" spans="43:43" x14ac:dyDescent="0.2">
      <c r="AQ18073" s="31"/>
    </row>
    <row r="18074" spans="43:43" x14ac:dyDescent="0.2">
      <c r="AQ18074" s="31"/>
    </row>
    <row r="18075" spans="43:43" x14ac:dyDescent="0.2">
      <c r="AQ18075" s="31"/>
    </row>
    <row r="18076" spans="43:43" x14ac:dyDescent="0.2">
      <c r="AQ18076" s="31"/>
    </row>
    <row r="18077" spans="43:43" x14ac:dyDescent="0.2">
      <c r="AQ18077" s="31"/>
    </row>
    <row r="18078" spans="43:43" x14ac:dyDescent="0.2">
      <c r="AQ18078" s="31"/>
    </row>
    <row r="18079" spans="43:43" x14ac:dyDescent="0.2">
      <c r="AQ18079" s="31"/>
    </row>
    <row r="18080" spans="43:43" x14ac:dyDescent="0.2">
      <c r="AQ18080" s="31"/>
    </row>
    <row r="18081" spans="43:43" x14ac:dyDescent="0.2">
      <c r="AQ18081" s="31"/>
    </row>
    <row r="18082" spans="43:43" x14ac:dyDescent="0.2">
      <c r="AQ18082" s="31"/>
    </row>
    <row r="18083" spans="43:43" x14ac:dyDescent="0.2">
      <c r="AQ18083" s="31"/>
    </row>
    <row r="18084" spans="43:43" x14ac:dyDescent="0.2">
      <c r="AQ18084" s="31"/>
    </row>
    <row r="18085" spans="43:43" x14ac:dyDescent="0.2">
      <c r="AQ18085" s="31"/>
    </row>
    <row r="18086" spans="43:43" x14ac:dyDescent="0.2">
      <c r="AQ18086" s="31"/>
    </row>
    <row r="18087" spans="43:43" x14ac:dyDescent="0.2">
      <c r="AQ18087" s="31"/>
    </row>
    <row r="18088" spans="43:43" x14ac:dyDescent="0.2">
      <c r="AQ18088" s="31"/>
    </row>
    <row r="18089" spans="43:43" x14ac:dyDescent="0.2">
      <c r="AQ18089" s="31"/>
    </row>
    <row r="18090" spans="43:43" x14ac:dyDescent="0.2">
      <c r="AQ18090" s="31"/>
    </row>
    <row r="18091" spans="43:43" x14ac:dyDescent="0.2">
      <c r="AQ18091" s="31"/>
    </row>
    <row r="18092" spans="43:43" x14ac:dyDescent="0.2">
      <c r="AQ18092" s="31"/>
    </row>
    <row r="18093" spans="43:43" x14ac:dyDescent="0.2">
      <c r="AQ18093" s="31"/>
    </row>
    <row r="18094" spans="43:43" x14ac:dyDescent="0.2">
      <c r="AQ18094" s="31"/>
    </row>
    <row r="18095" spans="43:43" x14ac:dyDescent="0.2">
      <c r="AQ18095" s="31"/>
    </row>
    <row r="18096" spans="43:43" x14ac:dyDescent="0.2">
      <c r="AQ18096" s="31"/>
    </row>
    <row r="18097" spans="43:43" x14ac:dyDescent="0.2">
      <c r="AQ18097" s="31"/>
    </row>
    <row r="18098" spans="43:43" x14ac:dyDescent="0.2">
      <c r="AQ18098" s="31"/>
    </row>
    <row r="18099" spans="43:43" x14ac:dyDescent="0.2">
      <c r="AQ18099" s="31"/>
    </row>
    <row r="18100" spans="43:43" x14ac:dyDescent="0.2">
      <c r="AQ18100" s="31"/>
    </row>
    <row r="18101" spans="43:43" x14ac:dyDescent="0.2">
      <c r="AQ18101" s="31"/>
    </row>
    <row r="18102" spans="43:43" x14ac:dyDescent="0.2">
      <c r="AQ18102" s="31"/>
    </row>
    <row r="18103" spans="43:43" x14ac:dyDescent="0.2">
      <c r="AQ18103" s="31"/>
    </row>
    <row r="18104" spans="43:43" x14ac:dyDescent="0.2">
      <c r="AQ18104" s="31"/>
    </row>
    <row r="18105" spans="43:43" x14ac:dyDescent="0.2">
      <c r="AQ18105" s="31"/>
    </row>
    <row r="18106" spans="43:43" x14ac:dyDescent="0.2">
      <c r="AQ18106" s="31"/>
    </row>
    <row r="18107" spans="43:43" x14ac:dyDescent="0.2">
      <c r="AQ18107" s="31"/>
    </row>
    <row r="18108" spans="43:43" x14ac:dyDescent="0.2">
      <c r="AQ18108" s="31"/>
    </row>
    <row r="18109" spans="43:43" x14ac:dyDescent="0.2">
      <c r="AQ18109" s="31"/>
    </row>
    <row r="18110" spans="43:43" x14ac:dyDescent="0.2">
      <c r="AQ18110" s="31"/>
    </row>
    <row r="18111" spans="43:43" x14ac:dyDescent="0.2">
      <c r="AQ18111" s="31"/>
    </row>
    <row r="18112" spans="43:43" x14ac:dyDescent="0.2">
      <c r="AQ18112" s="31"/>
    </row>
    <row r="18113" spans="43:43" x14ac:dyDescent="0.2">
      <c r="AQ18113" s="31"/>
    </row>
    <row r="18114" spans="43:43" x14ac:dyDescent="0.2">
      <c r="AQ18114" s="31"/>
    </row>
    <row r="18115" spans="43:43" x14ac:dyDescent="0.2">
      <c r="AQ18115" s="31"/>
    </row>
    <row r="18116" spans="43:43" x14ac:dyDescent="0.2">
      <c r="AQ18116" s="31"/>
    </row>
    <row r="18117" spans="43:43" x14ac:dyDescent="0.2">
      <c r="AQ18117" s="31"/>
    </row>
    <row r="18118" spans="43:43" x14ac:dyDescent="0.2">
      <c r="AQ18118" s="31"/>
    </row>
    <row r="18119" spans="43:43" x14ac:dyDescent="0.2">
      <c r="AQ18119" s="31"/>
    </row>
    <row r="18120" spans="43:43" x14ac:dyDescent="0.2">
      <c r="AQ18120" s="31"/>
    </row>
    <row r="18121" spans="43:43" x14ac:dyDescent="0.2">
      <c r="AQ18121" s="31"/>
    </row>
    <row r="18122" spans="43:43" x14ac:dyDescent="0.2">
      <c r="AQ18122" s="31"/>
    </row>
    <row r="18123" spans="43:43" x14ac:dyDescent="0.2">
      <c r="AQ18123" s="31"/>
    </row>
    <row r="18124" spans="43:43" x14ac:dyDescent="0.2">
      <c r="AQ18124" s="31"/>
    </row>
    <row r="18125" spans="43:43" x14ac:dyDescent="0.2">
      <c r="AQ18125" s="31"/>
    </row>
    <row r="18126" spans="43:43" x14ac:dyDescent="0.2">
      <c r="AQ18126" s="31"/>
    </row>
    <row r="18127" spans="43:43" x14ac:dyDescent="0.2">
      <c r="AQ18127" s="31"/>
    </row>
    <row r="18128" spans="43:43" x14ac:dyDescent="0.2">
      <c r="AQ18128" s="31"/>
    </row>
    <row r="18129" spans="43:43" x14ac:dyDescent="0.2">
      <c r="AQ18129" s="31"/>
    </row>
    <row r="18130" spans="43:43" x14ac:dyDescent="0.2">
      <c r="AQ18130" s="31"/>
    </row>
    <row r="18131" spans="43:43" x14ac:dyDescent="0.2">
      <c r="AQ18131" s="31"/>
    </row>
    <row r="18132" spans="43:43" x14ac:dyDescent="0.2">
      <c r="AQ18132" s="31"/>
    </row>
    <row r="18133" spans="43:43" x14ac:dyDescent="0.2">
      <c r="AQ18133" s="31"/>
    </row>
    <row r="18134" spans="43:43" x14ac:dyDescent="0.2">
      <c r="AQ18134" s="31"/>
    </row>
    <row r="18135" spans="43:43" x14ac:dyDescent="0.2">
      <c r="AQ18135" s="31"/>
    </row>
    <row r="18136" spans="43:43" x14ac:dyDescent="0.2">
      <c r="AQ18136" s="31"/>
    </row>
    <row r="18137" spans="43:43" x14ac:dyDescent="0.2">
      <c r="AQ18137" s="31"/>
    </row>
    <row r="18138" spans="43:43" x14ac:dyDescent="0.2">
      <c r="AQ18138" s="31"/>
    </row>
    <row r="18139" spans="43:43" x14ac:dyDescent="0.2">
      <c r="AQ18139" s="31"/>
    </row>
    <row r="18140" spans="43:43" x14ac:dyDescent="0.2">
      <c r="AQ18140" s="31"/>
    </row>
    <row r="18141" spans="43:43" x14ac:dyDescent="0.2">
      <c r="AQ18141" s="31"/>
    </row>
    <row r="18142" spans="43:43" x14ac:dyDescent="0.2">
      <c r="AQ18142" s="31"/>
    </row>
    <row r="18143" spans="43:43" x14ac:dyDescent="0.2">
      <c r="AQ18143" s="31"/>
    </row>
    <row r="18144" spans="43:43" x14ac:dyDescent="0.2">
      <c r="AQ18144" s="31"/>
    </row>
    <row r="18145" spans="43:43" x14ac:dyDescent="0.2">
      <c r="AQ18145" s="31"/>
    </row>
    <row r="18146" spans="43:43" x14ac:dyDescent="0.2">
      <c r="AQ18146" s="31"/>
    </row>
    <row r="18147" spans="43:43" x14ac:dyDescent="0.2">
      <c r="AQ18147" s="31"/>
    </row>
    <row r="18148" spans="43:43" x14ac:dyDescent="0.2">
      <c r="AQ18148" s="31"/>
    </row>
    <row r="18149" spans="43:43" x14ac:dyDescent="0.2">
      <c r="AQ18149" s="31"/>
    </row>
    <row r="18150" spans="43:43" x14ac:dyDescent="0.2">
      <c r="AQ18150" s="31"/>
    </row>
    <row r="18151" spans="43:43" x14ac:dyDescent="0.2">
      <c r="AQ18151" s="31"/>
    </row>
    <row r="18152" spans="43:43" x14ac:dyDescent="0.2">
      <c r="AQ18152" s="31"/>
    </row>
    <row r="18153" spans="43:43" x14ac:dyDescent="0.2">
      <c r="AQ18153" s="31"/>
    </row>
    <row r="18154" spans="43:43" x14ac:dyDescent="0.2">
      <c r="AQ18154" s="31"/>
    </row>
    <row r="18155" spans="43:43" x14ac:dyDescent="0.2">
      <c r="AQ18155" s="31"/>
    </row>
    <row r="18156" spans="43:43" x14ac:dyDescent="0.2">
      <c r="AQ18156" s="31"/>
    </row>
    <row r="18157" spans="43:43" x14ac:dyDescent="0.2">
      <c r="AQ18157" s="31"/>
    </row>
    <row r="18158" spans="43:43" x14ac:dyDescent="0.2">
      <c r="AQ18158" s="31"/>
    </row>
    <row r="18159" spans="43:43" x14ac:dyDescent="0.2">
      <c r="AQ18159" s="31"/>
    </row>
    <row r="18160" spans="43:43" x14ac:dyDescent="0.2">
      <c r="AQ18160" s="31"/>
    </row>
    <row r="18161" spans="43:43" x14ac:dyDescent="0.2">
      <c r="AQ18161" s="31"/>
    </row>
    <row r="18162" spans="43:43" x14ac:dyDescent="0.2">
      <c r="AQ18162" s="31"/>
    </row>
    <row r="18163" spans="43:43" x14ac:dyDescent="0.2">
      <c r="AQ18163" s="31"/>
    </row>
    <row r="18164" spans="43:43" x14ac:dyDescent="0.2">
      <c r="AQ18164" s="31"/>
    </row>
    <row r="18165" spans="43:43" x14ac:dyDescent="0.2">
      <c r="AQ18165" s="31"/>
    </row>
    <row r="18166" spans="43:43" x14ac:dyDescent="0.2">
      <c r="AQ18166" s="31"/>
    </row>
    <row r="18167" spans="43:43" x14ac:dyDescent="0.2">
      <c r="AQ18167" s="31"/>
    </row>
    <row r="18168" spans="43:43" x14ac:dyDescent="0.2">
      <c r="AQ18168" s="31"/>
    </row>
    <row r="18169" spans="43:43" x14ac:dyDescent="0.2">
      <c r="AQ18169" s="31"/>
    </row>
    <row r="18170" spans="43:43" x14ac:dyDescent="0.2">
      <c r="AQ18170" s="31"/>
    </row>
    <row r="18171" spans="43:43" x14ac:dyDescent="0.2">
      <c r="AQ18171" s="31"/>
    </row>
    <row r="18172" spans="43:43" x14ac:dyDescent="0.2">
      <c r="AQ18172" s="31"/>
    </row>
    <row r="18173" spans="43:43" x14ac:dyDescent="0.2">
      <c r="AQ18173" s="31"/>
    </row>
    <row r="18174" spans="43:43" x14ac:dyDescent="0.2">
      <c r="AQ18174" s="31"/>
    </row>
    <row r="18175" spans="43:43" x14ac:dyDescent="0.2">
      <c r="AQ18175" s="31"/>
    </row>
    <row r="18176" spans="43:43" x14ac:dyDescent="0.2">
      <c r="AQ18176" s="31"/>
    </row>
    <row r="18177" spans="43:43" x14ac:dyDescent="0.2">
      <c r="AQ18177" s="31"/>
    </row>
    <row r="18178" spans="43:43" x14ac:dyDescent="0.2">
      <c r="AQ18178" s="31"/>
    </row>
    <row r="18179" spans="43:43" x14ac:dyDescent="0.2">
      <c r="AQ18179" s="31"/>
    </row>
    <row r="18180" spans="43:43" x14ac:dyDescent="0.2">
      <c r="AQ18180" s="31"/>
    </row>
    <row r="18181" spans="43:43" x14ac:dyDescent="0.2">
      <c r="AQ18181" s="31"/>
    </row>
    <row r="18182" spans="43:43" x14ac:dyDescent="0.2">
      <c r="AQ18182" s="31"/>
    </row>
    <row r="18183" spans="43:43" x14ac:dyDescent="0.2">
      <c r="AQ18183" s="31"/>
    </row>
    <row r="18184" spans="43:43" x14ac:dyDescent="0.2">
      <c r="AQ18184" s="31"/>
    </row>
    <row r="18185" spans="43:43" x14ac:dyDescent="0.2">
      <c r="AQ18185" s="31"/>
    </row>
    <row r="18186" spans="43:43" x14ac:dyDescent="0.2">
      <c r="AQ18186" s="31"/>
    </row>
    <row r="18187" spans="43:43" x14ac:dyDescent="0.2">
      <c r="AQ18187" s="31"/>
    </row>
    <row r="18188" spans="43:43" x14ac:dyDescent="0.2">
      <c r="AQ18188" s="31"/>
    </row>
    <row r="18189" spans="43:43" x14ac:dyDescent="0.2">
      <c r="AQ18189" s="31"/>
    </row>
    <row r="18190" spans="43:43" x14ac:dyDescent="0.2">
      <c r="AQ18190" s="31"/>
    </row>
    <row r="18191" spans="43:43" x14ac:dyDescent="0.2">
      <c r="AQ18191" s="31"/>
    </row>
    <row r="18192" spans="43:43" x14ac:dyDescent="0.2">
      <c r="AQ18192" s="31"/>
    </row>
    <row r="18193" spans="43:43" x14ac:dyDescent="0.2">
      <c r="AQ18193" s="31"/>
    </row>
    <row r="18194" spans="43:43" x14ac:dyDescent="0.2">
      <c r="AQ18194" s="31"/>
    </row>
    <row r="18195" spans="43:43" x14ac:dyDescent="0.2">
      <c r="AQ18195" s="31"/>
    </row>
    <row r="18196" spans="43:43" x14ac:dyDescent="0.2">
      <c r="AQ18196" s="31"/>
    </row>
    <row r="18197" spans="43:43" x14ac:dyDescent="0.2">
      <c r="AQ18197" s="31"/>
    </row>
    <row r="18198" spans="43:43" x14ac:dyDescent="0.2">
      <c r="AQ18198" s="31"/>
    </row>
    <row r="18199" spans="43:43" x14ac:dyDescent="0.2">
      <c r="AQ18199" s="31"/>
    </row>
    <row r="18200" spans="43:43" x14ac:dyDescent="0.2">
      <c r="AQ18200" s="31"/>
    </row>
    <row r="18201" spans="43:43" x14ac:dyDescent="0.2">
      <c r="AQ18201" s="31"/>
    </row>
    <row r="18202" spans="43:43" x14ac:dyDescent="0.2">
      <c r="AQ18202" s="31"/>
    </row>
    <row r="18203" spans="43:43" x14ac:dyDescent="0.2">
      <c r="AQ18203" s="31"/>
    </row>
    <row r="18204" spans="43:43" x14ac:dyDescent="0.2">
      <c r="AQ18204" s="31"/>
    </row>
    <row r="18205" spans="43:43" x14ac:dyDescent="0.2">
      <c r="AQ18205" s="31"/>
    </row>
    <row r="18206" spans="43:43" x14ac:dyDescent="0.2">
      <c r="AQ18206" s="31"/>
    </row>
    <row r="18207" spans="43:43" x14ac:dyDescent="0.2">
      <c r="AQ18207" s="31"/>
    </row>
    <row r="18208" spans="43:43" x14ac:dyDescent="0.2">
      <c r="AQ18208" s="31"/>
    </row>
    <row r="18209" spans="43:43" x14ac:dyDescent="0.2">
      <c r="AQ18209" s="31"/>
    </row>
    <row r="18210" spans="43:43" x14ac:dyDescent="0.2">
      <c r="AQ18210" s="31"/>
    </row>
    <row r="18211" spans="43:43" x14ac:dyDescent="0.2">
      <c r="AQ18211" s="31"/>
    </row>
    <row r="18212" spans="43:43" x14ac:dyDescent="0.2">
      <c r="AQ18212" s="31"/>
    </row>
    <row r="18213" spans="43:43" x14ac:dyDescent="0.2">
      <c r="AQ18213" s="31"/>
    </row>
    <row r="18214" spans="43:43" x14ac:dyDescent="0.2">
      <c r="AQ18214" s="31"/>
    </row>
    <row r="18215" spans="43:43" x14ac:dyDescent="0.2">
      <c r="AQ18215" s="31"/>
    </row>
    <row r="18216" spans="43:43" x14ac:dyDescent="0.2">
      <c r="AQ18216" s="31"/>
    </row>
    <row r="18217" spans="43:43" x14ac:dyDescent="0.2">
      <c r="AQ18217" s="31"/>
    </row>
    <row r="18218" spans="43:43" x14ac:dyDescent="0.2">
      <c r="AQ18218" s="31"/>
    </row>
    <row r="18219" spans="43:43" x14ac:dyDescent="0.2">
      <c r="AQ18219" s="31"/>
    </row>
    <row r="18220" spans="43:43" x14ac:dyDescent="0.2">
      <c r="AQ18220" s="31"/>
    </row>
    <row r="18221" spans="43:43" x14ac:dyDescent="0.2">
      <c r="AQ18221" s="31"/>
    </row>
    <row r="18222" spans="43:43" x14ac:dyDescent="0.2">
      <c r="AQ18222" s="31"/>
    </row>
    <row r="18223" spans="43:43" x14ac:dyDescent="0.2">
      <c r="AQ18223" s="31"/>
    </row>
    <row r="18224" spans="43:43" x14ac:dyDescent="0.2">
      <c r="AQ18224" s="31"/>
    </row>
    <row r="18225" spans="43:43" x14ac:dyDescent="0.2">
      <c r="AQ18225" s="31"/>
    </row>
    <row r="18226" spans="43:43" x14ac:dyDescent="0.2">
      <c r="AQ18226" s="31"/>
    </row>
    <row r="18227" spans="43:43" x14ac:dyDescent="0.2">
      <c r="AQ18227" s="31"/>
    </row>
    <row r="18228" spans="43:43" x14ac:dyDescent="0.2">
      <c r="AQ18228" s="31"/>
    </row>
    <row r="18229" spans="43:43" x14ac:dyDescent="0.2">
      <c r="AQ18229" s="31"/>
    </row>
    <row r="18230" spans="43:43" x14ac:dyDescent="0.2">
      <c r="AQ18230" s="31"/>
    </row>
    <row r="18231" spans="43:43" x14ac:dyDescent="0.2">
      <c r="AQ18231" s="31"/>
    </row>
    <row r="18232" spans="43:43" x14ac:dyDescent="0.2">
      <c r="AQ18232" s="31"/>
    </row>
    <row r="18233" spans="43:43" x14ac:dyDescent="0.2">
      <c r="AQ18233" s="31"/>
    </row>
    <row r="18234" spans="43:43" x14ac:dyDescent="0.2">
      <c r="AQ18234" s="31"/>
    </row>
    <row r="18235" spans="43:43" x14ac:dyDescent="0.2">
      <c r="AQ18235" s="31"/>
    </row>
    <row r="18236" spans="43:43" x14ac:dyDescent="0.2">
      <c r="AQ18236" s="31"/>
    </row>
    <row r="18237" spans="43:43" x14ac:dyDescent="0.2">
      <c r="AQ18237" s="31"/>
    </row>
    <row r="18238" spans="43:43" x14ac:dyDescent="0.2">
      <c r="AQ18238" s="31"/>
    </row>
    <row r="18239" spans="43:43" x14ac:dyDescent="0.2">
      <c r="AQ18239" s="31"/>
    </row>
    <row r="18240" spans="43:43" x14ac:dyDescent="0.2">
      <c r="AQ18240" s="31"/>
    </row>
    <row r="18241" spans="43:43" x14ac:dyDescent="0.2">
      <c r="AQ18241" s="31"/>
    </row>
    <row r="18242" spans="43:43" x14ac:dyDescent="0.2">
      <c r="AQ18242" s="31"/>
    </row>
    <row r="18243" spans="43:43" x14ac:dyDescent="0.2">
      <c r="AQ18243" s="31"/>
    </row>
    <row r="18244" spans="43:43" x14ac:dyDescent="0.2">
      <c r="AQ18244" s="31"/>
    </row>
    <row r="18245" spans="43:43" x14ac:dyDescent="0.2">
      <c r="AQ18245" s="31"/>
    </row>
    <row r="18246" spans="43:43" x14ac:dyDescent="0.2">
      <c r="AQ18246" s="31"/>
    </row>
    <row r="18247" spans="43:43" x14ac:dyDescent="0.2">
      <c r="AQ18247" s="31"/>
    </row>
    <row r="18248" spans="43:43" x14ac:dyDescent="0.2">
      <c r="AQ18248" s="31"/>
    </row>
    <row r="18249" spans="43:43" x14ac:dyDescent="0.2">
      <c r="AQ18249" s="31"/>
    </row>
    <row r="18250" spans="43:43" x14ac:dyDescent="0.2">
      <c r="AQ18250" s="31"/>
    </row>
    <row r="18251" spans="43:43" x14ac:dyDescent="0.2">
      <c r="AQ18251" s="31"/>
    </row>
    <row r="18252" spans="43:43" x14ac:dyDescent="0.2">
      <c r="AQ18252" s="31"/>
    </row>
    <row r="18253" spans="43:43" x14ac:dyDescent="0.2">
      <c r="AQ18253" s="31"/>
    </row>
    <row r="18254" spans="43:43" x14ac:dyDescent="0.2">
      <c r="AQ18254" s="31"/>
    </row>
    <row r="18255" spans="43:43" x14ac:dyDescent="0.2">
      <c r="AQ18255" s="31"/>
    </row>
    <row r="18256" spans="43:43" x14ac:dyDescent="0.2">
      <c r="AQ18256" s="31"/>
    </row>
    <row r="18257" spans="43:43" x14ac:dyDescent="0.2">
      <c r="AQ18257" s="31"/>
    </row>
    <row r="18258" spans="43:43" x14ac:dyDescent="0.2">
      <c r="AQ18258" s="31"/>
    </row>
    <row r="18259" spans="43:43" x14ac:dyDescent="0.2">
      <c r="AQ18259" s="31"/>
    </row>
    <row r="18260" spans="43:43" x14ac:dyDescent="0.2">
      <c r="AQ18260" s="31"/>
    </row>
    <row r="18261" spans="43:43" x14ac:dyDescent="0.2">
      <c r="AQ18261" s="31"/>
    </row>
    <row r="18262" spans="43:43" x14ac:dyDescent="0.2">
      <c r="AQ18262" s="31"/>
    </row>
    <row r="18263" spans="43:43" x14ac:dyDescent="0.2">
      <c r="AQ18263" s="31"/>
    </row>
    <row r="18264" spans="43:43" x14ac:dyDescent="0.2">
      <c r="AQ18264" s="31"/>
    </row>
    <row r="18265" spans="43:43" x14ac:dyDescent="0.2">
      <c r="AQ18265" s="31"/>
    </row>
    <row r="18266" spans="43:43" x14ac:dyDescent="0.2">
      <c r="AQ18266" s="31"/>
    </row>
    <row r="18267" spans="43:43" x14ac:dyDescent="0.2">
      <c r="AQ18267" s="31"/>
    </row>
    <row r="18268" spans="43:43" x14ac:dyDescent="0.2">
      <c r="AQ18268" s="31"/>
    </row>
    <row r="18269" spans="43:43" x14ac:dyDescent="0.2">
      <c r="AQ18269" s="31"/>
    </row>
    <row r="18270" spans="43:43" x14ac:dyDescent="0.2">
      <c r="AQ18270" s="31"/>
    </row>
    <row r="18271" spans="43:43" x14ac:dyDescent="0.2">
      <c r="AQ18271" s="31"/>
    </row>
    <row r="18272" spans="43:43" x14ac:dyDescent="0.2">
      <c r="AQ18272" s="31"/>
    </row>
    <row r="18273" spans="43:43" x14ac:dyDescent="0.2">
      <c r="AQ18273" s="31"/>
    </row>
    <row r="18274" spans="43:43" x14ac:dyDescent="0.2">
      <c r="AQ18274" s="31"/>
    </row>
    <row r="18275" spans="43:43" x14ac:dyDescent="0.2">
      <c r="AQ18275" s="31"/>
    </row>
    <row r="18276" spans="43:43" x14ac:dyDescent="0.2">
      <c r="AQ18276" s="31"/>
    </row>
    <row r="18277" spans="43:43" x14ac:dyDescent="0.2">
      <c r="AQ18277" s="31"/>
    </row>
    <row r="18278" spans="43:43" x14ac:dyDescent="0.2">
      <c r="AQ18278" s="31"/>
    </row>
    <row r="18279" spans="43:43" x14ac:dyDescent="0.2">
      <c r="AQ18279" s="31"/>
    </row>
    <row r="18280" spans="43:43" x14ac:dyDescent="0.2">
      <c r="AQ18280" s="31"/>
    </row>
    <row r="18281" spans="43:43" x14ac:dyDescent="0.2">
      <c r="AQ18281" s="31"/>
    </row>
    <row r="18282" spans="43:43" x14ac:dyDescent="0.2">
      <c r="AQ18282" s="31"/>
    </row>
    <row r="18283" spans="43:43" x14ac:dyDescent="0.2">
      <c r="AQ18283" s="31"/>
    </row>
    <row r="18284" spans="43:43" x14ac:dyDescent="0.2">
      <c r="AQ18284" s="31"/>
    </row>
    <row r="18285" spans="43:43" x14ac:dyDescent="0.2">
      <c r="AQ18285" s="31"/>
    </row>
    <row r="18286" spans="43:43" x14ac:dyDescent="0.2">
      <c r="AQ18286" s="31"/>
    </row>
    <row r="18287" spans="43:43" x14ac:dyDescent="0.2">
      <c r="AQ18287" s="31"/>
    </row>
    <row r="18288" spans="43:43" x14ac:dyDescent="0.2">
      <c r="AQ18288" s="31"/>
    </row>
    <row r="18289" spans="43:43" x14ac:dyDescent="0.2">
      <c r="AQ18289" s="31"/>
    </row>
    <row r="18290" spans="43:43" x14ac:dyDescent="0.2">
      <c r="AQ18290" s="31"/>
    </row>
    <row r="18291" spans="43:43" x14ac:dyDescent="0.2">
      <c r="AQ18291" s="31"/>
    </row>
    <row r="18292" spans="43:43" x14ac:dyDescent="0.2">
      <c r="AQ18292" s="31"/>
    </row>
    <row r="18293" spans="43:43" x14ac:dyDescent="0.2">
      <c r="AQ18293" s="31"/>
    </row>
    <row r="18294" spans="43:43" x14ac:dyDescent="0.2">
      <c r="AQ18294" s="31"/>
    </row>
    <row r="18295" spans="43:43" x14ac:dyDescent="0.2">
      <c r="AQ18295" s="31"/>
    </row>
    <row r="18296" spans="43:43" x14ac:dyDescent="0.2">
      <c r="AQ18296" s="31"/>
    </row>
    <row r="18297" spans="43:43" x14ac:dyDescent="0.2">
      <c r="AQ18297" s="31"/>
    </row>
    <row r="18298" spans="43:43" x14ac:dyDescent="0.2">
      <c r="AQ18298" s="31"/>
    </row>
    <row r="18299" spans="43:43" x14ac:dyDescent="0.2">
      <c r="AQ18299" s="31"/>
    </row>
    <row r="18300" spans="43:43" x14ac:dyDescent="0.2">
      <c r="AQ18300" s="31"/>
    </row>
    <row r="18301" spans="43:43" x14ac:dyDescent="0.2">
      <c r="AQ18301" s="31"/>
    </row>
    <row r="18302" spans="43:43" x14ac:dyDescent="0.2">
      <c r="AQ18302" s="31"/>
    </row>
    <row r="18303" spans="43:43" x14ac:dyDescent="0.2">
      <c r="AQ18303" s="31"/>
    </row>
    <row r="18304" spans="43:43" x14ac:dyDescent="0.2">
      <c r="AQ18304" s="31"/>
    </row>
    <row r="18305" spans="43:43" x14ac:dyDescent="0.2">
      <c r="AQ18305" s="31"/>
    </row>
    <row r="18306" spans="43:43" x14ac:dyDescent="0.2">
      <c r="AQ18306" s="31"/>
    </row>
    <row r="18307" spans="43:43" x14ac:dyDescent="0.2">
      <c r="AQ18307" s="31"/>
    </row>
    <row r="18308" spans="43:43" x14ac:dyDescent="0.2">
      <c r="AQ18308" s="31"/>
    </row>
    <row r="18309" spans="43:43" x14ac:dyDescent="0.2">
      <c r="AQ18309" s="31"/>
    </row>
    <row r="18310" spans="43:43" x14ac:dyDescent="0.2">
      <c r="AQ18310" s="31"/>
    </row>
    <row r="18311" spans="43:43" x14ac:dyDescent="0.2">
      <c r="AQ18311" s="31"/>
    </row>
    <row r="18312" spans="43:43" x14ac:dyDescent="0.2">
      <c r="AQ18312" s="31"/>
    </row>
    <row r="18313" spans="43:43" x14ac:dyDescent="0.2">
      <c r="AQ18313" s="31"/>
    </row>
    <row r="18314" spans="43:43" x14ac:dyDescent="0.2">
      <c r="AQ18314" s="31"/>
    </row>
    <row r="18315" spans="43:43" x14ac:dyDescent="0.2">
      <c r="AQ18315" s="31"/>
    </row>
    <row r="18316" spans="43:43" x14ac:dyDescent="0.2">
      <c r="AQ18316" s="31"/>
    </row>
    <row r="18317" spans="43:43" x14ac:dyDescent="0.2">
      <c r="AQ18317" s="31"/>
    </row>
    <row r="18318" spans="43:43" x14ac:dyDescent="0.2">
      <c r="AQ18318" s="31"/>
    </row>
    <row r="18319" spans="43:43" x14ac:dyDescent="0.2">
      <c r="AQ18319" s="31"/>
    </row>
    <row r="18320" spans="43:43" x14ac:dyDescent="0.2">
      <c r="AQ18320" s="31"/>
    </row>
    <row r="18321" spans="43:43" x14ac:dyDescent="0.2">
      <c r="AQ18321" s="31"/>
    </row>
    <row r="18322" spans="43:43" x14ac:dyDescent="0.2">
      <c r="AQ18322" s="31"/>
    </row>
    <row r="18323" spans="43:43" x14ac:dyDescent="0.2">
      <c r="AQ18323" s="31"/>
    </row>
    <row r="18324" spans="43:43" x14ac:dyDescent="0.2">
      <c r="AQ18324" s="31"/>
    </row>
    <row r="18325" spans="43:43" x14ac:dyDescent="0.2">
      <c r="AQ18325" s="31"/>
    </row>
    <row r="18326" spans="43:43" x14ac:dyDescent="0.2">
      <c r="AQ18326" s="31"/>
    </row>
    <row r="18327" spans="43:43" x14ac:dyDescent="0.2">
      <c r="AQ18327" s="31"/>
    </row>
    <row r="18328" spans="43:43" x14ac:dyDescent="0.2">
      <c r="AQ18328" s="31"/>
    </row>
    <row r="18329" spans="43:43" x14ac:dyDescent="0.2">
      <c r="AQ18329" s="31"/>
    </row>
    <row r="18330" spans="43:43" x14ac:dyDescent="0.2">
      <c r="AQ18330" s="31"/>
    </row>
    <row r="18331" spans="43:43" x14ac:dyDescent="0.2">
      <c r="AQ18331" s="31"/>
    </row>
    <row r="18332" spans="43:43" x14ac:dyDescent="0.2">
      <c r="AQ18332" s="31"/>
    </row>
    <row r="18333" spans="43:43" x14ac:dyDescent="0.2">
      <c r="AQ18333" s="31"/>
    </row>
    <row r="18334" spans="43:43" x14ac:dyDescent="0.2">
      <c r="AQ18334" s="31"/>
    </row>
    <row r="18335" spans="43:43" x14ac:dyDescent="0.2">
      <c r="AQ18335" s="31"/>
    </row>
    <row r="18336" spans="43:43" x14ac:dyDescent="0.2">
      <c r="AQ18336" s="31"/>
    </row>
    <row r="18337" spans="43:43" x14ac:dyDescent="0.2">
      <c r="AQ18337" s="31"/>
    </row>
    <row r="18338" spans="43:43" x14ac:dyDescent="0.2">
      <c r="AQ18338" s="31"/>
    </row>
    <row r="18339" spans="43:43" x14ac:dyDescent="0.2">
      <c r="AQ18339" s="31"/>
    </row>
    <row r="18340" spans="43:43" x14ac:dyDescent="0.2">
      <c r="AQ18340" s="31"/>
    </row>
    <row r="18341" spans="43:43" x14ac:dyDescent="0.2">
      <c r="AQ18341" s="31"/>
    </row>
    <row r="18342" spans="43:43" x14ac:dyDescent="0.2">
      <c r="AQ18342" s="31"/>
    </row>
    <row r="18343" spans="43:43" x14ac:dyDescent="0.2">
      <c r="AQ18343" s="31"/>
    </row>
    <row r="18344" spans="43:43" x14ac:dyDescent="0.2">
      <c r="AQ18344" s="31"/>
    </row>
    <row r="18345" spans="43:43" x14ac:dyDescent="0.2">
      <c r="AQ18345" s="31"/>
    </row>
    <row r="18346" spans="43:43" x14ac:dyDescent="0.2">
      <c r="AQ18346" s="31"/>
    </row>
    <row r="18347" spans="43:43" x14ac:dyDescent="0.2">
      <c r="AQ18347" s="31"/>
    </row>
    <row r="18348" spans="43:43" x14ac:dyDescent="0.2">
      <c r="AQ18348" s="31"/>
    </row>
    <row r="18349" spans="43:43" x14ac:dyDescent="0.2">
      <c r="AQ18349" s="31"/>
    </row>
    <row r="18350" spans="43:43" x14ac:dyDescent="0.2">
      <c r="AQ18350" s="31"/>
    </row>
    <row r="18351" spans="43:43" x14ac:dyDescent="0.2">
      <c r="AQ18351" s="31"/>
    </row>
    <row r="18352" spans="43:43" x14ac:dyDescent="0.2">
      <c r="AQ18352" s="31"/>
    </row>
    <row r="18353" spans="43:43" x14ac:dyDescent="0.2">
      <c r="AQ18353" s="31"/>
    </row>
    <row r="18354" spans="43:43" x14ac:dyDescent="0.2">
      <c r="AQ18354" s="31"/>
    </row>
    <row r="18355" spans="43:43" x14ac:dyDescent="0.2">
      <c r="AQ18355" s="31"/>
    </row>
    <row r="18356" spans="43:43" x14ac:dyDescent="0.2">
      <c r="AQ18356" s="31"/>
    </row>
    <row r="18357" spans="43:43" x14ac:dyDescent="0.2">
      <c r="AQ18357" s="31"/>
    </row>
    <row r="18358" spans="43:43" x14ac:dyDescent="0.2">
      <c r="AQ18358" s="31"/>
    </row>
    <row r="18359" spans="43:43" x14ac:dyDescent="0.2">
      <c r="AQ18359" s="31"/>
    </row>
    <row r="18360" spans="43:43" x14ac:dyDescent="0.2">
      <c r="AQ18360" s="31"/>
    </row>
    <row r="18361" spans="43:43" x14ac:dyDescent="0.2">
      <c r="AQ18361" s="31"/>
    </row>
    <row r="18362" spans="43:43" x14ac:dyDescent="0.2">
      <c r="AQ18362" s="31"/>
    </row>
    <row r="18363" spans="43:43" x14ac:dyDescent="0.2">
      <c r="AQ18363" s="31"/>
    </row>
    <row r="18364" spans="43:43" x14ac:dyDescent="0.2">
      <c r="AQ18364" s="31"/>
    </row>
    <row r="18365" spans="43:43" x14ac:dyDescent="0.2">
      <c r="AQ18365" s="31"/>
    </row>
    <row r="18366" spans="43:43" x14ac:dyDescent="0.2">
      <c r="AQ18366" s="31"/>
    </row>
    <row r="18367" spans="43:43" x14ac:dyDescent="0.2">
      <c r="AQ18367" s="31"/>
    </row>
    <row r="18368" spans="43:43" x14ac:dyDescent="0.2">
      <c r="AQ18368" s="31"/>
    </row>
    <row r="18369" spans="43:43" x14ac:dyDescent="0.2">
      <c r="AQ18369" s="31"/>
    </row>
    <row r="18370" spans="43:43" x14ac:dyDescent="0.2">
      <c r="AQ18370" s="31"/>
    </row>
    <row r="18371" spans="43:43" x14ac:dyDescent="0.2">
      <c r="AQ18371" s="31"/>
    </row>
    <row r="18372" spans="43:43" x14ac:dyDescent="0.2">
      <c r="AQ18372" s="31"/>
    </row>
    <row r="18373" spans="43:43" x14ac:dyDescent="0.2">
      <c r="AQ18373" s="31"/>
    </row>
    <row r="18374" spans="43:43" x14ac:dyDescent="0.2">
      <c r="AQ18374" s="31"/>
    </row>
    <row r="18375" spans="43:43" x14ac:dyDescent="0.2">
      <c r="AQ18375" s="31"/>
    </row>
    <row r="18376" spans="43:43" x14ac:dyDescent="0.2">
      <c r="AQ18376" s="31"/>
    </row>
    <row r="18377" spans="43:43" x14ac:dyDescent="0.2">
      <c r="AQ18377" s="31"/>
    </row>
    <row r="18378" spans="43:43" x14ac:dyDescent="0.2">
      <c r="AQ18378" s="31"/>
    </row>
    <row r="18379" spans="43:43" x14ac:dyDescent="0.2">
      <c r="AQ18379" s="31"/>
    </row>
    <row r="18380" spans="43:43" x14ac:dyDescent="0.2">
      <c r="AQ18380" s="31"/>
    </row>
    <row r="18381" spans="43:43" x14ac:dyDescent="0.2">
      <c r="AQ18381" s="31"/>
    </row>
    <row r="18382" spans="43:43" x14ac:dyDescent="0.2">
      <c r="AQ18382" s="31"/>
    </row>
    <row r="18383" spans="43:43" x14ac:dyDescent="0.2">
      <c r="AQ18383" s="31"/>
    </row>
    <row r="18384" spans="43:43" x14ac:dyDescent="0.2">
      <c r="AQ18384" s="31"/>
    </row>
    <row r="18385" spans="43:43" x14ac:dyDescent="0.2">
      <c r="AQ18385" s="31"/>
    </row>
    <row r="18386" spans="43:43" x14ac:dyDescent="0.2">
      <c r="AQ18386" s="31"/>
    </row>
    <row r="18387" spans="43:43" x14ac:dyDescent="0.2">
      <c r="AQ18387" s="31"/>
    </row>
    <row r="18388" spans="43:43" x14ac:dyDescent="0.2">
      <c r="AQ18388" s="31"/>
    </row>
    <row r="18389" spans="43:43" x14ac:dyDescent="0.2">
      <c r="AQ18389" s="31"/>
    </row>
    <row r="18390" spans="43:43" x14ac:dyDescent="0.2">
      <c r="AQ18390" s="31"/>
    </row>
    <row r="18391" spans="43:43" x14ac:dyDescent="0.2">
      <c r="AQ18391" s="31"/>
    </row>
    <row r="18392" spans="43:43" x14ac:dyDescent="0.2">
      <c r="AQ18392" s="31"/>
    </row>
    <row r="18393" spans="43:43" x14ac:dyDescent="0.2">
      <c r="AQ18393" s="31"/>
    </row>
    <row r="18394" spans="43:43" x14ac:dyDescent="0.2">
      <c r="AQ18394" s="31"/>
    </row>
    <row r="18395" spans="43:43" x14ac:dyDescent="0.2">
      <c r="AQ18395" s="31"/>
    </row>
    <row r="18396" spans="43:43" x14ac:dyDescent="0.2">
      <c r="AQ18396" s="31"/>
    </row>
    <row r="18397" spans="43:43" x14ac:dyDescent="0.2">
      <c r="AQ18397" s="31"/>
    </row>
    <row r="18398" spans="43:43" x14ac:dyDescent="0.2">
      <c r="AQ18398" s="31"/>
    </row>
    <row r="18399" spans="43:43" x14ac:dyDescent="0.2">
      <c r="AQ18399" s="31"/>
    </row>
    <row r="18400" spans="43:43" x14ac:dyDescent="0.2">
      <c r="AQ18400" s="31"/>
    </row>
    <row r="18401" spans="43:43" x14ac:dyDescent="0.2">
      <c r="AQ18401" s="31"/>
    </row>
    <row r="18402" spans="43:43" x14ac:dyDescent="0.2">
      <c r="AQ18402" s="31"/>
    </row>
    <row r="18403" spans="43:43" x14ac:dyDescent="0.2">
      <c r="AQ18403" s="31"/>
    </row>
    <row r="18404" spans="43:43" x14ac:dyDescent="0.2">
      <c r="AQ18404" s="31"/>
    </row>
    <row r="18405" spans="43:43" x14ac:dyDescent="0.2">
      <c r="AQ18405" s="31"/>
    </row>
    <row r="18406" spans="43:43" x14ac:dyDescent="0.2">
      <c r="AQ18406" s="31"/>
    </row>
    <row r="18407" spans="43:43" x14ac:dyDescent="0.2">
      <c r="AQ18407" s="31"/>
    </row>
    <row r="18408" spans="43:43" x14ac:dyDescent="0.2">
      <c r="AQ18408" s="31"/>
    </row>
    <row r="18409" spans="43:43" x14ac:dyDescent="0.2">
      <c r="AQ18409" s="31"/>
    </row>
    <row r="18410" spans="43:43" x14ac:dyDescent="0.2">
      <c r="AQ18410" s="31"/>
    </row>
    <row r="18411" spans="43:43" x14ac:dyDescent="0.2">
      <c r="AQ18411" s="31"/>
    </row>
    <row r="18412" spans="43:43" x14ac:dyDescent="0.2">
      <c r="AQ18412" s="31"/>
    </row>
    <row r="18413" spans="43:43" x14ac:dyDescent="0.2">
      <c r="AQ18413" s="31"/>
    </row>
    <row r="18414" spans="43:43" x14ac:dyDescent="0.2">
      <c r="AQ18414" s="31"/>
    </row>
    <row r="18415" spans="43:43" x14ac:dyDescent="0.2">
      <c r="AQ18415" s="31"/>
    </row>
    <row r="18416" spans="43:43" x14ac:dyDescent="0.2">
      <c r="AQ18416" s="31"/>
    </row>
    <row r="18417" spans="43:43" x14ac:dyDescent="0.2">
      <c r="AQ18417" s="31"/>
    </row>
    <row r="18418" spans="43:43" x14ac:dyDescent="0.2">
      <c r="AQ18418" s="31"/>
    </row>
    <row r="18419" spans="43:43" x14ac:dyDescent="0.2">
      <c r="AQ18419" s="31"/>
    </row>
    <row r="18420" spans="43:43" x14ac:dyDescent="0.2">
      <c r="AQ18420" s="31"/>
    </row>
    <row r="18421" spans="43:43" x14ac:dyDescent="0.2">
      <c r="AQ18421" s="31"/>
    </row>
    <row r="18422" spans="43:43" x14ac:dyDescent="0.2">
      <c r="AQ18422" s="31"/>
    </row>
    <row r="18423" spans="43:43" x14ac:dyDescent="0.2">
      <c r="AQ18423" s="31"/>
    </row>
    <row r="18424" spans="43:43" x14ac:dyDescent="0.2">
      <c r="AQ18424" s="31"/>
    </row>
    <row r="18425" spans="43:43" x14ac:dyDescent="0.2">
      <c r="AQ18425" s="31"/>
    </row>
    <row r="18426" spans="43:43" x14ac:dyDescent="0.2">
      <c r="AQ18426" s="31"/>
    </row>
    <row r="18427" spans="43:43" x14ac:dyDescent="0.2">
      <c r="AQ18427" s="31"/>
    </row>
    <row r="18428" spans="43:43" x14ac:dyDescent="0.2">
      <c r="AQ18428" s="31"/>
    </row>
    <row r="18429" spans="43:43" x14ac:dyDescent="0.2">
      <c r="AQ18429" s="31"/>
    </row>
    <row r="18430" spans="43:43" x14ac:dyDescent="0.2">
      <c r="AQ18430" s="31"/>
    </row>
    <row r="18431" spans="43:43" x14ac:dyDescent="0.2">
      <c r="AQ18431" s="31"/>
    </row>
    <row r="18432" spans="43:43" x14ac:dyDescent="0.2">
      <c r="AQ18432" s="31"/>
    </row>
    <row r="18433" spans="43:43" x14ac:dyDescent="0.2">
      <c r="AQ18433" s="31"/>
    </row>
    <row r="18434" spans="43:43" x14ac:dyDescent="0.2">
      <c r="AQ18434" s="31"/>
    </row>
    <row r="18435" spans="43:43" x14ac:dyDescent="0.2">
      <c r="AQ18435" s="31"/>
    </row>
    <row r="18436" spans="43:43" x14ac:dyDescent="0.2">
      <c r="AQ18436" s="31"/>
    </row>
    <row r="18437" spans="43:43" x14ac:dyDescent="0.2">
      <c r="AQ18437" s="31"/>
    </row>
    <row r="18438" spans="43:43" x14ac:dyDescent="0.2">
      <c r="AQ18438" s="31"/>
    </row>
    <row r="18439" spans="43:43" x14ac:dyDescent="0.2">
      <c r="AQ18439" s="31"/>
    </row>
    <row r="18440" spans="43:43" x14ac:dyDescent="0.2">
      <c r="AQ18440" s="31"/>
    </row>
    <row r="18441" spans="43:43" x14ac:dyDescent="0.2">
      <c r="AQ18441" s="31"/>
    </row>
    <row r="18442" spans="43:43" x14ac:dyDescent="0.2">
      <c r="AQ18442" s="31"/>
    </row>
    <row r="18443" spans="43:43" x14ac:dyDescent="0.2">
      <c r="AQ18443" s="31"/>
    </row>
    <row r="18444" spans="43:43" x14ac:dyDescent="0.2">
      <c r="AQ18444" s="31"/>
    </row>
    <row r="18445" spans="43:43" x14ac:dyDescent="0.2">
      <c r="AQ18445" s="31"/>
    </row>
    <row r="18446" spans="43:43" x14ac:dyDescent="0.2">
      <c r="AQ18446" s="31"/>
    </row>
    <row r="18447" spans="43:43" x14ac:dyDescent="0.2">
      <c r="AQ18447" s="31"/>
    </row>
    <row r="18448" spans="43:43" x14ac:dyDescent="0.2">
      <c r="AQ18448" s="31"/>
    </row>
    <row r="18449" spans="43:43" x14ac:dyDescent="0.2">
      <c r="AQ18449" s="31"/>
    </row>
    <row r="18450" spans="43:43" x14ac:dyDescent="0.2">
      <c r="AQ18450" s="31"/>
    </row>
    <row r="18451" spans="43:43" x14ac:dyDescent="0.2">
      <c r="AQ18451" s="31"/>
    </row>
    <row r="18452" spans="43:43" x14ac:dyDescent="0.2">
      <c r="AQ18452" s="31"/>
    </row>
    <row r="18453" spans="43:43" x14ac:dyDescent="0.2">
      <c r="AQ18453" s="31"/>
    </row>
    <row r="18454" spans="43:43" x14ac:dyDescent="0.2">
      <c r="AQ18454" s="31"/>
    </row>
    <row r="18455" spans="43:43" x14ac:dyDescent="0.2">
      <c r="AQ18455" s="31"/>
    </row>
    <row r="18456" spans="43:43" x14ac:dyDescent="0.2">
      <c r="AQ18456" s="31"/>
    </row>
    <row r="18457" spans="43:43" x14ac:dyDescent="0.2">
      <c r="AQ18457" s="31"/>
    </row>
    <row r="18458" spans="43:43" x14ac:dyDescent="0.2">
      <c r="AQ18458" s="31"/>
    </row>
    <row r="18459" spans="43:43" x14ac:dyDescent="0.2">
      <c r="AQ18459" s="31"/>
    </row>
    <row r="18460" spans="43:43" x14ac:dyDescent="0.2">
      <c r="AQ18460" s="31"/>
    </row>
    <row r="18461" spans="43:43" x14ac:dyDescent="0.2">
      <c r="AQ18461" s="31"/>
    </row>
    <row r="18462" spans="43:43" x14ac:dyDescent="0.2">
      <c r="AQ18462" s="31"/>
    </row>
    <row r="18463" spans="43:43" x14ac:dyDescent="0.2">
      <c r="AQ18463" s="31"/>
    </row>
    <row r="18464" spans="43:43" x14ac:dyDescent="0.2">
      <c r="AQ18464" s="31"/>
    </row>
    <row r="18465" spans="43:43" x14ac:dyDescent="0.2">
      <c r="AQ18465" s="31"/>
    </row>
    <row r="18466" spans="43:43" x14ac:dyDescent="0.2">
      <c r="AQ18466" s="31"/>
    </row>
    <row r="18467" spans="43:43" x14ac:dyDescent="0.2">
      <c r="AQ18467" s="31"/>
    </row>
    <row r="18468" spans="43:43" x14ac:dyDescent="0.2">
      <c r="AQ18468" s="31"/>
    </row>
    <row r="18469" spans="43:43" x14ac:dyDescent="0.2">
      <c r="AQ18469" s="31"/>
    </row>
    <row r="18470" spans="43:43" x14ac:dyDescent="0.2">
      <c r="AQ18470" s="31"/>
    </row>
    <row r="18471" spans="43:43" x14ac:dyDescent="0.2">
      <c r="AQ18471" s="31"/>
    </row>
    <row r="18472" spans="43:43" x14ac:dyDescent="0.2">
      <c r="AQ18472" s="31"/>
    </row>
    <row r="18473" spans="43:43" x14ac:dyDescent="0.2">
      <c r="AQ18473" s="31"/>
    </row>
    <row r="18474" spans="43:43" x14ac:dyDescent="0.2">
      <c r="AQ18474" s="31"/>
    </row>
    <row r="18475" spans="43:43" x14ac:dyDescent="0.2">
      <c r="AQ18475" s="31"/>
    </row>
    <row r="18476" spans="43:43" x14ac:dyDescent="0.2">
      <c r="AQ18476" s="31"/>
    </row>
    <row r="18477" spans="43:43" x14ac:dyDescent="0.2">
      <c r="AQ18477" s="31"/>
    </row>
    <row r="18478" spans="43:43" x14ac:dyDescent="0.2">
      <c r="AQ18478" s="31"/>
    </row>
    <row r="18479" spans="43:43" x14ac:dyDescent="0.2">
      <c r="AQ18479" s="31"/>
    </row>
    <row r="18480" spans="43:43" x14ac:dyDescent="0.2">
      <c r="AQ18480" s="31"/>
    </row>
    <row r="18481" spans="43:43" x14ac:dyDescent="0.2">
      <c r="AQ18481" s="31"/>
    </row>
    <row r="18482" spans="43:43" x14ac:dyDescent="0.2">
      <c r="AQ18482" s="31"/>
    </row>
    <row r="18483" spans="43:43" x14ac:dyDescent="0.2">
      <c r="AQ18483" s="31"/>
    </row>
    <row r="18484" spans="43:43" x14ac:dyDescent="0.2">
      <c r="AQ18484" s="31"/>
    </row>
    <row r="18485" spans="43:43" x14ac:dyDescent="0.2">
      <c r="AQ18485" s="31"/>
    </row>
    <row r="18486" spans="43:43" x14ac:dyDescent="0.2">
      <c r="AQ18486" s="31"/>
    </row>
    <row r="18487" spans="43:43" x14ac:dyDescent="0.2">
      <c r="AQ18487" s="31"/>
    </row>
    <row r="18488" spans="43:43" x14ac:dyDescent="0.2">
      <c r="AQ18488" s="31"/>
    </row>
    <row r="18489" spans="43:43" x14ac:dyDescent="0.2">
      <c r="AQ18489" s="31"/>
    </row>
    <row r="18490" spans="43:43" x14ac:dyDescent="0.2">
      <c r="AQ18490" s="31"/>
    </row>
    <row r="18491" spans="43:43" x14ac:dyDescent="0.2">
      <c r="AQ18491" s="31"/>
    </row>
    <row r="18492" spans="43:43" x14ac:dyDescent="0.2">
      <c r="AQ18492" s="31"/>
    </row>
    <row r="18493" spans="43:43" x14ac:dyDescent="0.2">
      <c r="AQ18493" s="31"/>
    </row>
    <row r="18494" spans="43:43" x14ac:dyDescent="0.2">
      <c r="AQ18494" s="31"/>
    </row>
    <row r="18495" spans="43:43" x14ac:dyDescent="0.2">
      <c r="AQ18495" s="31"/>
    </row>
    <row r="18496" spans="43:43" x14ac:dyDescent="0.2">
      <c r="AQ18496" s="31"/>
    </row>
    <row r="18497" spans="43:43" x14ac:dyDescent="0.2">
      <c r="AQ18497" s="31"/>
    </row>
    <row r="18498" spans="43:43" x14ac:dyDescent="0.2">
      <c r="AQ18498" s="31"/>
    </row>
    <row r="18499" spans="43:43" x14ac:dyDescent="0.2">
      <c r="AQ18499" s="31"/>
    </row>
    <row r="18500" spans="43:43" x14ac:dyDescent="0.2">
      <c r="AQ18500" s="31"/>
    </row>
    <row r="18501" spans="43:43" x14ac:dyDescent="0.2">
      <c r="AQ18501" s="31"/>
    </row>
    <row r="18502" spans="43:43" x14ac:dyDescent="0.2">
      <c r="AQ18502" s="31"/>
    </row>
    <row r="18503" spans="43:43" x14ac:dyDescent="0.2">
      <c r="AQ18503" s="31"/>
    </row>
    <row r="18504" spans="43:43" x14ac:dyDescent="0.2">
      <c r="AQ18504" s="31"/>
    </row>
    <row r="18505" spans="43:43" x14ac:dyDescent="0.2">
      <c r="AQ18505" s="31"/>
    </row>
    <row r="18506" spans="43:43" x14ac:dyDescent="0.2">
      <c r="AQ18506" s="31"/>
    </row>
    <row r="18507" spans="43:43" x14ac:dyDescent="0.2">
      <c r="AQ18507" s="31"/>
    </row>
    <row r="18508" spans="43:43" x14ac:dyDescent="0.2">
      <c r="AQ18508" s="31"/>
    </row>
    <row r="18509" spans="43:43" x14ac:dyDescent="0.2">
      <c r="AQ18509" s="31"/>
    </row>
    <row r="18510" spans="43:43" x14ac:dyDescent="0.2">
      <c r="AQ18510" s="31"/>
    </row>
    <row r="18511" spans="43:43" x14ac:dyDescent="0.2">
      <c r="AQ18511" s="31"/>
    </row>
    <row r="18512" spans="43:43" x14ac:dyDescent="0.2">
      <c r="AQ18512" s="31"/>
    </row>
    <row r="18513" spans="43:43" x14ac:dyDescent="0.2">
      <c r="AQ18513" s="31"/>
    </row>
    <row r="18514" spans="43:43" x14ac:dyDescent="0.2">
      <c r="AQ18514" s="31"/>
    </row>
    <row r="18515" spans="43:43" x14ac:dyDescent="0.2">
      <c r="AQ18515" s="31"/>
    </row>
    <row r="18516" spans="43:43" x14ac:dyDescent="0.2">
      <c r="AQ18516" s="31"/>
    </row>
    <row r="18517" spans="43:43" x14ac:dyDescent="0.2">
      <c r="AQ18517" s="31"/>
    </row>
    <row r="18518" spans="43:43" x14ac:dyDescent="0.2">
      <c r="AQ18518" s="31"/>
    </row>
    <row r="18519" spans="43:43" x14ac:dyDescent="0.2">
      <c r="AQ18519" s="31"/>
    </row>
    <row r="18520" spans="43:43" x14ac:dyDescent="0.2">
      <c r="AQ18520" s="31"/>
    </row>
    <row r="18521" spans="43:43" x14ac:dyDescent="0.2">
      <c r="AQ18521" s="31"/>
    </row>
    <row r="18522" spans="43:43" x14ac:dyDescent="0.2">
      <c r="AQ18522" s="31"/>
    </row>
    <row r="18523" spans="43:43" x14ac:dyDescent="0.2">
      <c r="AQ18523" s="31"/>
    </row>
    <row r="18524" spans="43:43" x14ac:dyDescent="0.2">
      <c r="AQ18524" s="31"/>
    </row>
    <row r="18525" spans="43:43" x14ac:dyDescent="0.2">
      <c r="AQ18525" s="31"/>
    </row>
    <row r="18526" spans="43:43" x14ac:dyDescent="0.2">
      <c r="AQ18526" s="31"/>
    </row>
    <row r="18527" spans="43:43" x14ac:dyDescent="0.2">
      <c r="AQ18527" s="31"/>
    </row>
    <row r="18528" spans="43:43" x14ac:dyDescent="0.2">
      <c r="AQ18528" s="31"/>
    </row>
    <row r="18529" spans="43:43" x14ac:dyDescent="0.2">
      <c r="AQ18529" s="31"/>
    </row>
    <row r="18530" spans="43:43" x14ac:dyDescent="0.2">
      <c r="AQ18530" s="31"/>
    </row>
    <row r="18531" spans="43:43" x14ac:dyDescent="0.2">
      <c r="AQ18531" s="31"/>
    </row>
    <row r="18532" spans="43:43" x14ac:dyDescent="0.2">
      <c r="AQ18532" s="31"/>
    </row>
    <row r="18533" spans="43:43" x14ac:dyDescent="0.2">
      <c r="AQ18533" s="31"/>
    </row>
    <row r="18534" spans="43:43" x14ac:dyDescent="0.2">
      <c r="AQ18534" s="31"/>
    </row>
    <row r="18535" spans="43:43" x14ac:dyDescent="0.2">
      <c r="AQ18535" s="31"/>
    </row>
    <row r="18536" spans="43:43" x14ac:dyDescent="0.2">
      <c r="AQ18536" s="31"/>
    </row>
    <row r="18537" spans="43:43" x14ac:dyDescent="0.2">
      <c r="AQ18537" s="31"/>
    </row>
    <row r="18538" spans="43:43" x14ac:dyDescent="0.2">
      <c r="AQ18538" s="31"/>
    </row>
    <row r="18539" spans="43:43" x14ac:dyDescent="0.2">
      <c r="AQ18539" s="31"/>
    </row>
    <row r="18540" spans="43:43" x14ac:dyDescent="0.2">
      <c r="AQ18540" s="31"/>
    </row>
    <row r="18541" spans="43:43" x14ac:dyDescent="0.2">
      <c r="AQ18541" s="31"/>
    </row>
    <row r="18542" spans="43:43" x14ac:dyDescent="0.2">
      <c r="AQ18542" s="31"/>
    </row>
    <row r="18543" spans="43:43" x14ac:dyDescent="0.2">
      <c r="AQ18543" s="31"/>
    </row>
    <row r="18544" spans="43:43" x14ac:dyDescent="0.2">
      <c r="AQ18544" s="31"/>
    </row>
    <row r="18545" spans="43:43" x14ac:dyDescent="0.2">
      <c r="AQ18545" s="31"/>
    </row>
    <row r="18546" spans="43:43" x14ac:dyDescent="0.2">
      <c r="AQ18546" s="31"/>
    </row>
    <row r="18547" spans="43:43" x14ac:dyDescent="0.2">
      <c r="AQ18547" s="31"/>
    </row>
    <row r="18548" spans="43:43" x14ac:dyDescent="0.2">
      <c r="AQ18548" s="31"/>
    </row>
    <row r="18549" spans="43:43" x14ac:dyDescent="0.2">
      <c r="AQ18549" s="31"/>
    </row>
    <row r="18550" spans="43:43" x14ac:dyDescent="0.2">
      <c r="AQ18550" s="31"/>
    </row>
    <row r="18551" spans="43:43" x14ac:dyDescent="0.2">
      <c r="AQ18551" s="31"/>
    </row>
    <row r="18552" spans="43:43" x14ac:dyDescent="0.2">
      <c r="AQ18552" s="31"/>
    </row>
    <row r="18553" spans="43:43" x14ac:dyDescent="0.2">
      <c r="AQ18553" s="31"/>
    </row>
    <row r="18554" spans="43:43" x14ac:dyDescent="0.2">
      <c r="AQ18554" s="31"/>
    </row>
    <row r="18555" spans="43:43" x14ac:dyDescent="0.2">
      <c r="AQ18555" s="31"/>
    </row>
    <row r="18556" spans="43:43" x14ac:dyDescent="0.2">
      <c r="AQ18556" s="31"/>
    </row>
    <row r="18557" spans="43:43" x14ac:dyDescent="0.2">
      <c r="AQ18557" s="31"/>
    </row>
    <row r="18558" spans="43:43" x14ac:dyDescent="0.2">
      <c r="AQ18558" s="31"/>
    </row>
    <row r="18559" spans="43:43" x14ac:dyDescent="0.2">
      <c r="AQ18559" s="31"/>
    </row>
    <row r="18560" spans="43:43" x14ac:dyDescent="0.2">
      <c r="AQ18560" s="31"/>
    </row>
    <row r="18561" spans="43:43" x14ac:dyDescent="0.2">
      <c r="AQ18561" s="31"/>
    </row>
    <row r="18562" spans="43:43" x14ac:dyDescent="0.2">
      <c r="AQ18562" s="31"/>
    </row>
    <row r="18563" spans="43:43" x14ac:dyDescent="0.2">
      <c r="AQ18563" s="31"/>
    </row>
    <row r="18564" spans="43:43" x14ac:dyDescent="0.2">
      <c r="AQ18564" s="31"/>
    </row>
    <row r="18565" spans="43:43" x14ac:dyDescent="0.2">
      <c r="AQ18565" s="31"/>
    </row>
    <row r="18566" spans="43:43" x14ac:dyDescent="0.2">
      <c r="AQ18566" s="31"/>
    </row>
    <row r="18567" spans="43:43" x14ac:dyDescent="0.2">
      <c r="AQ18567" s="31"/>
    </row>
    <row r="18568" spans="43:43" x14ac:dyDescent="0.2">
      <c r="AQ18568" s="31"/>
    </row>
    <row r="18569" spans="43:43" x14ac:dyDescent="0.2">
      <c r="AQ18569" s="31"/>
    </row>
    <row r="18570" spans="43:43" x14ac:dyDescent="0.2">
      <c r="AQ18570" s="31"/>
    </row>
    <row r="18571" spans="43:43" x14ac:dyDescent="0.2">
      <c r="AQ18571" s="31"/>
    </row>
    <row r="18572" spans="43:43" x14ac:dyDescent="0.2">
      <c r="AQ18572" s="31"/>
    </row>
    <row r="18573" spans="43:43" x14ac:dyDescent="0.2">
      <c r="AQ18573" s="31"/>
    </row>
    <row r="18574" spans="43:43" x14ac:dyDescent="0.2">
      <c r="AQ18574" s="31"/>
    </row>
    <row r="18575" spans="43:43" x14ac:dyDescent="0.2">
      <c r="AQ18575" s="31"/>
    </row>
    <row r="18576" spans="43:43" x14ac:dyDescent="0.2">
      <c r="AQ18576" s="31"/>
    </row>
    <row r="18577" spans="43:43" x14ac:dyDescent="0.2">
      <c r="AQ18577" s="31"/>
    </row>
    <row r="18578" spans="43:43" x14ac:dyDescent="0.2">
      <c r="AQ18578" s="31"/>
    </row>
    <row r="18579" spans="43:43" x14ac:dyDescent="0.2">
      <c r="AQ18579" s="31"/>
    </row>
    <row r="18580" spans="43:43" x14ac:dyDescent="0.2">
      <c r="AQ18580" s="31"/>
    </row>
    <row r="18581" spans="43:43" x14ac:dyDescent="0.2">
      <c r="AQ18581" s="31"/>
    </row>
    <row r="18582" spans="43:43" x14ac:dyDescent="0.2">
      <c r="AQ18582" s="31"/>
    </row>
    <row r="18583" spans="43:43" x14ac:dyDescent="0.2">
      <c r="AQ18583" s="31"/>
    </row>
    <row r="18584" spans="43:43" x14ac:dyDescent="0.2">
      <c r="AQ18584" s="31"/>
    </row>
    <row r="18585" spans="43:43" x14ac:dyDescent="0.2">
      <c r="AQ18585" s="31"/>
    </row>
    <row r="18586" spans="43:43" x14ac:dyDescent="0.2">
      <c r="AQ18586" s="31"/>
    </row>
    <row r="18587" spans="43:43" x14ac:dyDescent="0.2">
      <c r="AQ18587" s="31"/>
    </row>
    <row r="18588" spans="43:43" x14ac:dyDescent="0.2">
      <c r="AQ18588" s="31"/>
    </row>
    <row r="18589" spans="43:43" x14ac:dyDescent="0.2">
      <c r="AQ18589" s="31"/>
    </row>
    <row r="18590" spans="43:43" x14ac:dyDescent="0.2">
      <c r="AQ18590" s="31"/>
    </row>
    <row r="18591" spans="43:43" x14ac:dyDescent="0.2">
      <c r="AQ18591" s="31"/>
    </row>
    <row r="18592" spans="43:43" x14ac:dyDescent="0.2">
      <c r="AQ18592" s="31"/>
    </row>
    <row r="18593" spans="43:43" x14ac:dyDescent="0.2">
      <c r="AQ18593" s="31"/>
    </row>
    <row r="18594" spans="43:43" x14ac:dyDescent="0.2">
      <c r="AQ18594" s="31"/>
    </row>
    <row r="18595" spans="43:43" x14ac:dyDescent="0.2">
      <c r="AQ18595" s="31"/>
    </row>
    <row r="18596" spans="43:43" x14ac:dyDescent="0.2">
      <c r="AQ18596" s="31"/>
    </row>
    <row r="18597" spans="43:43" x14ac:dyDescent="0.2">
      <c r="AQ18597" s="31"/>
    </row>
    <row r="18598" spans="43:43" x14ac:dyDescent="0.2">
      <c r="AQ18598" s="31"/>
    </row>
    <row r="18599" spans="43:43" x14ac:dyDescent="0.2">
      <c r="AQ18599" s="31"/>
    </row>
    <row r="18600" spans="43:43" x14ac:dyDescent="0.2">
      <c r="AQ18600" s="31"/>
    </row>
    <row r="18601" spans="43:43" x14ac:dyDescent="0.2">
      <c r="AQ18601" s="31"/>
    </row>
    <row r="18602" spans="43:43" x14ac:dyDescent="0.2">
      <c r="AQ18602" s="31"/>
    </row>
    <row r="18603" spans="43:43" x14ac:dyDescent="0.2">
      <c r="AQ18603" s="31"/>
    </row>
    <row r="18604" spans="43:43" x14ac:dyDescent="0.2">
      <c r="AQ18604" s="31"/>
    </row>
    <row r="18605" spans="43:43" x14ac:dyDescent="0.2">
      <c r="AQ18605" s="31"/>
    </row>
    <row r="18606" spans="43:43" x14ac:dyDescent="0.2">
      <c r="AQ18606" s="31"/>
    </row>
    <row r="18607" spans="43:43" x14ac:dyDescent="0.2">
      <c r="AQ18607" s="31"/>
    </row>
    <row r="18608" spans="43:43" x14ac:dyDescent="0.2">
      <c r="AQ18608" s="31"/>
    </row>
    <row r="18609" spans="43:43" x14ac:dyDescent="0.2">
      <c r="AQ18609" s="31"/>
    </row>
    <row r="18610" spans="43:43" x14ac:dyDescent="0.2">
      <c r="AQ18610" s="31"/>
    </row>
    <row r="18611" spans="43:43" x14ac:dyDescent="0.2">
      <c r="AQ18611" s="31"/>
    </row>
    <row r="18612" spans="43:43" x14ac:dyDescent="0.2">
      <c r="AQ18612" s="31"/>
    </row>
    <row r="18613" spans="43:43" x14ac:dyDescent="0.2">
      <c r="AQ18613" s="31"/>
    </row>
    <row r="18614" spans="43:43" x14ac:dyDescent="0.2">
      <c r="AQ18614" s="31"/>
    </row>
    <row r="18615" spans="43:43" x14ac:dyDescent="0.2">
      <c r="AQ18615" s="31"/>
    </row>
    <row r="18616" spans="43:43" x14ac:dyDescent="0.2">
      <c r="AQ18616" s="31"/>
    </row>
    <row r="18617" spans="43:43" x14ac:dyDescent="0.2">
      <c r="AQ18617" s="31"/>
    </row>
    <row r="18618" spans="43:43" x14ac:dyDescent="0.2">
      <c r="AQ18618" s="31"/>
    </row>
    <row r="18619" spans="43:43" x14ac:dyDescent="0.2">
      <c r="AQ18619" s="31"/>
    </row>
    <row r="18620" spans="43:43" x14ac:dyDescent="0.2">
      <c r="AQ18620" s="31"/>
    </row>
    <row r="18621" spans="43:43" x14ac:dyDescent="0.2">
      <c r="AQ18621" s="31"/>
    </row>
    <row r="18622" spans="43:43" x14ac:dyDescent="0.2">
      <c r="AQ18622" s="31"/>
    </row>
    <row r="18623" spans="43:43" x14ac:dyDescent="0.2">
      <c r="AQ18623" s="31"/>
    </row>
    <row r="18624" spans="43:43" x14ac:dyDescent="0.2">
      <c r="AQ18624" s="31"/>
    </row>
    <row r="18625" spans="43:43" x14ac:dyDescent="0.2">
      <c r="AQ18625" s="31"/>
    </row>
    <row r="18626" spans="43:43" x14ac:dyDescent="0.2">
      <c r="AQ18626" s="31"/>
    </row>
    <row r="18627" spans="43:43" x14ac:dyDescent="0.2">
      <c r="AQ18627" s="31"/>
    </row>
    <row r="18628" spans="43:43" x14ac:dyDescent="0.2">
      <c r="AQ18628" s="31"/>
    </row>
    <row r="18629" spans="43:43" x14ac:dyDescent="0.2">
      <c r="AQ18629" s="31"/>
    </row>
    <row r="18630" spans="43:43" x14ac:dyDescent="0.2">
      <c r="AQ18630" s="31"/>
    </row>
    <row r="18631" spans="43:43" x14ac:dyDescent="0.2">
      <c r="AQ18631" s="31"/>
    </row>
    <row r="18632" spans="43:43" x14ac:dyDescent="0.2">
      <c r="AQ18632" s="31"/>
    </row>
    <row r="18633" spans="43:43" x14ac:dyDescent="0.2">
      <c r="AQ18633" s="31"/>
    </row>
    <row r="18634" spans="43:43" x14ac:dyDescent="0.2">
      <c r="AQ18634" s="31"/>
    </row>
    <row r="18635" spans="43:43" x14ac:dyDescent="0.2">
      <c r="AQ18635" s="31"/>
    </row>
    <row r="18636" spans="43:43" x14ac:dyDescent="0.2">
      <c r="AQ18636" s="31"/>
    </row>
    <row r="18637" spans="43:43" x14ac:dyDescent="0.2">
      <c r="AQ18637" s="31"/>
    </row>
    <row r="18638" spans="43:43" x14ac:dyDescent="0.2">
      <c r="AQ18638" s="31"/>
    </row>
    <row r="18639" spans="43:43" x14ac:dyDescent="0.2">
      <c r="AQ18639" s="31"/>
    </row>
    <row r="18640" spans="43:43" x14ac:dyDescent="0.2">
      <c r="AQ18640" s="31"/>
    </row>
    <row r="18641" spans="43:43" x14ac:dyDescent="0.2">
      <c r="AQ18641" s="31"/>
    </row>
    <row r="18642" spans="43:43" x14ac:dyDescent="0.2">
      <c r="AQ18642" s="31"/>
    </row>
    <row r="18643" spans="43:43" x14ac:dyDescent="0.2">
      <c r="AQ18643" s="31"/>
    </row>
    <row r="18644" spans="43:43" x14ac:dyDescent="0.2">
      <c r="AQ18644" s="31"/>
    </row>
    <row r="18645" spans="43:43" x14ac:dyDescent="0.2">
      <c r="AQ18645" s="31"/>
    </row>
    <row r="18646" spans="43:43" x14ac:dyDescent="0.2">
      <c r="AQ18646" s="31"/>
    </row>
    <row r="18647" spans="43:43" x14ac:dyDescent="0.2">
      <c r="AQ18647" s="31"/>
    </row>
    <row r="18648" spans="43:43" x14ac:dyDescent="0.2">
      <c r="AQ18648" s="31"/>
    </row>
    <row r="18649" spans="43:43" x14ac:dyDescent="0.2">
      <c r="AQ18649" s="31"/>
    </row>
    <row r="18650" spans="43:43" x14ac:dyDescent="0.2">
      <c r="AQ18650" s="31"/>
    </row>
    <row r="18651" spans="43:43" x14ac:dyDescent="0.2">
      <c r="AQ18651" s="31"/>
    </row>
    <row r="18652" spans="43:43" x14ac:dyDescent="0.2">
      <c r="AQ18652" s="31"/>
    </row>
    <row r="18653" spans="43:43" x14ac:dyDescent="0.2">
      <c r="AQ18653" s="31"/>
    </row>
    <row r="18654" spans="43:43" x14ac:dyDescent="0.2">
      <c r="AQ18654" s="31"/>
    </row>
    <row r="18655" spans="43:43" x14ac:dyDescent="0.2">
      <c r="AQ18655" s="31"/>
    </row>
    <row r="18656" spans="43:43" x14ac:dyDescent="0.2">
      <c r="AQ18656" s="31"/>
    </row>
    <row r="18657" spans="43:43" x14ac:dyDescent="0.2">
      <c r="AQ18657" s="31"/>
    </row>
    <row r="18658" spans="43:43" x14ac:dyDescent="0.2">
      <c r="AQ18658" s="31"/>
    </row>
    <row r="18659" spans="43:43" x14ac:dyDescent="0.2">
      <c r="AQ18659" s="31"/>
    </row>
    <row r="18660" spans="43:43" x14ac:dyDescent="0.2">
      <c r="AQ18660" s="31"/>
    </row>
    <row r="18661" spans="43:43" x14ac:dyDescent="0.2">
      <c r="AQ18661" s="31"/>
    </row>
    <row r="18662" spans="43:43" x14ac:dyDescent="0.2">
      <c r="AQ18662" s="31"/>
    </row>
    <row r="18663" spans="43:43" x14ac:dyDescent="0.2">
      <c r="AQ18663" s="31"/>
    </row>
    <row r="18664" spans="43:43" x14ac:dyDescent="0.2">
      <c r="AQ18664" s="31"/>
    </row>
    <row r="18665" spans="43:43" x14ac:dyDescent="0.2">
      <c r="AQ18665" s="31"/>
    </row>
    <row r="18666" spans="43:43" x14ac:dyDescent="0.2">
      <c r="AQ18666" s="31"/>
    </row>
    <row r="18667" spans="43:43" x14ac:dyDescent="0.2">
      <c r="AQ18667" s="31"/>
    </row>
    <row r="18668" spans="43:43" x14ac:dyDescent="0.2">
      <c r="AQ18668" s="31"/>
    </row>
    <row r="18669" spans="43:43" x14ac:dyDescent="0.2">
      <c r="AQ18669" s="31"/>
    </row>
    <row r="18670" spans="43:43" x14ac:dyDescent="0.2">
      <c r="AQ18670" s="31"/>
    </row>
    <row r="18671" spans="43:43" x14ac:dyDescent="0.2">
      <c r="AQ18671" s="31"/>
    </row>
    <row r="18672" spans="43:43" x14ac:dyDescent="0.2">
      <c r="AQ18672" s="31"/>
    </row>
    <row r="18673" spans="43:43" x14ac:dyDescent="0.2">
      <c r="AQ18673" s="31"/>
    </row>
    <row r="18674" spans="43:43" x14ac:dyDescent="0.2">
      <c r="AQ18674" s="31"/>
    </row>
    <row r="18675" spans="43:43" x14ac:dyDescent="0.2">
      <c r="AQ18675" s="31"/>
    </row>
    <row r="18676" spans="43:43" x14ac:dyDescent="0.2">
      <c r="AQ18676" s="31"/>
    </row>
    <row r="18677" spans="43:43" x14ac:dyDescent="0.2">
      <c r="AQ18677" s="31"/>
    </row>
    <row r="18678" spans="43:43" x14ac:dyDescent="0.2">
      <c r="AQ18678" s="31"/>
    </row>
    <row r="18679" spans="43:43" x14ac:dyDescent="0.2">
      <c r="AQ18679" s="31"/>
    </row>
    <row r="18680" spans="43:43" x14ac:dyDescent="0.2">
      <c r="AQ18680" s="31"/>
    </row>
    <row r="18681" spans="43:43" x14ac:dyDescent="0.2">
      <c r="AQ18681" s="31"/>
    </row>
    <row r="18682" spans="43:43" x14ac:dyDescent="0.2">
      <c r="AQ18682" s="31"/>
    </row>
    <row r="18683" spans="43:43" x14ac:dyDescent="0.2">
      <c r="AQ18683" s="31"/>
    </row>
    <row r="18684" spans="43:43" x14ac:dyDescent="0.2">
      <c r="AQ18684" s="31"/>
    </row>
    <row r="18685" spans="43:43" x14ac:dyDescent="0.2">
      <c r="AQ18685" s="31"/>
    </row>
    <row r="18686" spans="43:43" x14ac:dyDescent="0.2">
      <c r="AQ18686" s="31"/>
    </row>
    <row r="18687" spans="43:43" x14ac:dyDescent="0.2">
      <c r="AQ18687" s="31"/>
    </row>
    <row r="18688" spans="43:43" x14ac:dyDescent="0.2">
      <c r="AQ18688" s="31"/>
    </row>
    <row r="18689" spans="43:43" x14ac:dyDescent="0.2">
      <c r="AQ18689" s="31"/>
    </row>
    <row r="18690" spans="43:43" x14ac:dyDescent="0.2">
      <c r="AQ18690" s="31"/>
    </row>
    <row r="18691" spans="43:43" x14ac:dyDescent="0.2">
      <c r="AQ18691" s="31"/>
    </row>
    <row r="18692" spans="43:43" x14ac:dyDescent="0.2">
      <c r="AQ18692" s="31"/>
    </row>
    <row r="18693" spans="43:43" x14ac:dyDescent="0.2">
      <c r="AQ18693" s="31"/>
    </row>
    <row r="18694" spans="43:43" x14ac:dyDescent="0.2">
      <c r="AQ18694" s="31"/>
    </row>
    <row r="18695" spans="43:43" x14ac:dyDescent="0.2">
      <c r="AQ18695" s="31"/>
    </row>
    <row r="18696" spans="43:43" x14ac:dyDescent="0.2">
      <c r="AQ18696" s="31"/>
    </row>
    <row r="18697" spans="43:43" x14ac:dyDescent="0.2">
      <c r="AQ18697" s="31"/>
    </row>
    <row r="18698" spans="43:43" x14ac:dyDescent="0.2">
      <c r="AQ18698" s="31"/>
    </row>
    <row r="18699" spans="43:43" x14ac:dyDescent="0.2">
      <c r="AQ18699" s="31"/>
    </row>
    <row r="18700" spans="43:43" x14ac:dyDescent="0.2">
      <c r="AQ18700" s="31"/>
    </row>
    <row r="18701" spans="43:43" x14ac:dyDescent="0.2">
      <c r="AQ18701" s="31"/>
    </row>
    <row r="18702" spans="43:43" x14ac:dyDescent="0.2">
      <c r="AQ18702" s="31"/>
    </row>
    <row r="18703" spans="43:43" x14ac:dyDescent="0.2">
      <c r="AQ18703" s="31"/>
    </row>
    <row r="18704" spans="43:43" x14ac:dyDescent="0.2">
      <c r="AQ18704" s="31"/>
    </row>
    <row r="18705" spans="43:43" x14ac:dyDescent="0.2">
      <c r="AQ18705" s="31"/>
    </row>
    <row r="18706" spans="43:43" x14ac:dyDescent="0.2">
      <c r="AQ18706" s="31"/>
    </row>
    <row r="18707" spans="43:43" x14ac:dyDescent="0.2">
      <c r="AQ18707" s="31"/>
    </row>
    <row r="18708" spans="43:43" x14ac:dyDescent="0.2">
      <c r="AQ18708" s="31"/>
    </row>
    <row r="18709" spans="43:43" x14ac:dyDescent="0.2">
      <c r="AQ18709" s="31"/>
    </row>
    <row r="18710" spans="43:43" x14ac:dyDescent="0.2">
      <c r="AQ18710" s="31"/>
    </row>
    <row r="18711" spans="43:43" x14ac:dyDescent="0.2">
      <c r="AQ18711" s="31"/>
    </row>
    <row r="18712" spans="43:43" x14ac:dyDescent="0.2">
      <c r="AQ18712" s="31"/>
    </row>
    <row r="18713" spans="43:43" x14ac:dyDescent="0.2">
      <c r="AQ18713" s="31"/>
    </row>
    <row r="18714" spans="43:43" x14ac:dyDescent="0.2">
      <c r="AQ18714" s="31"/>
    </row>
    <row r="18715" spans="43:43" x14ac:dyDescent="0.2">
      <c r="AQ18715" s="31"/>
    </row>
    <row r="18716" spans="43:43" x14ac:dyDescent="0.2">
      <c r="AQ18716" s="31"/>
    </row>
    <row r="18717" spans="43:43" x14ac:dyDescent="0.2">
      <c r="AQ18717" s="31"/>
    </row>
    <row r="18718" spans="43:43" x14ac:dyDescent="0.2">
      <c r="AQ18718" s="31"/>
    </row>
    <row r="18719" spans="43:43" x14ac:dyDescent="0.2">
      <c r="AQ18719" s="31"/>
    </row>
    <row r="18720" spans="43:43" x14ac:dyDescent="0.2">
      <c r="AQ18720" s="31"/>
    </row>
    <row r="18721" spans="43:43" x14ac:dyDescent="0.2">
      <c r="AQ18721" s="31"/>
    </row>
    <row r="18722" spans="43:43" x14ac:dyDescent="0.2">
      <c r="AQ18722" s="31"/>
    </row>
    <row r="18723" spans="43:43" x14ac:dyDescent="0.2">
      <c r="AQ18723" s="31"/>
    </row>
    <row r="18724" spans="43:43" x14ac:dyDescent="0.2">
      <c r="AQ18724" s="31"/>
    </row>
    <row r="18725" spans="43:43" x14ac:dyDescent="0.2">
      <c r="AQ18725" s="31"/>
    </row>
    <row r="18726" spans="43:43" x14ac:dyDescent="0.2">
      <c r="AQ18726" s="31"/>
    </row>
    <row r="18727" spans="43:43" x14ac:dyDescent="0.2">
      <c r="AQ18727" s="31"/>
    </row>
    <row r="18728" spans="43:43" x14ac:dyDescent="0.2">
      <c r="AQ18728" s="31"/>
    </row>
    <row r="18729" spans="43:43" x14ac:dyDescent="0.2">
      <c r="AQ18729" s="31"/>
    </row>
    <row r="18730" spans="43:43" x14ac:dyDescent="0.2">
      <c r="AQ18730" s="31"/>
    </row>
    <row r="18731" spans="43:43" x14ac:dyDescent="0.2">
      <c r="AQ18731" s="31"/>
    </row>
    <row r="18732" spans="43:43" x14ac:dyDescent="0.2">
      <c r="AQ18732" s="31"/>
    </row>
    <row r="18733" spans="43:43" x14ac:dyDescent="0.2">
      <c r="AQ18733" s="31"/>
    </row>
    <row r="18734" spans="43:43" x14ac:dyDescent="0.2">
      <c r="AQ18734" s="31"/>
    </row>
    <row r="18735" spans="43:43" x14ac:dyDescent="0.2">
      <c r="AQ18735" s="31"/>
    </row>
    <row r="18736" spans="43:43" x14ac:dyDescent="0.2">
      <c r="AQ18736" s="31"/>
    </row>
    <row r="18737" spans="43:43" x14ac:dyDescent="0.2">
      <c r="AQ18737" s="31"/>
    </row>
    <row r="18738" spans="43:43" x14ac:dyDescent="0.2">
      <c r="AQ18738" s="31"/>
    </row>
    <row r="18739" spans="43:43" x14ac:dyDescent="0.2">
      <c r="AQ18739" s="31"/>
    </row>
    <row r="18740" spans="43:43" x14ac:dyDescent="0.2">
      <c r="AQ18740" s="31"/>
    </row>
    <row r="18741" spans="43:43" x14ac:dyDescent="0.2">
      <c r="AQ18741" s="31"/>
    </row>
    <row r="18742" spans="43:43" x14ac:dyDescent="0.2">
      <c r="AQ18742" s="31"/>
    </row>
    <row r="18743" spans="43:43" x14ac:dyDescent="0.2">
      <c r="AQ18743" s="31"/>
    </row>
    <row r="18744" spans="43:43" x14ac:dyDescent="0.2">
      <c r="AQ18744" s="31"/>
    </row>
    <row r="18745" spans="43:43" x14ac:dyDescent="0.2">
      <c r="AQ18745" s="31"/>
    </row>
    <row r="18746" spans="43:43" x14ac:dyDescent="0.2">
      <c r="AQ18746" s="31"/>
    </row>
    <row r="18747" spans="43:43" x14ac:dyDescent="0.2">
      <c r="AQ18747" s="31"/>
    </row>
    <row r="18748" spans="43:43" x14ac:dyDescent="0.2">
      <c r="AQ18748" s="31"/>
    </row>
    <row r="18749" spans="43:43" x14ac:dyDescent="0.2">
      <c r="AQ18749" s="31"/>
    </row>
    <row r="18750" spans="43:43" x14ac:dyDescent="0.2">
      <c r="AQ18750" s="31"/>
    </row>
    <row r="18751" spans="43:43" x14ac:dyDescent="0.2">
      <c r="AQ18751" s="31"/>
    </row>
    <row r="18752" spans="43:43" x14ac:dyDescent="0.2">
      <c r="AQ18752" s="31"/>
    </row>
    <row r="18753" spans="43:43" x14ac:dyDescent="0.2">
      <c r="AQ18753" s="31"/>
    </row>
    <row r="18754" spans="43:43" x14ac:dyDescent="0.2">
      <c r="AQ18754" s="31"/>
    </row>
    <row r="18755" spans="43:43" x14ac:dyDescent="0.2">
      <c r="AQ18755" s="31"/>
    </row>
    <row r="18756" spans="43:43" x14ac:dyDescent="0.2">
      <c r="AQ18756" s="31"/>
    </row>
    <row r="18757" spans="43:43" x14ac:dyDescent="0.2">
      <c r="AQ18757" s="31"/>
    </row>
    <row r="18758" spans="43:43" x14ac:dyDescent="0.2">
      <c r="AQ18758" s="31"/>
    </row>
    <row r="18759" spans="43:43" x14ac:dyDescent="0.2">
      <c r="AQ18759" s="31"/>
    </row>
    <row r="18760" spans="43:43" x14ac:dyDescent="0.2">
      <c r="AQ18760" s="31"/>
    </row>
    <row r="18761" spans="43:43" x14ac:dyDescent="0.2">
      <c r="AQ18761" s="31"/>
    </row>
    <row r="18762" spans="43:43" x14ac:dyDescent="0.2">
      <c r="AQ18762" s="31"/>
    </row>
    <row r="18763" spans="43:43" x14ac:dyDescent="0.2">
      <c r="AQ18763" s="31"/>
    </row>
    <row r="18764" spans="43:43" x14ac:dyDescent="0.2">
      <c r="AQ18764" s="31"/>
    </row>
    <row r="18765" spans="43:43" x14ac:dyDescent="0.2">
      <c r="AQ18765" s="31"/>
    </row>
    <row r="18766" spans="43:43" x14ac:dyDescent="0.2">
      <c r="AQ18766" s="31"/>
    </row>
    <row r="18767" spans="43:43" x14ac:dyDescent="0.2">
      <c r="AQ18767" s="31"/>
    </row>
    <row r="18768" spans="43:43" x14ac:dyDescent="0.2">
      <c r="AQ18768" s="31"/>
    </row>
    <row r="18769" spans="43:43" x14ac:dyDescent="0.2">
      <c r="AQ18769" s="31"/>
    </row>
    <row r="18770" spans="43:43" x14ac:dyDescent="0.2">
      <c r="AQ18770" s="31"/>
    </row>
    <row r="18771" spans="43:43" x14ac:dyDescent="0.2">
      <c r="AQ18771" s="31"/>
    </row>
    <row r="18772" spans="43:43" x14ac:dyDescent="0.2">
      <c r="AQ18772" s="31"/>
    </row>
    <row r="18773" spans="43:43" x14ac:dyDescent="0.2">
      <c r="AQ18773" s="31"/>
    </row>
    <row r="18774" spans="43:43" x14ac:dyDescent="0.2">
      <c r="AQ18774" s="31"/>
    </row>
    <row r="18775" spans="43:43" x14ac:dyDescent="0.2">
      <c r="AQ18775" s="31"/>
    </row>
    <row r="18776" spans="43:43" x14ac:dyDescent="0.2">
      <c r="AQ18776" s="31"/>
    </row>
    <row r="18777" spans="43:43" x14ac:dyDescent="0.2">
      <c r="AQ18777" s="31"/>
    </row>
    <row r="18778" spans="43:43" x14ac:dyDescent="0.2">
      <c r="AQ18778" s="31"/>
    </row>
    <row r="18779" spans="43:43" x14ac:dyDescent="0.2">
      <c r="AQ18779" s="31"/>
    </row>
    <row r="18780" spans="43:43" x14ac:dyDescent="0.2">
      <c r="AQ18780" s="31"/>
    </row>
    <row r="18781" spans="43:43" x14ac:dyDescent="0.2">
      <c r="AQ18781" s="31"/>
    </row>
    <row r="18782" spans="43:43" x14ac:dyDescent="0.2">
      <c r="AQ18782" s="31"/>
    </row>
    <row r="18783" spans="43:43" x14ac:dyDescent="0.2">
      <c r="AQ18783" s="31"/>
    </row>
    <row r="18784" spans="43:43" x14ac:dyDescent="0.2">
      <c r="AQ18784" s="31"/>
    </row>
    <row r="18785" spans="43:43" x14ac:dyDescent="0.2">
      <c r="AQ18785" s="31"/>
    </row>
    <row r="18786" spans="43:43" x14ac:dyDescent="0.2">
      <c r="AQ18786" s="31"/>
    </row>
    <row r="18787" spans="43:43" x14ac:dyDescent="0.2">
      <c r="AQ18787" s="31"/>
    </row>
    <row r="18788" spans="43:43" x14ac:dyDescent="0.2">
      <c r="AQ18788" s="31"/>
    </row>
    <row r="18789" spans="43:43" x14ac:dyDescent="0.2">
      <c r="AQ18789" s="31"/>
    </row>
    <row r="18790" spans="43:43" x14ac:dyDescent="0.2">
      <c r="AQ18790" s="31"/>
    </row>
    <row r="18791" spans="43:43" x14ac:dyDescent="0.2">
      <c r="AQ18791" s="31"/>
    </row>
    <row r="18792" spans="43:43" x14ac:dyDescent="0.2">
      <c r="AQ18792" s="31"/>
    </row>
    <row r="18793" spans="43:43" x14ac:dyDescent="0.2">
      <c r="AQ18793" s="31"/>
    </row>
    <row r="18794" spans="43:43" x14ac:dyDescent="0.2">
      <c r="AQ18794" s="31"/>
    </row>
    <row r="18795" spans="43:43" x14ac:dyDescent="0.2">
      <c r="AQ18795" s="31"/>
    </row>
    <row r="18796" spans="43:43" x14ac:dyDescent="0.2">
      <c r="AQ18796" s="31"/>
    </row>
    <row r="18797" spans="43:43" x14ac:dyDescent="0.2">
      <c r="AQ18797" s="31"/>
    </row>
    <row r="18798" spans="43:43" x14ac:dyDescent="0.2">
      <c r="AQ18798" s="31"/>
    </row>
    <row r="18799" spans="43:43" x14ac:dyDescent="0.2">
      <c r="AQ18799" s="31"/>
    </row>
    <row r="18800" spans="43:43" x14ac:dyDescent="0.2">
      <c r="AQ18800" s="31"/>
    </row>
    <row r="18801" spans="43:43" x14ac:dyDescent="0.2">
      <c r="AQ18801" s="31"/>
    </row>
    <row r="18802" spans="43:43" x14ac:dyDescent="0.2">
      <c r="AQ18802" s="31"/>
    </row>
    <row r="18803" spans="43:43" x14ac:dyDescent="0.2">
      <c r="AQ18803" s="31"/>
    </row>
    <row r="18804" spans="43:43" x14ac:dyDescent="0.2">
      <c r="AQ18804" s="31"/>
    </row>
    <row r="18805" spans="43:43" x14ac:dyDescent="0.2">
      <c r="AQ18805" s="31"/>
    </row>
    <row r="18806" spans="43:43" x14ac:dyDescent="0.2">
      <c r="AQ18806" s="31"/>
    </row>
    <row r="18807" spans="43:43" x14ac:dyDescent="0.2">
      <c r="AQ18807" s="31"/>
    </row>
    <row r="18808" spans="43:43" x14ac:dyDescent="0.2">
      <c r="AQ18808" s="31"/>
    </row>
    <row r="18809" spans="43:43" x14ac:dyDescent="0.2">
      <c r="AQ18809" s="31"/>
    </row>
    <row r="18810" spans="43:43" x14ac:dyDescent="0.2">
      <c r="AQ18810" s="31"/>
    </row>
    <row r="18811" spans="43:43" x14ac:dyDescent="0.2">
      <c r="AQ18811" s="31"/>
    </row>
    <row r="18812" spans="43:43" x14ac:dyDescent="0.2">
      <c r="AQ18812" s="31"/>
    </row>
    <row r="18813" spans="43:43" x14ac:dyDescent="0.2">
      <c r="AQ18813" s="31"/>
    </row>
    <row r="18814" spans="43:43" x14ac:dyDescent="0.2">
      <c r="AQ18814" s="31"/>
    </row>
    <row r="18815" spans="43:43" x14ac:dyDescent="0.2">
      <c r="AQ18815" s="31"/>
    </row>
    <row r="18816" spans="43:43" x14ac:dyDescent="0.2">
      <c r="AQ18816" s="31"/>
    </row>
    <row r="18817" spans="43:43" x14ac:dyDescent="0.2">
      <c r="AQ18817" s="31"/>
    </row>
    <row r="18818" spans="43:43" x14ac:dyDescent="0.2">
      <c r="AQ18818" s="31"/>
    </row>
    <row r="18819" spans="43:43" x14ac:dyDescent="0.2">
      <c r="AQ18819" s="31"/>
    </row>
    <row r="18820" spans="43:43" x14ac:dyDescent="0.2">
      <c r="AQ18820" s="31"/>
    </row>
    <row r="18821" spans="43:43" x14ac:dyDescent="0.2">
      <c r="AQ18821" s="31"/>
    </row>
    <row r="18822" spans="43:43" x14ac:dyDescent="0.2">
      <c r="AQ18822" s="31"/>
    </row>
    <row r="18823" spans="43:43" x14ac:dyDescent="0.2">
      <c r="AQ18823" s="31"/>
    </row>
    <row r="18824" spans="43:43" x14ac:dyDescent="0.2">
      <c r="AQ18824" s="31"/>
    </row>
    <row r="18825" spans="43:43" x14ac:dyDescent="0.2">
      <c r="AQ18825" s="31"/>
    </row>
    <row r="18826" spans="43:43" x14ac:dyDescent="0.2">
      <c r="AQ18826" s="31"/>
    </row>
    <row r="18827" spans="43:43" x14ac:dyDescent="0.2">
      <c r="AQ18827" s="31"/>
    </row>
    <row r="18828" spans="43:43" x14ac:dyDescent="0.2">
      <c r="AQ18828" s="31"/>
    </row>
    <row r="18829" spans="43:43" x14ac:dyDescent="0.2">
      <c r="AQ18829" s="31"/>
    </row>
    <row r="18830" spans="43:43" x14ac:dyDescent="0.2">
      <c r="AQ18830" s="31"/>
    </row>
    <row r="18831" spans="43:43" x14ac:dyDescent="0.2">
      <c r="AQ18831" s="31"/>
    </row>
    <row r="18832" spans="43:43" x14ac:dyDescent="0.2">
      <c r="AQ18832" s="31"/>
    </row>
    <row r="18833" spans="43:43" x14ac:dyDescent="0.2">
      <c r="AQ18833" s="31"/>
    </row>
    <row r="18834" spans="43:43" x14ac:dyDescent="0.2">
      <c r="AQ18834" s="31"/>
    </row>
    <row r="18835" spans="43:43" x14ac:dyDescent="0.2">
      <c r="AQ18835" s="31"/>
    </row>
    <row r="18836" spans="43:43" x14ac:dyDescent="0.2">
      <c r="AQ18836" s="31"/>
    </row>
    <row r="18837" spans="43:43" x14ac:dyDescent="0.2">
      <c r="AQ18837" s="31"/>
    </row>
    <row r="18838" spans="43:43" x14ac:dyDescent="0.2">
      <c r="AQ18838" s="31"/>
    </row>
    <row r="18839" spans="43:43" x14ac:dyDescent="0.2">
      <c r="AQ18839" s="31"/>
    </row>
    <row r="18840" spans="43:43" x14ac:dyDescent="0.2">
      <c r="AQ18840" s="31"/>
    </row>
    <row r="18841" spans="43:43" x14ac:dyDescent="0.2">
      <c r="AQ18841" s="31"/>
    </row>
    <row r="18842" spans="43:43" x14ac:dyDescent="0.2">
      <c r="AQ18842" s="31"/>
    </row>
    <row r="18843" spans="43:43" x14ac:dyDescent="0.2">
      <c r="AQ18843" s="31"/>
    </row>
    <row r="18844" spans="43:43" x14ac:dyDescent="0.2">
      <c r="AQ18844" s="31"/>
    </row>
    <row r="18845" spans="43:43" x14ac:dyDescent="0.2">
      <c r="AQ18845" s="31"/>
    </row>
    <row r="18846" spans="43:43" x14ac:dyDescent="0.2">
      <c r="AQ18846" s="31"/>
    </row>
    <row r="18847" spans="43:43" x14ac:dyDescent="0.2">
      <c r="AQ18847" s="31"/>
    </row>
    <row r="18848" spans="43:43" x14ac:dyDescent="0.2">
      <c r="AQ18848" s="31"/>
    </row>
    <row r="18849" spans="43:43" x14ac:dyDescent="0.2">
      <c r="AQ18849" s="31"/>
    </row>
    <row r="18850" spans="43:43" x14ac:dyDescent="0.2">
      <c r="AQ18850" s="31"/>
    </row>
    <row r="18851" spans="43:43" x14ac:dyDescent="0.2">
      <c r="AQ18851" s="31"/>
    </row>
    <row r="18852" spans="43:43" x14ac:dyDescent="0.2">
      <c r="AQ18852" s="31"/>
    </row>
    <row r="18853" spans="43:43" x14ac:dyDescent="0.2">
      <c r="AQ18853" s="31"/>
    </row>
    <row r="18854" spans="43:43" x14ac:dyDescent="0.2">
      <c r="AQ18854" s="31"/>
    </row>
    <row r="18855" spans="43:43" x14ac:dyDescent="0.2">
      <c r="AQ18855" s="31"/>
    </row>
    <row r="18856" spans="43:43" x14ac:dyDescent="0.2">
      <c r="AQ18856" s="31"/>
    </row>
    <row r="18857" spans="43:43" x14ac:dyDescent="0.2">
      <c r="AQ18857" s="31"/>
    </row>
    <row r="18858" spans="43:43" x14ac:dyDescent="0.2">
      <c r="AQ18858" s="31"/>
    </row>
    <row r="18859" spans="43:43" x14ac:dyDescent="0.2">
      <c r="AQ18859" s="31"/>
    </row>
    <row r="18860" spans="43:43" x14ac:dyDescent="0.2">
      <c r="AQ18860" s="31"/>
    </row>
    <row r="18861" spans="43:43" x14ac:dyDescent="0.2">
      <c r="AQ18861" s="31"/>
    </row>
    <row r="18862" spans="43:43" x14ac:dyDescent="0.2">
      <c r="AQ18862" s="31"/>
    </row>
    <row r="18863" spans="43:43" x14ac:dyDescent="0.2">
      <c r="AQ18863" s="31"/>
    </row>
    <row r="18864" spans="43:43" x14ac:dyDescent="0.2">
      <c r="AQ18864" s="31"/>
    </row>
    <row r="18865" spans="43:43" x14ac:dyDescent="0.2">
      <c r="AQ18865" s="31"/>
    </row>
    <row r="18866" spans="43:43" x14ac:dyDescent="0.2">
      <c r="AQ18866" s="31"/>
    </row>
    <row r="18867" spans="43:43" x14ac:dyDescent="0.2">
      <c r="AQ18867" s="31"/>
    </row>
    <row r="18868" spans="43:43" x14ac:dyDescent="0.2">
      <c r="AQ18868" s="31"/>
    </row>
    <row r="18869" spans="43:43" x14ac:dyDescent="0.2">
      <c r="AQ18869" s="31"/>
    </row>
    <row r="18870" spans="43:43" x14ac:dyDescent="0.2">
      <c r="AQ18870" s="31"/>
    </row>
    <row r="18871" spans="43:43" x14ac:dyDescent="0.2">
      <c r="AQ18871" s="31"/>
    </row>
    <row r="18872" spans="43:43" x14ac:dyDescent="0.2">
      <c r="AQ18872" s="31"/>
    </row>
    <row r="18873" spans="43:43" x14ac:dyDescent="0.2">
      <c r="AQ18873" s="31"/>
    </row>
    <row r="18874" spans="43:43" x14ac:dyDescent="0.2">
      <c r="AQ18874" s="31"/>
    </row>
    <row r="18875" spans="43:43" x14ac:dyDescent="0.2">
      <c r="AQ18875" s="31"/>
    </row>
    <row r="18876" spans="43:43" x14ac:dyDescent="0.2">
      <c r="AQ18876" s="31"/>
    </row>
    <row r="18877" spans="43:43" x14ac:dyDescent="0.2">
      <c r="AQ18877" s="31"/>
    </row>
    <row r="18878" spans="43:43" x14ac:dyDescent="0.2">
      <c r="AQ18878" s="31"/>
    </row>
    <row r="18879" spans="43:43" x14ac:dyDescent="0.2">
      <c r="AQ18879" s="31"/>
    </row>
    <row r="18880" spans="43:43" x14ac:dyDescent="0.2">
      <c r="AQ18880" s="31"/>
    </row>
    <row r="18881" spans="43:43" x14ac:dyDescent="0.2">
      <c r="AQ18881" s="31"/>
    </row>
    <row r="18882" spans="43:43" x14ac:dyDescent="0.2">
      <c r="AQ18882" s="31"/>
    </row>
    <row r="18883" spans="43:43" x14ac:dyDescent="0.2">
      <c r="AQ18883" s="31"/>
    </row>
    <row r="18884" spans="43:43" x14ac:dyDescent="0.2">
      <c r="AQ18884" s="31"/>
    </row>
    <row r="18885" spans="43:43" x14ac:dyDescent="0.2">
      <c r="AQ18885" s="31"/>
    </row>
    <row r="18886" spans="43:43" x14ac:dyDescent="0.2">
      <c r="AQ18886" s="31"/>
    </row>
    <row r="18887" spans="43:43" x14ac:dyDescent="0.2">
      <c r="AQ18887" s="31"/>
    </row>
    <row r="18888" spans="43:43" x14ac:dyDescent="0.2">
      <c r="AQ18888" s="31"/>
    </row>
    <row r="18889" spans="43:43" x14ac:dyDescent="0.2">
      <c r="AQ18889" s="31"/>
    </row>
    <row r="18890" spans="43:43" x14ac:dyDescent="0.2">
      <c r="AQ18890" s="31"/>
    </row>
    <row r="18891" spans="43:43" x14ac:dyDescent="0.2">
      <c r="AQ18891" s="31"/>
    </row>
    <row r="18892" spans="43:43" x14ac:dyDescent="0.2">
      <c r="AQ18892" s="31"/>
    </row>
    <row r="18893" spans="43:43" x14ac:dyDescent="0.2">
      <c r="AQ18893" s="31"/>
    </row>
    <row r="18894" spans="43:43" x14ac:dyDescent="0.2">
      <c r="AQ18894" s="31"/>
    </row>
    <row r="18895" spans="43:43" x14ac:dyDescent="0.2">
      <c r="AQ18895" s="31"/>
    </row>
    <row r="18896" spans="43:43" x14ac:dyDescent="0.2">
      <c r="AQ18896" s="31"/>
    </row>
    <row r="18897" spans="43:43" x14ac:dyDescent="0.2">
      <c r="AQ18897" s="31"/>
    </row>
    <row r="18898" spans="43:43" x14ac:dyDescent="0.2">
      <c r="AQ18898" s="31"/>
    </row>
    <row r="18899" spans="43:43" x14ac:dyDescent="0.2">
      <c r="AQ18899" s="31"/>
    </row>
    <row r="18900" spans="43:43" x14ac:dyDescent="0.2">
      <c r="AQ18900" s="31"/>
    </row>
    <row r="18901" spans="43:43" x14ac:dyDescent="0.2">
      <c r="AQ18901" s="31"/>
    </row>
    <row r="18902" spans="43:43" x14ac:dyDescent="0.2">
      <c r="AQ18902" s="31"/>
    </row>
    <row r="18903" spans="43:43" x14ac:dyDescent="0.2">
      <c r="AQ18903" s="31"/>
    </row>
    <row r="18904" spans="43:43" x14ac:dyDescent="0.2">
      <c r="AQ18904" s="31"/>
    </row>
    <row r="18905" spans="43:43" x14ac:dyDescent="0.2">
      <c r="AQ18905" s="31"/>
    </row>
    <row r="18906" spans="43:43" x14ac:dyDescent="0.2">
      <c r="AQ18906" s="31"/>
    </row>
    <row r="18907" spans="43:43" x14ac:dyDescent="0.2">
      <c r="AQ18907" s="31"/>
    </row>
    <row r="18908" spans="43:43" x14ac:dyDescent="0.2">
      <c r="AQ18908" s="31"/>
    </row>
    <row r="18909" spans="43:43" x14ac:dyDescent="0.2">
      <c r="AQ18909" s="31"/>
    </row>
    <row r="18910" spans="43:43" x14ac:dyDescent="0.2">
      <c r="AQ18910" s="31"/>
    </row>
    <row r="18911" spans="43:43" x14ac:dyDescent="0.2">
      <c r="AQ18911" s="31"/>
    </row>
    <row r="18912" spans="43:43" x14ac:dyDescent="0.2">
      <c r="AQ18912" s="31"/>
    </row>
    <row r="18913" spans="43:43" x14ac:dyDescent="0.2">
      <c r="AQ18913" s="31"/>
    </row>
    <row r="18914" spans="43:43" x14ac:dyDescent="0.2">
      <c r="AQ18914" s="31"/>
    </row>
    <row r="18915" spans="43:43" x14ac:dyDescent="0.2">
      <c r="AQ18915" s="31"/>
    </row>
    <row r="18916" spans="43:43" x14ac:dyDescent="0.2">
      <c r="AQ18916" s="31"/>
    </row>
    <row r="18917" spans="43:43" x14ac:dyDescent="0.2">
      <c r="AQ18917" s="31"/>
    </row>
    <row r="18918" spans="43:43" x14ac:dyDescent="0.2">
      <c r="AQ18918" s="31"/>
    </row>
    <row r="18919" spans="43:43" x14ac:dyDescent="0.2">
      <c r="AQ18919" s="31"/>
    </row>
    <row r="18920" spans="43:43" x14ac:dyDescent="0.2">
      <c r="AQ18920" s="31"/>
    </row>
    <row r="18921" spans="43:43" x14ac:dyDescent="0.2">
      <c r="AQ18921" s="31"/>
    </row>
    <row r="18922" spans="43:43" x14ac:dyDescent="0.2">
      <c r="AQ18922" s="31"/>
    </row>
    <row r="18923" spans="43:43" x14ac:dyDescent="0.2">
      <c r="AQ18923" s="31"/>
    </row>
    <row r="18924" spans="43:43" x14ac:dyDescent="0.2">
      <c r="AQ18924" s="31"/>
    </row>
    <row r="18925" spans="43:43" x14ac:dyDescent="0.2">
      <c r="AQ18925" s="31"/>
    </row>
    <row r="18926" spans="43:43" x14ac:dyDescent="0.2">
      <c r="AQ18926" s="31"/>
    </row>
    <row r="18927" spans="43:43" x14ac:dyDescent="0.2">
      <c r="AQ18927" s="31"/>
    </row>
    <row r="18928" spans="43:43" x14ac:dyDescent="0.2">
      <c r="AQ18928" s="31"/>
    </row>
    <row r="18929" spans="43:43" x14ac:dyDescent="0.2">
      <c r="AQ18929" s="31"/>
    </row>
    <row r="18930" spans="43:43" x14ac:dyDescent="0.2">
      <c r="AQ18930" s="31"/>
    </row>
    <row r="18931" spans="43:43" x14ac:dyDescent="0.2">
      <c r="AQ18931" s="31"/>
    </row>
    <row r="18932" spans="43:43" x14ac:dyDescent="0.2">
      <c r="AQ18932" s="31"/>
    </row>
    <row r="18933" spans="43:43" x14ac:dyDescent="0.2">
      <c r="AQ18933" s="31"/>
    </row>
    <row r="18934" spans="43:43" x14ac:dyDescent="0.2">
      <c r="AQ18934" s="31"/>
    </row>
    <row r="18935" spans="43:43" x14ac:dyDescent="0.2">
      <c r="AQ18935" s="31"/>
    </row>
    <row r="18936" spans="43:43" x14ac:dyDescent="0.2">
      <c r="AQ18936" s="31"/>
    </row>
    <row r="18937" spans="43:43" x14ac:dyDescent="0.2">
      <c r="AQ18937" s="31"/>
    </row>
    <row r="18938" spans="43:43" x14ac:dyDescent="0.2">
      <c r="AQ18938" s="31"/>
    </row>
    <row r="18939" spans="43:43" x14ac:dyDescent="0.2">
      <c r="AQ18939" s="31"/>
    </row>
    <row r="18940" spans="43:43" x14ac:dyDescent="0.2">
      <c r="AQ18940" s="31"/>
    </row>
    <row r="18941" spans="43:43" x14ac:dyDescent="0.2">
      <c r="AQ18941" s="31"/>
    </row>
    <row r="18942" spans="43:43" x14ac:dyDescent="0.2">
      <c r="AQ18942" s="31"/>
    </row>
    <row r="18943" spans="43:43" x14ac:dyDescent="0.2">
      <c r="AQ18943" s="31"/>
    </row>
    <row r="18944" spans="43:43" x14ac:dyDescent="0.2">
      <c r="AQ18944" s="31"/>
    </row>
    <row r="18945" spans="43:43" x14ac:dyDescent="0.2">
      <c r="AQ18945" s="31"/>
    </row>
    <row r="18946" spans="43:43" x14ac:dyDescent="0.2">
      <c r="AQ18946" s="31"/>
    </row>
    <row r="18947" spans="43:43" x14ac:dyDescent="0.2">
      <c r="AQ18947" s="31"/>
    </row>
    <row r="18948" spans="43:43" x14ac:dyDescent="0.2">
      <c r="AQ18948" s="31"/>
    </row>
    <row r="18949" spans="43:43" x14ac:dyDescent="0.2">
      <c r="AQ18949" s="31"/>
    </row>
    <row r="18950" spans="43:43" x14ac:dyDescent="0.2">
      <c r="AQ18950" s="31"/>
    </row>
    <row r="18951" spans="43:43" x14ac:dyDescent="0.2">
      <c r="AQ18951" s="31"/>
    </row>
    <row r="18952" spans="43:43" x14ac:dyDescent="0.2">
      <c r="AQ18952" s="31"/>
    </row>
    <row r="18953" spans="43:43" x14ac:dyDescent="0.2">
      <c r="AQ18953" s="31"/>
    </row>
    <row r="18954" spans="43:43" x14ac:dyDescent="0.2">
      <c r="AQ18954" s="31"/>
    </row>
    <row r="18955" spans="43:43" x14ac:dyDescent="0.2">
      <c r="AQ18955" s="31"/>
    </row>
    <row r="18956" spans="43:43" x14ac:dyDescent="0.2">
      <c r="AQ18956" s="31"/>
    </row>
    <row r="18957" spans="43:43" x14ac:dyDescent="0.2">
      <c r="AQ18957" s="31"/>
    </row>
    <row r="18958" spans="43:43" x14ac:dyDescent="0.2">
      <c r="AQ18958" s="31"/>
    </row>
    <row r="18959" spans="43:43" x14ac:dyDescent="0.2">
      <c r="AQ18959" s="31"/>
    </row>
    <row r="18960" spans="43:43" x14ac:dyDescent="0.2">
      <c r="AQ18960" s="31"/>
    </row>
    <row r="18961" spans="43:43" x14ac:dyDescent="0.2">
      <c r="AQ18961" s="31"/>
    </row>
    <row r="18962" spans="43:43" x14ac:dyDescent="0.2">
      <c r="AQ18962" s="31"/>
    </row>
    <row r="18963" spans="43:43" x14ac:dyDescent="0.2">
      <c r="AQ18963" s="31"/>
    </row>
    <row r="18964" spans="43:43" x14ac:dyDescent="0.2">
      <c r="AQ18964" s="31"/>
    </row>
    <row r="18965" spans="43:43" x14ac:dyDescent="0.2">
      <c r="AQ18965" s="31"/>
    </row>
    <row r="18966" spans="43:43" x14ac:dyDescent="0.2">
      <c r="AQ18966" s="31"/>
    </row>
    <row r="18967" spans="43:43" x14ac:dyDescent="0.2">
      <c r="AQ18967" s="31"/>
    </row>
    <row r="18968" spans="43:43" x14ac:dyDescent="0.2">
      <c r="AQ18968" s="31"/>
    </row>
    <row r="18969" spans="43:43" x14ac:dyDescent="0.2">
      <c r="AQ18969" s="31"/>
    </row>
    <row r="18970" spans="43:43" x14ac:dyDescent="0.2">
      <c r="AQ18970" s="31"/>
    </row>
    <row r="18971" spans="43:43" x14ac:dyDescent="0.2">
      <c r="AQ18971" s="31"/>
    </row>
    <row r="18972" spans="43:43" x14ac:dyDescent="0.2">
      <c r="AQ18972" s="31"/>
    </row>
    <row r="18973" spans="43:43" x14ac:dyDescent="0.2">
      <c r="AQ18973" s="31"/>
    </row>
    <row r="18974" spans="43:43" x14ac:dyDescent="0.2">
      <c r="AQ18974" s="31"/>
    </row>
    <row r="18975" spans="43:43" x14ac:dyDescent="0.2">
      <c r="AQ18975" s="31"/>
    </row>
    <row r="18976" spans="43:43" x14ac:dyDescent="0.2">
      <c r="AQ18976" s="31"/>
    </row>
    <row r="18977" spans="43:43" x14ac:dyDescent="0.2">
      <c r="AQ18977" s="31"/>
    </row>
    <row r="18978" spans="43:43" x14ac:dyDescent="0.2">
      <c r="AQ18978" s="31"/>
    </row>
    <row r="18979" spans="43:43" x14ac:dyDescent="0.2">
      <c r="AQ18979" s="31"/>
    </row>
    <row r="18980" spans="43:43" x14ac:dyDescent="0.2">
      <c r="AQ18980" s="31"/>
    </row>
    <row r="18981" spans="43:43" x14ac:dyDescent="0.2">
      <c r="AQ18981" s="31"/>
    </row>
    <row r="18982" spans="43:43" x14ac:dyDescent="0.2">
      <c r="AQ18982" s="31"/>
    </row>
    <row r="18983" spans="43:43" x14ac:dyDescent="0.2">
      <c r="AQ18983" s="31"/>
    </row>
    <row r="18984" spans="43:43" x14ac:dyDescent="0.2">
      <c r="AQ18984" s="31"/>
    </row>
    <row r="18985" spans="43:43" x14ac:dyDescent="0.2">
      <c r="AQ18985" s="31"/>
    </row>
    <row r="18986" spans="43:43" x14ac:dyDescent="0.2">
      <c r="AQ18986" s="31"/>
    </row>
    <row r="18987" spans="43:43" x14ac:dyDescent="0.2">
      <c r="AQ18987" s="31"/>
    </row>
    <row r="18988" spans="43:43" x14ac:dyDescent="0.2">
      <c r="AQ18988" s="31"/>
    </row>
    <row r="18989" spans="43:43" x14ac:dyDescent="0.2">
      <c r="AQ18989" s="31"/>
    </row>
    <row r="18990" spans="43:43" x14ac:dyDescent="0.2">
      <c r="AQ18990" s="31"/>
    </row>
    <row r="18991" spans="43:43" x14ac:dyDescent="0.2">
      <c r="AQ18991" s="31"/>
    </row>
    <row r="18992" spans="43:43" x14ac:dyDescent="0.2">
      <c r="AQ18992" s="31"/>
    </row>
    <row r="18993" spans="43:43" x14ac:dyDescent="0.2">
      <c r="AQ18993" s="31"/>
    </row>
    <row r="18994" spans="43:43" x14ac:dyDescent="0.2">
      <c r="AQ18994" s="31"/>
    </row>
    <row r="18995" spans="43:43" x14ac:dyDescent="0.2">
      <c r="AQ18995" s="31"/>
    </row>
    <row r="18996" spans="43:43" x14ac:dyDescent="0.2">
      <c r="AQ18996" s="31"/>
    </row>
    <row r="18997" spans="43:43" x14ac:dyDescent="0.2">
      <c r="AQ18997" s="31"/>
    </row>
    <row r="18998" spans="43:43" x14ac:dyDescent="0.2">
      <c r="AQ18998" s="31"/>
    </row>
    <row r="18999" spans="43:43" x14ac:dyDescent="0.2">
      <c r="AQ18999" s="31"/>
    </row>
    <row r="19000" spans="43:43" x14ac:dyDescent="0.2">
      <c r="AQ19000" s="31"/>
    </row>
    <row r="19001" spans="43:43" x14ac:dyDescent="0.2">
      <c r="AQ19001" s="31"/>
    </row>
    <row r="19002" spans="43:43" x14ac:dyDescent="0.2">
      <c r="AQ19002" s="31"/>
    </row>
    <row r="19003" spans="43:43" x14ac:dyDescent="0.2">
      <c r="AQ19003" s="31"/>
    </row>
    <row r="19004" spans="43:43" x14ac:dyDescent="0.2">
      <c r="AQ19004" s="31"/>
    </row>
    <row r="19005" spans="43:43" x14ac:dyDescent="0.2">
      <c r="AQ19005" s="31"/>
    </row>
    <row r="19006" spans="43:43" x14ac:dyDescent="0.2">
      <c r="AQ19006" s="31"/>
    </row>
    <row r="19007" spans="43:43" x14ac:dyDescent="0.2">
      <c r="AQ19007" s="31"/>
    </row>
    <row r="19008" spans="43:43" x14ac:dyDescent="0.2">
      <c r="AQ19008" s="31"/>
    </row>
    <row r="19009" spans="43:43" x14ac:dyDescent="0.2">
      <c r="AQ19009" s="31"/>
    </row>
    <row r="19010" spans="43:43" x14ac:dyDescent="0.2">
      <c r="AQ19010" s="31"/>
    </row>
    <row r="19011" spans="43:43" x14ac:dyDescent="0.2">
      <c r="AQ19011" s="31"/>
    </row>
    <row r="19012" spans="43:43" x14ac:dyDescent="0.2">
      <c r="AQ19012" s="31"/>
    </row>
    <row r="19013" spans="43:43" x14ac:dyDescent="0.2">
      <c r="AQ19013" s="31"/>
    </row>
    <row r="19014" spans="43:43" x14ac:dyDescent="0.2">
      <c r="AQ19014" s="31"/>
    </row>
    <row r="19015" spans="43:43" x14ac:dyDescent="0.2">
      <c r="AQ19015" s="31"/>
    </row>
    <row r="19016" spans="43:43" x14ac:dyDescent="0.2">
      <c r="AQ19016" s="31"/>
    </row>
    <row r="19017" spans="43:43" x14ac:dyDescent="0.2">
      <c r="AQ19017" s="31"/>
    </row>
    <row r="19018" spans="43:43" x14ac:dyDescent="0.2">
      <c r="AQ19018" s="31"/>
    </row>
    <row r="19019" spans="43:43" x14ac:dyDescent="0.2">
      <c r="AQ19019" s="31"/>
    </row>
    <row r="19020" spans="43:43" x14ac:dyDescent="0.2">
      <c r="AQ19020" s="31"/>
    </row>
    <row r="19021" spans="43:43" x14ac:dyDescent="0.2">
      <c r="AQ19021" s="31"/>
    </row>
    <row r="19022" spans="43:43" x14ac:dyDescent="0.2">
      <c r="AQ19022" s="31"/>
    </row>
    <row r="19023" spans="43:43" x14ac:dyDescent="0.2">
      <c r="AQ19023" s="31"/>
    </row>
    <row r="19024" spans="43:43" x14ac:dyDescent="0.2">
      <c r="AQ19024" s="31"/>
    </row>
    <row r="19025" spans="43:43" x14ac:dyDescent="0.2">
      <c r="AQ19025" s="31"/>
    </row>
    <row r="19026" spans="43:43" x14ac:dyDescent="0.2">
      <c r="AQ19026" s="31"/>
    </row>
    <row r="19027" spans="43:43" x14ac:dyDescent="0.2">
      <c r="AQ19027" s="31"/>
    </row>
    <row r="19028" spans="43:43" x14ac:dyDescent="0.2">
      <c r="AQ19028" s="31"/>
    </row>
    <row r="19029" spans="43:43" x14ac:dyDescent="0.2">
      <c r="AQ19029" s="31"/>
    </row>
    <row r="19030" spans="43:43" x14ac:dyDescent="0.2">
      <c r="AQ19030" s="31"/>
    </row>
    <row r="19031" spans="43:43" x14ac:dyDescent="0.2">
      <c r="AQ19031" s="31"/>
    </row>
    <row r="19032" spans="43:43" x14ac:dyDescent="0.2">
      <c r="AQ19032" s="31"/>
    </row>
    <row r="19033" spans="43:43" x14ac:dyDescent="0.2">
      <c r="AQ19033" s="31"/>
    </row>
    <row r="19034" spans="43:43" x14ac:dyDescent="0.2">
      <c r="AQ19034" s="31"/>
    </row>
    <row r="19035" spans="43:43" x14ac:dyDescent="0.2">
      <c r="AQ19035" s="31"/>
    </row>
    <row r="19036" spans="43:43" x14ac:dyDescent="0.2">
      <c r="AQ19036" s="31"/>
    </row>
    <row r="19037" spans="43:43" x14ac:dyDescent="0.2">
      <c r="AQ19037" s="31"/>
    </row>
    <row r="19038" spans="43:43" x14ac:dyDescent="0.2">
      <c r="AQ19038" s="31"/>
    </row>
    <row r="19039" spans="43:43" x14ac:dyDescent="0.2">
      <c r="AQ19039" s="31"/>
    </row>
    <row r="19040" spans="43:43" x14ac:dyDescent="0.2">
      <c r="AQ19040" s="31"/>
    </row>
    <row r="19041" spans="43:43" x14ac:dyDescent="0.2">
      <c r="AQ19041" s="31"/>
    </row>
    <row r="19042" spans="43:43" x14ac:dyDescent="0.2">
      <c r="AQ19042" s="31"/>
    </row>
    <row r="19043" spans="43:43" x14ac:dyDescent="0.2">
      <c r="AQ19043" s="31"/>
    </row>
    <row r="19044" spans="43:43" x14ac:dyDescent="0.2">
      <c r="AQ19044" s="31"/>
    </row>
    <row r="19045" spans="43:43" x14ac:dyDescent="0.2">
      <c r="AQ19045" s="31"/>
    </row>
    <row r="19046" spans="43:43" x14ac:dyDescent="0.2">
      <c r="AQ19046" s="31"/>
    </row>
    <row r="19047" spans="43:43" x14ac:dyDescent="0.2">
      <c r="AQ19047" s="31"/>
    </row>
    <row r="19048" spans="43:43" x14ac:dyDescent="0.2">
      <c r="AQ19048" s="31"/>
    </row>
    <row r="19049" spans="43:43" x14ac:dyDescent="0.2">
      <c r="AQ19049" s="31"/>
    </row>
    <row r="19050" spans="43:43" x14ac:dyDescent="0.2">
      <c r="AQ19050" s="31"/>
    </row>
    <row r="19051" spans="43:43" x14ac:dyDescent="0.2">
      <c r="AQ19051" s="31"/>
    </row>
    <row r="19052" spans="43:43" x14ac:dyDescent="0.2">
      <c r="AQ19052" s="31"/>
    </row>
    <row r="19053" spans="43:43" x14ac:dyDescent="0.2">
      <c r="AQ19053" s="31"/>
    </row>
    <row r="19054" spans="43:43" x14ac:dyDescent="0.2">
      <c r="AQ19054" s="31"/>
    </row>
    <row r="19055" spans="43:43" x14ac:dyDescent="0.2">
      <c r="AQ19055" s="31"/>
    </row>
    <row r="19056" spans="43:43" x14ac:dyDescent="0.2">
      <c r="AQ19056" s="31"/>
    </row>
    <row r="19057" spans="43:43" x14ac:dyDescent="0.2">
      <c r="AQ19057" s="31"/>
    </row>
    <row r="19058" spans="43:43" x14ac:dyDescent="0.2">
      <c r="AQ19058" s="31"/>
    </row>
    <row r="19059" spans="43:43" x14ac:dyDescent="0.2">
      <c r="AQ19059" s="31"/>
    </row>
    <row r="19060" spans="43:43" x14ac:dyDescent="0.2">
      <c r="AQ19060" s="31"/>
    </row>
    <row r="19061" spans="43:43" x14ac:dyDescent="0.2">
      <c r="AQ19061" s="31"/>
    </row>
    <row r="19062" spans="43:43" x14ac:dyDescent="0.2">
      <c r="AQ19062" s="31"/>
    </row>
    <row r="19063" spans="43:43" x14ac:dyDescent="0.2">
      <c r="AQ19063" s="31"/>
    </row>
    <row r="19064" spans="43:43" x14ac:dyDescent="0.2">
      <c r="AQ19064" s="31"/>
    </row>
    <row r="19065" spans="43:43" x14ac:dyDescent="0.2">
      <c r="AQ19065" s="31"/>
    </row>
    <row r="19066" spans="43:43" x14ac:dyDescent="0.2">
      <c r="AQ19066" s="31"/>
    </row>
    <row r="19067" spans="43:43" x14ac:dyDescent="0.2">
      <c r="AQ19067" s="31"/>
    </row>
    <row r="19068" spans="43:43" x14ac:dyDescent="0.2">
      <c r="AQ19068" s="31"/>
    </row>
    <row r="19069" spans="43:43" x14ac:dyDescent="0.2">
      <c r="AQ19069" s="31"/>
    </row>
    <row r="19070" spans="43:43" x14ac:dyDescent="0.2">
      <c r="AQ19070" s="31"/>
    </row>
    <row r="19071" spans="43:43" x14ac:dyDescent="0.2">
      <c r="AQ19071" s="31"/>
    </row>
    <row r="19072" spans="43:43" x14ac:dyDescent="0.2">
      <c r="AQ19072" s="31"/>
    </row>
    <row r="19073" spans="43:43" x14ac:dyDescent="0.2">
      <c r="AQ19073" s="31"/>
    </row>
    <row r="19074" spans="43:43" x14ac:dyDescent="0.2">
      <c r="AQ19074" s="31"/>
    </row>
    <row r="19075" spans="43:43" x14ac:dyDescent="0.2">
      <c r="AQ19075" s="31"/>
    </row>
    <row r="19076" spans="43:43" x14ac:dyDescent="0.2">
      <c r="AQ19076" s="31"/>
    </row>
    <row r="19077" spans="43:43" x14ac:dyDescent="0.2">
      <c r="AQ19077" s="31"/>
    </row>
    <row r="19078" spans="43:43" x14ac:dyDescent="0.2">
      <c r="AQ19078" s="31"/>
    </row>
    <row r="19079" spans="43:43" x14ac:dyDescent="0.2">
      <c r="AQ19079" s="31"/>
    </row>
    <row r="19080" spans="43:43" x14ac:dyDescent="0.2">
      <c r="AQ19080" s="31"/>
    </row>
    <row r="19081" spans="43:43" x14ac:dyDescent="0.2">
      <c r="AQ19081" s="31"/>
    </row>
    <row r="19082" spans="43:43" x14ac:dyDescent="0.2">
      <c r="AQ19082" s="31"/>
    </row>
    <row r="19083" spans="43:43" x14ac:dyDescent="0.2">
      <c r="AQ19083" s="31"/>
    </row>
    <row r="19084" spans="43:43" x14ac:dyDescent="0.2">
      <c r="AQ19084" s="31"/>
    </row>
    <row r="19085" spans="43:43" x14ac:dyDescent="0.2">
      <c r="AQ19085" s="31"/>
    </row>
    <row r="19086" spans="43:43" x14ac:dyDescent="0.2">
      <c r="AQ19086" s="31"/>
    </row>
    <row r="19087" spans="43:43" x14ac:dyDescent="0.2">
      <c r="AQ19087" s="31"/>
    </row>
    <row r="19088" spans="43:43" x14ac:dyDescent="0.2">
      <c r="AQ19088" s="31"/>
    </row>
    <row r="19089" spans="43:43" x14ac:dyDescent="0.2">
      <c r="AQ19089" s="31"/>
    </row>
    <row r="19090" spans="43:43" x14ac:dyDescent="0.2">
      <c r="AQ19090" s="31"/>
    </row>
    <row r="19091" spans="43:43" x14ac:dyDescent="0.2">
      <c r="AQ19091" s="31"/>
    </row>
    <row r="19092" spans="43:43" x14ac:dyDescent="0.2">
      <c r="AQ19092" s="31"/>
    </row>
    <row r="19093" spans="43:43" x14ac:dyDescent="0.2">
      <c r="AQ19093" s="31"/>
    </row>
    <row r="19094" spans="43:43" x14ac:dyDescent="0.2">
      <c r="AQ19094" s="31"/>
    </row>
    <row r="19095" spans="43:43" x14ac:dyDescent="0.2">
      <c r="AQ19095" s="31"/>
    </row>
    <row r="19096" spans="43:43" x14ac:dyDescent="0.2">
      <c r="AQ19096" s="31"/>
    </row>
    <row r="19097" spans="43:43" x14ac:dyDescent="0.2">
      <c r="AQ19097" s="31"/>
    </row>
    <row r="19098" spans="43:43" x14ac:dyDescent="0.2">
      <c r="AQ19098" s="31"/>
    </row>
    <row r="19099" spans="43:43" x14ac:dyDescent="0.2">
      <c r="AQ19099" s="31"/>
    </row>
    <row r="19100" spans="43:43" x14ac:dyDescent="0.2">
      <c r="AQ19100" s="31"/>
    </row>
    <row r="19101" spans="43:43" x14ac:dyDescent="0.2">
      <c r="AQ19101" s="31"/>
    </row>
    <row r="19102" spans="43:43" x14ac:dyDescent="0.2">
      <c r="AQ19102" s="31"/>
    </row>
    <row r="19103" spans="43:43" x14ac:dyDescent="0.2">
      <c r="AQ19103" s="31"/>
    </row>
    <row r="19104" spans="43:43" x14ac:dyDescent="0.2">
      <c r="AQ19104" s="31"/>
    </row>
    <row r="19105" spans="43:43" x14ac:dyDescent="0.2">
      <c r="AQ19105" s="31"/>
    </row>
    <row r="19106" spans="43:43" x14ac:dyDescent="0.2">
      <c r="AQ19106" s="31"/>
    </row>
    <row r="19107" spans="43:43" x14ac:dyDescent="0.2">
      <c r="AQ19107" s="31"/>
    </row>
    <row r="19108" spans="43:43" x14ac:dyDescent="0.2">
      <c r="AQ19108" s="31"/>
    </row>
    <row r="19109" spans="43:43" x14ac:dyDescent="0.2">
      <c r="AQ19109" s="31"/>
    </row>
    <row r="19110" spans="43:43" x14ac:dyDescent="0.2">
      <c r="AQ19110" s="31"/>
    </row>
    <row r="19111" spans="43:43" x14ac:dyDescent="0.2">
      <c r="AQ19111" s="31"/>
    </row>
    <row r="19112" spans="43:43" x14ac:dyDescent="0.2">
      <c r="AQ19112" s="31"/>
    </row>
    <row r="19113" spans="43:43" x14ac:dyDescent="0.2">
      <c r="AQ19113" s="31"/>
    </row>
    <row r="19114" spans="43:43" x14ac:dyDescent="0.2">
      <c r="AQ19114" s="31"/>
    </row>
    <row r="19115" spans="43:43" x14ac:dyDescent="0.2">
      <c r="AQ19115" s="31"/>
    </row>
    <row r="19116" spans="43:43" x14ac:dyDescent="0.2">
      <c r="AQ19116" s="31"/>
    </row>
    <row r="19117" spans="43:43" x14ac:dyDescent="0.2">
      <c r="AQ19117" s="31"/>
    </row>
    <row r="19118" spans="43:43" x14ac:dyDescent="0.2">
      <c r="AQ19118" s="31"/>
    </row>
    <row r="19119" spans="43:43" x14ac:dyDescent="0.2">
      <c r="AQ19119" s="31"/>
    </row>
    <row r="19120" spans="43:43" x14ac:dyDescent="0.2">
      <c r="AQ19120" s="31"/>
    </row>
    <row r="19121" spans="43:43" x14ac:dyDescent="0.2">
      <c r="AQ19121" s="31"/>
    </row>
    <row r="19122" spans="43:43" x14ac:dyDescent="0.2">
      <c r="AQ19122" s="31"/>
    </row>
    <row r="19123" spans="43:43" x14ac:dyDescent="0.2">
      <c r="AQ19123" s="31"/>
    </row>
    <row r="19124" spans="43:43" x14ac:dyDescent="0.2">
      <c r="AQ19124" s="31"/>
    </row>
    <row r="19125" spans="43:43" x14ac:dyDescent="0.2">
      <c r="AQ19125" s="31"/>
    </row>
    <row r="19126" spans="43:43" x14ac:dyDescent="0.2">
      <c r="AQ19126" s="31"/>
    </row>
    <row r="19127" spans="43:43" x14ac:dyDescent="0.2">
      <c r="AQ19127" s="31"/>
    </row>
    <row r="19128" spans="43:43" x14ac:dyDescent="0.2">
      <c r="AQ19128" s="31"/>
    </row>
    <row r="19129" spans="43:43" x14ac:dyDescent="0.2">
      <c r="AQ19129" s="31"/>
    </row>
    <row r="19130" spans="43:43" x14ac:dyDescent="0.2">
      <c r="AQ19130" s="31"/>
    </row>
    <row r="19131" spans="43:43" x14ac:dyDescent="0.2">
      <c r="AQ19131" s="31"/>
    </row>
    <row r="19132" spans="43:43" x14ac:dyDescent="0.2">
      <c r="AQ19132" s="31"/>
    </row>
    <row r="19133" spans="43:43" x14ac:dyDescent="0.2">
      <c r="AQ19133" s="31"/>
    </row>
    <row r="19134" spans="43:43" x14ac:dyDescent="0.2">
      <c r="AQ19134" s="31"/>
    </row>
    <row r="19135" spans="43:43" x14ac:dyDescent="0.2">
      <c r="AQ19135" s="31"/>
    </row>
    <row r="19136" spans="43:43" x14ac:dyDescent="0.2">
      <c r="AQ19136" s="31"/>
    </row>
    <row r="19137" spans="43:43" x14ac:dyDescent="0.2">
      <c r="AQ19137" s="31"/>
    </row>
    <row r="19138" spans="43:43" x14ac:dyDescent="0.2">
      <c r="AQ19138" s="31"/>
    </row>
    <row r="19139" spans="43:43" x14ac:dyDescent="0.2">
      <c r="AQ19139" s="31"/>
    </row>
    <row r="19140" spans="43:43" x14ac:dyDescent="0.2">
      <c r="AQ19140" s="31"/>
    </row>
    <row r="19141" spans="43:43" x14ac:dyDescent="0.2">
      <c r="AQ19141" s="31"/>
    </row>
    <row r="19142" spans="43:43" x14ac:dyDescent="0.2">
      <c r="AQ19142" s="31"/>
    </row>
    <row r="19143" spans="43:43" x14ac:dyDescent="0.2">
      <c r="AQ19143" s="31"/>
    </row>
    <row r="19144" spans="43:43" x14ac:dyDescent="0.2">
      <c r="AQ19144" s="31"/>
    </row>
    <row r="19145" spans="43:43" x14ac:dyDescent="0.2">
      <c r="AQ19145" s="31"/>
    </row>
    <row r="19146" spans="43:43" x14ac:dyDescent="0.2">
      <c r="AQ19146" s="31"/>
    </row>
    <row r="19147" spans="43:43" x14ac:dyDescent="0.2">
      <c r="AQ19147" s="31"/>
    </row>
    <row r="19148" spans="43:43" x14ac:dyDescent="0.2">
      <c r="AQ19148" s="31"/>
    </row>
    <row r="19149" spans="43:43" x14ac:dyDescent="0.2">
      <c r="AQ19149" s="31"/>
    </row>
    <row r="19150" spans="43:43" x14ac:dyDescent="0.2">
      <c r="AQ19150" s="31"/>
    </row>
    <row r="19151" spans="43:43" x14ac:dyDescent="0.2">
      <c r="AQ19151" s="31"/>
    </row>
    <row r="19152" spans="43:43" x14ac:dyDescent="0.2">
      <c r="AQ19152" s="31"/>
    </row>
    <row r="19153" spans="43:43" x14ac:dyDescent="0.2">
      <c r="AQ19153" s="31"/>
    </row>
    <row r="19154" spans="43:43" x14ac:dyDescent="0.2">
      <c r="AQ19154" s="31"/>
    </row>
    <row r="19155" spans="43:43" x14ac:dyDescent="0.2">
      <c r="AQ19155" s="31"/>
    </row>
    <row r="19156" spans="43:43" x14ac:dyDescent="0.2">
      <c r="AQ19156" s="31"/>
    </row>
    <row r="19157" spans="43:43" x14ac:dyDescent="0.2">
      <c r="AQ19157" s="31"/>
    </row>
    <row r="19158" spans="43:43" x14ac:dyDescent="0.2">
      <c r="AQ19158" s="31"/>
    </row>
    <row r="19159" spans="43:43" x14ac:dyDescent="0.2">
      <c r="AQ19159" s="31"/>
    </row>
    <row r="19160" spans="43:43" x14ac:dyDescent="0.2">
      <c r="AQ19160" s="31"/>
    </row>
    <row r="19161" spans="43:43" x14ac:dyDescent="0.2">
      <c r="AQ19161" s="31"/>
    </row>
    <row r="19162" spans="43:43" x14ac:dyDescent="0.2">
      <c r="AQ19162" s="31"/>
    </row>
    <row r="19163" spans="43:43" x14ac:dyDescent="0.2">
      <c r="AQ19163" s="31"/>
    </row>
    <row r="19164" spans="43:43" x14ac:dyDescent="0.2">
      <c r="AQ19164" s="31"/>
    </row>
    <row r="19165" spans="43:43" x14ac:dyDescent="0.2">
      <c r="AQ19165" s="31"/>
    </row>
    <row r="19166" spans="43:43" x14ac:dyDescent="0.2">
      <c r="AQ19166" s="31"/>
    </row>
    <row r="19167" spans="43:43" x14ac:dyDescent="0.2">
      <c r="AQ19167" s="31"/>
    </row>
    <row r="19168" spans="43:43" x14ac:dyDescent="0.2">
      <c r="AQ19168" s="31"/>
    </row>
    <row r="19169" spans="43:43" x14ac:dyDescent="0.2">
      <c r="AQ19169" s="31"/>
    </row>
    <row r="19170" spans="43:43" x14ac:dyDescent="0.2">
      <c r="AQ19170" s="31"/>
    </row>
    <row r="19171" spans="43:43" x14ac:dyDescent="0.2">
      <c r="AQ19171" s="31"/>
    </row>
    <row r="19172" spans="43:43" x14ac:dyDescent="0.2">
      <c r="AQ19172" s="31"/>
    </row>
    <row r="19173" spans="43:43" x14ac:dyDescent="0.2">
      <c r="AQ19173" s="31"/>
    </row>
    <row r="19174" spans="43:43" x14ac:dyDescent="0.2">
      <c r="AQ19174" s="31"/>
    </row>
    <row r="19175" spans="43:43" x14ac:dyDescent="0.2">
      <c r="AQ19175" s="31"/>
    </row>
    <row r="19176" spans="43:43" x14ac:dyDescent="0.2">
      <c r="AQ19176" s="31"/>
    </row>
    <row r="19177" spans="43:43" x14ac:dyDescent="0.2">
      <c r="AQ19177" s="31"/>
    </row>
    <row r="19178" spans="43:43" x14ac:dyDescent="0.2">
      <c r="AQ19178" s="31"/>
    </row>
    <row r="19179" spans="43:43" x14ac:dyDescent="0.2">
      <c r="AQ19179" s="31"/>
    </row>
    <row r="19180" spans="43:43" x14ac:dyDescent="0.2">
      <c r="AQ19180" s="31"/>
    </row>
    <row r="19181" spans="43:43" x14ac:dyDescent="0.2">
      <c r="AQ19181" s="31"/>
    </row>
    <row r="19182" spans="43:43" x14ac:dyDescent="0.2">
      <c r="AQ19182" s="31"/>
    </row>
    <row r="19183" spans="43:43" x14ac:dyDescent="0.2">
      <c r="AQ19183" s="31"/>
    </row>
    <row r="19184" spans="43:43" x14ac:dyDescent="0.2">
      <c r="AQ19184" s="31"/>
    </row>
    <row r="19185" spans="43:43" x14ac:dyDescent="0.2">
      <c r="AQ19185" s="31"/>
    </row>
    <row r="19186" spans="43:43" x14ac:dyDescent="0.2">
      <c r="AQ19186" s="31"/>
    </row>
    <row r="19187" spans="43:43" x14ac:dyDescent="0.2">
      <c r="AQ19187" s="31"/>
    </row>
    <row r="19188" spans="43:43" x14ac:dyDescent="0.2">
      <c r="AQ19188" s="31"/>
    </row>
    <row r="19189" spans="43:43" x14ac:dyDescent="0.2">
      <c r="AQ19189" s="31"/>
    </row>
    <row r="19190" spans="43:43" x14ac:dyDescent="0.2">
      <c r="AQ19190" s="31"/>
    </row>
    <row r="19191" spans="43:43" x14ac:dyDescent="0.2">
      <c r="AQ19191" s="31"/>
    </row>
    <row r="19192" spans="43:43" x14ac:dyDescent="0.2">
      <c r="AQ19192" s="31"/>
    </row>
    <row r="19193" spans="43:43" x14ac:dyDescent="0.2">
      <c r="AQ19193" s="31"/>
    </row>
    <row r="19194" spans="43:43" x14ac:dyDescent="0.2">
      <c r="AQ19194" s="31"/>
    </row>
    <row r="19195" spans="43:43" x14ac:dyDescent="0.2">
      <c r="AQ19195" s="31"/>
    </row>
    <row r="19196" spans="43:43" x14ac:dyDescent="0.2">
      <c r="AQ19196" s="31"/>
    </row>
    <row r="19197" spans="43:43" x14ac:dyDescent="0.2">
      <c r="AQ19197" s="31"/>
    </row>
    <row r="19198" spans="43:43" x14ac:dyDescent="0.2">
      <c r="AQ19198" s="31"/>
    </row>
    <row r="19199" spans="43:43" x14ac:dyDescent="0.2">
      <c r="AQ19199" s="31"/>
    </row>
    <row r="19200" spans="43:43" x14ac:dyDescent="0.2">
      <c r="AQ19200" s="31"/>
    </row>
    <row r="19201" spans="43:43" x14ac:dyDescent="0.2">
      <c r="AQ19201" s="31"/>
    </row>
    <row r="19202" spans="43:43" x14ac:dyDescent="0.2">
      <c r="AQ19202" s="31"/>
    </row>
    <row r="19203" spans="43:43" x14ac:dyDescent="0.2">
      <c r="AQ19203" s="31"/>
    </row>
    <row r="19204" spans="43:43" x14ac:dyDescent="0.2">
      <c r="AQ19204" s="31"/>
    </row>
    <row r="19205" spans="43:43" x14ac:dyDescent="0.2">
      <c r="AQ19205" s="31"/>
    </row>
    <row r="19206" spans="43:43" x14ac:dyDescent="0.2">
      <c r="AQ19206" s="31"/>
    </row>
    <row r="19207" spans="43:43" x14ac:dyDescent="0.2">
      <c r="AQ19207" s="31"/>
    </row>
    <row r="19208" spans="43:43" x14ac:dyDescent="0.2">
      <c r="AQ19208" s="31"/>
    </row>
    <row r="19209" spans="43:43" x14ac:dyDescent="0.2">
      <c r="AQ19209" s="31"/>
    </row>
    <row r="19210" spans="43:43" x14ac:dyDescent="0.2">
      <c r="AQ19210" s="31"/>
    </row>
    <row r="19211" spans="43:43" x14ac:dyDescent="0.2">
      <c r="AQ19211" s="31"/>
    </row>
    <row r="19212" spans="43:43" x14ac:dyDescent="0.2">
      <c r="AQ19212" s="31"/>
    </row>
    <row r="19213" spans="43:43" x14ac:dyDescent="0.2">
      <c r="AQ19213" s="31"/>
    </row>
    <row r="19214" spans="43:43" x14ac:dyDescent="0.2">
      <c r="AQ19214" s="31"/>
    </row>
    <row r="19215" spans="43:43" x14ac:dyDescent="0.2">
      <c r="AQ19215" s="31"/>
    </row>
    <row r="19216" spans="43:43" x14ac:dyDescent="0.2">
      <c r="AQ19216" s="31"/>
    </row>
    <row r="19217" spans="43:43" x14ac:dyDescent="0.2">
      <c r="AQ19217" s="31"/>
    </row>
    <row r="19218" spans="43:43" x14ac:dyDescent="0.2">
      <c r="AQ19218" s="31"/>
    </row>
    <row r="19219" spans="43:43" x14ac:dyDescent="0.2">
      <c r="AQ19219" s="31"/>
    </row>
    <row r="19220" spans="43:43" x14ac:dyDescent="0.2">
      <c r="AQ19220" s="31"/>
    </row>
    <row r="19221" spans="43:43" x14ac:dyDescent="0.2">
      <c r="AQ19221" s="31"/>
    </row>
    <row r="19222" spans="43:43" x14ac:dyDescent="0.2">
      <c r="AQ19222" s="31"/>
    </row>
    <row r="19223" spans="43:43" x14ac:dyDescent="0.2">
      <c r="AQ19223" s="31"/>
    </row>
    <row r="19224" spans="43:43" x14ac:dyDescent="0.2">
      <c r="AQ19224" s="31"/>
    </row>
    <row r="19225" spans="43:43" x14ac:dyDescent="0.2">
      <c r="AQ19225" s="31"/>
    </row>
    <row r="19226" spans="43:43" x14ac:dyDescent="0.2">
      <c r="AQ19226" s="31"/>
    </row>
    <row r="19227" spans="43:43" x14ac:dyDescent="0.2">
      <c r="AQ19227" s="31"/>
    </row>
    <row r="19228" spans="43:43" x14ac:dyDescent="0.2">
      <c r="AQ19228" s="31"/>
    </row>
    <row r="19229" spans="43:43" x14ac:dyDescent="0.2">
      <c r="AQ19229" s="31"/>
    </row>
    <row r="19230" spans="43:43" x14ac:dyDescent="0.2">
      <c r="AQ19230" s="31"/>
    </row>
    <row r="19231" spans="43:43" x14ac:dyDescent="0.2">
      <c r="AQ19231" s="31"/>
    </row>
    <row r="19232" spans="43:43" x14ac:dyDescent="0.2">
      <c r="AQ19232" s="31"/>
    </row>
    <row r="19233" spans="43:43" x14ac:dyDescent="0.2">
      <c r="AQ19233" s="31"/>
    </row>
    <row r="19234" spans="43:43" x14ac:dyDescent="0.2">
      <c r="AQ19234" s="31"/>
    </row>
    <row r="19235" spans="43:43" x14ac:dyDescent="0.2">
      <c r="AQ19235" s="31"/>
    </row>
    <row r="19236" spans="43:43" x14ac:dyDescent="0.2">
      <c r="AQ19236" s="31"/>
    </row>
    <row r="19237" spans="43:43" x14ac:dyDescent="0.2">
      <c r="AQ19237" s="31"/>
    </row>
    <row r="19238" spans="43:43" x14ac:dyDescent="0.2">
      <c r="AQ19238" s="31"/>
    </row>
    <row r="19239" spans="43:43" x14ac:dyDescent="0.2">
      <c r="AQ19239" s="31"/>
    </row>
    <row r="19240" spans="43:43" x14ac:dyDescent="0.2">
      <c r="AQ19240" s="31"/>
    </row>
    <row r="19241" spans="43:43" x14ac:dyDescent="0.2">
      <c r="AQ19241" s="31"/>
    </row>
    <row r="19242" spans="43:43" x14ac:dyDescent="0.2">
      <c r="AQ19242" s="31"/>
    </row>
    <row r="19243" spans="43:43" x14ac:dyDescent="0.2">
      <c r="AQ19243" s="31"/>
    </row>
    <row r="19244" spans="43:43" x14ac:dyDescent="0.2">
      <c r="AQ19244" s="31"/>
    </row>
    <row r="19245" spans="43:43" x14ac:dyDescent="0.2">
      <c r="AQ19245" s="31"/>
    </row>
    <row r="19246" spans="43:43" x14ac:dyDescent="0.2">
      <c r="AQ19246" s="31"/>
    </row>
    <row r="19247" spans="43:43" x14ac:dyDescent="0.2">
      <c r="AQ19247" s="31"/>
    </row>
    <row r="19248" spans="43:43" x14ac:dyDescent="0.2">
      <c r="AQ19248" s="31"/>
    </row>
    <row r="19249" spans="43:43" x14ac:dyDescent="0.2">
      <c r="AQ19249" s="31"/>
    </row>
    <row r="19250" spans="43:43" x14ac:dyDescent="0.2">
      <c r="AQ19250" s="31"/>
    </row>
    <row r="19251" spans="43:43" x14ac:dyDescent="0.2">
      <c r="AQ19251" s="31"/>
    </row>
    <row r="19252" spans="43:43" x14ac:dyDescent="0.2">
      <c r="AQ19252" s="31"/>
    </row>
    <row r="19253" spans="43:43" x14ac:dyDescent="0.2">
      <c r="AQ19253" s="31"/>
    </row>
    <row r="19254" spans="43:43" x14ac:dyDescent="0.2">
      <c r="AQ19254" s="31"/>
    </row>
    <row r="19255" spans="43:43" x14ac:dyDescent="0.2">
      <c r="AQ19255" s="31"/>
    </row>
    <row r="19256" spans="43:43" x14ac:dyDescent="0.2">
      <c r="AQ19256" s="31"/>
    </row>
    <row r="19257" spans="43:43" x14ac:dyDescent="0.2">
      <c r="AQ19257" s="31"/>
    </row>
    <row r="19258" spans="43:43" x14ac:dyDescent="0.2">
      <c r="AQ19258" s="31"/>
    </row>
    <row r="19259" spans="43:43" x14ac:dyDescent="0.2">
      <c r="AQ19259" s="31"/>
    </row>
    <row r="19260" spans="43:43" x14ac:dyDescent="0.2">
      <c r="AQ19260" s="31"/>
    </row>
    <row r="19261" spans="43:43" x14ac:dyDescent="0.2">
      <c r="AQ19261" s="31"/>
    </row>
    <row r="19262" spans="43:43" x14ac:dyDescent="0.2">
      <c r="AQ19262" s="31"/>
    </row>
    <row r="19263" spans="43:43" x14ac:dyDescent="0.2">
      <c r="AQ19263" s="31"/>
    </row>
    <row r="19264" spans="43:43" x14ac:dyDescent="0.2">
      <c r="AQ19264" s="31"/>
    </row>
    <row r="19265" spans="43:43" x14ac:dyDescent="0.2">
      <c r="AQ19265" s="31"/>
    </row>
    <row r="19266" spans="43:43" x14ac:dyDescent="0.2">
      <c r="AQ19266" s="31"/>
    </row>
    <row r="19267" spans="43:43" x14ac:dyDescent="0.2">
      <c r="AQ19267" s="31"/>
    </row>
    <row r="19268" spans="43:43" x14ac:dyDescent="0.2">
      <c r="AQ19268" s="31"/>
    </row>
    <row r="19269" spans="43:43" x14ac:dyDescent="0.2">
      <c r="AQ19269" s="31"/>
    </row>
    <row r="19270" spans="43:43" x14ac:dyDescent="0.2">
      <c r="AQ19270" s="31"/>
    </row>
    <row r="19271" spans="43:43" x14ac:dyDescent="0.2">
      <c r="AQ19271" s="31"/>
    </row>
    <row r="19272" spans="43:43" x14ac:dyDescent="0.2">
      <c r="AQ19272" s="31"/>
    </row>
    <row r="19273" spans="43:43" x14ac:dyDescent="0.2">
      <c r="AQ19273" s="31"/>
    </row>
    <row r="19274" spans="43:43" x14ac:dyDescent="0.2">
      <c r="AQ19274" s="31"/>
    </row>
    <row r="19275" spans="43:43" x14ac:dyDescent="0.2">
      <c r="AQ19275" s="31"/>
    </row>
    <row r="19276" spans="43:43" x14ac:dyDescent="0.2">
      <c r="AQ19276" s="31"/>
    </row>
    <row r="19277" spans="43:43" x14ac:dyDescent="0.2">
      <c r="AQ19277" s="31"/>
    </row>
    <row r="19278" spans="43:43" x14ac:dyDescent="0.2">
      <c r="AQ19278" s="31"/>
    </row>
    <row r="19279" spans="43:43" x14ac:dyDescent="0.2">
      <c r="AQ19279" s="31"/>
    </row>
    <row r="19280" spans="43:43" x14ac:dyDescent="0.2">
      <c r="AQ19280" s="31"/>
    </row>
    <row r="19281" spans="43:43" x14ac:dyDescent="0.2">
      <c r="AQ19281" s="31"/>
    </row>
    <row r="19282" spans="43:43" x14ac:dyDescent="0.2">
      <c r="AQ19282" s="31"/>
    </row>
    <row r="19283" spans="43:43" x14ac:dyDescent="0.2">
      <c r="AQ19283" s="31"/>
    </row>
    <row r="19284" spans="43:43" x14ac:dyDescent="0.2">
      <c r="AQ19284" s="31"/>
    </row>
    <row r="19285" spans="43:43" x14ac:dyDescent="0.2">
      <c r="AQ19285" s="31"/>
    </row>
    <row r="19286" spans="43:43" x14ac:dyDescent="0.2">
      <c r="AQ19286" s="31"/>
    </row>
    <row r="19287" spans="43:43" x14ac:dyDescent="0.2">
      <c r="AQ19287" s="31"/>
    </row>
    <row r="19288" spans="43:43" x14ac:dyDescent="0.2">
      <c r="AQ19288" s="31"/>
    </row>
    <row r="19289" spans="43:43" x14ac:dyDescent="0.2">
      <c r="AQ19289" s="31"/>
    </row>
    <row r="19290" spans="43:43" x14ac:dyDescent="0.2">
      <c r="AQ19290" s="31"/>
    </row>
    <row r="19291" spans="43:43" x14ac:dyDescent="0.2">
      <c r="AQ19291" s="31"/>
    </row>
    <row r="19292" spans="43:43" x14ac:dyDescent="0.2">
      <c r="AQ19292" s="31"/>
    </row>
    <row r="19293" spans="43:43" x14ac:dyDescent="0.2">
      <c r="AQ19293" s="31"/>
    </row>
    <row r="19294" spans="43:43" x14ac:dyDescent="0.2">
      <c r="AQ19294" s="31"/>
    </row>
    <row r="19295" spans="43:43" x14ac:dyDescent="0.2">
      <c r="AQ19295" s="31"/>
    </row>
    <row r="19296" spans="43:43" x14ac:dyDescent="0.2">
      <c r="AQ19296" s="31"/>
    </row>
    <row r="19297" spans="43:43" x14ac:dyDescent="0.2">
      <c r="AQ19297" s="31"/>
    </row>
    <row r="19298" spans="43:43" x14ac:dyDescent="0.2">
      <c r="AQ19298" s="31"/>
    </row>
    <row r="19299" spans="43:43" x14ac:dyDescent="0.2">
      <c r="AQ19299" s="31"/>
    </row>
    <row r="19300" spans="43:43" x14ac:dyDescent="0.2">
      <c r="AQ19300" s="31"/>
    </row>
    <row r="19301" spans="43:43" x14ac:dyDescent="0.2">
      <c r="AQ19301" s="31"/>
    </row>
    <row r="19302" spans="43:43" x14ac:dyDescent="0.2">
      <c r="AQ19302" s="31"/>
    </row>
    <row r="19303" spans="43:43" x14ac:dyDescent="0.2">
      <c r="AQ19303" s="31"/>
    </row>
    <row r="19304" spans="43:43" x14ac:dyDescent="0.2">
      <c r="AQ19304" s="31"/>
    </row>
    <row r="19305" spans="43:43" x14ac:dyDescent="0.2">
      <c r="AQ19305" s="31"/>
    </row>
    <row r="19306" spans="43:43" x14ac:dyDescent="0.2">
      <c r="AQ19306" s="31"/>
    </row>
    <row r="19307" spans="43:43" x14ac:dyDescent="0.2">
      <c r="AQ19307" s="31"/>
    </row>
    <row r="19308" spans="43:43" x14ac:dyDescent="0.2">
      <c r="AQ19308" s="31"/>
    </row>
    <row r="19309" spans="43:43" x14ac:dyDescent="0.2">
      <c r="AQ19309" s="31"/>
    </row>
    <row r="19310" spans="43:43" x14ac:dyDescent="0.2">
      <c r="AQ19310" s="31"/>
    </row>
    <row r="19311" spans="43:43" x14ac:dyDescent="0.2">
      <c r="AQ19311" s="31"/>
    </row>
    <row r="19312" spans="43:43" x14ac:dyDescent="0.2">
      <c r="AQ19312" s="31"/>
    </row>
    <row r="19313" spans="43:43" x14ac:dyDescent="0.2">
      <c r="AQ19313" s="31"/>
    </row>
    <row r="19314" spans="43:43" x14ac:dyDescent="0.2">
      <c r="AQ19314" s="31"/>
    </row>
    <row r="19315" spans="43:43" x14ac:dyDescent="0.2">
      <c r="AQ19315" s="31"/>
    </row>
    <row r="19316" spans="43:43" x14ac:dyDescent="0.2">
      <c r="AQ19316" s="31"/>
    </row>
    <row r="19317" spans="43:43" x14ac:dyDescent="0.2">
      <c r="AQ19317" s="31"/>
    </row>
    <row r="19318" spans="43:43" x14ac:dyDescent="0.2">
      <c r="AQ19318" s="31"/>
    </row>
    <row r="19319" spans="43:43" x14ac:dyDescent="0.2">
      <c r="AQ19319" s="31"/>
    </row>
    <row r="19320" spans="43:43" x14ac:dyDescent="0.2">
      <c r="AQ19320" s="31"/>
    </row>
    <row r="19321" spans="43:43" x14ac:dyDescent="0.2">
      <c r="AQ19321" s="31"/>
    </row>
    <row r="19322" spans="43:43" x14ac:dyDescent="0.2">
      <c r="AQ19322" s="31"/>
    </row>
    <row r="19323" spans="43:43" x14ac:dyDescent="0.2">
      <c r="AQ19323" s="31"/>
    </row>
    <row r="19324" spans="43:43" x14ac:dyDescent="0.2">
      <c r="AQ19324" s="31"/>
    </row>
    <row r="19325" spans="43:43" x14ac:dyDescent="0.2">
      <c r="AQ19325" s="31"/>
    </row>
    <row r="19326" spans="43:43" x14ac:dyDescent="0.2">
      <c r="AQ19326" s="31"/>
    </row>
    <row r="19327" spans="43:43" x14ac:dyDescent="0.2">
      <c r="AQ19327" s="31"/>
    </row>
    <row r="19328" spans="43:43" x14ac:dyDescent="0.2">
      <c r="AQ19328" s="31"/>
    </row>
    <row r="19329" spans="43:43" x14ac:dyDescent="0.2">
      <c r="AQ19329" s="31"/>
    </row>
    <row r="19330" spans="43:43" x14ac:dyDescent="0.2">
      <c r="AQ19330" s="31"/>
    </row>
    <row r="19331" spans="43:43" x14ac:dyDescent="0.2">
      <c r="AQ19331" s="31"/>
    </row>
    <row r="19332" spans="43:43" x14ac:dyDescent="0.2">
      <c r="AQ19332" s="31"/>
    </row>
    <row r="19333" spans="43:43" x14ac:dyDescent="0.2">
      <c r="AQ19333" s="31"/>
    </row>
    <row r="19334" spans="43:43" x14ac:dyDescent="0.2">
      <c r="AQ19334" s="31"/>
    </row>
    <row r="19335" spans="43:43" x14ac:dyDescent="0.2">
      <c r="AQ19335" s="31"/>
    </row>
    <row r="19336" spans="43:43" x14ac:dyDescent="0.2">
      <c r="AQ19336" s="31"/>
    </row>
    <row r="19337" spans="43:43" x14ac:dyDescent="0.2">
      <c r="AQ19337" s="31"/>
    </row>
    <row r="19338" spans="43:43" x14ac:dyDescent="0.2">
      <c r="AQ19338" s="31"/>
    </row>
    <row r="19339" spans="43:43" x14ac:dyDescent="0.2">
      <c r="AQ19339" s="31"/>
    </row>
    <row r="19340" spans="43:43" x14ac:dyDescent="0.2">
      <c r="AQ19340" s="31"/>
    </row>
    <row r="19341" spans="43:43" x14ac:dyDescent="0.2">
      <c r="AQ19341" s="31"/>
    </row>
    <row r="19342" spans="43:43" x14ac:dyDescent="0.2">
      <c r="AQ19342" s="31"/>
    </row>
    <row r="19343" spans="43:43" x14ac:dyDescent="0.2">
      <c r="AQ19343" s="31"/>
    </row>
    <row r="19344" spans="43:43" x14ac:dyDescent="0.2">
      <c r="AQ19344" s="31"/>
    </row>
    <row r="19345" spans="43:43" x14ac:dyDescent="0.2">
      <c r="AQ19345" s="31"/>
    </row>
    <row r="19346" spans="43:43" x14ac:dyDescent="0.2">
      <c r="AQ19346" s="31"/>
    </row>
    <row r="19347" spans="43:43" x14ac:dyDescent="0.2">
      <c r="AQ19347" s="31"/>
    </row>
    <row r="19348" spans="43:43" x14ac:dyDescent="0.2">
      <c r="AQ19348" s="31"/>
    </row>
    <row r="19349" spans="43:43" x14ac:dyDescent="0.2">
      <c r="AQ19349" s="31"/>
    </row>
    <row r="19350" spans="43:43" x14ac:dyDescent="0.2">
      <c r="AQ19350" s="31"/>
    </row>
    <row r="19351" spans="43:43" x14ac:dyDescent="0.2">
      <c r="AQ19351" s="31"/>
    </row>
    <row r="19352" spans="43:43" x14ac:dyDescent="0.2">
      <c r="AQ19352" s="31"/>
    </row>
    <row r="19353" spans="43:43" x14ac:dyDescent="0.2">
      <c r="AQ19353" s="31"/>
    </row>
    <row r="19354" spans="43:43" x14ac:dyDescent="0.2">
      <c r="AQ19354" s="31"/>
    </row>
    <row r="19355" spans="43:43" x14ac:dyDescent="0.2">
      <c r="AQ19355" s="31"/>
    </row>
    <row r="19356" spans="43:43" x14ac:dyDescent="0.2">
      <c r="AQ19356" s="31"/>
    </row>
    <row r="19357" spans="43:43" x14ac:dyDescent="0.2">
      <c r="AQ19357" s="31"/>
    </row>
    <row r="19358" spans="43:43" x14ac:dyDescent="0.2">
      <c r="AQ19358" s="31"/>
    </row>
    <row r="19359" spans="43:43" x14ac:dyDescent="0.2">
      <c r="AQ19359" s="31"/>
    </row>
    <row r="19360" spans="43:43" x14ac:dyDescent="0.2">
      <c r="AQ19360" s="31"/>
    </row>
    <row r="19361" spans="43:43" x14ac:dyDescent="0.2">
      <c r="AQ19361" s="31"/>
    </row>
    <row r="19362" spans="43:43" x14ac:dyDescent="0.2">
      <c r="AQ19362" s="31"/>
    </row>
    <row r="19363" spans="43:43" x14ac:dyDescent="0.2">
      <c r="AQ19363" s="31"/>
    </row>
    <row r="19364" spans="43:43" x14ac:dyDescent="0.2">
      <c r="AQ19364" s="31"/>
    </row>
    <row r="19365" spans="43:43" x14ac:dyDescent="0.2">
      <c r="AQ19365" s="31"/>
    </row>
    <row r="19366" spans="43:43" x14ac:dyDescent="0.2">
      <c r="AQ19366" s="31"/>
    </row>
    <row r="19367" spans="43:43" x14ac:dyDescent="0.2">
      <c r="AQ19367" s="31"/>
    </row>
    <row r="19368" spans="43:43" x14ac:dyDescent="0.2">
      <c r="AQ19368" s="31"/>
    </row>
    <row r="19369" spans="43:43" x14ac:dyDescent="0.2">
      <c r="AQ19369" s="31"/>
    </row>
    <row r="19370" spans="43:43" x14ac:dyDescent="0.2">
      <c r="AQ19370" s="31"/>
    </row>
    <row r="19371" spans="43:43" x14ac:dyDescent="0.2">
      <c r="AQ19371" s="31"/>
    </row>
    <row r="19372" spans="43:43" x14ac:dyDescent="0.2">
      <c r="AQ19372" s="31"/>
    </row>
    <row r="19373" spans="43:43" x14ac:dyDescent="0.2">
      <c r="AQ19373" s="31"/>
    </row>
    <row r="19374" spans="43:43" x14ac:dyDescent="0.2">
      <c r="AQ19374" s="31"/>
    </row>
    <row r="19375" spans="43:43" x14ac:dyDescent="0.2">
      <c r="AQ19375" s="31"/>
    </row>
    <row r="19376" spans="43:43" x14ac:dyDescent="0.2">
      <c r="AQ19376" s="31"/>
    </row>
    <row r="19377" spans="43:43" x14ac:dyDescent="0.2">
      <c r="AQ19377" s="31"/>
    </row>
    <row r="19378" spans="43:43" x14ac:dyDescent="0.2">
      <c r="AQ19378" s="31"/>
    </row>
    <row r="19379" spans="43:43" x14ac:dyDescent="0.2">
      <c r="AQ19379" s="31"/>
    </row>
    <row r="19380" spans="43:43" x14ac:dyDescent="0.2">
      <c r="AQ19380" s="31"/>
    </row>
    <row r="19381" spans="43:43" x14ac:dyDescent="0.2">
      <c r="AQ19381" s="31"/>
    </row>
    <row r="19382" spans="43:43" x14ac:dyDescent="0.2">
      <c r="AQ19382" s="31"/>
    </row>
    <row r="19383" spans="43:43" x14ac:dyDescent="0.2">
      <c r="AQ19383" s="31"/>
    </row>
    <row r="19384" spans="43:43" x14ac:dyDescent="0.2">
      <c r="AQ19384" s="31"/>
    </row>
    <row r="19385" spans="43:43" x14ac:dyDescent="0.2">
      <c r="AQ19385" s="31"/>
    </row>
    <row r="19386" spans="43:43" x14ac:dyDescent="0.2">
      <c r="AQ19386" s="31"/>
    </row>
    <row r="19387" spans="43:43" x14ac:dyDescent="0.2">
      <c r="AQ19387" s="31"/>
    </row>
    <row r="19388" spans="43:43" x14ac:dyDescent="0.2">
      <c r="AQ19388" s="31"/>
    </row>
    <row r="19389" spans="43:43" x14ac:dyDescent="0.2">
      <c r="AQ19389" s="31"/>
    </row>
    <row r="19390" spans="43:43" x14ac:dyDescent="0.2">
      <c r="AQ19390" s="31"/>
    </row>
    <row r="19391" spans="43:43" x14ac:dyDescent="0.2">
      <c r="AQ19391" s="31"/>
    </row>
    <row r="19392" spans="43:43" x14ac:dyDescent="0.2">
      <c r="AQ19392" s="31"/>
    </row>
    <row r="19393" spans="43:43" x14ac:dyDescent="0.2">
      <c r="AQ19393" s="31"/>
    </row>
    <row r="19394" spans="43:43" x14ac:dyDescent="0.2">
      <c r="AQ19394" s="31"/>
    </row>
    <row r="19395" spans="43:43" x14ac:dyDescent="0.2">
      <c r="AQ19395" s="31"/>
    </row>
    <row r="19396" spans="43:43" x14ac:dyDescent="0.2">
      <c r="AQ19396" s="31"/>
    </row>
    <row r="19397" spans="43:43" x14ac:dyDescent="0.2">
      <c r="AQ19397" s="31"/>
    </row>
    <row r="19398" spans="43:43" x14ac:dyDescent="0.2">
      <c r="AQ19398" s="31"/>
    </row>
    <row r="19399" spans="43:43" x14ac:dyDescent="0.2">
      <c r="AQ19399" s="31"/>
    </row>
    <row r="19400" spans="43:43" x14ac:dyDescent="0.2">
      <c r="AQ19400" s="31"/>
    </row>
    <row r="19401" spans="43:43" x14ac:dyDescent="0.2">
      <c r="AQ19401" s="31"/>
    </row>
    <row r="19402" spans="43:43" x14ac:dyDescent="0.2">
      <c r="AQ19402" s="31"/>
    </row>
    <row r="19403" spans="43:43" x14ac:dyDescent="0.2">
      <c r="AQ19403" s="31"/>
    </row>
    <row r="19404" spans="43:43" x14ac:dyDescent="0.2">
      <c r="AQ19404" s="31"/>
    </row>
    <row r="19405" spans="43:43" x14ac:dyDescent="0.2">
      <c r="AQ19405" s="31"/>
    </row>
    <row r="19406" spans="43:43" x14ac:dyDescent="0.2">
      <c r="AQ19406" s="31"/>
    </row>
    <row r="19407" spans="43:43" x14ac:dyDescent="0.2">
      <c r="AQ19407" s="31"/>
    </row>
    <row r="19408" spans="43:43" x14ac:dyDescent="0.2">
      <c r="AQ19408" s="31"/>
    </row>
    <row r="19409" spans="43:43" x14ac:dyDescent="0.2">
      <c r="AQ19409" s="31"/>
    </row>
    <row r="19410" spans="43:43" x14ac:dyDescent="0.2">
      <c r="AQ19410" s="31"/>
    </row>
    <row r="19411" spans="43:43" x14ac:dyDescent="0.2">
      <c r="AQ19411" s="31"/>
    </row>
    <row r="19412" spans="43:43" x14ac:dyDescent="0.2">
      <c r="AQ19412" s="31"/>
    </row>
    <row r="19413" spans="43:43" x14ac:dyDescent="0.2">
      <c r="AQ19413" s="31"/>
    </row>
    <row r="19414" spans="43:43" x14ac:dyDescent="0.2">
      <c r="AQ19414" s="31"/>
    </row>
    <row r="19415" spans="43:43" x14ac:dyDescent="0.2">
      <c r="AQ19415" s="31"/>
    </row>
    <row r="19416" spans="43:43" x14ac:dyDescent="0.2">
      <c r="AQ19416" s="31"/>
    </row>
    <row r="19417" spans="43:43" x14ac:dyDescent="0.2">
      <c r="AQ19417" s="31"/>
    </row>
    <row r="19418" spans="43:43" x14ac:dyDescent="0.2">
      <c r="AQ19418" s="31"/>
    </row>
    <row r="19419" spans="43:43" x14ac:dyDescent="0.2">
      <c r="AQ19419" s="31"/>
    </row>
    <row r="19420" spans="43:43" x14ac:dyDescent="0.2">
      <c r="AQ19420" s="31"/>
    </row>
    <row r="19421" spans="43:43" x14ac:dyDescent="0.2">
      <c r="AQ19421" s="31"/>
    </row>
    <row r="19422" spans="43:43" x14ac:dyDescent="0.2">
      <c r="AQ19422" s="31"/>
    </row>
    <row r="19423" spans="43:43" x14ac:dyDescent="0.2">
      <c r="AQ19423" s="31"/>
    </row>
    <row r="19424" spans="43:43" x14ac:dyDescent="0.2">
      <c r="AQ19424" s="31"/>
    </row>
    <row r="19425" spans="43:43" x14ac:dyDescent="0.2">
      <c r="AQ19425" s="31"/>
    </row>
    <row r="19426" spans="43:43" x14ac:dyDescent="0.2">
      <c r="AQ19426" s="31"/>
    </row>
    <row r="19427" spans="43:43" x14ac:dyDescent="0.2">
      <c r="AQ19427" s="31"/>
    </row>
    <row r="19428" spans="43:43" x14ac:dyDescent="0.2">
      <c r="AQ19428" s="31"/>
    </row>
    <row r="19429" spans="43:43" x14ac:dyDescent="0.2">
      <c r="AQ19429" s="31"/>
    </row>
    <row r="19430" spans="43:43" x14ac:dyDescent="0.2">
      <c r="AQ19430" s="31"/>
    </row>
    <row r="19431" spans="43:43" x14ac:dyDescent="0.2">
      <c r="AQ19431" s="31"/>
    </row>
    <row r="19432" spans="43:43" x14ac:dyDescent="0.2">
      <c r="AQ19432" s="31"/>
    </row>
    <row r="19433" spans="43:43" x14ac:dyDescent="0.2">
      <c r="AQ19433" s="31"/>
    </row>
    <row r="19434" spans="43:43" x14ac:dyDescent="0.2">
      <c r="AQ19434" s="31"/>
    </row>
    <row r="19435" spans="43:43" x14ac:dyDescent="0.2">
      <c r="AQ19435" s="31"/>
    </row>
    <row r="19436" spans="43:43" x14ac:dyDescent="0.2">
      <c r="AQ19436" s="31"/>
    </row>
    <row r="19437" spans="43:43" x14ac:dyDescent="0.2">
      <c r="AQ19437" s="31"/>
    </row>
    <row r="19438" spans="43:43" x14ac:dyDescent="0.2">
      <c r="AQ19438" s="31"/>
    </row>
    <row r="19439" spans="43:43" x14ac:dyDescent="0.2">
      <c r="AQ19439" s="31"/>
    </row>
    <row r="19440" spans="43:43" x14ac:dyDescent="0.2">
      <c r="AQ19440" s="31"/>
    </row>
    <row r="19441" spans="43:43" x14ac:dyDescent="0.2">
      <c r="AQ19441" s="31"/>
    </row>
    <row r="19442" spans="43:43" x14ac:dyDescent="0.2">
      <c r="AQ19442" s="31"/>
    </row>
    <row r="19443" spans="43:43" x14ac:dyDescent="0.2">
      <c r="AQ19443" s="31"/>
    </row>
    <row r="19444" spans="43:43" x14ac:dyDescent="0.2">
      <c r="AQ19444" s="31"/>
    </row>
    <row r="19445" spans="43:43" x14ac:dyDescent="0.2">
      <c r="AQ19445" s="31"/>
    </row>
    <row r="19446" spans="43:43" x14ac:dyDescent="0.2">
      <c r="AQ19446" s="31"/>
    </row>
    <row r="19447" spans="43:43" x14ac:dyDescent="0.2">
      <c r="AQ19447" s="31"/>
    </row>
    <row r="19448" spans="43:43" x14ac:dyDescent="0.2">
      <c r="AQ19448" s="31"/>
    </row>
    <row r="19449" spans="43:43" x14ac:dyDescent="0.2">
      <c r="AQ19449" s="31"/>
    </row>
    <row r="19450" spans="43:43" x14ac:dyDescent="0.2">
      <c r="AQ19450" s="31"/>
    </row>
    <row r="19451" spans="43:43" x14ac:dyDescent="0.2">
      <c r="AQ19451" s="31"/>
    </row>
    <row r="19452" spans="43:43" x14ac:dyDescent="0.2">
      <c r="AQ19452" s="31"/>
    </row>
    <row r="19453" spans="43:43" x14ac:dyDescent="0.2">
      <c r="AQ19453" s="31"/>
    </row>
    <row r="19454" spans="43:43" x14ac:dyDescent="0.2">
      <c r="AQ19454" s="31"/>
    </row>
    <row r="19455" spans="43:43" x14ac:dyDescent="0.2">
      <c r="AQ19455" s="31"/>
    </row>
    <row r="19456" spans="43:43" x14ac:dyDescent="0.2">
      <c r="AQ19456" s="31"/>
    </row>
    <row r="19457" spans="43:43" x14ac:dyDescent="0.2">
      <c r="AQ19457" s="31"/>
    </row>
    <row r="19458" spans="43:43" x14ac:dyDescent="0.2">
      <c r="AQ19458" s="31"/>
    </row>
    <row r="19459" spans="43:43" x14ac:dyDescent="0.2">
      <c r="AQ19459" s="31"/>
    </row>
    <row r="19460" spans="43:43" x14ac:dyDescent="0.2">
      <c r="AQ19460" s="31"/>
    </row>
    <row r="19461" spans="43:43" x14ac:dyDescent="0.2">
      <c r="AQ19461" s="31"/>
    </row>
    <row r="19462" spans="43:43" x14ac:dyDescent="0.2">
      <c r="AQ19462" s="31"/>
    </row>
    <row r="19463" spans="43:43" x14ac:dyDescent="0.2">
      <c r="AQ19463" s="31"/>
    </row>
    <row r="19464" spans="43:43" x14ac:dyDescent="0.2">
      <c r="AQ19464" s="31"/>
    </row>
    <row r="19465" spans="43:43" x14ac:dyDescent="0.2">
      <c r="AQ19465" s="31"/>
    </row>
    <row r="19466" spans="43:43" x14ac:dyDescent="0.2">
      <c r="AQ19466" s="31"/>
    </row>
    <row r="19467" spans="43:43" x14ac:dyDescent="0.2">
      <c r="AQ19467" s="31"/>
    </row>
    <row r="19468" spans="43:43" x14ac:dyDescent="0.2">
      <c r="AQ19468" s="31"/>
    </row>
    <row r="19469" spans="43:43" x14ac:dyDescent="0.2">
      <c r="AQ19469" s="31"/>
    </row>
    <row r="19470" spans="43:43" x14ac:dyDescent="0.2">
      <c r="AQ19470" s="31"/>
    </row>
    <row r="19471" spans="43:43" x14ac:dyDescent="0.2">
      <c r="AQ19471" s="31"/>
    </row>
    <row r="19472" spans="43:43" x14ac:dyDescent="0.2">
      <c r="AQ19472" s="31"/>
    </row>
    <row r="19473" spans="43:43" x14ac:dyDescent="0.2">
      <c r="AQ19473" s="31"/>
    </row>
    <row r="19474" spans="43:43" x14ac:dyDescent="0.2">
      <c r="AQ19474" s="31"/>
    </row>
    <row r="19475" spans="43:43" x14ac:dyDescent="0.2">
      <c r="AQ19475" s="31"/>
    </row>
    <row r="19476" spans="43:43" x14ac:dyDescent="0.2">
      <c r="AQ19476" s="31"/>
    </row>
    <row r="19477" spans="43:43" x14ac:dyDescent="0.2">
      <c r="AQ19477" s="31"/>
    </row>
    <row r="19478" spans="43:43" x14ac:dyDescent="0.2">
      <c r="AQ19478" s="31"/>
    </row>
    <row r="19479" spans="43:43" x14ac:dyDescent="0.2">
      <c r="AQ19479" s="31"/>
    </row>
    <row r="19480" spans="43:43" x14ac:dyDescent="0.2">
      <c r="AQ19480" s="31"/>
    </row>
    <row r="19481" spans="43:43" x14ac:dyDescent="0.2">
      <c r="AQ19481" s="31"/>
    </row>
    <row r="19482" spans="43:43" x14ac:dyDescent="0.2">
      <c r="AQ19482" s="31"/>
    </row>
    <row r="19483" spans="43:43" x14ac:dyDescent="0.2">
      <c r="AQ19483" s="31"/>
    </row>
    <row r="19484" spans="43:43" x14ac:dyDescent="0.2">
      <c r="AQ19484" s="31"/>
    </row>
    <row r="19485" spans="43:43" x14ac:dyDescent="0.2">
      <c r="AQ19485" s="31"/>
    </row>
    <row r="19486" spans="43:43" x14ac:dyDescent="0.2">
      <c r="AQ19486" s="31"/>
    </row>
    <row r="19487" spans="43:43" x14ac:dyDescent="0.2">
      <c r="AQ19487" s="31"/>
    </row>
    <row r="19488" spans="43:43" x14ac:dyDescent="0.2">
      <c r="AQ19488" s="31"/>
    </row>
    <row r="19489" spans="43:43" x14ac:dyDescent="0.2">
      <c r="AQ19489" s="31"/>
    </row>
    <row r="19490" spans="43:43" x14ac:dyDescent="0.2">
      <c r="AQ19490" s="31"/>
    </row>
    <row r="19491" spans="43:43" x14ac:dyDescent="0.2">
      <c r="AQ19491" s="31"/>
    </row>
    <row r="19492" spans="43:43" x14ac:dyDescent="0.2">
      <c r="AQ19492" s="31"/>
    </row>
    <row r="19493" spans="43:43" x14ac:dyDescent="0.2">
      <c r="AQ19493" s="31"/>
    </row>
    <row r="19494" spans="43:43" x14ac:dyDescent="0.2">
      <c r="AQ19494" s="31"/>
    </row>
    <row r="19495" spans="43:43" x14ac:dyDescent="0.2">
      <c r="AQ19495" s="31"/>
    </row>
    <row r="19496" spans="43:43" x14ac:dyDescent="0.2">
      <c r="AQ19496" s="31"/>
    </row>
    <row r="19497" spans="43:43" x14ac:dyDescent="0.2">
      <c r="AQ19497" s="31"/>
    </row>
    <row r="19498" spans="43:43" x14ac:dyDescent="0.2">
      <c r="AQ19498" s="31"/>
    </row>
    <row r="19499" spans="43:43" x14ac:dyDescent="0.2">
      <c r="AQ19499" s="31"/>
    </row>
    <row r="19500" spans="43:43" x14ac:dyDescent="0.2">
      <c r="AQ19500" s="31"/>
    </row>
    <row r="19501" spans="43:43" x14ac:dyDescent="0.2">
      <c r="AQ19501" s="31"/>
    </row>
    <row r="19502" spans="43:43" x14ac:dyDescent="0.2">
      <c r="AQ19502" s="31"/>
    </row>
    <row r="19503" spans="43:43" x14ac:dyDescent="0.2">
      <c r="AQ19503" s="31"/>
    </row>
    <row r="19504" spans="43:43" x14ac:dyDescent="0.2">
      <c r="AQ19504" s="31"/>
    </row>
    <row r="19505" spans="43:43" x14ac:dyDescent="0.2">
      <c r="AQ19505" s="31"/>
    </row>
    <row r="19506" spans="43:43" x14ac:dyDescent="0.2">
      <c r="AQ19506" s="31"/>
    </row>
    <row r="19507" spans="43:43" x14ac:dyDescent="0.2">
      <c r="AQ19507" s="31"/>
    </row>
    <row r="19508" spans="43:43" x14ac:dyDescent="0.2">
      <c r="AQ19508" s="31"/>
    </row>
    <row r="19509" spans="43:43" x14ac:dyDescent="0.2">
      <c r="AQ19509" s="31"/>
    </row>
    <row r="19510" spans="43:43" x14ac:dyDescent="0.2">
      <c r="AQ19510" s="31"/>
    </row>
    <row r="19511" spans="43:43" x14ac:dyDescent="0.2">
      <c r="AQ19511" s="31"/>
    </row>
    <row r="19512" spans="43:43" x14ac:dyDescent="0.2">
      <c r="AQ19512" s="31"/>
    </row>
    <row r="19513" spans="43:43" x14ac:dyDescent="0.2">
      <c r="AQ19513" s="31"/>
    </row>
    <row r="19514" spans="43:43" x14ac:dyDescent="0.2">
      <c r="AQ19514" s="31"/>
    </row>
    <row r="19515" spans="43:43" x14ac:dyDescent="0.2">
      <c r="AQ19515" s="31"/>
    </row>
    <row r="19516" spans="43:43" x14ac:dyDescent="0.2">
      <c r="AQ19516" s="31"/>
    </row>
    <row r="19517" spans="43:43" x14ac:dyDescent="0.2">
      <c r="AQ19517" s="31"/>
    </row>
    <row r="19518" spans="43:43" x14ac:dyDescent="0.2">
      <c r="AQ19518" s="31"/>
    </row>
    <row r="19519" spans="43:43" x14ac:dyDescent="0.2">
      <c r="AQ19519" s="31"/>
    </row>
    <row r="19520" spans="43:43" x14ac:dyDescent="0.2">
      <c r="AQ19520" s="31"/>
    </row>
    <row r="19521" spans="43:43" x14ac:dyDescent="0.2">
      <c r="AQ19521" s="31"/>
    </row>
    <row r="19522" spans="43:43" x14ac:dyDescent="0.2">
      <c r="AQ19522" s="31"/>
    </row>
    <row r="19523" spans="43:43" x14ac:dyDescent="0.2">
      <c r="AQ19523" s="31"/>
    </row>
    <row r="19524" spans="43:43" x14ac:dyDescent="0.2">
      <c r="AQ19524" s="31"/>
    </row>
    <row r="19525" spans="43:43" x14ac:dyDescent="0.2">
      <c r="AQ19525" s="31"/>
    </row>
    <row r="19526" spans="43:43" x14ac:dyDescent="0.2">
      <c r="AQ19526" s="31"/>
    </row>
    <row r="19527" spans="43:43" x14ac:dyDescent="0.2">
      <c r="AQ19527" s="31"/>
    </row>
    <row r="19528" spans="43:43" x14ac:dyDescent="0.2">
      <c r="AQ19528" s="31"/>
    </row>
    <row r="19529" spans="43:43" x14ac:dyDescent="0.2">
      <c r="AQ19529" s="31"/>
    </row>
    <row r="19530" spans="43:43" x14ac:dyDescent="0.2">
      <c r="AQ19530" s="31"/>
    </row>
    <row r="19531" spans="43:43" x14ac:dyDescent="0.2">
      <c r="AQ19531" s="31"/>
    </row>
    <row r="19532" spans="43:43" x14ac:dyDescent="0.2">
      <c r="AQ19532" s="31"/>
    </row>
    <row r="19533" spans="43:43" x14ac:dyDescent="0.2">
      <c r="AQ19533" s="31"/>
    </row>
    <row r="19534" spans="43:43" x14ac:dyDescent="0.2">
      <c r="AQ19534" s="31"/>
    </row>
    <row r="19535" spans="43:43" x14ac:dyDescent="0.2">
      <c r="AQ19535" s="31"/>
    </row>
    <row r="19536" spans="43:43" x14ac:dyDescent="0.2">
      <c r="AQ19536" s="31"/>
    </row>
    <row r="19537" spans="43:43" x14ac:dyDescent="0.2">
      <c r="AQ19537" s="31"/>
    </row>
    <row r="19538" spans="43:43" x14ac:dyDescent="0.2">
      <c r="AQ19538" s="31"/>
    </row>
    <row r="19539" spans="43:43" x14ac:dyDescent="0.2">
      <c r="AQ19539" s="31"/>
    </row>
    <row r="19540" spans="43:43" x14ac:dyDescent="0.2">
      <c r="AQ19540" s="31"/>
    </row>
    <row r="19541" spans="43:43" x14ac:dyDescent="0.2">
      <c r="AQ19541" s="31"/>
    </row>
    <row r="19542" spans="43:43" x14ac:dyDescent="0.2">
      <c r="AQ19542" s="31"/>
    </row>
    <row r="19543" spans="43:43" x14ac:dyDescent="0.2">
      <c r="AQ19543" s="31"/>
    </row>
    <row r="19544" spans="43:43" x14ac:dyDescent="0.2">
      <c r="AQ19544" s="31"/>
    </row>
    <row r="19545" spans="43:43" x14ac:dyDescent="0.2">
      <c r="AQ19545" s="31"/>
    </row>
    <row r="19546" spans="43:43" x14ac:dyDescent="0.2">
      <c r="AQ19546" s="31"/>
    </row>
    <row r="19547" spans="43:43" x14ac:dyDescent="0.2">
      <c r="AQ19547" s="31"/>
    </row>
    <row r="19548" spans="43:43" x14ac:dyDescent="0.2">
      <c r="AQ19548" s="31"/>
    </row>
    <row r="19549" spans="43:43" x14ac:dyDescent="0.2">
      <c r="AQ19549" s="31"/>
    </row>
    <row r="19550" spans="43:43" x14ac:dyDescent="0.2">
      <c r="AQ19550" s="31"/>
    </row>
    <row r="19551" spans="43:43" x14ac:dyDescent="0.2">
      <c r="AQ19551" s="31"/>
    </row>
    <row r="19552" spans="43:43" x14ac:dyDescent="0.2">
      <c r="AQ19552" s="31"/>
    </row>
    <row r="19553" spans="43:43" x14ac:dyDescent="0.2">
      <c r="AQ19553" s="31"/>
    </row>
    <row r="19554" spans="43:43" x14ac:dyDescent="0.2">
      <c r="AQ19554" s="31"/>
    </row>
    <row r="19555" spans="43:43" x14ac:dyDescent="0.2">
      <c r="AQ19555" s="31"/>
    </row>
    <row r="19556" spans="43:43" x14ac:dyDescent="0.2">
      <c r="AQ19556" s="31"/>
    </row>
    <row r="19557" spans="43:43" x14ac:dyDescent="0.2">
      <c r="AQ19557" s="31"/>
    </row>
    <row r="19558" spans="43:43" x14ac:dyDescent="0.2">
      <c r="AQ19558" s="31"/>
    </row>
    <row r="19559" spans="43:43" x14ac:dyDescent="0.2">
      <c r="AQ19559" s="31"/>
    </row>
    <row r="19560" spans="43:43" x14ac:dyDescent="0.2">
      <c r="AQ19560" s="31"/>
    </row>
    <row r="19561" spans="43:43" x14ac:dyDescent="0.2">
      <c r="AQ19561" s="31"/>
    </row>
    <row r="19562" spans="43:43" x14ac:dyDescent="0.2">
      <c r="AQ19562" s="31"/>
    </row>
    <row r="19563" spans="43:43" x14ac:dyDescent="0.2">
      <c r="AQ19563" s="31"/>
    </row>
    <row r="19564" spans="43:43" x14ac:dyDescent="0.2">
      <c r="AQ19564" s="31"/>
    </row>
    <row r="19565" spans="43:43" x14ac:dyDescent="0.2">
      <c r="AQ19565" s="31"/>
    </row>
    <row r="19566" spans="43:43" x14ac:dyDescent="0.2">
      <c r="AQ19566" s="31"/>
    </row>
    <row r="19567" spans="43:43" x14ac:dyDescent="0.2">
      <c r="AQ19567" s="31"/>
    </row>
    <row r="19568" spans="43:43" x14ac:dyDescent="0.2">
      <c r="AQ19568" s="31"/>
    </row>
    <row r="19569" spans="43:43" x14ac:dyDescent="0.2">
      <c r="AQ19569" s="31"/>
    </row>
    <row r="19570" spans="43:43" x14ac:dyDescent="0.2">
      <c r="AQ19570" s="31"/>
    </row>
    <row r="19571" spans="43:43" x14ac:dyDescent="0.2">
      <c r="AQ19571" s="31"/>
    </row>
    <row r="19572" spans="43:43" x14ac:dyDescent="0.2">
      <c r="AQ19572" s="31"/>
    </row>
    <row r="19573" spans="43:43" x14ac:dyDescent="0.2">
      <c r="AQ19573" s="31"/>
    </row>
    <row r="19574" spans="43:43" x14ac:dyDescent="0.2">
      <c r="AQ19574" s="31"/>
    </row>
    <row r="19575" spans="43:43" x14ac:dyDescent="0.2">
      <c r="AQ19575" s="31"/>
    </row>
    <row r="19576" spans="43:43" x14ac:dyDescent="0.2">
      <c r="AQ19576" s="31"/>
    </row>
    <row r="19577" spans="43:43" x14ac:dyDescent="0.2">
      <c r="AQ19577" s="31"/>
    </row>
    <row r="19578" spans="43:43" x14ac:dyDescent="0.2">
      <c r="AQ19578" s="31"/>
    </row>
    <row r="19579" spans="43:43" x14ac:dyDescent="0.2">
      <c r="AQ19579" s="31"/>
    </row>
    <row r="19580" spans="43:43" x14ac:dyDescent="0.2">
      <c r="AQ19580" s="31"/>
    </row>
    <row r="19581" spans="43:43" x14ac:dyDescent="0.2">
      <c r="AQ19581" s="31"/>
    </row>
    <row r="19582" spans="43:43" x14ac:dyDescent="0.2">
      <c r="AQ19582" s="31"/>
    </row>
    <row r="19583" spans="43:43" x14ac:dyDescent="0.2">
      <c r="AQ19583" s="31"/>
    </row>
    <row r="19584" spans="43:43" x14ac:dyDescent="0.2">
      <c r="AQ19584" s="31"/>
    </row>
    <row r="19585" spans="43:43" x14ac:dyDescent="0.2">
      <c r="AQ19585" s="31"/>
    </row>
    <row r="19586" spans="43:43" x14ac:dyDescent="0.2">
      <c r="AQ19586" s="31"/>
    </row>
    <row r="19587" spans="43:43" x14ac:dyDescent="0.2">
      <c r="AQ19587" s="31"/>
    </row>
    <row r="19588" spans="43:43" x14ac:dyDescent="0.2">
      <c r="AQ19588" s="31"/>
    </row>
    <row r="19589" spans="43:43" x14ac:dyDescent="0.2">
      <c r="AQ19589" s="31"/>
    </row>
    <row r="19590" spans="43:43" x14ac:dyDescent="0.2">
      <c r="AQ19590" s="31"/>
    </row>
    <row r="19591" spans="43:43" x14ac:dyDescent="0.2">
      <c r="AQ19591" s="31"/>
    </row>
    <row r="19592" spans="43:43" x14ac:dyDescent="0.2">
      <c r="AQ19592" s="31"/>
    </row>
    <row r="19593" spans="43:43" x14ac:dyDescent="0.2">
      <c r="AQ19593" s="31"/>
    </row>
    <row r="19594" spans="43:43" x14ac:dyDescent="0.2">
      <c r="AQ19594" s="31"/>
    </row>
    <row r="19595" spans="43:43" x14ac:dyDescent="0.2">
      <c r="AQ19595" s="31"/>
    </row>
    <row r="19596" spans="43:43" x14ac:dyDescent="0.2">
      <c r="AQ19596" s="31"/>
    </row>
    <row r="19597" spans="43:43" x14ac:dyDescent="0.2">
      <c r="AQ19597" s="31"/>
    </row>
    <row r="19598" spans="43:43" x14ac:dyDescent="0.2">
      <c r="AQ19598" s="31"/>
    </row>
    <row r="19599" spans="43:43" x14ac:dyDescent="0.2">
      <c r="AQ19599" s="31"/>
    </row>
    <row r="19600" spans="43:43" x14ac:dyDescent="0.2">
      <c r="AQ19600" s="31"/>
    </row>
    <row r="19601" spans="43:43" x14ac:dyDescent="0.2">
      <c r="AQ19601" s="31"/>
    </row>
    <row r="19602" spans="43:43" x14ac:dyDescent="0.2">
      <c r="AQ19602" s="31"/>
    </row>
    <row r="19603" spans="43:43" x14ac:dyDescent="0.2">
      <c r="AQ19603" s="31"/>
    </row>
    <row r="19604" spans="43:43" x14ac:dyDescent="0.2">
      <c r="AQ19604" s="31"/>
    </row>
    <row r="19605" spans="43:43" x14ac:dyDescent="0.2">
      <c r="AQ19605" s="31"/>
    </row>
    <row r="19606" spans="43:43" x14ac:dyDescent="0.2">
      <c r="AQ19606" s="31"/>
    </row>
    <row r="19607" spans="43:43" x14ac:dyDescent="0.2">
      <c r="AQ19607" s="31"/>
    </row>
    <row r="19608" spans="43:43" x14ac:dyDescent="0.2">
      <c r="AQ19608" s="31"/>
    </row>
    <row r="19609" spans="43:43" x14ac:dyDescent="0.2">
      <c r="AQ19609" s="31"/>
    </row>
    <row r="19610" spans="43:43" x14ac:dyDescent="0.2">
      <c r="AQ19610" s="31"/>
    </row>
    <row r="19611" spans="43:43" x14ac:dyDescent="0.2">
      <c r="AQ19611" s="31"/>
    </row>
    <row r="19612" spans="43:43" x14ac:dyDescent="0.2">
      <c r="AQ19612" s="31"/>
    </row>
    <row r="19613" spans="43:43" x14ac:dyDescent="0.2">
      <c r="AQ19613" s="31"/>
    </row>
    <row r="19614" spans="43:43" x14ac:dyDescent="0.2">
      <c r="AQ19614" s="31"/>
    </row>
    <row r="19615" spans="43:43" x14ac:dyDescent="0.2">
      <c r="AQ19615" s="31"/>
    </row>
    <row r="19616" spans="43:43" x14ac:dyDescent="0.2">
      <c r="AQ19616" s="31"/>
    </row>
    <row r="19617" spans="43:43" x14ac:dyDescent="0.2">
      <c r="AQ19617" s="31"/>
    </row>
    <row r="19618" spans="43:43" x14ac:dyDescent="0.2">
      <c r="AQ19618" s="31"/>
    </row>
    <row r="19619" spans="43:43" x14ac:dyDescent="0.2">
      <c r="AQ19619" s="31"/>
    </row>
    <row r="19620" spans="43:43" x14ac:dyDescent="0.2">
      <c r="AQ19620" s="31"/>
    </row>
    <row r="19621" spans="43:43" x14ac:dyDescent="0.2">
      <c r="AQ19621" s="31"/>
    </row>
    <row r="19622" spans="43:43" x14ac:dyDescent="0.2">
      <c r="AQ19622" s="31"/>
    </row>
    <row r="19623" spans="43:43" x14ac:dyDescent="0.2">
      <c r="AQ19623" s="31"/>
    </row>
    <row r="19624" spans="43:43" x14ac:dyDescent="0.2">
      <c r="AQ19624" s="31"/>
    </row>
    <row r="19625" spans="43:43" x14ac:dyDescent="0.2">
      <c r="AQ19625" s="31"/>
    </row>
    <row r="19626" spans="43:43" x14ac:dyDescent="0.2">
      <c r="AQ19626" s="31"/>
    </row>
    <row r="19627" spans="43:43" x14ac:dyDescent="0.2">
      <c r="AQ19627" s="31"/>
    </row>
    <row r="19628" spans="43:43" x14ac:dyDescent="0.2">
      <c r="AQ19628" s="31"/>
    </row>
    <row r="19629" spans="43:43" x14ac:dyDescent="0.2">
      <c r="AQ19629" s="31"/>
    </row>
    <row r="19630" spans="43:43" x14ac:dyDescent="0.2">
      <c r="AQ19630" s="31"/>
    </row>
    <row r="19631" spans="43:43" x14ac:dyDescent="0.2">
      <c r="AQ19631" s="31"/>
    </row>
    <row r="19632" spans="43:43" x14ac:dyDescent="0.2">
      <c r="AQ19632" s="31"/>
    </row>
    <row r="19633" spans="43:43" x14ac:dyDescent="0.2">
      <c r="AQ19633" s="31"/>
    </row>
    <row r="19634" spans="43:43" x14ac:dyDescent="0.2">
      <c r="AQ19634" s="31"/>
    </row>
    <row r="19635" spans="43:43" x14ac:dyDescent="0.2">
      <c r="AQ19635" s="31"/>
    </row>
    <row r="19636" spans="43:43" x14ac:dyDescent="0.2">
      <c r="AQ19636" s="31"/>
    </row>
    <row r="19637" spans="43:43" x14ac:dyDescent="0.2">
      <c r="AQ19637" s="31"/>
    </row>
    <row r="19638" spans="43:43" x14ac:dyDescent="0.2">
      <c r="AQ19638" s="31"/>
    </row>
    <row r="19639" spans="43:43" x14ac:dyDescent="0.2">
      <c r="AQ19639" s="31"/>
    </row>
    <row r="19640" spans="43:43" x14ac:dyDescent="0.2">
      <c r="AQ19640" s="31"/>
    </row>
    <row r="19641" spans="43:43" x14ac:dyDescent="0.2">
      <c r="AQ19641" s="31"/>
    </row>
    <row r="19642" spans="43:43" x14ac:dyDescent="0.2">
      <c r="AQ19642" s="31"/>
    </row>
    <row r="19643" spans="43:43" x14ac:dyDescent="0.2">
      <c r="AQ19643" s="31"/>
    </row>
    <row r="19644" spans="43:43" x14ac:dyDescent="0.2">
      <c r="AQ19644" s="31"/>
    </row>
    <row r="19645" spans="43:43" x14ac:dyDescent="0.2">
      <c r="AQ19645" s="31"/>
    </row>
    <row r="19646" spans="43:43" x14ac:dyDescent="0.2">
      <c r="AQ19646" s="31"/>
    </row>
    <row r="19647" spans="43:43" x14ac:dyDescent="0.2">
      <c r="AQ19647" s="31"/>
    </row>
    <row r="19648" spans="43:43" x14ac:dyDescent="0.2">
      <c r="AQ19648" s="31"/>
    </row>
    <row r="19649" spans="43:43" x14ac:dyDescent="0.2">
      <c r="AQ19649" s="31"/>
    </row>
    <row r="19650" spans="43:43" x14ac:dyDescent="0.2">
      <c r="AQ19650" s="31"/>
    </row>
    <row r="19651" spans="43:43" x14ac:dyDescent="0.2">
      <c r="AQ19651" s="31"/>
    </row>
    <row r="19652" spans="43:43" x14ac:dyDescent="0.2">
      <c r="AQ19652" s="31"/>
    </row>
    <row r="19653" spans="43:43" x14ac:dyDescent="0.2">
      <c r="AQ19653" s="31"/>
    </row>
    <row r="19654" spans="43:43" x14ac:dyDescent="0.2">
      <c r="AQ19654" s="31"/>
    </row>
    <row r="19655" spans="43:43" x14ac:dyDescent="0.2">
      <c r="AQ19655" s="31"/>
    </row>
    <row r="19656" spans="43:43" x14ac:dyDescent="0.2">
      <c r="AQ19656" s="31"/>
    </row>
    <row r="19657" spans="43:43" x14ac:dyDescent="0.2">
      <c r="AQ19657" s="31"/>
    </row>
    <row r="19658" spans="43:43" x14ac:dyDescent="0.2">
      <c r="AQ19658" s="31"/>
    </row>
    <row r="19659" spans="43:43" x14ac:dyDescent="0.2">
      <c r="AQ19659" s="31"/>
    </row>
    <row r="19660" spans="43:43" x14ac:dyDescent="0.2">
      <c r="AQ19660" s="31"/>
    </row>
    <row r="19661" spans="43:43" x14ac:dyDescent="0.2">
      <c r="AQ19661" s="31"/>
    </row>
    <row r="19662" spans="43:43" x14ac:dyDescent="0.2">
      <c r="AQ19662" s="31"/>
    </row>
    <row r="19663" spans="43:43" x14ac:dyDescent="0.2">
      <c r="AQ19663" s="31"/>
    </row>
    <row r="19664" spans="43:43" x14ac:dyDescent="0.2">
      <c r="AQ19664" s="31"/>
    </row>
    <row r="19665" spans="43:43" x14ac:dyDescent="0.2">
      <c r="AQ19665" s="31"/>
    </row>
    <row r="19666" spans="43:43" x14ac:dyDescent="0.2">
      <c r="AQ19666" s="31"/>
    </row>
    <row r="19667" spans="43:43" x14ac:dyDescent="0.2">
      <c r="AQ19667" s="31"/>
    </row>
    <row r="19668" spans="43:43" x14ac:dyDescent="0.2">
      <c r="AQ19668" s="31"/>
    </row>
    <row r="19669" spans="43:43" x14ac:dyDescent="0.2">
      <c r="AQ19669" s="31"/>
    </row>
    <row r="19670" spans="43:43" x14ac:dyDescent="0.2">
      <c r="AQ19670" s="31"/>
    </row>
    <row r="19671" spans="43:43" x14ac:dyDescent="0.2">
      <c r="AQ19671" s="31"/>
    </row>
    <row r="19672" spans="43:43" x14ac:dyDescent="0.2">
      <c r="AQ19672" s="31"/>
    </row>
    <row r="19673" spans="43:43" x14ac:dyDescent="0.2">
      <c r="AQ19673" s="31"/>
    </row>
    <row r="19674" spans="43:43" x14ac:dyDescent="0.2">
      <c r="AQ19674" s="31"/>
    </row>
    <row r="19675" spans="43:43" x14ac:dyDescent="0.2">
      <c r="AQ19675" s="31"/>
    </row>
    <row r="19676" spans="43:43" x14ac:dyDescent="0.2">
      <c r="AQ19676" s="31"/>
    </row>
    <row r="19677" spans="43:43" x14ac:dyDescent="0.2">
      <c r="AQ19677" s="31"/>
    </row>
    <row r="19678" spans="43:43" x14ac:dyDescent="0.2">
      <c r="AQ19678" s="31"/>
    </row>
    <row r="19679" spans="43:43" x14ac:dyDescent="0.2">
      <c r="AQ19679" s="31"/>
    </row>
    <row r="19680" spans="43:43" x14ac:dyDescent="0.2">
      <c r="AQ19680" s="31"/>
    </row>
    <row r="19681" spans="43:43" x14ac:dyDescent="0.2">
      <c r="AQ19681" s="31"/>
    </row>
    <row r="19682" spans="43:43" x14ac:dyDescent="0.2">
      <c r="AQ19682" s="31"/>
    </row>
    <row r="19683" spans="43:43" x14ac:dyDescent="0.2">
      <c r="AQ19683" s="31"/>
    </row>
    <row r="19684" spans="43:43" x14ac:dyDescent="0.2">
      <c r="AQ19684" s="31"/>
    </row>
    <row r="19685" spans="43:43" x14ac:dyDescent="0.2">
      <c r="AQ19685" s="31"/>
    </row>
    <row r="19686" spans="43:43" x14ac:dyDescent="0.2">
      <c r="AQ19686" s="31"/>
    </row>
    <row r="19687" spans="43:43" x14ac:dyDescent="0.2">
      <c r="AQ19687" s="31"/>
    </row>
    <row r="19688" spans="43:43" x14ac:dyDescent="0.2">
      <c r="AQ19688" s="31"/>
    </row>
    <row r="19689" spans="43:43" x14ac:dyDescent="0.2">
      <c r="AQ19689" s="31"/>
    </row>
    <row r="19690" spans="43:43" x14ac:dyDescent="0.2">
      <c r="AQ19690" s="31"/>
    </row>
    <row r="19691" spans="43:43" x14ac:dyDescent="0.2">
      <c r="AQ19691" s="31"/>
    </row>
    <row r="19692" spans="43:43" x14ac:dyDescent="0.2">
      <c r="AQ19692" s="31"/>
    </row>
    <row r="19693" spans="43:43" x14ac:dyDescent="0.2">
      <c r="AQ19693" s="31"/>
    </row>
    <row r="19694" spans="43:43" x14ac:dyDescent="0.2">
      <c r="AQ19694" s="31"/>
    </row>
    <row r="19695" spans="43:43" x14ac:dyDescent="0.2">
      <c r="AQ19695" s="31"/>
    </row>
    <row r="19696" spans="43:43" x14ac:dyDescent="0.2">
      <c r="AQ19696" s="31"/>
    </row>
    <row r="19697" spans="43:43" x14ac:dyDescent="0.2">
      <c r="AQ19697" s="31"/>
    </row>
    <row r="19698" spans="43:43" x14ac:dyDescent="0.2">
      <c r="AQ19698" s="31"/>
    </row>
    <row r="19699" spans="43:43" x14ac:dyDescent="0.2">
      <c r="AQ19699" s="31"/>
    </row>
    <row r="19700" spans="43:43" x14ac:dyDescent="0.2">
      <c r="AQ19700" s="31"/>
    </row>
    <row r="19701" spans="43:43" x14ac:dyDescent="0.2">
      <c r="AQ19701" s="31"/>
    </row>
    <row r="19702" spans="43:43" x14ac:dyDescent="0.2">
      <c r="AQ19702" s="31"/>
    </row>
    <row r="19703" spans="43:43" x14ac:dyDescent="0.2">
      <c r="AQ19703" s="31"/>
    </row>
    <row r="19704" spans="43:43" x14ac:dyDescent="0.2">
      <c r="AQ19704" s="31"/>
    </row>
    <row r="19705" spans="43:43" x14ac:dyDescent="0.2">
      <c r="AQ19705" s="31"/>
    </row>
    <row r="19706" spans="43:43" x14ac:dyDescent="0.2">
      <c r="AQ19706" s="31"/>
    </row>
    <row r="19707" spans="43:43" x14ac:dyDescent="0.2">
      <c r="AQ19707" s="31"/>
    </row>
    <row r="19708" spans="43:43" x14ac:dyDescent="0.2">
      <c r="AQ19708" s="31"/>
    </row>
    <row r="19709" spans="43:43" x14ac:dyDescent="0.2">
      <c r="AQ19709" s="31"/>
    </row>
    <row r="19710" spans="43:43" x14ac:dyDescent="0.2">
      <c r="AQ19710" s="31"/>
    </row>
    <row r="19711" spans="43:43" x14ac:dyDescent="0.2">
      <c r="AQ19711" s="31"/>
    </row>
    <row r="19712" spans="43:43" x14ac:dyDescent="0.2">
      <c r="AQ19712" s="31"/>
    </row>
    <row r="19713" spans="43:43" x14ac:dyDescent="0.2">
      <c r="AQ19713" s="31"/>
    </row>
    <row r="19714" spans="43:43" x14ac:dyDescent="0.2">
      <c r="AQ19714" s="31"/>
    </row>
    <row r="19715" spans="43:43" x14ac:dyDescent="0.2">
      <c r="AQ19715" s="31"/>
    </row>
    <row r="19716" spans="43:43" x14ac:dyDescent="0.2">
      <c r="AQ19716" s="31"/>
    </row>
    <row r="19717" spans="43:43" x14ac:dyDescent="0.2">
      <c r="AQ19717" s="31"/>
    </row>
    <row r="19718" spans="43:43" x14ac:dyDescent="0.2">
      <c r="AQ19718" s="31"/>
    </row>
    <row r="19719" spans="43:43" x14ac:dyDescent="0.2">
      <c r="AQ19719" s="31"/>
    </row>
    <row r="19720" spans="43:43" x14ac:dyDescent="0.2">
      <c r="AQ19720" s="31"/>
    </row>
    <row r="19721" spans="43:43" x14ac:dyDescent="0.2">
      <c r="AQ19721" s="31"/>
    </row>
    <row r="19722" spans="43:43" x14ac:dyDescent="0.2">
      <c r="AQ19722" s="31"/>
    </row>
    <row r="19723" spans="43:43" x14ac:dyDescent="0.2">
      <c r="AQ19723" s="31"/>
    </row>
    <row r="19724" spans="43:43" x14ac:dyDescent="0.2">
      <c r="AQ19724" s="31"/>
    </row>
    <row r="19725" spans="43:43" x14ac:dyDescent="0.2">
      <c r="AQ19725" s="31"/>
    </row>
    <row r="19726" spans="43:43" x14ac:dyDescent="0.2">
      <c r="AQ19726" s="31"/>
    </row>
    <row r="19727" spans="43:43" x14ac:dyDescent="0.2">
      <c r="AQ19727" s="31"/>
    </row>
    <row r="19728" spans="43:43" x14ac:dyDescent="0.2">
      <c r="AQ19728" s="31"/>
    </row>
    <row r="19729" spans="43:43" x14ac:dyDescent="0.2">
      <c r="AQ19729" s="31"/>
    </row>
    <row r="19730" spans="43:43" x14ac:dyDescent="0.2">
      <c r="AQ19730" s="31"/>
    </row>
    <row r="19731" spans="43:43" x14ac:dyDescent="0.2">
      <c r="AQ19731" s="31"/>
    </row>
    <row r="19732" spans="43:43" x14ac:dyDescent="0.2">
      <c r="AQ19732" s="31"/>
    </row>
    <row r="19733" spans="43:43" x14ac:dyDescent="0.2">
      <c r="AQ19733" s="31"/>
    </row>
    <row r="19734" spans="43:43" x14ac:dyDescent="0.2">
      <c r="AQ19734" s="31"/>
    </row>
    <row r="19735" spans="43:43" x14ac:dyDescent="0.2">
      <c r="AQ19735" s="31"/>
    </row>
    <row r="19736" spans="43:43" x14ac:dyDescent="0.2">
      <c r="AQ19736" s="31"/>
    </row>
    <row r="19737" spans="43:43" x14ac:dyDescent="0.2">
      <c r="AQ19737" s="31"/>
    </row>
    <row r="19738" spans="43:43" x14ac:dyDescent="0.2">
      <c r="AQ19738" s="31"/>
    </row>
    <row r="19739" spans="43:43" x14ac:dyDescent="0.2">
      <c r="AQ19739" s="31"/>
    </row>
    <row r="19740" spans="43:43" x14ac:dyDescent="0.2">
      <c r="AQ19740" s="31"/>
    </row>
    <row r="19741" spans="43:43" x14ac:dyDescent="0.2">
      <c r="AQ19741" s="31"/>
    </row>
    <row r="19742" spans="43:43" x14ac:dyDescent="0.2">
      <c r="AQ19742" s="31"/>
    </row>
    <row r="19743" spans="43:43" x14ac:dyDescent="0.2">
      <c r="AQ19743" s="31"/>
    </row>
    <row r="19744" spans="43:43" x14ac:dyDescent="0.2">
      <c r="AQ19744" s="31"/>
    </row>
    <row r="19745" spans="43:43" x14ac:dyDescent="0.2">
      <c r="AQ19745" s="31"/>
    </row>
    <row r="19746" spans="43:43" x14ac:dyDescent="0.2">
      <c r="AQ19746" s="31"/>
    </row>
    <row r="19747" spans="43:43" x14ac:dyDescent="0.2">
      <c r="AQ19747" s="31"/>
    </row>
    <row r="19748" spans="43:43" x14ac:dyDescent="0.2">
      <c r="AQ19748" s="31"/>
    </row>
    <row r="19749" spans="43:43" x14ac:dyDescent="0.2">
      <c r="AQ19749" s="31"/>
    </row>
    <row r="19750" spans="43:43" x14ac:dyDescent="0.2">
      <c r="AQ19750" s="31"/>
    </row>
    <row r="19751" spans="43:43" x14ac:dyDescent="0.2">
      <c r="AQ19751" s="31"/>
    </row>
    <row r="19752" spans="43:43" x14ac:dyDescent="0.2">
      <c r="AQ19752" s="31"/>
    </row>
    <row r="19753" spans="43:43" x14ac:dyDescent="0.2">
      <c r="AQ19753" s="31"/>
    </row>
    <row r="19754" spans="43:43" x14ac:dyDescent="0.2">
      <c r="AQ19754" s="31"/>
    </row>
    <row r="19755" spans="43:43" x14ac:dyDescent="0.2">
      <c r="AQ19755" s="31"/>
    </row>
    <row r="19756" spans="43:43" x14ac:dyDescent="0.2">
      <c r="AQ19756" s="31"/>
    </row>
    <row r="19757" spans="43:43" x14ac:dyDescent="0.2">
      <c r="AQ19757" s="31"/>
    </row>
    <row r="19758" spans="43:43" x14ac:dyDescent="0.2">
      <c r="AQ19758" s="31"/>
    </row>
    <row r="19759" spans="43:43" x14ac:dyDescent="0.2">
      <c r="AQ19759" s="31"/>
    </row>
    <row r="19760" spans="43:43" x14ac:dyDescent="0.2">
      <c r="AQ19760" s="31"/>
    </row>
    <row r="19761" spans="43:43" x14ac:dyDescent="0.2">
      <c r="AQ19761" s="31"/>
    </row>
    <row r="19762" spans="43:43" x14ac:dyDescent="0.2">
      <c r="AQ19762" s="31"/>
    </row>
    <row r="19763" spans="43:43" x14ac:dyDescent="0.2">
      <c r="AQ19763" s="31"/>
    </row>
    <row r="19764" spans="43:43" x14ac:dyDescent="0.2">
      <c r="AQ19764" s="31"/>
    </row>
    <row r="19765" spans="43:43" x14ac:dyDescent="0.2">
      <c r="AQ19765" s="31"/>
    </row>
    <row r="19766" spans="43:43" x14ac:dyDescent="0.2">
      <c r="AQ19766" s="31"/>
    </row>
    <row r="19767" spans="43:43" x14ac:dyDescent="0.2">
      <c r="AQ19767" s="31"/>
    </row>
    <row r="19768" spans="43:43" x14ac:dyDescent="0.2">
      <c r="AQ19768" s="31"/>
    </row>
    <row r="19769" spans="43:43" x14ac:dyDescent="0.2">
      <c r="AQ19769" s="31"/>
    </row>
    <row r="19770" spans="43:43" x14ac:dyDescent="0.2">
      <c r="AQ19770" s="31"/>
    </row>
    <row r="19771" spans="43:43" x14ac:dyDescent="0.2">
      <c r="AQ19771" s="31"/>
    </row>
    <row r="19772" spans="43:43" x14ac:dyDescent="0.2">
      <c r="AQ19772" s="31"/>
    </row>
    <row r="19773" spans="43:43" x14ac:dyDescent="0.2">
      <c r="AQ19773" s="31"/>
    </row>
    <row r="19774" spans="43:43" x14ac:dyDescent="0.2">
      <c r="AQ19774" s="31"/>
    </row>
    <row r="19775" spans="43:43" x14ac:dyDescent="0.2">
      <c r="AQ19775" s="31"/>
    </row>
    <row r="19776" spans="43:43" x14ac:dyDescent="0.2">
      <c r="AQ19776" s="31"/>
    </row>
    <row r="19777" spans="43:43" x14ac:dyDescent="0.2">
      <c r="AQ19777" s="31"/>
    </row>
    <row r="19778" spans="43:43" x14ac:dyDescent="0.2">
      <c r="AQ19778" s="31"/>
    </row>
    <row r="19779" spans="43:43" x14ac:dyDescent="0.2">
      <c r="AQ19779" s="31"/>
    </row>
    <row r="19780" spans="43:43" x14ac:dyDescent="0.2">
      <c r="AQ19780" s="31"/>
    </row>
    <row r="19781" spans="43:43" x14ac:dyDescent="0.2">
      <c r="AQ19781" s="31"/>
    </row>
    <row r="19782" spans="43:43" x14ac:dyDescent="0.2">
      <c r="AQ19782" s="31"/>
    </row>
    <row r="19783" spans="43:43" x14ac:dyDescent="0.2">
      <c r="AQ19783" s="31"/>
    </row>
    <row r="19784" spans="43:43" x14ac:dyDescent="0.2">
      <c r="AQ19784" s="31"/>
    </row>
    <row r="19785" spans="43:43" x14ac:dyDescent="0.2">
      <c r="AQ19785" s="31"/>
    </row>
    <row r="19786" spans="43:43" x14ac:dyDescent="0.2">
      <c r="AQ19786" s="31"/>
    </row>
    <row r="19787" spans="43:43" x14ac:dyDescent="0.2">
      <c r="AQ19787" s="31"/>
    </row>
    <row r="19788" spans="43:43" x14ac:dyDescent="0.2">
      <c r="AQ19788" s="31"/>
    </row>
    <row r="19789" spans="43:43" x14ac:dyDescent="0.2">
      <c r="AQ19789" s="31"/>
    </row>
    <row r="19790" spans="43:43" x14ac:dyDescent="0.2">
      <c r="AQ19790" s="31"/>
    </row>
    <row r="19791" spans="43:43" x14ac:dyDescent="0.2">
      <c r="AQ19791" s="31"/>
    </row>
    <row r="19792" spans="43:43" x14ac:dyDescent="0.2">
      <c r="AQ19792" s="31"/>
    </row>
    <row r="19793" spans="43:43" x14ac:dyDescent="0.2">
      <c r="AQ19793" s="31"/>
    </row>
    <row r="19794" spans="43:43" x14ac:dyDescent="0.2">
      <c r="AQ19794" s="31"/>
    </row>
    <row r="19795" spans="43:43" x14ac:dyDescent="0.2">
      <c r="AQ19795" s="31"/>
    </row>
    <row r="19796" spans="43:43" x14ac:dyDescent="0.2">
      <c r="AQ19796" s="31"/>
    </row>
    <row r="19797" spans="43:43" x14ac:dyDescent="0.2">
      <c r="AQ19797" s="31"/>
    </row>
    <row r="19798" spans="43:43" x14ac:dyDescent="0.2">
      <c r="AQ19798" s="31"/>
    </row>
    <row r="19799" spans="43:43" x14ac:dyDescent="0.2">
      <c r="AQ19799" s="31"/>
    </row>
    <row r="19800" spans="43:43" x14ac:dyDescent="0.2">
      <c r="AQ19800" s="31"/>
    </row>
    <row r="19801" spans="43:43" x14ac:dyDescent="0.2">
      <c r="AQ19801" s="31"/>
    </row>
    <row r="19802" spans="43:43" x14ac:dyDescent="0.2">
      <c r="AQ19802" s="31"/>
    </row>
    <row r="19803" spans="43:43" x14ac:dyDescent="0.2">
      <c r="AQ19803" s="31"/>
    </row>
    <row r="19804" spans="43:43" x14ac:dyDescent="0.2">
      <c r="AQ19804" s="31"/>
    </row>
    <row r="19805" spans="43:43" x14ac:dyDescent="0.2">
      <c r="AQ19805" s="31"/>
    </row>
    <row r="19806" spans="43:43" x14ac:dyDescent="0.2">
      <c r="AQ19806" s="31"/>
    </row>
    <row r="19807" spans="43:43" x14ac:dyDescent="0.2">
      <c r="AQ19807" s="31"/>
    </row>
    <row r="19808" spans="43:43" x14ac:dyDescent="0.2">
      <c r="AQ19808" s="31"/>
    </row>
    <row r="19809" spans="43:43" x14ac:dyDescent="0.2">
      <c r="AQ19809" s="31"/>
    </row>
    <row r="19810" spans="43:43" x14ac:dyDescent="0.2">
      <c r="AQ19810" s="31"/>
    </row>
    <row r="19811" spans="43:43" x14ac:dyDescent="0.2">
      <c r="AQ19811" s="31"/>
    </row>
    <row r="19812" spans="43:43" x14ac:dyDescent="0.2">
      <c r="AQ19812" s="31"/>
    </row>
    <row r="19813" spans="43:43" x14ac:dyDescent="0.2">
      <c r="AQ19813" s="31"/>
    </row>
    <row r="19814" spans="43:43" x14ac:dyDescent="0.2">
      <c r="AQ19814" s="31"/>
    </row>
    <row r="19815" spans="43:43" x14ac:dyDescent="0.2">
      <c r="AQ19815" s="31"/>
    </row>
    <row r="19816" spans="43:43" x14ac:dyDescent="0.2">
      <c r="AQ19816" s="31"/>
    </row>
    <row r="19817" spans="43:43" x14ac:dyDescent="0.2">
      <c r="AQ19817" s="31"/>
    </row>
    <row r="19818" spans="43:43" x14ac:dyDescent="0.2">
      <c r="AQ19818" s="31"/>
    </row>
    <row r="19819" spans="43:43" x14ac:dyDescent="0.2">
      <c r="AQ19819" s="31"/>
    </row>
    <row r="19820" spans="43:43" x14ac:dyDescent="0.2">
      <c r="AQ19820" s="31"/>
    </row>
    <row r="19821" spans="43:43" x14ac:dyDescent="0.2">
      <c r="AQ19821" s="31"/>
    </row>
    <row r="19822" spans="43:43" x14ac:dyDescent="0.2">
      <c r="AQ19822" s="31"/>
    </row>
    <row r="19823" spans="43:43" x14ac:dyDescent="0.2">
      <c r="AQ19823" s="31"/>
    </row>
    <row r="19824" spans="43:43" x14ac:dyDescent="0.2">
      <c r="AQ19824" s="31"/>
    </row>
    <row r="19825" spans="43:43" x14ac:dyDescent="0.2">
      <c r="AQ19825" s="31"/>
    </row>
    <row r="19826" spans="43:43" x14ac:dyDescent="0.2">
      <c r="AQ19826" s="31"/>
    </row>
    <row r="19827" spans="43:43" x14ac:dyDescent="0.2">
      <c r="AQ19827" s="31"/>
    </row>
    <row r="19828" spans="43:43" x14ac:dyDescent="0.2">
      <c r="AQ19828" s="31"/>
    </row>
    <row r="19829" spans="43:43" x14ac:dyDescent="0.2">
      <c r="AQ19829" s="31"/>
    </row>
    <row r="19830" spans="43:43" x14ac:dyDescent="0.2">
      <c r="AQ19830" s="31"/>
    </row>
    <row r="19831" spans="43:43" x14ac:dyDescent="0.2">
      <c r="AQ19831" s="31"/>
    </row>
    <row r="19832" spans="43:43" x14ac:dyDescent="0.2">
      <c r="AQ19832" s="31"/>
    </row>
    <row r="19833" spans="43:43" x14ac:dyDescent="0.2">
      <c r="AQ19833" s="31"/>
    </row>
    <row r="19834" spans="43:43" x14ac:dyDescent="0.2">
      <c r="AQ19834" s="31"/>
    </row>
    <row r="19835" spans="43:43" x14ac:dyDescent="0.2">
      <c r="AQ19835" s="31"/>
    </row>
    <row r="19836" spans="43:43" x14ac:dyDescent="0.2">
      <c r="AQ19836" s="31"/>
    </row>
    <row r="19837" spans="43:43" x14ac:dyDescent="0.2">
      <c r="AQ19837" s="31"/>
    </row>
    <row r="19838" spans="43:43" x14ac:dyDescent="0.2">
      <c r="AQ19838" s="31"/>
    </row>
    <row r="19839" spans="43:43" x14ac:dyDescent="0.2">
      <c r="AQ19839" s="31"/>
    </row>
    <row r="19840" spans="43:43" x14ac:dyDescent="0.2">
      <c r="AQ19840" s="31"/>
    </row>
    <row r="19841" spans="43:43" x14ac:dyDescent="0.2">
      <c r="AQ19841" s="31"/>
    </row>
    <row r="19842" spans="43:43" x14ac:dyDescent="0.2">
      <c r="AQ19842" s="31"/>
    </row>
    <row r="19843" spans="43:43" x14ac:dyDescent="0.2">
      <c r="AQ19843" s="31"/>
    </row>
    <row r="19844" spans="43:43" x14ac:dyDescent="0.2">
      <c r="AQ19844" s="31"/>
    </row>
    <row r="19845" spans="43:43" x14ac:dyDescent="0.2">
      <c r="AQ19845" s="31"/>
    </row>
    <row r="19846" spans="43:43" x14ac:dyDescent="0.2">
      <c r="AQ19846" s="31"/>
    </row>
    <row r="19847" spans="43:43" x14ac:dyDescent="0.2">
      <c r="AQ19847" s="31"/>
    </row>
    <row r="19848" spans="43:43" x14ac:dyDescent="0.2">
      <c r="AQ19848" s="31"/>
    </row>
    <row r="19849" spans="43:43" x14ac:dyDescent="0.2">
      <c r="AQ19849" s="31"/>
    </row>
    <row r="19850" spans="43:43" x14ac:dyDescent="0.2">
      <c r="AQ19850" s="31"/>
    </row>
    <row r="19851" spans="43:43" x14ac:dyDescent="0.2">
      <c r="AQ19851" s="31"/>
    </row>
    <row r="19852" spans="43:43" x14ac:dyDescent="0.2">
      <c r="AQ19852" s="31"/>
    </row>
    <row r="19853" spans="43:43" x14ac:dyDescent="0.2">
      <c r="AQ19853" s="31"/>
    </row>
    <row r="19854" spans="43:43" x14ac:dyDescent="0.2">
      <c r="AQ19854" s="31"/>
    </row>
    <row r="19855" spans="43:43" x14ac:dyDescent="0.2">
      <c r="AQ19855" s="31"/>
    </row>
    <row r="19856" spans="43:43" x14ac:dyDescent="0.2">
      <c r="AQ19856" s="31"/>
    </row>
    <row r="19857" spans="43:43" x14ac:dyDescent="0.2">
      <c r="AQ19857" s="31"/>
    </row>
    <row r="19858" spans="43:43" x14ac:dyDescent="0.2">
      <c r="AQ19858" s="31"/>
    </row>
    <row r="19859" spans="43:43" x14ac:dyDescent="0.2">
      <c r="AQ19859" s="31"/>
    </row>
    <row r="19860" spans="43:43" x14ac:dyDescent="0.2">
      <c r="AQ19860" s="31"/>
    </row>
    <row r="19861" spans="43:43" x14ac:dyDescent="0.2">
      <c r="AQ19861" s="31"/>
    </row>
    <row r="19862" spans="43:43" x14ac:dyDescent="0.2">
      <c r="AQ19862" s="31"/>
    </row>
    <row r="19863" spans="43:43" x14ac:dyDescent="0.2">
      <c r="AQ19863" s="31"/>
    </row>
    <row r="19864" spans="43:43" x14ac:dyDescent="0.2">
      <c r="AQ19864" s="31"/>
    </row>
    <row r="19865" spans="43:43" x14ac:dyDescent="0.2">
      <c r="AQ19865" s="31"/>
    </row>
    <row r="19866" spans="43:43" x14ac:dyDescent="0.2">
      <c r="AQ19866" s="31"/>
    </row>
    <row r="19867" spans="43:43" x14ac:dyDescent="0.2">
      <c r="AQ19867" s="31"/>
    </row>
    <row r="19868" spans="43:43" x14ac:dyDescent="0.2">
      <c r="AQ19868" s="31"/>
    </row>
    <row r="19869" spans="43:43" x14ac:dyDescent="0.2">
      <c r="AQ19869" s="31"/>
    </row>
    <row r="19870" spans="43:43" x14ac:dyDescent="0.2">
      <c r="AQ19870" s="31"/>
    </row>
    <row r="19871" spans="43:43" x14ac:dyDescent="0.2">
      <c r="AQ19871" s="31"/>
    </row>
    <row r="19872" spans="43:43" x14ac:dyDescent="0.2">
      <c r="AQ19872" s="31"/>
    </row>
    <row r="19873" spans="43:43" x14ac:dyDescent="0.2">
      <c r="AQ19873" s="31"/>
    </row>
    <row r="19874" spans="43:43" x14ac:dyDescent="0.2">
      <c r="AQ19874" s="31"/>
    </row>
    <row r="19875" spans="43:43" x14ac:dyDescent="0.2">
      <c r="AQ19875" s="31"/>
    </row>
    <row r="19876" spans="43:43" x14ac:dyDescent="0.2">
      <c r="AQ19876" s="31"/>
    </row>
    <row r="19877" spans="43:43" x14ac:dyDescent="0.2">
      <c r="AQ19877" s="31"/>
    </row>
    <row r="19878" spans="43:43" x14ac:dyDescent="0.2">
      <c r="AQ19878" s="31"/>
    </row>
    <row r="19879" spans="43:43" x14ac:dyDescent="0.2">
      <c r="AQ19879" s="31"/>
    </row>
    <row r="19880" spans="43:43" x14ac:dyDescent="0.2">
      <c r="AQ19880" s="31"/>
    </row>
    <row r="19881" spans="43:43" x14ac:dyDescent="0.2">
      <c r="AQ19881" s="31"/>
    </row>
    <row r="19882" spans="43:43" x14ac:dyDescent="0.2">
      <c r="AQ19882" s="31"/>
    </row>
    <row r="19883" spans="43:43" x14ac:dyDescent="0.2">
      <c r="AQ19883" s="31"/>
    </row>
    <row r="19884" spans="43:43" x14ac:dyDescent="0.2">
      <c r="AQ19884" s="31"/>
    </row>
    <row r="19885" spans="43:43" x14ac:dyDescent="0.2">
      <c r="AQ19885" s="31"/>
    </row>
    <row r="19886" spans="43:43" x14ac:dyDescent="0.2">
      <c r="AQ19886" s="31"/>
    </row>
    <row r="19887" spans="43:43" x14ac:dyDescent="0.2">
      <c r="AQ19887" s="31"/>
    </row>
    <row r="19888" spans="43:43" x14ac:dyDescent="0.2">
      <c r="AQ19888" s="31"/>
    </row>
    <row r="19889" spans="43:43" x14ac:dyDescent="0.2">
      <c r="AQ19889" s="31"/>
    </row>
    <row r="19890" spans="43:43" x14ac:dyDescent="0.2">
      <c r="AQ19890" s="31"/>
    </row>
    <row r="19891" spans="43:43" x14ac:dyDescent="0.2">
      <c r="AQ19891" s="31"/>
    </row>
    <row r="19892" spans="43:43" x14ac:dyDescent="0.2">
      <c r="AQ19892" s="31"/>
    </row>
    <row r="19893" spans="43:43" x14ac:dyDescent="0.2">
      <c r="AQ19893" s="31"/>
    </row>
    <row r="19894" spans="43:43" x14ac:dyDescent="0.2">
      <c r="AQ19894" s="31"/>
    </row>
    <row r="19895" spans="43:43" x14ac:dyDescent="0.2">
      <c r="AQ19895" s="31"/>
    </row>
    <row r="19896" spans="43:43" x14ac:dyDescent="0.2">
      <c r="AQ19896" s="31"/>
    </row>
    <row r="19897" spans="43:43" x14ac:dyDescent="0.2">
      <c r="AQ19897" s="31"/>
    </row>
    <row r="19898" spans="43:43" x14ac:dyDescent="0.2">
      <c r="AQ19898" s="31"/>
    </row>
    <row r="19899" spans="43:43" x14ac:dyDescent="0.2">
      <c r="AQ19899" s="31"/>
    </row>
    <row r="19900" spans="43:43" x14ac:dyDescent="0.2">
      <c r="AQ19900" s="31"/>
    </row>
    <row r="19901" spans="43:43" x14ac:dyDescent="0.2">
      <c r="AQ19901" s="31"/>
    </row>
    <row r="19902" spans="43:43" x14ac:dyDescent="0.2">
      <c r="AQ19902" s="31"/>
    </row>
    <row r="19903" spans="43:43" x14ac:dyDescent="0.2">
      <c r="AQ19903" s="31"/>
    </row>
    <row r="19904" spans="43:43" x14ac:dyDescent="0.2">
      <c r="AQ19904" s="31"/>
    </row>
    <row r="19905" spans="43:43" x14ac:dyDescent="0.2">
      <c r="AQ19905" s="31"/>
    </row>
    <row r="19906" spans="43:43" x14ac:dyDescent="0.2">
      <c r="AQ19906" s="31"/>
    </row>
    <row r="19907" spans="43:43" x14ac:dyDescent="0.2">
      <c r="AQ19907" s="31"/>
    </row>
    <row r="19908" spans="43:43" x14ac:dyDescent="0.2">
      <c r="AQ19908" s="31"/>
    </row>
    <row r="19909" spans="43:43" x14ac:dyDescent="0.2">
      <c r="AQ19909" s="31"/>
    </row>
    <row r="19910" spans="43:43" x14ac:dyDescent="0.2">
      <c r="AQ19910" s="31"/>
    </row>
    <row r="19911" spans="43:43" x14ac:dyDescent="0.2">
      <c r="AQ19911" s="31"/>
    </row>
    <row r="19912" spans="43:43" x14ac:dyDescent="0.2">
      <c r="AQ19912" s="31"/>
    </row>
    <row r="19913" spans="43:43" x14ac:dyDescent="0.2">
      <c r="AQ19913" s="31"/>
    </row>
    <row r="19914" spans="43:43" x14ac:dyDescent="0.2">
      <c r="AQ19914" s="31"/>
    </row>
    <row r="19915" spans="43:43" x14ac:dyDescent="0.2">
      <c r="AQ19915" s="31"/>
    </row>
    <row r="19916" spans="43:43" x14ac:dyDescent="0.2">
      <c r="AQ19916" s="31"/>
    </row>
    <row r="19917" spans="43:43" x14ac:dyDescent="0.2">
      <c r="AQ19917" s="31"/>
    </row>
    <row r="19918" spans="43:43" x14ac:dyDescent="0.2">
      <c r="AQ19918" s="31"/>
    </row>
    <row r="19919" spans="43:43" x14ac:dyDescent="0.2">
      <c r="AQ19919" s="31"/>
    </row>
    <row r="19920" spans="43:43" x14ac:dyDescent="0.2">
      <c r="AQ19920" s="31"/>
    </row>
    <row r="19921" spans="43:43" x14ac:dyDescent="0.2">
      <c r="AQ19921" s="31"/>
    </row>
    <row r="19922" spans="43:43" x14ac:dyDescent="0.2">
      <c r="AQ19922" s="31"/>
    </row>
    <row r="19923" spans="43:43" x14ac:dyDescent="0.2">
      <c r="AQ19923" s="31"/>
    </row>
    <row r="19924" spans="43:43" x14ac:dyDescent="0.2">
      <c r="AQ19924" s="31"/>
    </row>
    <row r="19925" spans="43:43" x14ac:dyDescent="0.2">
      <c r="AQ19925" s="31"/>
    </row>
    <row r="19926" spans="43:43" x14ac:dyDescent="0.2">
      <c r="AQ19926" s="31"/>
    </row>
    <row r="19927" spans="43:43" x14ac:dyDescent="0.2">
      <c r="AQ19927" s="31"/>
    </row>
    <row r="19928" spans="43:43" x14ac:dyDescent="0.2">
      <c r="AQ19928" s="31"/>
    </row>
    <row r="19929" spans="43:43" x14ac:dyDescent="0.2">
      <c r="AQ19929" s="31"/>
    </row>
    <row r="19930" spans="43:43" x14ac:dyDescent="0.2">
      <c r="AQ19930" s="31"/>
    </row>
    <row r="19931" spans="43:43" x14ac:dyDescent="0.2">
      <c r="AQ19931" s="31"/>
    </row>
    <row r="19932" spans="43:43" x14ac:dyDescent="0.2">
      <c r="AQ19932" s="31"/>
    </row>
    <row r="19933" spans="43:43" x14ac:dyDescent="0.2">
      <c r="AQ19933" s="31"/>
    </row>
    <row r="19934" spans="43:43" x14ac:dyDescent="0.2">
      <c r="AQ19934" s="31"/>
    </row>
    <row r="19935" spans="43:43" x14ac:dyDescent="0.2">
      <c r="AQ19935" s="31"/>
    </row>
    <row r="19936" spans="43:43" x14ac:dyDescent="0.2">
      <c r="AQ19936" s="31"/>
    </row>
    <row r="19937" spans="43:43" x14ac:dyDescent="0.2">
      <c r="AQ19937" s="31"/>
    </row>
    <row r="19938" spans="43:43" x14ac:dyDescent="0.2">
      <c r="AQ19938" s="31"/>
    </row>
    <row r="19939" spans="43:43" x14ac:dyDescent="0.2">
      <c r="AQ19939" s="31"/>
    </row>
    <row r="19940" spans="43:43" x14ac:dyDescent="0.2">
      <c r="AQ19940" s="31"/>
    </row>
    <row r="19941" spans="43:43" x14ac:dyDescent="0.2">
      <c r="AQ19941" s="31"/>
    </row>
    <row r="19942" spans="43:43" x14ac:dyDescent="0.2">
      <c r="AQ19942" s="31"/>
    </row>
    <row r="19943" spans="43:43" x14ac:dyDescent="0.2">
      <c r="AQ19943" s="31"/>
    </row>
    <row r="19944" spans="43:43" x14ac:dyDescent="0.2">
      <c r="AQ19944" s="31"/>
    </row>
    <row r="19945" spans="43:43" x14ac:dyDescent="0.2">
      <c r="AQ19945" s="31"/>
    </row>
    <row r="19946" spans="43:43" x14ac:dyDescent="0.2">
      <c r="AQ19946" s="31"/>
    </row>
    <row r="19947" spans="43:43" x14ac:dyDescent="0.2">
      <c r="AQ19947" s="31"/>
    </row>
    <row r="19948" spans="43:43" x14ac:dyDescent="0.2">
      <c r="AQ19948" s="31"/>
    </row>
    <row r="19949" spans="43:43" x14ac:dyDescent="0.2">
      <c r="AQ19949" s="31"/>
    </row>
    <row r="19950" spans="43:43" x14ac:dyDescent="0.2">
      <c r="AQ19950" s="31"/>
    </row>
    <row r="19951" spans="43:43" x14ac:dyDescent="0.2">
      <c r="AQ19951" s="31"/>
    </row>
    <row r="19952" spans="43:43" x14ac:dyDescent="0.2">
      <c r="AQ19952" s="31"/>
    </row>
    <row r="19953" spans="43:43" x14ac:dyDescent="0.2">
      <c r="AQ19953" s="31"/>
    </row>
    <row r="19954" spans="43:43" x14ac:dyDescent="0.2">
      <c r="AQ19954" s="31"/>
    </row>
    <row r="19955" spans="43:43" x14ac:dyDescent="0.2">
      <c r="AQ19955" s="31"/>
    </row>
    <row r="19956" spans="43:43" x14ac:dyDescent="0.2">
      <c r="AQ19956" s="31"/>
    </row>
    <row r="19957" spans="43:43" x14ac:dyDescent="0.2">
      <c r="AQ19957" s="31"/>
    </row>
    <row r="19958" spans="43:43" x14ac:dyDescent="0.2">
      <c r="AQ19958" s="31"/>
    </row>
    <row r="19959" spans="43:43" x14ac:dyDescent="0.2">
      <c r="AQ19959" s="31"/>
    </row>
    <row r="19960" spans="43:43" x14ac:dyDescent="0.2">
      <c r="AQ19960" s="31"/>
    </row>
    <row r="19961" spans="43:43" x14ac:dyDescent="0.2">
      <c r="AQ19961" s="31"/>
    </row>
    <row r="19962" spans="43:43" x14ac:dyDescent="0.2">
      <c r="AQ19962" s="31"/>
    </row>
    <row r="19963" spans="43:43" x14ac:dyDescent="0.2">
      <c r="AQ19963" s="31"/>
    </row>
    <row r="19964" spans="43:43" x14ac:dyDescent="0.2">
      <c r="AQ19964" s="31"/>
    </row>
    <row r="19965" spans="43:43" x14ac:dyDescent="0.2">
      <c r="AQ19965" s="31"/>
    </row>
    <row r="19966" spans="43:43" x14ac:dyDescent="0.2">
      <c r="AQ19966" s="31"/>
    </row>
    <row r="19967" spans="43:43" x14ac:dyDescent="0.2">
      <c r="AQ19967" s="31"/>
    </row>
    <row r="19968" spans="43:43" x14ac:dyDescent="0.2">
      <c r="AQ19968" s="31"/>
    </row>
    <row r="19969" spans="43:43" x14ac:dyDescent="0.2">
      <c r="AQ19969" s="31"/>
    </row>
    <row r="19970" spans="43:43" x14ac:dyDescent="0.2">
      <c r="AQ19970" s="31"/>
    </row>
    <row r="19971" spans="43:43" x14ac:dyDescent="0.2">
      <c r="AQ19971" s="31"/>
    </row>
    <row r="19972" spans="43:43" x14ac:dyDescent="0.2">
      <c r="AQ19972" s="31"/>
    </row>
    <row r="19973" spans="43:43" x14ac:dyDescent="0.2">
      <c r="AQ19973" s="31"/>
    </row>
    <row r="19974" spans="43:43" x14ac:dyDescent="0.2">
      <c r="AQ19974" s="31"/>
    </row>
    <row r="19975" spans="43:43" x14ac:dyDescent="0.2">
      <c r="AQ19975" s="31"/>
    </row>
    <row r="19976" spans="43:43" x14ac:dyDescent="0.2">
      <c r="AQ19976" s="31"/>
    </row>
    <row r="19977" spans="43:43" x14ac:dyDescent="0.2">
      <c r="AQ19977" s="31"/>
    </row>
    <row r="19978" spans="43:43" x14ac:dyDescent="0.2">
      <c r="AQ19978" s="31"/>
    </row>
    <row r="19979" spans="43:43" x14ac:dyDescent="0.2">
      <c r="AQ19979" s="31"/>
    </row>
    <row r="19980" spans="43:43" x14ac:dyDescent="0.2">
      <c r="AQ19980" s="31"/>
    </row>
    <row r="19981" spans="43:43" x14ac:dyDescent="0.2">
      <c r="AQ19981" s="31"/>
    </row>
    <row r="19982" spans="43:43" x14ac:dyDescent="0.2">
      <c r="AQ19982" s="31"/>
    </row>
    <row r="19983" spans="43:43" x14ac:dyDescent="0.2">
      <c r="AQ19983" s="31"/>
    </row>
    <row r="19984" spans="43:43" x14ac:dyDescent="0.2">
      <c r="AQ19984" s="31"/>
    </row>
    <row r="19985" spans="43:43" x14ac:dyDescent="0.2">
      <c r="AQ19985" s="31"/>
    </row>
    <row r="19986" spans="43:43" x14ac:dyDescent="0.2">
      <c r="AQ19986" s="31"/>
    </row>
    <row r="19987" spans="43:43" x14ac:dyDescent="0.2">
      <c r="AQ19987" s="31"/>
    </row>
    <row r="19988" spans="43:43" x14ac:dyDescent="0.2">
      <c r="AQ19988" s="31"/>
    </row>
    <row r="19989" spans="43:43" x14ac:dyDescent="0.2">
      <c r="AQ19989" s="31"/>
    </row>
    <row r="19990" spans="43:43" x14ac:dyDescent="0.2">
      <c r="AQ19990" s="31"/>
    </row>
    <row r="19991" spans="43:43" x14ac:dyDescent="0.2">
      <c r="AQ19991" s="31"/>
    </row>
    <row r="19992" spans="43:43" x14ac:dyDescent="0.2">
      <c r="AQ19992" s="31"/>
    </row>
    <row r="19993" spans="43:43" x14ac:dyDescent="0.2">
      <c r="AQ19993" s="31"/>
    </row>
    <row r="19994" spans="43:43" x14ac:dyDescent="0.2">
      <c r="AQ19994" s="31"/>
    </row>
    <row r="19995" spans="43:43" x14ac:dyDescent="0.2">
      <c r="AQ19995" s="31"/>
    </row>
    <row r="19996" spans="43:43" x14ac:dyDescent="0.2">
      <c r="AQ19996" s="31"/>
    </row>
    <row r="19997" spans="43:43" x14ac:dyDescent="0.2">
      <c r="AQ19997" s="31"/>
    </row>
    <row r="19998" spans="43:43" x14ac:dyDescent="0.2">
      <c r="AQ19998" s="31"/>
    </row>
    <row r="19999" spans="43:43" x14ac:dyDescent="0.2">
      <c r="AQ19999" s="31"/>
    </row>
    <row r="20000" spans="43:43" x14ac:dyDescent="0.2">
      <c r="AQ20000" s="31"/>
    </row>
    <row r="20001" spans="43:43" x14ac:dyDescent="0.2">
      <c r="AQ20001" s="31"/>
    </row>
    <row r="20002" spans="43:43" x14ac:dyDescent="0.2">
      <c r="AQ20002" s="31"/>
    </row>
    <row r="20003" spans="43:43" x14ac:dyDescent="0.2">
      <c r="AQ20003" s="31"/>
    </row>
    <row r="20004" spans="43:43" x14ac:dyDescent="0.2">
      <c r="AQ20004" s="31"/>
    </row>
    <row r="20005" spans="43:43" x14ac:dyDescent="0.2">
      <c r="AQ20005" s="31"/>
    </row>
    <row r="20006" spans="43:43" x14ac:dyDescent="0.2">
      <c r="AQ20006" s="31"/>
    </row>
    <row r="20007" spans="43:43" x14ac:dyDescent="0.2">
      <c r="AQ20007" s="31"/>
    </row>
    <row r="20008" spans="43:43" x14ac:dyDescent="0.2">
      <c r="AQ20008" s="31"/>
    </row>
    <row r="20009" spans="43:43" x14ac:dyDescent="0.2">
      <c r="AQ20009" s="31"/>
    </row>
    <row r="20010" spans="43:43" x14ac:dyDescent="0.2">
      <c r="AQ20010" s="31"/>
    </row>
    <row r="20011" spans="43:43" x14ac:dyDescent="0.2">
      <c r="AQ20011" s="31"/>
    </row>
    <row r="20012" spans="43:43" x14ac:dyDescent="0.2">
      <c r="AQ20012" s="31"/>
    </row>
    <row r="20013" spans="43:43" x14ac:dyDescent="0.2">
      <c r="AQ20013" s="31"/>
    </row>
    <row r="20014" spans="43:43" x14ac:dyDescent="0.2">
      <c r="AQ20014" s="31"/>
    </row>
    <row r="20015" spans="43:43" x14ac:dyDescent="0.2">
      <c r="AQ20015" s="31"/>
    </row>
    <row r="20016" spans="43:43" x14ac:dyDescent="0.2">
      <c r="AQ20016" s="31"/>
    </row>
    <row r="20017" spans="43:43" x14ac:dyDescent="0.2">
      <c r="AQ20017" s="31"/>
    </row>
    <row r="20018" spans="43:43" x14ac:dyDescent="0.2">
      <c r="AQ20018" s="31"/>
    </row>
    <row r="20019" spans="43:43" x14ac:dyDescent="0.2">
      <c r="AQ20019" s="31"/>
    </row>
    <row r="20020" spans="43:43" x14ac:dyDescent="0.2">
      <c r="AQ20020" s="31"/>
    </row>
    <row r="20021" spans="43:43" x14ac:dyDescent="0.2">
      <c r="AQ20021" s="31"/>
    </row>
    <row r="20022" spans="43:43" x14ac:dyDescent="0.2">
      <c r="AQ20022" s="31"/>
    </row>
    <row r="20023" spans="43:43" x14ac:dyDescent="0.2">
      <c r="AQ20023" s="31"/>
    </row>
    <row r="20024" spans="43:43" x14ac:dyDescent="0.2">
      <c r="AQ20024" s="31"/>
    </row>
    <row r="20025" spans="43:43" x14ac:dyDescent="0.2">
      <c r="AQ20025" s="31"/>
    </row>
    <row r="20026" spans="43:43" x14ac:dyDescent="0.2">
      <c r="AQ20026" s="31"/>
    </row>
    <row r="20027" spans="43:43" x14ac:dyDescent="0.2">
      <c r="AQ20027" s="31"/>
    </row>
    <row r="20028" spans="43:43" x14ac:dyDescent="0.2">
      <c r="AQ20028" s="31"/>
    </row>
    <row r="20029" spans="43:43" x14ac:dyDescent="0.2">
      <c r="AQ20029" s="31"/>
    </row>
    <row r="20030" spans="43:43" x14ac:dyDescent="0.2">
      <c r="AQ20030" s="31"/>
    </row>
    <row r="20031" spans="43:43" x14ac:dyDescent="0.2">
      <c r="AQ20031" s="31"/>
    </row>
    <row r="20032" spans="43:43" x14ac:dyDescent="0.2">
      <c r="AQ20032" s="31"/>
    </row>
    <row r="20033" spans="43:43" x14ac:dyDescent="0.2">
      <c r="AQ20033" s="31"/>
    </row>
    <row r="20034" spans="43:43" x14ac:dyDescent="0.2">
      <c r="AQ20034" s="31"/>
    </row>
    <row r="20035" spans="43:43" x14ac:dyDescent="0.2">
      <c r="AQ20035" s="31"/>
    </row>
    <row r="20036" spans="43:43" x14ac:dyDescent="0.2">
      <c r="AQ20036" s="31"/>
    </row>
    <row r="20037" spans="43:43" x14ac:dyDescent="0.2">
      <c r="AQ20037" s="31"/>
    </row>
    <row r="20038" spans="43:43" x14ac:dyDescent="0.2">
      <c r="AQ20038" s="31"/>
    </row>
    <row r="20039" spans="43:43" x14ac:dyDescent="0.2">
      <c r="AQ20039" s="31"/>
    </row>
    <row r="20040" spans="43:43" x14ac:dyDescent="0.2">
      <c r="AQ20040" s="31"/>
    </row>
    <row r="20041" spans="43:43" x14ac:dyDescent="0.2">
      <c r="AQ20041" s="31"/>
    </row>
    <row r="20042" spans="43:43" x14ac:dyDescent="0.2">
      <c r="AQ20042" s="31"/>
    </row>
    <row r="20043" spans="43:43" x14ac:dyDescent="0.2">
      <c r="AQ20043" s="31"/>
    </row>
    <row r="20044" spans="43:43" x14ac:dyDescent="0.2">
      <c r="AQ20044" s="31"/>
    </row>
    <row r="20045" spans="43:43" x14ac:dyDescent="0.2">
      <c r="AQ20045" s="31"/>
    </row>
    <row r="20046" spans="43:43" x14ac:dyDescent="0.2">
      <c r="AQ20046" s="31"/>
    </row>
    <row r="20047" spans="43:43" x14ac:dyDescent="0.2">
      <c r="AQ20047" s="31"/>
    </row>
    <row r="20048" spans="43:43" x14ac:dyDescent="0.2">
      <c r="AQ20048" s="31"/>
    </row>
    <row r="20049" spans="43:43" x14ac:dyDescent="0.2">
      <c r="AQ20049" s="31"/>
    </row>
    <row r="20050" spans="43:43" x14ac:dyDescent="0.2">
      <c r="AQ20050" s="31"/>
    </row>
    <row r="20051" spans="43:43" x14ac:dyDescent="0.2">
      <c r="AQ20051" s="31"/>
    </row>
    <row r="20052" spans="43:43" x14ac:dyDescent="0.2">
      <c r="AQ20052" s="31"/>
    </row>
    <row r="20053" spans="43:43" x14ac:dyDescent="0.2">
      <c r="AQ20053" s="31"/>
    </row>
    <row r="20054" spans="43:43" x14ac:dyDescent="0.2">
      <c r="AQ20054" s="31"/>
    </row>
    <row r="20055" spans="43:43" x14ac:dyDescent="0.2">
      <c r="AQ20055" s="31"/>
    </row>
    <row r="20056" spans="43:43" x14ac:dyDescent="0.2">
      <c r="AQ20056" s="31"/>
    </row>
    <row r="20057" spans="43:43" x14ac:dyDescent="0.2">
      <c r="AQ20057" s="31"/>
    </row>
    <row r="20058" spans="43:43" x14ac:dyDescent="0.2">
      <c r="AQ20058" s="31"/>
    </row>
    <row r="20059" spans="43:43" x14ac:dyDescent="0.2">
      <c r="AQ20059" s="31"/>
    </row>
    <row r="20060" spans="43:43" x14ac:dyDescent="0.2">
      <c r="AQ20060" s="31"/>
    </row>
    <row r="20061" spans="43:43" x14ac:dyDescent="0.2">
      <c r="AQ20061" s="31"/>
    </row>
    <row r="20062" spans="43:43" x14ac:dyDescent="0.2">
      <c r="AQ20062" s="31"/>
    </row>
    <row r="20063" spans="43:43" x14ac:dyDescent="0.2">
      <c r="AQ20063" s="31"/>
    </row>
    <row r="20064" spans="43:43" x14ac:dyDescent="0.2">
      <c r="AQ20064" s="31"/>
    </row>
    <row r="20065" spans="43:43" x14ac:dyDescent="0.2">
      <c r="AQ20065" s="31"/>
    </row>
    <row r="20066" spans="43:43" x14ac:dyDescent="0.2">
      <c r="AQ20066" s="31"/>
    </row>
    <row r="20067" spans="43:43" x14ac:dyDescent="0.2">
      <c r="AQ20067" s="31"/>
    </row>
    <row r="20068" spans="43:43" x14ac:dyDescent="0.2">
      <c r="AQ20068" s="31"/>
    </row>
    <row r="20069" spans="43:43" x14ac:dyDescent="0.2">
      <c r="AQ20069" s="31"/>
    </row>
    <row r="20070" spans="43:43" x14ac:dyDescent="0.2">
      <c r="AQ20070" s="31"/>
    </row>
    <row r="20071" spans="43:43" x14ac:dyDescent="0.2">
      <c r="AQ20071" s="31"/>
    </row>
    <row r="20072" spans="43:43" x14ac:dyDescent="0.2">
      <c r="AQ20072" s="31"/>
    </row>
    <row r="20073" spans="43:43" x14ac:dyDescent="0.2">
      <c r="AQ20073" s="31"/>
    </row>
    <row r="20074" spans="43:43" x14ac:dyDescent="0.2">
      <c r="AQ20074" s="31"/>
    </row>
    <row r="20075" spans="43:43" x14ac:dyDescent="0.2">
      <c r="AQ20075" s="31"/>
    </row>
    <row r="20076" spans="43:43" x14ac:dyDescent="0.2">
      <c r="AQ20076" s="31"/>
    </row>
    <row r="20077" spans="43:43" x14ac:dyDescent="0.2">
      <c r="AQ20077" s="31"/>
    </row>
    <row r="20078" spans="43:43" x14ac:dyDescent="0.2">
      <c r="AQ20078" s="31"/>
    </row>
    <row r="20079" spans="43:43" x14ac:dyDescent="0.2">
      <c r="AQ20079" s="31"/>
    </row>
    <row r="20080" spans="43:43" x14ac:dyDescent="0.2">
      <c r="AQ20080" s="31"/>
    </row>
    <row r="20081" spans="43:43" x14ac:dyDescent="0.2">
      <c r="AQ20081" s="31"/>
    </row>
    <row r="20082" spans="43:43" x14ac:dyDescent="0.2">
      <c r="AQ20082" s="31"/>
    </row>
    <row r="20083" spans="43:43" x14ac:dyDescent="0.2">
      <c r="AQ20083" s="31"/>
    </row>
    <row r="20084" spans="43:43" x14ac:dyDescent="0.2">
      <c r="AQ20084" s="31"/>
    </row>
    <row r="20085" spans="43:43" x14ac:dyDescent="0.2">
      <c r="AQ20085" s="31"/>
    </row>
    <row r="20086" spans="43:43" x14ac:dyDescent="0.2">
      <c r="AQ20086" s="31"/>
    </row>
    <row r="20087" spans="43:43" x14ac:dyDescent="0.2">
      <c r="AQ20087" s="31"/>
    </row>
    <row r="20088" spans="43:43" x14ac:dyDescent="0.2">
      <c r="AQ20088" s="31"/>
    </row>
    <row r="20089" spans="43:43" x14ac:dyDescent="0.2">
      <c r="AQ20089" s="31"/>
    </row>
    <row r="20090" spans="43:43" x14ac:dyDescent="0.2">
      <c r="AQ20090" s="31"/>
    </row>
    <row r="20091" spans="43:43" x14ac:dyDescent="0.2">
      <c r="AQ20091" s="31"/>
    </row>
    <row r="20092" spans="43:43" x14ac:dyDescent="0.2">
      <c r="AQ20092" s="31"/>
    </row>
    <row r="20093" spans="43:43" x14ac:dyDescent="0.2">
      <c r="AQ20093" s="31"/>
    </row>
    <row r="20094" spans="43:43" x14ac:dyDescent="0.2">
      <c r="AQ20094" s="31"/>
    </row>
    <row r="20095" spans="43:43" x14ac:dyDescent="0.2">
      <c r="AQ20095" s="31"/>
    </row>
    <row r="20096" spans="43:43" x14ac:dyDescent="0.2">
      <c r="AQ20096" s="31"/>
    </row>
    <row r="20097" spans="43:43" x14ac:dyDescent="0.2">
      <c r="AQ20097" s="31"/>
    </row>
    <row r="20098" spans="43:43" x14ac:dyDescent="0.2">
      <c r="AQ20098" s="31"/>
    </row>
    <row r="20099" spans="43:43" x14ac:dyDescent="0.2">
      <c r="AQ20099" s="31"/>
    </row>
    <row r="20100" spans="43:43" x14ac:dyDescent="0.2">
      <c r="AQ20100" s="31"/>
    </row>
    <row r="20101" spans="43:43" x14ac:dyDescent="0.2">
      <c r="AQ20101" s="31"/>
    </row>
    <row r="20102" spans="43:43" x14ac:dyDescent="0.2">
      <c r="AQ20102" s="31"/>
    </row>
    <row r="20103" spans="43:43" x14ac:dyDescent="0.2">
      <c r="AQ20103" s="31"/>
    </row>
    <row r="20104" spans="43:43" x14ac:dyDescent="0.2">
      <c r="AQ20104" s="31"/>
    </row>
    <row r="20105" spans="43:43" x14ac:dyDescent="0.2">
      <c r="AQ20105" s="31"/>
    </row>
    <row r="20106" spans="43:43" x14ac:dyDescent="0.2">
      <c r="AQ20106" s="31"/>
    </row>
    <row r="20107" spans="43:43" x14ac:dyDescent="0.2">
      <c r="AQ20107" s="31"/>
    </row>
    <row r="20108" spans="43:43" x14ac:dyDescent="0.2">
      <c r="AQ20108" s="31"/>
    </row>
    <row r="20109" spans="43:43" x14ac:dyDescent="0.2">
      <c r="AQ20109" s="31"/>
    </row>
    <row r="20110" spans="43:43" x14ac:dyDescent="0.2">
      <c r="AQ20110" s="31"/>
    </row>
    <row r="20111" spans="43:43" x14ac:dyDescent="0.2">
      <c r="AQ20111" s="31"/>
    </row>
    <row r="20112" spans="43:43" x14ac:dyDescent="0.2">
      <c r="AQ20112" s="31"/>
    </row>
    <row r="20113" spans="43:43" x14ac:dyDescent="0.2">
      <c r="AQ20113" s="31"/>
    </row>
    <row r="20114" spans="43:43" x14ac:dyDescent="0.2">
      <c r="AQ20114" s="31"/>
    </row>
    <row r="20115" spans="43:43" x14ac:dyDescent="0.2">
      <c r="AQ20115" s="31"/>
    </row>
    <row r="20116" spans="43:43" x14ac:dyDescent="0.2">
      <c r="AQ20116" s="31"/>
    </row>
    <row r="20117" spans="43:43" x14ac:dyDescent="0.2">
      <c r="AQ20117" s="31"/>
    </row>
    <row r="20118" spans="43:43" x14ac:dyDescent="0.2">
      <c r="AQ20118" s="31"/>
    </row>
    <row r="20119" spans="43:43" x14ac:dyDescent="0.2">
      <c r="AQ20119" s="31"/>
    </row>
    <row r="20120" spans="43:43" x14ac:dyDescent="0.2">
      <c r="AQ20120" s="31"/>
    </row>
    <row r="20121" spans="43:43" x14ac:dyDescent="0.2">
      <c r="AQ20121" s="31"/>
    </row>
    <row r="20122" spans="43:43" x14ac:dyDescent="0.2">
      <c r="AQ20122" s="31"/>
    </row>
    <row r="20123" spans="43:43" x14ac:dyDescent="0.2">
      <c r="AQ20123" s="31"/>
    </row>
    <row r="20124" spans="43:43" x14ac:dyDescent="0.2">
      <c r="AQ20124" s="31"/>
    </row>
    <row r="20125" spans="43:43" x14ac:dyDescent="0.2">
      <c r="AQ20125" s="31"/>
    </row>
    <row r="20126" spans="43:43" x14ac:dyDescent="0.2">
      <c r="AQ20126" s="31"/>
    </row>
    <row r="20127" spans="43:43" x14ac:dyDescent="0.2">
      <c r="AQ20127" s="31"/>
    </row>
    <row r="20128" spans="43:43" x14ac:dyDescent="0.2">
      <c r="AQ20128" s="31"/>
    </row>
    <row r="20129" spans="43:43" x14ac:dyDescent="0.2">
      <c r="AQ20129" s="31"/>
    </row>
    <row r="20130" spans="43:43" x14ac:dyDescent="0.2">
      <c r="AQ20130" s="31"/>
    </row>
    <row r="20131" spans="43:43" x14ac:dyDescent="0.2">
      <c r="AQ20131" s="31"/>
    </row>
    <row r="20132" spans="43:43" x14ac:dyDescent="0.2">
      <c r="AQ20132" s="31"/>
    </row>
    <row r="20133" spans="43:43" x14ac:dyDescent="0.2">
      <c r="AQ20133" s="31"/>
    </row>
    <row r="20134" spans="43:43" x14ac:dyDescent="0.2">
      <c r="AQ20134" s="31"/>
    </row>
    <row r="20135" spans="43:43" x14ac:dyDescent="0.2">
      <c r="AQ20135" s="31"/>
    </row>
    <row r="20136" spans="43:43" x14ac:dyDescent="0.2">
      <c r="AQ20136" s="31"/>
    </row>
    <row r="20137" spans="43:43" x14ac:dyDescent="0.2">
      <c r="AQ20137" s="31"/>
    </row>
    <row r="20138" spans="43:43" x14ac:dyDescent="0.2">
      <c r="AQ20138" s="31"/>
    </row>
    <row r="20139" spans="43:43" x14ac:dyDescent="0.2">
      <c r="AQ20139" s="31"/>
    </row>
    <row r="20140" spans="43:43" x14ac:dyDescent="0.2">
      <c r="AQ20140" s="31"/>
    </row>
    <row r="20141" spans="43:43" x14ac:dyDescent="0.2">
      <c r="AQ20141" s="31"/>
    </row>
    <row r="20142" spans="43:43" x14ac:dyDescent="0.2">
      <c r="AQ20142" s="31"/>
    </row>
    <row r="20143" spans="43:43" x14ac:dyDescent="0.2">
      <c r="AQ20143" s="31"/>
    </row>
    <row r="20144" spans="43:43" x14ac:dyDescent="0.2">
      <c r="AQ20144" s="31"/>
    </row>
    <row r="20145" spans="43:43" x14ac:dyDescent="0.2">
      <c r="AQ20145" s="31"/>
    </row>
    <row r="20146" spans="43:43" x14ac:dyDescent="0.2">
      <c r="AQ20146" s="31"/>
    </row>
    <row r="20147" spans="43:43" x14ac:dyDescent="0.2">
      <c r="AQ20147" s="31"/>
    </row>
    <row r="20148" spans="43:43" x14ac:dyDescent="0.2">
      <c r="AQ20148" s="31"/>
    </row>
    <row r="20149" spans="43:43" x14ac:dyDescent="0.2">
      <c r="AQ20149" s="31"/>
    </row>
    <row r="20150" spans="43:43" x14ac:dyDescent="0.2">
      <c r="AQ20150" s="31"/>
    </row>
    <row r="20151" spans="43:43" x14ac:dyDescent="0.2">
      <c r="AQ20151" s="31"/>
    </row>
    <row r="20152" spans="43:43" x14ac:dyDescent="0.2">
      <c r="AQ20152" s="31"/>
    </row>
    <row r="20153" spans="43:43" x14ac:dyDescent="0.2">
      <c r="AQ20153" s="31"/>
    </row>
    <row r="20154" spans="43:43" x14ac:dyDescent="0.2">
      <c r="AQ20154" s="31"/>
    </row>
    <row r="20155" spans="43:43" x14ac:dyDescent="0.2">
      <c r="AQ20155" s="31"/>
    </row>
    <row r="20156" spans="43:43" x14ac:dyDescent="0.2">
      <c r="AQ20156" s="31"/>
    </row>
    <row r="20157" spans="43:43" x14ac:dyDescent="0.2">
      <c r="AQ20157" s="31"/>
    </row>
    <row r="20158" spans="43:43" x14ac:dyDescent="0.2">
      <c r="AQ20158" s="31"/>
    </row>
    <row r="20159" spans="43:43" x14ac:dyDescent="0.2">
      <c r="AQ20159" s="31"/>
    </row>
    <row r="20160" spans="43:43" x14ac:dyDescent="0.2">
      <c r="AQ20160" s="31"/>
    </row>
    <row r="20161" spans="43:43" x14ac:dyDescent="0.2">
      <c r="AQ20161" s="31"/>
    </row>
    <row r="20162" spans="43:43" x14ac:dyDescent="0.2">
      <c r="AQ20162" s="31"/>
    </row>
    <row r="20163" spans="43:43" x14ac:dyDescent="0.2">
      <c r="AQ20163" s="31"/>
    </row>
    <row r="20164" spans="43:43" x14ac:dyDescent="0.2">
      <c r="AQ20164" s="31"/>
    </row>
    <row r="20165" spans="43:43" x14ac:dyDescent="0.2">
      <c r="AQ20165" s="31"/>
    </row>
    <row r="20166" spans="43:43" x14ac:dyDescent="0.2">
      <c r="AQ20166" s="31"/>
    </row>
    <row r="20167" spans="43:43" x14ac:dyDescent="0.2">
      <c r="AQ20167" s="31"/>
    </row>
    <row r="20168" spans="43:43" x14ac:dyDescent="0.2">
      <c r="AQ20168" s="31"/>
    </row>
    <row r="20169" spans="43:43" x14ac:dyDescent="0.2">
      <c r="AQ20169" s="31"/>
    </row>
    <row r="20170" spans="43:43" x14ac:dyDescent="0.2">
      <c r="AQ20170" s="31"/>
    </row>
    <row r="20171" spans="43:43" x14ac:dyDescent="0.2">
      <c r="AQ20171" s="31"/>
    </row>
    <row r="20172" spans="43:43" x14ac:dyDescent="0.2">
      <c r="AQ20172" s="31"/>
    </row>
    <row r="20173" spans="43:43" x14ac:dyDescent="0.2">
      <c r="AQ20173" s="31"/>
    </row>
    <row r="20174" spans="43:43" x14ac:dyDescent="0.2">
      <c r="AQ20174" s="31"/>
    </row>
    <row r="20175" spans="43:43" x14ac:dyDescent="0.2">
      <c r="AQ20175" s="31"/>
    </row>
    <row r="20176" spans="43:43" x14ac:dyDescent="0.2">
      <c r="AQ20176" s="31"/>
    </row>
    <row r="20177" spans="43:43" x14ac:dyDescent="0.2">
      <c r="AQ20177" s="31"/>
    </row>
    <row r="20178" spans="43:43" x14ac:dyDescent="0.2">
      <c r="AQ20178" s="31"/>
    </row>
    <row r="20179" spans="43:43" x14ac:dyDescent="0.2">
      <c r="AQ20179" s="31"/>
    </row>
    <row r="20180" spans="43:43" x14ac:dyDescent="0.2">
      <c r="AQ20180" s="31"/>
    </row>
    <row r="20181" spans="43:43" x14ac:dyDescent="0.2">
      <c r="AQ20181" s="31"/>
    </row>
    <row r="20182" spans="43:43" x14ac:dyDescent="0.2">
      <c r="AQ20182" s="31"/>
    </row>
    <row r="20183" spans="43:43" x14ac:dyDescent="0.2">
      <c r="AQ20183" s="31"/>
    </row>
    <row r="20184" spans="43:43" x14ac:dyDescent="0.2">
      <c r="AQ20184" s="31"/>
    </row>
    <row r="20185" spans="43:43" x14ac:dyDescent="0.2">
      <c r="AQ20185" s="31"/>
    </row>
    <row r="20186" spans="43:43" x14ac:dyDescent="0.2">
      <c r="AQ20186" s="31"/>
    </row>
    <row r="20187" spans="43:43" x14ac:dyDescent="0.2">
      <c r="AQ20187" s="31"/>
    </row>
    <row r="20188" spans="43:43" x14ac:dyDescent="0.2">
      <c r="AQ20188" s="31"/>
    </row>
    <row r="20189" spans="43:43" x14ac:dyDescent="0.2">
      <c r="AQ20189" s="31"/>
    </row>
    <row r="20190" spans="43:43" x14ac:dyDescent="0.2">
      <c r="AQ20190" s="31"/>
    </row>
    <row r="20191" spans="43:43" x14ac:dyDescent="0.2">
      <c r="AQ20191" s="31"/>
    </row>
    <row r="20192" spans="43:43" x14ac:dyDescent="0.2">
      <c r="AQ20192" s="31"/>
    </row>
    <row r="20193" spans="43:43" x14ac:dyDescent="0.2">
      <c r="AQ20193" s="31"/>
    </row>
    <row r="20194" spans="43:43" x14ac:dyDescent="0.2">
      <c r="AQ20194" s="31"/>
    </row>
    <row r="20195" spans="43:43" x14ac:dyDescent="0.2">
      <c r="AQ20195" s="31"/>
    </row>
    <row r="20196" spans="43:43" x14ac:dyDescent="0.2">
      <c r="AQ20196" s="31"/>
    </row>
    <row r="20197" spans="43:43" x14ac:dyDescent="0.2">
      <c r="AQ20197" s="31"/>
    </row>
    <row r="20198" spans="43:43" x14ac:dyDescent="0.2">
      <c r="AQ20198" s="31"/>
    </row>
    <row r="20199" spans="43:43" x14ac:dyDescent="0.2">
      <c r="AQ20199" s="31"/>
    </row>
    <row r="20200" spans="43:43" x14ac:dyDescent="0.2">
      <c r="AQ20200" s="31"/>
    </row>
    <row r="20201" spans="43:43" x14ac:dyDescent="0.2">
      <c r="AQ20201" s="31"/>
    </row>
    <row r="20202" spans="43:43" x14ac:dyDescent="0.2">
      <c r="AQ20202" s="31"/>
    </row>
    <row r="20203" spans="43:43" x14ac:dyDescent="0.2">
      <c r="AQ20203" s="31"/>
    </row>
    <row r="20204" spans="43:43" x14ac:dyDescent="0.2">
      <c r="AQ20204" s="31"/>
    </row>
    <row r="20205" spans="43:43" x14ac:dyDescent="0.2">
      <c r="AQ20205" s="31"/>
    </row>
    <row r="20206" spans="43:43" x14ac:dyDescent="0.2">
      <c r="AQ20206" s="31"/>
    </row>
    <row r="20207" spans="43:43" x14ac:dyDescent="0.2">
      <c r="AQ20207" s="31"/>
    </row>
    <row r="20208" spans="43:43" x14ac:dyDescent="0.2">
      <c r="AQ20208" s="31"/>
    </row>
    <row r="20209" spans="43:43" x14ac:dyDescent="0.2">
      <c r="AQ20209" s="31"/>
    </row>
    <row r="20210" spans="43:43" x14ac:dyDescent="0.2">
      <c r="AQ20210" s="31"/>
    </row>
    <row r="20211" spans="43:43" x14ac:dyDescent="0.2">
      <c r="AQ20211" s="31"/>
    </row>
    <row r="20212" spans="43:43" x14ac:dyDescent="0.2">
      <c r="AQ20212" s="31"/>
    </row>
    <row r="20213" spans="43:43" x14ac:dyDescent="0.2">
      <c r="AQ20213" s="31"/>
    </row>
    <row r="20214" spans="43:43" x14ac:dyDescent="0.2">
      <c r="AQ20214" s="31"/>
    </row>
    <row r="20215" spans="43:43" x14ac:dyDescent="0.2">
      <c r="AQ20215" s="31"/>
    </row>
    <row r="20216" spans="43:43" x14ac:dyDescent="0.2">
      <c r="AQ20216" s="31"/>
    </row>
    <row r="20217" spans="43:43" x14ac:dyDescent="0.2">
      <c r="AQ20217" s="31"/>
    </row>
    <row r="20218" spans="43:43" x14ac:dyDescent="0.2">
      <c r="AQ20218" s="31"/>
    </row>
    <row r="20219" spans="43:43" x14ac:dyDescent="0.2">
      <c r="AQ20219" s="31"/>
    </row>
    <row r="20220" spans="43:43" x14ac:dyDescent="0.2">
      <c r="AQ20220" s="31"/>
    </row>
    <row r="20221" spans="43:43" x14ac:dyDescent="0.2">
      <c r="AQ20221" s="31"/>
    </row>
    <row r="20222" spans="43:43" x14ac:dyDescent="0.2">
      <c r="AQ20222" s="31"/>
    </row>
    <row r="20223" spans="43:43" x14ac:dyDescent="0.2">
      <c r="AQ20223" s="31"/>
    </row>
    <row r="20224" spans="43:43" x14ac:dyDescent="0.2">
      <c r="AQ20224" s="31"/>
    </row>
    <row r="20225" spans="43:43" x14ac:dyDescent="0.2">
      <c r="AQ20225" s="31"/>
    </row>
    <row r="20226" spans="43:43" x14ac:dyDescent="0.2">
      <c r="AQ20226" s="31"/>
    </row>
    <row r="20227" spans="43:43" x14ac:dyDescent="0.2">
      <c r="AQ20227" s="31"/>
    </row>
    <row r="20228" spans="43:43" x14ac:dyDescent="0.2">
      <c r="AQ20228" s="31"/>
    </row>
    <row r="20229" spans="43:43" x14ac:dyDescent="0.2">
      <c r="AQ20229" s="31"/>
    </row>
    <row r="20230" spans="43:43" x14ac:dyDescent="0.2">
      <c r="AQ20230" s="31"/>
    </row>
    <row r="20231" spans="43:43" x14ac:dyDescent="0.2">
      <c r="AQ20231" s="31"/>
    </row>
    <row r="20232" spans="43:43" x14ac:dyDescent="0.2">
      <c r="AQ20232" s="31"/>
    </row>
    <row r="20233" spans="43:43" x14ac:dyDescent="0.2">
      <c r="AQ20233" s="31"/>
    </row>
    <row r="20234" spans="43:43" x14ac:dyDescent="0.2">
      <c r="AQ20234" s="31"/>
    </row>
    <row r="20235" spans="43:43" x14ac:dyDescent="0.2">
      <c r="AQ20235" s="31"/>
    </row>
    <row r="20236" spans="43:43" x14ac:dyDescent="0.2">
      <c r="AQ20236" s="31"/>
    </row>
    <row r="20237" spans="43:43" x14ac:dyDescent="0.2">
      <c r="AQ20237" s="31"/>
    </row>
    <row r="20238" spans="43:43" x14ac:dyDescent="0.2">
      <c r="AQ20238" s="31"/>
    </row>
    <row r="20239" spans="43:43" x14ac:dyDescent="0.2">
      <c r="AQ20239" s="31"/>
    </row>
    <row r="20240" spans="43:43" x14ac:dyDescent="0.2">
      <c r="AQ20240" s="31"/>
    </row>
    <row r="20241" spans="43:43" x14ac:dyDescent="0.2">
      <c r="AQ20241" s="31"/>
    </row>
    <row r="20242" spans="43:43" x14ac:dyDescent="0.2">
      <c r="AQ20242" s="31"/>
    </row>
    <row r="20243" spans="43:43" x14ac:dyDescent="0.2">
      <c r="AQ20243" s="31"/>
    </row>
    <row r="20244" spans="43:43" x14ac:dyDescent="0.2">
      <c r="AQ20244" s="31"/>
    </row>
    <row r="20245" spans="43:43" x14ac:dyDescent="0.2">
      <c r="AQ20245" s="31"/>
    </row>
    <row r="20246" spans="43:43" x14ac:dyDescent="0.2">
      <c r="AQ20246" s="31"/>
    </row>
    <row r="20247" spans="43:43" x14ac:dyDescent="0.2">
      <c r="AQ20247" s="31"/>
    </row>
    <row r="20248" spans="43:43" x14ac:dyDescent="0.2">
      <c r="AQ20248" s="31"/>
    </row>
    <row r="20249" spans="43:43" x14ac:dyDescent="0.2">
      <c r="AQ20249" s="31"/>
    </row>
    <row r="20250" spans="43:43" x14ac:dyDescent="0.2">
      <c r="AQ20250" s="31"/>
    </row>
    <row r="20251" spans="43:43" x14ac:dyDescent="0.2">
      <c r="AQ20251" s="31"/>
    </row>
    <row r="20252" spans="43:43" x14ac:dyDescent="0.2">
      <c r="AQ20252" s="31"/>
    </row>
    <row r="20253" spans="43:43" x14ac:dyDescent="0.2">
      <c r="AQ20253" s="31"/>
    </row>
    <row r="20254" spans="43:43" x14ac:dyDescent="0.2">
      <c r="AQ20254" s="31"/>
    </row>
    <row r="20255" spans="43:43" x14ac:dyDescent="0.2">
      <c r="AQ20255" s="31"/>
    </row>
    <row r="20256" spans="43:43" x14ac:dyDescent="0.2">
      <c r="AQ20256" s="31"/>
    </row>
    <row r="20257" spans="43:43" x14ac:dyDescent="0.2">
      <c r="AQ20257" s="31"/>
    </row>
    <row r="20258" spans="43:43" x14ac:dyDescent="0.2">
      <c r="AQ20258" s="31"/>
    </row>
    <row r="20259" spans="43:43" x14ac:dyDescent="0.2">
      <c r="AQ20259" s="31"/>
    </row>
    <row r="20260" spans="43:43" x14ac:dyDescent="0.2">
      <c r="AQ20260" s="31"/>
    </row>
    <row r="20261" spans="43:43" x14ac:dyDescent="0.2">
      <c r="AQ20261" s="31"/>
    </row>
    <row r="20262" spans="43:43" x14ac:dyDescent="0.2">
      <c r="AQ20262" s="31"/>
    </row>
    <row r="20263" spans="43:43" x14ac:dyDescent="0.2">
      <c r="AQ20263" s="31"/>
    </row>
    <row r="20264" spans="43:43" x14ac:dyDescent="0.2">
      <c r="AQ20264" s="31"/>
    </row>
    <row r="20265" spans="43:43" x14ac:dyDescent="0.2">
      <c r="AQ20265" s="31"/>
    </row>
    <row r="20266" spans="43:43" x14ac:dyDescent="0.2">
      <c r="AQ20266" s="31"/>
    </row>
    <row r="20267" spans="43:43" x14ac:dyDescent="0.2">
      <c r="AQ20267" s="31"/>
    </row>
    <row r="20268" spans="43:43" x14ac:dyDescent="0.2">
      <c r="AQ20268" s="31"/>
    </row>
    <row r="20269" spans="43:43" x14ac:dyDescent="0.2">
      <c r="AQ20269" s="31"/>
    </row>
    <row r="20270" spans="43:43" x14ac:dyDescent="0.2">
      <c r="AQ20270" s="31"/>
    </row>
    <row r="20271" spans="43:43" x14ac:dyDescent="0.2">
      <c r="AQ20271" s="31"/>
    </row>
    <row r="20272" spans="43:43" x14ac:dyDescent="0.2">
      <c r="AQ20272" s="31"/>
    </row>
    <row r="20273" spans="43:43" x14ac:dyDescent="0.2">
      <c r="AQ20273" s="31"/>
    </row>
    <row r="20274" spans="43:43" x14ac:dyDescent="0.2">
      <c r="AQ20274" s="31"/>
    </row>
    <row r="20275" spans="43:43" x14ac:dyDescent="0.2">
      <c r="AQ20275" s="31"/>
    </row>
    <row r="20276" spans="43:43" x14ac:dyDescent="0.2">
      <c r="AQ20276" s="31"/>
    </row>
    <row r="20277" spans="43:43" x14ac:dyDescent="0.2">
      <c r="AQ20277" s="31"/>
    </row>
    <row r="20278" spans="43:43" x14ac:dyDescent="0.2">
      <c r="AQ20278" s="31"/>
    </row>
    <row r="20279" spans="43:43" x14ac:dyDescent="0.2">
      <c r="AQ20279" s="31"/>
    </row>
    <row r="20280" spans="43:43" x14ac:dyDescent="0.2">
      <c r="AQ20280" s="31"/>
    </row>
    <row r="20281" spans="43:43" x14ac:dyDescent="0.2">
      <c r="AQ20281" s="31"/>
    </row>
    <row r="20282" spans="43:43" x14ac:dyDescent="0.2">
      <c r="AQ20282" s="31"/>
    </row>
    <row r="20283" spans="43:43" x14ac:dyDescent="0.2">
      <c r="AQ20283" s="31"/>
    </row>
    <row r="20284" spans="43:43" x14ac:dyDescent="0.2">
      <c r="AQ20284" s="31"/>
    </row>
    <row r="20285" spans="43:43" x14ac:dyDescent="0.2">
      <c r="AQ20285" s="31"/>
    </row>
    <row r="20286" spans="43:43" x14ac:dyDescent="0.2">
      <c r="AQ20286" s="31"/>
    </row>
    <row r="20287" spans="43:43" x14ac:dyDescent="0.2">
      <c r="AQ20287" s="31"/>
    </row>
    <row r="20288" spans="43:43" x14ac:dyDescent="0.2">
      <c r="AQ20288" s="31"/>
    </row>
    <row r="20289" spans="43:43" x14ac:dyDescent="0.2">
      <c r="AQ20289" s="31"/>
    </row>
    <row r="20290" spans="43:43" x14ac:dyDescent="0.2">
      <c r="AQ20290" s="31"/>
    </row>
    <row r="20291" spans="43:43" x14ac:dyDescent="0.2">
      <c r="AQ20291" s="31"/>
    </row>
    <row r="20292" spans="43:43" x14ac:dyDescent="0.2">
      <c r="AQ20292" s="31"/>
    </row>
    <row r="20293" spans="43:43" x14ac:dyDescent="0.2">
      <c r="AQ20293" s="31"/>
    </row>
    <row r="20294" spans="43:43" x14ac:dyDescent="0.2">
      <c r="AQ20294" s="31"/>
    </row>
    <row r="20295" spans="43:43" x14ac:dyDescent="0.2">
      <c r="AQ20295" s="31"/>
    </row>
    <row r="20296" spans="43:43" x14ac:dyDescent="0.2">
      <c r="AQ20296" s="31"/>
    </row>
    <row r="20297" spans="43:43" x14ac:dyDescent="0.2">
      <c r="AQ20297" s="31"/>
    </row>
    <row r="20298" spans="43:43" x14ac:dyDescent="0.2">
      <c r="AQ20298" s="31"/>
    </row>
    <row r="20299" spans="43:43" x14ac:dyDescent="0.2">
      <c r="AQ20299" s="31"/>
    </row>
    <row r="20300" spans="43:43" x14ac:dyDescent="0.2">
      <c r="AQ20300" s="31"/>
    </row>
    <row r="20301" spans="43:43" x14ac:dyDescent="0.2">
      <c r="AQ20301" s="31"/>
    </row>
    <row r="20302" spans="43:43" x14ac:dyDescent="0.2">
      <c r="AQ20302" s="31"/>
    </row>
    <row r="20303" spans="43:43" x14ac:dyDescent="0.2">
      <c r="AQ20303" s="31"/>
    </row>
    <row r="20304" spans="43:43" x14ac:dyDescent="0.2">
      <c r="AQ20304" s="31"/>
    </row>
    <row r="20305" spans="43:43" x14ac:dyDescent="0.2">
      <c r="AQ20305" s="31"/>
    </row>
    <row r="20306" spans="43:43" x14ac:dyDescent="0.2">
      <c r="AQ20306" s="31"/>
    </row>
    <row r="20307" spans="43:43" x14ac:dyDescent="0.2">
      <c r="AQ20307" s="31"/>
    </row>
    <row r="20308" spans="43:43" x14ac:dyDescent="0.2">
      <c r="AQ20308" s="31"/>
    </row>
    <row r="20309" spans="43:43" x14ac:dyDescent="0.2">
      <c r="AQ20309" s="31"/>
    </row>
    <row r="20310" spans="43:43" x14ac:dyDescent="0.2">
      <c r="AQ20310" s="31"/>
    </row>
    <row r="20311" spans="43:43" x14ac:dyDescent="0.2">
      <c r="AQ20311" s="31"/>
    </row>
    <row r="20312" spans="43:43" x14ac:dyDescent="0.2">
      <c r="AQ20312" s="31"/>
    </row>
    <row r="20313" spans="43:43" x14ac:dyDescent="0.2">
      <c r="AQ20313" s="31"/>
    </row>
    <row r="20314" spans="43:43" x14ac:dyDescent="0.2">
      <c r="AQ20314" s="31"/>
    </row>
    <row r="20315" spans="43:43" x14ac:dyDescent="0.2">
      <c r="AQ20315" s="31"/>
    </row>
    <row r="20316" spans="43:43" x14ac:dyDescent="0.2">
      <c r="AQ20316" s="31"/>
    </row>
    <row r="20317" spans="43:43" x14ac:dyDescent="0.2">
      <c r="AQ20317" s="31"/>
    </row>
    <row r="20318" spans="43:43" x14ac:dyDescent="0.2">
      <c r="AQ20318" s="31"/>
    </row>
    <row r="20319" spans="43:43" x14ac:dyDescent="0.2">
      <c r="AQ20319" s="31"/>
    </row>
    <row r="20320" spans="43:43" x14ac:dyDescent="0.2">
      <c r="AQ20320" s="31"/>
    </row>
    <row r="20321" spans="43:43" x14ac:dyDescent="0.2">
      <c r="AQ20321" s="31"/>
    </row>
    <row r="20322" spans="43:43" x14ac:dyDescent="0.2">
      <c r="AQ20322" s="31"/>
    </row>
    <row r="20323" spans="43:43" x14ac:dyDescent="0.2">
      <c r="AQ20323" s="31"/>
    </row>
    <row r="20324" spans="43:43" x14ac:dyDescent="0.2">
      <c r="AQ20324" s="31"/>
    </row>
    <row r="20325" spans="43:43" x14ac:dyDescent="0.2">
      <c r="AQ20325" s="31"/>
    </row>
    <row r="20326" spans="43:43" x14ac:dyDescent="0.2">
      <c r="AQ20326" s="31"/>
    </row>
    <row r="20327" spans="43:43" x14ac:dyDescent="0.2">
      <c r="AQ20327" s="31"/>
    </row>
    <row r="20328" spans="43:43" x14ac:dyDescent="0.2">
      <c r="AQ20328" s="31"/>
    </row>
    <row r="20329" spans="43:43" x14ac:dyDescent="0.2">
      <c r="AQ20329" s="31"/>
    </row>
    <row r="20330" spans="43:43" x14ac:dyDescent="0.2">
      <c r="AQ20330" s="31"/>
    </row>
    <row r="20331" spans="43:43" x14ac:dyDescent="0.2">
      <c r="AQ20331" s="31"/>
    </row>
    <row r="20332" spans="43:43" x14ac:dyDescent="0.2">
      <c r="AQ20332" s="31"/>
    </row>
    <row r="20333" spans="43:43" x14ac:dyDescent="0.2">
      <c r="AQ20333" s="31"/>
    </row>
    <row r="20334" spans="43:43" x14ac:dyDescent="0.2">
      <c r="AQ20334" s="31"/>
    </row>
    <row r="20335" spans="43:43" x14ac:dyDescent="0.2">
      <c r="AQ20335" s="31"/>
    </row>
    <row r="20336" spans="43:43" x14ac:dyDescent="0.2">
      <c r="AQ20336" s="31"/>
    </row>
    <row r="20337" spans="43:43" x14ac:dyDescent="0.2">
      <c r="AQ20337" s="31"/>
    </row>
    <row r="20338" spans="43:43" x14ac:dyDescent="0.2">
      <c r="AQ20338" s="31"/>
    </row>
    <row r="20339" spans="43:43" x14ac:dyDescent="0.2">
      <c r="AQ20339" s="31"/>
    </row>
    <row r="20340" spans="43:43" x14ac:dyDescent="0.2">
      <c r="AQ20340" s="31"/>
    </row>
    <row r="20341" spans="43:43" x14ac:dyDescent="0.2">
      <c r="AQ20341" s="31"/>
    </row>
    <row r="20342" spans="43:43" x14ac:dyDescent="0.2">
      <c r="AQ20342" s="31"/>
    </row>
    <row r="20343" spans="43:43" x14ac:dyDescent="0.2">
      <c r="AQ20343" s="31"/>
    </row>
    <row r="20344" spans="43:43" x14ac:dyDescent="0.2">
      <c r="AQ20344" s="31"/>
    </row>
    <row r="20345" spans="43:43" x14ac:dyDescent="0.2">
      <c r="AQ20345" s="31"/>
    </row>
    <row r="20346" spans="43:43" x14ac:dyDescent="0.2">
      <c r="AQ20346" s="31"/>
    </row>
    <row r="20347" spans="43:43" x14ac:dyDescent="0.2">
      <c r="AQ20347" s="31"/>
    </row>
    <row r="20348" spans="43:43" x14ac:dyDescent="0.2">
      <c r="AQ20348" s="31"/>
    </row>
    <row r="20349" spans="43:43" x14ac:dyDescent="0.2">
      <c r="AQ20349" s="31"/>
    </row>
    <row r="20350" spans="43:43" x14ac:dyDescent="0.2">
      <c r="AQ20350" s="31"/>
    </row>
    <row r="20351" spans="43:43" x14ac:dyDescent="0.2">
      <c r="AQ20351" s="31"/>
    </row>
    <row r="20352" spans="43:43" x14ac:dyDescent="0.2">
      <c r="AQ20352" s="31"/>
    </row>
    <row r="20353" spans="43:43" x14ac:dyDescent="0.2">
      <c r="AQ20353" s="31"/>
    </row>
    <row r="20354" spans="43:43" x14ac:dyDescent="0.2">
      <c r="AQ20354" s="31"/>
    </row>
    <row r="20355" spans="43:43" x14ac:dyDescent="0.2">
      <c r="AQ20355" s="31"/>
    </row>
    <row r="20356" spans="43:43" x14ac:dyDescent="0.2">
      <c r="AQ20356" s="31"/>
    </row>
    <row r="20357" spans="43:43" x14ac:dyDescent="0.2">
      <c r="AQ20357" s="31"/>
    </row>
    <row r="20358" spans="43:43" x14ac:dyDescent="0.2">
      <c r="AQ20358" s="31"/>
    </row>
    <row r="20359" spans="43:43" x14ac:dyDescent="0.2">
      <c r="AQ20359" s="31"/>
    </row>
    <row r="20360" spans="43:43" x14ac:dyDescent="0.2">
      <c r="AQ20360" s="31"/>
    </row>
    <row r="20361" spans="43:43" x14ac:dyDescent="0.2">
      <c r="AQ20361" s="31"/>
    </row>
    <row r="20362" spans="43:43" x14ac:dyDescent="0.2">
      <c r="AQ20362" s="31"/>
    </row>
    <row r="20363" spans="43:43" x14ac:dyDescent="0.2">
      <c r="AQ20363" s="31"/>
    </row>
    <row r="20364" spans="43:43" x14ac:dyDescent="0.2">
      <c r="AQ20364" s="31"/>
    </row>
    <row r="20365" spans="43:43" x14ac:dyDescent="0.2">
      <c r="AQ20365" s="31"/>
    </row>
    <row r="20366" spans="43:43" x14ac:dyDescent="0.2">
      <c r="AQ20366" s="31"/>
    </row>
    <row r="20367" spans="43:43" x14ac:dyDescent="0.2">
      <c r="AQ20367" s="31"/>
    </row>
    <row r="20368" spans="43:43" x14ac:dyDescent="0.2">
      <c r="AQ20368" s="31"/>
    </row>
    <row r="20369" spans="43:43" x14ac:dyDescent="0.2">
      <c r="AQ20369" s="31"/>
    </row>
    <row r="20370" spans="43:43" x14ac:dyDescent="0.2">
      <c r="AQ20370" s="31"/>
    </row>
    <row r="20371" spans="43:43" x14ac:dyDescent="0.2">
      <c r="AQ20371" s="31"/>
    </row>
    <row r="20372" spans="43:43" x14ac:dyDescent="0.2">
      <c r="AQ20372" s="31"/>
    </row>
    <row r="20373" spans="43:43" x14ac:dyDescent="0.2">
      <c r="AQ20373" s="31"/>
    </row>
    <row r="20374" spans="43:43" x14ac:dyDescent="0.2">
      <c r="AQ20374" s="31"/>
    </row>
    <row r="20375" spans="43:43" x14ac:dyDescent="0.2">
      <c r="AQ20375" s="31"/>
    </row>
    <row r="20376" spans="43:43" x14ac:dyDescent="0.2">
      <c r="AQ20376" s="31"/>
    </row>
    <row r="20377" spans="43:43" x14ac:dyDescent="0.2">
      <c r="AQ20377" s="31"/>
    </row>
    <row r="20378" spans="43:43" x14ac:dyDescent="0.2">
      <c r="AQ20378" s="31"/>
    </row>
    <row r="20379" spans="43:43" x14ac:dyDescent="0.2">
      <c r="AQ20379" s="31"/>
    </row>
    <row r="20380" spans="43:43" x14ac:dyDescent="0.2">
      <c r="AQ20380" s="31"/>
    </row>
    <row r="20381" spans="43:43" x14ac:dyDescent="0.2">
      <c r="AQ20381" s="31"/>
    </row>
    <row r="20382" spans="43:43" x14ac:dyDescent="0.2">
      <c r="AQ20382" s="31"/>
    </row>
    <row r="20383" spans="43:43" x14ac:dyDescent="0.2">
      <c r="AQ20383" s="31"/>
    </row>
    <row r="20384" spans="43:43" x14ac:dyDescent="0.2">
      <c r="AQ20384" s="31"/>
    </row>
    <row r="20385" spans="43:43" x14ac:dyDescent="0.2">
      <c r="AQ20385" s="31"/>
    </row>
    <row r="20386" spans="43:43" x14ac:dyDescent="0.2">
      <c r="AQ20386" s="31"/>
    </row>
    <row r="20387" spans="43:43" x14ac:dyDescent="0.2">
      <c r="AQ20387" s="31"/>
    </row>
    <row r="20388" spans="43:43" x14ac:dyDescent="0.2">
      <c r="AQ20388" s="31"/>
    </row>
    <row r="20389" spans="43:43" x14ac:dyDescent="0.2">
      <c r="AQ20389" s="31"/>
    </row>
    <row r="20390" spans="43:43" x14ac:dyDescent="0.2">
      <c r="AQ20390" s="31"/>
    </row>
    <row r="20391" spans="43:43" x14ac:dyDescent="0.2">
      <c r="AQ20391" s="31"/>
    </row>
    <row r="20392" spans="43:43" x14ac:dyDescent="0.2">
      <c r="AQ20392" s="31"/>
    </row>
    <row r="20393" spans="43:43" x14ac:dyDescent="0.2">
      <c r="AQ20393" s="31"/>
    </row>
    <row r="20394" spans="43:43" x14ac:dyDescent="0.2">
      <c r="AQ20394" s="31"/>
    </row>
    <row r="20395" spans="43:43" x14ac:dyDescent="0.2">
      <c r="AQ20395" s="31"/>
    </row>
    <row r="20396" spans="43:43" x14ac:dyDescent="0.2">
      <c r="AQ20396" s="31"/>
    </row>
    <row r="20397" spans="43:43" x14ac:dyDescent="0.2">
      <c r="AQ20397" s="31"/>
    </row>
    <row r="20398" spans="43:43" x14ac:dyDescent="0.2">
      <c r="AQ20398" s="31"/>
    </row>
    <row r="20399" spans="43:43" x14ac:dyDescent="0.2">
      <c r="AQ20399" s="31"/>
    </row>
    <row r="20400" spans="43:43" x14ac:dyDescent="0.2">
      <c r="AQ20400" s="31"/>
    </row>
    <row r="20401" spans="43:43" x14ac:dyDescent="0.2">
      <c r="AQ20401" s="31"/>
    </row>
    <row r="20402" spans="43:43" x14ac:dyDescent="0.2">
      <c r="AQ20402" s="31"/>
    </row>
    <row r="20403" spans="43:43" x14ac:dyDescent="0.2">
      <c r="AQ20403" s="31"/>
    </row>
    <row r="20404" spans="43:43" x14ac:dyDescent="0.2">
      <c r="AQ20404" s="31"/>
    </row>
    <row r="20405" spans="43:43" x14ac:dyDescent="0.2">
      <c r="AQ20405" s="31"/>
    </row>
    <row r="20406" spans="43:43" x14ac:dyDescent="0.2">
      <c r="AQ20406" s="31"/>
    </row>
    <row r="20407" spans="43:43" x14ac:dyDescent="0.2">
      <c r="AQ20407" s="31"/>
    </row>
    <row r="20408" spans="43:43" x14ac:dyDescent="0.2">
      <c r="AQ20408" s="31"/>
    </row>
    <row r="20409" spans="43:43" x14ac:dyDescent="0.2">
      <c r="AQ20409" s="31"/>
    </row>
    <row r="20410" spans="43:43" x14ac:dyDescent="0.2">
      <c r="AQ20410" s="31"/>
    </row>
    <row r="20411" spans="43:43" x14ac:dyDescent="0.2">
      <c r="AQ20411" s="31"/>
    </row>
    <row r="20412" spans="43:43" x14ac:dyDescent="0.2">
      <c r="AQ20412" s="31"/>
    </row>
    <row r="20413" spans="43:43" x14ac:dyDescent="0.2">
      <c r="AQ20413" s="31"/>
    </row>
    <row r="20414" spans="43:43" x14ac:dyDescent="0.2">
      <c r="AQ20414" s="31"/>
    </row>
    <row r="20415" spans="43:43" x14ac:dyDescent="0.2">
      <c r="AQ20415" s="31"/>
    </row>
    <row r="20416" spans="43:43" x14ac:dyDescent="0.2">
      <c r="AQ20416" s="31"/>
    </row>
    <row r="20417" spans="43:43" x14ac:dyDescent="0.2">
      <c r="AQ20417" s="31"/>
    </row>
    <row r="20418" spans="43:43" x14ac:dyDescent="0.2">
      <c r="AQ20418" s="31"/>
    </row>
    <row r="20419" spans="43:43" x14ac:dyDescent="0.2">
      <c r="AQ20419" s="31"/>
    </row>
    <row r="20420" spans="43:43" x14ac:dyDescent="0.2">
      <c r="AQ20420" s="31"/>
    </row>
    <row r="20421" spans="43:43" x14ac:dyDescent="0.2">
      <c r="AQ20421" s="31"/>
    </row>
    <row r="20422" spans="43:43" x14ac:dyDescent="0.2">
      <c r="AQ20422" s="31"/>
    </row>
    <row r="20423" spans="43:43" x14ac:dyDescent="0.2">
      <c r="AQ20423" s="31"/>
    </row>
    <row r="20424" spans="43:43" x14ac:dyDescent="0.2">
      <c r="AQ20424" s="31"/>
    </row>
    <row r="20425" spans="43:43" x14ac:dyDescent="0.2">
      <c r="AQ20425" s="31"/>
    </row>
    <row r="20426" spans="43:43" x14ac:dyDescent="0.2">
      <c r="AQ20426" s="31"/>
    </row>
    <row r="20427" spans="43:43" x14ac:dyDescent="0.2">
      <c r="AQ20427" s="31"/>
    </row>
    <row r="20428" spans="43:43" x14ac:dyDescent="0.2">
      <c r="AQ20428" s="31"/>
    </row>
    <row r="20429" spans="43:43" x14ac:dyDescent="0.2">
      <c r="AQ20429" s="31"/>
    </row>
    <row r="20430" spans="43:43" x14ac:dyDescent="0.2">
      <c r="AQ20430" s="31"/>
    </row>
    <row r="20431" spans="43:43" x14ac:dyDescent="0.2">
      <c r="AQ20431" s="31"/>
    </row>
    <row r="20432" spans="43:43" x14ac:dyDescent="0.2">
      <c r="AQ20432" s="31"/>
    </row>
    <row r="20433" spans="43:43" x14ac:dyDescent="0.2">
      <c r="AQ20433" s="31"/>
    </row>
    <row r="20434" spans="43:43" x14ac:dyDescent="0.2">
      <c r="AQ20434" s="31"/>
    </row>
    <row r="20435" spans="43:43" x14ac:dyDescent="0.2">
      <c r="AQ20435" s="31"/>
    </row>
    <row r="20436" spans="43:43" x14ac:dyDescent="0.2">
      <c r="AQ20436" s="31"/>
    </row>
    <row r="20437" spans="43:43" x14ac:dyDescent="0.2">
      <c r="AQ20437" s="31"/>
    </row>
    <row r="20438" spans="43:43" x14ac:dyDescent="0.2">
      <c r="AQ20438" s="31"/>
    </row>
    <row r="20439" spans="43:43" x14ac:dyDescent="0.2">
      <c r="AQ20439" s="31"/>
    </row>
    <row r="20440" spans="43:43" x14ac:dyDescent="0.2">
      <c r="AQ20440" s="31"/>
    </row>
    <row r="20441" spans="43:43" x14ac:dyDescent="0.2">
      <c r="AQ20441" s="31"/>
    </row>
    <row r="20442" spans="43:43" x14ac:dyDescent="0.2">
      <c r="AQ20442" s="31"/>
    </row>
    <row r="20443" spans="43:43" x14ac:dyDescent="0.2">
      <c r="AQ20443" s="31"/>
    </row>
    <row r="20444" spans="43:43" x14ac:dyDescent="0.2">
      <c r="AQ20444" s="31"/>
    </row>
    <row r="20445" spans="43:43" x14ac:dyDescent="0.2">
      <c r="AQ20445" s="31"/>
    </row>
    <row r="20446" spans="43:43" x14ac:dyDescent="0.2">
      <c r="AQ20446" s="31"/>
    </row>
    <row r="20447" spans="43:43" x14ac:dyDescent="0.2">
      <c r="AQ20447" s="31"/>
    </row>
    <row r="20448" spans="43:43" x14ac:dyDescent="0.2">
      <c r="AQ20448" s="31"/>
    </row>
    <row r="20449" spans="43:43" x14ac:dyDescent="0.2">
      <c r="AQ20449" s="31"/>
    </row>
    <row r="20450" spans="43:43" x14ac:dyDescent="0.2">
      <c r="AQ20450" s="31"/>
    </row>
    <row r="20451" spans="43:43" x14ac:dyDescent="0.2">
      <c r="AQ20451" s="31"/>
    </row>
    <row r="20452" spans="43:43" x14ac:dyDescent="0.2">
      <c r="AQ20452" s="31"/>
    </row>
    <row r="20453" spans="43:43" x14ac:dyDescent="0.2">
      <c r="AQ20453" s="31"/>
    </row>
    <row r="20454" spans="43:43" x14ac:dyDescent="0.2">
      <c r="AQ20454" s="31"/>
    </row>
    <row r="20455" spans="43:43" x14ac:dyDescent="0.2">
      <c r="AQ20455" s="31"/>
    </row>
    <row r="20456" spans="43:43" x14ac:dyDescent="0.2">
      <c r="AQ20456" s="31"/>
    </row>
    <row r="20457" spans="43:43" x14ac:dyDescent="0.2">
      <c r="AQ20457" s="31"/>
    </row>
    <row r="20458" spans="43:43" x14ac:dyDescent="0.2">
      <c r="AQ20458" s="31"/>
    </row>
    <row r="20459" spans="43:43" x14ac:dyDescent="0.2">
      <c r="AQ20459" s="31"/>
    </row>
    <row r="20460" spans="43:43" x14ac:dyDescent="0.2">
      <c r="AQ20460" s="31"/>
    </row>
    <row r="20461" spans="43:43" x14ac:dyDescent="0.2">
      <c r="AQ20461" s="31"/>
    </row>
    <row r="20462" spans="43:43" x14ac:dyDescent="0.2">
      <c r="AQ20462" s="31"/>
    </row>
    <row r="20463" spans="43:43" x14ac:dyDescent="0.2">
      <c r="AQ20463" s="31"/>
    </row>
    <row r="20464" spans="43:43" x14ac:dyDescent="0.2">
      <c r="AQ20464" s="31"/>
    </row>
    <row r="20465" spans="43:43" x14ac:dyDescent="0.2">
      <c r="AQ20465" s="31"/>
    </row>
    <row r="20466" spans="43:43" x14ac:dyDescent="0.2">
      <c r="AQ20466" s="31"/>
    </row>
    <row r="20467" spans="43:43" x14ac:dyDescent="0.2">
      <c r="AQ20467" s="31"/>
    </row>
    <row r="20468" spans="43:43" x14ac:dyDescent="0.2">
      <c r="AQ20468" s="31"/>
    </row>
    <row r="20469" spans="43:43" x14ac:dyDescent="0.2">
      <c r="AQ20469" s="31"/>
    </row>
    <row r="20470" spans="43:43" x14ac:dyDescent="0.2">
      <c r="AQ20470" s="31"/>
    </row>
    <row r="20471" spans="43:43" x14ac:dyDescent="0.2">
      <c r="AQ20471" s="31"/>
    </row>
    <row r="20472" spans="43:43" x14ac:dyDescent="0.2">
      <c r="AQ20472" s="31"/>
    </row>
    <row r="20473" spans="43:43" x14ac:dyDescent="0.2">
      <c r="AQ20473" s="31"/>
    </row>
    <row r="20474" spans="43:43" x14ac:dyDescent="0.2">
      <c r="AQ20474" s="31"/>
    </row>
    <row r="20475" spans="43:43" x14ac:dyDescent="0.2">
      <c r="AQ20475" s="31"/>
    </row>
    <row r="20476" spans="43:43" x14ac:dyDescent="0.2">
      <c r="AQ20476" s="31"/>
    </row>
    <row r="20477" spans="43:43" x14ac:dyDescent="0.2">
      <c r="AQ20477" s="31"/>
    </row>
    <row r="20478" spans="43:43" x14ac:dyDescent="0.2">
      <c r="AQ20478" s="31"/>
    </row>
    <row r="20479" spans="43:43" x14ac:dyDescent="0.2">
      <c r="AQ20479" s="31"/>
    </row>
    <row r="20480" spans="43:43" x14ac:dyDescent="0.2">
      <c r="AQ20480" s="31"/>
    </row>
    <row r="20481" spans="43:43" x14ac:dyDescent="0.2">
      <c r="AQ20481" s="31"/>
    </row>
    <row r="20482" spans="43:43" x14ac:dyDescent="0.2">
      <c r="AQ20482" s="31"/>
    </row>
    <row r="20483" spans="43:43" x14ac:dyDescent="0.2">
      <c r="AQ20483" s="31"/>
    </row>
    <row r="20484" spans="43:43" x14ac:dyDescent="0.2">
      <c r="AQ20484" s="31"/>
    </row>
    <row r="20485" spans="43:43" x14ac:dyDescent="0.2">
      <c r="AQ20485" s="31"/>
    </row>
    <row r="20486" spans="43:43" x14ac:dyDescent="0.2">
      <c r="AQ20486" s="31"/>
    </row>
    <row r="20487" spans="43:43" x14ac:dyDescent="0.2">
      <c r="AQ20487" s="31"/>
    </row>
    <row r="20488" spans="43:43" x14ac:dyDescent="0.2">
      <c r="AQ20488" s="31"/>
    </row>
    <row r="20489" spans="43:43" x14ac:dyDescent="0.2">
      <c r="AQ20489" s="31"/>
    </row>
    <row r="20490" spans="43:43" x14ac:dyDescent="0.2">
      <c r="AQ20490" s="31"/>
    </row>
    <row r="20491" spans="43:43" x14ac:dyDescent="0.2">
      <c r="AQ20491" s="31"/>
    </row>
    <row r="20492" spans="43:43" x14ac:dyDescent="0.2">
      <c r="AQ20492" s="31"/>
    </row>
    <row r="20493" spans="43:43" x14ac:dyDescent="0.2">
      <c r="AQ20493" s="31"/>
    </row>
    <row r="20494" spans="43:43" x14ac:dyDescent="0.2">
      <c r="AQ20494" s="31"/>
    </row>
    <row r="20495" spans="43:43" x14ac:dyDescent="0.2">
      <c r="AQ20495" s="31"/>
    </row>
    <row r="20496" spans="43:43" x14ac:dyDescent="0.2">
      <c r="AQ20496" s="31"/>
    </row>
    <row r="20497" spans="43:43" x14ac:dyDescent="0.2">
      <c r="AQ20497" s="31"/>
    </row>
    <row r="20498" spans="43:43" x14ac:dyDescent="0.2">
      <c r="AQ20498" s="31"/>
    </row>
    <row r="20499" spans="43:43" x14ac:dyDescent="0.2">
      <c r="AQ20499" s="31"/>
    </row>
    <row r="20500" spans="43:43" x14ac:dyDescent="0.2">
      <c r="AQ20500" s="31"/>
    </row>
    <row r="20501" spans="43:43" x14ac:dyDescent="0.2">
      <c r="AQ20501" s="31"/>
    </row>
    <row r="20502" spans="43:43" x14ac:dyDescent="0.2">
      <c r="AQ20502" s="31"/>
    </row>
    <row r="20503" spans="43:43" x14ac:dyDescent="0.2">
      <c r="AQ20503" s="31"/>
    </row>
    <row r="20504" spans="43:43" x14ac:dyDescent="0.2">
      <c r="AQ20504" s="31"/>
    </row>
    <row r="20505" spans="43:43" x14ac:dyDescent="0.2">
      <c r="AQ20505" s="31"/>
    </row>
    <row r="20506" spans="43:43" x14ac:dyDescent="0.2">
      <c r="AQ20506" s="31"/>
    </row>
    <row r="20507" spans="43:43" x14ac:dyDescent="0.2">
      <c r="AQ20507" s="31"/>
    </row>
    <row r="20508" spans="43:43" x14ac:dyDescent="0.2">
      <c r="AQ20508" s="31"/>
    </row>
    <row r="20509" spans="43:43" x14ac:dyDescent="0.2">
      <c r="AQ20509" s="31"/>
    </row>
    <row r="20510" spans="43:43" x14ac:dyDescent="0.2">
      <c r="AQ20510" s="31"/>
    </row>
    <row r="20511" spans="43:43" x14ac:dyDescent="0.2">
      <c r="AQ20511" s="31"/>
    </row>
    <row r="20512" spans="43:43" x14ac:dyDescent="0.2">
      <c r="AQ20512" s="31"/>
    </row>
    <row r="20513" spans="43:43" x14ac:dyDescent="0.2">
      <c r="AQ20513" s="31"/>
    </row>
    <row r="20514" spans="43:43" x14ac:dyDescent="0.2">
      <c r="AQ20514" s="31"/>
    </row>
    <row r="20515" spans="43:43" x14ac:dyDescent="0.2">
      <c r="AQ20515" s="31"/>
    </row>
    <row r="20516" spans="43:43" x14ac:dyDescent="0.2">
      <c r="AQ20516" s="31"/>
    </row>
    <row r="20517" spans="43:43" x14ac:dyDescent="0.2">
      <c r="AQ20517" s="31"/>
    </row>
    <row r="20518" spans="43:43" x14ac:dyDescent="0.2">
      <c r="AQ20518" s="31"/>
    </row>
    <row r="20519" spans="43:43" x14ac:dyDescent="0.2">
      <c r="AQ20519" s="31"/>
    </row>
    <row r="20520" spans="43:43" x14ac:dyDescent="0.2">
      <c r="AQ20520" s="31"/>
    </row>
    <row r="20521" spans="43:43" x14ac:dyDescent="0.2">
      <c r="AQ20521" s="31"/>
    </row>
    <row r="20522" spans="43:43" x14ac:dyDescent="0.2">
      <c r="AQ20522" s="31"/>
    </row>
    <row r="20523" spans="43:43" x14ac:dyDescent="0.2">
      <c r="AQ20523" s="31"/>
    </row>
    <row r="20524" spans="43:43" x14ac:dyDescent="0.2">
      <c r="AQ20524" s="31"/>
    </row>
    <row r="20525" spans="43:43" x14ac:dyDescent="0.2">
      <c r="AQ20525" s="31"/>
    </row>
    <row r="20526" spans="43:43" x14ac:dyDescent="0.2">
      <c r="AQ20526" s="31"/>
    </row>
    <row r="20527" spans="43:43" x14ac:dyDescent="0.2">
      <c r="AQ20527" s="31"/>
    </row>
    <row r="20528" spans="43:43" x14ac:dyDescent="0.2">
      <c r="AQ20528" s="31"/>
    </row>
    <row r="20529" spans="43:43" x14ac:dyDescent="0.2">
      <c r="AQ20529" s="31"/>
    </row>
    <row r="20530" spans="43:43" x14ac:dyDescent="0.2">
      <c r="AQ20530" s="31"/>
    </row>
    <row r="20531" spans="43:43" x14ac:dyDescent="0.2">
      <c r="AQ20531" s="31"/>
    </row>
    <row r="20532" spans="43:43" x14ac:dyDescent="0.2">
      <c r="AQ20532" s="31"/>
    </row>
    <row r="20533" spans="43:43" x14ac:dyDescent="0.2">
      <c r="AQ20533" s="31"/>
    </row>
    <row r="20534" spans="43:43" x14ac:dyDescent="0.2">
      <c r="AQ20534" s="31"/>
    </row>
    <row r="20535" spans="43:43" x14ac:dyDescent="0.2">
      <c r="AQ20535" s="31"/>
    </row>
    <row r="20536" spans="43:43" x14ac:dyDescent="0.2">
      <c r="AQ20536" s="31"/>
    </row>
    <row r="20537" spans="43:43" x14ac:dyDescent="0.2">
      <c r="AQ20537" s="31"/>
    </row>
    <row r="20538" spans="43:43" x14ac:dyDescent="0.2">
      <c r="AQ20538" s="31"/>
    </row>
    <row r="20539" spans="43:43" x14ac:dyDescent="0.2">
      <c r="AQ20539" s="31"/>
    </row>
    <row r="20540" spans="43:43" x14ac:dyDescent="0.2">
      <c r="AQ20540" s="31"/>
    </row>
    <row r="20541" spans="43:43" x14ac:dyDescent="0.2">
      <c r="AQ20541" s="31"/>
    </row>
    <row r="20542" spans="43:43" x14ac:dyDescent="0.2">
      <c r="AQ20542" s="31"/>
    </row>
    <row r="20543" spans="43:43" x14ac:dyDescent="0.2">
      <c r="AQ20543" s="31"/>
    </row>
    <row r="20544" spans="43:43" x14ac:dyDescent="0.2">
      <c r="AQ20544" s="31"/>
    </row>
    <row r="20545" spans="43:43" x14ac:dyDescent="0.2">
      <c r="AQ20545" s="31"/>
    </row>
    <row r="20546" spans="43:43" x14ac:dyDescent="0.2">
      <c r="AQ20546" s="31"/>
    </row>
    <row r="20547" spans="43:43" x14ac:dyDescent="0.2">
      <c r="AQ20547" s="31"/>
    </row>
    <row r="20548" spans="43:43" x14ac:dyDescent="0.2">
      <c r="AQ20548" s="31"/>
    </row>
    <row r="20549" spans="43:43" x14ac:dyDescent="0.2">
      <c r="AQ20549" s="31"/>
    </row>
    <row r="20550" spans="43:43" x14ac:dyDescent="0.2">
      <c r="AQ20550" s="31"/>
    </row>
    <row r="20551" spans="43:43" x14ac:dyDescent="0.2">
      <c r="AQ20551" s="31"/>
    </row>
    <row r="20552" spans="43:43" x14ac:dyDescent="0.2">
      <c r="AQ20552" s="31"/>
    </row>
    <row r="20553" spans="43:43" x14ac:dyDescent="0.2">
      <c r="AQ20553" s="31"/>
    </row>
    <row r="20554" spans="43:43" x14ac:dyDescent="0.2">
      <c r="AQ20554" s="31"/>
    </row>
    <row r="20555" spans="43:43" x14ac:dyDescent="0.2">
      <c r="AQ20555" s="31"/>
    </row>
    <row r="20556" spans="43:43" x14ac:dyDescent="0.2">
      <c r="AQ20556" s="31"/>
    </row>
    <row r="20557" spans="43:43" x14ac:dyDescent="0.2">
      <c r="AQ20557" s="31"/>
    </row>
    <row r="20558" spans="43:43" x14ac:dyDescent="0.2">
      <c r="AQ20558" s="31"/>
    </row>
    <row r="20559" spans="43:43" x14ac:dyDescent="0.2">
      <c r="AQ20559" s="31"/>
    </row>
    <row r="20560" spans="43:43" x14ac:dyDescent="0.2">
      <c r="AQ20560" s="31"/>
    </row>
    <row r="20561" spans="43:43" x14ac:dyDescent="0.2">
      <c r="AQ20561" s="31"/>
    </row>
    <row r="20562" spans="43:43" x14ac:dyDescent="0.2">
      <c r="AQ20562" s="31"/>
    </row>
    <row r="20563" spans="43:43" x14ac:dyDescent="0.2">
      <c r="AQ20563" s="31"/>
    </row>
    <row r="20564" spans="43:43" x14ac:dyDescent="0.2">
      <c r="AQ20564" s="31"/>
    </row>
    <row r="20565" spans="43:43" x14ac:dyDescent="0.2">
      <c r="AQ20565" s="31"/>
    </row>
    <row r="20566" spans="43:43" x14ac:dyDescent="0.2">
      <c r="AQ20566" s="31"/>
    </row>
    <row r="20567" spans="43:43" x14ac:dyDescent="0.2">
      <c r="AQ20567" s="31"/>
    </row>
    <row r="20568" spans="43:43" x14ac:dyDescent="0.2">
      <c r="AQ20568" s="31"/>
    </row>
    <row r="20569" spans="43:43" x14ac:dyDescent="0.2">
      <c r="AQ20569" s="31"/>
    </row>
    <row r="20570" spans="43:43" x14ac:dyDescent="0.2">
      <c r="AQ20570" s="31"/>
    </row>
    <row r="20571" spans="43:43" x14ac:dyDescent="0.2">
      <c r="AQ20571" s="31"/>
    </row>
    <row r="20572" spans="43:43" x14ac:dyDescent="0.2">
      <c r="AQ20572" s="31"/>
    </row>
    <row r="20573" spans="43:43" x14ac:dyDescent="0.2">
      <c r="AQ20573" s="31"/>
    </row>
    <row r="20574" spans="43:43" x14ac:dyDescent="0.2">
      <c r="AQ20574" s="31"/>
    </row>
    <row r="20575" spans="43:43" x14ac:dyDescent="0.2">
      <c r="AQ20575" s="31"/>
    </row>
    <row r="20576" spans="43:43" x14ac:dyDescent="0.2">
      <c r="AQ20576" s="31"/>
    </row>
    <row r="20577" spans="43:43" x14ac:dyDescent="0.2">
      <c r="AQ20577" s="31"/>
    </row>
    <row r="20578" spans="43:43" x14ac:dyDescent="0.2">
      <c r="AQ20578" s="31"/>
    </row>
    <row r="20579" spans="43:43" x14ac:dyDescent="0.2">
      <c r="AQ20579" s="31"/>
    </row>
    <row r="20580" spans="43:43" x14ac:dyDescent="0.2">
      <c r="AQ20580" s="31"/>
    </row>
    <row r="20581" spans="43:43" x14ac:dyDescent="0.2">
      <c r="AQ20581" s="31"/>
    </row>
    <row r="20582" spans="43:43" x14ac:dyDescent="0.2">
      <c r="AQ20582" s="31"/>
    </row>
    <row r="20583" spans="43:43" x14ac:dyDescent="0.2">
      <c r="AQ20583" s="31"/>
    </row>
    <row r="20584" spans="43:43" x14ac:dyDescent="0.2">
      <c r="AQ20584" s="31"/>
    </row>
    <row r="20585" spans="43:43" x14ac:dyDescent="0.2">
      <c r="AQ20585" s="31"/>
    </row>
    <row r="20586" spans="43:43" x14ac:dyDescent="0.2">
      <c r="AQ20586" s="31"/>
    </row>
    <row r="20587" spans="43:43" x14ac:dyDescent="0.2">
      <c r="AQ20587" s="31"/>
    </row>
    <row r="20588" spans="43:43" x14ac:dyDescent="0.2">
      <c r="AQ20588" s="31"/>
    </row>
    <row r="20589" spans="43:43" x14ac:dyDescent="0.2">
      <c r="AQ20589" s="31"/>
    </row>
    <row r="20590" spans="43:43" x14ac:dyDescent="0.2">
      <c r="AQ20590" s="31"/>
    </row>
    <row r="20591" spans="43:43" x14ac:dyDescent="0.2">
      <c r="AQ20591" s="31"/>
    </row>
    <row r="20592" spans="43:43" x14ac:dyDescent="0.2">
      <c r="AQ20592" s="31"/>
    </row>
    <row r="20593" spans="43:43" x14ac:dyDescent="0.2">
      <c r="AQ20593" s="31"/>
    </row>
    <row r="20594" spans="43:43" x14ac:dyDescent="0.2">
      <c r="AQ20594" s="31"/>
    </row>
    <row r="20595" spans="43:43" x14ac:dyDescent="0.2">
      <c r="AQ20595" s="31"/>
    </row>
    <row r="20596" spans="43:43" x14ac:dyDescent="0.2">
      <c r="AQ20596" s="31"/>
    </row>
    <row r="20597" spans="43:43" x14ac:dyDescent="0.2">
      <c r="AQ20597" s="31"/>
    </row>
    <row r="20598" spans="43:43" x14ac:dyDescent="0.2">
      <c r="AQ20598" s="31"/>
    </row>
    <row r="20599" spans="43:43" x14ac:dyDescent="0.2">
      <c r="AQ20599" s="31"/>
    </row>
    <row r="20600" spans="43:43" x14ac:dyDescent="0.2">
      <c r="AQ20600" s="31"/>
    </row>
    <row r="20601" spans="43:43" x14ac:dyDescent="0.2">
      <c r="AQ20601" s="31"/>
    </row>
    <row r="20602" spans="43:43" x14ac:dyDescent="0.2">
      <c r="AQ20602" s="31"/>
    </row>
    <row r="20603" spans="43:43" x14ac:dyDescent="0.2">
      <c r="AQ20603" s="31"/>
    </row>
    <row r="20604" spans="43:43" x14ac:dyDescent="0.2">
      <c r="AQ20604" s="31"/>
    </row>
    <row r="20605" spans="43:43" x14ac:dyDescent="0.2">
      <c r="AQ20605" s="31"/>
    </row>
    <row r="20606" spans="43:43" x14ac:dyDescent="0.2">
      <c r="AQ20606" s="31"/>
    </row>
    <row r="20607" spans="43:43" x14ac:dyDescent="0.2">
      <c r="AQ20607" s="31"/>
    </row>
    <row r="20608" spans="43:43" x14ac:dyDescent="0.2">
      <c r="AQ20608" s="31"/>
    </row>
    <row r="20609" spans="43:43" x14ac:dyDescent="0.2">
      <c r="AQ20609" s="31"/>
    </row>
    <row r="20610" spans="43:43" x14ac:dyDescent="0.2">
      <c r="AQ20610" s="31"/>
    </row>
    <row r="20611" spans="43:43" x14ac:dyDescent="0.2">
      <c r="AQ20611" s="31"/>
    </row>
    <row r="20612" spans="43:43" x14ac:dyDescent="0.2">
      <c r="AQ20612" s="31"/>
    </row>
    <row r="20613" spans="43:43" x14ac:dyDescent="0.2">
      <c r="AQ20613" s="31"/>
    </row>
    <row r="20614" spans="43:43" x14ac:dyDescent="0.2">
      <c r="AQ20614" s="31"/>
    </row>
    <row r="20615" spans="43:43" x14ac:dyDescent="0.2">
      <c r="AQ20615" s="31"/>
    </row>
    <row r="20616" spans="43:43" x14ac:dyDescent="0.2">
      <c r="AQ20616" s="31"/>
    </row>
    <row r="20617" spans="43:43" x14ac:dyDescent="0.2">
      <c r="AQ20617" s="31"/>
    </row>
    <row r="20618" spans="43:43" x14ac:dyDescent="0.2">
      <c r="AQ20618" s="31"/>
    </row>
    <row r="20619" spans="43:43" x14ac:dyDescent="0.2">
      <c r="AQ20619" s="31"/>
    </row>
    <row r="20620" spans="43:43" x14ac:dyDescent="0.2">
      <c r="AQ20620" s="31"/>
    </row>
    <row r="20621" spans="43:43" x14ac:dyDescent="0.2">
      <c r="AQ20621" s="31"/>
    </row>
    <row r="20622" spans="43:43" x14ac:dyDescent="0.2">
      <c r="AQ20622" s="31"/>
    </row>
    <row r="20623" spans="43:43" x14ac:dyDescent="0.2">
      <c r="AQ20623" s="31"/>
    </row>
    <row r="20624" spans="43:43" x14ac:dyDescent="0.2">
      <c r="AQ20624" s="31"/>
    </row>
    <row r="20625" spans="43:43" x14ac:dyDescent="0.2">
      <c r="AQ20625" s="31"/>
    </row>
    <row r="20626" spans="43:43" x14ac:dyDescent="0.2">
      <c r="AQ20626" s="31"/>
    </row>
    <row r="20627" spans="43:43" x14ac:dyDescent="0.2">
      <c r="AQ20627" s="31"/>
    </row>
    <row r="20628" spans="43:43" x14ac:dyDescent="0.2">
      <c r="AQ20628" s="31"/>
    </row>
    <row r="20629" spans="43:43" x14ac:dyDescent="0.2">
      <c r="AQ20629" s="31"/>
    </row>
    <row r="20630" spans="43:43" x14ac:dyDescent="0.2">
      <c r="AQ20630" s="31"/>
    </row>
    <row r="20631" spans="43:43" x14ac:dyDescent="0.2">
      <c r="AQ20631" s="31"/>
    </row>
    <row r="20632" spans="43:43" x14ac:dyDescent="0.2">
      <c r="AQ20632" s="31"/>
    </row>
    <row r="20633" spans="43:43" x14ac:dyDescent="0.2">
      <c r="AQ20633" s="31"/>
    </row>
    <row r="20634" spans="43:43" x14ac:dyDescent="0.2">
      <c r="AQ20634" s="31"/>
    </row>
    <row r="20635" spans="43:43" x14ac:dyDescent="0.2">
      <c r="AQ20635" s="31"/>
    </row>
    <row r="20636" spans="43:43" x14ac:dyDescent="0.2">
      <c r="AQ20636" s="31"/>
    </row>
    <row r="20637" spans="43:43" x14ac:dyDescent="0.2">
      <c r="AQ20637" s="31"/>
    </row>
    <row r="20638" spans="43:43" x14ac:dyDescent="0.2">
      <c r="AQ20638" s="31"/>
    </row>
    <row r="20639" spans="43:43" x14ac:dyDescent="0.2">
      <c r="AQ20639" s="31"/>
    </row>
    <row r="20640" spans="43:43" x14ac:dyDescent="0.2">
      <c r="AQ20640" s="31"/>
    </row>
    <row r="20641" spans="43:43" x14ac:dyDescent="0.2">
      <c r="AQ20641" s="31"/>
    </row>
    <row r="20642" spans="43:43" x14ac:dyDescent="0.2">
      <c r="AQ20642" s="31"/>
    </row>
    <row r="20643" spans="43:43" x14ac:dyDescent="0.2">
      <c r="AQ20643" s="31"/>
    </row>
    <row r="20644" spans="43:43" x14ac:dyDescent="0.2">
      <c r="AQ20644" s="31"/>
    </row>
    <row r="20645" spans="43:43" x14ac:dyDescent="0.2">
      <c r="AQ20645" s="31"/>
    </row>
    <row r="20646" spans="43:43" x14ac:dyDescent="0.2">
      <c r="AQ20646" s="31"/>
    </row>
    <row r="20647" spans="43:43" x14ac:dyDescent="0.2">
      <c r="AQ20647" s="31"/>
    </row>
    <row r="20648" spans="43:43" x14ac:dyDescent="0.2">
      <c r="AQ20648" s="31"/>
    </row>
    <row r="20649" spans="43:43" x14ac:dyDescent="0.2">
      <c r="AQ20649" s="31"/>
    </row>
    <row r="20650" spans="43:43" x14ac:dyDescent="0.2">
      <c r="AQ20650" s="31"/>
    </row>
    <row r="20651" spans="43:43" x14ac:dyDescent="0.2">
      <c r="AQ20651" s="31"/>
    </row>
    <row r="20652" spans="43:43" x14ac:dyDescent="0.2">
      <c r="AQ20652" s="31"/>
    </row>
    <row r="20653" spans="43:43" x14ac:dyDescent="0.2">
      <c r="AQ20653" s="31"/>
    </row>
    <row r="20654" spans="43:43" x14ac:dyDescent="0.2">
      <c r="AQ20654" s="31"/>
    </row>
    <row r="20655" spans="43:43" x14ac:dyDescent="0.2">
      <c r="AQ20655" s="31"/>
    </row>
    <row r="20656" spans="43:43" x14ac:dyDescent="0.2">
      <c r="AQ20656" s="31"/>
    </row>
    <row r="20657" spans="43:43" x14ac:dyDescent="0.2">
      <c r="AQ20657" s="31"/>
    </row>
    <row r="20658" spans="43:43" x14ac:dyDescent="0.2">
      <c r="AQ20658" s="31"/>
    </row>
    <row r="20659" spans="43:43" x14ac:dyDescent="0.2">
      <c r="AQ20659" s="31"/>
    </row>
    <row r="20660" spans="43:43" x14ac:dyDescent="0.2">
      <c r="AQ20660" s="31"/>
    </row>
    <row r="20661" spans="43:43" x14ac:dyDescent="0.2">
      <c r="AQ20661" s="31"/>
    </row>
    <row r="20662" spans="43:43" x14ac:dyDescent="0.2">
      <c r="AQ20662" s="31"/>
    </row>
    <row r="20663" spans="43:43" x14ac:dyDescent="0.2">
      <c r="AQ20663" s="31"/>
    </row>
    <row r="20664" spans="43:43" x14ac:dyDescent="0.2">
      <c r="AQ20664" s="31"/>
    </row>
    <row r="20665" spans="43:43" x14ac:dyDescent="0.2">
      <c r="AQ20665" s="31"/>
    </row>
    <row r="20666" spans="43:43" x14ac:dyDescent="0.2">
      <c r="AQ20666" s="31"/>
    </row>
    <row r="20667" spans="43:43" x14ac:dyDescent="0.2">
      <c r="AQ20667" s="31"/>
    </row>
    <row r="20668" spans="43:43" x14ac:dyDescent="0.2">
      <c r="AQ20668" s="31"/>
    </row>
    <row r="20669" spans="43:43" x14ac:dyDescent="0.2">
      <c r="AQ20669" s="31"/>
    </row>
    <row r="20670" spans="43:43" x14ac:dyDescent="0.2">
      <c r="AQ20670" s="31"/>
    </row>
    <row r="20671" spans="43:43" x14ac:dyDescent="0.2">
      <c r="AQ20671" s="31"/>
    </row>
    <row r="20672" spans="43:43" x14ac:dyDescent="0.2">
      <c r="AQ20672" s="31"/>
    </row>
    <row r="20673" spans="43:43" x14ac:dyDescent="0.2">
      <c r="AQ20673" s="31"/>
    </row>
    <row r="20674" spans="43:43" x14ac:dyDescent="0.2">
      <c r="AQ20674" s="31"/>
    </row>
    <row r="20675" spans="43:43" x14ac:dyDescent="0.2">
      <c r="AQ20675" s="31"/>
    </row>
    <row r="20676" spans="43:43" x14ac:dyDescent="0.2">
      <c r="AQ20676" s="31"/>
    </row>
    <row r="20677" spans="43:43" x14ac:dyDescent="0.2">
      <c r="AQ20677" s="31"/>
    </row>
    <row r="20678" spans="43:43" x14ac:dyDescent="0.2">
      <c r="AQ20678" s="31"/>
    </row>
    <row r="20679" spans="43:43" x14ac:dyDescent="0.2">
      <c r="AQ20679" s="31"/>
    </row>
    <row r="20680" spans="43:43" x14ac:dyDescent="0.2">
      <c r="AQ20680" s="31"/>
    </row>
    <row r="20681" spans="43:43" x14ac:dyDescent="0.2">
      <c r="AQ20681" s="31"/>
    </row>
    <row r="20682" spans="43:43" x14ac:dyDescent="0.2">
      <c r="AQ20682" s="31"/>
    </row>
    <row r="20683" spans="43:43" x14ac:dyDescent="0.2">
      <c r="AQ20683" s="31"/>
    </row>
    <row r="20684" spans="43:43" x14ac:dyDescent="0.2">
      <c r="AQ20684" s="31"/>
    </row>
    <row r="20685" spans="43:43" x14ac:dyDescent="0.2">
      <c r="AQ20685" s="31"/>
    </row>
    <row r="20686" spans="43:43" x14ac:dyDescent="0.2">
      <c r="AQ20686" s="31"/>
    </row>
    <row r="20687" spans="43:43" x14ac:dyDescent="0.2">
      <c r="AQ20687" s="31"/>
    </row>
    <row r="20688" spans="43:43" x14ac:dyDescent="0.2">
      <c r="AQ20688" s="31"/>
    </row>
    <row r="20689" spans="43:43" x14ac:dyDescent="0.2">
      <c r="AQ20689" s="31"/>
    </row>
    <row r="20690" spans="43:43" x14ac:dyDescent="0.2">
      <c r="AQ20690" s="31"/>
    </row>
    <row r="20691" spans="43:43" x14ac:dyDescent="0.2">
      <c r="AQ20691" s="31"/>
    </row>
    <row r="20692" spans="43:43" x14ac:dyDescent="0.2">
      <c r="AQ20692" s="31"/>
    </row>
    <row r="20693" spans="43:43" x14ac:dyDescent="0.2">
      <c r="AQ20693" s="31"/>
    </row>
    <row r="20694" spans="43:43" x14ac:dyDescent="0.2">
      <c r="AQ20694" s="31"/>
    </row>
    <row r="20695" spans="43:43" x14ac:dyDescent="0.2">
      <c r="AQ20695" s="31"/>
    </row>
    <row r="20696" spans="43:43" x14ac:dyDescent="0.2">
      <c r="AQ20696" s="31"/>
    </row>
    <row r="20697" spans="43:43" x14ac:dyDescent="0.2">
      <c r="AQ20697" s="31"/>
    </row>
    <row r="20698" spans="43:43" x14ac:dyDescent="0.2">
      <c r="AQ20698" s="31"/>
    </row>
    <row r="20699" spans="43:43" x14ac:dyDescent="0.2">
      <c r="AQ20699" s="31"/>
    </row>
    <row r="20700" spans="43:43" x14ac:dyDescent="0.2">
      <c r="AQ20700" s="31"/>
    </row>
    <row r="20701" spans="43:43" x14ac:dyDescent="0.2">
      <c r="AQ20701" s="31"/>
    </row>
    <row r="20702" spans="43:43" x14ac:dyDescent="0.2">
      <c r="AQ20702" s="31"/>
    </row>
    <row r="20703" spans="43:43" x14ac:dyDescent="0.2">
      <c r="AQ20703" s="31"/>
    </row>
    <row r="20704" spans="43:43" x14ac:dyDescent="0.2">
      <c r="AQ20704" s="31"/>
    </row>
    <row r="20705" spans="43:43" x14ac:dyDescent="0.2">
      <c r="AQ20705" s="31"/>
    </row>
    <row r="20706" spans="43:43" x14ac:dyDescent="0.2">
      <c r="AQ20706" s="31"/>
    </row>
    <row r="20707" spans="43:43" x14ac:dyDescent="0.2">
      <c r="AQ20707" s="31"/>
    </row>
    <row r="20708" spans="43:43" x14ac:dyDescent="0.2">
      <c r="AQ20708" s="31"/>
    </row>
    <row r="20709" spans="43:43" x14ac:dyDescent="0.2">
      <c r="AQ20709" s="31"/>
    </row>
    <row r="20710" spans="43:43" x14ac:dyDescent="0.2">
      <c r="AQ20710" s="31"/>
    </row>
    <row r="20711" spans="43:43" x14ac:dyDescent="0.2">
      <c r="AQ20711" s="31"/>
    </row>
    <row r="20712" spans="43:43" x14ac:dyDescent="0.2">
      <c r="AQ20712" s="31"/>
    </row>
    <row r="20713" spans="43:43" x14ac:dyDescent="0.2">
      <c r="AQ20713" s="31"/>
    </row>
    <row r="20714" spans="43:43" x14ac:dyDescent="0.2">
      <c r="AQ20714" s="31"/>
    </row>
    <row r="20715" spans="43:43" x14ac:dyDescent="0.2">
      <c r="AQ20715" s="31"/>
    </row>
    <row r="20716" spans="43:43" x14ac:dyDescent="0.2">
      <c r="AQ20716" s="31"/>
    </row>
    <row r="20717" spans="43:43" x14ac:dyDescent="0.2">
      <c r="AQ20717" s="31"/>
    </row>
    <row r="20718" spans="43:43" x14ac:dyDescent="0.2">
      <c r="AQ20718" s="31"/>
    </row>
    <row r="20719" spans="43:43" x14ac:dyDescent="0.2">
      <c r="AQ20719" s="31"/>
    </row>
    <row r="20720" spans="43:43" x14ac:dyDescent="0.2">
      <c r="AQ20720" s="31"/>
    </row>
    <row r="20721" spans="43:43" x14ac:dyDescent="0.2">
      <c r="AQ20721" s="31"/>
    </row>
    <row r="20722" spans="43:43" x14ac:dyDescent="0.2">
      <c r="AQ20722" s="31"/>
    </row>
    <row r="20723" spans="43:43" x14ac:dyDescent="0.2">
      <c r="AQ20723" s="31"/>
    </row>
    <row r="20724" spans="43:43" x14ac:dyDescent="0.2">
      <c r="AQ20724" s="31"/>
    </row>
    <row r="20725" spans="43:43" x14ac:dyDescent="0.2">
      <c r="AQ20725" s="31"/>
    </row>
    <row r="20726" spans="43:43" x14ac:dyDescent="0.2">
      <c r="AQ20726" s="31"/>
    </row>
    <row r="20727" spans="43:43" x14ac:dyDescent="0.2">
      <c r="AQ20727" s="31"/>
    </row>
    <row r="20728" spans="43:43" x14ac:dyDescent="0.2">
      <c r="AQ20728" s="31"/>
    </row>
    <row r="20729" spans="43:43" x14ac:dyDescent="0.2">
      <c r="AQ20729" s="31"/>
    </row>
    <row r="20730" spans="43:43" x14ac:dyDescent="0.2">
      <c r="AQ20730" s="31"/>
    </row>
    <row r="20731" spans="43:43" x14ac:dyDescent="0.2">
      <c r="AQ20731" s="31"/>
    </row>
    <row r="20732" spans="43:43" x14ac:dyDescent="0.2">
      <c r="AQ20732" s="31"/>
    </row>
    <row r="20733" spans="43:43" x14ac:dyDescent="0.2">
      <c r="AQ20733" s="31"/>
    </row>
    <row r="20734" spans="43:43" x14ac:dyDescent="0.2">
      <c r="AQ20734" s="31"/>
    </row>
    <row r="20735" spans="43:43" x14ac:dyDescent="0.2">
      <c r="AQ20735" s="31"/>
    </row>
    <row r="20736" spans="43:43" x14ac:dyDescent="0.2">
      <c r="AQ20736" s="31"/>
    </row>
    <row r="20737" spans="43:43" x14ac:dyDescent="0.2">
      <c r="AQ20737" s="31"/>
    </row>
    <row r="20738" spans="43:43" x14ac:dyDescent="0.2">
      <c r="AQ20738" s="31"/>
    </row>
    <row r="20739" spans="43:43" x14ac:dyDescent="0.2">
      <c r="AQ20739" s="31"/>
    </row>
    <row r="20740" spans="43:43" x14ac:dyDescent="0.2">
      <c r="AQ20740" s="31"/>
    </row>
    <row r="20741" spans="43:43" x14ac:dyDescent="0.2">
      <c r="AQ20741" s="31"/>
    </row>
    <row r="20742" spans="43:43" x14ac:dyDescent="0.2">
      <c r="AQ20742" s="31"/>
    </row>
    <row r="20743" spans="43:43" x14ac:dyDescent="0.2">
      <c r="AQ20743" s="31"/>
    </row>
    <row r="20744" spans="43:43" x14ac:dyDescent="0.2">
      <c r="AQ20744" s="31"/>
    </row>
    <row r="20745" spans="43:43" x14ac:dyDescent="0.2">
      <c r="AQ20745" s="31"/>
    </row>
    <row r="20746" spans="43:43" x14ac:dyDescent="0.2">
      <c r="AQ20746" s="31"/>
    </row>
    <row r="20747" spans="43:43" x14ac:dyDescent="0.2">
      <c r="AQ20747" s="31"/>
    </row>
    <row r="20748" spans="43:43" x14ac:dyDescent="0.2">
      <c r="AQ20748" s="31"/>
    </row>
    <row r="20749" spans="43:43" x14ac:dyDescent="0.2">
      <c r="AQ20749" s="31"/>
    </row>
    <row r="20750" spans="43:43" x14ac:dyDescent="0.2">
      <c r="AQ20750" s="31"/>
    </row>
    <row r="20751" spans="43:43" x14ac:dyDescent="0.2">
      <c r="AQ20751" s="31"/>
    </row>
    <row r="20752" spans="43:43" x14ac:dyDescent="0.2">
      <c r="AQ20752" s="31"/>
    </row>
    <row r="20753" spans="43:43" x14ac:dyDescent="0.2">
      <c r="AQ20753" s="31"/>
    </row>
    <row r="20754" spans="43:43" x14ac:dyDescent="0.2">
      <c r="AQ20754" s="31"/>
    </row>
    <row r="20755" spans="43:43" x14ac:dyDescent="0.2">
      <c r="AQ20755" s="31"/>
    </row>
    <row r="20756" spans="43:43" x14ac:dyDescent="0.2">
      <c r="AQ20756" s="31"/>
    </row>
    <row r="20757" spans="43:43" x14ac:dyDescent="0.2">
      <c r="AQ20757" s="31"/>
    </row>
    <row r="20758" spans="43:43" x14ac:dyDescent="0.2">
      <c r="AQ20758" s="31"/>
    </row>
    <row r="20759" spans="43:43" x14ac:dyDescent="0.2">
      <c r="AQ20759" s="31"/>
    </row>
    <row r="20760" spans="43:43" x14ac:dyDescent="0.2">
      <c r="AQ20760" s="31"/>
    </row>
    <row r="20761" spans="43:43" x14ac:dyDescent="0.2">
      <c r="AQ20761" s="31"/>
    </row>
    <row r="20762" spans="43:43" x14ac:dyDescent="0.2">
      <c r="AQ20762" s="31"/>
    </row>
    <row r="20763" spans="43:43" x14ac:dyDescent="0.2">
      <c r="AQ20763" s="31"/>
    </row>
    <row r="20764" spans="43:43" x14ac:dyDescent="0.2">
      <c r="AQ20764" s="31"/>
    </row>
    <row r="20765" spans="43:43" x14ac:dyDescent="0.2">
      <c r="AQ20765" s="31"/>
    </row>
    <row r="20766" spans="43:43" x14ac:dyDescent="0.2">
      <c r="AQ20766" s="31"/>
    </row>
    <row r="20767" spans="43:43" x14ac:dyDescent="0.2">
      <c r="AQ20767" s="31"/>
    </row>
    <row r="20768" spans="43:43" x14ac:dyDescent="0.2">
      <c r="AQ20768" s="31"/>
    </row>
    <row r="20769" spans="43:43" x14ac:dyDescent="0.2">
      <c r="AQ20769" s="31"/>
    </row>
    <row r="20770" spans="43:43" x14ac:dyDescent="0.2">
      <c r="AQ20770" s="31"/>
    </row>
    <row r="20771" spans="43:43" x14ac:dyDescent="0.2">
      <c r="AQ20771" s="31"/>
    </row>
    <row r="20772" spans="43:43" x14ac:dyDescent="0.2">
      <c r="AQ20772" s="31"/>
    </row>
    <row r="20773" spans="43:43" x14ac:dyDescent="0.2">
      <c r="AQ20773" s="31"/>
    </row>
    <row r="20774" spans="43:43" x14ac:dyDescent="0.2">
      <c r="AQ20774" s="31"/>
    </row>
    <row r="20775" spans="43:43" x14ac:dyDescent="0.2">
      <c r="AQ20775" s="31"/>
    </row>
    <row r="20776" spans="43:43" x14ac:dyDescent="0.2">
      <c r="AQ20776" s="31"/>
    </row>
    <row r="20777" spans="43:43" x14ac:dyDescent="0.2">
      <c r="AQ20777" s="31"/>
    </row>
    <row r="20778" spans="43:43" x14ac:dyDescent="0.2">
      <c r="AQ20778" s="31"/>
    </row>
    <row r="20779" spans="43:43" x14ac:dyDescent="0.2">
      <c r="AQ20779" s="31"/>
    </row>
    <row r="20780" spans="43:43" x14ac:dyDescent="0.2">
      <c r="AQ20780" s="31"/>
    </row>
    <row r="20781" spans="43:43" x14ac:dyDescent="0.2">
      <c r="AQ20781" s="31"/>
    </row>
    <row r="20782" spans="43:43" x14ac:dyDescent="0.2">
      <c r="AQ20782" s="31"/>
    </row>
    <row r="20783" spans="43:43" x14ac:dyDescent="0.2">
      <c r="AQ20783" s="31"/>
    </row>
    <row r="20784" spans="43:43" x14ac:dyDescent="0.2">
      <c r="AQ20784" s="31"/>
    </row>
    <row r="20785" spans="43:43" x14ac:dyDescent="0.2">
      <c r="AQ20785" s="31"/>
    </row>
    <row r="20786" spans="43:43" x14ac:dyDescent="0.2">
      <c r="AQ20786" s="31"/>
    </row>
    <row r="20787" spans="43:43" x14ac:dyDescent="0.2">
      <c r="AQ20787" s="31"/>
    </row>
    <row r="20788" spans="43:43" x14ac:dyDescent="0.2">
      <c r="AQ20788" s="31"/>
    </row>
    <row r="20789" spans="43:43" x14ac:dyDescent="0.2">
      <c r="AQ20789" s="31"/>
    </row>
    <row r="20790" spans="43:43" x14ac:dyDescent="0.2">
      <c r="AQ20790" s="31"/>
    </row>
    <row r="20791" spans="43:43" x14ac:dyDescent="0.2">
      <c r="AQ20791" s="31"/>
    </row>
    <row r="20792" spans="43:43" x14ac:dyDescent="0.2">
      <c r="AQ20792" s="31"/>
    </row>
    <row r="20793" spans="43:43" x14ac:dyDescent="0.2">
      <c r="AQ20793" s="31"/>
    </row>
    <row r="20794" spans="43:43" x14ac:dyDescent="0.2">
      <c r="AQ20794" s="31"/>
    </row>
    <row r="20795" spans="43:43" x14ac:dyDescent="0.2">
      <c r="AQ20795" s="31"/>
    </row>
    <row r="20796" spans="43:43" x14ac:dyDescent="0.2">
      <c r="AQ20796" s="31"/>
    </row>
    <row r="20797" spans="43:43" x14ac:dyDescent="0.2">
      <c r="AQ20797" s="31"/>
    </row>
    <row r="20798" spans="43:43" x14ac:dyDescent="0.2">
      <c r="AQ20798" s="31"/>
    </row>
    <row r="20799" spans="43:43" x14ac:dyDescent="0.2">
      <c r="AQ20799" s="31"/>
    </row>
    <row r="20800" spans="43:43" x14ac:dyDescent="0.2">
      <c r="AQ20800" s="31"/>
    </row>
    <row r="20801" spans="43:43" x14ac:dyDescent="0.2">
      <c r="AQ20801" s="31"/>
    </row>
    <row r="20802" spans="43:43" x14ac:dyDescent="0.2">
      <c r="AQ20802" s="31"/>
    </row>
    <row r="20803" spans="43:43" x14ac:dyDescent="0.2">
      <c r="AQ20803" s="31"/>
    </row>
    <row r="20804" spans="43:43" x14ac:dyDescent="0.2">
      <c r="AQ20804" s="31"/>
    </row>
    <row r="20805" spans="43:43" x14ac:dyDescent="0.2">
      <c r="AQ20805" s="31"/>
    </row>
    <row r="20806" spans="43:43" x14ac:dyDescent="0.2">
      <c r="AQ20806" s="31"/>
    </row>
    <row r="20807" spans="43:43" x14ac:dyDescent="0.2">
      <c r="AQ20807" s="31"/>
    </row>
    <row r="20808" spans="43:43" x14ac:dyDescent="0.2">
      <c r="AQ20808" s="31"/>
    </row>
    <row r="20809" spans="43:43" x14ac:dyDescent="0.2">
      <c r="AQ20809" s="31"/>
    </row>
    <row r="20810" spans="43:43" x14ac:dyDescent="0.2">
      <c r="AQ20810" s="31"/>
    </row>
    <row r="20811" spans="43:43" x14ac:dyDescent="0.2">
      <c r="AQ20811" s="31"/>
    </row>
    <row r="20812" spans="43:43" x14ac:dyDescent="0.2">
      <c r="AQ20812" s="31"/>
    </row>
    <row r="20813" spans="43:43" x14ac:dyDescent="0.2">
      <c r="AQ20813" s="31"/>
    </row>
    <row r="20814" spans="43:43" x14ac:dyDescent="0.2">
      <c r="AQ20814" s="31"/>
    </row>
    <row r="20815" spans="43:43" x14ac:dyDescent="0.2">
      <c r="AQ20815" s="31"/>
    </row>
    <row r="20816" spans="43:43" x14ac:dyDescent="0.2">
      <c r="AQ20816" s="31"/>
    </row>
    <row r="20817" spans="43:43" x14ac:dyDescent="0.2">
      <c r="AQ20817" s="31"/>
    </row>
    <row r="20818" spans="43:43" x14ac:dyDescent="0.2">
      <c r="AQ20818" s="31"/>
    </row>
    <row r="20819" spans="43:43" x14ac:dyDescent="0.2">
      <c r="AQ20819" s="31"/>
    </row>
    <row r="20820" spans="43:43" x14ac:dyDescent="0.2">
      <c r="AQ20820" s="31"/>
    </row>
    <row r="20821" spans="43:43" x14ac:dyDescent="0.2">
      <c r="AQ20821" s="31"/>
    </row>
    <row r="20822" spans="43:43" x14ac:dyDescent="0.2">
      <c r="AQ20822" s="31"/>
    </row>
    <row r="20823" spans="43:43" x14ac:dyDescent="0.2">
      <c r="AQ20823" s="31"/>
    </row>
    <row r="20824" spans="43:43" x14ac:dyDescent="0.2">
      <c r="AQ20824" s="31"/>
    </row>
    <row r="20825" spans="43:43" x14ac:dyDescent="0.2">
      <c r="AQ20825" s="31"/>
    </row>
    <row r="20826" spans="43:43" x14ac:dyDescent="0.2">
      <c r="AQ20826" s="31"/>
    </row>
    <row r="20827" spans="43:43" x14ac:dyDescent="0.2">
      <c r="AQ20827" s="31"/>
    </row>
    <row r="20828" spans="43:43" x14ac:dyDescent="0.2">
      <c r="AQ20828" s="31"/>
    </row>
    <row r="20829" spans="43:43" x14ac:dyDescent="0.2">
      <c r="AQ20829" s="31"/>
    </row>
    <row r="20830" spans="43:43" x14ac:dyDescent="0.2">
      <c r="AQ20830" s="31"/>
    </row>
    <row r="20831" spans="43:43" x14ac:dyDescent="0.2">
      <c r="AQ20831" s="31"/>
    </row>
    <row r="20832" spans="43:43" x14ac:dyDescent="0.2">
      <c r="AQ20832" s="31"/>
    </row>
    <row r="20833" spans="43:43" x14ac:dyDescent="0.2">
      <c r="AQ20833" s="31"/>
    </row>
    <row r="20834" spans="43:43" x14ac:dyDescent="0.2">
      <c r="AQ20834" s="31"/>
    </row>
    <row r="20835" spans="43:43" x14ac:dyDescent="0.2">
      <c r="AQ20835" s="31"/>
    </row>
    <row r="20836" spans="43:43" x14ac:dyDescent="0.2">
      <c r="AQ20836" s="31"/>
    </row>
    <row r="20837" spans="43:43" x14ac:dyDescent="0.2">
      <c r="AQ20837" s="31"/>
    </row>
    <row r="20838" spans="43:43" x14ac:dyDescent="0.2">
      <c r="AQ20838" s="31"/>
    </row>
    <row r="20839" spans="43:43" x14ac:dyDescent="0.2">
      <c r="AQ20839" s="31"/>
    </row>
    <row r="20840" spans="43:43" x14ac:dyDescent="0.2">
      <c r="AQ20840" s="31"/>
    </row>
    <row r="20841" spans="43:43" x14ac:dyDescent="0.2">
      <c r="AQ20841" s="31"/>
    </row>
    <row r="20842" spans="43:43" x14ac:dyDescent="0.2">
      <c r="AQ20842" s="31"/>
    </row>
    <row r="20843" spans="43:43" x14ac:dyDescent="0.2">
      <c r="AQ20843" s="31"/>
    </row>
    <row r="20844" spans="43:43" x14ac:dyDescent="0.2">
      <c r="AQ20844" s="31"/>
    </row>
    <row r="20845" spans="43:43" x14ac:dyDescent="0.2">
      <c r="AQ20845" s="31"/>
    </row>
    <row r="20846" spans="43:43" x14ac:dyDescent="0.2">
      <c r="AQ20846" s="31"/>
    </row>
    <row r="20847" spans="43:43" x14ac:dyDescent="0.2">
      <c r="AQ20847" s="31"/>
    </row>
    <row r="20848" spans="43:43" x14ac:dyDescent="0.2">
      <c r="AQ20848" s="31"/>
    </row>
    <row r="20849" spans="43:43" x14ac:dyDescent="0.2">
      <c r="AQ20849" s="31"/>
    </row>
    <row r="20850" spans="43:43" x14ac:dyDescent="0.2">
      <c r="AQ20850" s="31"/>
    </row>
    <row r="20851" spans="43:43" x14ac:dyDescent="0.2">
      <c r="AQ20851" s="31"/>
    </row>
    <row r="20852" spans="43:43" x14ac:dyDescent="0.2">
      <c r="AQ20852" s="31"/>
    </row>
    <row r="20853" spans="43:43" x14ac:dyDescent="0.2">
      <c r="AQ20853" s="31"/>
    </row>
    <row r="20854" spans="43:43" x14ac:dyDescent="0.2">
      <c r="AQ20854" s="31"/>
    </row>
    <row r="20855" spans="43:43" x14ac:dyDescent="0.2">
      <c r="AQ20855" s="31"/>
    </row>
    <row r="20856" spans="43:43" x14ac:dyDescent="0.2">
      <c r="AQ20856" s="31"/>
    </row>
    <row r="20857" spans="43:43" x14ac:dyDescent="0.2">
      <c r="AQ20857" s="31"/>
    </row>
    <row r="20858" spans="43:43" x14ac:dyDescent="0.2">
      <c r="AQ20858" s="31"/>
    </row>
    <row r="20859" spans="43:43" x14ac:dyDescent="0.2">
      <c r="AQ20859" s="31"/>
    </row>
    <row r="20860" spans="43:43" x14ac:dyDescent="0.2">
      <c r="AQ20860" s="31"/>
    </row>
    <row r="20861" spans="43:43" x14ac:dyDescent="0.2">
      <c r="AQ20861" s="31"/>
    </row>
    <row r="20862" spans="43:43" x14ac:dyDescent="0.2">
      <c r="AQ20862" s="31"/>
    </row>
    <row r="20863" spans="43:43" x14ac:dyDescent="0.2">
      <c r="AQ20863" s="31"/>
    </row>
    <row r="20864" spans="43:43" x14ac:dyDescent="0.2">
      <c r="AQ20864" s="31"/>
    </row>
    <row r="20865" spans="43:43" x14ac:dyDescent="0.2">
      <c r="AQ20865" s="31"/>
    </row>
    <row r="20866" spans="43:43" x14ac:dyDescent="0.2">
      <c r="AQ20866" s="31"/>
    </row>
    <row r="20867" spans="43:43" x14ac:dyDescent="0.2">
      <c r="AQ20867" s="31"/>
    </row>
    <row r="20868" spans="43:43" x14ac:dyDescent="0.2">
      <c r="AQ20868" s="31"/>
    </row>
    <row r="20869" spans="43:43" x14ac:dyDescent="0.2">
      <c r="AQ20869" s="31"/>
    </row>
    <row r="20870" spans="43:43" x14ac:dyDescent="0.2">
      <c r="AQ20870" s="31"/>
    </row>
    <row r="20871" spans="43:43" x14ac:dyDescent="0.2">
      <c r="AQ20871" s="31"/>
    </row>
    <row r="20872" spans="43:43" x14ac:dyDescent="0.2">
      <c r="AQ20872" s="31"/>
    </row>
    <row r="20873" spans="43:43" x14ac:dyDescent="0.2">
      <c r="AQ20873" s="31"/>
    </row>
    <row r="20874" spans="43:43" x14ac:dyDescent="0.2">
      <c r="AQ20874" s="31"/>
    </row>
    <row r="20875" spans="43:43" x14ac:dyDescent="0.2">
      <c r="AQ20875" s="31"/>
    </row>
    <row r="20876" spans="43:43" x14ac:dyDescent="0.2">
      <c r="AQ20876" s="31"/>
    </row>
    <row r="20877" spans="43:43" x14ac:dyDescent="0.2">
      <c r="AQ20877" s="31"/>
    </row>
    <row r="20878" spans="43:43" x14ac:dyDescent="0.2">
      <c r="AQ20878" s="31"/>
    </row>
    <row r="20879" spans="43:43" x14ac:dyDescent="0.2">
      <c r="AQ20879" s="31"/>
    </row>
    <row r="20880" spans="43:43" x14ac:dyDescent="0.2">
      <c r="AQ20880" s="31"/>
    </row>
    <row r="20881" spans="43:43" x14ac:dyDescent="0.2">
      <c r="AQ20881" s="31"/>
    </row>
    <row r="20882" spans="43:43" x14ac:dyDescent="0.2">
      <c r="AQ20882" s="31"/>
    </row>
    <row r="20883" spans="43:43" x14ac:dyDescent="0.2">
      <c r="AQ20883" s="31"/>
    </row>
    <row r="20884" spans="43:43" x14ac:dyDescent="0.2">
      <c r="AQ20884" s="31"/>
    </row>
    <row r="20885" spans="43:43" x14ac:dyDescent="0.2">
      <c r="AQ20885" s="31"/>
    </row>
    <row r="20886" spans="43:43" x14ac:dyDescent="0.2">
      <c r="AQ20886" s="31"/>
    </row>
    <row r="20887" spans="43:43" x14ac:dyDescent="0.2">
      <c r="AQ20887" s="31"/>
    </row>
    <row r="20888" spans="43:43" x14ac:dyDescent="0.2">
      <c r="AQ20888" s="31"/>
    </row>
    <row r="20889" spans="43:43" x14ac:dyDescent="0.2">
      <c r="AQ20889" s="31"/>
    </row>
    <row r="20890" spans="43:43" x14ac:dyDescent="0.2">
      <c r="AQ20890" s="31"/>
    </row>
    <row r="20891" spans="43:43" x14ac:dyDescent="0.2">
      <c r="AQ20891" s="31"/>
    </row>
    <row r="20892" spans="43:43" x14ac:dyDescent="0.2">
      <c r="AQ20892" s="31"/>
    </row>
    <row r="20893" spans="43:43" x14ac:dyDescent="0.2">
      <c r="AQ20893" s="31"/>
    </row>
    <row r="20894" spans="43:43" x14ac:dyDescent="0.2">
      <c r="AQ20894" s="31"/>
    </row>
    <row r="20895" spans="43:43" x14ac:dyDescent="0.2">
      <c r="AQ20895" s="31"/>
    </row>
    <row r="20896" spans="43:43" x14ac:dyDescent="0.2">
      <c r="AQ20896" s="31"/>
    </row>
    <row r="20897" spans="43:43" x14ac:dyDescent="0.2">
      <c r="AQ20897" s="31"/>
    </row>
    <row r="20898" spans="43:43" x14ac:dyDescent="0.2">
      <c r="AQ20898" s="31"/>
    </row>
    <row r="20899" spans="43:43" x14ac:dyDescent="0.2">
      <c r="AQ20899" s="31"/>
    </row>
    <row r="20900" spans="43:43" x14ac:dyDescent="0.2">
      <c r="AQ20900" s="31"/>
    </row>
    <row r="20901" spans="43:43" x14ac:dyDescent="0.2">
      <c r="AQ20901" s="31"/>
    </row>
    <row r="20902" spans="43:43" x14ac:dyDescent="0.2">
      <c r="AQ20902" s="31"/>
    </row>
    <row r="20903" spans="43:43" x14ac:dyDescent="0.2">
      <c r="AQ20903" s="31"/>
    </row>
    <row r="20904" spans="43:43" x14ac:dyDescent="0.2">
      <c r="AQ20904" s="31"/>
    </row>
    <row r="20905" spans="43:43" x14ac:dyDescent="0.2">
      <c r="AQ20905" s="31"/>
    </row>
    <row r="20906" spans="43:43" x14ac:dyDescent="0.2">
      <c r="AQ20906" s="31"/>
    </row>
    <row r="20907" spans="43:43" x14ac:dyDescent="0.2">
      <c r="AQ20907" s="31"/>
    </row>
    <row r="20908" spans="43:43" x14ac:dyDescent="0.2">
      <c r="AQ20908" s="31"/>
    </row>
    <row r="20909" spans="43:43" x14ac:dyDescent="0.2">
      <c r="AQ20909" s="31"/>
    </row>
    <row r="20910" spans="43:43" x14ac:dyDescent="0.2">
      <c r="AQ20910" s="31"/>
    </row>
    <row r="20911" spans="43:43" x14ac:dyDescent="0.2">
      <c r="AQ20911" s="31"/>
    </row>
    <row r="20912" spans="43:43" x14ac:dyDescent="0.2">
      <c r="AQ20912" s="31"/>
    </row>
    <row r="20913" spans="43:43" x14ac:dyDescent="0.2">
      <c r="AQ20913" s="31"/>
    </row>
    <row r="20914" spans="43:43" x14ac:dyDescent="0.2">
      <c r="AQ20914" s="31"/>
    </row>
    <row r="20915" spans="43:43" x14ac:dyDescent="0.2">
      <c r="AQ20915" s="31"/>
    </row>
    <row r="20916" spans="43:43" x14ac:dyDescent="0.2">
      <c r="AQ20916" s="31"/>
    </row>
    <row r="20917" spans="43:43" x14ac:dyDescent="0.2">
      <c r="AQ20917" s="31"/>
    </row>
    <row r="20918" spans="43:43" x14ac:dyDescent="0.2">
      <c r="AQ20918" s="31"/>
    </row>
    <row r="20919" spans="43:43" x14ac:dyDescent="0.2">
      <c r="AQ20919" s="31"/>
    </row>
    <row r="20920" spans="43:43" x14ac:dyDescent="0.2">
      <c r="AQ20920" s="31"/>
    </row>
    <row r="20921" spans="43:43" x14ac:dyDescent="0.2">
      <c r="AQ20921" s="31"/>
    </row>
    <row r="20922" spans="43:43" x14ac:dyDescent="0.2">
      <c r="AQ20922" s="31"/>
    </row>
    <row r="20923" spans="43:43" x14ac:dyDescent="0.2">
      <c r="AQ20923" s="31"/>
    </row>
    <row r="20924" spans="43:43" x14ac:dyDescent="0.2">
      <c r="AQ20924" s="31"/>
    </row>
    <row r="20925" spans="43:43" x14ac:dyDescent="0.2">
      <c r="AQ20925" s="31"/>
    </row>
    <row r="20926" spans="43:43" x14ac:dyDescent="0.2">
      <c r="AQ20926" s="31"/>
    </row>
    <row r="20927" spans="43:43" x14ac:dyDescent="0.2">
      <c r="AQ20927" s="31"/>
    </row>
    <row r="20928" spans="43:43" x14ac:dyDescent="0.2">
      <c r="AQ20928" s="31"/>
    </row>
    <row r="20929" spans="43:43" x14ac:dyDescent="0.2">
      <c r="AQ20929" s="31"/>
    </row>
    <row r="20930" spans="43:43" x14ac:dyDescent="0.2">
      <c r="AQ20930" s="31"/>
    </row>
    <row r="20931" spans="43:43" x14ac:dyDescent="0.2">
      <c r="AQ20931" s="31"/>
    </row>
    <row r="20932" spans="43:43" x14ac:dyDescent="0.2">
      <c r="AQ20932" s="31"/>
    </row>
    <row r="20933" spans="43:43" x14ac:dyDescent="0.2">
      <c r="AQ20933" s="31"/>
    </row>
    <row r="20934" spans="43:43" x14ac:dyDescent="0.2">
      <c r="AQ20934" s="31"/>
    </row>
    <row r="20935" spans="43:43" x14ac:dyDescent="0.2">
      <c r="AQ20935" s="31"/>
    </row>
    <row r="20936" spans="43:43" x14ac:dyDescent="0.2">
      <c r="AQ20936" s="31"/>
    </row>
    <row r="20937" spans="43:43" x14ac:dyDescent="0.2">
      <c r="AQ20937" s="31"/>
    </row>
    <row r="20938" spans="43:43" x14ac:dyDescent="0.2">
      <c r="AQ20938" s="31"/>
    </row>
    <row r="20939" spans="43:43" x14ac:dyDescent="0.2">
      <c r="AQ20939" s="31"/>
    </row>
    <row r="20940" spans="43:43" x14ac:dyDescent="0.2">
      <c r="AQ20940" s="31"/>
    </row>
    <row r="20941" spans="43:43" x14ac:dyDescent="0.2">
      <c r="AQ20941" s="31"/>
    </row>
    <row r="20942" spans="43:43" x14ac:dyDescent="0.2">
      <c r="AQ20942" s="31"/>
    </row>
    <row r="20943" spans="43:43" x14ac:dyDescent="0.2">
      <c r="AQ20943" s="31"/>
    </row>
    <row r="20944" spans="43:43" x14ac:dyDescent="0.2">
      <c r="AQ20944" s="31"/>
    </row>
    <row r="20945" spans="43:43" x14ac:dyDescent="0.2">
      <c r="AQ20945" s="31"/>
    </row>
    <row r="20946" spans="43:43" x14ac:dyDescent="0.2">
      <c r="AQ20946" s="31"/>
    </row>
    <row r="20947" spans="43:43" x14ac:dyDescent="0.2">
      <c r="AQ20947" s="31"/>
    </row>
    <row r="20948" spans="43:43" x14ac:dyDescent="0.2">
      <c r="AQ20948" s="31"/>
    </row>
    <row r="20949" spans="43:43" x14ac:dyDescent="0.2">
      <c r="AQ20949" s="31"/>
    </row>
    <row r="20950" spans="43:43" x14ac:dyDescent="0.2">
      <c r="AQ20950" s="31"/>
    </row>
    <row r="20951" spans="43:43" x14ac:dyDescent="0.2">
      <c r="AQ20951" s="31"/>
    </row>
    <row r="20952" spans="43:43" x14ac:dyDescent="0.2">
      <c r="AQ20952" s="31"/>
    </row>
    <row r="20953" spans="43:43" x14ac:dyDescent="0.2">
      <c r="AQ20953" s="31"/>
    </row>
    <row r="20954" spans="43:43" x14ac:dyDescent="0.2">
      <c r="AQ20954" s="31"/>
    </row>
    <row r="20955" spans="43:43" x14ac:dyDescent="0.2">
      <c r="AQ20955" s="31"/>
    </row>
    <row r="20956" spans="43:43" x14ac:dyDescent="0.2">
      <c r="AQ20956" s="31"/>
    </row>
    <row r="20957" spans="43:43" x14ac:dyDescent="0.2">
      <c r="AQ20957" s="31"/>
    </row>
    <row r="20958" spans="43:43" x14ac:dyDescent="0.2">
      <c r="AQ20958" s="31"/>
    </row>
    <row r="20959" spans="43:43" x14ac:dyDescent="0.2">
      <c r="AQ20959" s="31"/>
    </row>
    <row r="20960" spans="43:43" x14ac:dyDescent="0.2">
      <c r="AQ20960" s="31"/>
    </row>
    <row r="20961" spans="43:43" x14ac:dyDescent="0.2">
      <c r="AQ20961" s="31"/>
    </row>
    <row r="20962" spans="43:43" x14ac:dyDescent="0.2">
      <c r="AQ20962" s="31"/>
    </row>
    <row r="20963" spans="43:43" x14ac:dyDescent="0.2">
      <c r="AQ20963" s="31"/>
    </row>
    <row r="20964" spans="43:43" x14ac:dyDescent="0.2">
      <c r="AQ20964" s="31"/>
    </row>
    <row r="20965" spans="43:43" x14ac:dyDescent="0.2">
      <c r="AQ20965" s="31"/>
    </row>
    <row r="20966" spans="43:43" x14ac:dyDescent="0.2">
      <c r="AQ20966" s="31"/>
    </row>
    <row r="20967" spans="43:43" x14ac:dyDescent="0.2">
      <c r="AQ20967" s="31"/>
    </row>
    <row r="20968" spans="43:43" x14ac:dyDescent="0.2">
      <c r="AQ20968" s="31"/>
    </row>
    <row r="20969" spans="43:43" x14ac:dyDescent="0.2">
      <c r="AQ20969" s="31"/>
    </row>
    <row r="20970" spans="43:43" x14ac:dyDescent="0.2">
      <c r="AQ20970" s="31"/>
    </row>
    <row r="20971" spans="43:43" x14ac:dyDescent="0.2">
      <c r="AQ20971" s="31"/>
    </row>
    <row r="20972" spans="43:43" x14ac:dyDescent="0.2">
      <c r="AQ20972" s="31"/>
    </row>
    <row r="20973" spans="43:43" x14ac:dyDescent="0.2">
      <c r="AQ20973" s="31"/>
    </row>
    <row r="20974" spans="43:43" x14ac:dyDescent="0.2">
      <c r="AQ20974" s="31"/>
    </row>
    <row r="20975" spans="43:43" x14ac:dyDescent="0.2">
      <c r="AQ20975" s="31"/>
    </row>
    <row r="20976" spans="43:43" x14ac:dyDescent="0.2">
      <c r="AQ20976" s="31"/>
    </row>
    <row r="20977" spans="43:43" x14ac:dyDescent="0.2">
      <c r="AQ20977" s="31"/>
    </row>
    <row r="20978" spans="43:43" x14ac:dyDescent="0.2">
      <c r="AQ20978" s="31"/>
    </row>
    <row r="20979" spans="43:43" x14ac:dyDescent="0.2">
      <c r="AQ20979" s="31"/>
    </row>
    <row r="20980" spans="43:43" x14ac:dyDescent="0.2">
      <c r="AQ20980" s="31"/>
    </row>
    <row r="20981" spans="43:43" x14ac:dyDescent="0.2">
      <c r="AQ20981" s="31"/>
    </row>
    <row r="20982" spans="43:43" x14ac:dyDescent="0.2">
      <c r="AQ20982" s="31"/>
    </row>
    <row r="20983" spans="43:43" x14ac:dyDescent="0.2">
      <c r="AQ20983" s="31"/>
    </row>
    <row r="20984" spans="43:43" x14ac:dyDescent="0.2">
      <c r="AQ20984" s="31"/>
    </row>
    <row r="20985" spans="43:43" x14ac:dyDescent="0.2">
      <c r="AQ20985" s="31"/>
    </row>
    <row r="20986" spans="43:43" x14ac:dyDescent="0.2">
      <c r="AQ20986" s="31"/>
    </row>
    <row r="20987" spans="43:43" x14ac:dyDescent="0.2">
      <c r="AQ20987" s="31"/>
    </row>
    <row r="20988" spans="43:43" x14ac:dyDescent="0.2">
      <c r="AQ20988" s="31"/>
    </row>
    <row r="20989" spans="43:43" x14ac:dyDescent="0.2">
      <c r="AQ20989" s="31"/>
    </row>
    <row r="20990" spans="43:43" x14ac:dyDescent="0.2">
      <c r="AQ20990" s="31"/>
    </row>
    <row r="20991" spans="43:43" x14ac:dyDescent="0.2">
      <c r="AQ20991" s="31"/>
    </row>
    <row r="20992" spans="43:43" x14ac:dyDescent="0.2">
      <c r="AQ20992" s="31"/>
    </row>
    <row r="20993" spans="43:43" x14ac:dyDescent="0.2">
      <c r="AQ20993" s="31"/>
    </row>
    <row r="20994" spans="43:43" x14ac:dyDescent="0.2">
      <c r="AQ20994" s="31"/>
    </row>
    <row r="20995" spans="43:43" x14ac:dyDescent="0.2">
      <c r="AQ20995" s="31"/>
    </row>
    <row r="20996" spans="43:43" x14ac:dyDescent="0.2">
      <c r="AQ20996" s="31"/>
    </row>
    <row r="20997" spans="43:43" x14ac:dyDescent="0.2">
      <c r="AQ20997" s="31"/>
    </row>
    <row r="20998" spans="43:43" x14ac:dyDescent="0.2">
      <c r="AQ20998" s="31"/>
    </row>
    <row r="20999" spans="43:43" x14ac:dyDescent="0.2">
      <c r="AQ20999" s="31"/>
    </row>
    <row r="21000" spans="43:43" x14ac:dyDescent="0.2">
      <c r="AQ21000" s="31"/>
    </row>
    <row r="21001" spans="43:43" x14ac:dyDescent="0.2">
      <c r="AQ21001" s="31"/>
    </row>
    <row r="21002" spans="43:43" x14ac:dyDescent="0.2">
      <c r="AQ21002" s="31"/>
    </row>
    <row r="21003" spans="43:43" x14ac:dyDescent="0.2">
      <c r="AQ21003" s="31"/>
    </row>
    <row r="21004" spans="43:43" x14ac:dyDescent="0.2">
      <c r="AQ21004" s="31"/>
    </row>
    <row r="21005" spans="43:43" x14ac:dyDescent="0.2">
      <c r="AQ21005" s="31"/>
    </row>
    <row r="21006" spans="43:43" x14ac:dyDescent="0.2">
      <c r="AQ21006" s="31"/>
    </row>
    <row r="21007" spans="43:43" x14ac:dyDescent="0.2">
      <c r="AQ21007" s="31"/>
    </row>
    <row r="21008" spans="43:43" x14ac:dyDescent="0.2">
      <c r="AQ21008" s="31"/>
    </row>
    <row r="21009" spans="43:43" x14ac:dyDescent="0.2">
      <c r="AQ21009" s="31"/>
    </row>
    <row r="21010" spans="43:43" x14ac:dyDescent="0.2">
      <c r="AQ21010" s="31"/>
    </row>
    <row r="21011" spans="43:43" x14ac:dyDescent="0.2">
      <c r="AQ21011" s="31"/>
    </row>
    <row r="21012" spans="43:43" x14ac:dyDescent="0.2">
      <c r="AQ21012" s="31"/>
    </row>
    <row r="21013" spans="43:43" x14ac:dyDescent="0.2">
      <c r="AQ21013" s="31"/>
    </row>
    <row r="21014" spans="43:43" x14ac:dyDescent="0.2">
      <c r="AQ21014" s="31"/>
    </row>
    <row r="21015" spans="43:43" x14ac:dyDescent="0.2">
      <c r="AQ21015" s="31"/>
    </row>
    <row r="21016" spans="43:43" x14ac:dyDescent="0.2">
      <c r="AQ21016" s="31"/>
    </row>
    <row r="21017" spans="43:43" x14ac:dyDescent="0.2">
      <c r="AQ21017" s="31"/>
    </row>
    <row r="21018" spans="43:43" x14ac:dyDescent="0.2">
      <c r="AQ21018" s="31"/>
    </row>
    <row r="21019" spans="43:43" x14ac:dyDescent="0.2">
      <c r="AQ21019" s="31"/>
    </row>
    <row r="21020" spans="43:43" x14ac:dyDescent="0.2">
      <c r="AQ21020" s="31"/>
    </row>
    <row r="21021" spans="43:43" x14ac:dyDescent="0.2">
      <c r="AQ21021" s="31"/>
    </row>
    <row r="21022" spans="43:43" x14ac:dyDescent="0.2">
      <c r="AQ21022" s="31"/>
    </row>
    <row r="21023" spans="43:43" x14ac:dyDescent="0.2">
      <c r="AQ21023" s="31"/>
    </row>
    <row r="21024" spans="43:43" x14ac:dyDescent="0.2">
      <c r="AQ21024" s="31"/>
    </row>
    <row r="21025" spans="43:43" x14ac:dyDescent="0.2">
      <c r="AQ21025" s="31"/>
    </row>
    <row r="21026" spans="43:43" x14ac:dyDescent="0.2">
      <c r="AQ21026" s="31"/>
    </row>
    <row r="21027" spans="43:43" x14ac:dyDescent="0.2">
      <c r="AQ21027" s="31"/>
    </row>
    <row r="21028" spans="43:43" x14ac:dyDescent="0.2">
      <c r="AQ21028" s="31"/>
    </row>
    <row r="21029" spans="43:43" x14ac:dyDescent="0.2">
      <c r="AQ21029" s="31"/>
    </row>
    <row r="21030" spans="43:43" x14ac:dyDescent="0.2">
      <c r="AQ21030" s="31"/>
    </row>
    <row r="21031" spans="43:43" x14ac:dyDescent="0.2">
      <c r="AQ21031" s="31"/>
    </row>
    <row r="21032" spans="43:43" x14ac:dyDescent="0.2">
      <c r="AQ21032" s="31"/>
    </row>
    <row r="21033" spans="43:43" x14ac:dyDescent="0.2">
      <c r="AQ21033" s="31"/>
    </row>
    <row r="21034" spans="43:43" x14ac:dyDescent="0.2">
      <c r="AQ21034" s="31"/>
    </row>
    <row r="21035" spans="43:43" x14ac:dyDescent="0.2">
      <c r="AQ21035" s="31"/>
    </row>
    <row r="21036" spans="43:43" x14ac:dyDescent="0.2">
      <c r="AQ21036" s="31"/>
    </row>
    <row r="21037" spans="43:43" x14ac:dyDescent="0.2">
      <c r="AQ21037" s="31"/>
    </row>
    <row r="21038" spans="43:43" x14ac:dyDescent="0.2">
      <c r="AQ21038" s="31"/>
    </row>
    <row r="21039" spans="43:43" x14ac:dyDescent="0.2">
      <c r="AQ21039" s="31"/>
    </row>
    <row r="21040" spans="43:43" x14ac:dyDescent="0.2">
      <c r="AQ21040" s="31"/>
    </row>
    <row r="21041" spans="43:43" x14ac:dyDescent="0.2">
      <c r="AQ21041" s="31"/>
    </row>
    <row r="21042" spans="43:43" x14ac:dyDescent="0.2">
      <c r="AQ21042" s="31"/>
    </row>
    <row r="21043" spans="43:43" x14ac:dyDescent="0.2">
      <c r="AQ21043" s="31"/>
    </row>
    <row r="21044" spans="43:43" x14ac:dyDescent="0.2">
      <c r="AQ21044" s="31"/>
    </row>
    <row r="21045" spans="43:43" x14ac:dyDescent="0.2">
      <c r="AQ21045" s="31"/>
    </row>
    <row r="21046" spans="43:43" x14ac:dyDescent="0.2">
      <c r="AQ21046" s="31"/>
    </row>
    <row r="21047" spans="43:43" x14ac:dyDescent="0.2">
      <c r="AQ21047" s="31"/>
    </row>
    <row r="21048" spans="43:43" x14ac:dyDescent="0.2">
      <c r="AQ21048" s="31"/>
    </row>
    <row r="21049" spans="43:43" x14ac:dyDescent="0.2">
      <c r="AQ21049" s="31"/>
    </row>
    <row r="21050" spans="43:43" x14ac:dyDescent="0.2">
      <c r="AQ21050" s="31"/>
    </row>
    <row r="21051" spans="43:43" x14ac:dyDescent="0.2">
      <c r="AQ21051" s="31"/>
    </row>
    <row r="21052" spans="43:43" x14ac:dyDescent="0.2">
      <c r="AQ21052" s="31"/>
    </row>
    <row r="21053" spans="43:43" x14ac:dyDescent="0.2">
      <c r="AQ21053" s="31"/>
    </row>
    <row r="21054" spans="43:43" x14ac:dyDescent="0.2">
      <c r="AQ21054" s="31"/>
    </row>
    <row r="21055" spans="43:43" x14ac:dyDescent="0.2">
      <c r="AQ21055" s="31"/>
    </row>
    <row r="21056" spans="43:43" x14ac:dyDescent="0.2">
      <c r="AQ21056" s="31"/>
    </row>
    <row r="21057" spans="43:43" x14ac:dyDescent="0.2">
      <c r="AQ21057" s="31"/>
    </row>
    <row r="21058" spans="43:43" x14ac:dyDescent="0.2">
      <c r="AQ21058" s="31"/>
    </row>
    <row r="21059" spans="43:43" x14ac:dyDescent="0.2">
      <c r="AQ21059" s="31"/>
    </row>
    <row r="21060" spans="43:43" x14ac:dyDescent="0.2">
      <c r="AQ21060" s="31"/>
    </row>
    <row r="21061" spans="43:43" x14ac:dyDescent="0.2">
      <c r="AQ21061" s="31"/>
    </row>
    <row r="21062" spans="43:43" x14ac:dyDescent="0.2">
      <c r="AQ21062" s="31"/>
    </row>
    <row r="21063" spans="43:43" x14ac:dyDescent="0.2">
      <c r="AQ21063" s="31"/>
    </row>
    <row r="21064" spans="43:43" x14ac:dyDescent="0.2">
      <c r="AQ21064" s="31"/>
    </row>
    <row r="21065" spans="43:43" x14ac:dyDescent="0.2">
      <c r="AQ21065" s="31"/>
    </row>
    <row r="21066" spans="43:43" x14ac:dyDescent="0.2">
      <c r="AQ21066" s="31"/>
    </row>
    <row r="21067" spans="43:43" x14ac:dyDescent="0.2">
      <c r="AQ21067" s="31"/>
    </row>
    <row r="21068" spans="43:43" x14ac:dyDescent="0.2">
      <c r="AQ21068" s="31"/>
    </row>
    <row r="21069" spans="43:43" x14ac:dyDescent="0.2">
      <c r="AQ21069" s="31"/>
    </row>
    <row r="21070" spans="43:43" x14ac:dyDescent="0.2">
      <c r="AQ21070" s="31"/>
    </row>
    <row r="21071" spans="43:43" x14ac:dyDescent="0.2">
      <c r="AQ21071" s="31"/>
    </row>
    <row r="21072" spans="43:43" x14ac:dyDescent="0.2">
      <c r="AQ21072" s="31"/>
    </row>
    <row r="21073" spans="43:43" x14ac:dyDescent="0.2">
      <c r="AQ21073" s="31"/>
    </row>
    <row r="21074" spans="43:43" x14ac:dyDescent="0.2">
      <c r="AQ21074" s="31"/>
    </row>
    <row r="21075" spans="43:43" x14ac:dyDescent="0.2">
      <c r="AQ21075" s="31"/>
    </row>
    <row r="21076" spans="43:43" x14ac:dyDescent="0.2">
      <c r="AQ21076" s="31"/>
    </row>
    <row r="21077" spans="43:43" x14ac:dyDescent="0.2">
      <c r="AQ21077" s="31"/>
    </row>
    <row r="21078" spans="43:43" x14ac:dyDescent="0.2">
      <c r="AQ21078" s="31"/>
    </row>
    <row r="21079" spans="43:43" x14ac:dyDescent="0.2">
      <c r="AQ21079" s="31"/>
    </row>
    <row r="21080" spans="43:43" x14ac:dyDescent="0.2">
      <c r="AQ21080" s="31"/>
    </row>
    <row r="21081" spans="43:43" x14ac:dyDescent="0.2">
      <c r="AQ21081" s="31"/>
    </row>
    <row r="21082" spans="43:43" x14ac:dyDescent="0.2">
      <c r="AQ21082" s="31"/>
    </row>
    <row r="21083" spans="43:43" x14ac:dyDescent="0.2">
      <c r="AQ21083" s="31"/>
    </row>
    <row r="21084" spans="43:43" x14ac:dyDescent="0.2">
      <c r="AQ21084" s="31"/>
    </row>
    <row r="21085" spans="43:43" x14ac:dyDescent="0.2">
      <c r="AQ21085" s="31"/>
    </row>
    <row r="21086" spans="43:43" x14ac:dyDescent="0.2">
      <c r="AQ21086" s="31"/>
    </row>
    <row r="21087" spans="43:43" x14ac:dyDescent="0.2">
      <c r="AQ21087" s="31"/>
    </row>
    <row r="21088" spans="43:43" x14ac:dyDescent="0.2">
      <c r="AQ21088" s="31"/>
    </row>
    <row r="21089" spans="43:43" x14ac:dyDescent="0.2">
      <c r="AQ21089" s="31"/>
    </row>
    <row r="21090" spans="43:43" x14ac:dyDescent="0.2">
      <c r="AQ21090" s="31"/>
    </row>
    <row r="21091" spans="43:43" x14ac:dyDescent="0.2">
      <c r="AQ21091" s="31"/>
    </row>
    <row r="21092" spans="43:43" x14ac:dyDescent="0.2">
      <c r="AQ21092" s="31"/>
    </row>
    <row r="21093" spans="43:43" x14ac:dyDescent="0.2">
      <c r="AQ21093" s="31"/>
    </row>
    <row r="21094" spans="43:43" x14ac:dyDescent="0.2">
      <c r="AQ21094" s="31"/>
    </row>
    <row r="21095" spans="43:43" x14ac:dyDescent="0.2">
      <c r="AQ21095" s="31"/>
    </row>
    <row r="21096" spans="43:43" x14ac:dyDescent="0.2">
      <c r="AQ21096" s="31"/>
    </row>
    <row r="21097" spans="43:43" x14ac:dyDescent="0.2">
      <c r="AQ21097" s="31"/>
    </row>
    <row r="21098" spans="43:43" x14ac:dyDescent="0.2">
      <c r="AQ21098" s="31"/>
    </row>
    <row r="21099" spans="43:43" x14ac:dyDescent="0.2">
      <c r="AQ21099" s="31"/>
    </row>
    <row r="21100" spans="43:43" x14ac:dyDescent="0.2">
      <c r="AQ21100" s="31"/>
    </row>
    <row r="21101" spans="43:43" x14ac:dyDescent="0.2">
      <c r="AQ21101" s="31"/>
    </row>
    <row r="21102" spans="43:43" x14ac:dyDescent="0.2">
      <c r="AQ21102" s="31"/>
    </row>
    <row r="21103" spans="43:43" x14ac:dyDescent="0.2">
      <c r="AQ21103" s="31"/>
    </row>
    <row r="21104" spans="43:43" x14ac:dyDescent="0.2">
      <c r="AQ21104" s="31"/>
    </row>
    <row r="21105" spans="43:43" x14ac:dyDescent="0.2">
      <c r="AQ21105" s="31"/>
    </row>
    <row r="21106" spans="43:43" x14ac:dyDescent="0.2">
      <c r="AQ21106" s="31"/>
    </row>
    <row r="21107" spans="43:43" x14ac:dyDescent="0.2">
      <c r="AQ21107" s="31"/>
    </row>
    <row r="21108" spans="43:43" x14ac:dyDescent="0.2">
      <c r="AQ21108" s="31"/>
    </row>
    <row r="21109" spans="43:43" x14ac:dyDescent="0.2">
      <c r="AQ21109" s="31"/>
    </row>
    <row r="21110" spans="43:43" x14ac:dyDescent="0.2">
      <c r="AQ21110" s="31"/>
    </row>
    <row r="21111" spans="43:43" x14ac:dyDescent="0.2">
      <c r="AQ21111" s="31"/>
    </row>
    <row r="21112" spans="43:43" x14ac:dyDescent="0.2">
      <c r="AQ21112" s="31"/>
    </row>
    <row r="21113" spans="43:43" x14ac:dyDescent="0.2">
      <c r="AQ21113" s="31"/>
    </row>
    <row r="21114" spans="43:43" x14ac:dyDescent="0.2">
      <c r="AQ21114" s="31"/>
    </row>
    <row r="21115" spans="43:43" x14ac:dyDescent="0.2">
      <c r="AQ21115" s="31"/>
    </row>
    <row r="21116" spans="43:43" x14ac:dyDescent="0.2">
      <c r="AQ21116" s="31"/>
    </row>
    <row r="21117" spans="43:43" x14ac:dyDescent="0.2">
      <c r="AQ21117" s="31"/>
    </row>
    <row r="21118" spans="43:43" x14ac:dyDescent="0.2">
      <c r="AQ21118" s="31"/>
    </row>
    <row r="21119" spans="43:43" x14ac:dyDescent="0.2">
      <c r="AQ21119" s="31"/>
    </row>
    <row r="21120" spans="43:43" x14ac:dyDescent="0.2">
      <c r="AQ21120" s="31"/>
    </row>
    <row r="21121" spans="43:43" x14ac:dyDescent="0.2">
      <c r="AQ21121" s="31"/>
    </row>
    <row r="21122" spans="43:43" x14ac:dyDescent="0.2">
      <c r="AQ21122" s="31"/>
    </row>
    <row r="21123" spans="43:43" x14ac:dyDescent="0.2">
      <c r="AQ21123" s="31"/>
    </row>
    <row r="21124" spans="43:43" x14ac:dyDescent="0.2">
      <c r="AQ21124" s="31"/>
    </row>
    <row r="21125" spans="43:43" x14ac:dyDescent="0.2">
      <c r="AQ21125" s="31"/>
    </row>
    <row r="21126" spans="43:43" x14ac:dyDescent="0.2">
      <c r="AQ21126" s="31"/>
    </row>
    <row r="21127" spans="43:43" x14ac:dyDescent="0.2">
      <c r="AQ21127" s="31"/>
    </row>
    <row r="21128" spans="43:43" x14ac:dyDescent="0.2">
      <c r="AQ21128" s="31"/>
    </row>
    <row r="21129" spans="43:43" x14ac:dyDescent="0.2">
      <c r="AQ21129" s="31"/>
    </row>
    <row r="21130" spans="43:43" x14ac:dyDescent="0.2">
      <c r="AQ21130" s="31"/>
    </row>
    <row r="21131" spans="43:43" x14ac:dyDescent="0.2">
      <c r="AQ21131" s="31"/>
    </row>
    <row r="21132" spans="43:43" x14ac:dyDescent="0.2">
      <c r="AQ21132" s="31"/>
    </row>
    <row r="21133" spans="43:43" x14ac:dyDescent="0.2">
      <c r="AQ21133" s="31"/>
    </row>
    <row r="21134" spans="43:43" x14ac:dyDescent="0.2">
      <c r="AQ21134" s="31"/>
    </row>
    <row r="21135" spans="43:43" x14ac:dyDescent="0.2">
      <c r="AQ21135" s="31"/>
    </row>
    <row r="21136" spans="43:43" x14ac:dyDescent="0.2">
      <c r="AQ21136" s="31"/>
    </row>
    <row r="21137" spans="43:43" x14ac:dyDescent="0.2">
      <c r="AQ21137" s="31"/>
    </row>
    <row r="21138" spans="43:43" x14ac:dyDescent="0.2">
      <c r="AQ21138" s="31"/>
    </row>
    <row r="21139" spans="43:43" x14ac:dyDescent="0.2">
      <c r="AQ21139" s="31"/>
    </row>
    <row r="21140" spans="43:43" x14ac:dyDescent="0.2">
      <c r="AQ21140" s="31"/>
    </row>
    <row r="21141" spans="43:43" x14ac:dyDescent="0.2">
      <c r="AQ21141" s="31"/>
    </row>
    <row r="21142" spans="43:43" x14ac:dyDescent="0.2">
      <c r="AQ21142" s="31"/>
    </row>
    <row r="21143" spans="43:43" x14ac:dyDescent="0.2">
      <c r="AQ21143" s="31"/>
    </row>
    <row r="21144" spans="43:43" x14ac:dyDescent="0.2">
      <c r="AQ21144" s="31"/>
    </row>
    <row r="21145" spans="43:43" x14ac:dyDescent="0.2">
      <c r="AQ21145" s="31"/>
    </row>
    <row r="21146" spans="43:43" x14ac:dyDescent="0.2">
      <c r="AQ21146" s="31"/>
    </row>
    <row r="21147" spans="43:43" x14ac:dyDescent="0.2">
      <c r="AQ21147" s="31"/>
    </row>
    <row r="21148" spans="43:43" x14ac:dyDescent="0.2">
      <c r="AQ21148" s="31"/>
    </row>
    <row r="21149" spans="43:43" x14ac:dyDescent="0.2">
      <c r="AQ21149" s="31"/>
    </row>
    <row r="21150" spans="43:43" x14ac:dyDescent="0.2">
      <c r="AQ21150" s="31"/>
    </row>
    <row r="21151" spans="43:43" x14ac:dyDescent="0.2">
      <c r="AQ21151" s="31"/>
    </row>
    <row r="21152" spans="43:43" x14ac:dyDescent="0.2">
      <c r="AQ21152" s="31"/>
    </row>
    <row r="21153" spans="43:43" x14ac:dyDescent="0.2">
      <c r="AQ21153" s="31"/>
    </row>
    <row r="21154" spans="43:43" x14ac:dyDescent="0.2">
      <c r="AQ21154" s="31"/>
    </row>
    <row r="21155" spans="43:43" x14ac:dyDescent="0.2">
      <c r="AQ21155" s="31"/>
    </row>
    <row r="21156" spans="43:43" x14ac:dyDescent="0.2">
      <c r="AQ21156" s="31"/>
    </row>
    <row r="21157" spans="43:43" x14ac:dyDescent="0.2">
      <c r="AQ21157" s="31"/>
    </row>
    <row r="21158" spans="43:43" x14ac:dyDescent="0.2">
      <c r="AQ21158" s="31"/>
    </row>
    <row r="21159" spans="43:43" x14ac:dyDescent="0.2">
      <c r="AQ21159" s="31"/>
    </row>
    <row r="21160" spans="43:43" x14ac:dyDescent="0.2">
      <c r="AQ21160" s="31"/>
    </row>
    <row r="21161" spans="43:43" x14ac:dyDescent="0.2">
      <c r="AQ21161" s="31"/>
    </row>
    <row r="21162" spans="43:43" x14ac:dyDescent="0.2">
      <c r="AQ21162" s="31"/>
    </row>
    <row r="21163" spans="43:43" x14ac:dyDescent="0.2">
      <c r="AQ21163" s="31"/>
    </row>
    <row r="21164" spans="43:43" x14ac:dyDescent="0.2">
      <c r="AQ21164" s="31"/>
    </row>
    <row r="21165" spans="43:43" x14ac:dyDescent="0.2">
      <c r="AQ21165" s="31"/>
    </row>
    <row r="21166" spans="43:43" x14ac:dyDescent="0.2">
      <c r="AQ21166" s="31"/>
    </row>
    <row r="21167" spans="43:43" x14ac:dyDescent="0.2">
      <c r="AQ21167" s="31"/>
    </row>
    <row r="21168" spans="43:43" x14ac:dyDescent="0.2">
      <c r="AQ21168" s="31"/>
    </row>
    <row r="21169" spans="43:43" x14ac:dyDescent="0.2">
      <c r="AQ21169" s="31"/>
    </row>
    <row r="21170" spans="43:43" x14ac:dyDescent="0.2">
      <c r="AQ21170" s="31"/>
    </row>
    <row r="21171" spans="43:43" x14ac:dyDescent="0.2">
      <c r="AQ21171" s="31"/>
    </row>
    <row r="21172" spans="43:43" x14ac:dyDescent="0.2">
      <c r="AQ21172" s="31"/>
    </row>
    <row r="21173" spans="43:43" x14ac:dyDescent="0.2">
      <c r="AQ21173" s="31"/>
    </row>
    <row r="21174" spans="43:43" x14ac:dyDescent="0.2">
      <c r="AQ21174" s="31"/>
    </row>
    <row r="21175" spans="43:43" x14ac:dyDescent="0.2">
      <c r="AQ21175" s="31"/>
    </row>
    <row r="21176" spans="43:43" x14ac:dyDescent="0.2">
      <c r="AQ21176" s="31"/>
    </row>
    <row r="21177" spans="43:43" x14ac:dyDescent="0.2">
      <c r="AQ21177" s="31"/>
    </row>
    <row r="21178" spans="43:43" x14ac:dyDescent="0.2">
      <c r="AQ21178" s="31"/>
    </row>
    <row r="21179" spans="43:43" x14ac:dyDescent="0.2">
      <c r="AQ21179" s="31"/>
    </row>
    <row r="21180" spans="43:43" x14ac:dyDescent="0.2">
      <c r="AQ21180" s="31"/>
    </row>
    <row r="21181" spans="43:43" x14ac:dyDescent="0.2">
      <c r="AQ21181" s="31"/>
    </row>
    <row r="21182" spans="43:43" x14ac:dyDescent="0.2">
      <c r="AQ21182" s="31"/>
    </row>
    <row r="21183" spans="43:43" x14ac:dyDescent="0.2">
      <c r="AQ21183" s="31"/>
    </row>
    <row r="21184" spans="43:43" x14ac:dyDescent="0.2">
      <c r="AQ21184" s="31"/>
    </row>
    <row r="21185" spans="43:43" x14ac:dyDescent="0.2">
      <c r="AQ21185" s="31"/>
    </row>
    <row r="21186" spans="43:43" x14ac:dyDescent="0.2">
      <c r="AQ21186" s="31"/>
    </row>
    <row r="21187" spans="43:43" x14ac:dyDescent="0.2">
      <c r="AQ21187" s="31"/>
    </row>
    <row r="21188" spans="43:43" x14ac:dyDescent="0.2">
      <c r="AQ21188" s="31"/>
    </row>
    <row r="21189" spans="43:43" x14ac:dyDescent="0.2">
      <c r="AQ21189" s="31"/>
    </row>
    <row r="21190" spans="43:43" x14ac:dyDescent="0.2">
      <c r="AQ21190" s="31"/>
    </row>
    <row r="21191" spans="43:43" x14ac:dyDescent="0.2">
      <c r="AQ21191" s="31"/>
    </row>
    <row r="21192" spans="43:43" x14ac:dyDescent="0.2">
      <c r="AQ21192" s="31"/>
    </row>
    <row r="21193" spans="43:43" x14ac:dyDescent="0.2">
      <c r="AQ21193" s="31"/>
    </row>
    <row r="21194" spans="43:43" x14ac:dyDescent="0.2">
      <c r="AQ21194" s="31"/>
    </row>
    <row r="21195" spans="43:43" x14ac:dyDescent="0.2">
      <c r="AQ21195" s="31"/>
    </row>
    <row r="21196" spans="43:43" x14ac:dyDescent="0.2">
      <c r="AQ21196" s="31"/>
    </row>
    <row r="21197" spans="43:43" x14ac:dyDescent="0.2">
      <c r="AQ21197" s="31"/>
    </row>
    <row r="21198" spans="43:43" x14ac:dyDescent="0.2">
      <c r="AQ21198" s="31"/>
    </row>
    <row r="21199" spans="43:43" x14ac:dyDescent="0.2">
      <c r="AQ21199" s="31"/>
    </row>
    <row r="21200" spans="43:43" x14ac:dyDescent="0.2">
      <c r="AQ21200" s="31"/>
    </row>
    <row r="21201" spans="43:43" x14ac:dyDescent="0.2">
      <c r="AQ21201" s="31"/>
    </row>
    <row r="21202" spans="43:43" x14ac:dyDescent="0.2">
      <c r="AQ21202" s="31"/>
    </row>
    <row r="21203" spans="43:43" x14ac:dyDescent="0.2">
      <c r="AQ21203" s="31"/>
    </row>
    <row r="21204" spans="43:43" x14ac:dyDescent="0.2">
      <c r="AQ21204" s="31"/>
    </row>
    <row r="21205" spans="43:43" x14ac:dyDescent="0.2">
      <c r="AQ21205" s="31"/>
    </row>
    <row r="21206" spans="43:43" x14ac:dyDescent="0.2">
      <c r="AQ21206" s="31"/>
    </row>
    <row r="21207" spans="43:43" x14ac:dyDescent="0.2">
      <c r="AQ21207" s="31"/>
    </row>
    <row r="21208" spans="43:43" x14ac:dyDescent="0.2">
      <c r="AQ21208" s="31"/>
    </row>
    <row r="21209" spans="43:43" x14ac:dyDescent="0.2">
      <c r="AQ21209" s="31"/>
    </row>
    <row r="21210" spans="43:43" x14ac:dyDescent="0.2">
      <c r="AQ21210" s="31"/>
    </row>
    <row r="21211" spans="43:43" x14ac:dyDescent="0.2">
      <c r="AQ21211" s="31"/>
    </row>
    <row r="21212" spans="43:43" x14ac:dyDescent="0.2">
      <c r="AQ21212" s="31"/>
    </row>
    <row r="21213" spans="43:43" x14ac:dyDescent="0.2">
      <c r="AQ21213" s="31"/>
    </row>
    <row r="21214" spans="43:43" x14ac:dyDescent="0.2">
      <c r="AQ21214" s="31"/>
    </row>
    <row r="21215" spans="43:43" x14ac:dyDescent="0.2">
      <c r="AQ21215" s="31"/>
    </row>
    <row r="21216" spans="43:43" x14ac:dyDescent="0.2">
      <c r="AQ21216" s="31"/>
    </row>
    <row r="21217" spans="43:43" x14ac:dyDescent="0.2">
      <c r="AQ21217" s="31"/>
    </row>
    <row r="21218" spans="43:43" x14ac:dyDescent="0.2">
      <c r="AQ21218" s="31"/>
    </row>
    <row r="21219" spans="43:43" x14ac:dyDescent="0.2">
      <c r="AQ21219" s="31"/>
    </row>
    <row r="21220" spans="43:43" x14ac:dyDescent="0.2">
      <c r="AQ21220" s="31"/>
    </row>
    <row r="21221" spans="43:43" x14ac:dyDescent="0.2">
      <c r="AQ21221" s="31"/>
    </row>
    <row r="21222" spans="43:43" x14ac:dyDescent="0.2">
      <c r="AQ21222" s="31"/>
    </row>
    <row r="21223" spans="43:43" x14ac:dyDescent="0.2">
      <c r="AQ21223" s="31"/>
    </row>
    <row r="21224" spans="43:43" x14ac:dyDescent="0.2">
      <c r="AQ21224" s="31"/>
    </row>
    <row r="21225" spans="43:43" x14ac:dyDescent="0.2">
      <c r="AQ21225" s="31"/>
    </row>
    <row r="21226" spans="43:43" x14ac:dyDescent="0.2">
      <c r="AQ21226" s="31"/>
    </row>
    <row r="21227" spans="43:43" x14ac:dyDescent="0.2">
      <c r="AQ21227" s="31"/>
    </row>
    <row r="21228" spans="43:43" x14ac:dyDescent="0.2">
      <c r="AQ21228" s="31"/>
    </row>
    <row r="21229" spans="43:43" x14ac:dyDescent="0.2">
      <c r="AQ21229" s="31"/>
    </row>
    <row r="21230" spans="43:43" x14ac:dyDescent="0.2">
      <c r="AQ21230" s="31"/>
    </row>
    <row r="21231" spans="43:43" x14ac:dyDescent="0.2">
      <c r="AQ21231" s="31"/>
    </row>
    <row r="21232" spans="43:43" x14ac:dyDescent="0.2">
      <c r="AQ21232" s="31"/>
    </row>
    <row r="21233" spans="43:43" x14ac:dyDescent="0.2">
      <c r="AQ21233" s="31"/>
    </row>
    <row r="21234" spans="43:43" x14ac:dyDescent="0.2">
      <c r="AQ21234" s="31"/>
    </row>
    <row r="21235" spans="43:43" x14ac:dyDescent="0.2">
      <c r="AQ21235" s="31"/>
    </row>
    <row r="21236" spans="43:43" x14ac:dyDescent="0.2">
      <c r="AQ21236" s="31"/>
    </row>
    <row r="21237" spans="43:43" x14ac:dyDescent="0.2">
      <c r="AQ21237" s="31"/>
    </row>
    <row r="21238" spans="43:43" x14ac:dyDescent="0.2">
      <c r="AQ21238" s="31"/>
    </row>
    <row r="21239" spans="43:43" x14ac:dyDescent="0.2">
      <c r="AQ21239" s="31"/>
    </row>
    <row r="21240" spans="43:43" x14ac:dyDescent="0.2">
      <c r="AQ21240" s="31"/>
    </row>
    <row r="21241" spans="43:43" x14ac:dyDescent="0.2">
      <c r="AQ21241" s="31"/>
    </row>
    <row r="21242" spans="43:43" x14ac:dyDescent="0.2">
      <c r="AQ21242" s="31"/>
    </row>
    <row r="21243" spans="43:43" x14ac:dyDescent="0.2">
      <c r="AQ21243" s="31"/>
    </row>
    <row r="21244" spans="43:43" x14ac:dyDescent="0.2">
      <c r="AQ21244" s="31"/>
    </row>
    <row r="21245" spans="43:43" x14ac:dyDescent="0.2">
      <c r="AQ21245" s="31"/>
    </row>
    <row r="21246" spans="43:43" x14ac:dyDescent="0.2">
      <c r="AQ21246" s="31"/>
    </row>
    <row r="21247" spans="43:43" x14ac:dyDescent="0.2">
      <c r="AQ21247" s="31"/>
    </row>
    <row r="21248" spans="43:43" x14ac:dyDescent="0.2">
      <c r="AQ21248" s="31"/>
    </row>
    <row r="21249" spans="43:43" x14ac:dyDescent="0.2">
      <c r="AQ21249" s="31"/>
    </row>
    <row r="21250" spans="43:43" x14ac:dyDescent="0.2">
      <c r="AQ21250" s="31"/>
    </row>
    <row r="21251" spans="43:43" x14ac:dyDescent="0.2">
      <c r="AQ21251" s="31"/>
    </row>
    <row r="21252" spans="43:43" x14ac:dyDescent="0.2">
      <c r="AQ21252" s="31"/>
    </row>
    <row r="21253" spans="43:43" x14ac:dyDescent="0.2">
      <c r="AQ21253" s="31"/>
    </row>
    <row r="21254" spans="43:43" x14ac:dyDescent="0.2">
      <c r="AQ21254" s="31"/>
    </row>
    <row r="21255" spans="43:43" x14ac:dyDescent="0.2">
      <c r="AQ21255" s="31"/>
    </row>
    <row r="21256" spans="43:43" x14ac:dyDescent="0.2">
      <c r="AQ21256" s="31"/>
    </row>
    <row r="21257" spans="43:43" x14ac:dyDescent="0.2">
      <c r="AQ21257" s="31"/>
    </row>
    <row r="21258" spans="43:43" x14ac:dyDescent="0.2">
      <c r="AQ21258" s="31"/>
    </row>
    <row r="21259" spans="43:43" x14ac:dyDescent="0.2">
      <c r="AQ21259" s="31"/>
    </row>
    <row r="21260" spans="43:43" x14ac:dyDescent="0.2">
      <c r="AQ21260" s="31"/>
    </row>
    <row r="21261" spans="43:43" x14ac:dyDescent="0.2">
      <c r="AQ21261" s="31"/>
    </row>
    <row r="21262" spans="43:43" x14ac:dyDescent="0.2">
      <c r="AQ21262" s="31"/>
    </row>
    <row r="21263" spans="43:43" x14ac:dyDescent="0.2">
      <c r="AQ21263" s="31"/>
    </row>
    <row r="21264" spans="43:43" x14ac:dyDescent="0.2">
      <c r="AQ21264" s="31"/>
    </row>
    <row r="21265" spans="43:43" x14ac:dyDescent="0.2">
      <c r="AQ21265" s="31"/>
    </row>
    <row r="21266" spans="43:43" x14ac:dyDescent="0.2">
      <c r="AQ21266" s="31"/>
    </row>
    <row r="21267" spans="43:43" x14ac:dyDescent="0.2">
      <c r="AQ21267" s="31"/>
    </row>
    <row r="21268" spans="43:43" x14ac:dyDescent="0.2">
      <c r="AQ21268" s="31"/>
    </row>
    <row r="21269" spans="43:43" x14ac:dyDescent="0.2">
      <c r="AQ21269" s="31"/>
    </row>
    <row r="21270" spans="43:43" x14ac:dyDescent="0.2">
      <c r="AQ21270" s="31"/>
    </row>
    <row r="21271" spans="43:43" x14ac:dyDescent="0.2">
      <c r="AQ21271" s="31"/>
    </row>
    <row r="21272" spans="43:43" x14ac:dyDescent="0.2">
      <c r="AQ21272" s="31"/>
    </row>
    <row r="21273" spans="43:43" x14ac:dyDescent="0.2">
      <c r="AQ21273" s="31"/>
    </row>
    <row r="21274" spans="43:43" x14ac:dyDescent="0.2">
      <c r="AQ21274" s="31"/>
    </row>
    <row r="21275" spans="43:43" x14ac:dyDescent="0.2">
      <c r="AQ21275" s="31"/>
    </row>
    <row r="21276" spans="43:43" x14ac:dyDescent="0.2">
      <c r="AQ21276" s="31"/>
    </row>
    <row r="21277" spans="43:43" x14ac:dyDescent="0.2">
      <c r="AQ21277" s="31"/>
    </row>
    <row r="21278" spans="43:43" x14ac:dyDescent="0.2">
      <c r="AQ21278" s="31"/>
    </row>
    <row r="21279" spans="43:43" x14ac:dyDescent="0.2">
      <c r="AQ21279" s="31"/>
    </row>
    <row r="21280" spans="43:43" x14ac:dyDescent="0.2">
      <c r="AQ21280" s="31"/>
    </row>
    <row r="21281" spans="43:43" x14ac:dyDescent="0.2">
      <c r="AQ21281" s="31"/>
    </row>
    <row r="21282" spans="43:43" x14ac:dyDescent="0.2">
      <c r="AQ21282" s="31"/>
    </row>
    <row r="21283" spans="43:43" x14ac:dyDescent="0.2">
      <c r="AQ21283" s="31"/>
    </row>
    <row r="21284" spans="43:43" x14ac:dyDescent="0.2">
      <c r="AQ21284" s="31"/>
    </row>
    <row r="21285" spans="43:43" x14ac:dyDescent="0.2">
      <c r="AQ21285" s="31"/>
    </row>
    <row r="21286" spans="43:43" x14ac:dyDescent="0.2">
      <c r="AQ21286" s="31"/>
    </row>
    <row r="21287" spans="43:43" x14ac:dyDescent="0.2">
      <c r="AQ21287" s="31"/>
    </row>
    <row r="21288" spans="43:43" x14ac:dyDescent="0.2">
      <c r="AQ21288" s="31"/>
    </row>
    <row r="21289" spans="43:43" x14ac:dyDescent="0.2">
      <c r="AQ21289" s="31"/>
    </row>
    <row r="21290" spans="43:43" x14ac:dyDescent="0.2">
      <c r="AQ21290" s="31"/>
    </row>
    <row r="21291" spans="43:43" x14ac:dyDescent="0.2">
      <c r="AQ21291" s="31"/>
    </row>
    <row r="21292" spans="43:43" x14ac:dyDescent="0.2">
      <c r="AQ21292" s="31"/>
    </row>
    <row r="21293" spans="43:43" x14ac:dyDescent="0.2">
      <c r="AQ21293" s="31"/>
    </row>
    <row r="21294" spans="43:43" x14ac:dyDescent="0.2">
      <c r="AQ21294" s="31"/>
    </row>
    <row r="21295" spans="43:43" x14ac:dyDescent="0.2">
      <c r="AQ21295" s="31"/>
    </row>
    <row r="21296" spans="43:43" x14ac:dyDescent="0.2">
      <c r="AQ21296" s="31"/>
    </row>
    <row r="21297" spans="43:43" x14ac:dyDescent="0.2">
      <c r="AQ21297" s="31"/>
    </row>
    <row r="21298" spans="43:43" x14ac:dyDescent="0.2">
      <c r="AQ21298" s="31"/>
    </row>
    <row r="21299" spans="43:43" x14ac:dyDescent="0.2">
      <c r="AQ21299" s="31"/>
    </row>
    <row r="21300" spans="43:43" x14ac:dyDescent="0.2">
      <c r="AQ21300" s="31"/>
    </row>
    <row r="21301" spans="43:43" x14ac:dyDescent="0.2">
      <c r="AQ21301" s="31"/>
    </row>
    <row r="21302" spans="43:43" x14ac:dyDescent="0.2">
      <c r="AQ21302" s="31"/>
    </row>
    <row r="21303" spans="43:43" x14ac:dyDescent="0.2">
      <c r="AQ21303" s="31"/>
    </row>
    <row r="21304" spans="43:43" x14ac:dyDescent="0.2">
      <c r="AQ21304" s="31"/>
    </row>
    <row r="21305" spans="43:43" x14ac:dyDescent="0.2">
      <c r="AQ21305" s="31"/>
    </row>
    <row r="21306" spans="43:43" x14ac:dyDescent="0.2">
      <c r="AQ21306" s="31"/>
    </row>
    <row r="21307" spans="43:43" x14ac:dyDescent="0.2">
      <c r="AQ21307" s="31"/>
    </row>
    <row r="21308" spans="43:43" x14ac:dyDescent="0.2">
      <c r="AQ21308" s="31"/>
    </row>
    <row r="21309" spans="43:43" x14ac:dyDescent="0.2">
      <c r="AQ21309" s="31"/>
    </row>
    <row r="21310" spans="43:43" x14ac:dyDescent="0.2">
      <c r="AQ21310" s="31"/>
    </row>
    <row r="21311" spans="43:43" x14ac:dyDescent="0.2">
      <c r="AQ21311" s="31"/>
    </row>
    <row r="21312" spans="43:43" x14ac:dyDescent="0.2">
      <c r="AQ21312" s="31"/>
    </row>
    <row r="21313" spans="43:43" x14ac:dyDescent="0.2">
      <c r="AQ21313" s="31"/>
    </row>
    <row r="21314" spans="43:43" x14ac:dyDescent="0.2">
      <c r="AQ21314" s="31"/>
    </row>
    <row r="21315" spans="43:43" x14ac:dyDescent="0.2">
      <c r="AQ21315" s="31"/>
    </row>
    <row r="21316" spans="43:43" x14ac:dyDescent="0.2">
      <c r="AQ21316" s="31"/>
    </row>
    <row r="21317" spans="43:43" x14ac:dyDescent="0.2">
      <c r="AQ21317" s="31"/>
    </row>
    <row r="21318" spans="43:43" x14ac:dyDescent="0.2">
      <c r="AQ21318" s="31"/>
    </row>
    <row r="21319" spans="43:43" x14ac:dyDescent="0.2">
      <c r="AQ21319" s="31"/>
    </row>
    <row r="21320" spans="43:43" x14ac:dyDescent="0.2">
      <c r="AQ21320" s="31"/>
    </row>
    <row r="21321" spans="43:43" x14ac:dyDescent="0.2">
      <c r="AQ21321" s="31"/>
    </row>
    <row r="21322" spans="43:43" x14ac:dyDescent="0.2">
      <c r="AQ21322" s="31"/>
    </row>
    <row r="21323" spans="43:43" x14ac:dyDescent="0.2">
      <c r="AQ21323" s="31"/>
    </row>
    <row r="21324" spans="43:43" x14ac:dyDescent="0.2">
      <c r="AQ21324" s="31"/>
    </row>
    <row r="21325" spans="43:43" x14ac:dyDescent="0.2">
      <c r="AQ21325" s="31"/>
    </row>
    <row r="21326" spans="43:43" x14ac:dyDescent="0.2">
      <c r="AQ21326" s="31"/>
    </row>
    <row r="21327" spans="43:43" x14ac:dyDescent="0.2">
      <c r="AQ21327" s="31"/>
    </row>
    <row r="21328" spans="43:43" x14ac:dyDescent="0.2">
      <c r="AQ21328" s="31"/>
    </row>
    <row r="21329" spans="43:43" x14ac:dyDescent="0.2">
      <c r="AQ21329" s="31"/>
    </row>
    <row r="21330" spans="43:43" x14ac:dyDescent="0.2">
      <c r="AQ21330" s="31"/>
    </row>
    <row r="21331" spans="43:43" x14ac:dyDescent="0.2">
      <c r="AQ21331" s="31"/>
    </row>
    <row r="21332" spans="43:43" x14ac:dyDescent="0.2">
      <c r="AQ21332" s="31"/>
    </row>
    <row r="21333" spans="43:43" x14ac:dyDescent="0.2">
      <c r="AQ21333" s="31"/>
    </row>
    <row r="21334" spans="43:43" x14ac:dyDescent="0.2">
      <c r="AQ21334" s="31"/>
    </row>
    <row r="21335" spans="43:43" x14ac:dyDescent="0.2">
      <c r="AQ21335" s="31"/>
    </row>
    <row r="21336" spans="43:43" x14ac:dyDescent="0.2">
      <c r="AQ21336" s="31"/>
    </row>
    <row r="21337" spans="43:43" x14ac:dyDescent="0.2">
      <c r="AQ21337" s="31"/>
    </row>
    <row r="21338" spans="43:43" x14ac:dyDescent="0.2">
      <c r="AQ21338" s="31"/>
    </row>
    <row r="21339" spans="43:43" x14ac:dyDescent="0.2">
      <c r="AQ21339" s="31"/>
    </row>
    <row r="21340" spans="43:43" x14ac:dyDescent="0.2">
      <c r="AQ21340" s="31"/>
    </row>
    <row r="21341" spans="43:43" x14ac:dyDescent="0.2">
      <c r="AQ21341" s="31"/>
    </row>
    <row r="21342" spans="43:43" x14ac:dyDescent="0.2">
      <c r="AQ21342" s="31"/>
    </row>
    <row r="21343" spans="43:43" x14ac:dyDescent="0.2">
      <c r="AQ21343" s="31"/>
    </row>
    <row r="21344" spans="43:43" x14ac:dyDescent="0.2">
      <c r="AQ21344" s="31"/>
    </row>
    <row r="21345" spans="43:43" x14ac:dyDescent="0.2">
      <c r="AQ21345" s="31"/>
    </row>
    <row r="21346" spans="43:43" x14ac:dyDescent="0.2">
      <c r="AQ21346" s="31"/>
    </row>
    <row r="21347" spans="43:43" x14ac:dyDescent="0.2">
      <c r="AQ21347" s="31"/>
    </row>
    <row r="21348" spans="43:43" x14ac:dyDescent="0.2">
      <c r="AQ21348" s="31"/>
    </row>
    <row r="21349" spans="43:43" x14ac:dyDescent="0.2">
      <c r="AQ21349" s="31"/>
    </row>
    <row r="21350" spans="43:43" x14ac:dyDescent="0.2">
      <c r="AQ21350" s="31"/>
    </row>
    <row r="21351" spans="43:43" x14ac:dyDescent="0.2">
      <c r="AQ21351" s="31"/>
    </row>
    <row r="21352" spans="43:43" x14ac:dyDescent="0.2">
      <c r="AQ21352" s="31"/>
    </row>
    <row r="21353" spans="43:43" x14ac:dyDescent="0.2">
      <c r="AQ21353" s="31"/>
    </row>
    <row r="21354" spans="43:43" x14ac:dyDescent="0.2">
      <c r="AQ21354" s="31"/>
    </row>
    <row r="21355" spans="43:43" x14ac:dyDescent="0.2">
      <c r="AQ21355" s="31"/>
    </row>
    <row r="21356" spans="43:43" x14ac:dyDescent="0.2">
      <c r="AQ21356" s="31"/>
    </row>
    <row r="21357" spans="43:43" x14ac:dyDescent="0.2">
      <c r="AQ21357" s="31"/>
    </row>
    <row r="21358" spans="43:43" x14ac:dyDescent="0.2">
      <c r="AQ21358" s="31"/>
    </row>
    <row r="21359" spans="43:43" x14ac:dyDescent="0.2">
      <c r="AQ21359" s="31"/>
    </row>
    <row r="21360" spans="43:43" x14ac:dyDescent="0.2">
      <c r="AQ21360" s="31"/>
    </row>
    <row r="21361" spans="43:43" x14ac:dyDescent="0.2">
      <c r="AQ21361" s="31"/>
    </row>
    <row r="21362" spans="43:43" x14ac:dyDescent="0.2">
      <c r="AQ21362" s="31"/>
    </row>
    <row r="21363" spans="43:43" x14ac:dyDescent="0.2">
      <c r="AQ21363" s="31"/>
    </row>
    <row r="21364" spans="43:43" x14ac:dyDescent="0.2">
      <c r="AQ21364" s="31"/>
    </row>
    <row r="21365" spans="43:43" x14ac:dyDescent="0.2">
      <c r="AQ21365" s="31"/>
    </row>
    <row r="21366" spans="43:43" x14ac:dyDescent="0.2">
      <c r="AQ21366" s="31"/>
    </row>
    <row r="21367" spans="43:43" x14ac:dyDescent="0.2">
      <c r="AQ21367" s="31"/>
    </row>
    <row r="21368" spans="43:43" x14ac:dyDescent="0.2">
      <c r="AQ21368" s="31"/>
    </row>
    <row r="21369" spans="43:43" x14ac:dyDescent="0.2">
      <c r="AQ21369" s="31"/>
    </row>
    <row r="21370" spans="43:43" x14ac:dyDescent="0.2">
      <c r="AQ21370" s="31"/>
    </row>
    <row r="21371" spans="43:43" x14ac:dyDescent="0.2">
      <c r="AQ21371" s="31"/>
    </row>
    <row r="21372" spans="43:43" x14ac:dyDescent="0.2">
      <c r="AQ21372" s="31"/>
    </row>
    <row r="21373" spans="43:43" x14ac:dyDescent="0.2">
      <c r="AQ21373" s="31"/>
    </row>
    <row r="21374" spans="43:43" x14ac:dyDescent="0.2">
      <c r="AQ21374" s="31"/>
    </row>
    <row r="21375" spans="43:43" x14ac:dyDescent="0.2">
      <c r="AQ21375" s="31"/>
    </row>
    <row r="21376" spans="43:43" x14ac:dyDescent="0.2">
      <c r="AQ21376" s="31"/>
    </row>
    <row r="21377" spans="43:43" x14ac:dyDescent="0.2">
      <c r="AQ21377" s="31"/>
    </row>
    <row r="21378" spans="43:43" x14ac:dyDescent="0.2">
      <c r="AQ21378" s="31"/>
    </row>
    <row r="21379" spans="43:43" x14ac:dyDescent="0.2">
      <c r="AQ21379" s="31"/>
    </row>
    <row r="21380" spans="43:43" x14ac:dyDescent="0.2">
      <c r="AQ21380" s="31"/>
    </row>
    <row r="21381" spans="43:43" x14ac:dyDescent="0.2">
      <c r="AQ21381" s="31"/>
    </row>
    <row r="21382" spans="43:43" x14ac:dyDescent="0.2">
      <c r="AQ21382" s="31"/>
    </row>
    <row r="21383" spans="43:43" x14ac:dyDescent="0.2">
      <c r="AQ21383" s="31"/>
    </row>
    <row r="21384" spans="43:43" x14ac:dyDescent="0.2">
      <c r="AQ21384" s="31"/>
    </row>
    <row r="21385" spans="43:43" x14ac:dyDescent="0.2">
      <c r="AQ21385" s="31"/>
    </row>
    <row r="21386" spans="43:43" x14ac:dyDescent="0.2">
      <c r="AQ21386" s="31"/>
    </row>
    <row r="21387" spans="43:43" x14ac:dyDescent="0.2">
      <c r="AQ21387" s="31"/>
    </row>
    <row r="21388" spans="43:43" x14ac:dyDescent="0.2">
      <c r="AQ21388" s="31"/>
    </row>
    <row r="21389" spans="43:43" x14ac:dyDescent="0.2">
      <c r="AQ21389" s="31"/>
    </row>
    <row r="21390" spans="43:43" x14ac:dyDescent="0.2">
      <c r="AQ21390" s="31"/>
    </row>
    <row r="21391" spans="43:43" x14ac:dyDescent="0.2">
      <c r="AQ21391" s="31"/>
    </row>
    <row r="21392" spans="43:43" x14ac:dyDescent="0.2">
      <c r="AQ21392" s="31"/>
    </row>
    <row r="21393" spans="43:43" x14ac:dyDescent="0.2">
      <c r="AQ21393" s="31"/>
    </row>
    <row r="21394" spans="43:43" x14ac:dyDescent="0.2">
      <c r="AQ21394" s="31"/>
    </row>
    <row r="21395" spans="43:43" x14ac:dyDescent="0.2">
      <c r="AQ21395" s="31"/>
    </row>
    <row r="21396" spans="43:43" x14ac:dyDescent="0.2">
      <c r="AQ21396" s="31"/>
    </row>
    <row r="21397" spans="43:43" x14ac:dyDescent="0.2">
      <c r="AQ21397" s="31"/>
    </row>
    <row r="21398" spans="43:43" x14ac:dyDescent="0.2">
      <c r="AQ21398" s="31"/>
    </row>
    <row r="21399" spans="43:43" x14ac:dyDescent="0.2">
      <c r="AQ21399" s="31"/>
    </row>
    <row r="21400" spans="43:43" x14ac:dyDescent="0.2">
      <c r="AQ21400" s="31"/>
    </row>
    <row r="21401" spans="43:43" x14ac:dyDescent="0.2">
      <c r="AQ21401" s="31"/>
    </row>
    <row r="21402" spans="43:43" x14ac:dyDescent="0.2">
      <c r="AQ21402" s="31"/>
    </row>
    <row r="21403" spans="43:43" x14ac:dyDescent="0.2">
      <c r="AQ21403" s="31"/>
    </row>
    <row r="21404" spans="43:43" x14ac:dyDescent="0.2">
      <c r="AQ21404" s="31"/>
    </row>
    <row r="21405" spans="43:43" x14ac:dyDescent="0.2">
      <c r="AQ21405" s="31"/>
    </row>
    <row r="21406" spans="43:43" x14ac:dyDescent="0.2">
      <c r="AQ21406" s="31"/>
    </row>
    <row r="21407" spans="43:43" x14ac:dyDescent="0.2">
      <c r="AQ21407" s="31"/>
    </row>
    <row r="21408" spans="43:43" x14ac:dyDescent="0.2">
      <c r="AQ21408" s="31"/>
    </row>
    <row r="21409" spans="43:43" x14ac:dyDescent="0.2">
      <c r="AQ21409" s="31"/>
    </row>
    <row r="21410" spans="43:43" x14ac:dyDescent="0.2">
      <c r="AQ21410" s="31"/>
    </row>
    <row r="21411" spans="43:43" x14ac:dyDescent="0.2">
      <c r="AQ21411" s="31"/>
    </row>
    <row r="21412" spans="43:43" x14ac:dyDescent="0.2">
      <c r="AQ21412" s="31"/>
    </row>
    <row r="21413" spans="43:43" x14ac:dyDescent="0.2">
      <c r="AQ21413" s="31"/>
    </row>
    <row r="21414" spans="43:43" x14ac:dyDescent="0.2">
      <c r="AQ21414" s="31"/>
    </row>
    <row r="21415" spans="43:43" x14ac:dyDescent="0.2">
      <c r="AQ21415" s="31"/>
    </row>
    <row r="21416" spans="43:43" x14ac:dyDescent="0.2">
      <c r="AQ21416" s="31"/>
    </row>
    <row r="21417" spans="43:43" x14ac:dyDescent="0.2">
      <c r="AQ21417" s="31"/>
    </row>
    <row r="21418" spans="43:43" x14ac:dyDescent="0.2">
      <c r="AQ21418" s="31"/>
    </row>
    <row r="21419" spans="43:43" x14ac:dyDescent="0.2">
      <c r="AQ21419" s="31"/>
    </row>
    <row r="21420" spans="43:43" x14ac:dyDescent="0.2">
      <c r="AQ21420" s="31"/>
    </row>
    <row r="21421" spans="43:43" x14ac:dyDescent="0.2">
      <c r="AQ21421" s="31"/>
    </row>
    <row r="21422" spans="43:43" x14ac:dyDescent="0.2">
      <c r="AQ21422" s="31"/>
    </row>
    <row r="21423" spans="43:43" x14ac:dyDescent="0.2">
      <c r="AQ21423" s="31"/>
    </row>
    <row r="21424" spans="43:43" x14ac:dyDescent="0.2">
      <c r="AQ21424" s="31"/>
    </row>
    <row r="21425" spans="43:43" x14ac:dyDescent="0.2">
      <c r="AQ21425" s="31"/>
    </row>
    <row r="21426" spans="43:43" x14ac:dyDescent="0.2">
      <c r="AQ21426" s="31"/>
    </row>
    <row r="21427" spans="43:43" x14ac:dyDescent="0.2">
      <c r="AQ21427" s="31"/>
    </row>
    <row r="21428" spans="43:43" x14ac:dyDescent="0.2">
      <c r="AQ21428" s="31"/>
    </row>
    <row r="21429" spans="43:43" x14ac:dyDescent="0.2">
      <c r="AQ21429" s="31"/>
    </row>
    <row r="21430" spans="43:43" x14ac:dyDescent="0.2">
      <c r="AQ21430" s="31"/>
    </row>
    <row r="21431" spans="43:43" x14ac:dyDescent="0.2">
      <c r="AQ21431" s="31"/>
    </row>
    <row r="21432" spans="43:43" x14ac:dyDescent="0.2">
      <c r="AQ21432" s="31"/>
    </row>
    <row r="21433" spans="43:43" x14ac:dyDescent="0.2">
      <c r="AQ21433" s="31"/>
    </row>
    <row r="21434" spans="43:43" x14ac:dyDescent="0.2">
      <c r="AQ21434" s="31"/>
    </row>
    <row r="21435" spans="43:43" x14ac:dyDescent="0.2">
      <c r="AQ21435" s="31"/>
    </row>
    <row r="21436" spans="43:43" x14ac:dyDescent="0.2">
      <c r="AQ21436" s="31"/>
    </row>
    <row r="21437" spans="43:43" x14ac:dyDescent="0.2">
      <c r="AQ21437" s="31"/>
    </row>
    <row r="21438" spans="43:43" x14ac:dyDescent="0.2">
      <c r="AQ21438" s="31"/>
    </row>
    <row r="21439" spans="43:43" x14ac:dyDescent="0.2">
      <c r="AQ21439" s="31"/>
    </row>
    <row r="21440" spans="43:43" x14ac:dyDescent="0.2">
      <c r="AQ21440" s="31"/>
    </row>
    <row r="21441" spans="43:43" x14ac:dyDescent="0.2">
      <c r="AQ21441" s="31"/>
    </row>
    <row r="21442" spans="43:43" x14ac:dyDescent="0.2">
      <c r="AQ21442" s="31"/>
    </row>
    <row r="21443" spans="43:43" x14ac:dyDescent="0.2">
      <c r="AQ21443" s="31"/>
    </row>
    <row r="21444" spans="43:43" x14ac:dyDescent="0.2">
      <c r="AQ21444" s="31"/>
    </row>
    <row r="21445" spans="43:43" x14ac:dyDescent="0.2">
      <c r="AQ21445" s="31"/>
    </row>
    <row r="21446" spans="43:43" x14ac:dyDescent="0.2">
      <c r="AQ21446" s="31"/>
    </row>
    <row r="21447" spans="43:43" x14ac:dyDescent="0.2">
      <c r="AQ21447" s="31"/>
    </row>
    <row r="21448" spans="43:43" x14ac:dyDescent="0.2">
      <c r="AQ21448" s="31"/>
    </row>
    <row r="21449" spans="43:43" x14ac:dyDescent="0.2">
      <c r="AQ21449" s="31"/>
    </row>
    <row r="21450" spans="43:43" x14ac:dyDescent="0.2">
      <c r="AQ21450" s="31"/>
    </row>
    <row r="21451" spans="43:43" x14ac:dyDescent="0.2">
      <c r="AQ21451" s="31"/>
    </row>
    <row r="21452" spans="43:43" x14ac:dyDescent="0.2">
      <c r="AQ21452" s="31"/>
    </row>
    <row r="21453" spans="43:43" x14ac:dyDescent="0.2">
      <c r="AQ21453" s="31"/>
    </row>
    <row r="21454" spans="43:43" x14ac:dyDescent="0.2">
      <c r="AQ21454" s="31"/>
    </row>
    <row r="21455" spans="43:43" x14ac:dyDescent="0.2">
      <c r="AQ21455" s="31"/>
    </row>
    <row r="21456" spans="43:43" x14ac:dyDescent="0.2">
      <c r="AQ21456" s="31"/>
    </row>
    <row r="21457" spans="43:43" x14ac:dyDescent="0.2">
      <c r="AQ21457" s="31"/>
    </row>
    <row r="21458" spans="43:43" x14ac:dyDescent="0.2">
      <c r="AQ21458" s="31"/>
    </row>
    <row r="21459" spans="43:43" x14ac:dyDescent="0.2">
      <c r="AQ21459" s="31"/>
    </row>
    <row r="21460" spans="43:43" x14ac:dyDescent="0.2">
      <c r="AQ21460" s="31"/>
    </row>
    <row r="21461" spans="43:43" x14ac:dyDescent="0.2">
      <c r="AQ21461" s="31"/>
    </row>
    <row r="21462" spans="43:43" x14ac:dyDescent="0.2">
      <c r="AQ21462" s="31"/>
    </row>
    <row r="21463" spans="43:43" x14ac:dyDescent="0.2">
      <c r="AQ21463" s="31"/>
    </row>
    <row r="21464" spans="43:43" x14ac:dyDescent="0.2">
      <c r="AQ21464" s="31"/>
    </row>
    <row r="21465" spans="43:43" x14ac:dyDescent="0.2">
      <c r="AQ21465" s="31"/>
    </row>
    <row r="21466" spans="43:43" x14ac:dyDescent="0.2">
      <c r="AQ21466" s="31"/>
    </row>
    <row r="21467" spans="43:43" x14ac:dyDescent="0.2">
      <c r="AQ21467" s="31"/>
    </row>
    <row r="21468" spans="43:43" x14ac:dyDescent="0.2">
      <c r="AQ21468" s="31"/>
    </row>
    <row r="21469" spans="43:43" x14ac:dyDescent="0.2">
      <c r="AQ21469" s="31"/>
    </row>
    <row r="21470" spans="43:43" x14ac:dyDescent="0.2">
      <c r="AQ21470" s="31"/>
    </row>
    <row r="21471" spans="43:43" x14ac:dyDescent="0.2">
      <c r="AQ21471" s="31"/>
    </row>
    <row r="21472" spans="43:43" x14ac:dyDescent="0.2">
      <c r="AQ21472" s="31"/>
    </row>
    <row r="21473" spans="43:43" x14ac:dyDescent="0.2">
      <c r="AQ21473" s="31"/>
    </row>
    <row r="21474" spans="43:43" x14ac:dyDescent="0.2">
      <c r="AQ21474" s="31"/>
    </row>
    <row r="21475" spans="43:43" x14ac:dyDescent="0.2">
      <c r="AQ21475" s="31"/>
    </row>
    <row r="21476" spans="43:43" x14ac:dyDescent="0.2">
      <c r="AQ21476" s="31"/>
    </row>
    <row r="21477" spans="43:43" x14ac:dyDescent="0.2">
      <c r="AQ21477" s="31"/>
    </row>
    <row r="21478" spans="43:43" x14ac:dyDescent="0.2">
      <c r="AQ21478" s="31"/>
    </row>
    <row r="21479" spans="43:43" x14ac:dyDescent="0.2">
      <c r="AQ21479" s="31"/>
    </row>
    <row r="21480" spans="43:43" x14ac:dyDescent="0.2">
      <c r="AQ21480" s="31"/>
    </row>
    <row r="21481" spans="43:43" x14ac:dyDescent="0.2">
      <c r="AQ21481" s="31"/>
    </row>
    <row r="21482" spans="43:43" x14ac:dyDescent="0.2">
      <c r="AQ21482" s="31"/>
    </row>
    <row r="21483" spans="43:43" x14ac:dyDescent="0.2">
      <c r="AQ21483" s="31"/>
    </row>
    <row r="21484" spans="43:43" x14ac:dyDescent="0.2">
      <c r="AQ21484" s="31"/>
    </row>
    <row r="21485" spans="43:43" x14ac:dyDescent="0.2">
      <c r="AQ21485" s="31"/>
    </row>
    <row r="21486" spans="43:43" x14ac:dyDescent="0.2">
      <c r="AQ21486" s="31"/>
    </row>
    <row r="21487" spans="43:43" x14ac:dyDescent="0.2">
      <c r="AQ21487" s="31"/>
    </row>
    <row r="21488" spans="43:43" x14ac:dyDescent="0.2">
      <c r="AQ21488" s="31"/>
    </row>
    <row r="21489" spans="43:43" x14ac:dyDescent="0.2">
      <c r="AQ21489" s="31"/>
    </row>
    <row r="21490" spans="43:43" x14ac:dyDescent="0.2">
      <c r="AQ21490" s="31"/>
    </row>
    <row r="21491" spans="43:43" x14ac:dyDescent="0.2">
      <c r="AQ21491" s="31"/>
    </row>
    <row r="21492" spans="43:43" x14ac:dyDescent="0.2">
      <c r="AQ21492" s="31"/>
    </row>
    <row r="21493" spans="43:43" x14ac:dyDescent="0.2">
      <c r="AQ21493" s="31"/>
    </row>
    <row r="21494" spans="43:43" x14ac:dyDescent="0.2">
      <c r="AQ21494" s="31"/>
    </row>
    <row r="21495" spans="43:43" x14ac:dyDescent="0.2">
      <c r="AQ21495" s="31"/>
    </row>
    <row r="21496" spans="43:43" x14ac:dyDescent="0.2">
      <c r="AQ21496" s="31"/>
    </row>
    <row r="21497" spans="43:43" x14ac:dyDescent="0.2">
      <c r="AQ21497" s="31"/>
    </row>
    <row r="21498" spans="43:43" x14ac:dyDescent="0.2">
      <c r="AQ21498" s="31"/>
    </row>
    <row r="21499" spans="43:43" x14ac:dyDescent="0.2">
      <c r="AQ21499" s="31"/>
    </row>
    <row r="21500" spans="43:43" x14ac:dyDescent="0.2">
      <c r="AQ21500" s="31"/>
    </row>
    <row r="21501" spans="43:43" x14ac:dyDescent="0.2">
      <c r="AQ21501" s="31"/>
    </row>
    <row r="21502" spans="43:43" x14ac:dyDescent="0.2">
      <c r="AQ21502" s="31"/>
    </row>
    <row r="21503" spans="43:43" x14ac:dyDescent="0.2">
      <c r="AQ21503" s="31"/>
    </row>
    <row r="21504" spans="43:43" x14ac:dyDescent="0.2">
      <c r="AQ21504" s="31"/>
    </row>
    <row r="21505" spans="43:43" x14ac:dyDescent="0.2">
      <c r="AQ21505" s="31"/>
    </row>
    <row r="21506" spans="43:43" x14ac:dyDescent="0.2">
      <c r="AQ21506" s="31"/>
    </row>
    <row r="21507" spans="43:43" x14ac:dyDescent="0.2">
      <c r="AQ21507" s="31"/>
    </row>
    <row r="21508" spans="43:43" x14ac:dyDescent="0.2">
      <c r="AQ21508" s="31"/>
    </row>
    <row r="21509" spans="43:43" x14ac:dyDescent="0.2">
      <c r="AQ21509" s="31"/>
    </row>
    <row r="21510" spans="43:43" x14ac:dyDescent="0.2">
      <c r="AQ21510" s="31"/>
    </row>
    <row r="21511" spans="43:43" x14ac:dyDescent="0.2">
      <c r="AQ21511" s="31"/>
    </row>
    <row r="21512" spans="43:43" x14ac:dyDescent="0.2">
      <c r="AQ21512" s="31"/>
    </row>
    <row r="21513" spans="43:43" x14ac:dyDescent="0.2">
      <c r="AQ21513" s="31"/>
    </row>
    <row r="21514" spans="43:43" x14ac:dyDescent="0.2">
      <c r="AQ21514" s="31"/>
    </row>
    <row r="21515" spans="43:43" x14ac:dyDescent="0.2">
      <c r="AQ21515" s="31"/>
    </row>
    <row r="21516" spans="43:43" x14ac:dyDescent="0.2">
      <c r="AQ21516" s="31"/>
    </row>
    <row r="21517" spans="43:43" x14ac:dyDescent="0.2">
      <c r="AQ21517" s="31"/>
    </row>
    <row r="21518" spans="43:43" x14ac:dyDescent="0.2">
      <c r="AQ21518" s="31"/>
    </row>
    <row r="21519" spans="43:43" x14ac:dyDescent="0.2">
      <c r="AQ21519" s="31"/>
    </row>
    <row r="21520" spans="43:43" x14ac:dyDescent="0.2">
      <c r="AQ21520" s="31"/>
    </row>
    <row r="21521" spans="43:43" x14ac:dyDescent="0.2">
      <c r="AQ21521" s="31"/>
    </row>
    <row r="21522" spans="43:43" x14ac:dyDescent="0.2">
      <c r="AQ21522" s="31"/>
    </row>
    <row r="21523" spans="43:43" x14ac:dyDescent="0.2">
      <c r="AQ21523" s="31"/>
    </row>
    <row r="21524" spans="43:43" x14ac:dyDescent="0.2">
      <c r="AQ21524" s="31"/>
    </row>
    <row r="21525" spans="43:43" x14ac:dyDescent="0.2">
      <c r="AQ21525" s="31"/>
    </row>
    <row r="21526" spans="43:43" x14ac:dyDescent="0.2">
      <c r="AQ21526" s="31"/>
    </row>
    <row r="21527" spans="43:43" x14ac:dyDescent="0.2">
      <c r="AQ21527" s="31"/>
    </row>
    <row r="21528" spans="43:43" x14ac:dyDescent="0.2">
      <c r="AQ21528" s="31"/>
    </row>
    <row r="21529" spans="43:43" x14ac:dyDescent="0.2">
      <c r="AQ21529" s="31"/>
    </row>
    <row r="21530" spans="43:43" x14ac:dyDescent="0.2">
      <c r="AQ21530" s="31"/>
    </row>
    <row r="21531" spans="43:43" x14ac:dyDescent="0.2">
      <c r="AQ21531" s="31"/>
    </row>
    <row r="21532" spans="43:43" x14ac:dyDescent="0.2">
      <c r="AQ21532" s="31"/>
    </row>
    <row r="21533" spans="43:43" x14ac:dyDescent="0.2">
      <c r="AQ21533" s="31"/>
    </row>
    <row r="21534" spans="43:43" x14ac:dyDescent="0.2">
      <c r="AQ21534" s="31"/>
    </row>
    <row r="21535" spans="43:43" x14ac:dyDescent="0.2">
      <c r="AQ21535" s="31"/>
    </row>
    <row r="21536" spans="43:43" x14ac:dyDescent="0.2">
      <c r="AQ21536" s="31"/>
    </row>
    <row r="21537" spans="43:43" x14ac:dyDescent="0.2">
      <c r="AQ21537" s="31"/>
    </row>
    <row r="21538" spans="43:43" x14ac:dyDescent="0.2">
      <c r="AQ21538" s="31"/>
    </row>
    <row r="21539" spans="43:43" x14ac:dyDescent="0.2">
      <c r="AQ21539" s="31"/>
    </row>
    <row r="21540" spans="43:43" x14ac:dyDescent="0.2">
      <c r="AQ21540" s="31"/>
    </row>
    <row r="21541" spans="43:43" x14ac:dyDescent="0.2">
      <c r="AQ21541" s="31"/>
    </row>
    <row r="21542" spans="43:43" x14ac:dyDescent="0.2">
      <c r="AQ21542" s="31"/>
    </row>
    <row r="21543" spans="43:43" x14ac:dyDescent="0.2">
      <c r="AQ21543" s="31"/>
    </row>
    <row r="21544" spans="43:43" x14ac:dyDescent="0.2">
      <c r="AQ21544" s="31"/>
    </row>
    <row r="21545" spans="43:43" x14ac:dyDescent="0.2">
      <c r="AQ21545" s="31"/>
    </row>
    <row r="21546" spans="43:43" x14ac:dyDescent="0.2">
      <c r="AQ21546" s="31"/>
    </row>
    <row r="21547" spans="43:43" x14ac:dyDescent="0.2">
      <c r="AQ21547" s="31"/>
    </row>
    <row r="21548" spans="43:43" x14ac:dyDescent="0.2">
      <c r="AQ21548" s="31"/>
    </row>
    <row r="21549" spans="43:43" x14ac:dyDescent="0.2">
      <c r="AQ21549" s="31"/>
    </row>
    <row r="21550" spans="43:43" x14ac:dyDescent="0.2">
      <c r="AQ21550" s="31"/>
    </row>
    <row r="21551" spans="43:43" x14ac:dyDescent="0.2">
      <c r="AQ21551" s="31"/>
    </row>
    <row r="21552" spans="43:43" x14ac:dyDescent="0.2">
      <c r="AQ21552" s="31"/>
    </row>
    <row r="21553" spans="43:43" x14ac:dyDescent="0.2">
      <c r="AQ21553" s="31"/>
    </row>
    <row r="21554" spans="43:43" x14ac:dyDescent="0.2">
      <c r="AQ21554" s="31"/>
    </row>
    <row r="21555" spans="43:43" x14ac:dyDescent="0.2">
      <c r="AQ21555" s="31"/>
    </row>
    <row r="21556" spans="43:43" x14ac:dyDescent="0.2">
      <c r="AQ21556" s="31"/>
    </row>
    <row r="21557" spans="43:43" x14ac:dyDescent="0.2">
      <c r="AQ21557" s="31"/>
    </row>
    <row r="21558" spans="43:43" x14ac:dyDescent="0.2">
      <c r="AQ21558" s="31"/>
    </row>
    <row r="21559" spans="43:43" x14ac:dyDescent="0.2">
      <c r="AQ21559" s="31"/>
    </row>
    <row r="21560" spans="43:43" x14ac:dyDescent="0.2">
      <c r="AQ21560" s="31"/>
    </row>
    <row r="21561" spans="43:43" x14ac:dyDescent="0.2">
      <c r="AQ21561" s="31"/>
    </row>
    <row r="21562" spans="43:43" x14ac:dyDescent="0.2">
      <c r="AQ21562" s="31"/>
    </row>
    <row r="21563" spans="43:43" x14ac:dyDescent="0.2">
      <c r="AQ21563" s="31"/>
    </row>
    <row r="21564" spans="43:43" x14ac:dyDescent="0.2">
      <c r="AQ21564" s="31"/>
    </row>
    <row r="21565" spans="43:43" x14ac:dyDescent="0.2">
      <c r="AQ21565" s="31"/>
    </row>
    <row r="21566" spans="43:43" x14ac:dyDescent="0.2">
      <c r="AQ21566" s="31"/>
    </row>
    <row r="21567" spans="43:43" x14ac:dyDescent="0.2">
      <c r="AQ21567" s="31"/>
    </row>
    <row r="21568" spans="43:43" x14ac:dyDescent="0.2">
      <c r="AQ21568" s="31"/>
    </row>
    <row r="21569" spans="43:43" x14ac:dyDescent="0.2">
      <c r="AQ21569" s="31"/>
    </row>
    <row r="21570" spans="43:43" x14ac:dyDescent="0.2">
      <c r="AQ21570" s="31"/>
    </row>
    <row r="21571" spans="43:43" x14ac:dyDescent="0.2">
      <c r="AQ21571" s="31"/>
    </row>
    <row r="21572" spans="43:43" x14ac:dyDescent="0.2">
      <c r="AQ21572" s="31"/>
    </row>
    <row r="21573" spans="43:43" x14ac:dyDescent="0.2">
      <c r="AQ21573" s="31"/>
    </row>
    <row r="21574" spans="43:43" x14ac:dyDescent="0.2">
      <c r="AQ21574" s="31"/>
    </row>
    <row r="21575" spans="43:43" x14ac:dyDescent="0.2">
      <c r="AQ21575" s="31"/>
    </row>
    <row r="21576" spans="43:43" x14ac:dyDescent="0.2">
      <c r="AQ21576" s="31"/>
    </row>
    <row r="21577" spans="43:43" x14ac:dyDescent="0.2">
      <c r="AQ21577" s="31"/>
    </row>
    <row r="21578" spans="43:43" x14ac:dyDescent="0.2">
      <c r="AQ21578" s="31"/>
    </row>
    <row r="21579" spans="43:43" x14ac:dyDescent="0.2">
      <c r="AQ21579" s="31"/>
    </row>
    <row r="21580" spans="43:43" x14ac:dyDescent="0.2">
      <c r="AQ21580" s="31"/>
    </row>
    <row r="21581" spans="43:43" x14ac:dyDescent="0.2">
      <c r="AQ21581" s="31"/>
    </row>
    <row r="21582" spans="43:43" x14ac:dyDescent="0.2">
      <c r="AQ21582" s="31"/>
    </row>
    <row r="21583" spans="43:43" x14ac:dyDescent="0.2">
      <c r="AQ21583" s="31"/>
    </row>
    <row r="21584" spans="43:43" x14ac:dyDescent="0.2">
      <c r="AQ21584" s="31"/>
    </row>
    <row r="21585" spans="43:43" x14ac:dyDescent="0.2">
      <c r="AQ21585" s="31"/>
    </row>
    <row r="21586" spans="43:43" x14ac:dyDescent="0.2">
      <c r="AQ21586" s="31"/>
    </row>
    <row r="21587" spans="43:43" x14ac:dyDescent="0.2">
      <c r="AQ21587" s="31"/>
    </row>
    <row r="21588" spans="43:43" x14ac:dyDescent="0.2">
      <c r="AQ21588" s="31"/>
    </row>
    <row r="21589" spans="43:43" x14ac:dyDescent="0.2">
      <c r="AQ21589" s="31"/>
    </row>
    <row r="21590" spans="43:43" x14ac:dyDescent="0.2">
      <c r="AQ21590" s="31"/>
    </row>
    <row r="21591" spans="43:43" x14ac:dyDescent="0.2">
      <c r="AQ21591" s="31"/>
    </row>
    <row r="21592" spans="43:43" x14ac:dyDescent="0.2">
      <c r="AQ21592" s="31"/>
    </row>
    <row r="21593" spans="43:43" x14ac:dyDescent="0.2">
      <c r="AQ21593" s="31"/>
    </row>
    <row r="21594" spans="43:43" x14ac:dyDescent="0.2">
      <c r="AQ21594" s="31"/>
    </row>
    <row r="21595" spans="43:43" x14ac:dyDescent="0.2">
      <c r="AQ21595" s="31"/>
    </row>
    <row r="21596" spans="43:43" x14ac:dyDescent="0.2">
      <c r="AQ21596" s="31"/>
    </row>
    <row r="21597" spans="43:43" x14ac:dyDescent="0.2">
      <c r="AQ21597" s="31"/>
    </row>
    <row r="21598" spans="43:43" x14ac:dyDescent="0.2">
      <c r="AQ21598" s="31"/>
    </row>
    <row r="21599" spans="43:43" x14ac:dyDescent="0.2">
      <c r="AQ21599" s="31"/>
    </row>
    <row r="21600" spans="43:43" x14ac:dyDescent="0.2">
      <c r="AQ21600" s="31"/>
    </row>
    <row r="21601" spans="43:43" x14ac:dyDescent="0.2">
      <c r="AQ21601" s="31"/>
    </row>
    <row r="21602" spans="43:43" x14ac:dyDescent="0.2">
      <c r="AQ21602" s="31"/>
    </row>
    <row r="21603" spans="43:43" x14ac:dyDescent="0.2">
      <c r="AQ21603" s="31"/>
    </row>
    <row r="21604" spans="43:43" x14ac:dyDescent="0.2">
      <c r="AQ21604" s="31"/>
    </row>
    <row r="21605" spans="43:43" x14ac:dyDescent="0.2">
      <c r="AQ21605" s="31"/>
    </row>
    <row r="21606" spans="43:43" x14ac:dyDescent="0.2">
      <c r="AQ21606" s="31"/>
    </row>
    <row r="21607" spans="43:43" x14ac:dyDescent="0.2">
      <c r="AQ21607" s="31"/>
    </row>
    <row r="21608" spans="43:43" x14ac:dyDescent="0.2">
      <c r="AQ21608" s="31"/>
    </row>
    <row r="21609" spans="43:43" x14ac:dyDescent="0.2">
      <c r="AQ21609" s="31"/>
    </row>
    <row r="21610" spans="43:43" x14ac:dyDescent="0.2">
      <c r="AQ21610" s="31"/>
    </row>
    <row r="21611" spans="43:43" x14ac:dyDescent="0.2">
      <c r="AQ21611" s="31"/>
    </row>
    <row r="21612" spans="43:43" x14ac:dyDescent="0.2">
      <c r="AQ21612" s="31"/>
    </row>
    <row r="21613" spans="43:43" x14ac:dyDescent="0.2">
      <c r="AQ21613" s="31"/>
    </row>
    <row r="21614" spans="43:43" x14ac:dyDescent="0.2">
      <c r="AQ21614" s="31"/>
    </row>
    <row r="21615" spans="43:43" x14ac:dyDescent="0.2">
      <c r="AQ21615" s="31"/>
    </row>
    <row r="21616" spans="43:43" x14ac:dyDescent="0.2">
      <c r="AQ21616" s="31"/>
    </row>
    <row r="21617" spans="43:43" x14ac:dyDescent="0.2">
      <c r="AQ21617" s="31"/>
    </row>
    <row r="21618" spans="43:43" x14ac:dyDescent="0.2">
      <c r="AQ21618" s="31"/>
    </row>
    <row r="21619" spans="43:43" x14ac:dyDescent="0.2">
      <c r="AQ21619" s="31"/>
    </row>
    <row r="21620" spans="43:43" x14ac:dyDescent="0.2">
      <c r="AQ21620" s="31"/>
    </row>
    <row r="21621" spans="43:43" x14ac:dyDescent="0.2">
      <c r="AQ21621" s="31"/>
    </row>
    <row r="21622" spans="43:43" x14ac:dyDescent="0.2">
      <c r="AQ21622" s="31"/>
    </row>
    <row r="21623" spans="43:43" x14ac:dyDescent="0.2">
      <c r="AQ21623" s="31"/>
    </row>
    <row r="21624" spans="43:43" x14ac:dyDescent="0.2">
      <c r="AQ21624" s="31"/>
    </row>
    <row r="21625" spans="43:43" x14ac:dyDescent="0.2">
      <c r="AQ21625" s="31"/>
    </row>
    <row r="21626" spans="43:43" x14ac:dyDescent="0.2">
      <c r="AQ21626" s="31"/>
    </row>
    <row r="21627" spans="43:43" x14ac:dyDescent="0.2">
      <c r="AQ21627" s="31"/>
    </row>
    <row r="21628" spans="43:43" x14ac:dyDescent="0.2">
      <c r="AQ21628" s="31"/>
    </row>
    <row r="21629" spans="43:43" x14ac:dyDescent="0.2">
      <c r="AQ21629" s="31"/>
    </row>
    <row r="21630" spans="43:43" x14ac:dyDescent="0.2">
      <c r="AQ21630" s="31"/>
    </row>
    <row r="21631" spans="43:43" x14ac:dyDescent="0.2">
      <c r="AQ21631" s="31"/>
    </row>
    <row r="21632" spans="43:43" x14ac:dyDescent="0.2">
      <c r="AQ21632" s="31"/>
    </row>
    <row r="21633" spans="43:43" x14ac:dyDescent="0.2">
      <c r="AQ21633" s="31"/>
    </row>
    <row r="21634" spans="43:43" x14ac:dyDescent="0.2">
      <c r="AQ21634" s="31"/>
    </row>
    <row r="21635" spans="43:43" x14ac:dyDescent="0.2">
      <c r="AQ21635" s="31"/>
    </row>
    <row r="21636" spans="43:43" x14ac:dyDescent="0.2">
      <c r="AQ21636" s="31"/>
    </row>
    <row r="21637" spans="43:43" x14ac:dyDescent="0.2">
      <c r="AQ21637" s="31"/>
    </row>
    <row r="21638" spans="43:43" x14ac:dyDescent="0.2">
      <c r="AQ21638" s="31"/>
    </row>
    <row r="21639" spans="43:43" x14ac:dyDescent="0.2">
      <c r="AQ21639" s="31"/>
    </row>
    <row r="21640" spans="43:43" x14ac:dyDescent="0.2">
      <c r="AQ21640" s="31"/>
    </row>
    <row r="21641" spans="43:43" x14ac:dyDescent="0.2">
      <c r="AQ21641" s="31"/>
    </row>
    <row r="21642" spans="43:43" x14ac:dyDescent="0.2">
      <c r="AQ21642" s="31"/>
    </row>
    <row r="21643" spans="43:43" x14ac:dyDescent="0.2">
      <c r="AQ21643" s="31"/>
    </row>
    <row r="21644" spans="43:43" x14ac:dyDescent="0.2">
      <c r="AQ21644" s="31"/>
    </row>
    <row r="21645" spans="43:43" x14ac:dyDescent="0.2">
      <c r="AQ21645" s="31"/>
    </row>
    <row r="21646" spans="43:43" x14ac:dyDescent="0.2">
      <c r="AQ21646" s="31"/>
    </row>
    <row r="21647" spans="43:43" x14ac:dyDescent="0.2">
      <c r="AQ21647" s="31"/>
    </row>
    <row r="21648" spans="43:43" x14ac:dyDescent="0.2">
      <c r="AQ21648" s="31"/>
    </row>
    <row r="21649" spans="43:43" x14ac:dyDescent="0.2">
      <c r="AQ21649" s="31"/>
    </row>
    <row r="21650" spans="43:43" x14ac:dyDescent="0.2">
      <c r="AQ21650" s="31"/>
    </row>
    <row r="21651" spans="43:43" x14ac:dyDescent="0.2">
      <c r="AQ21651" s="31"/>
    </row>
    <row r="21652" spans="43:43" x14ac:dyDescent="0.2">
      <c r="AQ21652" s="31"/>
    </row>
    <row r="21653" spans="43:43" x14ac:dyDescent="0.2">
      <c r="AQ21653" s="31"/>
    </row>
    <row r="21654" spans="43:43" x14ac:dyDescent="0.2">
      <c r="AQ21654" s="31"/>
    </row>
    <row r="21655" spans="43:43" x14ac:dyDescent="0.2">
      <c r="AQ21655" s="31"/>
    </row>
    <row r="21656" spans="43:43" x14ac:dyDescent="0.2">
      <c r="AQ21656" s="31"/>
    </row>
    <row r="21657" spans="43:43" x14ac:dyDescent="0.2">
      <c r="AQ21657" s="31"/>
    </row>
    <row r="21658" spans="43:43" x14ac:dyDescent="0.2">
      <c r="AQ21658" s="31"/>
    </row>
    <row r="21659" spans="43:43" x14ac:dyDescent="0.2">
      <c r="AQ21659" s="31"/>
    </row>
    <row r="21660" spans="43:43" x14ac:dyDescent="0.2">
      <c r="AQ21660" s="31"/>
    </row>
    <row r="21661" spans="43:43" x14ac:dyDescent="0.2">
      <c r="AQ21661" s="31"/>
    </row>
    <row r="21662" spans="43:43" x14ac:dyDescent="0.2">
      <c r="AQ21662" s="31"/>
    </row>
    <row r="21663" spans="43:43" x14ac:dyDescent="0.2">
      <c r="AQ21663" s="31"/>
    </row>
    <row r="21664" spans="43:43" x14ac:dyDescent="0.2">
      <c r="AQ21664" s="31"/>
    </row>
    <row r="21665" spans="43:43" x14ac:dyDescent="0.2">
      <c r="AQ21665" s="31"/>
    </row>
    <row r="21666" spans="43:43" x14ac:dyDescent="0.2">
      <c r="AQ21666" s="31"/>
    </row>
    <row r="21667" spans="43:43" x14ac:dyDescent="0.2">
      <c r="AQ21667" s="31"/>
    </row>
    <row r="21668" spans="43:43" x14ac:dyDescent="0.2">
      <c r="AQ21668" s="31"/>
    </row>
    <row r="21669" spans="43:43" x14ac:dyDescent="0.2">
      <c r="AQ21669" s="31"/>
    </row>
    <row r="21670" spans="43:43" x14ac:dyDescent="0.2">
      <c r="AQ21670" s="31"/>
    </row>
    <row r="21671" spans="43:43" x14ac:dyDescent="0.2">
      <c r="AQ21671" s="31"/>
    </row>
    <row r="21672" spans="43:43" x14ac:dyDescent="0.2">
      <c r="AQ21672" s="31"/>
    </row>
    <row r="21673" spans="43:43" x14ac:dyDescent="0.2">
      <c r="AQ21673" s="31"/>
    </row>
    <row r="21674" spans="43:43" x14ac:dyDescent="0.2">
      <c r="AQ21674" s="31"/>
    </row>
    <row r="21675" spans="43:43" x14ac:dyDescent="0.2">
      <c r="AQ21675" s="31"/>
    </row>
    <row r="21676" spans="43:43" x14ac:dyDescent="0.2">
      <c r="AQ21676" s="31"/>
    </row>
    <row r="21677" spans="43:43" x14ac:dyDescent="0.2">
      <c r="AQ21677" s="31"/>
    </row>
    <row r="21678" spans="43:43" x14ac:dyDescent="0.2">
      <c r="AQ21678" s="31"/>
    </row>
    <row r="21679" spans="43:43" x14ac:dyDescent="0.2">
      <c r="AQ21679" s="31"/>
    </row>
    <row r="21680" spans="43:43" x14ac:dyDescent="0.2">
      <c r="AQ21680" s="31"/>
    </row>
    <row r="21681" spans="43:43" x14ac:dyDescent="0.2">
      <c r="AQ21681" s="31"/>
    </row>
    <row r="21682" spans="43:43" x14ac:dyDescent="0.2">
      <c r="AQ21682" s="31"/>
    </row>
    <row r="21683" spans="43:43" x14ac:dyDescent="0.2">
      <c r="AQ21683" s="31"/>
    </row>
    <row r="21684" spans="43:43" x14ac:dyDescent="0.2">
      <c r="AQ21684" s="31"/>
    </row>
    <row r="21685" spans="43:43" x14ac:dyDescent="0.2">
      <c r="AQ21685" s="31"/>
    </row>
    <row r="21686" spans="43:43" x14ac:dyDescent="0.2">
      <c r="AQ21686" s="31"/>
    </row>
    <row r="21687" spans="43:43" x14ac:dyDescent="0.2">
      <c r="AQ21687" s="31"/>
    </row>
    <row r="21688" spans="43:43" x14ac:dyDescent="0.2">
      <c r="AQ21688" s="31"/>
    </row>
    <row r="21689" spans="43:43" x14ac:dyDescent="0.2">
      <c r="AQ21689" s="31"/>
    </row>
    <row r="21690" spans="43:43" x14ac:dyDescent="0.2">
      <c r="AQ21690" s="31"/>
    </row>
    <row r="21691" spans="43:43" x14ac:dyDescent="0.2">
      <c r="AQ21691" s="31"/>
    </row>
    <row r="21692" spans="43:43" x14ac:dyDescent="0.2">
      <c r="AQ21692" s="31"/>
    </row>
    <row r="21693" spans="43:43" x14ac:dyDescent="0.2">
      <c r="AQ21693" s="31"/>
    </row>
    <row r="21694" spans="43:43" x14ac:dyDescent="0.2">
      <c r="AQ21694" s="31"/>
    </row>
    <row r="21695" spans="43:43" x14ac:dyDescent="0.2">
      <c r="AQ21695" s="31"/>
    </row>
    <row r="21696" spans="43:43" x14ac:dyDescent="0.2">
      <c r="AQ21696" s="31"/>
    </row>
    <row r="21697" spans="43:43" x14ac:dyDescent="0.2">
      <c r="AQ21697" s="31"/>
    </row>
    <row r="21698" spans="43:43" x14ac:dyDescent="0.2">
      <c r="AQ21698" s="31"/>
    </row>
    <row r="21699" spans="43:43" x14ac:dyDescent="0.2">
      <c r="AQ21699" s="31"/>
    </row>
    <row r="21700" spans="43:43" x14ac:dyDescent="0.2">
      <c r="AQ21700" s="31"/>
    </row>
    <row r="21701" spans="43:43" x14ac:dyDescent="0.2">
      <c r="AQ21701" s="31"/>
    </row>
    <row r="21702" spans="43:43" x14ac:dyDescent="0.2">
      <c r="AQ21702" s="31"/>
    </row>
    <row r="21703" spans="43:43" x14ac:dyDescent="0.2">
      <c r="AQ21703" s="31"/>
    </row>
    <row r="21704" spans="43:43" x14ac:dyDescent="0.2">
      <c r="AQ21704" s="31"/>
    </row>
    <row r="21705" spans="43:43" x14ac:dyDescent="0.2">
      <c r="AQ21705" s="31"/>
    </row>
    <row r="21706" spans="43:43" x14ac:dyDescent="0.2">
      <c r="AQ21706" s="31"/>
    </row>
    <row r="21707" spans="43:43" x14ac:dyDescent="0.2">
      <c r="AQ21707" s="31"/>
    </row>
    <row r="21708" spans="43:43" x14ac:dyDescent="0.2">
      <c r="AQ21708" s="31"/>
    </row>
    <row r="21709" spans="43:43" x14ac:dyDescent="0.2">
      <c r="AQ21709" s="31"/>
    </row>
    <row r="21710" spans="43:43" x14ac:dyDescent="0.2">
      <c r="AQ21710" s="31"/>
    </row>
    <row r="21711" spans="43:43" x14ac:dyDescent="0.2">
      <c r="AQ21711" s="31"/>
    </row>
    <row r="21712" spans="43:43" x14ac:dyDescent="0.2">
      <c r="AQ21712" s="31"/>
    </row>
    <row r="21713" spans="43:43" x14ac:dyDescent="0.2">
      <c r="AQ21713" s="31"/>
    </row>
    <row r="21714" spans="43:43" x14ac:dyDescent="0.2">
      <c r="AQ21714" s="31"/>
    </row>
    <row r="21715" spans="43:43" x14ac:dyDescent="0.2">
      <c r="AQ21715" s="31"/>
    </row>
    <row r="21716" spans="43:43" x14ac:dyDescent="0.2">
      <c r="AQ21716" s="31"/>
    </row>
    <row r="21717" spans="43:43" x14ac:dyDescent="0.2">
      <c r="AQ21717" s="31"/>
    </row>
    <row r="21718" spans="43:43" x14ac:dyDescent="0.2">
      <c r="AQ21718" s="31"/>
    </row>
    <row r="21719" spans="43:43" x14ac:dyDescent="0.2">
      <c r="AQ21719" s="31"/>
    </row>
    <row r="21720" spans="43:43" x14ac:dyDescent="0.2">
      <c r="AQ21720" s="31"/>
    </row>
    <row r="21721" spans="43:43" x14ac:dyDescent="0.2">
      <c r="AQ21721" s="31"/>
    </row>
    <row r="21722" spans="43:43" x14ac:dyDescent="0.2">
      <c r="AQ21722" s="31"/>
    </row>
    <row r="21723" spans="43:43" x14ac:dyDescent="0.2">
      <c r="AQ21723" s="31"/>
    </row>
    <row r="21724" spans="43:43" x14ac:dyDescent="0.2">
      <c r="AQ21724" s="31"/>
    </row>
    <row r="21725" spans="43:43" x14ac:dyDescent="0.2">
      <c r="AQ21725" s="31"/>
    </row>
    <row r="21726" spans="43:43" x14ac:dyDescent="0.2">
      <c r="AQ21726" s="31"/>
    </row>
    <row r="21727" spans="43:43" x14ac:dyDescent="0.2">
      <c r="AQ21727" s="31"/>
    </row>
    <row r="21728" spans="43:43" x14ac:dyDescent="0.2">
      <c r="AQ21728" s="31"/>
    </row>
    <row r="21729" spans="43:43" x14ac:dyDescent="0.2">
      <c r="AQ21729" s="31"/>
    </row>
    <row r="21730" spans="43:43" x14ac:dyDescent="0.2">
      <c r="AQ21730" s="31"/>
    </row>
    <row r="21731" spans="43:43" x14ac:dyDescent="0.2">
      <c r="AQ21731" s="31"/>
    </row>
    <row r="21732" spans="43:43" x14ac:dyDescent="0.2">
      <c r="AQ21732" s="31"/>
    </row>
    <row r="21733" spans="43:43" x14ac:dyDescent="0.2">
      <c r="AQ21733" s="31"/>
    </row>
    <row r="21734" spans="43:43" x14ac:dyDescent="0.2">
      <c r="AQ21734" s="31"/>
    </row>
    <row r="21735" spans="43:43" x14ac:dyDescent="0.2">
      <c r="AQ21735" s="31"/>
    </row>
    <row r="21736" spans="43:43" x14ac:dyDescent="0.2">
      <c r="AQ21736" s="31"/>
    </row>
    <row r="21737" spans="43:43" x14ac:dyDescent="0.2">
      <c r="AQ21737" s="31"/>
    </row>
    <row r="21738" spans="43:43" x14ac:dyDescent="0.2">
      <c r="AQ21738" s="31"/>
    </row>
    <row r="21739" spans="43:43" x14ac:dyDescent="0.2">
      <c r="AQ21739" s="31"/>
    </row>
    <row r="21740" spans="43:43" x14ac:dyDescent="0.2">
      <c r="AQ21740" s="31"/>
    </row>
    <row r="21741" spans="43:43" x14ac:dyDescent="0.2">
      <c r="AQ21741" s="31"/>
    </row>
    <row r="21742" spans="43:43" x14ac:dyDescent="0.2">
      <c r="AQ21742" s="31"/>
    </row>
    <row r="21743" spans="43:43" x14ac:dyDescent="0.2">
      <c r="AQ21743" s="31"/>
    </row>
    <row r="21744" spans="43:43" x14ac:dyDescent="0.2">
      <c r="AQ21744" s="31"/>
    </row>
    <row r="21745" spans="43:43" x14ac:dyDescent="0.2">
      <c r="AQ21745" s="31"/>
    </row>
    <row r="21746" spans="43:43" x14ac:dyDescent="0.2">
      <c r="AQ21746" s="31"/>
    </row>
    <row r="21747" spans="43:43" x14ac:dyDescent="0.2">
      <c r="AQ21747" s="31"/>
    </row>
    <row r="21748" spans="43:43" x14ac:dyDescent="0.2">
      <c r="AQ21748" s="31"/>
    </row>
    <row r="21749" spans="43:43" x14ac:dyDescent="0.2">
      <c r="AQ21749" s="31"/>
    </row>
    <row r="21750" spans="43:43" x14ac:dyDescent="0.2">
      <c r="AQ21750" s="31"/>
    </row>
    <row r="21751" spans="43:43" x14ac:dyDescent="0.2">
      <c r="AQ21751" s="31"/>
    </row>
    <row r="21752" spans="43:43" x14ac:dyDescent="0.2">
      <c r="AQ21752" s="31"/>
    </row>
    <row r="21753" spans="43:43" x14ac:dyDescent="0.2">
      <c r="AQ21753" s="31"/>
    </row>
    <row r="21754" spans="43:43" x14ac:dyDescent="0.2">
      <c r="AQ21754" s="31"/>
    </row>
    <row r="21755" spans="43:43" x14ac:dyDescent="0.2">
      <c r="AQ21755" s="31"/>
    </row>
    <row r="21756" spans="43:43" x14ac:dyDescent="0.2">
      <c r="AQ21756" s="31"/>
    </row>
    <row r="21757" spans="43:43" x14ac:dyDescent="0.2">
      <c r="AQ21757" s="31"/>
    </row>
    <row r="21758" spans="43:43" x14ac:dyDescent="0.2">
      <c r="AQ21758" s="31"/>
    </row>
    <row r="21759" spans="43:43" x14ac:dyDescent="0.2">
      <c r="AQ21759" s="31"/>
    </row>
    <row r="21760" spans="43:43" x14ac:dyDescent="0.2">
      <c r="AQ21760" s="31"/>
    </row>
    <row r="21761" spans="43:43" x14ac:dyDescent="0.2">
      <c r="AQ21761" s="31"/>
    </row>
    <row r="21762" spans="43:43" x14ac:dyDescent="0.2">
      <c r="AQ21762" s="31"/>
    </row>
    <row r="21763" spans="43:43" x14ac:dyDescent="0.2">
      <c r="AQ21763" s="31"/>
    </row>
    <row r="21764" spans="43:43" x14ac:dyDescent="0.2">
      <c r="AQ21764" s="31"/>
    </row>
    <row r="21765" spans="43:43" x14ac:dyDescent="0.2">
      <c r="AQ21765" s="31"/>
    </row>
    <row r="21766" spans="43:43" x14ac:dyDescent="0.2">
      <c r="AQ21766" s="31"/>
    </row>
    <row r="21767" spans="43:43" x14ac:dyDescent="0.2">
      <c r="AQ21767" s="31"/>
    </row>
    <row r="21768" spans="43:43" x14ac:dyDescent="0.2">
      <c r="AQ21768" s="31"/>
    </row>
    <row r="21769" spans="43:43" x14ac:dyDescent="0.2">
      <c r="AQ21769" s="31"/>
    </row>
    <row r="21770" spans="43:43" x14ac:dyDescent="0.2">
      <c r="AQ21770" s="31"/>
    </row>
    <row r="21771" spans="43:43" x14ac:dyDescent="0.2">
      <c r="AQ21771" s="31"/>
    </row>
    <row r="21772" spans="43:43" x14ac:dyDescent="0.2">
      <c r="AQ21772" s="31"/>
    </row>
    <row r="21773" spans="43:43" x14ac:dyDescent="0.2">
      <c r="AQ21773" s="31"/>
    </row>
    <row r="21774" spans="43:43" x14ac:dyDescent="0.2">
      <c r="AQ21774" s="31"/>
    </row>
    <row r="21775" spans="43:43" x14ac:dyDescent="0.2">
      <c r="AQ21775" s="31"/>
    </row>
    <row r="21776" spans="43:43" x14ac:dyDescent="0.2">
      <c r="AQ21776" s="31"/>
    </row>
    <row r="21777" spans="43:43" x14ac:dyDescent="0.2">
      <c r="AQ21777" s="31"/>
    </row>
    <row r="21778" spans="43:43" x14ac:dyDescent="0.2">
      <c r="AQ21778" s="31"/>
    </row>
    <row r="21779" spans="43:43" x14ac:dyDescent="0.2">
      <c r="AQ21779" s="31"/>
    </row>
    <row r="21780" spans="43:43" x14ac:dyDescent="0.2">
      <c r="AQ21780" s="31"/>
    </row>
    <row r="21781" spans="43:43" x14ac:dyDescent="0.2">
      <c r="AQ21781" s="31"/>
    </row>
    <row r="21782" spans="43:43" x14ac:dyDescent="0.2">
      <c r="AQ21782" s="31"/>
    </row>
    <row r="21783" spans="43:43" x14ac:dyDescent="0.2">
      <c r="AQ21783" s="31"/>
    </row>
    <row r="21784" spans="43:43" x14ac:dyDescent="0.2">
      <c r="AQ21784" s="31"/>
    </row>
    <row r="21785" spans="43:43" x14ac:dyDescent="0.2">
      <c r="AQ21785" s="31"/>
    </row>
    <row r="21786" spans="43:43" x14ac:dyDescent="0.2">
      <c r="AQ21786" s="31"/>
    </row>
    <row r="21787" spans="43:43" x14ac:dyDescent="0.2">
      <c r="AQ21787" s="31"/>
    </row>
    <row r="21788" spans="43:43" x14ac:dyDescent="0.2">
      <c r="AQ21788" s="31"/>
    </row>
    <row r="21789" spans="43:43" x14ac:dyDescent="0.2">
      <c r="AQ21789" s="31"/>
    </row>
    <row r="21790" spans="43:43" x14ac:dyDescent="0.2">
      <c r="AQ21790" s="31"/>
    </row>
    <row r="21791" spans="43:43" x14ac:dyDescent="0.2">
      <c r="AQ21791" s="31"/>
    </row>
    <row r="21792" spans="43:43" x14ac:dyDescent="0.2">
      <c r="AQ21792" s="31"/>
    </row>
    <row r="21793" spans="43:43" x14ac:dyDescent="0.2">
      <c r="AQ21793" s="31"/>
    </row>
    <row r="21794" spans="43:43" x14ac:dyDescent="0.2">
      <c r="AQ21794" s="31"/>
    </row>
    <row r="21795" spans="43:43" x14ac:dyDescent="0.2">
      <c r="AQ21795" s="31"/>
    </row>
    <row r="21796" spans="43:43" x14ac:dyDescent="0.2">
      <c r="AQ21796" s="31"/>
    </row>
    <row r="21797" spans="43:43" x14ac:dyDescent="0.2">
      <c r="AQ21797" s="31"/>
    </row>
    <row r="21798" spans="43:43" x14ac:dyDescent="0.2">
      <c r="AQ21798" s="31"/>
    </row>
    <row r="21799" spans="43:43" x14ac:dyDescent="0.2">
      <c r="AQ21799" s="31"/>
    </row>
    <row r="21800" spans="43:43" x14ac:dyDescent="0.2">
      <c r="AQ21800" s="31"/>
    </row>
    <row r="21801" spans="43:43" x14ac:dyDescent="0.2">
      <c r="AQ21801" s="31"/>
    </row>
    <row r="21802" spans="43:43" x14ac:dyDescent="0.2">
      <c r="AQ21802" s="31"/>
    </row>
    <row r="21803" spans="43:43" x14ac:dyDescent="0.2">
      <c r="AQ21803" s="31"/>
    </row>
    <row r="21804" spans="43:43" x14ac:dyDescent="0.2">
      <c r="AQ21804" s="31"/>
    </row>
    <row r="21805" spans="43:43" x14ac:dyDescent="0.2">
      <c r="AQ21805" s="31"/>
    </row>
    <row r="21806" spans="43:43" x14ac:dyDescent="0.2">
      <c r="AQ21806" s="31"/>
    </row>
    <row r="21807" spans="43:43" x14ac:dyDescent="0.2">
      <c r="AQ21807" s="31"/>
    </row>
    <row r="21808" spans="43:43" x14ac:dyDescent="0.2">
      <c r="AQ21808" s="31"/>
    </row>
    <row r="21809" spans="43:43" x14ac:dyDescent="0.2">
      <c r="AQ21809" s="31"/>
    </row>
    <row r="21810" spans="43:43" x14ac:dyDescent="0.2">
      <c r="AQ21810" s="31"/>
    </row>
    <row r="21811" spans="43:43" x14ac:dyDescent="0.2">
      <c r="AQ21811" s="31"/>
    </row>
    <row r="21812" spans="43:43" x14ac:dyDescent="0.2">
      <c r="AQ21812" s="31"/>
    </row>
    <row r="21813" spans="43:43" x14ac:dyDescent="0.2">
      <c r="AQ21813" s="31"/>
    </row>
    <row r="21814" spans="43:43" x14ac:dyDescent="0.2">
      <c r="AQ21814" s="31"/>
    </row>
    <row r="21815" spans="43:43" x14ac:dyDescent="0.2">
      <c r="AQ21815" s="31"/>
    </row>
    <row r="21816" spans="43:43" x14ac:dyDescent="0.2">
      <c r="AQ21816" s="31"/>
    </row>
    <row r="21817" spans="43:43" x14ac:dyDescent="0.2">
      <c r="AQ21817" s="31"/>
    </row>
    <row r="21818" spans="43:43" x14ac:dyDescent="0.2">
      <c r="AQ21818" s="31"/>
    </row>
    <row r="21819" spans="43:43" x14ac:dyDescent="0.2">
      <c r="AQ21819" s="31"/>
    </row>
    <row r="21820" spans="43:43" x14ac:dyDescent="0.2">
      <c r="AQ21820" s="31"/>
    </row>
    <row r="21821" spans="43:43" x14ac:dyDescent="0.2">
      <c r="AQ21821" s="31"/>
    </row>
    <row r="21822" spans="43:43" x14ac:dyDescent="0.2">
      <c r="AQ21822" s="31"/>
    </row>
    <row r="21823" spans="43:43" x14ac:dyDescent="0.2">
      <c r="AQ21823" s="31"/>
    </row>
    <row r="21824" spans="43:43" x14ac:dyDescent="0.2">
      <c r="AQ21824" s="31"/>
    </row>
    <row r="21825" spans="43:43" x14ac:dyDescent="0.2">
      <c r="AQ21825" s="31"/>
    </row>
    <row r="21826" spans="43:43" x14ac:dyDescent="0.2">
      <c r="AQ21826" s="31"/>
    </row>
    <row r="21827" spans="43:43" x14ac:dyDescent="0.2">
      <c r="AQ21827" s="31"/>
    </row>
    <row r="21828" spans="43:43" x14ac:dyDescent="0.2">
      <c r="AQ21828" s="31"/>
    </row>
    <row r="21829" spans="43:43" x14ac:dyDescent="0.2">
      <c r="AQ21829" s="31"/>
    </row>
    <row r="21830" spans="43:43" x14ac:dyDescent="0.2">
      <c r="AQ21830" s="31"/>
    </row>
    <row r="21831" spans="43:43" x14ac:dyDescent="0.2">
      <c r="AQ21831" s="31"/>
    </row>
    <row r="21832" spans="43:43" x14ac:dyDescent="0.2">
      <c r="AQ21832" s="31"/>
    </row>
    <row r="21833" spans="43:43" x14ac:dyDescent="0.2">
      <c r="AQ21833" s="31"/>
    </row>
    <row r="21834" spans="43:43" x14ac:dyDescent="0.2">
      <c r="AQ21834" s="31"/>
    </row>
    <row r="21835" spans="43:43" x14ac:dyDescent="0.2">
      <c r="AQ21835" s="31"/>
    </row>
    <row r="21836" spans="43:43" x14ac:dyDescent="0.2">
      <c r="AQ21836" s="31"/>
    </row>
    <row r="21837" spans="43:43" x14ac:dyDescent="0.2">
      <c r="AQ21837" s="31"/>
    </row>
    <row r="21838" spans="43:43" x14ac:dyDescent="0.2">
      <c r="AQ21838" s="31"/>
    </row>
    <row r="21839" spans="43:43" x14ac:dyDescent="0.2">
      <c r="AQ21839" s="31"/>
    </row>
    <row r="21840" spans="43:43" x14ac:dyDescent="0.2">
      <c r="AQ21840" s="31"/>
    </row>
    <row r="21841" spans="43:43" x14ac:dyDescent="0.2">
      <c r="AQ21841" s="31"/>
    </row>
    <row r="21842" spans="43:43" x14ac:dyDescent="0.2">
      <c r="AQ21842" s="31"/>
    </row>
    <row r="21843" spans="43:43" x14ac:dyDescent="0.2">
      <c r="AQ21843" s="31"/>
    </row>
    <row r="21844" spans="43:43" x14ac:dyDescent="0.2">
      <c r="AQ21844" s="31"/>
    </row>
    <row r="21845" spans="43:43" x14ac:dyDescent="0.2">
      <c r="AQ21845" s="31"/>
    </row>
    <row r="21846" spans="43:43" x14ac:dyDescent="0.2">
      <c r="AQ21846" s="31"/>
    </row>
    <row r="21847" spans="43:43" x14ac:dyDescent="0.2">
      <c r="AQ21847" s="31"/>
    </row>
    <row r="21848" spans="43:43" x14ac:dyDescent="0.2">
      <c r="AQ21848" s="31"/>
    </row>
    <row r="21849" spans="43:43" x14ac:dyDescent="0.2">
      <c r="AQ21849" s="31"/>
    </row>
    <row r="21850" spans="43:43" x14ac:dyDescent="0.2">
      <c r="AQ21850" s="31"/>
    </row>
    <row r="21851" spans="43:43" x14ac:dyDescent="0.2">
      <c r="AQ21851" s="31"/>
    </row>
    <row r="21852" spans="43:43" x14ac:dyDescent="0.2">
      <c r="AQ21852" s="31"/>
    </row>
    <row r="21853" spans="43:43" x14ac:dyDescent="0.2">
      <c r="AQ21853" s="31"/>
    </row>
    <row r="21854" spans="43:43" x14ac:dyDescent="0.2">
      <c r="AQ21854" s="31"/>
    </row>
    <row r="21855" spans="43:43" x14ac:dyDescent="0.2">
      <c r="AQ21855" s="31"/>
    </row>
    <row r="21856" spans="43:43" x14ac:dyDescent="0.2">
      <c r="AQ21856" s="31"/>
    </row>
    <row r="21857" spans="43:43" x14ac:dyDescent="0.2">
      <c r="AQ21857" s="31"/>
    </row>
    <row r="21858" spans="43:43" x14ac:dyDescent="0.2">
      <c r="AQ21858" s="31"/>
    </row>
    <row r="21859" spans="43:43" x14ac:dyDescent="0.2">
      <c r="AQ21859" s="31"/>
    </row>
    <row r="21860" spans="43:43" x14ac:dyDescent="0.2">
      <c r="AQ21860" s="31"/>
    </row>
    <row r="21861" spans="43:43" x14ac:dyDescent="0.2">
      <c r="AQ21861" s="31"/>
    </row>
    <row r="21862" spans="43:43" x14ac:dyDescent="0.2">
      <c r="AQ21862" s="31"/>
    </row>
    <row r="21863" spans="43:43" x14ac:dyDescent="0.2">
      <c r="AQ21863" s="31"/>
    </row>
    <row r="21864" spans="43:43" x14ac:dyDescent="0.2">
      <c r="AQ21864" s="31"/>
    </row>
    <row r="21865" spans="43:43" x14ac:dyDescent="0.2">
      <c r="AQ21865" s="31"/>
    </row>
    <row r="21866" spans="43:43" x14ac:dyDescent="0.2">
      <c r="AQ21866" s="31"/>
    </row>
    <row r="21867" spans="43:43" x14ac:dyDescent="0.2">
      <c r="AQ21867" s="31"/>
    </row>
    <row r="21868" spans="43:43" x14ac:dyDescent="0.2">
      <c r="AQ21868" s="31"/>
    </row>
    <row r="21869" spans="43:43" x14ac:dyDescent="0.2">
      <c r="AQ21869" s="31"/>
    </row>
    <row r="21870" spans="43:43" x14ac:dyDescent="0.2">
      <c r="AQ21870" s="31"/>
    </row>
    <row r="21871" spans="43:43" x14ac:dyDescent="0.2">
      <c r="AQ21871" s="31"/>
    </row>
    <row r="21872" spans="43:43" x14ac:dyDescent="0.2">
      <c r="AQ21872" s="31"/>
    </row>
    <row r="21873" spans="43:43" x14ac:dyDescent="0.2">
      <c r="AQ21873" s="31"/>
    </row>
    <row r="21874" spans="43:43" x14ac:dyDescent="0.2">
      <c r="AQ21874" s="31"/>
    </row>
    <row r="21875" spans="43:43" x14ac:dyDescent="0.2">
      <c r="AQ21875" s="31"/>
    </row>
    <row r="21876" spans="43:43" x14ac:dyDescent="0.2">
      <c r="AQ21876" s="31"/>
    </row>
    <row r="21877" spans="43:43" x14ac:dyDescent="0.2">
      <c r="AQ21877" s="31"/>
    </row>
    <row r="21878" spans="43:43" x14ac:dyDescent="0.2">
      <c r="AQ21878" s="31"/>
    </row>
    <row r="21879" spans="43:43" x14ac:dyDescent="0.2">
      <c r="AQ21879" s="31"/>
    </row>
    <row r="21880" spans="43:43" x14ac:dyDescent="0.2">
      <c r="AQ21880" s="31"/>
    </row>
    <row r="21881" spans="43:43" x14ac:dyDescent="0.2">
      <c r="AQ21881" s="31"/>
    </row>
    <row r="21882" spans="43:43" x14ac:dyDescent="0.2">
      <c r="AQ21882" s="31"/>
    </row>
    <row r="21883" spans="43:43" x14ac:dyDescent="0.2">
      <c r="AQ21883" s="31"/>
    </row>
    <row r="21884" spans="43:43" x14ac:dyDescent="0.2">
      <c r="AQ21884" s="31"/>
    </row>
    <row r="21885" spans="43:43" x14ac:dyDescent="0.2">
      <c r="AQ21885" s="31"/>
    </row>
    <row r="21886" spans="43:43" x14ac:dyDescent="0.2">
      <c r="AQ21886" s="31"/>
    </row>
    <row r="21887" spans="43:43" x14ac:dyDescent="0.2">
      <c r="AQ21887" s="31"/>
    </row>
    <row r="21888" spans="43:43" x14ac:dyDescent="0.2">
      <c r="AQ21888" s="31"/>
    </row>
    <row r="21889" spans="43:43" x14ac:dyDescent="0.2">
      <c r="AQ21889" s="31"/>
    </row>
    <row r="21890" spans="43:43" x14ac:dyDescent="0.2">
      <c r="AQ21890" s="31"/>
    </row>
    <row r="21891" spans="43:43" x14ac:dyDescent="0.2">
      <c r="AQ21891" s="31"/>
    </row>
    <row r="21892" spans="43:43" x14ac:dyDescent="0.2">
      <c r="AQ21892" s="31"/>
    </row>
    <row r="21893" spans="43:43" x14ac:dyDescent="0.2">
      <c r="AQ21893" s="31"/>
    </row>
    <row r="21894" spans="43:43" x14ac:dyDescent="0.2">
      <c r="AQ21894" s="31"/>
    </row>
    <row r="21895" spans="43:43" x14ac:dyDescent="0.2">
      <c r="AQ21895" s="31"/>
    </row>
    <row r="21896" spans="43:43" x14ac:dyDescent="0.2">
      <c r="AQ21896" s="31"/>
    </row>
    <row r="21897" spans="43:43" x14ac:dyDescent="0.2">
      <c r="AQ21897" s="31"/>
    </row>
    <row r="21898" spans="43:43" x14ac:dyDescent="0.2">
      <c r="AQ21898" s="31"/>
    </row>
    <row r="21899" spans="43:43" x14ac:dyDescent="0.2">
      <c r="AQ21899" s="31"/>
    </row>
    <row r="21900" spans="43:43" x14ac:dyDescent="0.2">
      <c r="AQ21900" s="31"/>
    </row>
    <row r="21901" spans="43:43" x14ac:dyDescent="0.2">
      <c r="AQ21901" s="31"/>
    </row>
    <row r="21902" spans="43:43" x14ac:dyDescent="0.2">
      <c r="AQ21902" s="31"/>
    </row>
    <row r="21903" spans="43:43" x14ac:dyDescent="0.2">
      <c r="AQ21903" s="31"/>
    </row>
    <row r="21904" spans="43:43" x14ac:dyDescent="0.2">
      <c r="AQ21904" s="31"/>
    </row>
    <row r="21905" spans="43:43" x14ac:dyDescent="0.2">
      <c r="AQ21905" s="31"/>
    </row>
    <row r="21906" spans="43:43" x14ac:dyDescent="0.2">
      <c r="AQ21906" s="31"/>
    </row>
    <row r="21907" spans="43:43" x14ac:dyDescent="0.2">
      <c r="AQ21907" s="31"/>
    </row>
    <row r="21908" spans="43:43" x14ac:dyDescent="0.2">
      <c r="AQ21908" s="31"/>
    </row>
    <row r="21909" spans="43:43" x14ac:dyDescent="0.2">
      <c r="AQ21909" s="31"/>
    </row>
    <row r="21910" spans="43:43" x14ac:dyDescent="0.2">
      <c r="AQ21910" s="31"/>
    </row>
    <row r="21911" spans="43:43" x14ac:dyDescent="0.2">
      <c r="AQ21911" s="31"/>
    </row>
    <row r="21912" spans="43:43" x14ac:dyDescent="0.2">
      <c r="AQ21912" s="31"/>
    </row>
    <row r="21913" spans="43:43" x14ac:dyDescent="0.2">
      <c r="AQ21913" s="31"/>
    </row>
    <row r="21914" spans="43:43" x14ac:dyDescent="0.2">
      <c r="AQ21914" s="31"/>
    </row>
    <row r="21915" spans="43:43" x14ac:dyDescent="0.2">
      <c r="AQ21915" s="31"/>
    </row>
    <row r="21916" spans="43:43" x14ac:dyDescent="0.2">
      <c r="AQ21916" s="31"/>
    </row>
    <row r="21917" spans="43:43" x14ac:dyDescent="0.2">
      <c r="AQ21917" s="31"/>
    </row>
    <row r="21918" spans="43:43" x14ac:dyDescent="0.2">
      <c r="AQ21918" s="31"/>
    </row>
    <row r="21919" spans="43:43" x14ac:dyDescent="0.2">
      <c r="AQ21919" s="31"/>
    </row>
    <row r="21920" spans="43:43" x14ac:dyDescent="0.2">
      <c r="AQ21920" s="31"/>
    </row>
    <row r="21921" spans="43:43" x14ac:dyDescent="0.2">
      <c r="AQ21921" s="31"/>
    </row>
    <row r="21922" spans="43:43" x14ac:dyDescent="0.2">
      <c r="AQ21922" s="31"/>
    </row>
    <row r="21923" spans="43:43" x14ac:dyDescent="0.2">
      <c r="AQ21923" s="31"/>
    </row>
    <row r="21924" spans="43:43" x14ac:dyDescent="0.2">
      <c r="AQ21924" s="31"/>
    </row>
    <row r="21925" spans="43:43" x14ac:dyDescent="0.2">
      <c r="AQ21925" s="31"/>
    </row>
    <row r="21926" spans="43:43" x14ac:dyDescent="0.2">
      <c r="AQ21926" s="31"/>
    </row>
    <row r="21927" spans="43:43" x14ac:dyDescent="0.2">
      <c r="AQ21927" s="31"/>
    </row>
    <row r="21928" spans="43:43" x14ac:dyDescent="0.2">
      <c r="AQ21928" s="31"/>
    </row>
    <row r="21929" spans="43:43" x14ac:dyDescent="0.2">
      <c r="AQ21929" s="31"/>
    </row>
    <row r="21930" spans="43:43" x14ac:dyDescent="0.2">
      <c r="AQ21930" s="31"/>
    </row>
    <row r="21931" spans="43:43" x14ac:dyDescent="0.2">
      <c r="AQ21931" s="31"/>
    </row>
    <row r="21932" spans="43:43" x14ac:dyDescent="0.2">
      <c r="AQ21932" s="31"/>
    </row>
    <row r="21933" spans="43:43" x14ac:dyDescent="0.2">
      <c r="AQ21933" s="31"/>
    </row>
    <row r="21934" spans="43:43" x14ac:dyDescent="0.2">
      <c r="AQ21934" s="31"/>
    </row>
    <row r="21935" spans="43:43" x14ac:dyDescent="0.2">
      <c r="AQ21935" s="31"/>
    </row>
    <row r="21936" spans="43:43" x14ac:dyDescent="0.2">
      <c r="AQ21936" s="31"/>
    </row>
    <row r="21937" spans="43:43" x14ac:dyDescent="0.2">
      <c r="AQ21937" s="31"/>
    </row>
    <row r="21938" spans="43:43" x14ac:dyDescent="0.2">
      <c r="AQ21938" s="31"/>
    </row>
    <row r="21939" spans="43:43" x14ac:dyDescent="0.2">
      <c r="AQ21939" s="31"/>
    </row>
    <row r="21940" spans="43:43" x14ac:dyDescent="0.2">
      <c r="AQ21940" s="31"/>
    </row>
    <row r="21941" spans="43:43" x14ac:dyDescent="0.2">
      <c r="AQ21941" s="31"/>
    </row>
    <row r="21942" spans="43:43" x14ac:dyDescent="0.2">
      <c r="AQ21942" s="31"/>
    </row>
    <row r="21943" spans="43:43" x14ac:dyDescent="0.2">
      <c r="AQ21943" s="31"/>
    </row>
    <row r="21944" spans="43:43" x14ac:dyDescent="0.2">
      <c r="AQ21944" s="31"/>
    </row>
    <row r="21945" spans="43:43" x14ac:dyDescent="0.2">
      <c r="AQ21945" s="31"/>
    </row>
    <row r="21946" spans="43:43" x14ac:dyDescent="0.2">
      <c r="AQ21946" s="31"/>
    </row>
    <row r="21947" spans="43:43" x14ac:dyDescent="0.2">
      <c r="AQ21947" s="31"/>
    </row>
    <row r="21948" spans="43:43" x14ac:dyDescent="0.2">
      <c r="AQ21948" s="31"/>
    </row>
    <row r="21949" spans="43:43" x14ac:dyDescent="0.2">
      <c r="AQ21949" s="31"/>
    </row>
    <row r="21950" spans="43:43" x14ac:dyDescent="0.2">
      <c r="AQ21950" s="31"/>
    </row>
    <row r="21951" spans="43:43" x14ac:dyDescent="0.2">
      <c r="AQ21951" s="31"/>
    </row>
    <row r="21952" spans="43:43" x14ac:dyDescent="0.2">
      <c r="AQ21952" s="31"/>
    </row>
    <row r="21953" spans="43:43" x14ac:dyDescent="0.2">
      <c r="AQ21953" s="31"/>
    </row>
    <row r="21954" spans="43:43" x14ac:dyDescent="0.2">
      <c r="AQ21954" s="31"/>
    </row>
    <row r="21955" spans="43:43" x14ac:dyDescent="0.2">
      <c r="AQ21955" s="31"/>
    </row>
    <row r="21956" spans="43:43" x14ac:dyDescent="0.2">
      <c r="AQ21956" s="31"/>
    </row>
    <row r="21957" spans="43:43" x14ac:dyDescent="0.2">
      <c r="AQ21957" s="31"/>
    </row>
    <row r="21958" spans="43:43" x14ac:dyDescent="0.2">
      <c r="AQ21958" s="31"/>
    </row>
    <row r="21959" spans="43:43" x14ac:dyDescent="0.2">
      <c r="AQ21959" s="31"/>
    </row>
    <row r="21960" spans="43:43" x14ac:dyDescent="0.2">
      <c r="AQ21960" s="31"/>
    </row>
    <row r="21961" spans="43:43" x14ac:dyDescent="0.2">
      <c r="AQ21961" s="31"/>
    </row>
    <row r="21962" spans="43:43" x14ac:dyDescent="0.2">
      <c r="AQ21962" s="31"/>
    </row>
    <row r="21963" spans="43:43" x14ac:dyDescent="0.2">
      <c r="AQ21963" s="31"/>
    </row>
    <row r="21964" spans="43:43" x14ac:dyDescent="0.2">
      <c r="AQ21964" s="31"/>
    </row>
    <row r="21965" spans="43:43" x14ac:dyDescent="0.2">
      <c r="AQ21965" s="31"/>
    </row>
    <row r="21966" spans="43:43" x14ac:dyDescent="0.2">
      <c r="AQ21966" s="31"/>
    </row>
    <row r="21967" spans="43:43" x14ac:dyDescent="0.2">
      <c r="AQ21967" s="31"/>
    </row>
    <row r="21968" spans="43:43" x14ac:dyDescent="0.2">
      <c r="AQ21968" s="31"/>
    </row>
    <row r="21969" spans="43:43" x14ac:dyDescent="0.2">
      <c r="AQ21969" s="31"/>
    </row>
    <row r="21970" spans="43:43" x14ac:dyDescent="0.2">
      <c r="AQ21970" s="31"/>
    </row>
    <row r="21971" spans="43:43" x14ac:dyDescent="0.2">
      <c r="AQ21971" s="31"/>
    </row>
    <row r="21972" spans="43:43" x14ac:dyDescent="0.2">
      <c r="AQ21972" s="31"/>
    </row>
    <row r="21973" spans="43:43" x14ac:dyDescent="0.2">
      <c r="AQ21973" s="31"/>
    </row>
    <row r="21974" spans="43:43" x14ac:dyDescent="0.2">
      <c r="AQ21974" s="31"/>
    </row>
    <row r="21975" spans="43:43" x14ac:dyDescent="0.2">
      <c r="AQ21975" s="31"/>
    </row>
    <row r="21976" spans="43:43" x14ac:dyDescent="0.2">
      <c r="AQ21976" s="31"/>
    </row>
    <row r="21977" spans="43:43" x14ac:dyDescent="0.2">
      <c r="AQ21977" s="31"/>
    </row>
    <row r="21978" spans="43:43" x14ac:dyDescent="0.2">
      <c r="AQ21978" s="31"/>
    </row>
    <row r="21979" spans="43:43" x14ac:dyDescent="0.2">
      <c r="AQ21979" s="31"/>
    </row>
    <row r="21980" spans="43:43" x14ac:dyDescent="0.2">
      <c r="AQ21980" s="31"/>
    </row>
    <row r="21981" spans="43:43" x14ac:dyDescent="0.2">
      <c r="AQ21981" s="31"/>
    </row>
    <row r="21982" spans="43:43" x14ac:dyDescent="0.2">
      <c r="AQ21982" s="31"/>
    </row>
    <row r="21983" spans="43:43" x14ac:dyDescent="0.2">
      <c r="AQ21983" s="31"/>
    </row>
    <row r="21984" spans="43:43" x14ac:dyDescent="0.2">
      <c r="AQ21984" s="31"/>
    </row>
    <row r="21985" spans="43:43" x14ac:dyDescent="0.2">
      <c r="AQ21985" s="31"/>
    </row>
    <row r="21986" spans="43:43" x14ac:dyDescent="0.2">
      <c r="AQ21986" s="31"/>
    </row>
    <row r="21987" spans="43:43" x14ac:dyDescent="0.2">
      <c r="AQ21987" s="31"/>
    </row>
    <row r="21988" spans="43:43" x14ac:dyDescent="0.2">
      <c r="AQ21988" s="31"/>
    </row>
    <row r="21989" spans="43:43" x14ac:dyDescent="0.2">
      <c r="AQ21989" s="31"/>
    </row>
    <row r="21990" spans="43:43" x14ac:dyDescent="0.2">
      <c r="AQ21990" s="31"/>
    </row>
    <row r="21991" spans="43:43" x14ac:dyDescent="0.2">
      <c r="AQ21991" s="31"/>
    </row>
    <row r="21992" spans="43:43" x14ac:dyDescent="0.2">
      <c r="AQ21992" s="31"/>
    </row>
    <row r="21993" spans="43:43" x14ac:dyDescent="0.2">
      <c r="AQ21993" s="31"/>
    </row>
    <row r="21994" spans="43:43" x14ac:dyDescent="0.2">
      <c r="AQ21994" s="31"/>
    </row>
    <row r="21995" spans="43:43" x14ac:dyDescent="0.2">
      <c r="AQ21995" s="31"/>
    </row>
    <row r="21996" spans="43:43" x14ac:dyDescent="0.2">
      <c r="AQ21996" s="31"/>
    </row>
    <row r="21997" spans="43:43" x14ac:dyDescent="0.2">
      <c r="AQ21997" s="31"/>
    </row>
    <row r="21998" spans="43:43" x14ac:dyDescent="0.2">
      <c r="AQ21998" s="31"/>
    </row>
    <row r="21999" spans="43:43" x14ac:dyDescent="0.2">
      <c r="AQ21999" s="31"/>
    </row>
    <row r="22000" spans="43:43" x14ac:dyDescent="0.2">
      <c r="AQ22000" s="31"/>
    </row>
    <row r="22001" spans="43:43" x14ac:dyDescent="0.2">
      <c r="AQ22001" s="31"/>
    </row>
    <row r="22002" spans="43:43" x14ac:dyDescent="0.2">
      <c r="AQ22002" s="31"/>
    </row>
    <row r="22003" spans="43:43" x14ac:dyDescent="0.2">
      <c r="AQ22003" s="31"/>
    </row>
    <row r="22004" spans="43:43" x14ac:dyDescent="0.2">
      <c r="AQ22004" s="31"/>
    </row>
    <row r="22005" spans="43:43" x14ac:dyDescent="0.2">
      <c r="AQ22005" s="31"/>
    </row>
    <row r="22006" spans="43:43" x14ac:dyDescent="0.2">
      <c r="AQ22006" s="31"/>
    </row>
    <row r="22007" spans="43:43" x14ac:dyDescent="0.2">
      <c r="AQ22007" s="31"/>
    </row>
    <row r="22008" spans="43:43" x14ac:dyDescent="0.2">
      <c r="AQ22008" s="31"/>
    </row>
    <row r="22009" spans="43:43" x14ac:dyDescent="0.2">
      <c r="AQ22009" s="31"/>
    </row>
    <row r="22010" spans="43:43" x14ac:dyDescent="0.2">
      <c r="AQ22010" s="31"/>
    </row>
    <row r="22011" spans="43:43" x14ac:dyDescent="0.2">
      <c r="AQ22011" s="31"/>
    </row>
    <row r="22012" spans="43:43" x14ac:dyDescent="0.2">
      <c r="AQ22012" s="31"/>
    </row>
    <row r="22013" spans="43:43" x14ac:dyDescent="0.2">
      <c r="AQ22013" s="31"/>
    </row>
    <row r="22014" spans="43:43" x14ac:dyDescent="0.2">
      <c r="AQ22014" s="31"/>
    </row>
    <row r="22015" spans="43:43" x14ac:dyDescent="0.2">
      <c r="AQ22015" s="31"/>
    </row>
    <row r="22016" spans="43:43" x14ac:dyDescent="0.2">
      <c r="AQ22016" s="31"/>
    </row>
    <row r="22017" spans="43:43" x14ac:dyDescent="0.2">
      <c r="AQ22017" s="31"/>
    </row>
    <row r="22018" spans="43:43" x14ac:dyDescent="0.2">
      <c r="AQ22018" s="31"/>
    </row>
    <row r="22019" spans="43:43" x14ac:dyDescent="0.2">
      <c r="AQ22019" s="31"/>
    </row>
    <row r="22020" spans="43:43" x14ac:dyDescent="0.2">
      <c r="AQ22020" s="31"/>
    </row>
    <row r="22021" spans="43:43" x14ac:dyDescent="0.2">
      <c r="AQ22021" s="31"/>
    </row>
    <row r="22022" spans="43:43" x14ac:dyDescent="0.2">
      <c r="AQ22022" s="31"/>
    </row>
    <row r="22023" spans="43:43" x14ac:dyDescent="0.2">
      <c r="AQ22023" s="31"/>
    </row>
    <row r="22024" spans="43:43" x14ac:dyDescent="0.2">
      <c r="AQ22024" s="31"/>
    </row>
    <row r="22025" spans="43:43" x14ac:dyDescent="0.2">
      <c r="AQ22025" s="31"/>
    </row>
    <row r="22026" spans="43:43" x14ac:dyDescent="0.2">
      <c r="AQ22026" s="31"/>
    </row>
    <row r="22027" spans="43:43" x14ac:dyDescent="0.2">
      <c r="AQ22027" s="31"/>
    </row>
    <row r="22028" spans="43:43" x14ac:dyDescent="0.2">
      <c r="AQ22028" s="31"/>
    </row>
    <row r="22029" spans="43:43" x14ac:dyDescent="0.2">
      <c r="AQ22029" s="31"/>
    </row>
    <row r="22030" spans="43:43" x14ac:dyDescent="0.2">
      <c r="AQ22030" s="31"/>
    </row>
    <row r="22031" spans="43:43" x14ac:dyDescent="0.2">
      <c r="AQ22031" s="31"/>
    </row>
    <row r="22032" spans="43:43" x14ac:dyDescent="0.2">
      <c r="AQ22032" s="31"/>
    </row>
    <row r="22033" spans="43:43" x14ac:dyDescent="0.2">
      <c r="AQ22033" s="31"/>
    </row>
    <row r="22034" spans="43:43" x14ac:dyDescent="0.2">
      <c r="AQ22034" s="31"/>
    </row>
    <row r="22035" spans="43:43" x14ac:dyDescent="0.2">
      <c r="AQ22035" s="31"/>
    </row>
    <row r="22036" spans="43:43" x14ac:dyDescent="0.2">
      <c r="AQ22036" s="31"/>
    </row>
    <row r="22037" spans="43:43" x14ac:dyDescent="0.2">
      <c r="AQ22037" s="31"/>
    </row>
    <row r="22038" spans="43:43" x14ac:dyDescent="0.2">
      <c r="AQ22038" s="31"/>
    </row>
    <row r="22039" spans="43:43" x14ac:dyDescent="0.2">
      <c r="AQ22039" s="31"/>
    </row>
    <row r="22040" spans="43:43" x14ac:dyDescent="0.2">
      <c r="AQ22040" s="31"/>
    </row>
    <row r="22041" spans="43:43" x14ac:dyDescent="0.2">
      <c r="AQ22041" s="31"/>
    </row>
    <row r="22042" spans="43:43" x14ac:dyDescent="0.2">
      <c r="AQ22042" s="31"/>
    </row>
    <row r="22043" spans="43:43" x14ac:dyDescent="0.2">
      <c r="AQ22043" s="31"/>
    </row>
    <row r="22044" spans="43:43" x14ac:dyDescent="0.2">
      <c r="AQ22044" s="31"/>
    </row>
    <row r="22045" spans="43:43" x14ac:dyDescent="0.2">
      <c r="AQ22045" s="31"/>
    </row>
    <row r="22046" spans="43:43" x14ac:dyDescent="0.2">
      <c r="AQ22046" s="31"/>
    </row>
    <row r="22047" spans="43:43" x14ac:dyDescent="0.2">
      <c r="AQ22047" s="31"/>
    </row>
    <row r="22048" spans="43:43" x14ac:dyDescent="0.2">
      <c r="AQ22048" s="31"/>
    </row>
    <row r="22049" spans="43:43" x14ac:dyDescent="0.2">
      <c r="AQ22049" s="31"/>
    </row>
    <row r="22050" spans="43:43" x14ac:dyDescent="0.2">
      <c r="AQ22050" s="31"/>
    </row>
    <row r="22051" spans="43:43" x14ac:dyDescent="0.2">
      <c r="AQ22051" s="31"/>
    </row>
    <row r="22052" spans="43:43" x14ac:dyDescent="0.2">
      <c r="AQ22052" s="31"/>
    </row>
    <row r="22053" spans="43:43" x14ac:dyDescent="0.2">
      <c r="AQ22053" s="31"/>
    </row>
    <row r="22054" spans="43:43" x14ac:dyDescent="0.2">
      <c r="AQ22054" s="31"/>
    </row>
    <row r="22055" spans="43:43" x14ac:dyDescent="0.2">
      <c r="AQ22055" s="31"/>
    </row>
    <row r="22056" spans="43:43" x14ac:dyDescent="0.2">
      <c r="AQ22056" s="31"/>
    </row>
    <row r="22057" spans="43:43" x14ac:dyDescent="0.2">
      <c r="AQ22057" s="31"/>
    </row>
    <row r="22058" spans="43:43" x14ac:dyDescent="0.2">
      <c r="AQ22058" s="31"/>
    </row>
    <row r="22059" spans="43:43" x14ac:dyDescent="0.2">
      <c r="AQ22059" s="31"/>
    </row>
    <row r="22060" spans="43:43" x14ac:dyDescent="0.2">
      <c r="AQ22060" s="31"/>
    </row>
    <row r="22061" spans="43:43" x14ac:dyDescent="0.2">
      <c r="AQ22061" s="31"/>
    </row>
    <row r="22062" spans="43:43" x14ac:dyDescent="0.2">
      <c r="AQ22062" s="31"/>
    </row>
    <row r="22063" spans="43:43" x14ac:dyDescent="0.2">
      <c r="AQ22063" s="31"/>
    </row>
    <row r="22064" spans="43:43" x14ac:dyDescent="0.2">
      <c r="AQ22064" s="31"/>
    </row>
    <row r="22065" spans="43:43" x14ac:dyDescent="0.2">
      <c r="AQ22065" s="31"/>
    </row>
    <row r="22066" spans="43:43" x14ac:dyDescent="0.2">
      <c r="AQ22066" s="31"/>
    </row>
    <row r="22067" spans="43:43" x14ac:dyDescent="0.2">
      <c r="AQ22067" s="31"/>
    </row>
    <row r="22068" spans="43:43" x14ac:dyDescent="0.2">
      <c r="AQ22068" s="31"/>
    </row>
    <row r="22069" spans="43:43" x14ac:dyDescent="0.2">
      <c r="AQ22069" s="31"/>
    </row>
    <row r="22070" spans="43:43" x14ac:dyDescent="0.2">
      <c r="AQ22070" s="31"/>
    </row>
    <row r="22071" spans="43:43" x14ac:dyDescent="0.2">
      <c r="AQ22071" s="31"/>
    </row>
    <row r="22072" spans="43:43" x14ac:dyDescent="0.2">
      <c r="AQ22072" s="31"/>
    </row>
    <row r="22073" spans="43:43" x14ac:dyDescent="0.2">
      <c r="AQ22073" s="31"/>
    </row>
    <row r="22074" spans="43:43" x14ac:dyDescent="0.2">
      <c r="AQ22074" s="31"/>
    </row>
    <row r="22075" spans="43:43" x14ac:dyDescent="0.2">
      <c r="AQ22075" s="31"/>
    </row>
    <row r="22076" spans="43:43" x14ac:dyDescent="0.2">
      <c r="AQ22076" s="31"/>
    </row>
    <row r="22077" spans="43:43" x14ac:dyDescent="0.2">
      <c r="AQ22077" s="31"/>
    </row>
    <row r="22078" spans="43:43" x14ac:dyDescent="0.2">
      <c r="AQ22078" s="31"/>
    </row>
    <row r="22079" spans="43:43" x14ac:dyDescent="0.2">
      <c r="AQ22079" s="31"/>
    </row>
    <row r="22080" spans="43:43" x14ac:dyDescent="0.2">
      <c r="AQ22080" s="31"/>
    </row>
    <row r="22081" spans="43:43" x14ac:dyDescent="0.2">
      <c r="AQ22081" s="31"/>
    </row>
    <row r="22082" spans="43:43" x14ac:dyDescent="0.2">
      <c r="AQ22082" s="31"/>
    </row>
    <row r="22083" spans="43:43" x14ac:dyDescent="0.2">
      <c r="AQ22083" s="31"/>
    </row>
    <row r="22084" spans="43:43" x14ac:dyDescent="0.2">
      <c r="AQ22084" s="31"/>
    </row>
    <row r="22085" spans="43:43" x14ac:dyDescent="0.2">
      <c r="AQ22085" s="31"/>
    </row>
    <row r="22086" spans="43:43" x14ac:dyDescent="0.2">
      <c r="AQ22086" s="31"/>
    </row>
    <row r="22087" spans="43:43" x14ac:dyDescent="0.2">
      <c r="AQ22087" s="31"/>
    </row>
    <row r="22088" spans="43:43" x14ac:dyDescent="0.2">
      <c r="AQ22088" s="31"/>
    </row>
    <row r="22089" spans="43:43" x14ac:dyDescent="0.2">
      <c r="AQ22089" s="31"/>
    </row>
    <row r="22090" spans="43:43" x14ac:dyDescent="0.2">
      <c r="AQ22090" s="31"/>
    </row>
    <row r="22091" spans="43:43" x14ac:dyDescent="0.2">
      <c r="AQ22091" s="31"/>
    </row>
    <row r="22092" spans="43:43" x14ac:dyDescent="0.2">
      <c r="AQ22092" s="31"/>
    </row>
    <row r="22093" spans="43:43" x14ac:dyDescent="0.2">
      <c r="AQ22093" s="31"/>
    </row>
    <row r="22094" spans="43:43" x14ac:dyDescent="0.2">
      <c r="AQ22094" s="31"/>
    </row>
    <row r="22095" spans="43:43" x14ac:dyDescent="0.2">
      <c r="AQ22095" s="31"/>
    </row>
    <row r="22096" spans="43:43" x14ac:dyDescent="0.2">
      <c r="AQ22096" s="31"/>
    </row>
    <row r="22097" spans="43:43" x14ac:dyDescent="0.2">
      <c r="AQ22097" s="31"/>
    </row>
    <row r="22098" spans="43:43" x14ac:dyDescent="0.2">
      <c r="AQ22098" s="31"/>
    </row>
    <row r="22099" spans="43:43" x14ac:dyDescent="0.2">
      <c r="AQ22099" s="31"/>
    </row>
    <row r="22100" spans="43:43" x14ac:dyDescent="0.2">
      <c r="AQ22100" s="31"/>
    </row>
    <row r="22101" spans="43:43" x14ac:dyDescent="0.2">
      <c r="AQ22101" s="31"/>
    </row>
    <row r="22102" spans="43:43" x14ac:dyDescent="0.2">
      <c r="AQ22102" s="31"/>
    </row>
    <row r="22103" spans="43:43" x14ac:dyDescent="0.2">
      <c r="AQ22103" s="31"/>
    </row>
    <row r="22104" spans="43:43" x14ac:dyDescent="0.2">
      <c r="AQ22104" s="31"/>
    </row>
    <row r="22105" spans="43:43" x14ac:dyDescent="0.2">
      <c r="AQ22105" s="31"/>
    </row>
    <row r="22106" spans="43:43" x14ac:dyDescent="0.2">
      <c r="AQ22106" s="31"/>
    </row>
    <row r="22107" spans="43:43" x14ac:dyDescent="0.2">
      <c r="AQ22107" s="31"/>
    </row>
    <row r="22108" spans="43:43" x14ac:dyDescent="0.2">
      <c r="AQ22108" s="31"/>
    </row>
    <row r="22109" spans="43:43" x14ac:dyDescent="0.2">
      <c r="AQ22109" s="31"/>
    </row>
    <row r="22110" spans="43:43" x14ac:dyDescent="0.2">
      <c r="AQ22110" s="31"/>
    </row>
    <row r="22111" spans="43:43" x14ac:dyDescent="0.2">
      <c r="AQ22111" s="31"/>
    </row>
    <row r="22112" spans="43:43" x14ac:dyDescent="0.2">
      <c r="AQ22112" s="31"/>
    </row>
    <row r="22113" spans="43:43" x14ac:dyDescent="0.2">
      <c r="AQ22113" s="31"/>
    </row>
    <row r="22114" spans="43:43" x14ac:dyDescent="0.2">
      <c r="AQ22114" s="31"/>
    </row>
    <row r="22115" spans="43:43" x14ac:dyDescent="0.2">
      <c r="AQ22115" s="31"/>
    </row>
    <row r="22116" spans="43:43" x14ac:dyDescent="0.2">
      <c r="AQ22116" s="31"/>
    </row>
    <row r="22117" spans="43:43" x14ac:dyDescent="0.2">
      <c r="AQ22117" s="31"/>
    </row>
    <row r="22118" spans="43:43" x14ac:dyDescent="0.2">
      <c r="AQ22118" s="31"/>
    </row>
    <row r="22119" spans="43:43" x14ac:dyDescent="0.2">
      <c r="AQ22119" s="31"/>
    </row>
    <row r="22120" spans="43:43" x14ac:dyDescent="0.2">
      <c r="AQ22120" s="31"/>
    </row>
    <row r="22121" spans="43:43" x14ac:dyDescent="0.2">
      <c r="AQ22121" s="31"/>
    </row>
    <row r="22122" spans="43:43" x14ac:dyDescent="0.2">
      <c r="AQ22122" s="31"/>
    </row>
    <row r="22123" spans="43:43" x14ac:dyDescent="0.2">
      <c r="AQ22123" s="31"/>
    </row>
    <row r="22124" spans="43:43" x14ac:dyDescent="0.2">
      <c r="AQ22124" s="31"/>
    </row>
    <row r="22125" spans="43:43" x14ac:dyDescent="0.2">
      <c r="AQ22125" s="31"/>
    </row>
    <row r="22126" spans="43:43" x14ac:dyDescent="0.2">
      <c r="AQ22126" s="31"/>
    </row>
    <row r="22127" spans="43:43" x14ac:dyDescent="0.2">
      <c r="AQ22127" s="31"/>
    </row>
    <row r="22128" spans="43:43" x14ac:dyDescent="0.2">
      <c r="AQ22128" s="31"/>
    </row>
    <row r="22129" spans="43:43" x14ac:dyDescent="0.2">
      <c r="AQ22129" s="31"/>
    </row>
    <row r="22130" spans="43:43" x14ac:dyDescent="0.2">
      <c r="AQ22130" s="31"/>
    </row>
    <row r="22131" spans="43:43" x14ac:dyDescent="0.2">
      <c r="AQ22131" s="31"/>
    </row>
    <row r="22132" spans="43:43" x14ac:dyDescent="0.2">
      <c r="AQ22132" s="31"/>
    </row>
    <row r="22133" spans="43:43" x14ac:dyDescent="0.2">
      <c r="AQ22133" s="31"/>
    </row>
    <row r="22134" spans="43:43" x14ac:dyDescent="0.2">
      <c r="AQ22134" s="31"/>
    </row>
    <row r="22135" spans="43:43" x14ac:dyDescent="0.2">
      <c r="AQ22135" s="31"/>
    </row>
    <row r="22136" spans="43:43" x14ac:dyDescent="0.2">
      <c r="AQ22136" s="31"/>
    </row>
    <row r="22137" spans="43:43" x14ac:dyDescent="0.2">
      <c r="AQ22137" s="31"/>
    </row>
    <row r="22138" spans="43:43" x14ac:dyDescent="0.2">
      <c r="AQ22138" s="31"/>
    </row>
    <row r="22139" spans="43:43" x14ac:dyDescent="0.2">
      <c r="AQ22139" s="31"/>
    </row>
    <row r="22140" spans="43:43" x14ac:dyDescent="0.2">
      <c r="AQ22140" s="31"/>
    </row>
    <row r="22141" spans="43:43" x14ac:dyDescent="0.2">
      <c r="AQ22141" s="31"/>
    </row>
    <row r="22142" spans="43:43" x14ac:dyDescent="0.2">
      <c r="AQ22142" s="31"/>
    </row>
    <row r="22143" spans="43:43" x14ac:dyDescent="0.2">
      <c r="AQ22143" s="31"/>
    </row>
    <row r="22144" spans="43:43" x14ac:dyDescent="0.2">
      <c r="AQ22144" s="31"/>
    </row>
    <row r="22145" spans="43:43" x14ac:dyDescent="0.2">
      <c r="AQ22145" s="31"/>
    </row>
    <row r="22146" spans="43:43" x14ac:dyDescent="0.2">
      <c r="AQ22146" s="31"/>
    </row>
    <row r="22147" spans="43:43" x14ac:dyDescent="0.2">
      <c r="AQ22147" s="31"/>
    </row>
    <row r="22148" spans="43:43" x14ac:dyDescent="0.2">
      <c r="AQ22148" s="31"/>
    </row>
    <row r="22149" spans="43:43" x14ac:dyDescent="0.2">
      <c r="AQ22149" s="31"/>
    </row>
    <row r="22150" spans="43:43" x14ac:dyDescent="0.2">
      <c r="AQ22150" s="31"/>
    </row>
    <row r="22151" spans="43:43" x14ac:dyDescent="0.2">
      <c r="AQ22151" s="31"/>
    </row>
    <row r="22152" spans="43:43" x14ac:dyDescent="0.2">
      <c r="AQ22152" s="31"/>
    </row>
    <row r="22153" spans="43:43" x14ac:dyDescent="0.2">
      <c r="AQ22153" s="31"/>
    </row>
    <row r="22154" spans="43:43" x14ac:dyDescent="0.2">
      <c r="AQ22154" s="31"/>
    </row>
    <row r="22155" spans="43:43" x14ac:dyDescent="0.2">
      <c r="AQ22155" s="31"/>
    </row>
    <row r="22156" spans="43:43" x14ac:dyDescent="0.2">
      <c r="AQ22156" s="31"/>
    </row>
    <row r="22157" spans="43:43" x14ac:dyDescent="0.2">
      <c r="AQ22157" s="31"/>
    </row>
    <row r="22158" spans="43:43" x14ac:dyDescent="0.2">
      <c r="AQ22158" s="31"/>
    </row>
    <row r="22159" spans="43:43" x14ac:dyDescent="0.2">
      <c r="AQ22159" s="31"/>
    </row>
    <row r="22160" spans="43:43" x14ac:dyDescent="0.2">
      <c r="AQ22160" s="31"/>
    </row>
    <row r="22161" spans="43:43" x14ac:dyDescent="0.2">
      <c r="AQ22161" s="31"/>
    </row>
    <row r="22162" spans="43:43" x14ac:dyDescent="0.2">
      <c r="AQ22162" s="31"/>
    </row>
    <row r="22163" spans="43:43" x14ac:dyDescent="0.2">
      <c r="AQ22163" s="31"/>
    </row>
    <row r="22164" spans="43:43" x14ac:dyDescent="0.2">
      <c r="AQ22164" s="31"/>
    </row>
    <row r="22165" spans="43:43" x14ac:dyDescent="0.2">
      <c r="AQ22165" s="31"/>
    </row>
    <row r="22166" spans="43:43" x14ac:dyDescent="0.2">
      <c r="AQ22166" s="31"/>
    </row>
    <row r="22167" spans="43:43" x14ac:dyDescent="0.2">
      <c r="AQ22167" s="31"/>
    </row>
    <row r="22168" spans="43:43" x14ac:dyDescent="0.2">
      <c r="AQ22168" s="31"/>
    </row>
    <row r="22169" spans="43:43" x14ac:dyDescent="0.2">
      <c r="AQ22169" s="31"/>
    </row>
    <row r="22170" spans="43:43" x14ac:dyDescent="0.2">
      <c r="AQ22170" s="31"/>
    </row>
    <row r="22171" spans="43:43" x14ac:dyDescent="0.2">
      <c r="AQ22171" s="31"/>
    </row>
    <row r="22172" spans="43:43" x14ac:dyDescent="0.2">
      <c r="AQ22172" s="31"/>
    </row>
    <row r="22173" spans="43:43" x14ac:dyDescent="0.2">
      <c r="AQ22173" s="31"/>
    </row>
    <row r="22174" spans="43:43" x14ac:dyDescent="0.2">
      <c r="AQ22174" s="31"/>
    </row>
    <row r="22175" spans="43:43" x14ac:dyDescent="0.2">
      <c r="AQ22175" s="31"/>
    </row>
    <row r="22176" spans="43:43" x14ac:dyDescent="0.2">
      <c r="AQ22176" s="31"/>
    </row>
    <row r="22177" spans="43:43" x14ac:dyDescent="0.2">
      <c r="AQ22177" s="31"/>
    </row>
    <row r="22178" spans="43:43" x14ac:dyDescent="0.2">
      <c r="AQ22178" s="31"/>
    </row>
    <row r="22179" spans="43:43" x14ac:dyDescent="0.2">
      <c r="AQ22179" s="31"/>
    </row>
    <row r="22180" spans="43:43" x14ac:dyDescent="0.2">
      <c r="AQ22180" s="31"/>
    </row>
    <row r="22181" spans="43:43" x14ac:dyDescent="0.2">
      <c r="AQ22181" s="31"/>
    </row>
    <row r="22182" spans="43:43" x14ac:dyDescent="0.2">
      <c r="AQ22182" s="31"/>
    </row>
    <row r="22183" spans="43:43" x14ac:dyDescent="0.2">
      <c r="AQ22183" s="31"/>
    </row>
    <row r="22184" spans="43:43" x14ac:dyDescent="0.2">
      <c r="AQ22184" s="31"/>
    </row>
    <row r="22185" spans="43:43" x14ac:dyDescent="0.2">
      <c r="AQ22185" s="31"/>
    </row>
    <row r="22186" spans="43:43" x14ac:dyDescent="0.2">
      <c r="AQ22186" s="31"/>
    </row>
    <row r="22187" spans="43:43" x14ac:dyDescent="0.2">
      <c r="AQ22187" s="31"/>
    </row>
    <row r="22188" spans="43:43" x14ac:dyDescent="0.2">
      <c r="AQ22188" s="31"/>
    </row>
    <row r="22189" spans="43:43" x14ac:dyDescent="0.2">
      <c r="AQ22189" s="31"/>
    </row>
    <row r="22190" spans="43:43" x14ac:dyDescent="0.2">
      <c r="AQ22190" s="31"/>
    </row>
    <row r="22191" spans="43:43" x14ac:dyDescent="0.2">
      <c r="AQ22191" s="31"/>
    </row>
    <row r="22192" spans="43:43" x14ac:dyDescent="0.2">
      <c r="AQ22192" s="31"/>
    </row>
    <row r="22193" spans="43:43" x14ac:dyDescent="0.2">
      <c r="AQ22193" s="31"/>
    </row>
    <row r="22194" spans="43:43" x14ac:dyDescent="0.2">
      <c r="AQ22194" s="31"/>
    </row>
    <row r="22195" spans="43:43" x14ac:dyDescent="0.2">
      <c r="AQ22195" s="31"/>
    </row>
    <row r="22196" spans="43:43" x14ac:dyDescent="0.2">
      <c r="AQ22196" s="31"/>
    </row>
    <row r="22197" spans="43:43" x14ac:dyDescent="0.2">
      <c r="AQ22197" s="31"/>
    </row>
    <row r="22198" spans="43:43" x14ac:dyDescent="0.2">
      <c r="AQ22198" s="31"/>
    </row>
    <row r="22199" spans="43:43" x14ac:dyDescent="0.2">
      <c r="AQ22199" s="31"/>
    </row>
    <row r="22200" spans="43:43" x14ac:dyDescent="0.2">
      <c r="AQ22200" s="31"/>
    </row>
    <row r="22201" spans="43:43" x14ac:dyDescent="0.2">
      <c r="AQ22201" s="31"/>
    </row>
    <row r="22202" spans="43:43" x14ac:dyDescent="0.2">
      <c r="AQ22202" s="31"/>
    </row>
    <row r="22203" spans="43:43" x14ac:dyDescent="0.2">
      <c r="AQ22203" s="31"/>
    </row>
    <row r="22204" spans="43:43" x14ac:dyDescent="0.2">
      <c r="AQ22204" s="31"/>
    </row>
    <row r="22205" spans="43:43" x14ac:dyDescent="0.2">
      <c r="AQ22205" s="31"/>
    </row>
    <row r="22206" spans="43:43" x14ac:dyDescent="0.2">
      <c r="AQ22206" s="31"/>
    </row>
    <row r="22207" spans="43:43" x14ac:dyDescent="0.2">
      <c r="AQ22207" s="31"/>
    </row>
    <row r="22208" spans="43:43" x14ac:dyDescent="0.2">
      <c r="AQ22208" s="31"/>
    </row>
    <row r="22209" spans="43:43" x14ac:dyDescent="0.2">
      <c r="AQ22209" s="31"/>
    </row>
    <row r="22210" spans="43:43" x14ac:dyDescent="0.2">
      <c r="AQ22210" s="31"/>
    </row>
    <row r="22211" spans="43:43" x14ac:dyDescent="0.2">
      <c r="AQ22211" s="31"/>
    </row>
    <row r="22212" spans="43:43" x14ac:dyDescent="0.2">
      <c r="AQ22212" s="31"/>
    </row>
    <row r="22213" spans="43:43" x14ac:dyDescent="0.2">
      <c r="AQ22213" s="31"/>
    </row>
    <row r="22214" spans="43:43" x14ac:dyDescent="0.2">
      <c r="AQ22214" s="31"/>
    </row>
    <row r="22215" spans="43:43" x14ac:dyDescent="0.2">
      <c r="AQ22215" s="31"/>
    </row>
    <row r="22216" spans="43:43" x14ac:dyDescent="0.2">
      <c r="AQ22216" s="31"/>
    </row>
    <row r="22217" spans="43:43" x14ac:dyDescent="0.2">
      <c r="AQ22217" s="31"/>
    </row>
    <row r="22218" spans="43:43" x14ac:dyDescent="0.2">
      <c r="AQ22218" s="31"/>
    </row>
    <row r="22219" spans="43:43" x14ac:dyDescent="0.2">
      <c r="AQ22219" s="31"/>
    </row>
    <row r="22220" spans="43:43" x14ac:dyDescent="0.2">
      <c r="AQ22220" s="31"/>
    </row>
    <row r="22221" spans="43:43" x14ac:dyDescent="0.2">
      <c r="AQ22221" s="31"/>
    </row>
    <row r="22222" spans="43:43" x14ac:dyDescent="0.2">
      <c r="AQ22222" s="31"/>
    </row>
    <row r="22223" spans="43:43" x14ac:dyDescent="0.2">
      <c r="AQ22223" s="31"/>
    </row>
    <row r="22224" spans="43:43" x14ac:dyDescent="0.2">
      <c r="AQ22224" s="31"/>
    </row>
    <row r="22225" spans="43:43" x14ac:dyDescent="0.2">
      <c r="AQ22225" s="31"/>
    </row>
    <row r="22226" spans="43:43" x14ac:dyDescent="0.2">
      <c r="AQ22226" s="31"/>
    </row>
    <row r="22227" spans="43:43" x14ac:dyDescent="0.2">
      <c r="AQ22227" s="31"/>
    </row>
    <row r="22228" spans="43:43" x14ac:dyDescent="0.2">
      <c r="AQ22228" s="31"/>
    </row>
    <row r="22229" spans="43:43" x14ac:dyDescent="0.2">
      <c r="AQ22229" s="31"/>
    </row>
    <row r="22230" spans="43:43" x14ac:dyDescent="0.2">
      <c r="AQ22230" s="31"/>
    </row>
    <row r="22231" spans="43:43" x14ac:dyDescent="0.2">
      <c r="AQ22231" s="31"/>
    </row>
    <row r="22232" spans="43:43" x14ac:dyDescent="0.2">
      <c r="AQ22232" s="31"/>
    </row>
    <row r="22233" spans="43:43" x14ac:dyDescent="0.2">
      <c r="AQ22233" s="31"/>
    </row>
    <row r="22234" spans="43:43" x14ac:dyDescent="0.2">
      <c r="AQ22234" s="31"/>
    </row>
    <row r="22235" spans="43:43" x14ac:dyDescent="0.2">
      <c r="AQ22235" s="31"/>
    </row>
    <row r="22236" spans="43:43" x14ac:dyDescent="0.2">
      <c r="AQ22236" s="31"/>
    </row>
    <row r="22237" spans="43:43" x14ac:dyDescent="0.2">
      <c r="AQ22237" s="31"/>
    </row>
    <row r="22238" spans="43:43" x14ac:dyDescent="0.2">
      <c r="AQ22238" s="31"/>
    </row>
    <row r="22239" spans="43:43" x14ac:dyDescent="0.2">
      <c r="AQ22239" s="31"/>
    </row>
    <row r="22240" spans="43:43" x14ac:dyDescent="0.2">
      <c r="AQ22240" s="31"/>
    </row>
    <row r="22241" spans="43:43" x14ac:dyDescent="0.2">
      <c r="AQ22241" s="31"/>
    </row>
    <row r="22242" spans="43:43" x14ac:dyDescent="0.2">
      <c r="AQ22242" s="31"/>
    </row>
    <row r="22243" spans="43:43" x14ac:dyDescent="0.2">
      <c r="AQ22243" s="31"/>
    </row>
    <row r="22244" spans="43:43" x14ac:dyDescent="0.2">
      <c r="AQ22244" s="31"/>
    </row>
    <row r="22245" spans="43:43" x14ac:dyDescent="0.2">
      <c r="AQ22245" s="31"/>
    </row>
    <row r="22246" spans="43:43" x14ac:dyDescent="0.2">
      <c r="AQ22246" s="31"/>
    </row>
    <row r="22247" spans="43:43" x14ac:dyDescent="0.2">
      <c r="AQ22247" s="31"/>
    </row>
    <row r="22248" spans="43:43" x14ac:dyDescent="0.2">
      <c r="AQ22248" s="31"/>
    </row>
    <row r="22249" spans="43:43" x14ac:dyDescent="0.2">
      <c r="AQ22249" s="31"/>
    </row>
    <row r="22250" spans="43:43" x14ac:dyDescent="0.2">
      <c r="AQ22250" s="31"/>
    </row>
    <row r="22251" spans="43:43" x14ac:dyDescent="0.2">
      <c r="AQ22251" s="31"/>
    </row>
    <row r="22252" spans="43:43" x14ac:dyDescent="0.2">
      <c r="AQ22252" s="31"/>
    </row>
    <row r="22253" spans="43:43" x14ac:dyDescent="0.2">
      <c r="AQ22253" s="31"/>
    </row>
    <row r="22254" spans="43:43" x14ac:dyDescent="0.2">
      <c r="AQ22254" s="31"/>
    </row>
    <row r="22255" spans="43:43" x14ac:dyDescent="0.2">
      <c r="AQ22255" s="31"/>
    </row>
    <row r="22256" spans="43:43" x14ac:dyDescent="0.2">
      <c r="AQ22256" s="31"/>
    </row>
    <row r="22257" spans="43:43" x14ac:dyDescent="0.2">
      <c r="AQ22257" s="31"/>
    </row>
    <row r="22258" spans="43:43" x14ac:dyDescent="0.2">
      <c r="AQ22258" s="31"/>
    </row>
    <row r="22259" spans="43:43" x14ac:dyDescent="0.2">
      <c r="AQ22259" s="31"/>
    </row>
    <row r="22260" spans="43:43" x14ac:dyDescent="0.2">
      <c r="AQ22260" s="31"/>
    </row>
    <row r="22261" spans="43:43" x14ac:dyDescent="0.2">
      <c r="AQ22261" s="31"/>
    </row>
    <row r="22262" spans="43:43" x14ac:dyDescent="0.2">
      <c r="AQ22262" s="31"/>
    </row>
    <row r="22263" spans="43:43" x14ac:dyDescent="0.2">
      <c r="AQ22263" s="31"/>
    </row>
    <row r="22264" spans="43:43" x14ac:dyDescent="0.2">
      <c r="AQ22264" s="31"/>
    </row>
    <row r="22265" spans="43:43" x14ac:dyDescent="0.2">
      <c r="AQ22265" s="31"/>
    </row>
    <row r="22266" spans="43:43" x14ac:dyDescent="0.2">
      <c r="AQ22266" s="31"/>
    </row>
    <row r="22267" spans="43:43" x14ac:dyDescent="0.2">
      <c r="AQ22267" s="31"/>
    </row>
    <row r="22268" spans="43:43" x14ac:dyDescent="0.2">
      <c r="AQ22268" s="31"/>
    </row>
    <row r="22269" spans="43:43" x14ac:dyDescent="0.2">
      <c r="AQ22269" s="31"/>
    </row>
    <row r="22270" spans="43:43" x14ac:dyDescent="0.2">
      <c r="AQ22270" s="31"/>
    </row>
    <row r="22271" spans="43:43" x14ac:dyDescent="0.2">
      <c r="AQ22271" s="31"/>
    </row>
    <row r="22272" spans="43:43" x14ac:dyDescent="0.2">
      <c r="AQ22272" s="31"/>
    </row>
    <row r="22273" spans="43:43" x14ac:dyDescent="0.2">
      <c r="AQ22273" s="31"/>
    </row>
    <row r="22274" spans="43:43" x14ac:dyDescent="0.2">
      <c r="AQ22274" s="31"/>
    </row>
    <row r="22275" spans="43:43" x14ac:dyDescent="0.2">
      <c r="AQ22275" s="31"/>
    </row>
    <row r="22276" spans="43:43" x14ac:dyDescent="0.2">
      <c r="AQ22276" s="31"/>
    </row>
    <row r="22277" spans="43:43" x14ac:dyDescent="0.2">
      <c r="AQ22277" s="31"/>
    </row>
    <row r="22278" spans="43:43" x14ac:dyDescent="0.2">
      <c r="AQ22278" s="31"/>
    </row>
    <row r="22279" spans="43:43" x14ac:dyDescent="0.2">
      <c r="AQ22279" s="31"/>
    </row>
    <row r="22280" spans="43:43" x14ac:dyDescent="0.2">
      <c r="AQ22280" s="31"/>
    </row>
    <row r="22281" spans="43:43" x14ac:dyDescent="0.2">
      <c r="AQ22281" s="31"/>
    </row>
    <row r="22282" spans="43:43" x14ac:dyDescent="0.2">
      <c r="AQ22282" s="31"/>
    </row>
    <row r="22283" spans="43:43" x14ac:dyDescent="0.2">
      <c r="AQ22283" s="31"/>
    </row>
    <row r="22284" spans="43:43" x14ac:dyDescent="0.2">
      <c r="AQ22284" s="31"/>
    </row>
    <row r="22285" spans="43:43" x14ac:dyDescent="0.2">
      <c r="AQ22285" s="31"/>
    </row>
    <row r="22286" spans="43:43" x14ac:dyDescent="0.2">
      <c r="AQ22286" s="31"/>
    </row>
    <row r="22287" spans="43:43" x14ac:dyDescent="0.2">
      <c r="AQ22287" s="31"/>
    </row>
    <row r="22288" spans="43:43" x14ac:dyDescent="0.2">
      <c r="AQ22288" s="31"/>
    </row>
    <row r="22289" spans="43:43" x14ac:dyDescent="0.2">
      <c r="AQ22289" s="31"/>
    </row>
    <row r="22290" spans="43:43" x14ac:dyDescent="0.2">
      <c r="AQ22290" s="31"/>
    </row>
    <row r="22291" spans="43:43" x14ac:dyDescent="0.2">
      <c r="AQ22291" s="31"/>
    </row>
    <row r="22292" spans="43:43" x14ac:dyDescent="0.2">
      <c r="AQ22292" s="31"/>
    </row>
    <row r="22293" spans="43:43" x14ac:dyDescent="0.2">
      <c r="AQ22293" s="31"/>
    </row>
    <row r="22294" spans="43:43" x14ac:dyDescent="0.2">
      <c r="AQ22294" s="31"/>
    </row>
    <row r="22295" spans="43:43" x14ac:dyDescent="0.2">
      <c r="AQ22295" s="31"/>
    </row>
    <row r="22296" spans="43:43" x14ac:dyDescent="0.2">
      <c r="AQ22296" s="31"/>
    </row>
    <row r="22297" spans="43:43" x14ac:dyDescent="0.2">
      <c r="AQ22297" s="31"/>
    </row>
    <row r="22298" spans="43:43" x14ac:dyDescent="0.2">
      <c r="AQ22298" s="31"/>
    </row>
    <row r="22299" spans="43:43" x14ac:dyDescent="0.2">
      <c r="AQ22299" s="31"/>
    </row>
    <row r="22300" spans="43:43" x14ac:dyDescent="0.2">
      <c r="AQ22300" s="31"/>
    </row>
    <row r="22301" spans="43:43" x14ac:dyDescent="0.2">
      <c r="AQ22301" s="31"/>
    </row>
    <row r="22302" spans="43:43" x14ac:dyDescent="0.2">
      <c r="AQ22302" s="31"/>
    </row>
    <row r="22303" spans="43:43" x14ac:dyDescent="0.2">
      <c r="AQ22303" s="31"/>
    </row>
    <row r="22304" spans="43:43" x14ac:dyDescent="0.2">
      <c r="AQ22304" s="31"/>
    </row>
    <row r="22305" spans="43:43" x14ac:dyDescent="0.2">
      <c r="AQ22305" s="31"/>
    </row>
    <row r="22306" spans="43:43" x14ac:dyDescent="0.2">
      <c r="AQ22306" s="31"/>
    </row>
    <row r="22307" spans="43:43" x14ac:dyDescent="0.2">
      <c r="AQ22307" s="31"/>
    </row>
    <row r="22308" spans="43:43" x14ac:dyDescent="0.2">
      <c r="AQ22308" s="31"/>
    </row>
    <row r="22309" spans="43:43" x14ac:dyDescent="0.2">
      <c r="AQ22309" s="31"/>
    </row>
    <row r="22310" spans="43:43" x14ac:dyDescent="0.2">
      <c r="AQ22310" s="31"/>
    </row>
    <row r="22311" spans="43:43" x14ac:dyDescent="0.2">
      <c r="AQ22311" s="31"/>
    </row>
    <row r="22312" spans="43:43" x14ac:dyDescent="0.2">
      <c r="AQ22312" s="31"/>
    </row>
    <row r="22313" spans="43:43" x14ac:dyDescent="0.2">
      <c r="AQ22313" s="31"/>
    </row>
    <row r="22314" spans="43:43" x14ac:dyDescent="0.2">
      <c r="AQ22314" s="31"/>
    </row>
    <row r="22315" spans="43:43" x14ac:dyDescent="0.2">
      <c r="AQ22315" s="31"/>
    </row>
    <row r="22316" spans="43:43" x14ac:dyDescent="0.2">
      <c r="AQ22316" s="31"/>
    </row>
    <row r="22317" spans="43:43" x14ac:dyDescent="0.2">
      <c r="AQ22317" s="31"/>
    </row>
    <row r="22318" spans="43:43" x14ac:dyDescent="0.2">
      <c r="AQ22318" s="31"/>
    </row>
    <row r="22319" spans="43:43" x14ac:dyDescent="0.2">
      <c r="AQ22319" s="31"/>
    </row>
    <row r="22320" spans="43:43" x14ac:dyDescent="0.2">
      <c r="AQ22320" s="31"/>
    </row>
    <row r="22321" spans="43:43" x14ac:dyDescent="0.2">
      <c r="AQ22321" s="31"/>
    </row>
    <row r="22322" spans="43:43" x14ac:dyDescent="0.2">
      <c r="AQ22322" s="31"/>
    </row>
    <row r="22323" spans="43:43" x14ac:dyDescent="0.2">
      <c r="AQ22323" s="31"/>
    </row>
    <row r="22324" spans="43:43" x14ac:dyDescent="0.2">
      <c r="AQ22324" s="31"/>
    </row>
    <row r="22325" spans="43:43" x14ac:dyDescent="0.2">
      <c r="AQ22325" s="31"/>
    </row>
    <row r="22326" spans="43:43" x14ac:dyDescent="0.2">
      <c r="AQ22326" s="31"/>
    </row>
    <row r="22327" spans="43:43" x14ac:dyDescent="0.2">
      <c r="AQ22327" s="31"/>
    </row>
    <row r="22328" spans="43:43" x14ac:dyDescent="0.2">
      <c r="AQ22328" s="31"/>
    </row>
    <row r="22329" spans="43:43" x14ac:dyDescent="0.2">
      <c r="AQ22329" s="31"/>
    </row>
    <row r="22330" spans="43:43" x14ac:dyDescent="0.2">
      <c r="AQ22330" s="31"/>
    </row>
    <row r="22331" spans="43:43" x14ac:dyDescent="0.2">
      <c r="AQ22331" s="31"/>
    </row>
    <row r="22332" spans="43:43" x14ac:dyDescent="0.2">
      <c r="AQ22332" s="31"/>
    </row>
    <row r="22333" spans="43:43" x14ac:dyDescent="0.2">
      <c r="AQ22333" s="31"/>
    </row>
    <row r="22334" spans="43:43" x14ac:dyDescent="0.2">
      <c r="AQ22334" s="31"/>
    </row>
    <row r="22335" spans="43:43" x14ac:dyDescent="0.2">
      <c r="AQ22335" s="31"/>
    </row>
    <row r="22336" spans="43:43" x14ac:dyDescent="0.2">
      <c r="AQ22336" s="31"/>
    </row>
    <row r="22337" spans="43:43" x14ac:dyDescent="0.2">
      <c r="AQ22337" s="31"/>
    </row>
    <row r="22338" spans="43:43" x14ac:dyDescent="0.2">
      <c r="AQ22338" s="31"/>
    </row>
    <row r="22339" spans="43:43" x14ac:dyDescent="0.2">
      <c r="AQ22339" s="31"/>
    </row>
    <row r="22340" spans="43:43" x14ac:dyDescent="0.2">
      <c r="AQ22340" s="31"/>
    </row>
    <row r="22341" spans="43:43" x14ac:dyDescent="0.2">
      <c r="AQ22341" s="31"/>
    </row>
    <row r="22342" spans="43:43" x14ac:dyDescent="0.2">
      <c r="AQ22342" s="31"/>
    </row>
    <row r="22343" spans="43:43" x14ac:dyDescent="0.2">
      <c r="AQ22343" s="31"/>
    </row>
    <row r="22344" spans="43:43" x14ac:dyDescent="0.2">
      <c r="AQ22344" s="31"/>
    </row>
    <row r="22345" spans="43:43" x14ac:dyDescent="0.2">
      <c r="AQ22345" s="31"/>
    </row>
    <row r="22346" spans="43:43" x14ac:dyDescent="0.2">
      <c r="AQ22346" s="31"/>
    </row>
    <row r="22347" spans="43:43" x14ac:dyDescent="0.2">
      <c r="AQ22347" s="31"/>
    </row>
    <row r="22348" spans="43:43" x14ac:dyDescent="0.2">
      <c r="AQ22348" s="31"/>
    </row>
    <row r="22349" spans="43:43" x14ac:dyDescent="0.2">
      <c r="AQ22349" s="31"/>
    </row>
    <row r="22350" spans="43:43" x14ac:dyDescent="0.2">
      <c r="AQ22350" s="31"/>
    </row>
    <row r="22351" spans="43:43" x14ac:dyDescent="0.2">
      <c r="AQ22351" s="31"/>
    </row>
    <row r="22352" spans="43:43" x14ac:dyDescent="0.2">
      <c r="AQ22352" s="31"/>
    </row>
    <row r="22353" spans="43:43" x14ac:dyDescent="0.2">
      <c r="AQ22353" s="31"/>
    </row>
    <row r="22354" spans="43:43" x14ac:dyDescent="0.2">
      <c r="AQ22354" s="31"/>
    </row>
    <row r="22355" spans="43:43" x14ac:dyDescent="0.2">
      <c r="AQ22355" s="31"/>
    </row>
    <row r="22356" spans="43:43" x14ac:dyDescent="0.2">
      <c r="AQ22356" s="31"/>
    </row>
    <row r="22357" spans="43:43" x14ac:dyDescent="0.2">
      <c r="AQ22357" s="31"/>
    </row>
    <row r="22358" spans="43:43" x14ac:dyDescent="0.2">
      <c r="AQ22358" s="31"/>
    </row>
    <row r="22359" spans="43:43" x14ac:dyDescent="0.2">
      <c r="AQ22359" s="31"/>
    </row>
    <row r="22360" spans="43:43" x14ac:dyDescent="0.2">
      <c r="AQ22360" s="31"/>
    </row>
    <row r="22361" spans="43:43" x14ac:dyDescent="0.2">
      <c r="AQ22361" s="31"/>
    </row>
    <row r="22362" spans="43:43" x14ac:dyDescent="0.2">
      <c r="AQ22362" s="31"/>
    </row>
    <row r="22363" spans="43:43" x14ac:dyDescent="0.2">
      <c r="AQ22363" s="31"/>
    </row>
    <row r="22364" spans="43:43" x14ac:dyDescent="0.2">
      <c r="AQ22364" s="31"/>
    </row>
    <row r="22365" spans="43:43" x14ac:dyDescent="0.2">
      <c r="AQ22365" s="31"/>
    </row>
    <row r="22366" spans="43:43" x14ac:dyDescent="0.2">
      <c r="AQ22366" s="31"/>
    </row>
    <row r="22367" spans="43:43" x14ac:dyDescent="0.2">
      <c r="AQ22367" s="31"/>
    </row>
    <row r="22368" spans="43:43" x14ac:dyDescent="0.2">
      <c r="AQ22368" s="31"/>
    </row>
    <row r="22369" spans="43:43" x14ac:dyDescent="0.2">
      <c r="AQ22369" s="31"/>
    </row>
    <row r="22370" spans="43:43" x14ac:dyDescent="0.2">
      <c r="AQ22370" s="31"/>
    </row>
    <row r="22371" spans="43:43" x14ac:dyDescent="0.2">
      <c r="AQ22371" s="31"/>
    </row>
    <row r="22372" spans="43:43" x14ac:dyDescent="0.2">
      <c r="AQ22372" s="31"/>
    </row>
    <row r="22373" spans="43:43" x14ac:dyDescent="0.2">
      <c r="AQ22373" s="31"/>
    </row>
    <row r="22374" spans="43:43" x14ac:dyDescent="0.2">
      <c r="AQ22374" s="31"/>
    </row>
    <row r="22375" spans="43:43" x14ac:dyDescent="0.2">
      <c r="AQ22375" s="31"/>
    </row>
    <row r="22376" spans="43:43" x14ac:dyDescent="0.2">
      <c r="AQ22376" s="31"/>
    </row>
    <row r="22377" spans="43:43" x14ac:dyDescent="0.2">
      <c r="AQ22377" s="31"/>
    </row>
    <row r="22378" spans="43:43" x14ac:dyDescent="0.2">
      <c r="AQ22378" s="31"/>
    </row>
    <row r="22379" spans="43:43" x14ac:dyDescent="0.2">
      <c r="AQ22379" s="31"/>
    </row>
    <row r="22380" spans="43:43" x14ac:dyDescent="0.2">
      <c r="AQ22380" s="31"/>
    </row>
    <row r="22381" spans="43:43" x14ac:dyDescent="0.2">
      <c r="AQ22381" s="31"/>
    </row>
    <row r="22382" spans="43:43" x14ac:dyDescent="0.2">
      <c r="AQ22382" s="31"/>
    </row>
    <row r="22383" spans="43:43" x14ac:dyDescent="0.2">
      <c r="AQ22383" s="31"/>
    </row>
    <row r="22384" spans="43:43" x14ac:dyDescent="0.2">
      <c r="AQ22384" s="31"/>
    </row>
    <row r="22385" spans="43:43" x14ac:dyDescent="0.2">
      <c r="AQ22385" s="31"/>
    </row>
    <row r="22386" spans="43:43" x14ac:dyDescent="0.2">
      <c r="AQ22386" s="31"/>
    </row>
    <row r="22387" spans="43:43" x14ac:dyDescent="0.2">
      <c r="AQ22387" s="31"/>
    </row>
    <row r="22388" spans="43:43" x14ac:dyDescent="0.2">
      <c r="AQ22388" s="31"/>
    </row>
    <row r="22389" spans="43:43" x14ac:dyDescent="0.2">
      <c r="AQ22389" s="31"/>
    </row>
    <row r="22390" spans="43:43" x14ac:dyDescent="0.2">
      <c r="AQ22390" s="31"/>
    </row>
    <row r="22391" spans="43:43" x14ac:dyDescent="0.2">
      <c r="AQ22391" s="31"/>
    </row>
    <row r="22392" spans="43:43" x14ac:dyDescent="0.2">
      <c r="AQ22392" s="31"/>
    </row>
    <row r="22393" spans="43:43" x14ac:dyDescent="0.2">
      <c r="AQ22393" s="31"/>
    </row>
    <row r="22394" spans="43:43" x14ac:dyDescent="0.2">
      <c r="AQ22394" s="31"/>
    </row>
    <row r="22395" spans="43:43" x14ac:dyDescent="0.2">
      <c r="AQ22395" s="31"/>
    </row>
    <row r="22396" spans="43:43" x14ac:dyDescent="0.2">
      <c r="AQ22396" s="31"/>
    </row>
    <row r="22397" spans="43:43" x14ac:dyDescent="0.2">
      <c r="AQ22397" s="31"/>
    </row>
    <row r="22398" spans="43:43" x14ac:dyDescent="0.2">
      <c r="AQ22398" s="31"/>
    </row>
    <row r="22399" spans="43:43" x14ac:dyDescent="0.2">
      <c r="AQ22399" s="31"/>
    </row>
    <row r="22400" spans="43:43" x14ac:dyDescent="0.2">
      <c r="AQ22400" s="31"/>
    </row>
    <row r="22401" spans="43:43" x14ac:dyDescent="0.2">
      <c r="AQ22401" s="31"/>
    </row>
    <row r="22402" spans="43:43" x14ac:dyDescent="0.2">
      <c r="AQ22402" s="31"/>
    </row>
    <row r="22403" spans="43:43" x14ac:dyDescent="0.2">
      <c r="AQ22403" s="31"/>
    </row>
    <row r="22404" spans="43:43" x14ac:dyDescent="0.2">
      <c r="AQ22404" s="31"/>
    </row>
    <row r="22405" spans="43:43" x14ac:dyDescent="0.2">
      <c r="AQ22405" s="31"/>
    </row>
    <row r="22406" spans="43:43" x14ac:dyDescent="0.2">
      <c r="AQ22406" s="31"/>
    </row>
    <row r="22407" spans="43:43" x14ac:dyDescent="0.2">
      <c r="AQ22407" s="31"/>
    </row>
    <row r="22408" spans="43:43" x14ac:dyDescent="0.2">
      <c r="AQ22408" s="31"/>
    </row>
    <row r="22409" spans="43:43" x14ac:dyDescent="0.2">
      <c r="AQ22409" s="31"/>
    </row>
    <row r="22410" spans="43:43" x14ac:dyDescent="0.2">
      <c r="AQ22410" s="31"/>
    </row>
    <row r="22411" spans="43:43" x14ac:dyDescent="0.2">
      <c r="AQ22411" s="31"/>
    </row>
    <row r="22412" spans="43:43" x14ac:dyDescent="0.2">
      <c r="AQ22412" s="31"/>
    </row>
    <row r="22413" spans="43:43" x14ac:dyDescent="0.2">
      <c r="AQ22413" s="31"/>
    </row>
    <row r="22414" spans="43:43" x14ac:dyDescent="0.2">
      <c r="AQ22414" s="31"/>
    </row>
    <row r="22415" spans="43:43" x14ac:dyDescent="0.2">
      <c r="AQ22415" s="31"/>
    </row>
    <row r="22416" spans="43:43" x14ac:dyDescent="0.2">
      <c r="AQ22416" s="31"/>
    </row>
    <row r="22417" spans="43:43" x14ac:dyDescent="0.2">
      <c r="AQ22417" s="31"/>
    </row>
    <row r="22418" spans="43:43" x14ac:dyDescent="0.2">
      <c r="AQ22418" s="31"/>
    </row>
    <row r="22419" spans="43:43" x14ac:dyDescent="0.2">
      <c r="AQ22419" s="31"/>
    </row>
    <row r="22420" spans="43:43" x14ac:dyDescent="0.2">
      <c r="AQ22420" s="31"/>
    </row>
    <row r="22421" spans="43:43" x14ac:dyDescent="0.2">
      <c r="AQ22421" s="31"/>
    </row>
    <row r="22422" spans="43:43" x14ac:dyDescent="0.2">
      <c r="AQ22422" s="31"/>
    </row>
    <row r="22423" spans="43:43" x14ac:dyDescent="0.2">
      <c r="AQ22423" s="31"/>
    </row>
    <row r="22424" spans="43:43" x14ac:dyDescent="0.2">
      <c r="AQ22424" s="31"/>
    </row>
    <row r="22425" spans="43:43" x14ac:dyDescent="0.2">
      <c r="AQ22425" s="31"/>
    </row>
    <row r="22426" spans="43:43" x14ac:dyDescent="0.2">
      <c r="AQ22426" s="31"/>
    </row>
    <row r="22427" spans="43:43" x14ac:dyDescent="0.2">
      <c r="AQ22427" s="31"/>
    </row>
    <row r="22428" spans="43:43" x14ac:dyDescent="0.2">
      <c r="AQ22428" s="31"/>
    </row>
    <row r="22429" spans="43:43" x14ac:dyDescent="0.2">
      <c r="AQ22429" s="31"/>
    </row>
    <row r="22430" spans="43:43" x14ac:dyDescent="0.2">
      <c r="AQ22430" s="31"/>
    </row>
    <row r="22431" spans="43:43" x14ac:dyDescent="0.2">
      <c r="AQ22431" s="31"/>
    </row>
    <row r="22432" spans="43:43" x14ac:dyDescent="0.2">
      <c r="AQ22432" s="31"/>
    </row>
    <row r="22433" spans="43:43" x14ac:dyDescent="0.2">
      <c r="AQ22433" s="31"/>
    </row>
    <row r="22434" spans="43:43" x14ac:dyDescent="0.2">
      <c r="AQ22434" s="31"/>
    </row>
    <row r="22435" spans="43:43" x14ac:dyDescent="0.2">
      <c r="AQ22435" s="31"/>
    </row>
    <row r="22436" spans="43:43" x14ac:dyDescent="0.2">
      <c r="AQ22436" s="31"/>
    </row>
    <row r="22437" spans="43:43" x14ac:dyDescent="0.2">
      <c r="AQ22437" s="31"/>
    </row>
    <row r="22438" spans="43:43" x14ac:dyDescent="0.2">
      <c r="AQ22438" s="31"/>
    </row>
    <row r="22439" spans="43:43" x14ac:dyDescent="0.2">
      <c r="AQ22439" s="31"/>
    </row>
    <row r="22440" spans="43:43" x14ac:dyDescent="0.2">
      <c r="AQ22440" s="31"/>
    </row>
    <row r="22441" spans="43:43" x14ac:dyDescent="0.2">
      <c r="AQ22441" s="31"/>
    </row>
    <row r="22442" spans="43:43" x14ac:dyDescent="0.2">
      <c r="AQ22442" s="31"/>
    </row>
    <row r="22443" spans="43:43" x14ac:dyDescent="0.2">
      <c r="AQ22443" s="31"/>
    </row>
    <row r="22444" spans="43:43" x14ac:dyDescent="0.2">
      <c r="AQ22444" s="31"/>
    </row>
    <row r="22445" spans="43:43" x14ac:dyDescent="0.2">
      <c r="AQ22445" s="31"/>
    </row>
    <row r="22446" spans="43:43" x14ac:dyDescent="0.2">
      <c r="AQ22446" s="31"/>
    </row>
    <row r="22447" spans="43:43" x14ac:dyDescent="0.2">
      <c r="AQ22447" s="31"/>
    </row>
    <row r="22448" spans="43:43" x14ac:dyDescent="0.2">
      <c r="AQ22448" s="31"/>
    </row>
    <row r="22449" spans="43:43" x14ac:dyDescent="0.2">
      <c r="AQ22449" s="31"/>
    </row>
    <row r="22450" spans="43:43" x14ac:dyDescent="0.2">
      <c r="AQ22450" s="31"/>
    </row>
    <row r="22451" spans="43:43" x14ac:dyDescent="0.2">
      <c r="AQ22451" s="31"/>
    </row>
    <row r="22452" spans="43:43" x14ac:dyDescent="0.2">
      <c r="AQ22452" s="31"/>
    </row>
    <row r="22453" spans="43:43" x14ac:dyDescent="0.2">
      <c r="AQ22453" s="31"/>
    </row>
    <row r="22454" spans="43:43" x14ac:dyDescent="0.2">
      <c r="AQ22454" s="31"/>
    </row>
    <row r="22455" spans="43:43" x14ac:dyDescent="0.2">
      <c r="AQ22455" s="31"/>
    </row>
    <row r="22456" spans="43:43" x14ac:dyDescent="0.2">
      <c r="AQ22456" s="31"/>
    </row>
    <row r="22457" spans="43:43" x14ac:dyDescent="0.2">
      <c r="AQ22457" s="31"/>
    </row>
    <row r="22458" spans="43:43" x14ac:dyDescent="0.2">
      <c r="AQ22458" s="31"/>
    </row>
    <row r="22459" spans="43:43" x14ac:dyDescent="0.2">
      <c r="AQ22459" s="31"/>
    </row>
    <row r="22460" spans="43:43" x14ac:dyDescent="0.2">
      <c r="AQ22460" s="31"/>
    </row>
    <row r="22461" spans="43:43" x14ac:dyDescent="0.2">
      <c r="AQ22461" s="31"/>
    </row>
    <row r="22462" spans="43:43" x14ac:dyDescent="0.2">
      <c r="AQ22462" s="31"/>
    </row>
    <row r="22463" spans="43:43" x14ac:dyDescent="0.2">
      <c r="AQ22463" s="31"/>
    </row>
    <row r="22464" spans="43:43" x14ac:dyDescent="0.2">
      <c r="AQ22464" s="31"/>
    </row>
    <row r="22465" spans="43:43" x14ac:dyDescent="0.2">
      <c r="AQ22465" s="31"/>
    </row>
    <row r="22466" spans="43:43" x14ac:dyDescent="0.2">
      <c r="AQ22466" s="31"/>
    </row>
    <row r="22467" spans="43:43" x14ac:dyDescent="0.2">
      <c r="AQ22467" s="31"/>
    </row>
    <row r="22468" spans="43:43" x14ac:dyDescent="0.2">
      <c r="AQ22468" s="31"/>
    </row>
    <row r="22469" spans="43:43" x14ac:dyDescent="0.2">
      <c r="AQ22469" s="31"/>
    </row>
    <row r="22470" spans="43:43" x14ac:dyDescent="0.2">
      <c r="AQ22470" s="31"/>
    </row>
    <row r="22471" spans="43:43" x14ac:dyDescent="0.2">
      <c r="AQ22471" s="31"/>
    </row>
    <row r="22472" spans="43:43" x14ac:dyDescent="0.2">
      <c r="AQ22472" s="31"/>
    </row>
    <row r="22473" spans="43:43" x14ac:dyDescent="0.2">
      <c r="AQ22473" s="31"/>
    </row>
    <row r="22474" spans="43:43" x14ac:dyDescent="0.2">
      <c r="AQ22474" s="31"/>
    </row>
    <row r="22475" spans="43:43" x14ac:dyDescent="0.2">
      <c r="AQ22475" s="31"/>
    </row>
    <row r="22476" spans="43:43" x14ac:dyDescent="0.2">
      <c r="AQ22476" s="31"/>
    </row>
    <row r="22477" spans="43:43" x14ac:dyDescent="0.2">
      <c r="AQ22477" s="31"/>
    </row>
    <row r="22478" spans="43:43" x14ac:dyDescent="0.2">
      <c r="AQ22478" s="31"/>
    </row>
    <row r="22479" spans="43:43" x14ac:dyDescent="0.2">
      <c r="AQ22479" s="31"/>
    </row>
    <row r="22480" spans="43:43" x14ac:dyDescent="0.2">
      <c r="AQ22480" s="31"/>
    </row>
    <row r="22481" spans="43:43" x14ac:dyDescent="0.2">
      <c r="AQ22481" s="31"/>
    </row>
    <row r="22482" spans="43:43" x14ac:dyDescent="0.2">
      <c r="AQ22482" s="31"/>
    </row>
    <row r="22483" spans="43:43" x14ac:dyDescent="0.2">
      <c r="AQ22483" s="31"/>
    </row>
    <row r="22484" spans="43:43" x14ac:dyDescent="0.2">
      <c r="AQ22484" s="31"/>
    </row>
    <row r="22485" spans="43:43" x14ac:dyDescent="0.2">
      <c r="AQ22485" s="31"/>
    </row>
    <row r="22486" spans="43:43" x14ac:dyDescent="0.2">
      <c r="AQ22486" s="31"/>
    </row>
    <row r="22487" spans="43:43" x14ac:dyDescent="0.2">
      <c r="AQ22487" s="31"/>
    </row>
    <row r="22488" spans="43:43" x14ac:dyDescent="0.2">
      <c r="AQ22488" s="31"/>
    </row>
    <row r="22489" spans="43:43" x14ac:dyDescent="0.2">
      <c r="AQ22489" s="31"/>
    </row>
    <row r="22490" spans="43:43" x14ac:dyDescent="0.2">
      <c r="AQ22490" s="31"/>
    </row>
    <row r="22491" spans="43:43" x14ac:dyDescent="0.2">
      <c r="AQ22491" s="31"/>
    </row>
    <row r="22492" spans="43:43" x14ac:dyDescent="0.2">
      <c r="AQ22492" s="31"/>
    </row>
    <row r="22493" spans="43:43" x14ac:dyDescent="0.2">
      <c r="AQ22493" s="31"/>
    </row>
    <row r="22494" spans="43:43" x14ac:dyDescent="0.2">
      <c r="AQ22494" s="31"/>
    </row>
    <row r="22495" spans="43:43" x14ac:dyDescent="0.2">
      <c r="AQ22495" s="31"/>
    </row>
    <row r="22496" spans="43:43" x14ac:dyDescent="0.2">
      <c r="AQ22496" s="31"/>
    </row>
    <row r="22497" spans="43:43" x14ac:dyDescent="0.2">
      <c r="AQ22497" s="31"/>
    </row>
    <row r="22498" spans="43:43" x14ac:dyDescent="0.2">
      <c r="AQ22498" s="31"/>
    </row>
    <row r="22499" spans="43:43" x14ac:dyDescent="0.2">
      <c r="AQ22499" s="31"/>
    </row>
    <row r="22500" spans="43:43" x14ac:dyDescent="0.2">
      <c r="AQ22500" s="31"/>
    </row>
    <row r="22501" spans="43:43" x14ac:dyDescent="0.2">
      <c r="AQ22501" s="31"/>
    </row>
    <row r="22502" spans="43:43" x14ac:dyDescent="0.2">
      <c r="AQ22502" s="31"/>
    </row>
    <row r="22503" spans="43:43" x14ac:dyDescent="0.2">
      <c r="AQ22503" s="31"/>
    </row>
    <row r="22504" spans="43:43" x14ac:dyDescent="0.2">
      <c r="AQ22504" s="31"/>
    </row>
    <row r="22505" spans="43:43" x14ac:dyDescent="0.2">
      <c r="AQ22505" s="31"/>
    </row>
    <row r="22506" spans="43:43" x14ac:dyDescent="0.2">
      <c r="AQ22506" s="31"/>
    </row>
    <row r="22507" spans="43:43" x14ac:dyDescent="0.2">
      <c r="AQ22507" s="31"/>
    </row>
    <row r="22508" spans="43:43" x14ac:dyDescent="0.2">
      <c r="AQ22508" s="31"/>
    </row>
    <row r="22509" spans="43:43" x14ac:dyDescent="0.2">
      <c r="AQ22509" s="31"/>
    </row>
    <row r="22510" spans="43:43" x14ac:dyDescent="0.2">
      <c r="AQ22510" s="31"/>
    </row>
    <row r="22511" spans="43:43" x14ac:dyDescent="0.2">
      <c r="AQ22511" s="31"/>
    </row>
    <row r="22512" spans="43:43" x14ac:dyDescent="0.2">
      <c r="AQ22512" s="31"/>
    </row>
    <row r="22513" spans="43:43" x14ac:dyDescent="0.2">
      <c r="AQ22513" s="31"/>
    </row>
    <row r="22514" spans="43:43" x14ac:dyDescent="0.2">
      <c r="AQ22514" s="31"/>
    </row>
    <row r="22515" spans="43:43" x14ac:dyDescent="0.2">
      <c r="AQ22515" s="31"/>
    </row>
    <row r="22516" spans="43:43" x14ac:dyDescent="0.2">
      <c r="AQ22516" s="31"/>
    </row>
    <row r="22517" spans="43:43" x14ac:dyDescent="0.2">
      <c r="AQ22517" s="31"/>
    </row>
    <row r="22518" spans="43:43" x14ac:dyDescent="0.2">
      <c r="AQ22518" s="31"/>
    </row>
    <row r="22519" spans="43:43" x14ac:dyDescent="0.2">
      <c r="AQ22519" s="31"/>
    </row>
    <row r="22520" spans="43:43" x14ac:dyDescent="0.2">
      <c r="AQ22520" s="31"/>
    </row>
    <row r="22521" spans="43:43" x14ac:dyDescent="0.2">
      <c r="AQ22521" s="31"/>
    </row>
    <row r="22522" spans="43:43" x14ac:dyDescent="0.2">
      <c r="AQ22522" s="31"/>
    </row>
    <row r="22523" spans="43:43" x14ac:dyDescent="0.2">
      <c r="AQ22523" s="31"/>
    </row>
    <row r="22524" spans="43:43" x14ac:dyDescent="0.2">
      <c r="AQ22524" s="31"/>
    </row>
    <row r="22525" spans="43:43" x14ac:dyDescent="0.2">
      <c r="AQ22525" s="31"/>
    </row>
    <row r="22526" spans="43:43" x14ac:dyDescent="0.2">
      <c r="AQ22526" s="31"/>
    </row>
    <row r="22527" spans="43:43" x14ac:dyDescent="0.2">
      <c r="AQ22527" s="31"/>
    </row>
    <row r="22528" spans="43:43" x14ac:dyDescent="0.2">
      <c r="AQ22528" s="31"/>
    </row>
    <row r="22529" spans="43:43" x14ac:dyDescent="0.2">
      <c r="AQ22529" s="31"/>
    </row>
    <row r="22530" spans="43:43" x14ac:dyDescent="0.2">
      <c r="AQ22530" s="31"/>
    </row>
    <row r="22531" spans="43:43" x14ac:dyDescent="0.2">
      <c r="AQ22531" s="31"/>
    </row>
    <row r="22532" spans="43:43" x14ac:dyDescent="0.2">
      <c r="AQ22532" s="31"/>
    </row>
    <row r="22533" spans="43:43" x14ac:dyDescent="0.2">
      <c r="AQ22533" s="31"/>
    </row>
    <row r="22534" spans="43:43" x14ac:dyDescent="0.2">
      <c r="AQ22534" s="31"/>
    </row>
    <row r="22535" spans="43:43" x14ac:dyDescent="0.2">
      <c r="AQ22535" s="31"/>
    </row>
    <row r="22536" spans="43:43" x14ac:dyDescent="0.2">
      <c r="AQ22536" s="31"/>
    </row>
    <row r="22537" spans="43:43" x14ac:dyDescent="0.2">
      <c r="AQ22537" s="31"/>
    </row>
    <row r="22538" spans="43:43" x14ac:dyDescent="0.2">
      <c r="AQ22538" s="31"/>
    </row>
    <row r="22539" spans="43:43" x14ac:dyDescent="0.2">
      <c r="AQ22539" s="31"/>
    </row>
    <row r="22540" spans="43:43" x14ac:dyDescent="0.2">
      <c r="AQ22540" s="31"/>
    </row>
    <row r="22541" spans="43:43" x14ac:dyDescent="0.2">
      <c r="AQ22541" s="31"/>
    </row>
    <row r="22542" spans="43:43" x14ac:dyDescent="0.2">
      <c r="AQ22542" s="31"/>
    </row>
    <row r="22543" spans="43:43" x14ac:dyDescent="0.2">
      <c r="AQ22543" s="31"/>
    </row>
    <row r="22544" spans="43:43" x14ac:dyDescent="0.2">
      <c r="AQ22544" s="31"/>
    </row>
    <row r="22545" spans="43:43" x14ac:dyDescent="0.2">
      <c r="AQ22545" s="31"/>
    </row>
    <row r="22546" spans="43:43" x14ac:dyDescent="0.2">
      <c r="AQ22546" s="31"/>
    </row>
    <row r="22547" spans="43:43" x14ac:dyDescent="0.2">
      <c r="AQ22547" s="31"/>
    </row>
    <row r="22548" spans="43:43" x14ac:dyDescent="0.2">
      <c r="AQ22548" s="31"/>
    </row>
    <row r="22549" spans="43:43" x14ac:dyDescent="0.2">
      <c r="AQ22549" s="31"/>
    </row>
    <row r="22550" spans="43:43" x14ac:dyDescent="0.2">
      <c r="AQ22550" s="31"/>
    </row>
    <row r="22551" spans="43:43" x14ac:dyDescent="0.2">
      <c r="AQ22551" s="31"/>
    </row>
    <row r="22552" spans="43:43" x14ac:dyDescent="0.2">
      <c r="AQ22552" s="31"/>
    </row>
    <row r="22553" spans="43:43" x14ac:dyDescent="0.2">
      <c r="AQ22553" s="31"/>
    </row>
    <row r="22554" spans="43:43" x14ac:dyDescent="0.2">
      <c r="AQ22554" s="31"/>
    </row>
    <row r="22555" spans="43:43" x14ac:dyDescent="0.2">
      <c r="AQ22555" s="31"/>
    </row>
    <row r="22556" spans="43:43" x14ac:dyDescent="0.2">
      <c r="AQ22556" s="31"/>
    </row>
    <row r="22557" spans="43:43" x14ac:dyDescent="0.2">
      <c r="AQ22557" s="31"/>
    </row>
    <row r="22558" spans="43:43" x14ac:dyDescent="0.2">
      <c r="AQ22558" s="31"/>
    </row>
    <row r="22559" spans="43:43" x14ac:dyDescent="0.2">
      <c r="AQ22559" s="31"/>
    </row>
    <row r="22560" spans="43:43" x14ac:dyDescent="0.2">
      <c r="AQ22560" s="31"/>
    </row>
    <row r="22561" spans="43:43" x14ac:dyDescent="0.2">
      <c r="AQ22561" s="31"/>
    </row>
    <row r="22562" spans="43:43" x14ac:dyDescent="0.2">
      <c r="AQ22562" s="31"/>
    </row>
    <row r="22563" spans="43:43" x14ac:dyDescent="0.2">
      <c r="AQ22563" s="31"/>
    </row>
    <row r="22564" spans="43:43" x14ac:dyDescent="0.2">
      <c r="AQ22564" s="31"/>
    </row>
    <row r="22565" spans="43:43" x14ac:dyDescent="0.2">
      <c r="AQ22565" s="31"/>
    </row>
    <row r="22566" spans="43:43" x14ac:dyDescent="0.2">
      <c r="AQ22566" s="31"/>
    </row>
    <row r="22567" spans="43:43" x14ac:dyDescent="0.2">
      <c r="AQ22567" s="31"/>
    </row>
    <row r="22568" spans="43:43" x14ac:dyDescent="0.2">
      <c r="AQ22568" s="31"/>
    </row>
    <row r="22569" spans="43:43" x14ac:dyDescent="0.2">
      <c r="AQ22569" s="31"/>
    </row>
    <row r="22570" spans="43:43" x14ac:dyDescent="0.2">
      <c r="AQ22570" s="31"/>
    </row>
    <row r="22571" spans="43:43" x14ac:dyDescent="0.2">
      <c r="AQ22571" s="31"/>
    </row>
    <row r="22572" spans="43:43" x14ac:dyDescent="0.2">
      <c r="AQ22572" s="31"/>
    </row>
    <row r="22573" spans="43:43" x14ac:dyDescent="0.2">
      <c r="AQ22573" s="31"/>
    </row>
    <row r="22574" spans="43:43" x14ac:dyDescent="0.2">
      <c r="AQ22574" s="31"/>
    </row>
    <row r="22575" spans="43:43" x14ac:dyDescent="0.2">
      <c r="AQ22575" s="31"/>
    </row>
    <row r="22576" spans="43:43" x14ac:dyDescent="0.2">
      <c r="AQ22576" s="31"/>
    </row>
    <row r="22577" spans="43:43" x14ac:dyDescent="0.2">
      <c r="AQ22577" s="31"/>
    </row>
    <row r="22578" spans="43:43" x14ac:dyDescent="0.2">
      <c r="AQ22578" s="31"/>
    </row>
    <row r="22579" spans="43:43" x14ac:dyDescent="0.2">
      <c r="AQ22579" s="31"/>
    </row>
    <row r="22580" spans="43:43" x14ac:dyDescent="0.2">
      <c r="AQ22580" s="31"/>
    </row>
    <row r="22581" spans="43:43" x14ac:dyDescent="0.2">
      <c r="AQ22581" s="31"/>
    </row>
    <row r="22582" spans="43:43" x14ac:dyDescent="0.2">
      <c r="AQ22582" s="31"/>
    </row>
    <row r="22583" spans="43:43" x14ac:dyDescent="0.2">
      <c r="AQ22583" s="31"/>
    </row>
    <row r="22584" spans="43:43" x14ac:dyDescent="0.2">
      <c r="AQ22584" s="31"/>
    </row>
    <row r="22585" spans="43:43" x14ac:dyDescent="0.2">
      <c r="AQ22585" s="31"/>
    </row>
    <row r="22586" spans="43:43" x14ac:dyDescent="0.2">
      <c r="AQ22586" s="31"/>
    </row>
    <row r="22587" spans="43:43" x14ac:dyDescent="0.2">
      <c r="AQ22587" s="31"/>
    </row>
    <row r="22588" spans="43:43" x14ac:dyDescent="0.2">
      <c r="AQ22588" s="31"/>
    </row>
    <row r="22589" spans="43:43" x14ac:dyDescent="0.2">
      <c r="AQ22589" s="31"/>
    </row>
    <row r="22590" spans="43:43" x14ac:dyDescent="0.2">
      <c r="AQ22590" s="31"/>
    </row>
    <row r="22591" spans="43:43" x14ac:dyDescent="0.2">
      <c r="AQ22591" s="31"/>
    </row>
    <row r="22592" spans="43:43" x14ac:dyDescent="0.2">
      <c r="AQ22592" s="31"/>
    </row>
    <row r="22593" spans="43:43" x14ac:dyDescent="0.2">
      <c r="AQ22593" s="31"/>
    </row>
    <row r="22594" spans="43:43" x14ac:dyDescent="0.2">
      <c r="AQ22594" s="31"/>
    </row>
    <row r="22595" spans="43:43" x14ac:dyDescent="0.2">
      <c r="AQ22595" s="31"/>
    </row>
    <row r="22596" spans="43:43" x14ac:dyDescent="0.2">
      <c r="AQ22596" s="31"/>
    </row>
    <row r="22597" spans="43:43" x14ac:dyDescent="0.2">
      <c r="AQ22597" s="31"/>
    </row>
    <row r="22598" spans="43:43" x14ac:dyDescent="0.2">
      <c r="AQ22598" s="31"/>
    </row>
    <row r="22599" spans="43:43" x14ac:dyDescent="0.2">
      <c r="AQ22599" s="31"/>
    </row>
    <row r="22600" spans="43:43" x14ac:dyDescent="0.2">
      <c r="AQ22600" s="31"/>
    </row>
    <row r="22601" spans="43:43" x14ac:dyDescent="0.2">
      <c r="AQ22601" s="31"/>
    </row>
    <row r="22602" spans="43:43" x14ac:dyDescent="0.2">
      <c r="AQ22602" s="31"/>
    </row>
    <row r="22603" spans="43:43" x14ac:dyDescent="0.2">
      <c r="AQ22603" s="31"/>
    </row>
    <row r="22604" spans="43:43" x14ac:dyDescent="0.2">
      <c r="AQ22604" s="31"/>
    </row>
    <row r="22605" spans="43:43" x14ac:dyDescent="0.2">
      <c r="AQ22605" s="31"/>
    </row>
    <row r="22606" spans="43:43" x14ac:dyDescent="0.2">
      <c r="AQ22606" s="31"/>
    </row>
    <row r="22607" spans="43:43" x14ac:dyDescent="0.2">
      <c r="AQ22607" s="31"/>
    </row>
    <row r="22608" spans="43:43" x14ac:dyDescent="0.2">
      <c r="AQ22608" s="31"/>
    </row>
    <row r="22609" spans="43:43" x14ac:dyDescent="0.2">
      <c r="AQ22609" s="31"/>
    </row>
    <row r="22610" spans="43:43" x14ac:dyDescent="0.2">
      <c r="AQ22610" s="31"/>
    </row>
    <row r="22611" spans="43:43" x14ac:dyDescent="0.2">
      <c r="AQ22611" s="31"/>
    </row>
    <row r="22612" spans="43:43" x14ac:dyDescent="0.2">
      <c r="AQ22612" s="31"/>
    </row>
    <row r="22613" spans="43:43" x14ac:dyDescent="0.2">
      <c r="AQ22613" s="31"/>
    </row>
    <row r="22614" spans="43:43" x14ac:dyDescent="0.2">
      <c r="AQ22614" s="31"/>
    </row>
    <row r="22615" spans="43:43" x14ac:dyDescent="0.2">
      <c r="AQ22615" s="31"/>
    </row>
    <row r="22616" spans="43:43" x14ac:dyDescent="0.2">
      <c r="AQ22616" s="31"/>
    </row>
    <row r="22617" spans="43:43" x14ac:dyDescent="0.2">
      <c r="AQ22617" s="31"/>
    </row>
    <row r="22618" spans="43:43" x14ac:dyDescent="0.2">
      <c r="AQ22618" s="31"/>
    </row>
    <row r="22619" spans="43:43" x14ac:dyDescent="0.2">
      <c r="AQ22619" s="31"/>
    </row>
    <row r="22620" spans="43:43" x14ac:dyDescent="0.2">
      <c r="AQ22620" s="31"/>
    </row>
    <row r="22621" spans="43:43" x14ac:dyDescent="0.2">
      <c r="AQ22621" s="31"/>
    </row>
    <row r="22622" spans="43:43" x14ac:dyDescent="0.2">
      <c r="AQ22622" s="31"/>
    </row>
    <row r="22623" spans="43:43" x14ac:dyDescent="0.2">
      <c r="AQ22623" s="31"/>
    </row>
    <row r="22624" spans="43:43" x14ac:dyDescent="0.2">
      <c r="AQ22624" s="31"/>
    </row>
    <row r="22625" spans="43:43" x14ac:dyDescent="0.2">
      <c r="AQ22625" s="31"/>
    </row>
    <row r="22626" spans="43:43" x14ac:dyDescent="0.2">
      <c r="AQ22626" s="31"/>
    </row>
    <row r="22627" spans="43:43" x14ac:dyDescent="0.2">
      <c r="AQ22627" s="31"/>
    </row>
    <row r="22628" spans="43:43" x14ac:dyDescent="0.2">
      <c r="AQ22628" s="31"/>
    </row>
    <row r="22629" spans="43:43" x14ac:dyDescent="0.2">
      <c r="AQ22629" s="31"/>
    </row>
    <row r="22630" spans="43:43" x14ac:dyDescent="0.2">
      <c r="AQ22630" s="31"/>
    </row>
    <row r="22631" spans="43:43" x14ac:dyDescent="0.2">
      <c r="AQ22631" s="31"/>
    </row>
    <row r="22632" spans="43:43" x14ac:dyDescent="0.2">
      <c r="AQ22632" s="31"/>
    </row>
    <row r="22633" spans="43:43" x14ac:dyDescent="0.2">
      <c r="AQ22633" s="31"/>
    </row>
    <row r="22634" spans="43:43" x14ac:dyDescent="0.2">
      <c r="AQ22634" s="31"/>
    </row>
    <row r="22635" spans="43:43" x14ac:dyDescent="0.2">
      <c r="AQ22635" s="31"/>
    </row>
    <row r="22636" spans="43:43" x14ac:dyDescent="0.2">
      <c r="AQ22636" s="31"/>
    </row>
    <row r="22637" spans="43:43" x14ac:dyDescent="0.2">
      <c r="AQ22637" s="31"/>
    </row>
    <row r="22638" spans="43:43" x14ac:dyDescent="0.2">
      <c r="AQ22638" s="31"/>
    </row>
    <row r="22639" spans="43:43" x14ac:dyDescent="0.2">
      <c r="AQ22639" s="31"/>
    </row>
    <row r="22640" spans="43:43" x14ac:dyDescent="0.2">
      <c r="AQ22640" s="31"/>
    </row>
    <row r="22641" spans="43:43" x14ac:dyDescent="0.2">
      <c r="AQ22641" s="31"/>
    </row>
    <row r="22642" spans="43:43" x14ac:dyDescent="0.2">
      <c r="AQ22642" s="31"/>
    </row>
    <row r="22643" spans="43:43" x14ac:dyDescent="0.2">
      <c r="AQ22643" s="31"/>
    </row>
    <row r="22644" spans="43:43" x14ac:dyDescent="0.2">
      <c r="AQ22644" s="31"/>
    </row>
    <row r="22645" spans="43:43" x14ac:dyDescent="0.2">
      <c r="AQ22645" s="31"/>
    </row>
    <row r="22646" spans="43:43" x14ac:dyDescent="0.2">
      <c r="AQ22646" s="31"/>
    </row>
    <row r="22647" spans="43:43" x14ac:dyDescent="0.2">
      <c r="AQ22647" s="31"/>
    </row>
    <row r="22648" spans="43:43" x14ac:dyDescent="0.2">
      <c r="AQ22648" s="31"/>
    </row>
    <row r="22649" spans="43:43" x14ac:dyDescent="0.2">
      <c r="AQ22649" s="31"/>
    </row>
    <row r="22650" spans="43:43" x14ac:dyDescent="0.2">
      <c r="AQ22650" s="31"/>
    </row>
    <row r="22651" spans="43:43" x14ac:dyDescent="0.2">
      <c r="AQ22651" s="31"/>
    </row>
    <row r="22652" spans="43:43" x14ac:dyDescent="0.2">
      <c r="AQ22652" s="31"/>
    </row>
    <row r="22653" spans="43:43" x14ac:dyDescent="0.2">
      <c r="AQ22653" s="31"/>
    </row>
    <row r="22654" spans="43:43" x14ac:dyDescent="0.2">
      <c r="AQ22654" s="31"/>
    </row>
    <row r="22655" spans="43:43" x14ac:dyDescent="0.2">
      <c r="AQ22655" s="31"/>
    </row>
    <row r="22656" spans="43:43" x14ac:dyDescent="0.2">
      <c r="AQ22656" s="31"/>
    </row>
    <row r="22657" spans="43:43" x14ac:dyDescent="0.2">
      <c r="AQ22657" s="31"/>
    </row>
    <row r="22658" spans="43:43" x14ac:dyDescent="0.2">
      <c r="AQ22658" s="31"/>
    </row>
    <row r="22659" spans="43:43" x14ac:dyDescent="0.2">
      <c r="AQ22659" s="31"/>
    </row>
    <row r="22660" spans="43:43" x14ac:dyDescent="0.2">
      <c r="AQ22660" s="31"/>
    </row>
    <row r="22661" spans="43:43" x14ac:dyDescent="0.2">
      <c r="AQ22661" s="31"/>
    </row>
    <row r="22662" spans="43:43" x14ac:dyDescent="0.2">
      <c r="AQ22662" s="31"/>
    </row>
    <row r="22663" spans="43:43" x14ac:dyDescent="0.2">
      <c r="AQ22663" s="31"/>
    </row>
    <row r="22664" spans="43:43" x14ac:dyDescent="0.2">
      <c r="AQ22664" s="31"/>
    </row>
    <row r="22665" spans="43:43" x14ac:dyDescent="0.2">
      <c r="AQ22665" s="31"/>
    </row>
    <row r="22666" spans="43:43" x14ac:dyDescent="0.2">
      <c r="AQ22666" s="31"/>
    </row>
    <row r="22667" spans="43:43" x14ac:dyDescent="0.2">
      <c r="AQ22667" s="31"/>
    </row>
    <row r="22668" spans="43:43" x14ac:dyDescent="0.2">
      <c r="AQ22668" s="31"/>
    </row>
    <row r="22669" spans="43:43" x14ac:dyDescent="0.2">
      <c r="AQ22669" s="31"/>
    </row>
    <row r="22670" spans="43:43" x14ac:dyDescent="0.2">
      <c r="AQ22670" s="31"/>
    </row>
    <row r="22671" spans="43:43" x14ac:dyDescent="0.2">
      <c r="AQ22671" s="31"/>
    </row>
    <row r="22672" spans="43:43" x14ac:dyDescent="0.2">
      <c r="AQ22672" s="31"/>
    </row>
    <row r="22673" spans="43:43" x14ac:dyDescent="0.2">
      <c r="AQ22673" s="31"/>
    </row>
    <row r="22674" spans="43:43" x14ac:dyDescent="0.2">
      <c r="AQ22674" s="31"/>
    </row>
    <row r="22675" spans="43:43" x14ac:dyDescent="0.2">
      <c r="AQ22675" s="31"/>
    </row>
    <row r="22676" spans="43:43" x14ac:dyDescent="0.2">
      <c r="AQ22676" s="31"/>
    </row>
    <row r="22677" spans="43:43" x14ac:dyDescent="0.2">
      <c r="AQ22677" s="31"/>
    </row>
    <row r="22678" spans="43:43" x14ac:dyDescent="0.2">
      <c r="AQ22678" s="31"/>
    </row>
    <row r="22679" spans="43:43" x14ac:dyDescent="0.2">
      <c r="AQ22679" s="31"/>
    </row>
    <row r="22680" spans="43:43" x14ac:dyDescent="0.2">
      <c r="AQ22680" s="31"/>
    </row>
    <row r="22681" spans="43:43" x14ac:dyDescent="0.2">
      <c r="AQ22681" s="31"/>
    </row>
    <row r="22682" spans="43:43" x14ac:dyDescent="0.2">
      <c r="AQ22682" s="31"/>
    </row>
    <row r="22683" spans="43:43" x14ac:dyDescent="0.2">
      <c r="AQ22683" s="31"/>
    </row>
    <row r="22684" spans="43:43" x14ac:dyDescent="0.2">
      <c r="AQ22684" s="31"/>
    </row>
    <row r="22685" spans="43:43" x14ac:dyDescent="0.2">
      <c r="AQ22685" s="31"/>
    </row>
    <row r="22686" spans="43:43" x14ac:dyDescent="0.2">
      <c r="AQ22686" s="31"/>
    </row>
    <row r="22687" spans="43:43" x14ac:dyDescent="0.2">
      <c r="AQ22687" s="31"/>
    </row>
    <row r="22688" spans="43:43" x14ac:dyDescent="0.2">
      <c r="AQ22688" s="31"/>
    </row>
    <row r="22689" spans="43:43" x14ac:dyDescent="0.2">
      <c r="AQ22689" s="31"/>
    </row>
    <row r="22690" spans="43:43" x14ac:dyDescent="0.2">
      <c r="AQ22690" s="31"/>
    </row>
    <row r="22691" spans="43:43" x14ac:dyDescent="0.2">
      <c r="AQ22691" s="31"/>
    </row>
    <row r="22692" spans="43:43" x14ac:dyDescent="0.2">
      <c r="AQ22692" s="31"/>
    </row>
    <row r="22693" spans="43:43" x14ac:dyDescent="0.2">
      <c r="AQ22693" s="31"/>
    </row>
    <row r="22694" spans="43:43" x14ac:dyDescent="0.2">
      <c r="AQ22694" s="31"/>
    </row>
    <row r="22695" spans="43:43" x14ac:dyDescent="0.2">
      <c r="AQ22695" s="31"/>
    </row>
    <row r="22696" spans="43:43" x14ac:dyDescent="0.2">
      <c r="AQ22696" s="31"/>
    </row>
    <row r="22697" spans="43:43" x14ac:dyDescent="0.2">
      <c r="AQ22697" s="31"/>
    </row>
    <row r="22698" spans="43:43" x14ac:dyDescent="0.2">
      <c r="AQ22698" s="31"/>
    </row>
    <row r="22699" spans="43:43" x14ac:dyDescent="0.2">
      <c r="AQ22699" s="31"/>
    </row>
    <row r="22700" spans="43:43" x14ac:dyDescent="0.2">
      <c r="AQ22700" s="31"/>
    </row>
    <row r="22701" spans="43:43" x14ac:dyDescent="0.2">
      <c r="AQ22701" s="31"/>
    </row>
    <row r="22702" spans="43:43" x14ac:dyDescent="0.2">
      <c r="AQ22702" s="31"/>
    </row>
    <row r="22703" spans="43:43" x14ac:dyDescent="0.2">
      <c r="AQ22703" s="31"/>
    </row>
    <row r="22704" spans="43:43" x14ac:dyDescent="0.2">
      <c r="AQ22704" s="31"/>
    </row>
    <row r="22705" spans="43:43" x14ac:dyDescent="0.2">
      <c r="AQ22705" s="31"/>
    </row>
    <row r="22706" spans="43:43" x14ac:dyDescent="0.2">
      <c r="AQ22706" s="31"/>
    </row>
    <row r="22707" spans="43:43" x14ac:dyDescent="0.2">
      <c r="AQ22707" s="31"/>
    </row>
    <row r="22708" spans="43:43" x14ac:dyDescent="0.2">
      <c r="AQ22708" s="31"/>
    </row>
    <row r="22709" spans="43:43" x14ac:dyDescent="0.2">
      <c r="AQ22709" s="31"/>
    </row>
    <row r="22710" spans="43:43" x14ac:dyDescent="0.2">
      <c r="AQ22710" s="31"/>
    </row>
    <row r="22711" spans="43:43" x14ac:dyDescent="0.2">
      <c r="AQ22711" s="31"/>
    </row>
    <row r="22712" spans="43:43" x14ac:dyDescent="0.2">
      <c r="AQ22712" s="31"/>
    </row>
    <row r="22713" spans="43:43" x14ac:dyDescent="0.2">
      <c r="AQ22713" s="31"/>
    </row>
    <row r="22714" spans="43:43" x14ac:dyDescent="0.2">
      <c r="AQ22714" s="31"/>
    </row>
    <row r="22715" spans="43:43" x14ac:dyDescent="0.2">
      <c r="AQ22715" s="31"/>
    </row>
    <row r="22716" spans="43:43" x14ac:dyDescent="0.2">
      <c r="AQ22716" s="31"/>
    </row>
    <row r="22717" spans="43:43" x14ac:dyDescent="0.2">
      <c r="AQ22717" s="31"/>
    </row>
    <row r="22718" spans="43:43" x14ac:dyDescent="0.2">
      <c r="AQ22718" s="31"/>
    </row>
    <row r="22719" spans="43:43" x14ac:dyDescent="0.2">
      <c r="AQ22719" s="31"/>
    </row>
    <row r="22720" spans="43:43" x14ac:dyDescent="0.2">
      <c r="AQ22720" s="31"/>
    </row>
    <row r="22721" spans="43:43" x14ac:dyDescent="0.2">
      <c r="AQ22721" s="31"/>
    </row>
    <row r="22722" spans="43:43" x14ac:dyDescent="0.2">
      <c r="AQ22722" s="31"/>
    </row>
    <row r="22723" spans="43:43" x14ac:dyDescent="0.2">
      <c r="AQ22723" s="31"/>
    </row>
    <row r="22724" spans="43:43" x14ac:dyDescent="0.2">
      <c r="AQ22724" s="31"/>
    </row>
    <row r="22725" spans="43:43" x14ac:dyDescent="0.2">
      <c r="AQ22725" s="31"/>
    </row>
    <row r="22726" spans="43:43" x14ac:dyDescent="0.2">
      <c r="AQ22726" s="31"/>
    </row>
    <row r="22727" spans="43:43" x14ac:dyDescent="0.2">
      <c r="AQ22727" s="31"/>
    </row>
    <row r="22728" spans="43:43" x14ac:dyDescent="0.2">
      <c r="AQ22728" s="31"/>
    </row>
    <row r="22729" spans="43:43" x14ac:dyDescent="0.2">
      <c r="AQ22729" s="31"/>
    </row>
    <row r="22730" spans="43:43" x14ac:dyDescent="0.2">
      <c r="AQ22730" s="31"/>
    </row>
    <row r="22731" spans="43:43" x14ac:dyDescent="0.2">
      <c r="AQ22731" s="31"/>
    </row>
    <row r="22732" spans="43:43" x14ac:dyDescent="0.2">
      <c r="AQ22732" s="31"/>
    </row>
    <row r="22733" spans="43:43" x14ac:dyDescent="0.2">
      <c r="AQ22733" s="31"/>
    </row>
    <row r="22734" spans="43:43" x14ac:dyDescent="0.2">
      <c r="AQ22734" s="31"/>
    </row>
    <row r="22735" spans="43:43" x14ac:dyDescent="0.2">
      <c r="AQ22735" s="31"/>
    </row>
    <row r="22736" spans="43:43" x14ac:dyDescent="0.2">
      <c r="AQ22736" s="31"/>
    </row>
    <row r="22737" spans="43:43" x14ac:dyDescent="0.2">
      <c r="AQ22737" s="31"/>
    </row>
    <row r="22738" spans="43:43" x14ac:dyDescent="0.2">
      <c r="AQ22738" s="31"/>
    </row>
    <row r="22739" spans="43:43" x14ac:dyDescent="0.2">
      <c r="AQ22739" s="31"/>
    </row>
    <row r="22740" spans="43:43" x14ac:dyDescent="0.2">
      <c r="AQ22740" s="31"/>
    </row>
    <row r="22741" spans="43:43" x14ac:dyDescent="0.2">
      <c r="AQ22741" s="31"/>
    </row>
    <row r="22742" spans="43:43" x14ac:dyDescent="0.2">
      <c r="AQ22742" s="31"/>
    </row>
    <row r="22743" spans="43:43" x14ac:dyDescent="0.2">
      <c r="AQ22743" s="31"/>
    </row>
    <row r="22744" spans="43:43" x14ac:dyDescent="0.2">
      <c r="AQ22744" s="31"/>
    </row>
    <row r="22745" spans="43:43" x14ac:dyDescent="0.2">
      <c r="AQ22745" s="31"/>
    </row>
    <row r="22746" spans="43:43" x14ac:dyDescent="0.2">
      <c r="AQ22746" s="31"/>
    </row>
    <row r="22747" spans="43:43" x14ac:dyDescent="0.2">
      <c r="AQ22747" s="31"/>
    </row>
    <row r="22748" spans="43:43" x14ac:dyDescent="0.2">
      <c r="AQ22748" s="31"/>
    </row>
    <row r="22749" spans="43:43" x14ac:dyDescent="0.2">
      <c r="AQ22749" s="31"/>
    </row>
    <row r="22750" spans="43:43" x14ac:dyDescent="0.2">
      <c r="AQ22750" s="31"/>
    </row>
    <row r="22751" spans="43:43" x14ac:dyDescent="0.2">
      <c r="AQ22751" s="31"/>
    </row>
    <row r="22752" spans="43:43" x14ac:dyDescent="0.2">
      <c r="AQ22752" s="31"/>
    </row>
    <row r="22753" spans="43:43" x14ac:dyDescent="0.2">
      <c r="AQ22753" s="31"/>
    </row>
    <row r="22754" spans="43:43" x14ac:dyDescent="0.2">
      <c r="AQ22754" s="31"/>
    </row>
    <row r="22755" spans="43:43" x14ac:dyDescent="0.2">
      <c r="AQ22755" s="31"/>
    </row>
    <row r="22756" spans="43:43" x14ac:dyDescent="0.2">
      <c r="AQ22756" s="31"/>
    </row>
    <row r="22757" spans="43:43" x14ac:dyDescent="0.2">
      <c r="AQ22757" s="31"/>
    </row>
    <row r="22758" spans="43:43" x14ac:dyDescent="0.2">
      <c r="AQ22758" s="31"/>
    </row>
    <row r="22759" spans="43:43" x14ac:dyDescent="0.2">
      <c r="AQ22759" s="31"/>
    </row>
    <row r="22760" spans="43:43" x14ac:dyDescent="0.2">
      <c r="AQ22760" s="31"/>
    </row>
    <row r="22761" spans="43:43" x14ac:dyDescent="0.2">
      <c r="AQ22761" s="31"/>
    </row>
    <row r="22762" spans="43:43" x14ac:dyDescent="0.2">
      <c r="AQ22762" s="31"/>
    </row>
    <row r="22763" spans="43:43" x14ac:dyDescent="0.2">
      <c r="AQ22763" s="31"/>
    </row>
    <row r="22764" spans="43:43" x14ac:dyDescent="0.2">
      <c r="AQ22764" s="31"/>
    </row>
    <row r="22765" spans="43:43" x14ac:dyDescent="0.2">
      <c r="AQ22765" s="31"/>
    </row>
    <row r="22766" spans="43:43" x14ac:dyDescent="0.2">
      <c r="AQ22766" s="31"/>
    </row>
    <row r="22767" spans="43:43" x14ac:dyDescent="0.2">
      <c r="AQ22767" s="31"/>
    </row>
    <row r="22768" spans="43:43" x14ac:dyDescent="0.2">
      <c r="AQ22768" s="31"/>
    </row>
    <row r="22769" spans="43:43" x14ac:dyDescent="0.2">
      <c r="AQ22769" s="31"/>
    </row>
    <row r="22770" spans="43:43" x14ac:dyDescent="0.2">
      <c r="AQ22770" s="31"/>
    </row>
    <row r="22771" spans="43:43" x14ac:dyDescent="0.2">
      <c r="AQ22771" s="31"/>
    </row>
    <row r="22772" spans="43:43" x14ac:dyDescent="0.2">
      <c r="AQ22772" s="31"/>
    </row>
    <row r="22773" spans="43:43" x14ac:dyDescent="0.2">
      <c r="AQ22773" s="31"/>
    </row>
    <row r="22774" spans="43:43" x14ac:dyDescent="0.2">
      <c r="AQ22774" s="31"/>
    </row>
    <row r="22775" spans="43:43" x14ac:dyDescent="0.2">
      <c r="AQ22775" s="31"/>
    </row>
    <row r="22776" spans="43:43" x14ac:dyDescent="0.2">
      <c r="AQ22776" s="31"/>
    </row>
    <row r="22777" spans="43:43" x14ac:dyDescent="0.2">
      <c r="AQ22777" s="31"/>
    </row>
    <row r="22778" spans="43:43" x14ac:dyDescent="0.2">
      <c r="AQ22778" s="31"/>
    </row>
    <row r="22779" spans="43:43" x14ac:dyDescent="0.2">
      <c r="AQ22779" s="31"/>
    </row>
    <row r="22780" spans="43:43" x14ac:dyDescent="0.2">
      <c r="AQ22780" s="31"/>
    </row>
    <row r="22781" spans="43:43" x14ac:dyDescent="0.2">
      <c r="AQ22781" s="31"/>
    </row>
    <row r="22782" spans="43:43" x14ac:dyDescent="0.2">
      <c r="AQ22782" s="31"/>
    </row>
    <row r="22783" spans="43:43" x14ac:dyDescent="0.2">
      <c r="AQ22783" s="31"/>
    </row>
    <row r="22784" spans="43:43" x14ac:dyDescent="0.2">
      <c r="AQ22784" s="31"/>
    </row>
    <row r="22785" spans="43:43" x14ac:dyDescent="0.2">
      <c r="AQ22785" s="31"/>
    </row>
    <row r="22786" spans="43:43" x14ac:dyDescent="0.2">
      <c r="AQ22786" s="31"/>
    </row>
    <row r="22787" spans="43:43" x14ac:dyDescent="0.2">
      <c r="AQ22787" s="31"/>
    </row>
    <row r="22788" spans="43:43" x14ac:dyDescent="0.2">
      <c r="AQ22788" s="31"/>
    </row>
    <row r="22789" spans="43:43" x14ac:dyDescent="0.2">
      <c r="AQ22789" s="31"/>
    </row>
    <row r="22790" spans="43:43" x14ac:dyDescent="0.2">
      <c r="AQ22790" s="31"/>
    </row>
    <row r="22791" spans="43:43" x14ac:dyDescent="0.2">
      <c r="AQ22791" s="31"/>
    </row>
    <row r="22792" spans="43:43" x14ac:dyDescent="0.2">
      <c r="AQ22792" s="31"/>
    </row>
    <row r="22793" spans="43:43" x14ac:dyDescent="0.2">
      <c r="AQ22793" s="31"/>
    </row>
    <row r="22794" spans="43:43" x14ac:dyDescent="0.2">
      <c r="AQ22794" s="31"/>
    </row>
    <row r="22795" spans="43:43" x14ac:dyDescent="0.2">
      <c r="AQ22795" s="31"/>
    </row>
    <row r="22796" spans="43:43" x14ac:dyDescent="0.2">
      <c r="AQ22796" s="31"/>
    </row>
    <row r="22797" spans="43:43" x14ac:dyDescent="0.2">
      <c r="AQ22797" s="31"/>
    </row>
    <row r="22798" spans="43:43" x14ac:dyDescent="0.2">
      <c r="AQ22798" s="31"/>
    </row>
    <row r="22799" spans="43:43" x14ac:dyDescent="0.2">
      <c r="AQ22799" s="31"/>
    </row>
    <row r="22800" spans="43:43" x14ac:dyDescent="0.2">
      <c r="AQ22800" s="31"/>
    </row>
    <row r="22801" spans="43:43" x14ac:dyDescent="0.2">
      <c r="AQ22801" s="31"/>
    </row>
    <row r="22802" spans="43:43" x14ac:dyDescent="0.2">
      <c r="AQ22802" s="31"/>
    </row>
    <row r="22803" spans="43:43" x14ac:dyDescent="0.2">
      <c r="AQ22803" s="31"/>
    </row>
    <row r="22804" spans="43:43" x14ac:dyDescent="0.2">
      <c r="AQ22804" s="31"/>
    </row>
    <row r="22805" spans="43:43" x14ac:dyDescent="0.2">
      <c r="AQ22805" s="31"/>
    </row>
    <row r="22806" spans="43:43" x14ac:dyDescent="0.2">
      <c r="AQ22806" s="31"/>
    </row>
    <row r="22807" spans="43:43" x14ac:dyDescent="0.2">
      <c r="AQ22807" s="31"/>
    </row>
    <row r="22808" spans="43:43" x14ac:dyDescent="0.2">
      <c r="AQ22808" s="31"/>
    </row>
    <row r="22809" spans="43:43" x14ac:dyDescent="0.2">
      <c r="AQ22809" s="31"/>
    </row>
    <row r="22810" spans="43:43" x14ac:dyDescent="0.2">
      <c r="AQ22810" s="31"/>
    </row>
    <row r="22811" spans="43:43" x14ac:dyDescent="0.2">
      <c r="AQ22811" s="31"/>
    </row>
    <row r="22812" spans="43:43" x14ac:dyDescent="0.2">
      <c r="AQ22812" s="31"/>
    </row>
    <row r="22813" spans="43:43" x14ac:dyDescent="0.2">
      <c r="AQ22813" s="31"/>
    </row>
    <row r="22814" spans="43:43" x14ac:dyDescent="0.2">
      <c r="AQ22814" s="31"/>
    </row>
    <row r="22815" spans="43:43" x14ac:dyDescent="0.2">
      <c r="AQ22815" s="31"/>
    </row>
    <row r="22816" spans="43:43" x14ac:dyDescent="0.2">
      <c r="AQ22816" s="31"/>
    </row>
    <row r="22817" spans="43:43" x14ac:dyDescent="0.2">
      <c r="AQ22817" s="31"/>
    </row>
    <row r="22818" spans="43:43" x14ac:dyDescent="0.2">
      <c r="AQ22818" s="31"/>
    </row>
    <row r="22819" spans="43:43" x14ac:dyDescent="0.2">
      <c r="AQ22819" s="31"/>
    </row>
    <row r="22820" spans="43:43" x14ac:dyDescent="0.2">
      <c r="AQ22820" s="31"/>
    </row>
    <row r="22821" spans="43:43" x14ac:dyDescent="0.2">
      <c r="AQ22821" s="31"/>
    </row>
    <row r="22822" spans="43:43" x14ac:dyDescent="0.2">
      <c r="AQ22822" s="31"/>
    </row>
    <row r="22823" spans="43:43" x14ac:dyDescent="0.2">
      <c r="AQ22823" s="31"/>
    </row>
    <row r="22824" spans="43:43" x14ac:dyDescent="0.2">
      <c r="AQ22824" s="31"/>
    </row>
    <row r="22825" spans="43:43" x14ac:dyDescent="0.2">
      <c r="AQ22825" s="31"/>
    </row>
    <row r="22826" spans="43:43" x14ac:dyDescent="0.2">
      <c r="AQ22826" s="31"/>
    </row>
    <row r="22827" spans="43:43" x14ac:dyDescent="0.2">
      <c r="AQ22827" s="31"/>
    </row>
    <row r="22828" spans="43:43" x14ac:dyDescent="0.2">
      <c r="AQ22828" s="31"/>
    </row>
    <row r="22829" spans="43:43" x14ac:dyDescent="0.2">
      <c r="AQ22829" s="31"/>
    </row>
    <row r="22830" spans="43:43" x14ac:dyDescent="0.2">
      <c r="AQ22830" s="31"/>
    </row>
    <row r="22831" spans="43:43" x14ac:dyDescent="0.2">
      <c r="AQ22831" s="31"/>
    </row>
    <row r="22832" spans="43:43" x14ac:dyDescent="0.2">
      <c r="AQ22832" s="31"/>
    </row>
    <row r="22833" spans="43:43" x14ac:dyDescent="0.2">
      <c r="AQ22833" s="31"/>
    </row>
    <row r="22834" spans="43:43" x14ac:dyDescent="0.2">
      <c r="AQ22834" s="31"/>
    </row>
    <row r="22835" spans="43:43" x14ac:dyDescent="0.2">
      <c r="AQ22835" s="31"/>
    </row>
    <row r="22836" spans="43:43" x14ac:dyDescent="0.2">
      <c r="AQ22836" s="31"/>
    </row>
    <row r="22837" spans="43:43" x14ac:dyDescent="0.2">
      <c r="AQ22837" s="31"/>
    </row>
    <row r="22838" spans="43:43" x14ac:dyDescent="0.2">
      <c r="AQ22838" s="31"/>
    </row>
    <row r="22839" spans="43:43" x14ac:dyDescent="0.2">
      <c r="AQ22839" s="31"/>
    </row>
    <row r="22840" spans="43:43" x14ac:dyDescent="0.2">
      <c r="AQ22840" s="31"/>
    </row>
    <row r="22841" spans="43:43" x14ac:dyDescent="0.2">
      <c r="AQ22841" s="31"/>
    </row>
    <row r="22842" spans="43:43" x14ac:dyDescent="0.2">
      <c r="AQ22842" s="31"/>
    </row>
    <row r="22843" spans="43:43" x14ac:dyDescent="0.2">
      <c r="AQ22843" s="31"/>
    </row>
    <row r="22844" spans="43:43" x14ac:dyDescent="0.2">
      <c r="AQ22844" s="31"/>
    </row>
    <row r="22845" spans="43:43" x14ac:dyDescent="0.2">
      <c r="AQ22845" s="31"/>
    </row>
    <row r="22846" spans="43:43" x14ac:dyDescent="0.2">
      <c r="AQ22846" s="31"/>
    </row>
    <row r="22847" spans="43:43" x14ac:dyDescent="0.2">
      <c r="AQ22847" s="31"/>
    </row>
    <row r="22848" spans="43:43" x14ac:dyDescent="0.2">
      <c r="AQ22848" s="31"/>
    </row>
    <row r="22849" spans="43:43" x14ac:dyDescent="0.2">
      <c r="AQ22849" s="31"/>
    </row>
    <row r="22850" spans="43:43" x14ac:dyDescent="0.2">
      <c r="AQ22850" s="31"/>
    </row>
    <row r="22851" spans="43:43" x14ac:dyDescent="0.2">
      <c r="AQ22851" s="31"/>
    </row>
    <row r="22852" spans="43:43" x14ac:dyDescent="0.2">
      <c r="AQ22852" s="31"/>
    </row>
    <row r="22853" spans="43:43" x14ac:dyDescent="0.2">
      <c r="AQ22853" s="31"/>
    </row>
    <row r="22854" spans="43:43" x14ac:dyDescent="0.2">
      <c r="AQ22854" s="31"/>
    </row>
    <row r="22855" spans="43:43" x14ac:dyDescent="0.2">
      <c r="AQ22855" s="31"/>
    </row>
    <row r="22856" spans="43:43" x14ac:dyDescent="0.2">
      <c r="AQ22856" s="31"/>
    </row>
    <row r="22857" spans="43:43" x14ac:dyDescent="0.2">
      <c r="AQ22857" s="31"/>
    </row>
    <row r="22858" spans="43:43" x14ac:dyDescent="0.2">
      <c r="AQ22858" s="31"/>
    </row>
    <row r="22859" spans="43:43" x14ac:dyDescent="0.2">
      <c r="AQ22859" s="31"/>
    </row>
    <row r="22860" spans="43:43" x14ac:dyDescent="0.2">
      <c r="AQ22860" s="31"/>
    </row>
    <row r="22861" spans="43:43" x14ac:dyDescent="0.2">
      <c r="AQ22861" s="31"/>
    </row>
    <row r="22862" spans="43:43" x14ac:dyDescent="0.2">
      <c r="AQ22862" s="31"/>
    </row>
    <row r="22863" spans="43:43" x14ac:dyDescent="0.2">
      <c r="AQ22863" s="31"/>
    </row>
    <row r="22864" spans="43:43" x14ac:dyDescent="0.2">
      <c r="AQ22864" s="31"/>
    </row>
    <row r="22865" spans="43:43" x14ac:dyDescent="0.2">
      <c r="AQ22865" s="31"/>
    </row>
    <row r="22866" spans="43:43" x14ac:dyDescent="0.2">
      <c r="AQ22866" s="31"/>
    </row>
    <row r="22867" spans="43:43" x14ac:dyDescent="0.2">
      <c r="AQ22867" s="31"/>
    </row>
    <row r="22868" spans="43:43" x14ac:dyDescent="0.2">
      <c r="AQ22868" s="31"/>
    </row>
    <row r="22869" spans="43:43" x14ac:dyDescent="0.2">
      <c r="AQ22869" s="31"/>
    </row>
    <row r="22870" spans="43:43" x14ac:dyDescent="0.2">
      <c r="AQ22870" s="31"/>
    </row>
    <row r="22871" spans="43:43" x14ac:dyDescent="0.2">
      <c r="AQ22871" s="31"/>
    </row>
    <row r="22872" spans="43:43" x14ac:dyDescent="0.2">
      <c r="AQ22872" s="31"/>
    </row>
    <row r="22873" spans="43:43" x14ac:dyDescent="0.2">
      <c r="AQ22873" s="31"/>
    </row>
    <row r="22874" spans="43:43" x14ac:dyDescent="0.2">
      <c r="AQ22874" s="31"/>
    </row>
    <row r="22875" spans="43:43" x14ac:dyDescent="0.2">
      <c r="AQ22875" s="31"/>
    </row>
    <row r="22876" spans="43:43" x14ac:dyDescent="0.2">
      <c r="AQ22876" s="31"/>
    </row>
    <row r="22877" spans="43:43" x14ac:dyDescent="0.2">
      <c r="AQ22877" s="31"/>
    </row>
    <row r="22878" spans="43:43" x14ac:dyDescent="0.2">
      <c r="AQ22878" s="31"/>
    </row>
    <row r="22879" spans="43:43" x14ac:dyDescent="0.2">
      <c r="AQ22879" s="31"/>
    </row>
    <row r="22880" spans="43:43" x14ac:dyDescent="0.2">
      <c r="AQ22880" s="31"/>
    </row>
    <row r="22881" spans="43:43" x14ac:dyDescent="0.2">
      <c r="AQ22881" s="31"/>
    </row>
    <row r="22882" spans="43:43" x14ac:dyDescent="0.2">
      <c r="AQ22882" s="31"/>
    </row>
    <row r="22883" spans="43:43" x14ac:dyDescent="0.2">
      <c r="AQ22883" s="31"/>
    </row>
    <row r="22884" spans="43:43" x14ac:dyDescent="0.2">
      <c r="AQ22884" s="31"/>
    </row>
    <row r="22885" spans="43:43" x14ac:dyDescent="0.2">
      <c r="AQ22885" s="31"/>
    </row>
    <row r="22886" spans="43:43" x14ac:dyDescent="0.2">
      <c r="AQ22886" s="31"/>
    </row>
    <row r="22887" spans="43:43" x14ac:dyDescent="0.2">
      <c r="AQ22887" s="31"/>
    </row>
    <row r="22888" spans="43:43" x14ac:dyDescent="0.2">
      <c r="AQ22888" s="31"/>
    </row>
    <row r="22889" spans="43:43" x14ac:dyDescent="0.2">
      <c r="AQ22889" s="31"/>
    </row>
    <row r="22890" spans="43:43" x14ac:dyDescent="0.2">
      <c r="AQ22890" s="31"/>
    </row>
    <row r="22891" spans="43:43" x14ac:dyDescent="0.2">
      <c r="AQ22891" s="31"/>
    </row>
    <row r="22892" spans="43:43" x14ac:dyDescent="0.2">
      <c r="AQ22892" s="31"/>
    </row>
    <row r="22893" spans="43:43" x14ac:dyDescent="0.2">
      <c r="AQ22893" s="31"/>
    </row>
    <row r="22894" spans="43:43" x14ac:dyDescent="0.2">
      <c r="AQ22894" s="31"/>
    </row>
    <row r="22895" spans="43:43" x14ac:dyDescent="0.2">
      <c r="AQ22895" s="31"/>
    </row>
    <row r="22896" spans="43:43" x14ac:dyDescent="0.2">
      <c r="AQ22896" s="31"/>
    </row>
    <row r="22897" spans="43:43" x14ac:dyDescent="0.2">
      <c r="AQ22897" s="31"/>
    </row>
    <row r="22898" spans="43:43" x14ac:dyDescent="0.2">
      <c r="AQ22898" s="31"/>
    </row>
    <row r="22899" spans="43:43" x14ac:dyDescent="0.2">
      <c r="AQ22899" s="31"/>
    </row>
    <row r="22900" spans="43:43" x14ac:dyDescent="0.2">
      <c r="AQ22900" s="31"/>
    </row>
    <row r="22901" spans="43:43" x14ac:dyDescent="0.2">
      <c r="AQ22901" s="31"/>
    </row>
    <row r="22902" spans="43:43" x14ac:dyDescent="0.2">
      <c r="AQ22902" s="31"/>
    </row>
    <row r="22903" spans="43:43" x14ac:dyDescent="0.2">
      <c r="AQ22903" s="31"/>
    </row>
    <row r="22904" spans="43:43" x14ac:dyDescent="0.2">
      <c r="AQ22904" s="31"/>
    </row>
    <row r="22905" spans="43:43" x14ac:dyDescent="0.2">
      <c r="AQ22905" s="31"/>
    </row>
    <row r="22906" spans="43:43" x14ac:dyDescent="0.2">
      <c r="AQ22906" s="31"/>
    </row>
    <row r="22907" spans="43:43" x14ac:dyDescent="0.2">
      <c r="AQ22907" s="31"/>
    </row>
    <row r="22908" spans="43:43" x14ac:dyDescent="0.2">
      <c r="AQ22908" s="31"/>
    </row>
    <row r="22909" spans="43:43" x14ac:dyDescent="0.2">
      <c r="AQ22909" s="31"/>
    </row>
    <row r="22910" spans="43:43" x14ac:dyDescent="0.2">
      <c r="AQ22910" s="31"/>
    </row>
    <row r="22911" spans="43:43" x14ac:dyDescent="0.2">
      <c r="AQ22911" s="31"/>
    </row>
    <row r="22912" spans="43:43" x14ac:dyDescent="0.2">
      <c r="AQ22912" s="31"/>
    </row>
    <row r="22913" spans="43:43" x14ac:dyDescent="0.2">
      <c r="AQ22913" s="31"/>
    </row>
    <row r="22914" spans="43:43" x14ac:dyDescent="0.2">
      <c r="AQ22914" s="31"/>
    </row>
    <row r="22915" spans="43:43" x14ac:dyDescent="0.2">
      <c r="AQ22915" s="31"/>
    </row>
    <row r="22916" spans="43:43" x14ac:dyDescent="0.2">
      <c r="AQ22916" s="31"/>
    </row>
    <row r="22917" spans="43:43" x14ac:dyDescent="0.2">
      <c r="AQ22917" s="31"/>
    </row>
    <row r="22918" spans="43:43" x14ac:dyDescent="0.2">
      <c r="AQ22918" s="31"/>
    </row>
    <row r="22919" spans="43:43" x14ac:dyDescent="0.2">
      <c r="AQ22919" s="31"/>
    </row>
    <row r="22920" spans="43:43" x14ac:dyDescent="0.2">
      <c r="AQ22920" s="31"/>
    </row>
    <row r="22921" spans="43:43" x14ac:dyDescent="0.2">
      <c r="AQ22921" s="31"/>
    </row>
    <row r="22922" spans="43:43" x14ac:dyDescent="0.2">
      <c r="AQ22922" s="31"/>
    </row>
    <row r="22923" spans="43:43" x14ac:dyDescent="0.2">
      <c r="AQ22923" s="31"/>
    </row>
    <row r="22924" spans="43:43" x14ac:dyDescent="0.2">
      <c r="AQ22924" s="31"/>
    </row>
    <row r="22925" spans="43:43" x14ac:dyDescent="0.2">
      <c r="AQ22925" s="31"/>
    </row>
    <row r="22926" spans="43:43" x14ac:dyDescent="0.2">
      <c r="AQ22926" s="31"/>
    </row>
    <row r="22927" spans="43:43" x14ac:dyDescent="0.2">
      <c r="AQ22927" s="31"/>
    </row>
    <row r="22928" spans="43:43" x14ac:dyDescent="0.2">
      <c r="AQ22928" s="31"/>
    </row>
    <row r="22929" spans="43:43" x14ac:dyDescent="0.2">
      <c r="AQ22929" s="31"/>
    </row>
    <row r="22930" spans="43:43" x14ac:dyDescent="0.2">
      <c r="AQ22930" s="31"/>
    </row>
    <row r="22931" spans="43:43" x14ac:dyDescent="0.2">
      <c r="AQ22931" s="31"/>
    </row>
    <row r="22932" spans="43:43" x14ac:dyDescent="0.2">
      <c r="AQ22932" s="31"/>
    </row>
    <row r="22933" spans="43:43" x14ac:dyDescent="0.2">
      <c r="AQ22933" s="31"/>
    </row>
    <row r="22934" spans="43:43" x14ac:dyDescent="0.2">
      <c r="AQ22934" s="31"/>
    </row>
    <row r="22935" spans="43:43" x14ac:dyDescent="0.2">
      <c r="AQ22935" s="31"/>
    </row>
    <row r="22936" spans="43:43" x14ac:dyDescent="0.2">
      <c r="AQ22936" s="31"/>
    </row>
    <row r="22937" spans="43:43" x14ac:dyDescent="0.2">
      <c r="AQ22937" s="31"/>
    </row>
    <row r="22938" spans="43:43" x14ac:dyDescent="0.2">
      <c r="AQ22938" s="31"/>
    </row>
    <row r="22939" spans="43:43" x14ac:dyDescent="0.2">
      <c r="AQ22939" s="31"/>
    </row>
    <row r="22940" spans="43:43" x14ac:dyDescent="0.2">
      <c r="AQ22940" s="31"/>
    </row>
    <row r="22941" spans="43:43" x14ac:dyDescent="0.2">
      <c r="AQ22941" s="31"/>
    </row>
    <row r="22942" spans="43:43" x14ac:dyDescent="0.2">
      <c r="AQ22942" s="31"/>
    </row>
    <row r="22943" spans="43:43" x14ac:dyDescent="0.2">
      <c r="AQ22943" s="31"/>
    </row>
    <row r="22944" spans="43:43" x14ac:dyDescent="0.2">
      <c r="AQ22944" s="31"/>
    </row>
    <row r="22945" spans="43:43" x14ac:dyDescent="0.2">
      <c r="AQ22945" s="31"/>
    </row>
    <row r="22946" spans="43:43" x14ac:dyDescent="0.2">
      <c r="AQ22946" s="31"/>
    </row>
    <row r="22947" spans="43:43" x14ac:dyDescent="0.2">
      <c r="AQ22947" s="31"/>
    </row>
    <row r="22948" spans="43:43" x14ac:dyDescent="0.2">
      <c r="AQ22948" s="31"/>
    </row>
    <row r="22949" spans="43:43" x14ac:dyDescent="0.2">
      <c r="AQ22949" s="31"/>
    </row>
    <row r="22950" spans="43:43" x14ac:dyDescent="0.2">
      <c r="AQ22950" s="31"/>
    </row>
    <row r="22951" spans="43:43" x14ac:dyDescent="0.2">
      <c r="AQ22951" s="31"/>
    </row>
    <row r="22952" spans="43:43" x14ac:dyDescent="0.2">
      <c r="AQ22952" s="31"/>
    </row>
    <row r="22953" spans="43:43" x14ac:dyDescent="0.2">
      <c r="AQ22953" s="31"/>
    </row>
    <row r="22954" spans="43:43" x14ac:dyDescent="0.2">
      <c r="AQ22954" s="31"/>
    </row>
    <row r="22955" spans="43:43" x14ac:dyDescent="0.2">
      <c r="AQ22955" s="31"/>
    </row>
    <row r="22956" spans="43:43" x14ac:dyDescent="0.2">
      <c r="AQ22956" s="31"/>
    </row>
    <row r="22957" spans="43:43" x14ac:dyDescent="0.2">
      <c r="AQ22957" s="31"/>
    </row>
    <row r="22958" spans="43:43" x14ac:dyDescent="0.2">
      <c r="AQ22958" s="31"/>
    </row>
    <row r="22959" spans="43:43" x14ac:dyDescent="0.2">
      <c r="AQ22959" s="31"/>
    </row>
    <row r="22960" spans="43:43" x14ac:dyDescent="0.2">
      <c r="AQ22960" s="31"/>
    </row>
    <row r="22961" spans="43:43" x14ac:dyDescent="0.2">
      <c r="AQ22961" s="31"/>
    </row>
    <row r="22962" spans="43:43" x14ac:dyDescent="0.2">
      <c r="AQ22962" s="31"/>
    </row>
    <row r="22963" spans="43:43" x14ac:dyDescent="0.2">
      <c r="AQ22963" s="31"/>
    </row>
    <row r="22964" spans="43:43" x14ac:dyDescent="0.2">
      <c r="AQ22964" s="31"/>
    </row>
    <row r="22965" spans="43:43" x14ac:dyDescent="0.2">
      <c r="AQ22965" s="31"/>
    </row>
    <row r="22966" spans="43:43" x14ac:dyDescent="0.2">
      <c r="AQ22966" s="31"/>
    </row>
    <row r="22967" spans="43:43" x14ac:dyDescent="0.2">
      <c r="AQ22967" s="31"/>
    </row>
    <row r="22968" spans="43:43" x14ac:dyDescent="0.2">
      <c r="AQ22968" s="31"/>
    </row>
    <row r="22969" spans="43:43" x14ac:dyDescent="0.2">
      <c r="AQ22969" s="31"/>
    </row>
    <row r="22970" spans="43:43" x14ac:dyDescent="0.2">
      <c r="AQ22970" s="31"/>
    </row>
    <row r="22971" spans="43:43" x14ac:dyDescent="0.2">
      <c r="AQ22971" s="31"/>
    </row>
    <row r="22972" spans="43:43" x14ac:dyDescent="0.2">
      <c r="AQ22972" s="31"/>
    </row>
    <row r="22973" spans="43:43" x14ac:dyDescent="0.2">
      <c r="AQ22973" s="31"/>
    </row>
    <row r="22974" spans="43:43" x14ac:dyDescent="0.2">
      <c r="AQ22974" s="31"/>
    </row>
    <row r="22975" spans="43:43" x14ac:dyDescent="0.2">
      <c r="AQ22975" s="31"/>
    </row>
    <row r="22976" spans="43:43" x14ac:dyDescent="0.2">
      <c r="AQ22976" s="31"/>
    </row>
    <row r="22977" spans="43:43" x14ac:dyDescent="0.2">
      <c r="AQ22977" s="31"/>
    </row>
    <row r="22978" spans="43:43" x14ac:dyDescent="0.2">
      <c r="AQ22978" s="31"/>
    </row>
    <row r="22979" spans="43:43" x14ac:dyDescent="0.2">
      <c r="AQ22979" s="31"/>
    </row>
    <row r="22980" spans="43:43" x14ac:dyDescent="0.2">
      <c r="AQ22980" s="31"/>
    </row>
    <row r="22981" spans="43:43" x14ac:dyDescent="0.2">
      <c r="AQ22981" s="31"/>
    </row>
    <row r="22982" spans="43:43" x14ac:dyDescent="0.2">
      <c r="AQ22982" s="31"/>
    </row>
    <row r="22983" spans="43:43" x14ac:dyDescent="0.2">
      <c r="AQ22983" s="31"/>
    </row>
    <row r="22984" spans="43:43" x14ac:dyDescent="0.2">
      <c r="AQ22984" s="31"/>
    </row>
    <row r="22985" spans="43:43" x14ac:dyDescent="0.2">
      <c r="AQ22985" s="31"/>
    </row>
    <row r="22986" spans="43:43" x14ac:dyDescent="0.2">
      <c r="AQ22986" s="31"/>
    </row>
    <row r="22987" spans="43:43" x14ac:dyDescent="0.2">
      <c r="AQ22987" s="31"/>
    </row>
    <row r="22988" spans="43:43" x14ac:dyDescent="0.2">
      <c r="AQ22988" s="31"/>
    </row>
    <row r="22989" spans="43:43" x14ac:dyDescent="0.2">
      <c r="AQ22989" s="31"/>
    </row>
    <row r="22990" spans="43:43" x14ac:dyDescent="0.2">
      <c r="AQ22990" s="31"/>
    </row>
    <row r="22991" spans="43:43" x14ac:dyDescent="0.2">
      <c r="AQ22991" s="31"/>
    </row>
    <row r="22992" spans="43:43" x14ac:dyDescent="0.2">
      <c r="AQ22992" s="31"/>
    </row>
    <row r="22993" spans="43:43" x14ac:dyDescent="0.2">
      <c r="AQ22993" s="31"/>
    </row>
    <row r="22994" spans="43:43" x14ac:dyDescent="0.2">
      <c r="AQ22994" s="31"/>
    </row>
    <row r="22995" spans="43:43" x14ac:dyDescent="0.2">
      <c r="AQ22995" s="31"/>
    </row>
    <row r="22996" spans="43:43" x14ac:dyDescent="0.2">
      <c r="AQ22996" s="31"/>
    </row>
    <row r="22997" spans="43:43" x14ac:dyDescent="0.2">
      <c r="AQ22997" s="31"/>
    </row>
    <row r="22998" spans="43:43" x14ac:dyDescent="0.2">
      <c r="AQ22998" s="31"/>
    </row>
    <row r="22999" spans="43:43" x14ac:dyDescent="0.2">
      <c r="AQ22999" s="31"/>
    </row>
    <row r="23000" spans="43:43" x14ac:dyDescent="0.2">
      <c r="AQ23000" s="31"/>
    </row>
    <row r="23001" spans="43:43" x14ac:dyDescent="0.2">
      <c r="AQ23001" s="31"/>
    </row>
    <row r="23002" spans="43:43" x14ac:dyDescent="0.2">
      <c r="AQ23002" s="31"/>
    </row>
    <row r="23003" spans="43:43" x14ac:dyDescent="0.2">
      <c r="AQ23003" s="31"/>
    </row>
    <row r="23004" spans="43:43" x14ac:dyDescent="0.2">
      <c r="AQ23004" s="31"/>
    </row>
    <row r="23005" spans="43:43" x14ac:dyDescent="0.2">
      <c r="AQ23005" s="31"/>
    </row>
    <row r="23006" spans="43:43" x14ac:dyDescent="0.2">
      <c r="AQ23006" s="31"/>
    </row>
    <row r="23007" spans="43:43" x14ac:dyDescent="0.2">
      <c r="AQ23007" s="31"/>
    </row>
    <row r="23008" spans="43:43" x14ac:dyDescent="0.2">
      <c r="AQ23008" s="31"/>
    </row>
    <row r="23009" spans="43:43" x14ac:dyDescent="0.2">
      <c r="AQ23009" s="31"/>
    </row>
    <row r="23010" spans="43:43" x14ac:dyDescent="0.2">
      <c r="AQ23010" s="31"/>
    </row>
    <row r="23011" spans="43:43" x14ac:dyDescent="0.2">
      <c r="AQ23011" s="31"/>
    </row>
    <row r="23012" spans="43:43" x14ac:dyDescent="0.2">
      <c r="AQ23012" s="31"/>
    </row>
    <row r="23013" spans="43:43" x14ac:dyDescent="0.2">
      <c r="AQ23013" s="31"/>
    </row>
    <row r="23014" spans="43:43" x14ac:dyDescent="0.2">
      <c r="AQ23014" s="31"/>
    </row>
    <row r="23015" spans="43:43" x14ac:dyDescent="0.2">
      <c r="AQ23015" s="31"/>
    </row>
    <row r="23016" spans="43:43" x14ac:dyDescent="0.2">
      <c r="AQ23016" s="31"/>
    </row>
    <row r="23017" spans="43:43" x14ac:dyDescent="0.2">
      <c r="AQ23017" s="31"/>
    </row>
    <row r="23018" spans="43:43" x14ac:dyDescent="0.2">
      <c r="AQ23018" s="31"/>
    </row>
    <row r="23019" spans="43:43" x14ac:dyDescent="0.2">
      <c r="AQ23019" s="31"/>
    </row>
    <row r="23020" spans="43:43" x14ac:dyDescent="0.2">
      <c r="AQ23020" s="31"/>
    </row>
    <row r="23021" spans="43:43" x14ac:dyDescent="0.2">
      <c r="AQ23021" s="31"/>
    </row>
    <row r="23022" spans="43:43" x14ac:dyDescent="0.2">
      <c r="AQ23022" s="31"/>
    </row>
    <row r="23023" spans="43:43" x14ac:dyDescent="0.2">
      <c r="AQ23023" s="31"/>
    </row>
    <row r="23024" spans="43:43" x14ac:dyDescent="0.2">
      <c r="AQ23024" s="31"/>
    </row>
    <row r="23025" spans="43:43" x14ac:dyDescent="0.2">
      <c r="AQ23025" s="31"/>
    </row>
    <row r="23026" spans="43:43" x14ac:dyDescent="0.2">
      <c r="AQ23026" s="31"/>
    </row>
    <row r="23027" spans="43:43" x14ac:dyDescent="0.2">
      <c r="AQ23027" s="31"/>
    </row>
    <row r="23028" spans="43:43" x14ac:dyDescent="0.2">
      <c r="AQ23028" s="31"/>
    </row>
    <row r="23029" spans="43:43" x14ac:dyDescent="0.2">
      <c r="AQ23029" s="31"/>
    </row>
    <row r="23030" spans="43:43" x14ac:dyDescent="0.2">
      <c r="AQ23030" s="31"/>
    </row>
    <row r="23031" spans="43:43" x14ac:dyDescent="0.2">
      <c r="AQ23031" s="31"/>
    </row>
    <row r="23032" spans="43:43" x14ac:dyDescent="0.2">
      <c r="AQ23032" s="31"/>
    </row>
    <row r="23033" spans="43:43" x14ac:dyDescent="0.2">
      <c r="AQ23033" s="31"/>
    </row>
    <row r="23034" spans="43:43" x14ac:dyDescent="0.2">
      <c r="AQ23034" s="31"/>
    </row>
    <row r="23035" spans="43:43" x14ac:dyDescent="0.2">
      <c r="AQ23035" s="31"/>
    </row>
    <row r="23036" spans="43:43" x14ac:dyDescent="0.2">
      <c r="AQ23036" s="31"/>
    </row>
    <row r="23037" spans="43:43" x14ac:dyDescent="0.2">
      <c r="AQ23037" s="31"/>
    </row>
    <row r="23038" spans="43:43" x14ac:dyDescent="0.2">
      <c r="AQ23038" s="31"/>
    </row>
    <row r="23039" spans="43:43" x14ac:dyDescent="0.2">
      <c r="AQ23039" s="31"/>
    </row>
    <row r="23040" spans="43:43" x14ac:dyDescent="0.2">
      <c r="AQ23040" s="31"/>
    </row>
    <row r="23041" spans="43:43" x14ac:dyDescent="0.2">
      <c r="AQ23041" s="31"/>
    </row>
    <row r="23042" spans="43:43" x14ac:dyDescent="0.2">
      <c r="AQ23042" s="31"/>
    </row>
    <row r="23043" spans="43:43" x14ac:dyDescent="0.2">
      <c r="AQ23043" s="31"/>
    </row>
    <row r="23044" spans="43:43" x14ac:dyDescent="0.2">
      <c r="AQ23044" s="31"/>
    </row>
    <row r="23045" spans="43:43" x14ac:dyDescent="0.2">
      <c r="AQ23045" s="31"/>
    </row>
    <row r="23046" spans="43:43" x14ac:dyDescent="0.2">
      <c r="AQ23046" s="31"/>
    </row>
    <row r="23047" spans="43:43" x14ac:dyDescent="0.2">
      <c r="AQ23047" s="31"/>
    </row>
    <row r="23048" spans="43:43" x14ac:dyDescent="0.2">
      <c r="AQ23048" s="31"/>
    </row>
    <row r="23049" spans="43:43" x14ac:dyDescent="0.2">
      <c r="AQ23049" s="31"/>
    </row>
    <row r="23050" spans="43:43" x14ac:dyDescent="0.2">
      <c r="AQ23050" s="31"/>
    </row>
    <row r="23051" spans="43:43" x14ac:dyDescent="0.2">
      <c r="AQ23051" s="31"/>
    </row>
    <row r="23052" spans="43:43" x14ac:dyDescent="0.2">
      <c r="AQ23052" s="31"/>
    </row>
    <row r="23053" spans="43:43" x14ac:dyDescent="0.2">
      <c r="AQ23053" s="31"/>
    </row>
    <row r="23054" spans="43:43" x14ac:dyDescent="0.2">
      <c r="AQ23054" s="31"/>
    </row>
    <row r="23055" spans="43:43" x14ac:dyDescent="0.2">
      <c r="AQ23055" s="31"/>
    </row>
    <row r="23056" spans="43:43" x14ac:dyDescent="0.2">
      <c r="AQ23056" s="31"/>
    </row>
    <row r="23057" spans="43:43" x14ac:dyDescent="0.2">
      <c r="AQ23057" s="31"/>
    </row>
    <row r="23058" spans="43:43" x14ac:dyDescent="0.2">
      <c r="AQ23058" s="31"/>
    </row>
    <row r="23059" spans="43:43" x14ac:dyDescent="0.2">
      <c r="AQ23059" s="31"/>
    </row>
    <row r="23060" spans="43:43" x14ac:dyDescent="0.2">
      <c r="AQ23060" s="31"/>
    </row>
    <row r="23061" spans="43:43" x14ac:dyDescent="0.2">
      <c r="AQ23061" s="31"/>
    </row>
    <row r="23062" spans="43:43" x14ac:dyDescent="0.2">
      <c r="AQ23062" s="31"/>
    </row>
    <row r="23063" spans="43:43" x14ac:dyDescent="0.2">
      <c r="AQ23063" s="31"/>
    </row>
    <row r="23064" spans="43:43" x14ac:dyDescent="0.2">
      <c r="AQ23064" s="31"/>
    </row>
    <row r="23065" spans="43:43" x14ac:dyDescent="0.2">
      <c r="AQ23065" s="31"/>
    </row>
    <row r="23066" spans="43:43" x14ac:dyDescent="0.2">
      <c r="AQ23066" s="31"/>
    </row>
    <row r="23067" spans="43:43" x14ac:dyDescent="0.2">
      <c r="AQ23067" s="31"/>
    </row>
    <row r="23068" spans="43:43" x14ac:dyDescent="0.2">
      <c r="AQ23068" s="31"/>
    </row>
    <row r="23069" spans="43:43" x14ac:dyDescent="0.2">
      <c r="AQ23069" s="31"/>
    </row>
    <row r="23070" spans="43:43" x14ac:dyDescent="0.2">
      <c r="AQ23070" s="31"/>
    </row>
    <row r="23071" spans="43:43" x14ac:dyDescent="0.2">
      <c r="AQ23071" s="31"/>
    </row>
    <row r="23072" spans="43:43" x14ac:dyDescent="0.2">
      <c r="AQ23072" s="31"/>
    </row>
    <row r="23073" spans="43:43" x14ac:dyDescent="0.2">
      <c r="AQ23073" s="31"/>
    </row>
    <row r="23074" spans="43:43" x14ac:dyDescent="0.2">
      <c r="AQ23074" s="31"/>
    </row>
    <row r="23075" spans="43:43" x14ac:dyDescent="0.2">
      <c r="AQ23075" s="31"/>
    </row>
    <row r="23076" spans="43:43" x14ac:dyDescent="0.2">
      <c r="AQ23076" s="31"/>
    </row>
    <row r="23077" spans="43:43" x14ac:dyDescent="0.2">
      <c r="AQ23077" s="31"/>
    </row>
    <row r="23078" spans="43:43" x14ac:dyDescent="0.2">
      <c r="AQ23078" s="31"/>
    </row>
    <row r="23079" spans="43:43" x14ac:dyDescent="0.2">
      <c r="AQ23079" s="31"/>
    </row>
    <row r="23080" spans="43:43" x14ac:dyDescent="0.2">
      <c r="AQ23080" s="31"/>
    </row>
    <row r="23081" spans="43:43" x14ac:dyDescent="0.2">
      <c r="AQ23081" s="31"/>
    </row>
    <row r="23082" spans="43:43" x14ac:dyDescent="0.2">
      <c r="AQ23082" s="31"/>
    </row>
    <row r="23083" spans="43:43" x14ac:dyDescent="0.2">
      <c r="AQ23083" s="31"/>
    </row>
    <row r="23084" spans="43:43" x14ac:dyDescent="0.2">
      <c r="AQ23084" s="31"/>
    </row>
    <row r="23085" spans="43:43" x14ac:dyDescent="0.2">
      <c r="AQ23085" s="31"/>
    </row>
    <row r="23086" spans="43:43" x14ac:dyDescent="0.2">
      <c r="AQ23086" s="31"/>
    </row>
    <row r="23087" spans="43:43" x14ac:dyDescent="0.2">
      <c r="AQ23087" s="31"/>
    </row>
    <row r="23088" spans="43:43" x14ac:dyDescent="0.2">
      <c r="AQ23088" s="31"/>
    </row>
    <row r="23089" spans="43:43" x14ac:dyDescent="0.2">
      <c r="AQ23089" s="31"/>
    </row>
    <row r="23090" spans="43:43" x14ac:dyDescent="0.2">
      <c r="AQ23090" s="31"/>
    </row>
    <row r="23091" spans="43:43" x14ac:dyDescent="0.2">
      <c r="AQ23091" s="31"/>
    </row>
    <row r="23092" spans="43:43" x14ac:dyDescent="0.2">
      <c r="AQ23092" s="31"/>
    </row>
    <row r="23093" spans="43:43" x14ac:dyDescent="0.2">
      <c r="AQ23093" s="31"/>
    </row>
    <row r="23094" spans="43:43" x14ac:dyDescent="0.2">
      <c r="AQ23094" s="31"/>
    </row>
    <row r="23095" spans="43:43" x14ac:dyDescent="0.2">
      <c r="AQ23095" s="31"/>
    </row>
    <row r="23096" spans="43:43" x14ac:dyDescent="0.2">
      <c r="AQ23096" s="31"/>
    </row>
    <row r="23097" spans="43:43" x14ac:dyDescent="0.2">
      <c r="AQ23097" s="31"/>
    </row>
    <row r="23098" spans="43:43" x14ac:dyDescent="0.2">
      <c r="AQ23098" s="31"/>
    </row>
    <row r="23099" spans="43:43" x14ac:dyDescent="0.2">
      <c r="AQ23099" s="31"/>
    </row>
    <row r="23100" spans="43:43" x14ac:dyDescent="0.2">
      <c r="AQ23100" s="31"/>
    </row>
    <row r="23101" spans="43:43" x14ac:dyDescent="0.2">
      <c r="AQ23101" s="31"/>
    </row>
    <row r="23102" spans="43:43" x14ac:dyDescent="0.2">
      <c r="AQ23102" s="31"/>
    </row>
    <row r="23103" spans="43:43" x14ac:dyDescent="0.2">
      <c r="AQ23103" s="31"/>
    </row>
    <row r="23104" spans="43:43" x14ac:dyDescent="0.2">
      <c r="AQ23104" s="31"/>
    </row>
    <row r="23105" spans="43:43" x14ac:dyDescent="0.2">
      <c r="AQ23105" s="31"/>
    </row>
    <row r="23106" spans="43:43" x14ac:dyDescent="0.2">
      <c r="AQ23106" s="31"/>
    </row>
    <row r="23107" spans="43:43" x14ac:dyDescent="0.2">
      <c r="AQ23107" s="31"/>
    </row>
    <row r="23108" spans="43:43" x14ac:dyDescent="0.2">
      <c r="AQ23108" s="31"/>
    </row>
    <row r="23109" spans="43:43" x14ac:dyDescent="0.2">
      <c r="AQ23109" s="31"/>
    </row>
    <row r="23110" spans="43:43" x14ac:dyDescent="0.2">
      <c r="AQ23110" s="31"/>
    </row>
    <row r="23111" spans="43:43" x14ac:dyDescent="0.2">
      <c r="AQ23111" s="31"/>
    </row>
    <row r="23112" spans="43:43" x14ac:dyDescent="0.2">
      <c r="AQ23112" s="31"/>
    </row>
    <row r="23113" spans="43:43" x14ac:dyDescent="0.2">
      <c r="AQ23113" s="31"/>
    </row>
    <row r="23114" spans="43:43" x14ac:dyDescent="0.2">
      <c r="AQ23114" s="31"/>
    </row>
    <row r="23115" spans="43:43" x14ac:dyDescent="0.2">
      <c r="AQ23115" s="31"/>
    </row>
    <row r="23116" spans="43:43" x14ac:dyDescent="0.2">
      <c r="AQ23116" s="31"/>
    </row>
    <row r="23117" spans="43:43" x14ac:dyDescent="0.2">
      <c r="AQ23117" s="31"/>
    </row>
    <row r="23118" spans="43:43" x14ac:dyDescent="0.2">
      <c r="AQ23118" s="31"/>
    </row>
    <row r="23119" spans="43:43" x14ac:dyDescent="0.2">
      <c r="AQ23119" s="31"/>
    </row>
    <row r="23120" spans="43:43" x14ac:dyDescent="0.2">
      <c r="AQ23120" s="31"/>
    </row>
    <row r="23121" spans="43:43" x14ac:dyDescent="0.2">
      <c r="AQ23121" s="31"/>
    </row>
    <row r="23122" spans="43:43" x14ac:dyDescent="0.2">
      <c r="AQ23122" s="31"/>
    </row>
    <row r="23123" spans="43:43" x14ac:dyDescent="0.2">
      <c r="AQ23123" s="31"/>
    </row>
    <row r="23124" spans="43:43" x14ac:dyDescent="0.2">
      <c r="AQ23124" s="31"/>
    </row>
    <row r="23125" spans="43:43" x14ac:dyDescent="0.2">
      <c r="AQ23125" s="31"/>
    </row>
    <row r="23126" spans="43:43" x14ac:dyDescent="0.2">
      <c r="AQ23126" s="31"/>
    </row>
    <row r="23127" spans="43:43" x14ac:dyDescent="0.2">
      <c r="AQ23127" s="31"/>
    </row>
    <row r="23128" spans="43:43" x14ac:dyDescent="0.2">
      <c r="AQ23128" s="31"/>
    </row>
    <row r="23129" spans="43:43" x14ac:dyDescent="0.2">
      <c r="AQ23129" s="31"/>
    </row>
    <row r="23130" spans="43:43" x14ac:dyDescent="0.2">
      <c r="AQ23130" s="31"/>
    </row>
    <row r="23131" spans="43:43" x14ac:dyDescent="0.2">
      <c r="AQ23131" s="31"/>
    </row>
    <row r="23132" spans="43:43" x14ac:dyDescent="0.2">
      <c r="AQ23132" s="31"/>
    </row>
    <row r="23133" spans="43:43" x14ac:dyDescent="0.2">
      <c r="AQ23133" s="31"/>
    </row>
    <row r="23134" spans="43:43" x14ac:dyDescent="0.2">
      <c r="AQ23134" s="31"/>
    </row>
    <row r="23135" spans="43:43" x14ac:dyDescent="0.2">
      <c r="AQ23135" s="31"/>
    </row>
    <row r="23136" spans="43:43" x14ac:dyDescent="0.2">
      <c r="AQ23136" s="31"/>
    </row>
    <row r="23137" spans="43:43" x14ac:dyDescent="0.2">
      <c r="AQ23137" s="31"/>
    </row>
    <row r="23138" spans="43:43" x14ac:dyDescent="0.2">
      <c r="AQ23138" s="31"/>
    </row>
    <row r="23139" spans="43:43" x14ac:dyDescent="0.2">
      <c r="AQ23139" s="31"/>
    </row>
    <row r="23140" spans="43:43" x14ac:dyDescent="0.2">
      <c r="AQ23140" s="31"/>
    </row>
    <row r="23141" spans="43:43" x14ac:dyDescent="0.2">
      <c r="AQ23141" s="31"/>
    </row>
    <row r="23142" spans="43:43" x14ac:dyDescent="0.2">
      <c r="AQ23142" s="31"/>
    </row>
    <row r="23143" spans="43:43" x14ac:dyDescent="0.2">
      <c r="AQ23143" s="31"/>
    </row>
    <row r="23144" spans="43:43" x14ac:dyDescent="0.2">
      <c r="AQ23144" s="31"/>
    </row>
    <row r="23145" spans="43:43" x14ac:dyDescent="0.2">
      <c r="AQ23145" s="31"/>
    </row>
    <row r="23146" spans="43:43" x14ac:dyDescent="0.2">
      <c r="AQ23146" s="31"/>
    </row>
    <row r="23147" spans="43:43" x14ac:dyDescent="0.2">
      <c r="AQ23147" s="31"/>
    </row>
    <row r="23148" spans="43:43" x14ac:dyDescent="0.2">
      <c r="AQ23148" s="31"/>
    </row>
    <row r="23149" spans="43:43" x14ac:dyDescent="0.2">
      <c r="AQ23149" s="31"/>
    </row>
    <row r="23150" spans="43:43" x14ac:dyDescent="0.2">
      <c r="AQ23150" s="31"/>
    </row>
    <row r="23151" spans="43:43" x14ac:dyDescent="0.2">
      <c r="AQ23151" s="31"/>
    </row>
    <row r="23152" spans="43:43" x14ac:dyDescent="0.2">
      <c r="AQ23152" s="31"/>
    </row>
    <row r="23153" spans="43:43" x14ac:dyDescent="0.2">
      <c r="AQ23153" s="31"/>
    </row>
    <row r="23154" spans="43:43" x14ac:dyDescent="0.2">
      <c r="AQ23154" s="31"/>
    </row>
    <row r="23155" spans="43:43" x14ac:dyDescent="0.2">
      <c r="AQ23155" s="31"/>
    </row>
    <row r="23156" spans="43:43" x14ac:dyDescent="0.2">
      <c r="AQ23156" s="31"/>
    </row>
    <row r="23157" spans="43:43" x14ac:dyDescent="0.2">
      <c r="AQ23157" s="31"/>
    </row>
    <row r="23158" spans="43:43" x14ac:dyDescent="0.2">
      <c r="AQ23158" s="31"/>
    </row>
    <row r="23159" spans="43:43" x14ac:dyDescent="0.2">
      <c r="AQ23159" s="31"/>
    </row>
    <row r="23160" spans="43:43" x14ac:dyDescent="0.2">
      <c r="AQ23160" s="31"/>
    </row>
    <row r="23161" spans="43:43" x14ac:dyDescent="0.2">
      <c r="AQ23161" s="31"/>
    </row>
    <row r="23162" spans="43:43" x14ac:dyDescent="0.2">
      <c r="AQ23162" s="31"/>
    </row>
    <row r="23163" spans="43:43" x14ac:dyDescent="0.2">
      <c r="AQ23163" s="31"/>
    </row>
    <row r="23164" spans="43:43" x14ac:dyDescent="0.2">
      <c r="AQ23164" s="31"/>
    </row>
    <row r="23165" spans="43:43" x14ac:dyDescent="0.2">
      <c r="AQ23165" s="31"/>
    </row>
    <row r="23166" spans="43:43" x14ac:dyDescent="0.2">
      <c r="AQ23166" s="31"/>
    </row>
    <row r="23167" spans="43:43" x14ac:dyDescent="0.2">
      <c r="AQ23167" s="31"/>
    </row>
    <row r="23168" spans="43:43" x14ac:dyDescent="0.2">
      <c r="AQ23168" s="31"/>
    </row>
    <row r="23169" spans="43:43" x14ac:dyDescent="0.2">
      <c r="AQ23169" s="31"/>
    </row>
    <row r="23170" spans="43:43" x14ac:dyDescent="0.2">
      <c r="AQ23170" s="31"/>
    </row>
    <row r="23171" spans="43:43" x14ac:dyDescent="0.2">
      <c r="AQ23171" s="31"/>
    </row>
    <row r="23172" spans="43:43" x14ac:dyDescent="0.2">
      <c r="AQ23172" s="31"/>
    </row>
    <row r="23173" spans="43:43" x14ac:dyDescent="0.2">
      <c r="AQ23173" s="31"/>
    </row>
    <row r="23174" spans="43:43" x14ac:dyDescent="0.2">
      <c r="AQ23174" s="31"/>
    </row>
    <row r="23175" spans="43:43" x14ac:dyDescent="0.2">
      <c r="AQ23175" s="31"/>
    </row>
    <row r="23176" spans="43:43" x14ac:dyDescent="0.2">
      <c r="AQ23176" s="31"/>
    </row>
    <row r="23177" spans="43:43" x14ac:dyDescent="0.2">
      <c r="AQ23177" s="31"/>
    </row>
    <row r="23178" spans="43:43" x14ac:dyDescent="0.2">
      <c r="AQ23178" s="31"/>
    </row>
    <row r="23179" spans="43:43" x14ac:dyDescent="0.2">
      <c r="AQ23179" s="31"/>
    </row>
    <row r="23180" spans="43:43" x14ac:dyDescent="0.2">
      <c r="AQ23180" s="31"/>
    </row>
    <row r="23181" spans="43:43" x14ac:dyDescent="0.2">
      <c r="AQ23181" s="31"/>
    </row>
    <row r="23182" spans="43:43" x14ac:dyDescent="0.2">
      <c r="AQ23182" s="31"/>
    </row>
    <row r="23183" spans="43:43" x14ac:dyDescent="0.2">
      <c r="AQ23183" s="31"/>
    </row>
    <row r="23184" spans="43:43" x14ac:dyDescent="0.2">
      <c r="AQ23184" s="31"/>
    </row>
    <row r="23185" spans="43:43" x14ac:dyDescent="0.2">
      <c r="AQ23185" s="31"/>
    </row>
    <row r="23186" spans="43:43" x14ac:dyDescent="0.2">
      <c r="AQ23186" s="31"/>
    </row>
    <row r="23187" spans="43:43" x14ac:dyDescent="0.2">
      <c r="AQ23187" s="31"/>
    </row>
    <row r="23188" spans="43:43" x14ac:dyDescent="0.2">
      <c r="AQ23188" s="31"/>
    </row>
    <row r="23189" spans="43:43" x14ac:dyDescent="0.2">
      <c r="AQ23189" s="31"/>
    </row>
    <row r="23190" spans="43:43" x14ac:dyDescent="0.2">
      <c r="AQ23190" s="31"/>
    </row>
    <row r="23191" spans="43:43" x14ac:dyDescent="0.2">
      <c r="AQ23191" s="31"/>
    </row>
    <row r="23192" spans="43:43" x14ac:dyDescent="0.2">
      <c r="AQ23192" s="31"/>
    </row>
    <row r="23193" spans="43:43" x14ac:dyDescent="0.2">
      <c r="AQ23193" s="31"/>
    </row>
    <row r="23194" spans="43:43" x14ac:dyDescent="0.2">
      <c r="AQ23194" s="31"/>
    </row>
    <row r="23195" spans="43:43" x14ac:dyDescent="0.2">
      <c r="AQ23195" s="31"/>
    </row>
    <row r="23196" spans="43:43" x14ac:dyDescent="0.2">
      <c r="AQ23196" s="31"/>
    </row>
    <row r="23197" spans="43:43" x14ac:dyDescent="0.2">
      <c r="AQ23197" s="31"/>
    </row>
    <row r="23198" spans="43:43" x14ac:dyDescent="0.2">
      <c r="AQ23198" s="31"/>
    </row>
    <row r="23199" spans="43:43" x14ac:dyDescent="0.2">
      <c r="AQ23199" s="31"/>
    </row>
    <row r="23200" spans="43:43" x14ac:dyDescent="0.2">
      <c r="AQ23200" s="31"/>
    </row>
    <row r="23201" spans="43:43" x14ac:dyDescent="0.2">
      <c r="AQ23201" s="31"/>
    </row>
    <row r="23202" spans="43:43" x14ac:dyDescent="0.2">
      <c r="AQ23202" s="31"/>
    </row>
    <row r="23203" spans="43:43" x14ac:dyDescent="0.2">
      <c r="AQ23203" s="31"/>
    </row>
    <row r="23204" spans="43:43" x14ac:dyDescent="0.2">
      <c r="AQ23204" s="31"/>
    </row>
    <row r="23205" spans="43:43" x14ac:dyDescent="0.2">
      <c r="AQ23205" s="31"/>
    </row>
    <row r="23206" spans="43:43" x14ac:dyDescent="0.2">
      <c r="AQ23206" s="31"/>
    </row>
    <row r="23207" spans="43:43" x14ac:dyDescent="0.2">
      <c r="AQ23207" s="31"/>
    </row>
    <row r="23208" spans="43:43" x14ac:dyDescent="0.2">
      <c r="AQ23208" s="31"/>
    </row>
    <row r="23209" spans="43:43" x14ac:dyDescent="0.2">
      <c r="AQ23209" s="31"/>
    </row>
    <row r="23210" spans="43:43" x14ac:dyDescent="0.2">
      <c r="AQ23210" s="31"/>
    </row>
    <row r="23211" spans="43:43" x14ac:dyDescent="0.2">
      <c r="AQ23211" s="31"/>
    </row>
    <row r="23212" spans="43:43" x14ac:dyDescent="0.2">
      <c r="AQ23212" s="31"/>
    </row>
    <row r="23213" spans="43:43" x14ac:dyDescent="0.2">
      <c r="AQ23213" s="31"/>
    </row>
    <row r="23214" spans="43:43" x14ac:dyDescent="0.2">
      <c r="AQ23214" s="31"/>
    </row>
    <row r="23215" spans="43:43" x14ac:dyDescent="0.2">
      <c r="AQ23215" s="31"/>
    </row>
    <row r="23216" spans="43:43" x14ac:dyDescent="0.2">
      <c r="AQ23216" s="31"/>
    </row>
    <row r="23217" spans="43:43" x14ac:dyDescent="0.2">
      <c r="AQ23217" s="31"/>
    </row>
    <row r="23218" spans="43:43" x14ac:dyDescent="0.2">
      <c r="AQ23218" s="31"/>
    </row>
    <row r="23219" spans="43:43" x14ac:dyDescent="0.2">
      <c r="AQ23219" s="31"/>
    </row>
    <row r="23220" spans="43:43" x14ac:dyDescent="0.2">
      <c r="AQ23220" s="31"/>
    </row>
    <row r="23221" spans="43:43" x14ac:dyDescent="0.2">
      <c r="AQ23221" s="31"/>
    </row>
    <row r="23222" spans="43:43" x14ac:dyDescent="0.2">
      <c r="AQ23222" s="31"/>
    </row>
    <row r="23223" spans="43:43" x14ac:dyDescent="0.2">
      <c r="AQ23223" s="31"/>
    </row>
    <row r="23224" spans="43:43" x14ac:dyDescent="0.2">
      <c r="AQ23224" s="31"/>
    </row>
    <row r="23225" spans="43:43" x14ac:dyDescent="0.2">
      <c r="AQ23225" s="31"/>
    </row>
    <row r="23226" spans="43:43" x14ac:dyDescent="0.2">
      <c r="AQ23226" s="31"/>
    </row>
    <row r="23227" spans="43:43" x14ac:dyDescent="0.2">
      <c r="AQ23227" s="31"/>
    </row>
    <row r="23228" spans="43:43" x14ac:dyDescent="0.2">
      <c r="AQ23228" s="31"/>
    </row>
    <row r="23229" spans="43:43" x14ac:dyDescent="0.2">
      <c r="AQ23229" s="31"/>
    </row>
    <row r="23230" spans="43:43" x14ac:dyDescent="0.2">
      <c r="AQ23230" s="31"/>
    </row>
    <row r="23231" spans="43:43" x14ac:dyDescent="0.2">
      <c r="AQ23231" s="31"/>
    </row>
    <row r="23232" spans="43:43" x14ac:dyDescent="0.2">
      <c r="AQ23232" s="31"/>
    </row>
    <row r="23233" spans="43:43" x14ac:dyDescent="0.2">
      <c r="AQ23233" s="31"/>
    </row>
    <row r="23234" spans="43:43" x14ac:dyDescent="0.2">
      <c r="AQ23234" s="31"/>
    </row>
    <row r="23235" spans="43:43" x14ac:dyDescent="0.2">
      <c r="AQ23235" s="31"/>
    </row>
    <row r="23236" spans="43:43" x14ac:dyDescent="0.2">
      <c r="AQ23236" s="31"/>
    </row>
    <row r="23237" spans="43:43" x14ac:dyDescent="0.2">
      <c r="AQ23237" s="31"/>
    </row>
    <row r="23238" spans="43:43" x14ac:dyDescent="0.2">
      <c r="AQ23238" s="31"/>
    </row>
    <row r="23239" spans="43:43" x14ac:dyDescent="0.2">
      <c r="AQ23239" s="31"/>
    </row>
    <row r="23240" spans="43:43" x14ac:dyDescent="0.2">
      <c r="AQ23240" s="31"/>
    </row>
    <row r="23241" spans="43:43" x14ac:dyDescent="0.2">
      <c r="AQ23241" s="31"/>
    </row>
    <row r="23242" spans="43:43" x14ac:dyDescent="0.2">
      <c r="AQ23242" s="31"/>
    </row>
    <row r="23243" spans="43:43" x14ac:dyDescent="0.2">
      <c r="AQ23243" s="31"/>
    </row>
    <row r="23244" spans="43:43" x14ac:dyDescent="0.2">
      <c r="AQ23244" s="31"/>
    </row>
    <row r="23245" spans="43:43" x14ac:dyDescent="0.2">
      <c r="AQ23245" s="31"/>
    </row>
    <row r="23246" spans="43:43" x14ac:dyDescent="0.2">
      <c r="AQ23246" s="31"/>
    </row>
    <row r="23247" spans="43:43" x14ac:dyDescent="0.2">
      <c r="AQ23247" s="31"/>
    </row>
    <row r="23248" spans="43:43" x14ac:dyDescent="0.2">
      <c r="AQ23248" s="31"/>
    </row>
    <row r="23249" spans="43:43" x14ac:dyDescent="0.2">
      <c r="AQ23249" s="31"/>
    </row>
    <row r="23250" spans="43:43" x14ac:dyDescent="0.2">
      <c r="AQ23250" s="31"/>
    </row>
    <row r="23251" spans="43:43" x14ac:dyDescent="0.2">
      <c r="AQ23251" s="31"/>
    </row>
    <row r="23252" spans="43:43" x14ac:dyDescent="0.2">
      <c r="AQ23252" s="31"/>
    </row>
    <row r="23253" spans="43:43" x14ac:dyDescent="0.2">
      <c r="AQ23253" s="31"/>
    </row>
    <row r="23254" spans="43:43" x14ac:dyDescent="0.2">
      <c r="AQ23254" s="31"/>
    </row>
    <row r="23255" spans="43:43" x14ac:dyDescent="0.2">
      <c r="AQ23255" s="31"/>
    </row>
    <row r="23256" spans="43:43" x14ac:dyDescent="0.2">
      <c r="AQ23256" s="31"/>
    </row>
    <row r="23257" spans="43:43" x14ac:dyDescent="0.2">
      <c r="AQ23257" s="31"/>
    </row>
    <row r="23258" spans="43:43" x14ac:dyDescent="0.2">
      <c r="AQ23258" s="31"/>
    </row>
    <row r="23259" spans="43:43" x14ac:dyDescent="0.2">
      <c r="AQ23259" s="31"/>
    </row>
    <row r="23260" spans="43:43" x14ac:dyDescent="0.2">
      <c r="AQ23260" s="31"/>
    </row>
    <row r="23261" spans="43:43" x14ac:dyDescent="0.2">
      <c r="AQ23261" s="31"/>
    </row>
    <row r="23262" spans="43:43" x14ac:dyDescent="0.2">
      <c r="AQ23262" s="31"/>
    </row>
    <row r="23263" spans="43:43" x14ac:dyDescent="0.2">
      <c r="AQ23263" s="31"/>
    </row>
    <row r="23264" spans="43:43" x14ac:dyDescent="0.2">
      <c r="AQ23264" s="31"/>
    </row>
    <row r="23265" spans="43:43" x14ac:dyDescent="0.2">
      <c r="AQ23265" s="31"/>
    </row>
    <row r="23266" spans="43:43" x14ac:dyDescent="0.2">
      <c r="AQ23266" s="31"/>
    </row>
    <row r="23267" spans="43:43" x14ac:dyDescent="0.2">
      <c r="AQ23267" s="31"/>
    </row>
    <row r="23268" spans="43:43" x14ac:dyDescent="0.2">
      <c r="AQ23268" s="31"/>
    </row>
    <row r="23269" spans="43:43" x14ac:dyDescent="0.2">
      <c r="AQ23269" s="31"/>
    </row>
    <row r="23270" spans="43:43" x14ac:dyDescent="0.2">
      <c r="AQ23270" s="31"/>
    </row>
    <row r="23271" spans="43:43" x14ac:dyDescent="0.2">
      <c r="AQ23271" s="31"/>
    </row>
    <row r="23272" spans="43:43" x14ac:dyDescent="0.2">
      <c r="AQ23272" s="31"/>
    </row>
    <row r="23273" spans="43:43" x14ac:dyDescent="0.2">
      <c r="AQ23273" s="31"/>
    </row>
    <row r="23274" spans="43:43" x14ac:dyDescent="0.2">
      <c r="AQ23274" s="31"/>
    </row>
    <row r="23275" spans="43:43" x14ac:dyDescent="0.2">
      <c r="AQ23275" s="31"/>
    </row>
    <row r="23276" spans="43:43" x14ac:dyDescent="0.2">
      <c r="AQ23276" s="31"/>
    </row>
    <row r="23277" spans="43:43" x14ac:dyDescent="0.2">
      <c r="AQ23277" s="31"/>
    </row>
    <row r="23278" spans="43:43" x14ac:dyDescent="0.2">
      <c r="AQ23278" s="31"/>
    </row>
    <row r="23279" spans="43:43" x14ac:dyDescent="0.2">
      <c r="AQ23279" s="31"/>
    </row>
    <row r="23280" spans="43:43" x14ac:dyDescent="0.2">
      <c r="AQ23280" s="31"/>
    </row>
    <row r="23281" spans="43:43" x14ac:dyDescent="0.2">
      <c r="AQ23281" s="31"/>
    </row>
    <row r="23282" spans="43:43" x14ac:dyDescent="0.2">
      <c r="AQ23282" s="31"/>
    </row>
    <row r="23283" spans="43:43" x14ac:dyDescent="0.2">
      <c r="AQ23283" s="31"/>
    </row>
    <row r="23284" spans="43:43" x14ac:dyDescent="0.2">
      <c r="AQ23284" s="31"/>
    </row>
    <row r="23285" spans="43:43" x14ac:dyDescent="0.2">
      <c r="AQ23285" s="31"/>
    </row>
    <row r="23286" spans="43:43" x14ac:dyDescent="0.2">
      <c r="AQ23286" s="31"/>
    </row>
    <row r="23287" spans="43:43" x14ac:dyDescent="0.2">
      <c r="AQ23287" s="31"/>
    </row>
    <row r="23288" spans="43:43" x14ac:dyDescent="0.2">
      <c r="AQ23288" s="31"/>
    </row>
    <row r="23289" spans="43:43" x14ac:dyDescent="0.2">
      <c r="AQ23289" s="31"/>
    </row>
    <row r="23290" spans="43:43" x14ac:dyDescent="0.2">
      <c r="AQ23290" s="31"/>
    </row>
    <row r="23291" spans="43:43" x14ac:dyDescent="0.2">
      <c r="AQ23291" s="31"/>
    </row>
    <row r="23292" spans="43:43" x14ac:dyDescent="0.2">
      <c r="AQ23292" s="31"/>
    </row>
    <row r="23293" spans="43:43" x14ac:dyDescent="0.2">
      <c r="AQ23293" s="31"/>
    </row>
    <row r="23294" spans="43:43" x14ac:dyDescent="0.2">
      <c r="AQ23294" s="31"/>
    </row>
    <row r="23295" spans="43:43" x14ac:dyDescent="0.2">
      <c r="AQ23295" s="31"/>
    </row>
    <row r="23296" spans="43:43" x14ac:dyDescent="0.2">
      <c r="AQ23296" s="31"/>
    </row>
    <row r="23297" spans="43:43" x14ac:dyDescent="0.2">
      <c r="AQ23297" s="31"/>
    </row>
    <row r="23298" spans="43:43" x14ac:dyDescent="0.2">
      <c r="AQ23298" s="31"/>
    </row>
    <row r="23299" spans="43:43" x14ac:dyDescent="0.2">
      <c r="AQ23299" s="31"/>
    </row>
    <row r="23300" spans="43:43" x14ac:dyDescent="0.2">
      <c r="AQ23300" s="31"/>
    </row>
    <row r="23301" spans="43:43" x14ac:dyDescent="0.2">
      <c r="AQ23301" s="31"/>
    </row>
    <row r="23302" spans="43:43" x14ac:dyDescent="0.2">
      <c r="AQ23302" s="31"/>
    </row>
    <row r="23303" spans="43:43" x14ac:dyDescent="0.2">
      <c r="AQ23303" s="31"/>
    </row>
    <row r="23304" spans="43:43" x14ac:dyDescent="0.2">
      <c r="AQ23304" s="31"/>
    </row>
    <row r="23305" spans="43:43" x14ac:dyDescent="0.2">
      <c r="AQ23305" s="31"/>
    </row>
    <row r="23306" spans="43:43" x14ac:dyDescent="0.2">
      <c r="AQ23306" s="31"/>
    </row>
    <row r="23307" spans="43:43" x14ac:dyDescent="0.2">
      <c r="AQ23307" s="31"/>
    </row>
    <row r="23308" spans="43:43" x14ac:dyDescent="0.2">
      <c r="AQ23308" s="31"/>
    </row>
    <row r="23309" spans="43:43" x14ac:dyDescent="0.2">
      <c r="AQ23309" s="31"/>
    </row>
    <row r="23310" spans="43:43" x14ac:dyDescent="0.2">
      <c r="AQ23310" s="31"/>
    </row>
    <row r="23311" spans="43:43" x14ac:dyDescent="0.2">
      <c r="AQ23311" s="31"/>
    </row>
    <row r="23312" spans="43:43" x14ac:dyDescent="0.2">
      <c r="AQ23312" s="31"/>
    </row>
    <row r="23313" spans="43:43" x14ac:dyDescent="0.2">
      <c r="AQ23313" s="31"/>
    </row>
    <row r="23314" spans="43:43" x14ac:dyDescent="0.2">
      <c r="AQ23314" s="31"/>
    </row>
    <row r="23315" spans="43:43" x14ac:dyDescent="0.2">
      <c r="AQ23315" s="31"/>
    </row>
    <row r="23316" spans="43:43" x14ac:dyDescent="0.2">
      <c r="AQ23316" s="31"/>
    </row>
    <row r="23317" spans="43:43" x14ac:dyDescent="0.2">
      <c r="AQ23317" s="31"/>
    </row>
    <row r="23318" spans="43:43" x14ac:dyDescent="0.2">
      <c r="AQ23318" s="31"/>
    </row>
    <row r="23319" spans="43:43" x14ac:dyDescent="0.2">
      <c r="AQ23319" s="31"/>
    </row>
    <row r="23320" spans="43:43" x14ac:dyDescent="0.2">
      <c r="AQ23320" s="31"/>
    </row>
    <row r="23321" spans="43:43" x14ac:dyDescent="0.2">
      <c r="AQ23321" s="31"/>
    </row>
    <row r="23322" spans="43:43" x14ac:dyDescent="0.2">
      <c r="AQ23322" s="31"/>
    </row>
    <row r="23323" spans="43:43" x14ac:dyDescent="0.2">
      <c r="AQ23323" s="31"/>
    </row>
    <row r="23324" spans="43:43" x14ac:dyDescent="0.2">
      <c r="AQ23324" s="31"/>
    </row>
    <row r="23325" spans="43:43" x14ac:dyDescent="0.2">
      <c r="AQ23325" s="31"/>
    </row>
    <row r="23326" spans="43:43" x14ac:dyDescent="0.2">
      <c r="AQ23326" s="31"/>
    </row>
    <row r="23327" spans="43:43" x14ac:dyDescent="0.2">
      <c r="AQ23327" s="31"/>
    </row>
    <row r="23328" spans="43:43" x14ac:dyDescent="0.2">
      <c r="AQ23328" s="31"/>
    </row>
    <row r="23329" spans="43:43" x14ac:dyDescent="0.2">
      <c r="AQ23329" s="31"/>
    </row>
    <row r="23330" spans="43:43" x14ac:dyDescent="0.2">
      <c r="AQ23330" s="31"/>
    </row>
    <row r="23331" spans="43:43" x14ac:dyDescent="0.2">
      <c r="AQ23331" s="31"/>
    </row>
    <row r="23332" spans="43:43" x14ac:dyDescent="0.2">
      <c r="AQ23332" s="31"/>
    </row>
    <row r="23333" spans="43:43" x14ac:dyDescent="0.2">
      <c r="AQ23333" s="31"/>
    </row>
    <row r="23334" spans="43:43" x14ac:dyDescent="0.2">
      <c r="AQ23334" s="31"/>
    </row>
    <row r="23335" spans="43:43" x14ac:dyDescent="0.2">
      <c r="AQ23335" s="31"/>
    </row>
    <row r="23336" spans="43:43" x14ac:dyDescent="0.2">
      <c r="AQ23336" s="31"/>
    </row>
    <row r="23337" spans="43:43" x14ac:dyDescent="0.2">
      <c r="AQ23337" s="31"/>
    </row>
    <row r="23338" spans="43:43" x14ac:dyDescent="0.2">
      <c r="AQ23338" s="31"/>
    </row>
    <row r="23339" spans="43:43" x14ac:dyDescent="0.2">
      <c r="AQ23339" s="31"/>
    </row>
    <row r="23340" spans="43:43" x14ac:dyDescent="0.2">
      <c r="AQ23340" s="31"/>
    </row>
    <row r="23341" spans="43:43" x14ac:dyDescent="0.2">
      <c r="AQ23341" s="31"/>
    </row>
    <row r="23342" spans="43:43" x14ac:dyDescent="0.2">
      <c r="AQ23342" s="31"/>
    </row>
    <row r="23343" spans="43:43" x14ac:dyDescent="0.2">
      <c r="AQ23343" s="31"/>
    </row>
    <row r="23344" spans="43:43" x14ac:dyDescent="0.2">
      <c r="AQ23344" s="31"/>
    </row>
    <row r="23345" spans="43:43" x14ac:dyDescent="0.2">
      <c r="AQ23345" s="31"/>
    </row>
    <row r="23346" spans="43:43" x14ac:dyDescent="0.2">
      <c r="AQ23346" s="31"/>
    </row>
    <row r="23347" spans="43:43" x14ac:dyDescent="0.2">
      <c r="AQ23347" s="31"/>
    </row>
    <row r="23348" spans="43:43" x14ac:dyDescent="0.2">
      <c r="AQ23348" s="31"/>
    </row>
    <row r="23349" spans="43:43" x14ac:dyDescent="0.2">
      <c r="AQ23349" s="31"/>
    </row>
    <row r="23350" spans="43:43" x14ac:dyDescent="0.2">
      <c r="AQ23350" s="31"/>
    </row>
    <row r="23351" spans="43:43" x14ac:dyDescent="0.2">
      <c r="AQ23351" s="31"/>
    </row>
    <row r="23352" spans="43:43" x14ac:dyDescent="0.2">
      <c r="AQ23352" s="31"/>
    </row>
    <row r="23353" spans="43:43" x14ac:dyDescent="0.2">
      <c r="AQ23353" s="31"/>
    </row>
    <row r="23354" spans="43:43" x14ac:dyDescent="0.2">
      <c r="AQ23354" s="31"/>
    </row>
    <row r="23355" spans="43:43" x14ac:dyDescent="0.2">
      <c r="AQ23355" s="31"/>
    </row>
    <row r="23356" spans="43:43" x14ac:dyDescent="0.2">
      <c r="AQ23356" s="31"/>
    </row>
    <row r="23357" spans="43:43" x14ac:dyDescent="0.2">
      <c r="AQ23357" s="31"/>
    </row>
    <row r="23358" spans="43:43" x14ac:dyDescent="0.2">
      <c r="AQ23358" s="31"/>
    </row>
    <row r="23359" spans="43:43" x14ac:dyDescent="0.2">
      <c r="AQ23359" s="31"/>
    </row>
    <row r="23360" spans="43:43" x14ac:dyDescent="0.2">
      <c r="AQ23360" s="31"/>
    </row>
    <row r="23361" spans="43:43" x14ac:dyDescent="0.2">
      <c r="AQ23361" s="31"/>
    </row>
    <row r="23362" spans="43:43" x14ac:dyDescent="0.2">
      <c r="AQ23362" s="31"/>
    </row>
    <row r="23363" spans="43:43" x14ac:dyDescent="0.2">
      <c r="AQ23363" s="31"/>
    </row>
    <row r="23364" spans="43:43" x14ac:dyDescent="0.2">
      <c r="AQ23364" s="31"/>
    </row>
    <row r="23365" spans="43:43" x14ac:dyDescent="0.2">
      <c r="AQ23365" s="31"/>
    </row>
    <row r="23366" spans="43:43" x14ac:dyDescent="0.2">
      <c r="AQ23366" s="31"/>
    </row>
    <row r="23367" spans="43:43" x14ac:dyDescent="0.2">
      <c r="AQ23367" s="31"/>
    </row>
    <row r="23368" spans="43:43" x14ac:dyDescent="0.2">
      <c r="AQ23368" s="31"/>
    </row>
    <row r="23369" spans="43:43" x14ac:dyDescent="0.2">
      <c r="AQ23369" s="31"/>
    </row>
    <row r="23370" spans="43:43" x14ac:dyDescent="0.2">
      <c r="AQ23370" s="31"/>
    </row>
    <row r="23371" spans="43:43" x14ac:dyDescent="0.2">
      <c r="AQ23371" s="31"/>
    </row>
    <row r="23372" spans="43:43" x14ac:dyDescent="0.2">
      <c r="AQ23372" s="31"/>
    </row>
    <row r="23373" spans="43:43" x14ac:dyDescent="0.2">
      <c r="AQ23373" s="31"/>
    </row>
    <row r="23374" spans="43:43" x14ac:dyDescent="0.2">
      <c r="AQ23374" s="31"/>
    </row>
    <row r="23375" spans="43:43" x14ac:dyDescent="0.2">
      <c r="AQ23375" s="31"/>
    </row>
    <row r="23376" spans="43:43" x14ac:dyDescent="0.2">
      <c r="AQ23376" s="31"/>
    </row>
    <row r="23377" spans="43:43" x14ac:dyDescent="0.2">
      <c r="AQ23377" s="31"/>
    </row>
    <row r="23378" spans="43:43" x14ac:dyDescent="0.2">
      <c r="AQ23378" s="31"/>
    </row>
    <row r="23379" spans="43:43" x14ac:dyDescent="0.2">
      <c r="AQ23379" s="31"/>
    </row>
    <row r="23380" spans="43:43" x14ac:dyDescent="0.2">
      <c r="AQ23380" s="31"/>
    </row>
    <row r="23381" spans="43:43" x14ac:dyDescent="0.2">
      <c r="AQ23381" s="31"/>
    </row>
    <row r="23382" spans="43:43" x14ac:dyDescent="0.2">
      <c r="AQ23382" s="31"/>
    </row>
    <row r="23383" spans="43:43" x14ac:dyDescent="0.2">
      <c r="AQ23383" s="31"/>
    </row>
    <row r="23384" spans="43:43" x14ac:dyDescent="0.2">
      <c r="AQ23384" s="31"/>
    </row>
    <row r="23385" spans="43:43" x14ac:dyDescent="0.2">
      <c r="AQ23385" s="31"/>
    </row>
    <row r="23386" spans="43:43" x14ac:dyDescent="0.2">
      <c r="AQ23386" s="31"/>
    </row>
    <row r="23387" spans="43:43" x14ac:dyDescent="0.2">
      <c r="AQ23387" s="31"/>
    </row>
    <row r="23388" spans="43:43" x14ac:dyDescent="0.2">
      <c r="AQ23388" s="31"/>
    </row>
    <row r="23389" spans="43:43" x14ac:dyDescent="0.2">
      <c r="AQ23389" s="31"/>
    </row>
    <row r="23390" spans="43:43" x14ac:dyDescent="0.2">
      <c r="AQ23390" s="31"/>
    </row>
    <row r="23391" spans="43:43" x14ac:dyDescent="0.2">
      <c r="AQ23391" s="31"/>
    </row>
    <row r="23392" spans="43:43" x14ac:dyDescent="0.2">
      <c r="AQ23392" s="31"/>
    </row>
    <row r="23393" spans="43:43" x14ac:dyDescent="0.2">
      <c r="AQ23393" s="31"/>
    </row>
    <row r="23394" spans="43:43" x14ac:dyDescent="0.2">
      <c r="AQ23394" s="31"/>
    </row>
    <row r="23395" spans="43:43" x14ac:dyDescent="0.2">
      <c r="AQ23395" s="31"/>
    </row>
    <row r="23396" spans="43:43" x14ac:dyDescent="0.2">
      <c r="AQ23396" s="31"/>
    </row>
    <row r="23397" spans="43:43" x14ac:dyDescent="0.2">
      <c r="AQ23397" s="31"/>
    </row>
    <row r="23398" spans="43:43" x14ac:dyDescent="0.2">
      <c r="AQ23398" s="31"/>
    </row>
    <row r="23399" spans="43:43" x14ac:dyDescent="0.2">
      <c r="AQ23399" s="31"/>
    </row>
    <row r="23400" spans="43:43" x14ac:dyDescent="0.2">
      <c r="AQ23400" s="31"/>
    </row>
    <row r="23401" spans="43:43" x14ac:dyDescent="0.2">
      <c r="AQ23401" s="31"/>
    </row>
    <row r="23402" spans="43:43" x14ac:dyDescent="0.2">
      <c r="AQ23402" s="31"/>
    </row>
    <row r="23403" spans="43:43" x14ac:dyDescent="0.2">
      <c r="AQ23403" s="31"/>
    </row>
    <row r="23404" spans="43:43" x14ac:dyDescent="0.2">
      <c r="AQ23404" s="31"/>
    </row>
    <row r="23405" spans="43:43" x14ac:dyDescent="0.2">
      <c r="AQ23405" s="31"/>
    </row>
    <row r="23406" spans="43:43" x14ac:dyDescent="0.2">
      <c r="AQ23406" s="31"/>
    </row>
    <row r="23407" spans="43:43" x14ac:dyDescent="0.2">
      <c r="AQ23407" s="31"/>
    </row>
    <row r="23408" spans="43:43" x14ac:dyDescent="0.2">
      <c r="AQ23408" s="31"/>
    </row>
    <row r="23409" spans="43:43" x14ac:dyDescent="0.2">
      <c r="AQ23409" s="31"/>
    </row>
    <row r="23410" spans="43:43" x14ac:dyDescent="0.2">
      <c r="AQ23410" s="31"/>
    </row>
    <row r="23411" spans="43:43" x14ac:dyDescent="0.2">
      <c r="AQ23411" s="31"/>
    </row>
    <row r="23412" spans="43:43" x14ac:dyDescent="0.2">
      <c r="AQ23412" s="31"/>
    </row>
    <row r="23413" spans="43:43" x14ac:dyDescent="0.2">
      <c r="AQ23413" s="31"/>
    </row>
    <row r="23414" spans="43:43" x14ac:dyDescent="0.2">
      <c r="AQ23414" s="31"/>
    </row>
    <row r="23415" spans="43:43" x14ac:dyDescent="0.2">
      <c r="AQ23415" s="31"/>
    </row>
    <row r="23416" spans="43:43" x14ac:dyDescent="0.2">
      <c r="AQ23416" s="31"/>
    </row>
    <row r="23417" spans="43:43" x14ac:dyDescent="0.2">
      <c r="AQ23417" s="31"/>
    </row>
    <row r="23418" spans="43:43" x14ac:dyDescent="0.2">
      <c r="AQ23418" s="31"/>
    </row>
    <row r="23419" spans="43:43" x14ac:dyDescent="0.2">
      <c r="AQ23419" s="31"/>
    </row>
    <row r="23420" spans="43:43" x14ac:dyDescent="0.2">
      <c r="AQ23420" s="31"/>
    </row>
    <row r="23421" spans="43:43" x14ac:dyDescent="0.2">
      <c r="AQ23421" s="31"/>
    </row>
    <row r="23422" spans="43:43" x14ac:dyDescent="0.2">
      <c r="AQ23422" s="31"/>
    </row>
    <row r="23423" spans="43:43" x14ac:dyDescent="0.2">
      <c r="AQ23423" s="31"/>
    </row>
    <row r="23424" spans="43:43" x14ac:dyDescent="0.2">
      <c r="AQ23424" s="31"/>
    </row>
    <row r="23425" spans="43:43" x14ac:dyDescent="0.2">
      <c r="AQ23425" s="31"/>
    </row>
    <row r="23426" spans="43:43" x14ac:dyDescent="0.2">
      <c r="AQ23426" s="31"/>
    </row>
    <row r="23427" spans="43:43" x14ac:dyDescent="0.2">
      <c r="AQ23427" s="31"/>
    </row>
    <row r="23428" spans="43:43" x14ac:dyDescent="0.2">
      <c r="AQ23428" s="31"/>
    </row>
    <row r="23429" spans="43:43" x14ac:dyDescent="0.2">
      <c r="AQ23429" s="31"/>
    </row>
    <row r="23430" spans="43:43" x14ac:dyDescent="0.2">
      <c r="AQ23430" s="31"/>
    </row>
    <row r="23431" spans="43:43" x14ac:dyDescent="0.2">
      <c r="AQ23431" s="31"/>
    </row>
    <row r="23432" spans="43:43" x14ac:dyDescent="0.2">
      <c r="AQ23432" s="31"/>
    </row>
    <row r="23433" spans="43:43" x14ac:dyDescent="0.2">
      <c r="AQ23433" s="31"/>
    </row>
    <row r="23434" spans="43:43" x14ac:dyDescent="0.2">
      <c r="AQ23434" s="31"/>
    </row>
    <row r="23435" spans="43:43" x14ac:dyDescent="0.2">
      <c r="AQ23435" s="31"/>
    </row>
    <row r="23436" spans="43:43" x14ac:dyDescent="0.2">
      <c r="AQ23436" s="31"/>
    </row>
    <row r="23437" spans="43:43" x14ac:dyDescent="0.2">
      <c r="AQ23437" s="31"/>
    </row>
    <row r="23438" spans="43:43" x14ac:dyDescent="0.2">
      <c r="AQ23438" s="31"/>
    </row>
    <row r="23439" spans="43:43" x14ac:dyDescent="0.2">
      <c r="AQ23439" s="31"/>
    </row>
    <row r="23440" spans="43:43" x14ac:dyDescent="0.2">
      <c r="AQ23440" s="31"/>
    </row>
    <row r="23441" spans="43:43" x14ac:dyDescent="0.2">
      <c r="AQ23441" s="31"/>
    </row>
    <row r="23442" spans="43:43" x14ac:dyDescent="0.2">
      <c r="AQ23442" s="31"/>
    </row>
    <row r="23443" spans="43:43" x14ac:dyDescent="0.2">
      <c r="AQ23443" s="31"/>
    </row>
    <row r="23444" spans="43:43" x14ac:dyDescent="0.2">
      <c r="AQ23444" s="31"/>
    </row>
    <row r="23445" spans="43:43" x14ac:dyDescent="0.2">
      <c r="AQ23445" s="31"/>
    </row>
    <row r="23446" spans="43:43" x14ac:dyDescent="0.2">
      <c r="AQ23446" s="31"/>
    </row>
    <row r="23447" spans="43:43" x14ac:dyDescent="0.2">
      <c r="AQ23447" s="31"/>
    </row>
    <row r="23448" spans="43:43" x14ac:dyDescent="0.2">
      <c r="AQ23448" s="31"/>
    </row>
    <row r="23449" spans="43:43" x14ac:dyDescent="0.2">
      <c r="AQ23449" s="31"/>
    </row>
    <row r="23450" spans="43:43" x14ac:dyDescent="0.2">
      <c r="AQ23450" s="31"/>
    </row>
    <row r="23451" spans="43:43" x14ac:dyDescent="0.2">
      <c r="AQ23451" s="31"/>
    </row>
    <row r="23452" spans="43:43" x14ac:dyDescent="0.2">
      <c r="AQ23452" s="31"/>
    </row>
    <row r="23453" spans="43:43" x14ac:dyDescent="0.2">
      <c r="AQ23453" s="31"/>
    </row>
    <row r="23454" spans="43:43" x14ac:dyDescent="0.2">
      <c r="AQ23454" s="31"/>
    </row>
    <row r="23455" spans="43:43" x14ac:dyDescent="0.2">
      <c r="AQ23455" s="31"/>
    </row>
    <row r="23456" spans="43:43" x14ac:dyDescent="0.2">
      <c r="AQ23456" s="31"/>
    </row>
    <row r="23457" spans="43:43" x14ac:dyDescent="0.2">
      <c r="AQ23457" s="31"/>
    </row>
    <row r="23458" spans="43:43" x14ac:dyDescent="0.2">
      <c r="AQ23458" s="31"/>
    </row>
    <row r="23459" spans="43:43" x14ac:dyDescent="0.2">
      <c r="AQ23459" s="31"/>
    </row>
    <row r="23460" spans="43:43" x14ac:dyDescent="0.2">
      <c r="AQ23460" s="31"/>
    </row>
    <row r="23461" spans="43:43" x14ac:dyDescent="0.2">
      <c r="AQ23461" s="31"/>
    </row>
    <row r="23462" spans="43:43" x14ac:dyDescent="0.2">
      <c r="AQ23462" s="31"/>
    </row>
    <row r="23463" spans="43:43" x14ac:dyDescent="0.2">
      <c r="AQ23463" s="31"/>
    </row>
    <row r="23464" spans="43:43" x14ac:dyDescent="0.2">
      <c r="AQ23464" s="31"/>
    </row>
    <row r="23465" spans="43:43" x14ac:dyDescent="0.2">
      <c r="AQ23465" s="31"/>
    </row>
    <row r="23466" spans="43:43" x14ac:dyDescent="0.2">
      <c r="AQ23466" s="31"/>
    </row>
    <row r="23467" spans="43:43" x14ac:dyDescent="0.2">
      <c r="AQ23467" s="31"/>
    </row>
    <row r="23468" spans="43:43" x14ac:dyDescent="0.2">
      <c r="AQ23468" s="31"/>
    </row>
    <row r="23469" spans="43:43" x14ac:dyDescent="0.2">
      <c r="AQ23469" s="31"/>
    </row>
    <row r="23470" spans="43:43" x14ac:dyDescent="0.2">
      <c r="AQ23470" s="31"/>
    </row>
    <row r="23471" spans="43:43" x14ac:dyDescent="0.2">
      <c r="AQ23471" s="31"/>
    </row>
    <row r="23472" spans="43:43" x14ac:dyDescent="0.2">
      <c r="AQ23472" s="31"/>
    </row>
    <row r="23473" spans="43:43" x14ac:dyDescent="0.2">
      <c r="AQ23473" s="31"/>
    </row>
    <row r="23474" spans="43:43" x14ac:dyDescent="0.2">
      <c r="AQ23474" s="31"/>
    </row>
    <row r="23475" spans="43:43" x14ac:dyDescent="0.2">
      <c r="AQ23475" s="31"/>
    </row>
    <row r="23476" spans="43:43" x14ac:dyDescent="0.2">
      <c r="AQ23476" s="31"/>
    </row>
    <row r="23477" spans="43:43" x14ac:dyDescent="0.2">
      <c r="AQ23477" s="31"/>
    </row>
    <row r="23478" spans="43:43" x14ac:dyDescent="0.2">
      <c r="AQ23478" s="31"/>
    </row>
    <row r="23479" spans="43:43" x14ac:dyDescent="0.2">
      <c r="AQ23479" s="31"/>
    </row>
    <row r="23480" spans="43:43" x14ac:dyDescent="0.2">
      <c r="AQ23480" s="31"/>
    </row>
    <row r="23481" spans="43:43" x14ac:dyDescent="0.2">
      <c r="AQ23481" s="31"/>
    </row>
    <row r="23482" spans="43:43" x14ac:dyDescent="0.2">
      <c r="AQ23482" s="31"/>
    </row>
    <row r="23483" spans="43:43" x14ac:dyDescent="0.2">
      <c r="AQ23483" s="31"/>
    </row>
    <row r="23484" spans="43:43" x14ac:dyDescent="0.2">
      <c r="AQ23484" s="31"/>
    </row>
    <row r="23485" spans="43:43" x14ac:dyDescent="0.2">
      <c r="AQ23485" s="31"/>
    </row>
    <row r="23486" spans="43:43" x14ac:dyDescent="0.2">
      <c r="AQ23486" s="31"/>
    </row>
    <row r="23487" spans="43:43" x14ac:dyDescent="0.2">
      <c r="AQ23487" s="31"/>
    </row>
    <row r="23488" spans="43:43" x14ac:dyDescent="0.2">
      <c r="AQ23488" s="31"/>
    </row>
    <row r="23489" spans="43:43" x14ac:dyDescent="0.2">
      <c r="AQ23489" s="31"/>
    </row>
    <row r="23490" spans="43:43" x14ac:dyDescent="0.2">
      <c r="AQ23490" s="31"/>
    </row>
    <row r="23491" spans="43:43" x14ac:dyDescent="0.2">
      <c r="AQ23491" s="31"/>
    </row>
    <row r="23492" spans="43:43" x14ac:dyDescent="0.2">
      <c r="AQ23492" s="31"/>
    </row>
    <row r="23493" spans="43:43" x14ac:dyDescent="0.2">
      <c r="AQ23493" s="31"/>
    </row>
    <row r="23494" spans="43:43" x14ac:dyDescent="0.2">
      <c r="AQ23494" s="31"/>
    </row>
    <row r="23495" spans="43:43" x14ac:dyDescent="0.2">
      <c r="AQ23495" s="31"/>
    </row>
    <row r="23496" spans="43:43" x14ac:dyDescent="0.2">
      <c r="AQ23496" s="31"/>
    </row>
    <row r="23497" spans="43:43" x14ac:dyDescent="0.2">
      <c r="AQ23497" s="31"/>
    </row>
    <row r="23498" spans="43:43" x14ac:dyDescent="0.2">
      <c r="AQ23498" s="31"/>
    </row>
    <row r="23499" spans="43:43" x14ac:dyDescent="0.2">
      <c r="AQ23499" s="31"/>
    </row>
    <row r="23500" spans="43:43" x14ac:dyDescent="0.2">
      <c r="AQ23500" s="31"/>
    </row>
    <row r="23501" spans="43:43" x14ac:dyDescent="0.2">
      <c r="AQ23501" s="31"/>
    </row>
    <row r="23502" spans="43:43" x14ac:dyDescent="0.2">
      <c r="AQ23502" s="31"/>
    </row>
    <row r="23503" spans="43:43" x14ac:dyDescent="0.2">
      <c r="AQ23503" s="31"/>
    </row>
    <row r="23504" spans="43:43" x14ac:dyDescent="0.2">
      <c r="AQ23504" s="31"/>
    </row>
    <row r="23505" spans="43:43" x14ac:dyDescent="0.2">
      <c r="AQ23505" s="31"/>
    </row>
    <row r="23506" spans="43:43" x14ac:dyDescent="0.2">
      <c r="AQ23506" s="31"/>
    </row>
    <row r="23507" spans="43:43" x14ac:dyDescent="0.2">
      <c r="AQ23507" s="31"/>
    </row>
    <row r="23508" spans="43:43" x14ac:dyDescent="0.2">
      <c r="AQ23508" s="31"/>
    </row>
    <row r="23509" spans="43:43" x14ac:dyDescent="0.2">
      <c r="AQ23509" s="31"/>
    </row>
    <row r="23510" spans="43:43" x14ac:dyDescent="0.2">
      <c r="AQ23510" s="31"/>
    </row>
    <row r="23511" spans="43:43" x14ac:dyDescent="0.2">
      <c r="AQ23511" s="31"/>
    </row>
    <row r="23512" spans="43:43" x14ac:dyDescent="0.2">
      <c r="AQ23512" s="31"/>
    </row>
    <row r="23513" spans="43:43" x14ac:dyDescent="0.2">
      <c r="AQ23513" s="31"/>
    </row>
    <row r="23514" spans="43:43" x14ac:dyDescent="0.2">
      <c r="AQ23514" s="31"/>
    </row>
    <row r="23515" spans="43:43" x14ac:dyDescent="0.2">
      <c r="AQ23515" s="31"/>
    </row>
    <row r="23516" spans="43:43" x14ac:dyDescent="0.2">
      <c r="AQ23516" s="31"/>
    </row>
    <row r="23517" spans="43:43" x14ac:dyDescent="0.2">
      <c r="AQ23517" s="31"/>
    </row>
    <row r="23518" spans="43:43" x14ac:dyDescent="0.2">
      <c r="AQ23518" s="31"/>
    </row>
    <row r="23519" spans="43:43" x14ac:dyDescent="0.2">
      <c r="AQ23519" s="31"/>
    </row>
    <row r="23520" spans="43:43" x14ac:dyDescent="0.2">
      <c r="AQ23520" s="31"/>
    </row>
    <row r="23521" spans="43:43" x14ac:dyDescent="0.2">
      <c r="AQ23521" s="31"/>
    </row>
    <row r="23522" spans="43:43" x14ac:dyDescent="0.2">
      <c r="AQ23522" s="31"/>
    </row>
    <row r="23523" spans="43:43" x14ac:dyDescent="0.2">
      <c r="AQ23523" s="31"/>
    </row>
    <row r="23524" spans="43:43" x14ac:dyDescent="0.2">
      <c r="AQ23524" s="31"/>
    </row>
    <row r="23525" spans="43:43" x14ac:dyDescent="0.2">
      <c r="AQ23525" s="31"/>
    </row>
    <row r="23526" spans="43:43" x14ac:dyDescent="0.2">
      <c r="AQ23526" s="31"/>
    </row>
    <row r="23527" spans="43:43" x14ac:dyDescent="0.2">
      <c r="AQ23527" s="31"/>
    </row>
    <row r="23528" spans="43:43" x14ac:dyDescent="0.2">
      <c r="AQ23528" s="31"/>
    </row>
    <row r="23529" spans="43:43" x14ac:dyDescent="0.2">
      <c r="AQ23529" s="31"/>
    </row>
    <row r="23530" spans="43:43" x14ac:dyDescent="0.2">
      <c r="AQ23530" s="31"/>
    </row>
    <row r="23531" spans="43:43" x14ac:dyDescent="0.2">
      <c r="AQ23531" s="31"/>
    </row>
    <row r="23532" spans="43:43" x14ac:dyDescent="0.2">
      <c r="AQ23532" s="31"/>
    </row>
    <row r="23533" spans="43:43" x14ac:dyDescent="0.2">
      <c r="AQ23533" s="31"/>
    </row>
    <row r="23534" spans="43:43" x14ac:dyDescent="0.2">
      <c r="AQ23534" s="31"/>
    </row>
    <row r="23535" spans="43:43" x14ac:dyDescent="0.2">
      <c r="AQ23535" s="31"/>
    </row>
    <row r="23536" spans="43:43" x14ac:dyDescent="0.2">
      <c r="AQ23536" s="31"/>
    </row>
    <row r="23537" spans="43:43" x14ac:dyDescent="0.2">
      <c r="AQ23537" s="31"/>
    </row>
    <row r="23538" spans="43:43" x14ac:dyDescent="0.2">
      <c r="AQ23538" s="31"/>
    </row>
    <row r="23539" spans="43:43" x14ac:dyDescent="0.2">
      <c r="AQ23539" s="31"/>
    </row>
    <row r="23540" spans="43:43" x14ac:dyDescent="0.2">
      <c r="AQ23540" s="31"/>
    </row>
    <row r="23541" spans="43:43" x14ac:dyDescent="0.2">
      <c r="AQ23541" s="31"/>
    </row>
    <row r="23542" spans="43:43" x14ac:dyDescent="0.2">
      <c r="AQ23542" s="31"/>
    </row>
    <row r="23543" spans="43:43" x14ac:dyDescent="0.2">
      <c r="AQ23543" s="31"/>
    </row>
    <row r="23544" spans="43:43" x14ac:dyDescent="0.2">
      <c r="AQ23544" s="31"/>
    </row>
    <row r="23545" spans="43:43" x14ac:dyDescent="0.2">
      <c r="AQ23545" s="31"/>
    </row>
    <row r="23546" spans="43:43" x14ac:dyDescent="0.2">
      <c r="AQ23546" s="31"/>
    </row>
    <row r="23547" spans="43:43" x14ac:dyDescent="0.2">
      <c r="AQ23547" s="31"/>
    </row>
    <row r="23548" spans="43:43" x14ac:dyDescent="0.2">
      <c r="AQ23548" s="31"/>
    </row>
    <row r="23549" spans="43:43" x14ac:dyDescent="0.2">
      <c r="AQ23549" s="31"/>
    </row>
    <row r="23550" spans="43:43" x14ac:dyDescent="0.2">
      <c r="AQ23550" s="31"/>
    </row>
    <row r="23551" spans="43:43" x14ac:dyDescent="0.2">
      <c r="AQ23551" s="31"/>
    </row>
    <row r="23552" spans="43:43" x14ac:dyDescent="0.2">
      <c r="AQ23552" s="31"/>
    </row>
    <row r="23553" spans="43:43" x14ac:dyDescent="0.2">
      <c r="AQ23553" s="31"/>
    </row>
    <row r="23554" spans="43:43" x14ac:dyDescent="0.2">
      <c r="AQ23554" s="31"/>
    </row>
    <row r="23555" spans="43:43" x14ac:dyDescent="0.2">
      <c r="AQ23555" s="31"/>
    </row>
    <row r="23556" spans="43:43" x14ac:dyDescent="0.2">
      <c r="AQ23556" s="31"/>
    </row>
    <row r="23557" spans="43:43" x14ac:dyDescent="0.2">
      <c r="AQ23557" s="31"/>
    </row>
    <row r="23558" spans="43:43" x14ac:dyDescent="0.2">
      <c r="AQ23558" s="31"/>
    </row>
    <row r="23559" spans="43:43" x14ac:dyDescent="0.2">
      <c r="AQ23559" s="31"/>
    </row>
    <row r="23560" spans="43:43" x14ac:dyDescent="0.2">
      <c r="AQ23560" s="31"/>
    </row>
    <row r="23561" spans="43:43" x14ac:dyDescent="0.2">
      <c r="AQ23561" s="31"/>
    </row>
    <row r="23562" spans="43:43" x14ac:dyDescent="0.2">
      <c r="AQ23562" s="31"/>
    </row>
    <row r="23563" spans="43:43" x14ac:dyDescent="0.2">
      <c r="AQ23563" s="31"/>
    </row>
    <row r="23564" spans="43:43" x14ac:dyDescent="0.2">
      <c r="AQ23564" s="31"/>
    </row>
    <row r="23565" spans="43:43" x14ac:dyDescent="0.2">
      <c r="AQ23565" s="31"/>
    </row>
    <row r="23566" spans="43:43" x14ac:dyDescent="0.2">
      <c r="AQ23566" s="31"/>
    </row>
    <row r="23567" spans="43:43" x14ac:dyDescent="0.2">
      <c r="AQ23567" s="31"/>
    </row>
    <row r="23568" spans="43:43" x14ac:dyDescent="0.2">
      <c r="AQ23568" s="31"/>
    </row>
    <row r="23569" spans="43:43" x14ac:dyDescent="0.2">
      <c r="AQ23569" s="31"/>
    </row>
    <row r="23570" spans="43:43" x14ac:dyDescent="0.2">
      <c r="AQ23570" s="31"/>
    </row>
    <row r="23571" spans="43:43" x14ac:dyDescent="0.2">
      <c r="AQ23571" s="31"/>
    </row>
    <row r="23572" spans="43:43" x14ac:dyDescent="0.2">
      <c r="AQ23572" s="31"/>
    </row>
    <row r="23573" spans="43:43" x14ac:dyDescent="0.2">
      <c r="AQ23573" s="31"/>
    </row>
    <row r="23574" spans="43:43" x14ac:dyDescent="0.2">
      <c r="AQ23574" s="31"/>
    </row>
    <row r="23575" spans="43:43" x14ac:dyDescent="0.2">
      <c r="AQ23575" s="31"/>
    </row>
    <row r="23576" spans="43:43" x14ac:dyDescent="0.2">
      <c r="AQ23576" s="31"/>
    </row>
    <row r="23577" spans="43:43" x14ac:dyDescent="0.2">
      <c r="AQ23577" s="31"/>
    </row>
    <row r="23578" spans="43:43" x14ac:dyDescent="0.2">
      <c r="AQ23578" s="31"/>
    </row>
    <row r="23579" spans="43:43" x14ac:dyDescent="0.2">
      <c r="AQ23579" s="31"/>
    </row>
    <row r="23580" spans="43:43" x14ac:dyDescent="0.2">
      <c r="AQ23580" s="31"/>
    </row>
    <row r="23581" spans="43:43" x14ac:dyDescent="0.2">
      <c r="AQ23581" s="31"/>
    </row>
    <row r="23582" spans="43:43" x14ac:dyDescent="0.2">
      <c r="AQ23582" s="31"/>
    </row>
    <row r="23583" spans="43:43" x14ac:dyDescent="0.2">
      <c r="AQ23583" s="31"/>
    </row>
    <row r="23584" spans="43:43" x14ac:dyDescent="0.2">
      <c r="AQ23584" s="31"/>
    </row>
    <row r="23585" spans="43:43" x14ac:dyDescent="0.2">
      <c r="AQ23585" s="31"/>
    </row>
    <row r="23586" spans="43:43" x14ac:dyDescent="0.2">
      <c r="AQ23586" s="31"/>
    </row>
    <row r="23587" spans="43:43" x14ac:dyDescent="0.2">
      <c r="AQ23587" s="31"/>
    </row>
    <row r="23588" spans="43:43" x14ac:dyDescent="0.2">
      <c r="AQ23588" s="31"/>
    </row>
    <row r="23589" spans="43:43" x14ac:dyDescent="0.2">
      <c r="AQ23589" s="31"/>
    </row>
    <row r="23590" spans="43:43" x14ac:dyDescent="0.2">
      <c r="AQ23590" s="31"/>
    </row>
    <row r="23591" spans="43:43" x14ac:dyDescent="0.2">
      <c r="AQ23591" s="31"/>
    </row>
    <row r="23592" spans="43:43" x14ac:dyDescent="0.2">
      <c r="AQ23592" s="31"/>
    </row>
    <row r="23593" spans="43:43" x14ac:dyDescent="0.2">
      <c r="AQ23593" s="31"/>
    </row>
    <row r="23594" spans="43:43" x14ac:dyDescent="0.2">
      <c r="AQ23594" s="31"/>
    </row>
    <row r="23595" spans="43:43" x14ac:dyDescent="0.2">
      <c r="AQ23595" s="31"/>
    </row>
    <row r="23596" spans="43:43" x14ac:dyDescent="0.2">
      <c r="AQ23596" s="31"/>
    </row>
    <row r="23597" spans="43:43" x14ac:dyDescent="0.2">
      <c r="AQ23597" s="31"/>
    </row>
    <row r="23598" spans="43:43" x14ac:dyDescent="0.2">
      <c r="AQ23598" s="31"/>
    </row>
    <row r="23599" spans="43:43" x14ac:dyDescent="0.2">
      <c r="AQ23599" s="31"/>
    </row>
    <row r="23600" spans="43:43" x14ac:dyDescent="0.2">
      <c r="AQ23600" s="31"/>
    </row>
    <row r="23601" spans="43:43" x14ac:dyDescent="0.2">
      <c r="AQ23601" s="31"/>
    </row>
    <row r="23602" spans="43:43" x14ac:dyDescent="0.2">
      <c r="AQ23602" s="31"/>
    </row>
    <row r="23603" spans="43:43" x14ac:dyDescent="0.2">
      <c r="AQ23603" s="31"/>
    </row>
    <row r="23604" spans="43:43" x14ac:dyDescent="0.2">
      <c r="AQ23604" s="31"/>
    </row>
    <row r="23605" spans="43:43" x14ac:dyDescent="0.2">
      <c r="AQ23605" s="31"/>
    </row>
    <row r="23606" spans="43:43" x14ac:dyDescent="0.2">
      <c r="AQ23606" s="31"/>
    </row>
    <row r="23607" spans="43:43" x14ac:dyDescent="0.2">
      <c r="AQ23607" s="31"/>
    </row>
    <row r="23608" spans="43:43" x14ac:dyDescent="0.2">
      <c r="AQ23608" s="31"/>
    </row>
    <row r="23609" spans="43:43" x14ac:dyDescent="0.2">
      <c r="AQ23609" s="31"/>
    </row>
    <row r="23610" spans="43:43" x14ac:dyDescent="0.2">
      <c r="AQ23610" s="31"/>
    </row>
    <row r="23611" spans="43:43" x14ac:dyDescent="0.2">
      <c r="AQ23611" s="31"/>
    </row>
    <row r="23612" spans="43:43" x14ac:dyDescent="0.2">
      <c r="AQ23612" s="31"/>
    </row>
    <row r="23613" spans="43:43" x14ac:dyDescent="0.2">
      <c r="AQ23613" s="31"/>
    </row>
    <row r="23614" spans="43:43" x14ac:dyDescent="0.2">
      <c r="AQ23614" s="31"/>
    </row>
    <row r="23615" spans="43:43" x14ac:dyDescent="0.2">
      <c r="AQ23615" s="31"/>
    </row>
    <row r="23616" spans="43:43" x14ac:dyDescent="0.2">
      <c r="AQ23616" s="31"/>
    </row>
    <row r="23617" spans="43:43" x14ac:dyDescent="0.2">
      <c r="AQ23617" s="31"/>
    </row>
    <row r="23618" spans="43:43" x14ac:dyDescent="0.2">
      <c r="AQ23618" s="31"/>
    </row>
    <row r="23619" spans="43:43" x14ac:dyDescent="0.2">
      <c r="AQ23619" s="31"/>
    </row>
    <row r="23620" spans="43:43" x14ac:dyDescent="0.2">
      <c r="AQ23620" s="31"/>
    </row>
    <row r="23621" spans="43:43" x14ac:dyDescent="0.2">
      <c r="AQ23621" s="31"/>
    </row>
    <row r="23622" spans="43:43" x14ac:dyDescent="0.2">
      <c r="AQ23622" s="31"/>
    </row>
    <row r="23623" spans="43:43" x14ac:dyDescent="0.2">
      <c r="AQ23623" s="31"/>
    </row>
    <row r="23624" spans="43:43" x14ac:dyDescent="0.2">
      <c r="AQ23624" s="31"/>
    </row>
    <row r="23625" spans="43:43" x14ac:dyDescent="0.2">
      <c r="AQ23625" s="31"/>
    </row>
    <row r="23626" spans="43:43" x14ac:dyDescent="0.2">
      <c r="AQ23626" s="31"/>
    </row>
    <row r="23627" spans="43:43" x14ac:dyDescent="0.2">
      <c r="AQ23627" s="31"/>
    </row>
    <row r="23628" spans="43:43" x14ac:dyDescent="0.2">
      <c r="AQ23628" s="31"/>
    </row>
    <row r="23629" spans="43:43" x14ac:dyDescent="0.2">
      <c r="AQ23629" s="31"/>
    </row>
    <row r="23630" spans="43:43" x14ac:dyDescent="0.2">
      <c r="AQ23630" s="31"/>
    </row>
    <row r="23631" spans="43:43" x14ac:dyDescent="0.2">
      <c r="AQ23631" s="31"/>
    </row>
    <row r="23632" spans="43:43" x14ac:dyDescent="0.2">
      <c r="AQ23632" s="31"/>
    </row>
    <row r="23633" spans="43:43" x14ac:dyDescent="0.2">
      <c r="AQ23633" s="31"/>
    </row>
    <row r="23634" spans="43:43" x14ac:dyDescent="0.2">
      <c r="AQ23634" s="31"/>
    </row>
    <row r="23635" spans="43:43" x14ac:dyDescent="0.2">
      <c r="AQ23635" s="31"/>
    </row>
    <row r="23636" spans="43:43" x14ac:dyDescent="0.2">
      <c r="AQ23636" s="31"/>
    </row>
    <row r="23637" spans="43:43" x14ac:dyDescent="0.2">
      <c r="AQ23637" s="31"/>
    </row>
    <row r="23638" spans="43:43" x14ac:dyDescent="0.2">
      <c r="AQ23638" s="31"/>
    </row>
    <row r="23639" spans="43:43" x14ac:dyDescent="0.2">
      <c r="AQ23639" s="31"/>
    </row>
    <row r="23640" spans="43:43" x14ac:dyDescent="0.2">
      <c r="AQ23640" s="31"/>
    </row>
    <row r="23641" spans="43:43" x14ac:dyDescent="0.2">
      <c r="AQ23641" s="31"/>
    </row>
    <row r="23642" spans="43:43" x14ac:dyDescent="0.2">
      <c r="AQ23642" s="31"/>
    </row>
    <row r="23643" spans="43:43" x14ac:dyDescent="0.2">
      <c r="AQ23643" s="31"/>
    </row>
    <row r="23644" spans="43:43" x14ac:dyDescent="0.2">
      <c r="AQ23644" s="31"/>
    </row>
    <row r="23645" spans="43:43" x14ac:dyDescent="0.2">
      <c r="AQ23645" s="31"/>
    </row>
    <row r="23646" spans="43:43" x14ac:dyDescent="0.2">
      <c r="AQ23646" s="31"/>
    </row>
    <row r="23647" spans="43:43" x14ac:dyDescent="0.2">
      <c r="AQ23647" s="31"/>
    </row>
    <row r="23648" spans="43:43" x14ac:dyDescent="0.2">
      <c r="AQ23648" s="31"/>
    </row>
    <row r="23649" spans="43:43" x14ac:dyDescent="0.2">
      <c r="AQ23649" s="31"/>
    </row>
    <row r="23650" spans="43:43" x14ac:dyDescent="0.2">
      <c r="AQ23650" s="31"/>
    </row>
    <row r="23651" spans="43:43" x14ac:dyDescent="0.2">
      <c r="AQ23651" s="31"/>
    </row>
    <row r="23652" spans="43:43" x14ac:dyDescent="0.2">
      <c r="AQ23652" s="31"/>
    </row>
    <row r="23653" spans="43:43" x14ac:dyDescent="0.2">
      <c r="AQ23653" s="31"/>
    </row>
    <row r="23654" spans="43:43" x14ac:dyDescent="0.2">
      <c r="AQ23654" s="31"/>
    </row>
    <row r="23655" spans="43:43" x14ac:dyDescent="0.2">
      <c r="AQ23655" s="31"/>
    </row>
    <row r="23656" spans="43:43" x14ac:dyDescent="0.2">
      <c r="AQ23656" s="31"/>
    </row>
    <row r="23657" spans="43:43" x14ac:dyDescent="0.2">
      <c r="AQ23657" s="31"/>
    </row>
    <row r="23658" spans="43:43" x14ac:dyDescent="0.2">
      <c r="AQ23658" s="31"/>
    </row>
    <row r="23659" spans="43:43" x14ac:dyDescent="0.2">
      <c r="AQ23659" s="31"/>
    </row>
    <row r="23660" spans="43:43" x14ac:dyDescent="0.2">
      <c r="AQ23660" s="31"/>
    </row>
    <row r="23661" spans="43:43" x14ac:dyDescent="0.2">
      <c r="AQ23661" s="31"/>
    </row>
    <row r="23662" spans="43:43" x14ac:dyDescent="0.2">
      <c r="AQ23662" s="31"/>
    </row>
    <row r="23663" spans="43:43" x14ac:dyDescent="0.2">
      <c r="AQ23663" s="31"/>
    </row>
    <row r="23664" spans="43:43" x14ac:dyDescent="0.2">
      <c r="AQ23664" s="31"/>
    </row>
    <row r="23665" spans="43:43" x14ac:dyDescent="0.2">
      <c r="AQ23665" s="31"/>
    </row>
    <row r="23666" spans="43:43" x14ac:dyDescent="0.2">
      <c r="AQ23666" s="31"/>
    </row>
    <row r="23667" spans="43:43" x14ac:dyDescent="0.2">
      <c r="AQ23667" s="31"/>
    </row>
    <row r="23668" spans="43:43" x14ac:dyDescent="0.2">
      <c r="AQ23668" s="31"/>
    </row>
    <row r="23669" spans="43:43" x14ac:dyDescent="0.2">
      <c r="AQ23669" s="31"/>
    </row>
    <row r="23670" spans="43:43" x14ac:dyDescent="0.2">
      <c r="AQ23670" s="31"/>
    </row>
    <row r="23671" spans="43:43" x14ac:dyDescent="0.2">
      <c r="AQ23671" s="31"/>
    </row>
    <row r="23672" spans="43:43" x14ac:dyDescent="0.2">
      <c r="AQ23672" s="31"/>
    </row>
    <row r="23673" spans="43:43" x14ac:dyDescent="0.2">
      <c r="AQ23673" s="31"/>
    </row>
    <row r="23674" spans="43:43" x14ac:dyDescent="0.2">
      <c r="AQ23674" s="31"/>
    </row>
    <row r="23675" spans="43:43" x14ac:dyDescent="0.2">
      <c r="AQ23675" s="31"/>
    </row>
    <row r="23676" spans="43:43" x14ac:dyDescent="0.2">
      <c r="AQ23676" s="31"/>
    </row>
    <row r="23677" spans="43:43" x14ac:dyDescent="0.2">
      <c r="AQ23677" s="31"/>
    </row>
    <row r="23678" spans="43:43" x14ac:dyDescent="0.2">
      <c r="AQ23678" s="31"/>
    </row>
    <row r="23679" spans="43:43" x14ac:dyDescent="0.2">
      <c r="AQ23679" s="31"/>
    </row>
    <row r="23680" spans="43:43" x14ac:dyDescent="0.2">
      <c r="AQ23680" s="31"/>
    </row>
    <row r="23681" spans="43:43" x14ac:dyDescent="0.2">
      <c r="AQ23681" s="31"/>
    </row>
    <row r="23682" spans="43:43" x14ac:dyDescent="0.2">
      <c r="AQ23682" s="31"/>
    </row>
    <row r="23683" spans="43:43" x14ac:dyDescent="0.2">
      <c r="AQ23683" s="31"/>
    </row>
    <row r="23684" spans="43:43" x14ac:dyDescent="0.2">
      <c r="AQ23684" s="31"/>
    </row>
    <row r="23685" spans="43:43" x14ac:dyDescent="0.2">
      <c r="AQ23685" s="31"/>
    </row>
    <row r="23686" spans="43:43" x14ac:dyDescent="0.2">
      <c r="AQ23686" s="31"/>
    </row>
    <row r="23687" spans="43:43" x14ac:dyDescent="0.2">
      <c r="AQ23687" s="31"/>
    </row>
    <row r="23688" spans="43:43" x14ac:dyDescent="0.2">
      <c r="AQ23688" s="31"/>
    </row>
    <row r="23689" spans="43:43" x14ac:dyDescent="0.2">
      <c r="AQ23689" s="31"/>
    </row>
    <row r="23690" spans="43:43" x14ac:dyDescent="0.2">
      <c r="AQ23690" s="31"/>
    </row>
    <row r="23691" spans="43:43" x14ac:dyDescent="0.2">
      <c r="AQ23691" s="31"/>
    </row>
    <row r="23692" spans="43:43" x14ac:dyDescent="0.2">
      <c r="AQ23692" s="31"/>
    </row>
    <row r="23693" spans="43:43" x14ac:dyDescent="0.2">
      <c r="AQ23693" s="31"/>
    </row>
    <row r="23694" spans="43:43" x14ac:dyDescent="0.2">
      <c r="AQ23694" s="31"/>
    </row>
    <row r="23695" spans="43:43" x14ac:dyDescent="0.2">
      <c r="AQ23695" s="31"/>
    </row>
    <row r="23696" spans="43:43" x14ac:dyDescent="0.2">
      <c r="AQ23696" s="31"/>
    </row>
    <row r="23697" spans="43:43" x14ac:dyDescent="0.2">
      <c r="AQ23697" s="31"/>
    </row>
    <row r="23698" spans="43:43" x14ac:dyDescent="0.2">
      <c r="AQ23698" s="31"/>
    </row>
    <row r="23699" spans="43:43" x14ac:dyDescent="0.2">
      <c r="AQ23699" s="31"/>
    </row>
    <row r="23700" spans="43:43" x14ac:dyDescent="0.2">
      <c r="AQ23700" s="31"/>
    </row>
    <row r="23701" spans="43:43" x14ac:dyDescent="0.2">
      <c r="AQ23701" s="31"/>
    </row>
    <row r="23702" spans="43:43" x14ac:dyDescent="0.2">
      <c r="AQ23702" s="31"/>
    </row>
    <row r="23703" spans="43:43" x14ac:dyDescent="0.2">
      <c r="AQ23703" s="31"/>
    </row>
    <row r="23704" spans="43:43" x14ac:dyDescent="0.2">
      <c r="AQ23704" s="31"/>
    </row>
    <row r="23705" spans="43:43" x14ac:dyDescent="0.2">
      <c r="AQ23705" s="31"/>
    </row>
    <row r="23706" spans="43:43" x14ac:dyDescent="0.2">
      <c r="AQ23706" s="31"/>
    </row>
    <row r="23707" spans="43:43" x14ac:dyDescent="0.2">
      <c r="AQ23707" s="31"/>
    </row>
    <row r="23708" spans="43:43" x14ac:dyDescent="0.2">
      <c r="AQ23708" s="31"/>
    </row>
    <row r="23709" spans="43:43" x14ac:dyDescent="0.2">
      <c r="AQ23709" s="31"/>
    </row>
    <row r="23710" spans="43:43" x14ac:dyDescent="0.2">
      <c r="AQ23710" s="31"/>
    </row>
    <row r="23711" spans="43:43" x14ac:dyDescent="0.2">
      <c r="AQ23711" s="31"/>
    </row>
    <row r="23712" spans="43:43" x14ac:dyDescent="0.2">
      <c r="AQ23712" s="31"/>
    </row>
    <row r="23713" spans="43:43" x14ac:dyDescent="0.2">
      <c r="AQ23713" s="31"/>
    </row>
    <row r="23714" spans="43:43" x14ac:dyDescent="0.2">
      <c r="AQ23714" s="31"/>
    </row>
    <row r="23715" spans="43:43" x14ac:dyDescent="0.2">
      <c r="AQ23715" s="31"/>
    </row>
    <row r="23716" spans="43:43" x14ac:dyDescent="0.2">
      <c r="AQ23716" s="31"/>
    </row>
    <row r="23717" spans="43:43" x14ac:dyDescent="0.2">
      <c r="AQ23717" s="31"/>
    </row>
    <row r="23718" spans="43:43" x14ac:dyDescent="0.2">
      <c r="AQ23718" s="31"/>
    </row>
    <row r="23719" spans="43:43" x14ac:dyDescent="0.2">
      <c r="AQ23719" s="31"/>
    </row>
    <row r="23720" spans="43:43" x14ac:dyDescent="0.2">
      <c r="AQ23720" s="31"/>
    </row>
    <row r="23721" spans="43:43" x14ac:dyDescent="0.2">
      <c r="AQ23721" s="31"/>
    </row>
    <row r="23722" spans="43:43" x14ac:dyDescent="0.2">
      <c r="AQ23722" s="31"/>
    </row>
    <row r="23723" spans="43:43" x14ac:dyDescent="0.2">
      <c r="AQ23723" s="31"/>
    </row>
    <row r="23724" spans="43:43" x14ac:dyDescent="0.2">
      <c r="AQ23724" s="31"/>
    </row>
    <row r="23725" spans="43:43" x14ac:dyDescent="0.2">
      <c r="AQ23725" s="31"/>
    </row>
    <row r="23726" spans="43:43" x14ac:dyDescent="0.2">
      <c r="AQ23726" s="31"/>
    </row>
    <row r="23727" spans="43:43" x14ac:dyDescent="0.2">
      <c r="AQ23727" s="31"/>
    </row>
    <row r="23728" spans="43:43" x14ac:dyDescent="0.2">
      <c r="AQ23728" s="31"/>
    </row>
    <row r="23729" spans="43:43" x14ac:dyDescent="0.2">
      <c r="AQ23729" s="31"/>
    </row>
    <row r="23730" spans="43:43" x14ac:dyDescent="0.2">
      <c r="AQ23730" s="31"/>
    </row>
    <row r="23731" spans="43:43" x14ac:dyDescent="0.2">
      <c r="AQ23731" s="31"/>
    </row>
    <row r="23732" spans="43:43" x14ac:dyDescent="0.2">
      <c r="AQ23732" s="31"/>
    </row>
    <row r="23733" spans="43:43" x14ac:dyDescent="0.2">
      <c r="AQ23733" s="31"/>
    </row>
    <row r="23734" spans="43:43" x14ac:dyDescent="0.2">
      <c r="AQ23734" s="31"/>
    </row>
    <row r="23735" spans="43:43" x14ac:dyDescent="0.2">
      <c r="AQ23735" s="31"/>
    </row>
    <row r="23736" spans="43:43" x14ac:dyDescent="0.2">
      <c r="AQ23736" s="31"/>
    </row>
    <row r="23737" spans="43:43" x14ac:dyDescent="0.2">
      <c r="AQ23737" s="31"/>
    </row>
    <row r="23738" spans="43:43" x14ac:dyDescent="0.2">
      <c r="AQ23738" s="31"/>
    </row>
    <row r="23739" spans="43:43" x14ac:dyDescent="0.2">
      <c r="AQ23739" s="31"/>
    </row>
    <row r="23740" spans="43:43" x14ac:dyDescent="0.2">
      <c r="AQ23740" s="31"/>
    </row>
    <row r="23741" spans="43:43" x14ac:dyDescent="0.2">
      <c r="AQ23741" s="31"/>
    </row>
    <row r="23742" spans="43:43" x14ac:dyDescent="0.2">
      <c r="AQ23742" s="31"/>
    </row>
    <row r="23743" spans="43:43" x14ac:dyDescent="0.2">
      <c r="AQ23743" s="31"/>
    </row>
    <row r="23744" spans="43:43" x14ac:dyDescent="0.2">
      <c r="AQ23744" s="31"/>
    </row>
    <row r="23745" spans="43:43" x14ac:dyDescent="0.2">
      <c r="AQ23745" s="31"/>
    </row>
    <row r="23746" spans="43:43" x14ac:dyDescent="0.2">
      <c r="AQ23746" s="31"/>
    </row>
    <row r="23747" spans="43:43" x14ac:dyDescent="0.2">
      <c r="AQ23747" s="31"/>
    </row>
    <row r="23748" spans="43:43" x14ac:dyDescent="0.2">
      <c r="AQ23748" s="31"/>
    </row>
    <row r="23749" spans="43:43" x14ac:dyDescent="0.2">
      <c r="AQ23749" s="31"/>
    </row>
    <row r="23750" spans="43:43" x14ac:dyDescent="0.2">
      <c r="AQ23750" s="31"/>
    </row>
    <row r="23751" spans="43:43" x14ac:dyDescent="0.2">
      <c r="AQ23751" s="31"/>
    </row>
    <row r="23752" spans="43:43" x14ac:dyDescent="0.2">
      <c r="AQ23752" s="31"/>
    </row>
    <row r="23753" spans="43:43" x14ac:dyDescent="0.2">
      <c r="AQ23753" s="31"/>
    </row>
    <row r="23754" spans="43:43" x14ac:dyDescent="0.2">
      <c r="AQ23754" s="31"/>
    </row>
    <row r="23755" spans="43:43" x14ac:dyDescent="0.2">
      <c r="AQ23755" s="31"/>
    </row>
    <row r="23756" spans="43:43" x14ac:dyDescent="0.2">
      <c r="AQ23756" s="31"/>
    </row>
    <row r="23757" spans="43:43" x14ac:dyDescent="0.2">
      <c r="AQ23757" s="31"/>
    </row>
    <row r="23758" spans="43:43" x14ac:dyDescent="0.2">
      <c r="AQ23758" s="31"/>
    </row>
    <row r="23759" spans="43:43" x14ac:dyDescent="0.2">
      <c r="AQ23759" s="31"/>
    </row>
    <row r="23760" spans="43:43" x14ac:dyDescent="0.2">
      <c r="AQ23760" s="31"/>
    </row>
    <row r="23761" spans="43:43" x14ac:dyDescent="0.2">
      <c r="AQ23761" s="31"/>
    </row>
    <row r="23762" spans="43:43" x14ac:dyDescent="0.2">
      <c r="AQ23762" s="31"/>
    </row>
    <row r="23763" spans="43:43" x14ac:dyDescent="0.2">
      <c r="AQ23763" s="31"/>
    </row>
    <row r="23764" spans="43:43" x14ac:dyDescent="0.2">
      <c r="AQ23764" s="31"/>
    </row>
    <row r="23765" spans="43:43" x14ac:dyDescent="0.2">
      <c r="AQ23765" s="31"/>
    </row>
    <row r="23766" spans="43:43" x14ac:dyDescent="0.2">
      <c r="AQ23766" s="31"/>
    </row>
    <row r="23767" spans="43:43" x14ac:dyDescent="0.2">
      <c r="AQ23767" s="31"/>
    </row>
    <row r="23768" spans="43:43" x14ac:dyDescent="0.2">
      <c r="AQ23768" s="31"/>
    </row>
    <row r="23769" spans="43:43" x14ac:dyDescent="0.2">
      <c r="AQ23769" s="31"/>
    </row>
    <row r="23770" spans="43:43" x14ac:dyDescent="0.2">
      <c r="AQ23770" s="31"/>
    </row>
    <row r="23771" spans="43:43" x14ac:dyDescent="0.2">
      <c r="AQ23771" s="31"/>
    </row>
    <row r="23772" spans="43:43" x14ac:dyDescent="0.2">
      <c r="AQ23772" s="31"/>
    </row>
    <row r="23773" spans="43:43" x14ac:dyDescent="0.2">
      <c r="AQ23773" s="31"/>
    </row>
    <row r="23774" spans="43:43" x14ac:dyDescent="0.2">
      <c r="AQ23774" s="31"/>
    </row>
    <row r="23775" spans="43:43" x14ac:dyDescent="0.2">
      <c r="AQ23775" s="31"/>
    </row>
    <row r="23776" spans="43:43" x14ac:dyDescent="0.2">
      <c r="AQ23776" s="31"/>
    </row>
    <row r="23777" spans="43:43" x14ac:dyDescent="0.2">
      <c r="AQ23777" s="31"/>
    </row>
    <row r="23778" spans="43:43" x14ac:dyDescent="0.2">
      <c r="AQ23778" s="31"/>
    </row>
    <row r="23779" spans="43:43" x14ac:dyDescent="0.2">
      <c r="AQ23779" s="31"/>
    </row>
    <row r="23780" spans="43:43" x14ac:dyDescent="0.2">
      <c r="AQ23780" s="31"/>
    </row>
    <row r="23781" spans="43:43" x14ac:dyDescent="0.2">
      <c r="AQ23781" s="31"/>
    </row>
    <row r="23782" spans="43:43" x14ac:dyDescent="0.2">
      <c r="AQ23782" s="31"/>
    </row>
    <row r="23783" spans="43:43" x14ac:dyDescent="0.2">
      <c r="AQ23783" s="31"/>
    </row>
    <row r="23784" spans="43:43" x14ac:dyDescent="0.2">
      <c r="AQ23784" s="31"/>
    </row>
    <row r="23785" spans="43:43" x14ac:dyDescent="0.2">
      <c r="AQ23785" s="31"/>
    </row>
    <row r="23786" spans="43:43" x14ac:dyDescent="0.2">
      <c r="AQ23786" s="31"/>
    </row>
    <row r="23787" spans="43:43" x14ac:dyDescent="0.2">
      <c r="AQ23787" s="31"/>
    </row>
    <row r="23788" spans="43:43" x14ac:dyDescent="0.2">
      <c r="AQ23788" s="31"/>
    </row>
    <row r="23789" spans="43:43" x14ac:dyDescent="0.2">
      <c r="AQ23789" s="31"/>
    </row>
    <row r="23790" spans="43:43" x14ac:dyDescent="0.2">
      <c r="AQ23790" s="31"/>
    </row>
    <row r="23791" spans="43:43" x14ac:dyDescent="0.2">
      <c r="AQ23791" s="31"/>
    </row>
    <row r="23792" spans="43:43" x14ac:dyDescent="0.2">
      <c r="AQ23792" s="31"/>
    </row>
    <row r="23793" spans="43:43" x14ac:dyDescent="0.2">
      <c r="AQ23793" s="31"/>
    </row>
    <row r="23794" spans="43:43" x14ac:dyDescent="0.2">
      <c r="AQ23794" s="31"/>
    </row>
    <row r="23795" spans="43:43" x14ac:dyDescent="0.2">
      <c r="AQ23795" s="31"/>
    </row>
    <row r="23796" spans="43:43" x14ac:dyDescent="0.2">
      <c r="AQ23796" s="31"/>
    </row>
    <row r="23797" spans="43:43" x14ac:dyDescent="0.2">
      <c r="AQ23797" s="31"/>
    </row>
    <row r="23798" spans="43:43" x14ac:dyDescent="0.2">
      <c r="AQ23798" s="31"/>
    </row>
    <row r="23799" spans="43:43" x14ac:dyDescent="0.2">
      <c r="AQ23799" s="31"/>
    </row>
    <row r="23800" spans="43:43" x14ac:dyDescent="0.2">
      <c r="AQ23800" s="31"/>
    </row>
    <row r="23801" spans="43:43" x14ac:dyDescent="0.2">
      <c r="AQ23801" s="31"/>
    </row>
    <row r="23802" spans="43:43" x14ac:dyDescent="0.2">
      <c r="AQ23802" s="31"/>
    </row>
    <row r="23803" spans="43:43" x14ac:dyDescent="0.2">
      <c r="AQ23803" s="31"/>
    </row>
    <row r="23804" spans="43:43" x14ac:dyDescent="0.2">
      <c r="AQ23804" s="31"/>
    </row>
    <row r="23805" spans="43:43" x14ac:dyDescent="0.2">
      <c r="AQ23805" s="31"/>
    </row>
    <row r="23806" spans="43:43" x14ac:dyDescent="0.2">
      <c r="AQ23806" s="31"/>
    </row>
    <row r="23807" spans="43:43" x14ac:dyDescent="0.2">
      <c r="AQ23807" s="31"/>
    </row>
    <row r="23808" spans="43:43" x14ac:dyDescent="0.2">
      <c r="AQ23808" s="31"/>
    </row>
    <row r="23809" spans="43:43" x14ac:dyDescent="0.2">
      <c r="AQ23809" s="31"/>
    </row>
    <row r="23810" spans="43:43" x14ac:dyDescent="0.2">
      <c r="AQ23810" s="31"/>
    </row>
    <row r="23811" spans="43:43" x14ac:dyDescent="0.2">
      <c r="AQ23811" s="31"/>
    </row>
    <row r="23812" spans="43:43" x14ac:dyDescent="0.2">
      <c r="AQ23812" s="31"/>
    </row>
    <row r="23813" spans="43:43" x14ac:dyDescent="0.2">
      <c r="AQ23813" s="31"/>
    </row>
    <row r="23814" spans="43:43" x14ac:dyDescent="0.2">
      <c r="AQ23814" s="31"/>
    </row>
    <row r="23815" spans="43:43" x14ac:dyDescent="0.2">
      <c r="AQ23815" s="31"/>
    </row>
    <row r="23816" spans="43:43" x14ac:dyDescent="0.2">
      <c r="AQ23816" s="31"/>
    </row>
    <row r="23817" spans="43:43" x14ac:dyDescent="0.2">
      <c r="AQ23817" s="31"/>
    </row>
    <row r="23818" spans="43:43" x14ac:dyDescent="0.2">
      <c r="AQ23818" s="31"/>
    </row>
    <row r="23819" spans="43:43" x14ac:dyDescent="0.2">
      <c r="AQ23819" s="31"/>
    </row>
    <row r="23820" spans="43:43" x14ac:dyDescent="0.2">
      <c r="AQ23820" s="31"/>
    </row>
    <row r="23821" spans="43:43" x14ac:dyDescent="0.2">
      <c r="AQ23821" s="31"/>
    </row>
    <row r="23822" spans="43:43" x14ac:dyDescent="0.2">
      <c r="AQ23822" s="31"/>
    </row>
    <row r="23823" spans="43:43" x14ac:dyDescent="0.2">
      <c r="AQ23823" s="31"/>
    </row>
    <row r="23824" spans="43:43" x14ac:dyDescent="0.2">
      <c r="AQ23824" s="31"/>
    </row>
    <row r="23825" spans="43:43" x14ac:dyDescent="0.2">
      <c r="AQ23825" s="31"/>
    </row>
    <row r="23826" spans="43:43" x14ac:dyDescent="0.2">
      <c r="AQ23826" s="31"/>
    </row>
    <row r="23827" spans="43:43" x14ac:dyDescent="0.2">
      <c r="AQ23827" s="31"/>
    </row>
    <row r="23828" spans="43:43" x14ac:dyDescent="0.2">
      <c r="AQ23828" s="31"/>
    </row>
    <row r="23829" spans="43:43" x14ac:dyDescent="0.2">
      <c r="AQ23829" s="31"/>
    </row>
    <row r="23830" spans="43:43" x14ac:dyDescent="0.2">
      <c r="AQ23830" s="31"/>
    </row>
    <row r="23831" spans="43:43" x14ac:dyDescent="0.2">
      <c r="AQ23831" s="31"/>
    </row>
    <row r="23832" spans="43:43" x14ac:dyDescent="0.2">
      <c r="AQ23832" s="31"/>
    </row>
    <row r="23833" spans="43:43" x14ac:dyDescent="0.2">
      <c r="AQ23833" s="31"/>
    </row>
    <row r="23834" spans="43:43" x14ac:dyDescent="0.2">
      <c r="AQ23834" s="31"/>
    </row>
    <row r="23835" spans="43:43" x14ac:dyDescent="0.2">
      <c r="AQ23835" s="31"/>
    </row>
    <row r="23836" spans="43:43" x14ac:dyDescent="0.2">
      <c r="AQ23836" s="31"/>
    </row>
    <row r="23837" spans="43:43" x14ac:dyDescent="0.2">
      <c r="AQ23837" s="31"/>
    </row>
    <row r="23838" spans="43:43" x14ac:dyDescent="0.2">
      <c r="AQ23838" s="31"/>
    </row>
    <row r="23839" spans="43:43" x14ac:dyDescent="0.2">
      <c r="AQ23839" s="31"/>
    </row>
    <row r="23840" spans="43:43" x14ac:dyDescent="0.2">
      <c r="AQ23840" s="31"/>
    </row>
    <row r="23841" spans="43:43" x14ac:dyDescent="0.2">
      <c r="AQ23841" s="31"/>
    </row>
    <row r="23842" spans="43:43" x14ac:dyDescent="0.2">
      <c r="AQ23842" s="31"/>
    </row>
    <row r="23843" spans="43:43" x14ac:dyDescent="0.2">
      <c r="AQ23843" s="31"/>
    </row>
    <row r="23844" spans="43:43" x14ac:dyDescent="0.2">
      <c r="AQ23844" s="31"/>
    </row>
    <row r="23845" spans="43:43" x14ac:dyDescent="0.2">
      <c r="AQ23845" s="31"/>
    </row>
    <row r="23846" spans="43:43" x14ac:dyDescent="0.2">
      <c r="AQ23846" s="31"/>
    </row>
    <row r="23847" spans="43:43" x14ac:dyDescent="0.2">
      <c r="AQ23847" s="31"/>
    </row>
    <row r="23848" spans="43:43" x14ac:dyDescent="0.2">
      <c r="AQ23848" s="31"/>
    </row>
    <row r="23849" spans="43:43" x14ac:dyDescent="0.2">
      <c r="AQ23849" s="31"/>
    </row>
    <row r="23850" spans="43:43" x14ac:dyDescent="0.2">
      <c r="AQ23850" s="31"/>
    </row>
    <row r="23851" spans="43:43" x14ac:dyDescent="0.2">
      <c r="AQ23851" s="31"/>
    </row>
    <row r="23852" spans="43:43" x14ac:dyDescent="0.2">
      <c r="AQ23852" s="31"/>
    </row>
    <row r="23853" spans="43:43" x14ac:dyDescent="0.2">
      <c r="AQ23853" s="31"/>
    </row>
    <row r="23854" spans="43:43" x14ac:dyDescent="0.2">
      <c r="AQ23854" s="31"/>
    </row>
    <row r="23855" spans="43:43" x14ac:dyDescent="0.2">
      <c r="AQ23855" s="31"/>
    </row>
    <row r="23856" spans="43:43" x14ac:dyDescent="0.2">
      <c r="AQ23856" s="31"/>
    </row>
    <row r="23857" spans="43:43" x14ac:dyDescent="0.2">
      <c r="AQ23857" s="31"/>
    </row>
    <row r="23858" spans="43:43" x14ac:dyDescent="0.2">
      <c r="AQ23858" s="31"/>
    </row>
    <row r="23859" spans="43:43" x14ac:dyDescent="0.2">
      <c r="AQ23859" s="31"/>
    </row>
    <row r="23860" spans="43:43" x14ac:dyDescent="0.2">
      <c r="AQ23860" s="31"/>
    </row>
    <row r="23861" spans="43:43" x14ac:dyDescent="0.2">
      <c r="AQ23861" s="31"/>
    </row>
    <row r="23862" spans="43:43" x14ac:dyDescent="0.2">
      <c r="AQ23862" s="31"/>
    </row>
    <row r="23863" spans="43:43" x14ac:dyDescent="0.2">
      <c r="AQ23863" s="31"/>
    </row>
    <row r="23864" spans="43:43" x14ac:dyDescent="0.2">
      <c r="AQ23864" s="31"/>
    </row>
    <row r="23865" spans="43:43" x14ac:dyDescent="0.2">
      <c r="AQ23865" s="31"/>
    </row>
    <row r="23866" spans="43:43" x14ac:dyDescent="0.2">
      <c r="AQ23866" s="31"/>
    </row>
    <row r="23867" spans="43:43" x14ac:dyDescent="0.2">
      <c r="AQ23867" s="31"/>
    </row>
    <row r="23868" spans="43:43" x14ac:dyDescent="0.2">
      <c r="AQ23868" s="31"/>
    </row>
    <row r="23869" spans="43:43" x14ac:dyDescent="0.2">
      <c r="AQ23869" s="31"/>
    </row>
    <row r="23870" spans="43:43" x14ac:dyDescent="0.2">
      <c r="AQ23870" s="31"/>
    </row>
    <row r="23871" spans="43:43" x14ac:dyDescent="0.2">
      <c r="AQ23871" s="31"/>
    </row>
    <row r="23872" spans="43:43" x14ac:dyDescent="0.2">
      <c r="AQ23872" s="31"/>
    </row>
    <row r="23873" spans="43:43" x14ac:dyDescent="0.2">
      <c r="AQ23873" s="31"/>
    </row>
    <row r="23874" spans="43:43" x14ac:dyDescent="0.2">
      <c r="AQ23874" s="31"/>
    </row>
    <row r="23875" spans="43:43" x14ac:dyDescent="0.2">
      <c r="AQ23875" s="31"/>
    </row>
    <row r="23876" spans="43:43" x14ac:dyDescent="0.2">
      <c r="AQ23876" s="31"/>
    </row>
    <row r="23877" spans="43:43" x14ac:dyDescent="0.2">
      <c r="AQ23877" s="31"/>
    </row>
    <row r="23878" spans="43:43" x14ac:dyDescent="0.2">
      <c r="AQ23878" s="31"/>
    </row>
    <row r="23879" spans="43:43" x14ac:dyDescent="0.2">
      <c r="AQ23879" s="31"/>
    </row>
    <row r="23880" spans="43:43" x14ac:dyDescent="0.2">
      <c r="AQ23880" s="31"/>
    </row>
    <row r="23881" spans="43:43" x14ac:dyDescent="0.2">
      <c r="AQ23881" s="31"/>
    </row>
    <row r="23882" spans="43:43" x14ac:dyDescent="0.2">
      <c r="AQ23882" s="31"/>
    </row>
    <row r="23883" spans="43:43" x14ac:dyDescent="0.2">
      <c r="AQ23883" s="31"/>
    </row>
    <row r="23884" spans="43:43" x14ac:dyDescent="0.2">
      <c r="AQ23884" s="31"/>
    </row>
    <row r="23885" spans="43:43" x14ac:dyDescent="0.2">
      <c r="AQ23885" s="31"/>
    </row>
    <row r="23886" spans="43:43" x14ac:dyDescent="0.2">
      <c r="AQ23886" s="31"/>
    </row>
    <row r="23887" spans="43:43" x14ac:dyDescent="0.2">
      <c r="AQ23887" s="31"/>
    </row>
    <row r="23888" spans="43:43" x14ac:dyDescent="0.2">
      <c r="AQ23888" s="31"/>
    </row>
    <row r="23889" spans="43:43" x14ac:dyDescent="0.2">
      <c r="AQ23889" s="31"/>
    </row>
    <row r="23890" spans="43:43" x14ac:dyDescent="0.2">
      <c r="AQ23890" s="31"/>
    </row>
    <row r="23891" spans="43:43" x14ac:dyDescent="0.2">
      <c r="AQ23891" s="31"/>
    </row>
    <row r="23892" spans="43:43" x14ac:dyDescent="0.2">
      <c r="AQ23892" s="31"/>
    </row>
    <row r="23893" spans="43:43" x14ac:dyDescent="0.2">
      <c r="AQ23893" s="31"/>
    </row>
    <row r="23894" spans="43:43" x14ac:dyDescent="0.2">
      <c r="AQ23894" s="31"/>
    </row>
    <row r="23895" spans="43:43" x14ac:dyDescent="0.2">
      <c r="AQ23895" s="31"/>
    </row>
    <row r="23896" spans="43:43" x14ac:dyDescent="0.2">
      <c r="AQ23896" s="31"/>
    </row>
    <row r="23897" spans="43:43" x14ac:dyDescent="0.2">
      <c r="AQ23897" s="31"/>
    </row>
    <row r="23898" spans="43:43" x14ac:dyDescent="0.2">
      <c r="AQ23898" s="31"/>
    </row>
    <row r="23899" spans="43:43" x14ac:dyDescent="0.2">
      <c r="AQ23899" s="31"/>
    </row>
    <row r="23900" spans="43:43" x14ac:dyDescent="0.2">
      <c r="AQ23900" s="31"/>
    </row>
    <row r="23901" spans="43:43" x14ac:dyDescent="0.2">
      <c r="AQ23901" s="31"/>
    </row>
    <row r="23902" spans="43:43" x14ac:dyDescent="0.2">
      <c r="AQ23902" s="31"/>
    </row>
    <row r="23903" spans="43:43" x14ac:dyDescent="0.2">
      <c r="AQ23903" s="31"/>
    </row>
    <row r="23904" spans="43:43" x14ac:dyDescent="0.2">
      <c r="AQ23904" s="31"/>
    </row>
    <row r="23905" spans="43:43" x14ac:dyDescent="0.2">
      <c r="AQ23905" s="31"/>
    </row>
    <row r="23906" spans="43:43" x14ac:dyDescent="0.2">
      <c r="AQ23906" s="31"/>
    </row>
    <row r="23907" spans="43:43" x14ac:dyDescent="0.2">
      <c r="AQ23907" s="31"/>
    </row>
    <row r="23908" spans="43:43" x14ac:dyDescent="0.2">
      <c r="AQ23908" s="31"/>
    </row>
    <row r="23909" spans="43:43" x14ac:dyDescent="0.2">
      <c r="AQ23909" s="31"/>
    </row>
    <row r="23910" spans="43:43" x14ac:dyDescent="0.2">
      <c r="AQ23910" s="31"/>
    </row>
    <row r="23911" spans="43:43" x14ac:dyDescent="0.2">
      <c r="AQ23911" s="31"/>
    </row>
    <row r="23912" spans="43:43" x14ac:dyDescent="0.2">
      <c r="AQ23912" s="31"/>
    </row>
    <row r="23913" spans="43:43" x14ac:dyDescent="0.2">
      <c r="AQ23913" s="31"/>
    </row>
    <row r="23914" spans="43:43" x14ac:dyDescent="0.2">
      <c r="AQ23914" s="31"/>
    </row>
    <row r="23915" spans="43:43" x14ac:dyDescent="0.2">
      <c r="AQ23915" s="31"/>
    </row>
    <row r="23916" spans="43:43" x14ac:dyDescent="0.2">
      <c r="AQ23916" s="31"/>
    </row>
    <row r="23917" spans="43:43" x14ac:dyDescent="0.2">
      <c r="AQ23917" s="31"/>
    </row>
    <row r="23918" spans="43:43" x14ac:dyDescent="0.2">
      <c r="AQ23918" s="31"/>
    </row>
    <row r="23919" spans="43:43" x14ac:dyDescent="0.2">
      <c r="AQ23919" s="31"/>
    </row>
    <row r="23920" spans="43:43" x14ac:dyDescent="0.2">
      <c r="AQ23920" s="31"/>
    </row>
    <row r="23921" spans="43:43" x14ac:dyDescent="0.2">
      <c r="AQ23921" s="31"/>
    </row>
    <row r="23922" spans="43:43" x14ac:dyDescent="0.2">
      <c r="AQ23922" s="31"/>
    </row>
    <row r="23923" spans="43:43" x14ac:dyDescent="0.2">
      <c r="AQ23923" s="31"/>
    </row>
    <row r="23924" spans="43:43" x14ac:dyDescent="0.2">
      <c r="AQ23924" s="31"/>
    </row>
    <row r="23925" spans="43:43" x14ac:dyDescent="0.2">
      <c r="AQ23925" s="31"/>
    </row>
    <row r="23926" spans="43:43" x14ac:dyDescent="0.2">
      <c r="AQ23926" s="31"/>
    </row>
    <row r="23927" spans="43:43" x14ac:dyDescent="0.2">
      <c r="AQ23927" s="31"/>
    </row>
    <row r="23928" spans="43:43" x14ac:dyDescent="0.2">
      <c r="AQ23928" s="31"/>
    </row>
    <row r="23929" spans="43:43" x14ac:dyDescent="0.2">
      <c r="AQ23929" s="31"/>
    </row>
    <row r="23930" spans="43:43" x14ac:dyDescent="0.2">
      <c r="AQ23930" s="31"/>
    </row>
    <row r="23931" spans="43:43" x14ac:dyDescent="0.2">
      <c r="AQ23931" s="31"/>
    </row>
    <row r="23932" spans="43:43" x14ac:dyDescent="0.2">
      <c r="AQ23932" s="31"/>
    </row>
    <row r="23933" spans="43:43" x14ac:dyDescent="0.2">
      <c r="AQ23933" s="31"/>
    </row>
    <row r="23934" spans="43:43" x14ac:dyDescent="0.2">
      <c r="AQ23934" s="31"/>
    </row>
    <row r="23935" spans="43:43" x14ac:dyDescent="0.2">
      <c r="AQ23935" s="31"/>
    </row>
    <row r="23936" spans="43:43" x14ac:dyDescent="0.2">
      <c r="AQ23936" s="31"/>
    </row>
    <row r="23937" spans="43:43" x14ac:dyDescent="0.2">
      <c r="AQ23937" s="31"/>
    </row>
    <row r="23938" spans="43:43" x14ac:dyDescent="0.2">
      <c r="AQ23938" s="31"/>
    </row>
    <row r="23939" spans="43:43" x14ac:dyDescent="0.2">
      <c r="AQ23939" s="31"/>
    </row>
    <row r="23940" spans="43:43" x14ac:dyDescent="0.2">
      <c r="AQ23940" s="31"/>
    </row>
    <row r="23941" spans="43:43" x14ac:dyDescent="0.2">
      <c r="AQ23941" s="31"/>
    </row>
    <row r="23942" spans="43:43" x14ac:dyDescent="0.2">
      <c r="AQ23942" s="31"/>
    </row>
    <row r="23943" spans="43:43" x14ac:dyDescent="0.2">
      <c r="AQ23943" s="31"/>
    </row>
    <row r="23944" spans="43:43" x14ac:dyDescent="0.2">
      <c r="AQ23944" s="31"/>
    </row>
    <row r="23945" spans="43:43" x14ac:dyDescent="0.2">
      <c r="AQ23945" s="31"/>
    </row>
    <row r="23946" spans="43:43" x14ac:dyDescent="0.2">
      <c r="AQ23946" s="31"/>
    </row>
    <row r="23947" spans="43:43" x14ac:dyDescent="0.2">
      <c r="AQ23947" s="31"/>
    </row>
    <row r="23948" spans="43:43" x14ac:dyDescent="0.2">
      <c r="AQ23948" s="31"/>
    </row>
    <row r="23949" spans="43:43" x14ac:dyDescent="0.2">
      <c r="AQ23949" s="31"/>
    </row>
    <row r="23950" spans="43:43" x14ac:dyDescent="0.2">
      <c r="AQ23950" s="31"/>
    </row>
    <row r="23951" spans="43:43" x14ac:dyDescent="0.2">
      <c r="AQ23951" s="31"/>
    </row>
    <row r="23952" spans="43:43" x14ac:dyDescent="0.2">
      <c r="AQ23952" s="31"/>
    </row>
    <row r="23953" spans="43:43" x14ac:dyDescent="0.2">
      <c r="AQ23953" s="31"/>
    </row>
    <row r="23954" spans="43:43" x14ac:dyDescent="0.2">
      <c r="AQ23954" s="31"/>
    </row>
    <row r="23955" spans="43:43" x14ac:dyDescent="0.2">
      <c r="AQ23955" s="31"/>
    </row>
    <row r="23956" spans="43:43" x14ac:dyDescent="0.2">
      <c r="AQ23956" s="31"/>
    </row>
    <row r="23957" spans="43:43" x14ac:dyDescent="0.2">
      <c r="AQ23957" s="31"/>
    </row>
    <row r="23958" spans="43:43" x14ac:dyDescent="0.2">
      <c r="AQ23958" s="31"/>
    </row>
    <row r="23959" spans="43:43" x14ac:dyDescent="0.2">
      <c r="AQ23959" s="31"/>
    </row>
    <row r="23960" spans="43:43" x14ac:dyDescent="0.2">
      <c r="AQ23960" s="31"/>
    </row>
    <row r="23961" spans="43:43" x14ac:dyDescent="0.2">
      <c r="AQ23961" s="31"/>
    </row>
    <row r="23962" spans="43:43" x14ac:dyDescent="0.2">
      <c r="AQ23962" s="31"/>
    </row>
    <row r="23963" spans="43:43" x14ac:dyDescent="0.2">
      <c r="AQ23963" s="31"/>
    </row>
    <row r="23964" spans="43:43" x14ac:dyDescent="0.2">
      <c r="AQ23964" s="31"/>
    </row>
    <row r="23965" spans="43:43" x14ac:dyDescent="0.2">
      <c r="AQ23965" s="31"/>
    </row>
    <row r="23966" spans="43:43" x14ac:dyDescent="0.2">
      <c r="AQ23966" s="31"/>
    </row>
    <row r="23967" spans="43:43" x14ac:dyDescent="0.2">
      <c r="AQ23967" s="31"/>
    </row>
    <row r="23968" spans="43:43" x14ac:dyDescent="0.2">
      <c r="AQ23968" s="31"/>
    </row>
    <row r="23969" spans="43:43" x14ac:dyDescent="0.2">
      <c r="AQ23969" s="31"/>
    </row>
    <row r="23970" spans="43:43" x14ac:dyDescent="0.2">
      <c r="AQ23970" s="31"/>
    </row>
    <row r="23971" spans="43:43" x14ac:dyDescent="0.2">
      <c r="AQ23971" s="31"/>
    </row>
    <row r="23972" spans="43:43" x14ac:dyDescent="0.2">
      <c r="AQ23972" s="31"/>
    </row>
    <row r="23973" spans="43:43" x14ac:dyDescent="0.2">
      <c r="AQ23973" s="31"/>
    </row>
    <row r="23974" spans="43:43" x14ac:dyDescent="0.2">
      <c r="AQ23974" s="31"/>
    </row>
    <row r="23975" spans="43:43" x14ac:dyDescent="0.2">
      <c r="AQ23975" s="31"/>
    </row>
    <row r="23976" spans="43:43" x14ac:dyDescent="0.2">
      <c r="AQ23976" s="31"/>
    </row>
    <row r="23977" spans="43:43" x14ac:dyDescent="0.2">
      <c r="AQ23977" s="31"/>
    </row>
    <row r="23978" spans="43:43" x14ac:dyDescent="0.2">
      <c r="AQ23978" s="31"/>
    </row>
    <row r="23979" spans="43:43" x14ac:dyDescent="0.2">
      <c r="AQ23979" s="31"/>
    </row>
    <row r="23980" spans="43:43" x14ac:dyDescent="0.2">
      <c r="AQ23980" s="31"/>
    </row>
    <row r="23981" spans="43:43" x14ac:dyDescent="0.2">
      <c r="AQ23981" s="31"/>
    </row>
    <row r="23982" spans="43:43" x14ac:dyDescent="0.2">
      <c r="AQ23982" s="31"/>
    </row>
    <row r="23983" spans="43:43" x14ac:dyDescent="0.2">
      <c r="AQ23983" s="31"/>
    </row>
    <row r="23984" spans="43:43" x14ac:dyDescent="0.2">
      <c r="AQ23984" s="31"/>
    </row>
    <row r="23985" spans="43:43" x14ac:dyDescent="0.2">
      <c r="AQ23985" s="31"/>
    </row>
    <row r="23986" spans="43:43" x14ac:dyDescent="0.2">
      <c r="AQ23986" s="31"/>
    </row>
    <row r="23987" spans="43:43" x14ac:dyDescent="0.2">
      <c r="AQ23987" s="31"/>
    </row>
    <row r="23988" spans="43:43" x14ac:dyDescent="0.2">
      <c r="AQ23988" s="31"/>
    </row>
    <row r="23989" spans="43:43" x14ac:dyDescent="0.2">
      <c r="AQ23989" s="31"/>
    </row>
    <row r="23990" spans="43:43" x14ac:dyDescent="0.2">
      <c r="AQ23990" s="31"/>
    </row>
    <row r="23991" spans="43:43" x14ac:dyDescent="0.2">
      <c r="AQ23991" s="31"/>
    </row>
    <row r="23992" spans="43:43" x14ac:dyDescent="0.2">
      <c r="AQ23992" s="31"/>
    </row>
    <row r="23993" spans="43:43" x14ac:dyDescent="0.2">
      <c r="AQ23993" s="31"/>
    </row>
    <row r="23994" spans="43:43" x14ac:dyDescent="0.2">
      <c r="AQ23994" s="31"/>
    </row>
    <row r="23995" spans="43:43" x14ac:dyDescent="0.2">
      <c r="AQ23995" s="31"/>
    </row>
    <row r="23996" spans="43:43" x14ac:dyDescent="0.2">
      <c r="AQ23996" s="31"/>
    </row>
    <row r="23997" spans="43:43" x14ac:dyDescent="0.2">
      <c r="AQ23997" s="31"/>
    </row>
    <row r="23998" spans="43:43" x14ac:dyDescent="0.2">
      <c r="AQ23998" s="31"/>
    </row>
    <row r="23999" spans="43:43" x14ac:dyDescent="0.2">
      <c r="AQ23999" s="31"/>
    </row>
    <row r="24000" spans="43:43" x14ac:dyDescent="0.2">
      <c r="AQ24000" s="31"/>
    </row>
    <row r="24001" spans="43:43" x14ac:dyDescent="0.2">
      <c r="AQ24001" s="31"/>
    </row>
    <row r="24002" spans="43:43" x14ac:dyDescent="0.2">
      <c r="AQ24002" s="31"/>
    </row>
    <row r="24003" spans="43:43" x14ac:dyDescent="0.2">
      <c r="AQ24003" s="31"/>
    </row>
    <row r="24004" spans="43:43" x14ac:dyDescent="0.2">
      <c r="AQ24004" s="31"/>
    </row>
    <row r="24005" spans="43:43" x14ac:dyDescent="0.2">
      <c r="AQ24005" s="31"/>
    </row>
    <row r="24006" spans="43:43" x14ac:dyDescent="0.2">
      <c r="AQ24006" s="31"/>
    </row>
    <row r="24007" spans="43:43" x14ac:dyDescent="0.2">
      <c r="AQ24007" s="31"/>
    </row>
    <row r="24008" spans="43:43" x14ac:dyDescent="0.2">
      <c r="AQ24008" s="31"/>
    </row>
    <row r="24009" spans="43:43" x14ac:dyDescent="0.2">
      <c r="AQ24009" s="31"/>
    </row>
    <row r="24010" spans="43:43" x14ac:dyDescent="0.2">
      <c r="AQ24010" s="31"/>
    </row>
    <row r="24011" spans="43:43" x14ac:dyDescent="0.2">
      <c r="AQ24011" s="31"/>
    </row>
    <row r="24012" spans="43:43" x14ac:dyDescent="0.2">
      <c r="AQ24012" s="31"/>
    </row>
    <row r="24013" spans="43:43" x14ac:dyDescent="0.2">
      <c r="AQ24013" s="31"/>
    </row>
    <row r="24014" spans="43:43" x14ac:dyDescent="0.2">
      <c r="AQ24014" s="31"/>
    </row>
    <row r="24015" spans="43:43" x14ac:dyDescent="0.2">
      <c r="AQ24015" s="31"/>
    </row>
    <row r="24016" spans="43:43" x14ac:dyDescent="0.2">
      <c r="AQ24016" s="31"/>
    </row>
    <row r="24017" spans="43:43" x14ac:dyDescent="0.2">
      <c r="AQ24017" s="31"/>
    </row>
    <row r="24018" spans="43:43" x14ac:dyDescent="0.2">
      <c r="AQ24018" s="31"/>
    </row>
    <row r="24019" spans="43:43" x14ac:dyDescent="0.2">
      <c r="AQ24019" s="31"/>
    </row>
    <row r="24020" spans="43:43" x14ac:dyDescent="0.2">
      <c r="AQ24020" s="31"/>
    </row>
    <row r="24021" spans="43:43" x14ac:dyDescent="0.2">
      <c r="AQ24021" s="31"/>
    </row>
    <row r="24022" spans="43:43" x14ac:dyDescent="0.2">
      <c r="AQ24022" s="31"/>
    </row>
    <row r="24023" spans="43:43" x14ac:dyDescent="0.2">
      <c r="AQ24023" s="31"/>
    </row>
    <row r="24024" spans="43:43" x14ac:dyDescent="0.2">
      <c r="AQ24024" s="31"/>
    </row>
    <row r="24025" spans="43:43" x14ac:dyDescent="0.2">
      <c r="AQ24025" s="31"/>
    </row>
    <row r="24026" spans="43:43" x14ac:dyDescent="0.2">
      <c r="AQ24026" s="31"/>
    </row>
    <row r="24027" spans="43:43" x14ac:dyDescent="0.2">
      <c r="AQ24027" s="31"/>
    </row>
    <row r="24028" spans="43:43" x14ac:dyDescent="0.2">
      <c r="AQ24028" s="31"/>
    </row>
    <row r="24029" spans="43:43" x14ac:dyDescent="0.2">
      <c r="AQ24029" s="31"/>
    </row>
    <row r="24030" spans="43:43" x14ac:dyDescent="0.2">
      <c r="AQ24030" s="31"/>
    </row>
    <row r="24031" spans="43:43" x14ac:dyDescent="0.2">
      <c r="AQ24031" s="31"/>
    </row>
    <row r="24032" spans="43:43" x14ac:dyDescent="0.2">
      <c r="AQ24032" s="31"/>
    </row>
    <row r="24033" spans="43:43" x14ac:dyDescent="0.2">
      <c r="AQ24033" s="31"/>
    </row>
    <row r="24034" spans="43:43" x14ac:dyDescent="0.2">
      <c r="AQ24034" s="31"/>
    </row>
    <row r="24035" spans="43:43" x14ac:dyDescent="0.2">
      <c r="AQ24035" s="31"/>
    </row>
    <row r="24036" spans="43:43" x14ac:dyDescent="0.2">
      <c r="AQ24036" s="31"/>
    </row>
    <row r="24037" spans="43:43" x14ac:dyDescent="0.2">
      <c r="AQ24037" s="31"/>
    </row>
    <row r="24038" spans="43:43" x14ac:dyDescent="0.2">
      <c r="AQ24038" s="31"/>
    </row>
    <row r="24039" spans="43:43" x14ac:dyDescent="0.2">
      <c r="AQ24039" s="31"/>
    </row>
    <row r="24040" spans="43:43" x14ac:dyDescent="0.2">
      <c r="AQ24040" s="31"/>
    </row>
    <row r="24041" spans="43:43" x14ac:dyDescent="0.2">
      <c r="AQ24041" s="31"/>
    </row>
    <row r="24042" spans="43:43" x14ac:dyDescent="0.2">
      <c r="AQ24042" s="31"/>
    </row>
    <row r="24043" spans="43:43" x14ac:dyDescent="0.2">
      <c r="AQ24043" s="31"/>
    </row>
    <row r="24044" spans="43:43" x14ac:dyDescent="0.2">
      <c r="AQ24044" s="31"/>
    </row>
    <row r="24045" spans="43:43" x14ac:dyDescent="0.2">
      <c r="AQ24045" s="31"/>
    </row>
    <row r="24046" spans="43:43" x14ac:dyDescent="0.2">
      <c r="AQ24046" s="31"/>
    </row>
    <row r="24047" spans="43:43" x14ac:dyDescent="0.2">
      <c r="AQ24047" s="31"/>
    </row>
    <row r="24048" spans="43:43" x14ac:dyDescent="0.2">
      <c r="AQ24048" s="31"/>
    </row>
    <row r="24049" spans="43:43" x14ac:dyDescent="0.2">
      <c r="AQ24049" s="31"/>
    </row>
    <row r="24050" spans="43:43" x14ac:dyDescent="0.2">
      <c r="AQ24050" s="31"/>
    </row>
    <row r="24051" spans="43:43" x14ac:dyDescent="0.2">
      <c r="AQ24051" s="31"/>
    </row>
    <row r="24052" spans="43:43" x14ac:dyDescent="0.2">
      <c r="AQ24052" s="31"/>
    </row>
    <row r="24053" spans="43:43" x14ac:dyDescent="0.2">
      <c r="AQ24053" s="31"/>
    </row>
    <row r="24054" spans="43:43" x14ac:dyDescent="0.2">
      <c r="AQ24054" s="31"/>
    </row>
    <row r="24055" spans="43:43" x14ac:dyDescent="0.2">
      <c r="AQ24055" s="31"/>
    </row>
    <row r="24056" spans="43:43" x14ac:dyDescent="0.2">
      <c r="AQ24056" s="31"/>
    </row>
    <row r="24057" spans="43:43" x14ac:dyDescent="0.2">
      <c r="AQ24057" s="31"/>
    </row>
    <row r="24058" spans="43:43" x14ac:dyDescent="0.2">
      <c r="AQ24058" s="31"/>
    </row>
    <row r="24059" spans="43:43" x14ac:dyDescent="0.2">
      <c r="AQ24059" s="31"/>
    </row>
    <row r="24060" spans="43:43" x14ac:dyDescent="0.2">
      <c r="AQ24060" s="31"/>
    </row>
    <row r="24061" spans="43:43" x14ac:dyDescent="0.2">
      <c r="AQ24061" s="31"/>
    </row>
    <row r="24062" spans="43:43" x14ac:dyDescent="0.2">
      <c r="AQ24062" s="31"/>
    </row>
    <row r="24063" spans="43:43" x14ac:dyDescent="0.2">
      <c r="AQ24063" s="31"/>
    </row>
    <row r="24064" spans="43:43" x14ac:dyDescent="0.2">
      <c r="AQ24064" s="31"/>
    </row>
    <row r="24065" spans="43:43" x14ac:dyDescent="0.2">
      <c r="AQ24065" s="31"/>
    </row>
    <row r="24066" spans="43:43" x14ac:dyDescent="0.2">
      <c r="AQ24066" s="31"/>
    </row>
    <row r="24067" spans="43:43" x14ac:dyDescent="0.2">
      <c r="AQ24067" s="31"/>
    </row>
    <row r="24068" spans="43:43" x14ac:dyDescent="0.2">
      <c r="AQ24068" s="31"/>
    </row>
    <row r="24069" spans="43:43" x14ac:dyDescent="0.2">
      <c r="AQ24069" s="31"/>
    </row>
    <row r="24070" spans="43:43" x14ac:dyDescent="0.2">
      <c r="AQ24070" s="31"/>
    </row>
    <row r="24071" spans="43:43" x14ac:dyDescent="0.2">
      <c r="AQ24071" s="31"/>
    </row>
    <row r="24072" spans="43:43" x14ac:dyDescent="0.2">
      <c r="AQ24072" s="31"/>
    </row>
    <row r="24073" spans="43:43" x14ac:dyDescent="0.2">
      <c r="AQ24073" s="31"/>
    </row>
    <row r="24074" spans="43:43" x14ac:dyDescent="0.2">
      <c r="AQ24074" s="31"/>
    </row>
    <row r="24075" spans="43:43" x14ac:dyDescent="0.2">
      <c r="AQ24075" s="31"/>
    </row>
    <row r="24076" spans="43:43" x14ac:dyDescent="0.2">
      <c r="AQ24076" s="31"/>
    </row>
    <row r="24077" spans="43:43" x14ac:dyDescent="0.2">
      <c r="AQ24077" s="31"/>
    </row>
    <row r="24078" spans="43:43" x14ac:dyDescent="0.2">
      <c r="AQ24078" s="31"/>
    </row>
    <row r="24079" spans="43:43" x14ac:dyDescent="0.2">
      <c r="AQ24079" s="31"/>
    </row>
    <row r="24080" spans="43:43" x14ac:dyDescent="0.2">
      <c r="AQ24080" s="31"/>
    </row>
    <row r="24081" spans="43:43" x14ac:dyDescent="0.2">
      <c r="AQ24081" s="31"/>
    </row>
    <row r="24082" spans="43:43" x14ac:dyDescent="0.2">
      <c r="AQ24082" s="31"/>
    </row>
    <row r="24083" spans="43:43" x14ac:dyDescent="0.2">
      <c r="AQ24083" s="31"/>
    </row>
    <row r="24084" spans="43:43" x14ac:dyDescent="0.2">
      <c r="AQ24084" s="31"/>
    </row>
    <row r="24085" spans="43:43" x14ac:dyDescent="0.2">
      <c r="AQ24085" s="31"/>
    </row>
    <row r="24086" spans="43:43" x14ac:dyDescent="0.2">
      <c r="AQ24086" s="31"/>
    </row>
    <row r="24087" spans="43:43" x14ac:dyDescent="0.2">
      <c r="AQ24087" s="31"/>
    </row>
    <row r="24088" spans="43:43" x14ac:dyDescent="0.2">
      <c r="AQ24088" s="31"/>
    </row>
    <row r="24089" spans="43:43" x14ac:dyDescent="0.2">
      <c r="AQ24089" s="31"/>
    </row>
    <row r="24090" spans="43:43" x14ac:dyDescent="0.2">
      <c r="AQ24090" s="31"/>
    </row>
    <row r="24091" spans="43:43" x14ac:dyDescent="0.2">
      <c r="AQ24091" s="31"/>
    </row>
    <row r="24092" spans="43:43" x14ac:dyDescent="0.2">
      <c r="AQ24092" s="31"/>
    </row>
    <row r="24093" spans="43:43" x14ac:dyDescent="0.2">
      <c r="AQ24093" s="31"/>
    </row>
    <row r="24094" spans="43:43" x14ac:dyDescent="0.2">
      <c r="AQ24094" s="31"/>
    </row>
    <row r="24095" spans="43:43" x14ac:dyDescent="0.2">
      <c r="AQ24095" s="31"/>
    </row>
    <row r="24096" spans="43:43" x14ac:dyDescent="0.2">
      <c r="AQ24096" s="31"/>
    </row>
    <row r="24097" spans="43:43" x14ac:dyDescent="0.2">
      <c r="AQ24097" s="31"/>
    </row>
    <row r="24098" spans="43:43" x14ac:dyDescent="0.2">
      <c r="AQ24098" s="31"/>
    </row>
    <row r="24099" spans="43:43" x14ac:dyDescent="0.2">
      <c r="AQ24099" s="31"/>
    </row>
    <row r="24100" spans="43:43" x14ac:dyDescent="0.2">
      <c r="AQ24100" s="31"/>
    </row>
    <row r="24101" spans="43:43" x14ac:dyDescent="0.2">
      <c r="AQ24101" s="31"/>
    </row>
    <row r="24102" spans="43:43" x14ac:dyDescent="0.2">
      <c r="AQ24102" s="31"/>
    </row>
    <row r="24103" spans="43:43" x14ac:dyDescent="0.2">
      <c r="AQ24103" s="31"/>
    </row>
    <row r="24104" spans="43:43" x14ac:dyDescent="0.2">
      <c r="AQ24104" s="31"/>
    </row>
    <row r="24105" spans="43:43" x14ac:dyDescent="0.2">
      <c r="AQ24105" s="31"/>
    </row>
    <row r="24106" spans="43:43" x14ac:dyDescent="0.2">
      <c r="AQ24106" s="31"/>
    </row>
    <row r="24107" spans="43:43" x14ac:dyDescent="0.2">
      <c r="AQ24107" s="31"/>
    </row>
    <row r="24108" spans="43:43" x14ac:dyDescent="0.2">
      <c r="AQ24108" s="31"/>
    </row>
    <row r="24109" spans="43:43" x14ac:dyDescent="0.2">
      <c r="AQ24109" s="31"/>
    </row>
    <row r="24110" spans="43:43" x14ac:dyDescent="0.2">
      <c r="AQ24110" s="31"/>
    </row>
    <row r="24111" spans="43:43" x14ac:dyDescent="0.2">
      <c r="AQ24111" s="31"/>
    </row>
    <row r="24112" spans="43:43" x14ac:dyDescent="0.2">
      <c r="AQ24112" s="31"/>
    </row>
    <row r="24113" spans="43:43" x14ac:dyDescent="0.2">
      <c r="AQ24113" s="31"/>
    </row>
    <row r="24114" spans="43:43" x14ac:dyDescent="0.2">
      <c r="AQ24114" s="31"/>
    </row>
    <row r="24115" spans="43:43" x14ac:dyDescent="0.2">
      <c r="AQ24115" s="31"/>
    </row>
    <row r="24116" spans="43:43" x14ac:dyDescent="0.2">
      <c r="AQ24116" s="31"/>
    </row>
    <row r="24117" spans="43:43" x14ac:dyDescent="0.2">
      <c r="AQ24117" s="31"/>
    </row>
    <row r="24118" spans="43:43" x14ac:dyDescent="0.2">
      <c r="AQ24118" s="31"/>
    </row>
    <row r="24119" spans="43:43" x14ac:dyDescent="0.2">
      <c r="AQ24119" s="31"/>
    </row>
    <row r="24120" spans="43:43" x14ac:dyDescent="0.2">
      <c r="AQ24120" s="31"/>
    </row>
    <row r="24121" spans="43:43" x14ac:dyDescent="0.2">
      <c r="AQ24121" s="31"/>
    </row>
    <row r="24122" spans="43:43" x14ac:dyDescent="0.2">
      <c r="AQ24122" s="31"/>
    </row>
    <row r="24123" spans="43:43" x14ac:dyDescent="0.2">
      <c r="AQ24123" s="31"/>
    </row>
    <row r="24124" spans="43:43" x14ac:dyDescent="0.2">
      <c r="AQ24124" s="31"/>
    </row>
    <row r="24125" spans="43:43" x14ac:dyDescent="0.2">
      <c r="AQ24125" s="31"/>
    </row>
    <row r="24126" spans="43:43" x14ac:dyDescent="0.2">
      <c r="AQ24126" s="31"/>
    </row>
    <row r="24127" spans="43:43" x14ac:dyDescent="0.2">
      <c r="AQ24127" s="31"/>
    </row>
    <row r="24128" spans="43:43" x14ac:dyDescent="0.2">
      <c r="AQ24128" s="31"/>
    </row>
    <row r="24129" spans="43:43" x14ac:dyDescent="0.2">
      <c r="AQ24129" s="31"/>
    </row>
    <row r="24130" spans="43:43" x14ac:dyDescent="0.2">
      <c r="AQ24130" s="31"/>
    </row>
    <row r="24131" spans="43:43" x14ac:dyDescent="0.2">
      <c r="AQ24131" s="31"/>
    </row>
    <row r="24132" spans="43:43" x14ac:dyDescent="0.2">
      <c r="AQ24132" s="31"/>
    </row>
    <row r="24133" spans="43:43" x14ac:dyDescent="0.2">
      <c r="AQ24133" s="31"/>
    </row>
    <row r="24134" spans="43:43" x14ac:dyDescent="0.2">
      <c r="AQ24134" s="31"/>
    </row>
    <row r="24135" spans="43:43" x14ac:dyDescent="0.2">
      <c r="AQ24135" s="31"/>
    </row>
    <row r="24136" spans="43:43" x14ac:dyDescent="0.2">
      <c r="AQ24136" s="31"/>
    </row>
    <row r="24137" spans="43:43" x14ac:dyDescent="0.2">
      <c r="AQ24137" s="31"/>
    </row>
    <row r="24138" spans="43:43" x14ac:dyDescent="0.2">
      <c r="AQ24138" s="31"/>
    </row>
    <row r="24139" spans="43:43" x14ac:dyDescent="0.2">
      <c r="AQ24139" s="31"/>
    </row>
    <row r="24140" spans="43:43" x14ac:dyDescent="0.2">
      <c r="AQ24140" s="31"/>
    </row>
    <row r="24141" spans="43:43" x14ac:dyDescent="0.2">
      <c r="AQ24141" s="31"/>
    </row>
    <row r="24142" spans="43:43" x14ac:dyDescent="0.2">
      <c r="AQ24142" s="31"/>
    </row>
    <row r="24143" spans="43:43" x14ac:dyDescent="0.2">
      <c r="AQ24143" s="31"/>
    </row>
    <row r="24144" spans="43:43" x14ac:dyDescent="0.2">
      <c r="AQ24144" s="31"/>
    </row>
    <row r="24145" spans="43:43" x14ac:dyDescent="0.2">
      <c r="AQ24145" s="31"/>
    </row>
    <row r="24146" spans="43:43" x14ac:dyDescent="0.2">
      <c r="AQ24146" s="31"/>
    </row>
    <row r="24147" spans="43:43" x14ac:dyDescent="0.2">
      <c r="AQ24147" s="31"/>
    </row>
    <row r="24148" spans="43:43" x14ac:dyDescent="0.2">
      <c r="AQ24148" s="31"/>
    </row>
    <row r="24149" spans="43:43" x14ac:dyDescent="0.2">
      <c r="AQ24149" s="31"/>
    </row>
    <row r="24150" spans="43:43" x14ac:dyDescent="0.2">
      <c r="AQ24150" s="31"/>
    </row>
    <row r="24151" spans="43:43" x14ac:dyDescent="0.2">
      <c r="AQ24151" s="31"/>
    </row>
    <row r="24152" spans="43:43" x14ac:dyDescent="0.2">
      <c r="AQ24152" s="31"/>
    </row>
    <row r="24153" spans="43:43" x14ac:dyDescent="0.2">
      <c r="AQ24153" s="31"/>
    </row>
    <row r="24154" spans="43:43" x14ac:dyDescent="0.2">
      <c r="AQ24154" s="31"/>
    </row>
    <row r="24155" spans="43:43" x14ac:dyDescent="0.2">
      <c r="AQ24155" s="31"/>
    </row>
    <row r="24156" spans="43:43" x14ac:dyDescent="0.2">
      <c r="AQ24156" s="31"/>
    </row>
    <row r="24157" spans="43:43" x14ac:dyDescent="0.2">
      <c r="AQ24157" s="31"/>
    </row>
    <row r="24158" spans="43:43" x14ac:dyDescent="0.2">
      <c r="AQ24158" s="31"/>
    </row>
    <row r="24159" spans="43:43" x14ac:dyDescent="0.2">
      <c r="AQ24159" s="31"/>
    </row>
    <row r="24160" spans="43:43" x14ac:dyDescent="0.2">
      <c r="AQ24160" s="31"/>
    </row>
    <row r="24161" spans="43:43" x14ac:dyDescent="0.2">
      <c r="AQ24161" s="31"/>
    </row>
    <row r="24162" spans="43:43" x14ac:dyDescent="0.2">
      <c r="AQ24162" s="31"/>
    </row>
    <row r="24163" spans="43:43" x14ac:dyDescent="0.2">
      <c r="AQ24163" s="31"/>
    </row>
    <row r="24164" spans="43:43" x14ac:dyDescent="0.2">
      <c r="AQ24164" s="31"/>
    </row>
    <row r="24165" spans="43:43" x14ac:dyDescent="0.2">
      <c r="AQ24165" s="31"/>
    </row>
    <row r="24166" spans="43:43" x14ac:dyDescent="0.2">
      <c r="AQ24166" s="31"/>
    </row>
    <row r="24167" spans="43:43" x14ac:dyDescent="0.2">
      <c r="AQ24167" s="31"/>
    </row>
    <row r="24168" spans="43:43" x14ac:dyDescent="0.2">
      <c r="AQ24168" s="31"/>
    </row>
    <row r="24169" spans="43:43" x14ac:dyDescent="0.2">
      <c r="AQ24169" s="31"/>
    </row>
    <row r="24170" spans="43:43" x14ac:dyDescent="0.2">
      <c r="AQ24170" s="31"/>
    </row>
    <row r="24171" spans="43:43" x14ac:dyDescent="0.2">
      <c r="AQ24171" s="31"/>
    </row>
    <row r="24172" spans="43:43" x14ac:dyDescent="0.2">
      <c r="AQ24172" s="31"/>
    </row>
    <row r="24173" spans="43:43" x14ac:dyDescent="0.2">
      <c r="AQ24173" s="31"/>
    </row>
    <row r="24174" spans="43:43" x14ac:dyDescent="0.2">
      <c r="AQ24174" s="31"/>
    </row>
    <row r="24175" spans="43:43" x14ac:dyDescent="0.2">
      <c r="AQ24175" s="31"/>
    </row>
    <row r="24176" spans="43:43" x14ac:dyDescent="0.2">
      <c r="AQ24176" s="31"/>
    </row>
    <row r="24177" spans="43:43" x14ac:dyDescent="0.2">
      <c r="AQ24177" s="31"/>
    </row>
    <row r="24178" spans="43:43" x14ac:dyDescent="0.2">
      <c r="AQ24178" s="31"/>
    </row>
    <row r="24179" spans="43:43" x14ac:dyDescent="0.2">
      <c r="AQ24179" s="31"/>
    </row>
    <row r="24180" spans="43:43" x14ac:dyDescent="0.2">
      <c r="AQ24180" s="31"/>
    </row>
    <row r="24181" spans="43:43" x14ac:dyDescent="0.2">
      <c r="AQ24181" s="31"/>
    </row>
    <row r="24182" spans="43:43" x14ac:dyDescent="0.2">
      <c r="AQ24182" s="31"/>
    </row>
    <row r="24183" spans="43:43" x14ac:dyDescent="0.2">
      <c r="AQ24183" s="31"/>
    </row>
    <row r="24184" spans="43:43" x14ac:dyDescent="0.2">
      <c r="AQ24184" s="31"/>
    </row>
    <row r="24185" spans="43:43" x14ac:dyDescent="0.2">
      <c r="AQ24185" s="31"/>
    </row>
    <row r="24186" spans="43:43" x14ac:dyDescent="0.2">
      <c r="AQ24186" s="31"/>
    </row>
    <row r="24187" spans="43:43" x14ac:dyDescent="0.2">
      <c r="AQ24187" s="31"/>
    </row>
    <row r="24188" spans="43:43" x14ac:dyDescent="0.2">
      <c r="AQ24188" s="31"/>
    </row>
    <row r="24189" spans="43:43" x14ac:dyDescent="0.2">
      <c r="AQ24189" s="31"/>
    </row>
    <row r="24190" spans="43:43" x14ac:dyDescent="0.2">
      <c r="AQ24190" s="31"/>
    </row>
    <row r="24191" spans="43:43" x14ac:dyDescent="0.2">
      <c r="AQ24191" s="31"/>
    </row>
    <row r="24192" spans="43:43" x14ac:dyDescent="0.2">
      <c r="AQ24192" s="31"/>
    </row>
    <row r="24193" spans="43:43" x14ac:dyDescent="0.2">
      <c r="AQ24193" s="31"/>
    </row>
    <row r="24194" spans="43:43" x14ac:dyDescent="0.2">
      <c r="AQ24194" s="31"/>
    </row>
    <row r="24195" spans="43:43" x14ac:dyDescent="0.2">
      <c r="AQ24195" s="31"/>
    </row>
    <row r="24196" spans="43:43" x14ac:dyDescent="0.2">
      <c r="AQ24196" s="31"/>
    </row>
    <row r="24197" spans="43:43" x14ac:dyDescent="0.2">
      <c r="AQ24197" s="31"/>
    </row>
    <row r="24198" spans="43:43" x14ac:dyDescent="0.2">
      <c r="AQ24198" s="31"/>
    </row>
    <row r="24199" spans="43:43" x14ac:dyDescent="0.2">
      <c r="AQ24199" s="31"/>
    </row>
    <row r="24200" spans="43:43" x14ac:dyDescent="0.2">
      <c r="AQ24200" s="31"/>
    </row>
    <row r="24201" spans="43:43" x14ac:dyDescent="0.2">
      <c r="AQ24201" s="31"/>
    </row>
    <row r="24202" spans="43:43" x14ac:dyDescent="0.2">
      <c r="AQ24202" s="31"/>
    </row>
    <row r="24203" spans="43:43" x14ac:dyDescent="0.2">
      <c r="AQ24203" s="31"/>
    </row>
    <row r="24204" spans="43:43" x14ac:dyDescent="0.2">
      <c r="AQ24204" s="31"/>
    </row>
    <row r="24205" spans="43:43" x14ac:dyDescent="0.2">
      <c r="AQ24205" s="31"/>
    </row>
    <row r="24206" spans="43:43" x14ac:dyDescent="0.2">
      <c r="AQ24206" s="31"/>
    </row>
    <row r="24207" spans="43:43" x14ac:dyDescent="0.2">
      <c r="AQ24207" s="31"/>
    </row>
    <row r="24208" spans="43:43" x14ac:dyDescent="0.2">
      <c r="AQ24208" s="31"/>
    </row>
    <row r="24209" spans="43:43" x14ac:dyDescent="0.2">
      <c r="AQ24209" s="31"/>
    </row>
    <row r="24210" spans="43:43" x14ac:dyDescent="0.2">
      <c r="AQ24210" s="31"/>
    </row>
    <row r="24211" spans="43:43" x14ac:dyDescent="0.2">
      <c r="AQ24211" s="31"/>
    </row>
    <row r="24212" spans="43:43" x14ac:dyDescent="0.2">
      <c r="AQ24212" s="31"/>
    </row>
    <row r="24213" spans="43:43" x14ac:dyDescent="0.2">
      <c r="AQ24213" s="31"/>
    </row>
    <row r="24214" spans="43:43" x14ac:dyDescent="0.2">
      <c r="AQ24214" s="31"/>
    </row>
    <row r="24215" spans="43:43" x14ac:dyDescent="0.2">
      <c r="AQ24215" s="31"/>
    </row>
    <row r="24216" spans="43:43" x14ac:dyDescent="0.2">
      <c r="AQ24216" s="31"/>
    </row>
    <row r="24217" spans="43:43" x14ac:dyDescent="0.2">
      <c r="AQ24217" s="31"/>
    </row>
    <row r="24218" spans="43:43" x14ac:dyDescent="0.2">
      <c r="AQ24218" s="31"/>
    </row>
    <row r="24219" spans="43:43" x14ac:dyDescent="0.2">
      <c r="AQ24219" s="31"/>
    </row>
    <row r="24220" spans="43:43" x14ac:dyDescent="0.2">
      <c r="AQ24220" s="31"/>
    </row>
    <row r="24221" spans="43:43" x14ac:dyDescent="0.2">
      <c r="AQ24221" s="31"/>
    </row>
    <row r="24222" spans="43:43" x14ac:dyDescent="0.2">
      <c r="AQ24222" s="31"/>
    </row>
    <row r="24223" spans="43:43" x14ac:dyDescent="0.2">
      <c r="AQ24223" s="31"/>
    </row>
    <row r="24224" spans="43:43" x14ac:dyDescent="0.2">
      <c r="AQ24224" s="31"/>
    </row>
    <row r="24225" spans="43:43" x14ac:dyDescent="0.2">
      <c r="AQ24225" s="31"/>
    </row>
    <row r="24226" spans="43:43" x14ac:dyDescent="0.2">
      <c r="AQ24226" s="31"/>
    </row>
    <row r="24227" spans="43:43" x14ac:dyDescent="0.2">
      <c r="AQ24227" s="31"/>
    </row>
    <row r="24228" spans="43:43" x14ac:dyDescent="0.2">
      <c r="AQ24228" s="31"/>
    </row>
    <row r="24229" spans="43:43" x14ac:dyDescent="0.2">
      <c r="AQ24229" s="31"/>
    </row>
    <row r="24230" spans="43:43" x14ac:dyDescent="0.2">
      <c r="AQ24230" s="31"/>
    </row>
    <row r="24231" spans="43:43" x14ac:dyDescent="0.2">
      <c r="AQ24231" s="31"/>
    </row>
    <row r="24232" spans="43:43" x14ac:dyDescent="0.2">
      <c r="AQ24232" s="31"/>
    </row>
    <row r="24233" spans="43:43" x14ac:dyDescent="0.2">
      <c r="AQ24233" s="31"/>
    </row>
    <row r="24234" spans="43:43" x14ac:dyDescent="0.2">
      <c r="AQ24234" s="31"/>
    </row>
    <row r="24235" spans="43:43" x14ac:dyDescent="0.2">
      <c r="AQ24235" s="31"/>
    </row>
    <row r="24236" spans="43:43" x14ac:dyDescent="0.2">
      <c r="AQ24236" s="31"/>
    </row>
    <row r="24237" spans="43:43" x14ac:dyDescent="0.2">
      <c r="AQ24237" s="31"/>
    </row>
    <row r="24238" spans="43:43" x14ac:dyDescent="0.2">
      <c r="AQ24238" s="31"/>
    </row>
    <row r="24239" spans="43:43" x14ac:dyDescent="0.2">
      <c r="AQ24239" s="31"/>
    </row>
    <row r="24240" spans="43:43" x14ac:dyDescent="0.2">
      <c r="AQ24240" s="31"/>
    </row>
    <row r="24241" spans="43:43" x14ac:dyDescent="0.2">
      <c r="AQ24241" s="31"/>
    </row>
    <row r="24242" spans="43:43" x14ac:dyDescent="0.2">
      <c r="AQ24242" s="31"/>
    </row>
    <row r="24243" spans="43:43" x14ac:dyDescent="0.2">
      <c r="AQ24243" s="31"/>
    </row>
    <row r="24244" spans="43:43" x14ac:dyDescent="0.2">
      <c r="AQ24244" s="31"/>
    </row>
    <row r="24245" spans="43:43" x14ac:dyDescent="0.2">
      <c r="AQ24245" s="31"/>
    </row>
    <row r="24246" spans="43:43" x14ac:dyDescent="0.2">
      <c r="AQ24246" s="31"/>
    </row>
    <row r="24247" spans="43:43" x14ac:dyDescent="0.2">
      <c r="AQ24247" s="31"/>
    </row>
    <row r="24248" spans="43:43" x14ac:dyDescent="0.2">
      <c r="AQ24248" s="31"/>
    </row>
    <row r="24249" spans="43:43" x14ac:dyDescent="0.2">
      <c r="AQ24249" s="31"/>
    </row>
    <row r="24250" spans="43:43" x14ac:dyDescent="0.2">
      <c r="AQ24250" s="31"/>
    </row>
    <row r="24251" spans="43:43" x14ac:dyDescent="0.2">
      <c r="AQ24251" s="31"/>
    </row>
    <row r="24252" spans="43:43" x14ac:dyDescent="0.2">
      <c r="AQ24252" s="31"/>
    </row>
    <row r="24253" spans="43:43" x14ac:dyDescent="0.2">
      <c r="AQ24253" s="31"/>
    </row>
    <row r="24254" spans="43:43" x14ac:dyDescent="0.2">
      <c r="AQ24254" s="31"/>
    </row>
    <row r="24255" spans="43:43" x14ac:dyDescent="0.2">
      <c r="AQ24255" s="31"/>
    </row>
    <row r="24256" spans="43:43" x14ac:dyDescent="0.2">
      <c r="AQ24256" s="31"/>
    </row>
    <row r="24257" spans="43:43" x14ac:dyDescent="0.2">
      <c r="AQ24257" s="31"/>
    </row>
    <row r="24258" spans="43:43" x14ac:dyDescent="0.2">
      <c r="AQ24258" s="31"/>
    </row>
    <row r="24259" spans="43:43" x14ac:dyDescent="0.2">
      <c r="AQ24259" s="31"/>
    </row>
    <row r="24260" spans="43:43" x14ac:dyDescent="0.2">
      <c r="AQ24260" s="31"/>
    </row>
    <row r="24261" spans="43:43" x14ac:dyDescent="0.2">
      <c r="AQ24261" s="31"/>
    </row>
    <row r="24262" spans="43:43" x14ac:dyDescent="0.2">
      <c r="AQ24262" s="31"/>
    </row>
    <row r="24263" spans="43:43" x14ac:dyDescent="0.2">
      <c r="AQ24263" s="31"/>
    </row>
    <row r="24264" spans="43:43" x14ac:dyDescent="0.2">
      <c r="AQ24264" s="31"/>
    </row>
    <row r="24265" spans="43:43" x14ac:dyDescent="0.2">
      <c r="AQ24265" s="31"/>
    </row>
    <row r="24266" spans="43:43" x14ac:dyDescent="0.2">
      <c r="AQ24266" s="31"/>
    </row>
    <row r="24267" spans="43:43" x14ac:dyDescent="0.2">
      <c r="AQ24267" s="31"/>
    </row>
    <row r="24268" spans="43:43" x14ac:dyDescent="0.2">
      <c r="AQ24268" s="31"/>
    </row>
    <row r="24269" spans="43:43" x14ac:dyDescent="0.2">
      <c r="AQ24269" s="31"/>
    </row>
    <row r="24270" spans="43:43" x14ac:dyDescent="0.2">
      <c r="AQ24270" s="31"/>
    </row>
    <row r="24271" spans="43:43" x14ac:dyDescent="0.2">
      <c r="AQ24271" s="31"/>
    </row>
    <row r="24272" spans="43:43" x14ac:dyDescent="0.2">
      <c r="AQ24272" s="31"/>
    </row>
    <row r="24273" spans="43:43" x14ac:dyDescent="0.2">
      <c r="AQ24273" s="31"/>
    </row>
    <row r="24274" spans="43:43" x14ac:dyDescent="0.2">
      <c r="AQ24274" s="31"/>
    </row>
    <row r="24275" spans="43:43" x14ac:dyDescent="0.2">
      <c r="AQ24275" s="31"/>
    </row>
    <row r="24276" spans="43:43" x14ac:dyDescent="0.2">
      <c r="AQ24276" s="31"/>
    </row>
    <row r="24277" spans="43:43" x14ac:dyDescent="0.2">
      <c r="AQ24277" s="31"/>
    </row>
    <row r="24278" spans="43:43" x14ac:dyDescent="0.2">
      <c r="AQ24278" s="31"/>
    </row>
    <row r="24279" spans="43:43" x14ac:dyDescent="0.2">
      <c r="AQ24279" s="31"/>
    </row>
    <row r="24280" spans="43:43" x14ac:dyDescent="0.2">
      <c r="AQ24280" s="31"/>
    </row>
    <row r="24281" spans="43:43" x14ac:dyDescent="0.2">
      <c r="AQ24281" s="31"/>
    </row>
    <row r="24282" spans="43:43" x14ac:dyDescent="0.2">
      <c r="AQ24282" s="31"/>
    </row>
    <row r="24283" spans="43:43" x14ac:dyDescent="0.2">
      <c r="AQ24283" s="31"/>
    </row>
    <row r="24284" spans="43:43" x14ac:dyDescent="0.2">
      <c r="AQ24284" s="31"/>
    </row>
    <row r="24285" spans="43:43" x14ac:dyDescent="0.2">
      <c r="AQ24285" s="31"/>
    </row>
    <row r="24286" spans="43:43" x14ac:dyDescent="0.2">
      <c r="AQ24286" s="31"/>
    </row>
    <row r="24287" spans="43:43" x14ac:dyDescent="0.2">
      <c r="AQ24287" s="31"/>
    </row>
    <row r="24288" spans="43:43" x14ac:dyDescent="0.2">
      <c r="AQ24288" s="31"/>
    </row>
    <row r="24289" spans="43:43" x14ac:dyDescent="0.2">
      <c r="AQ24289" s="31"/>
    </row>
    <row r="24290" spans="43:43" x14ac:dyDescent="0.2">
      <c r="AQ24290" s="31"/>
    </row>
    <row r="24291" spans="43:43" x14ac:dyDescent="0.2">
      <c r="AQ24291" s="31"/>
    </row>
    <row r="24292" spans="43:43" x14ac:dyDescent="0.2">
      <c r="AQ24292" s="31"/>
    </row>
    <row r="24293" spans="43:43" x14ac:dyDescent="0.2">
      <c r="AQ24293" s="31"/>
    </row>
    <row r="24294" spans="43:43" x14ac:dyDescent="0.2">
      <c r="AQ24294" s="31"/>
    </row>
    <row r="24295" spans="43:43" x14ac:dyDescent="0.2">
      <c r="AQ24295" s="31"/>
    </row>
    <row r="24296" spans="43:43" x14ac:dyDescent="0.2">
      <c r="AQ24296" s="31"/>
    </row>
    <row r="24297" spans="43:43" x14ac:dyDescent="0.2">
      <c r="AQ24297" s="31"/>
    </row>
    <row r="24298" spans="43:43" x14ac:dyDescent="0.2">
      <c r="AQ24298" s="31"/>
    </row>
    <row r="24299" spans="43:43" x14ac:dyDescent="0.2">
      <c r="AQ24299" s="31"/>
    </row>
    <row r="24300" spans="43:43" x14ac:dyDescent="0.2">
      <c r="AQ24300" s="31"/>
    </row>
    <row r="24301" spans="43:43" x14ac:dyDescent="0.2">
      <c r="AQ24301" s="31"/>
    </row>
    <row r="24302" spans="43:43" x14ac:dyDescent="0.2">
      <c r="AQ24302" s="31"/>
    </row>
    <row r="24303" spans="43:43" x14ac:dyDescent="0.2">
      <c r="AQ24303" s="31"/>
    </row>
    <row r="24304" spans="43:43" x14ac:dyDescent="0.2">
      <c r="AQ24304" s="31"/>
    </row>
    <row r="24305" spans="43:43" x14ac:dyDescent="0.2">
      <c r="AQ24305" s="31"/>
    </row>
    <row r="24306" spans="43:43" x14ac:dyDescent="0.2">
      <c r="AQ24306" s="31"/>
    </row>
    <row r="24307" spans="43:43" x14ac:dyDescent="0.2">
      <c r="AQ24307" s="31"/>
    </row>
    <row r="24308" spans="43:43" x14ac:dyDescent="0.2">
      <c r="AQ24308" s="31"/>
    </row>
    <row r="24309" spans="43:43" x14ac:dyDescent="0.2">
      <c r="AQ24309" s="31"/>
    </row>
    <row r="24310" spans="43:43" x14ac:dyDescent="0.2">
      <c r="AQ24310" s="31"/>
    </row>
    <row r="24311" spans="43:43" x14ac:dyDescent="0.2">
      <c r="AQ24311" s="31"/>
    </row>
    <row r="24312" spans="43:43" x14ac:dyDescent="0.2">
      <c r="AQ24312" s="31"/>
    </row>
    <row r="24313" spans="43:43" x14ac:dyDescent="0.2">
      <c r="AQ24313" s="31"/>
    </row>
    <row r="24314" spans="43:43" x14ac:dyDescent="0.2">
      <c r="AQ24314" s="31"/>
    </row>
    <row r="24315" spans="43:43" x14ac:dyDescent="0.2">
      <c r="AQ24315" s="31"/>
    </row>
    <row r="24316" spans="43:43" x14ac:dyDescent="0.2">
      <c r="AQ24316" s="31"/>
    </row>
    <row r="24317" spans="43:43" x14ac:dyDescent="0.2">
      <c r="AQ24317" s="31"/>
    </row>
    <row r="24318" spans="43:43" x14ac:dyDescent="0.2">
      <c r="AQ24318" s="31"/>
    </row>
    <row r="24319" spans="43:43" x14ac:dyDescent="0.2">
      <c r="AQ24319" s="31"/>
    </row>
    <row r="24320" spans="43:43" x14ac:dyDescent="0.2">
      <c r="AQ24320" s="31"/>
    </row>
    <row r="24321" spans="43:43" x14ac:dyDescent="0.2">
      <c r="AQ24321" s="31"/>
    </row>
    <row r="24322" spans="43:43" x14ac:dyDescent="0.2">
      <c r="AQ24322" s="31"/>
    </row>
    <row r="24323" spans="43:43" x14ac:dyDescent="0.2">
      <c r="AQ24323" s="31"/>
    </row>
    <row r="24324" spans="43:43" x14ac:dyDescent="0.2">
      <c r="AQ24324" s="31"/>
    </row>
    <row r="24325" spans="43:43" x14ac:dyDescent="0.2">
      <c r="AQ24325" s="31"/>
    </row>
    <row r="24326" spans="43:43" x14ac:dyDescent="0.2">
      <c r="AQ24326" s="31"/>
    </row>
    <row r="24327" spans="43:43" x14ac:dyDescent="0.2">
      <c r="AQ24327" s="31"/>
    </row>
    <row r="24328" spans="43:43" x14ac:dyDescent="0.2">
      <c r="AQ24328" s="31"/>
    </row>
    <row r="24329" spans="43:43" x14ac:dyDescent="0.2">
      <c r="AQ24329" s="31"/>
    </row>
    <row r="24330" spans="43:43" x14ac:dyDescent="0.2">
      <c r="AQ24330" s="31"/>
    </row>
    <row r="24331" spans="43:43" x14ac:dyDescent="0.2">
      <c r="AQ24331" s="31"/>
    </row>
    <row r="24332" spans="43:43" x14ac:dyDescent="0.2">
      <c r="AQ24332" s="31"/>
    </row>
    <row r="24333" spans="43:43" x14ac:dyDescent="0.2">
      <c r="AQ24333" s="31"/>
    </row>
    <row r="24334" spans="43:43" x14ac:dyDescent="0.2">
      <c r="AQ24334" s="31"/>
    </row>
    <row r="24335" spans="43:43" x14ac:dyDescent="0.2">
      <c r="AQ24335" s="31"/>
    </row>
    <row r="24336" spans="43:43" x14ac:dyDescent="0.2">
      <c r="AQ24336" s="31"/>
    </row>
    <row r="24337" spans="43:43" x14ac:dyDescent="0.2">
      <c r="AQ24337" s="31"/>
    </row>
    <row r="24338" spans="43:43" x14ac:dyDescent="0.2">
      <c r="AQ24338" s="31"/>
    </row>
    <row r="24339" spans="43:43" x14ac:dyDescent="0.2">
      <c r="AQ24339" s="31"/>
    </row>
    <row r="24340" spans="43:43" x14ac:dyDescent="0.2">
      <c r="AQ24340" s="31"/>
    </row>
    <row r="24341" spans="43:43" x14ac:dyDescent="0.2">
      <c r="AQ24341" s="31"/>
    </row>
    <row r="24342" spans="43:43" x14ac:dyDescent="0.2">
      <c r="AQ24342" s="31"/>
    </row>
    <row r="24343" spans="43:43" x14ac:dyDescent="0.2">
      <c r="AQ24343" s="31"/>
    </row>
    <row r="24344" spans="43:43" x14ac:dyDescent="0.2">
      <c r="AQ24344" s="31"/>
    </row>
    <row r="24345" spans="43:43" x14ac:dyDescent="0.2">
      <c r="AQ24345" s="31"/>
    </row>
    <row r="24346" spans="43:43" x14ac:dyDescent="0.2">
      <c r="AQ24346" s="31"/>
    </row>
    <row r="24347" spans="43:43" x14ac:dyDescent="0.2">
      <c r="AQ24347" s="31"/>
    </row>
    <row r="24348" spans="43:43" x14ac:dyDescent="0.2">
      <c r="AQ24348" s="31"/>
    </row>
    <row r="24349" spans="43:43" x14ac:dyDescent="0.2">
      <c r="AQ24349" s="31"/>
    </row>
    <row r="24350" spans="43:43" x14ac:dyDescent="0.2">
      <c r="AQ24350" s="31"/>
    </row>
    <row r="24351" spans="43:43" x14ac:dyDescent="0.2">
      <c r="AQ24351" s="31"/>
    </row>
    <row r="24352" spans="43:43" x14ac:dyDescent="0.2">
      <c r="AQ24352" s="31"/>
    </row>
    <row r="24353" spans="43:43" x14ac:dyDescent="0.2">
      <c r="AQ24353" s="31"/>
    </row>
    <row r="24354" spans="43:43" x14ac:dyDescent="0.2">
      <c r="AQ24354" s="31"/>
    </row>
    <row r="24355" spans="43:43" x14ac:dyDescent="0.2">
      <c r="AQ24355" s="31"/>
    </row>
    <row r="24356" spans="43:43" x14ac:dyDescent="0.2">
      <c r="AQ24356" s="31"/>
    </row>
    <row r="24357" spans="43:43" x14ac:dyDescent="0.2">
      <c r="AQ24357" s="31"/>
    </row>
    <row r="24358" spans="43:43" x14ac:dyDescent="0.2">
      <c r="AQ24358" s="31"/>
    </row>
    <row r="24359" spans="43:43" x14ac:dyDescent="0.2">
      <c r="AQ24359" s="31"/>
    </row>
    <row r="24360" spans="43:43" x14ac:dyDescent="0.2">
      <c r="AQ24360" s="31"/>
    </row>
    <row r="24361" spans="43:43" x14ac:dyDescent="0.2">
      <c r="AQ24361" s="31"/>
    </row>
    <row r="24362" spans="43:43" x14ac:dyDescent="0.2">
      <c r="AQ24362" s="31"/>
    </row>
    <row r="24363" spans="43:43" x14ac:dyDescent="0.2">
      <c r="AQ24363" s="31"/>
    </row>
    <row r="24364" spans="43:43" x14ac:dyDescent="0.2">
      <c r="AQ24364" s="31"/>
    </row>
    <row r="24365" spans="43:43" x14ac:dyDescent="0.2">
      <c r="AQ24365" s="31"/>
    </row>
    <row r="24366" spans="43:43" x14ac:dyDescent="0.2">
      <c r="AQ24366" s="31"/>
    </row>
    <row r="24367" spans="43:43" x14ac:dyDescent="0.2">
      <c r="AQ24367" s="31"/>
    </row>
    <row r="24368" spans="43:43" x14ac:dyDescent="0.2">
      <c r="AQ24368" s="31"/>
    </row>
    <row r="24369" spans="43:43" x14ac:dyDescent="0.2">
      <c r="AQ24369" s="31"/>
    </row>
    <row r="24370" spans="43:43" x14ac:dyDescent="0.2">
      <c r="AQ24370" s="31"/>
    </row>
    <row r="24371" spans="43:43" x14ac:dyDescent="0.2">
      <c r="AQ24371" s="31"/>
    </row>
    <row r="24372" spans="43:43" x14ac:dyDescent="0.2">
      <c r="AQ24372" s="31"/>
    </row>
    <row r="24373" spans="43:43" x14ac:dyDescent="0.2">
      <c r="AQ24373" s="31"/>
    </row>
    <row r="24374" spans="43:43" x14ac:dyDescent="0.2">
      <c r="AQ24374" s="31"/>
    </row>
    <row r="24375" spans="43:43" x14ac:dyDescent="0.2">
      <c r="AQ24375" s="31"/>
    </row>
    <row r="24376" spans="43:43" x14ac:dyDescent="0.2">
      <c r="AQ24376" s="31"/>
    </row>
    <row r="24377" spans="43:43" x14ac:dyDescent="0.2">
      <c r="AQ24377" s="31"/>
    </row>
    <row r="24378" spans="43:43" x14ac:dyDescent="0.2">
      <c r="AQ24378" s="31"/>
    </row>
    <row r="24379" spans="43:43" x14ac:dyDescent="0.2">
      <c r="AQ24379" s="31"/>
    </row>
    <row r="24380" spans="43:43" x14ac:dyDescent="0.2">
      <c r="AQ24380" s="31"/>
    </row>
    <row r="24381" spans="43:43" x14ac:dyDescent="0.2">
      <c r="AQ24381" s="31"/>
    </row>
    <row r="24382" spans="43:43" x14ac:dyDescent="0.2">
      <c r="AQ24382" s="31"/>
    </row>
    <row r="24383" spans="43:43" x14ac:dyDescent="0.2">
      <c r="AQ24383" s="31"/>
    </row>
    <row r="24384" spans="43:43" x14ac:dyDescent="0.2">
      <c r="AQ24384" s="31"/>
    </row>
    <row r="24385" spans="43:43" x14ac:dyDescent="0.2">
      <c r="AQ24385" s="31"/>
    </row>
    <row r="24386" spans="43:43" x14ac:dyDescent="0.2">
      <c r="AQ24386" s="31"/>
    </row>
    <row r="24387" spans="43:43" x14ac:dyDescent="0.2">
      <c r="AQ24387" s="31"/>
    </row>
    <row r="24388" spans="43:43" x14ac:dyDescent="0.2">
      <c r="AQ24388" s="31"/>
    </row>
    <row r="24389" spans="43:43" x14ac:dyDescent="0.2">
      <c r="AQ24389" s="31"/>
    </row>
    <row r="24390" spans="43:43" x14ac:dyDescent="0.2">
      <c r="AQ24390" s="31"/>
    </row>
    <row r="24391" spans="43:43" x14ac:dyDescent="0.2">
      <c r="AQ24391" s="31"/>
    </row>
    <row r="24392" spans="43:43" x14ac:dyDescent="0.2">
      <c r="AQ24392" s="31"/>
    </row>
    <row r="24393" spans="43:43" x14ac:dyDescent="0.2">
      <c r="AQ24393" s="31"/>
    </row>
    <row r="24394" spans="43:43" x14ac:dyDescent="0.2">
      <c r="AQ24394" s="31"/>
    </row>
    <row r="24395" spans="43:43" x14ac:dyDescent="0.2">
      <c r="AQ24395" s="31"/>
    </row>
    <row r="24396" spans="43:43" x14ac:dyDescent="0.2">
      <c r="AQ24396" s="31"/>
    </row>
    <row r="24397" spans="43:43" x14ac:dyDescent="0.2">
      <c r="AQ24397" s="31"/>
    </row>
    <row r="24398" spans="43:43" x14ac:dyDescent="0.2">
      <c r="AQ24398" s="31"/>
    </row>
    <row r="24399" spans="43:43" x14ac:dyDescent="0.2">
      <c r="AQ24399" s="31"/>
    </row>
    <row r="24400" spans="43:43" x14ac:dyDescent="0.2">
      <c r="AQ24400" s="31"/>
    </row>
    <row r="24401" spans="43:43" x14ac:dyDescent="0.2">
      <c r="AQ24401" s="31"/>
    </row>
    <row r="24402" spans="43:43" x14ac:dyDescent="0.2">
      <c r="AQ24402" s="31"/>
    </row>
    <row r="24403" spans="43:43" x14ac:dyDescent="0.2">
      <c r="AQ24403" s="31"/>
    </row>
    <row r="24404" spans="43:43" x14ac:dyDescent="0.2">
      <c r="AQ24404" s="31"/>
    </row>
    <row r="24405" spans="43:43" x14ac:dyDescent="0.2">
      <c r="AQ24405" s="31"/>
    </row>
    <row r="24406" spans="43:43" x14ac:dyDescent="0.2">
      <c r="AQ24406" s="31"/>
    </row>
    <row r="24407" spans="43:43" x14ac:dyDescent="0.2">
      <c r="AQ24407" s="31"/>
    </row>
    <row r="24408" spans="43:43" x14ac:dyDescent="0.2">
      <c r="AQ24408" s="31"/>
    </row>
    <row r="24409" spans="43:43" x14ac:dyDescent="0.2">
      <c r="AQ24409" s="31"/>
    </row>
    <row r="24410" spans="43:43" x14ac:dyDescent="0.2">
      <c r="AQ24410" s="31"/>
    </row>
    <row r="24411" spans="43:43" x14ac:dyDescent="0.2">
      <c r="AQ24411" s="31"/>
    </row>
    <row r="24412" spans="43:43" x14ac:dyDescent="0.2">
      <c r="AQ24412" s="31"/>
    </row>
    <row r="24413" spans="43:43" x14ac:dyDescent="0.2">
      <c r="AQ24413" s="31"/>
    </row>
    <row r="24414" spans="43:43" x14ac:dyDescent="0.2">
      <c r="AQ24414" s="31"/>
    </row>
    <row r="24415" spans="43:43" x14ac:dyDescent="0.2">
      <c r="AQ24415" s="31"/>
    </row>
    <row r="24416" spans="43:43" x14ac:dyDescent="0.2">
      <c r="AQ24416" s="31"/>
    </row>
    <row r="24417" spans="43:43" x14ac:dyDescent="0.2">
      <c r="AQ24417" s="31"/>
    </row>
    <row r="24418" spans="43:43" x14ac:dyDescent="0.2">
      <c r="AQ24418" s="31"/>
    </row>
    <row r="24419" spans="43:43" x14ac:dyDescent="0.2">
      <c r="AQ24419" s="31"/>
    </row>
    <row r="24420" spans="43:43" x14ac:dyDescent="0.2">
      <c r="AQ24420" s="31"/>
    </row>
    <row r="24421" spans="43:43" x14ac:dyDescent="0.2">
      <c r="AQ24421" s="31"/>
    </row>
    <row r="24422" spans="43:43" x14ac:dyDescent="0.2">
      <c r="AQ24422" s="31"/>
    </row>
    <row r="24423" spans="43:43" x14ac:dyDescent="0.2">
      <c r="AQ24423" s="31"/>
    </row>
    <row r="24424" spans="43:43" x14ac:dyDescent="0.2">
      <c r="AQ24424" s="31"/>
    </row>
    <row r="24425" spans="43:43" x14ac:dyDescent="0.2">
      <c r="AQ24425" s="31"/>
    </row>
    <row r="24426" spans="43:43" x14ac:dyDescent="0.2">
      <c r="AQ24426" s="31"/>
    </row>
    <row r="24427" spans="43:43" x14ac:dyDescent="0.2">
      <c r="AQ24427" s="31"/>
    </row>
    <row r="24428" spans="43:43" x14ac:dyDescent="0.2">
      <c r="AQ24428" s="31"/>
    </row>
    <row r="24429" spans="43:43" x14ac:dyDescent="0.2">
      <c r="AQ24429" s="31"/>
    </row>
    <row r="24430" spans="43:43" x14ac:dyDescent="0.2">
      <c r="AQ24430" s="31"/>
    </row>
    <row r="24431" spans="43:43" x14ac:dyDescent="0.2">
      <c r="AQ24431" s="31"/>
    </row>
    <row r="24432" spans="43:43" x14ac:dyDescent="0.2">
      <c r="AQ24432" s="31"/>
    </row>
    <row r="24433" spans="43:43" x14ac:dyDescent="0.2">
      <c r="AQ24433" s="31"/>
    </row>
    <row r="24434" spans="43:43" x14ac:dyDescent="0.2">
      <c r="AQ24434" s="31"/>
    </row>
    <row r="24435" spans="43:43" x14ac:dyDescent="0.2">
      <c r="AQ24435" s="31"/>
    </row>
    <row r="24436" spans="43:43" x14ac:dyDescent="0.2">
      <c r="AQ24436" s="31"/>
    </row>
    <row r="24437" spans="43:43" x14ac:dyDescent="0.2">
      <c r="AQ24437" s="31"/>
    </row>
    <row r="24438" spans="43:43" x14ac:dyDescent="0.2">
      <c r="AQ24438" s="31"/>
    </row>
    <row r="24439" spans="43:43" x14ac:dyDescent="0.2">
      <c r="AQ24439" s="31"/>
    </row>
    <row r="24440" spans="43:43" x14ac:dyDescent="0.2">
      <c r="AQ24440" s="31"/>
    </row>
    <row r="24441" spans="43:43" x14ac:dyDescent="0.2">
      <c r="AQ24441" s="31"/>
    </row>
    <row r="24442" spans="43:43" x14ac:dyDescent="0.2">
      <c r="AQ24442" s="31"/>
    </row>
    <row r="24443" spans="43:43" x14ac:dyDescent="0.2">
      <c r="AQ24443" s="31"/>
    </row>
    <row r="24444" spans="43:43" x14ac:dyDescent="0.2">
      <c r="AQ24444" s="31"/>
    </row>
    <row r="24445" spans="43:43" x14ac:dyDescent="0.2">
      <c r="AQ24445" s="31"/>
    </row>
    <row r="24446" spans="43:43" x14ac:dyDescent="0.2">
      <c r="AQ24446" s="31"/>
    </row>
    <row r="24447" spans="43:43" x14ac:dyDescent="0.2">
      <c r="AQ24447" s="31"/>
    </row>
    <row r="24448" spans="43:43" x14ac:dyDescent="0.2">
      <c r="AQ24448" s="31"/>
    </row>
    <row r="24449" spans="43:43" x14ac:dyDescent="0.2">
      <c r="AQ24449" s="31"/>
    </row>
    <row r="24450" spans="43:43" x14ac:dyDescent="0.2">
      <c r="AQ24450" s="31"/>
    </row>
    <row r="24451" spans="43:43" x14ac:dyDescent="0.2">
      <c r="AQ24451" s="31"/>
    </row>
    <row r="24452" spans="43:43" x14ac:dyDescent="0.2">
      <c r="AQ24452" s="31"/>
    </row>
    <row r="24453" spans="43:43" x14ac:dyDescent="0.2">
      <c r="AQ24453" s="31"/>
    </row>
    <row r="24454" spans="43:43" x14ac:dyDescent="0.2">
      <c r="AQ24454" s="31"/>
    </row>
    <row r="24455" spans="43:43" x14ac:dyDescent="0.2">
      <c r="AQ24455" s="31"/>
    </row>
    <row r="24456" spans="43:43" x14ac:dyDescent="0.2">
      <c r="AQ24456" s="31"/>
    </row>
    <row r="24457" spans="43:43" x14ac:dyDescent="0.2">
      <c r="AQ24457" s="31"/>
    </row>
    <row r="24458" spans="43:43" x14ac:dyDescent="0.2">
      <c r="AQ24458" s="31"/>
    </row>
    <row r="24459" spans="43:43" x14ac:dyDescent="0.2">
      <c r="AQ24459" s="31"/>
    </row>
    <row r="24460" spans="43:43" x14ac:dyDescent="0.2">
      <c r="AQ24460" s="31"/>
    </row>
    <row r="24461" spans="43:43" x14ac:dyDescent="0.2">
      <c r="AQ24461" s="31"/>
    </row>
    <row r="24462" spans="43:43" x14ac:dyDescent="0.2">
      <c r="AQ24462" s="31"/>
    </row>
    <row r="24463" spans="43:43" x14ac:dyDescent="0.2">
      <c r="AQ24463" s="31"/>
    </row>
    <row r="24464" spans="43:43" x14ac:dyDescent="0.2">
      <c r="AQ24464" s="31"/>
    </row>
    <row r="24465" spans="43:43" x14ac:dyDescent="0.2">
      <c r="AQ24465" s="31"/>
    </row>
    <row r="24466" spans="43:43" x14ac:dyDescent="0.2">
      <c r="AQ24466" s="31"/>
    </row>
    <row r="24467" spans="43:43" x14ac:dyDescent="0.2">
      <c r="AQ24467" s="31"/>
    </row>
    <row r="24468" spans="43:43" x14ac:dyDescent="0.2">
      <c r="AQ24468" s="31"/>
    </row>
    <row r="24469" spans="43:43" x14ac:dyDescent="0.2">
      <c r="AQ24469" s="31"/>
    </row>
    <row r="24470" spans="43:43" x14ac:dyDescent="0.2">
      <c r="AQ24470" s="31"/>
    </row>
    <row r="24471" spans="43:43" x14ac:dyDescent="0.2">
      <c r="AQ24471" s="31"/>
    </row>
    <row r="24472" spans="43:43" x14ac:dyDescent="0.2">
      <c r="AQ24472" s="31"/>
    </row>
    <row r="24473" spans="43:43" x14ac:dyDescent="0.2">
      <c r="AQ24473" s="31"/>
    </row>
    <row r="24474" spans="43:43" x14ac:dyDescent="0.2">
      <c r="AQ24474" s="31"/>
    </row>
    <row r="24475" spans="43:43" x14ac:dyDescent="0.2">
      <c r="AQ24475" s="31"/>
    </row>
    <row r="24476" spans="43:43" x14ac:dyDescent="0.2">
      <c r="AQ24476" s="31"/>
    </row>
    <row r="24477" spans="43:43" x14ac:dyDescent="0.2">
      <c r="AQ24477" s="31"/>
    </row>
    <row r="24478" spans="43:43" x14ac:dyDescent="0.2">
      <c r="AQ24478" s="31"/>
    </row>
    <row r="24479" spans="43:43" x14ac:dyDescent="0.2">
      <c r="AQ24479" s="31"/>
    </row>
    <row r="24480" spans="43:43" x14ac:dyDescent="0.2">
      <c r="AQ24480" s="31"/>
    </row>
    <row r="24481" spans="43:43" x14ac:dyDescent="0.2">
      <c r="AQ24481" s="31"/>
    </row>
    <row r="24482" spans="43:43" x14ac:dyDescent="0.2">
      <c r="AQ24482" s="31"/>
    </row>
    <row r="24483" spans="43:43" x14ac:dyDescent="0.2">
      <c r="AQ24483" s="31"/>
    </row>
    <row r="24484" spans="43:43" x14ac:dyDescent="0.2">
      <c r="AQ24484" s="31"/>
    </row>
    <row r="24485" spans="43:43" x14ac:dyDescent="0.2">
      <c r="AQ24485" s="31"/>
    </row>
    <row r="24486" spans="43:43" x14ac:dyDescent="0.2">
      <c r="AQ24486" s="31"/>
    </row>
    <row r="24487" spans="43:43" x14ac:dyDescent="0.2">
      <c r="AQ24487" s="31"/>
    </row>
    <row r="24488" spans="43:43" x14ac:dyDescent="0.2">
      <c r="AQ24488" s="31"/>
    </row>
    <row r="24489" spans="43:43" x14ac:dyDescent="0.2">
      <c r="AQ24489" s="31"/>
    </row>
    <row r="24490" spans="43:43" x14ac:dyDescent="0.2">
      <c r="AQ24490" s="31"/>
    </row>
    <row r="24491" spans="43:43" x14ac:dyDescent="0.2">
      <c r="AQ24491" s="31"/>
    </row>
    <row r="24492" spans="43:43" x14ac:dyDescent="0.2">
      <c r="AQ24492" s="31"/>
    </row>
    <row r="24493" spans="43:43" x14ac:dyDescent="0.2">
      <c r="AQ24493" s="31"/>
    </row>
    <row r="24494" spans="43:43" x14ac:dyDescent="0.2">
      <c r="AQ24494" s="31"/>
    </row>
    <row r="24495" spans="43:43" x14ac:dyDescent="0.2">
      <c r="AQ24495" s="31"/>
    </row>
    <row r="24496" spans="43:43" x14ac:dyDescent="0.2">
      <c r="AQ24496" s="31"/>
    </row>
    <row r="24497" spans="43:43" x14ac:dyDescent="0.2">
      <c r="AQ24497" s="31"/>
    </row>
    <row r="24498" spans="43:43" x14ac:dyDescent="0.2">
      <c r="AQ24498" s="31"/>
    </row>
    <row r="24499" spans="43:43" x14ac:dyDescent="0.2">
      <c r="AQ24499" s="31"/>
    </row>
    <row r="24500" spans="43:43" x14ac:dyDescent="0.2">
      <c r="AQ24500" s="31"/>
    </row>
    <row r="24501" spans="43:43" x14ac:dyDescent="0.2">
      <c r="AQ24501" s="31"/>
    </row>
    <row r="24502" spans="43:43" x14ac:dyDescent="0.2">
      <c r="AQ24502" s="31"/>
    </row>
    <row r="24503" spans="43:43" x14ac:dyDescent="0.2">
      <c r="AQ24503" s="31"/>
    </row>
    <row r="24504" spans="43:43" x14ac:dyDescent="0.2">
      <c r="AQ24504" s="31"/>
    </row>
    <row r="24505" spans="43:43" x14ac:dyDescent="0.2">
      <c r="AQ24505" s="31"/>
    </row>
    <row r="24506" spans="43:43" x14ac:dyDescent="0.2">
      <c r="AQ24506" s="31"/>
    </row>
    <row r="24507" spans="43:43" x14ac:dyDescent="0.2">
      <c r="AQ24507" s="31"/>
    </row>
    <row r="24508" spans="43:43" x14ac:dyDescent="0.2">
      <c r="AQ24508" s="31"/>
    </row>
    <row r="24509" spans="43:43" x14ac:dyDescent="0.2">
      <c r="AQ24509" s="31"/>
    </row>
    <row r="24510" spans="43:43" x14ac:dyDescent="0.2">
      <c r="AQ24510" s="31"/>
    </row>
    <row r="24511" spans="43:43" x14ac:dyDescent="0.2">
      <c r="AQ24511" s="31"/>
    </row>
    <row r="24512" spans="43:43" x14ac:dyDescent="0.2">
      <c r="AQ24512" s="31"/>
    </row>
    <row r="24513" spans="43:43" x14ac:dyDescent="0.2">
      <c r="AQ24513" s="31"/>
    </row>
    <row r="24514" spans="43:43" x14ac:dyDescent="0.2">
      <c r="AQ24514" s="31"/>
    </row>
    <row r="24515" spans="43:43" x14ac:dyDescent="0.2">
      <c r="AQ24515" s="31"/>
    </row>
    <row r="24516" spans="43:43" x14ac:dyDescent="0.2">
      <c r="AQ24516" s="31"/>
    </row>
    <row r="24517" spans="43:43" x14ac:dyDescent="0.2">
      <c r="AQ24517" s="31"/>
    </row>
    <row r="24518" spans="43:43" x14ac:dyDescent="0.2">
      <c r="AQ24518" s="31"/>
    </row>
    <row r="24519" spans="43:43" x14ac:dyDescent="0.2">
      <c r="AQ24519" s="31"/>
    </row>
    <row r="24520" spans="43:43" x14ac:dyDescent="0.2">
      <c r="AQ24520" s="31"/>
    </row>
    <row r="24521" spans="43:43" x14ac:dyDescent="0.2">
      <c r="AQ24521" s="31"/>
    </row>
    <row r="24522" spans="43:43" x14ac:dyDescent="0.2">
      <c r="AQ24522" s="31"/>
    </row>
    <row r="24523" spans="43:43" x14ac:dyDescent="0.2">
      <c r="AQ24523" s="31"/>
    </row>
    <row r="24524" spans="43:43" x14ac:dyDescent="0.2">
      <c r="AQ24524" s="31"/>
    </row>
    <row r="24525" spans="43:43" x14ac:dyDescent="0.2">
      <c r="AQ24525" s="31"/>
    </row>
    <row r="24526" spans="43:43" x14ac:dyDescent="0.2">
      <c r="AQ24526" s="31"/>
    </row>
    <row r="24527" spans="43:43" x14ac:dyDescent="0.2">
      <c r="AQ24527" s="31"/>
    </row>
    <row r="24528" spans="43:43" x14ac:dyDescent="0.2">
      <c r="AQ24528" s="31"/>
    </row>
    <row r="24529" spans="43:43" x14ac:dyDescent="0.2">
      <c r="AQ24529" s="31"/>
    </row>
    <row r="24530" spans="43:43" x14ac:dyDescent="0.2">
      <c r="AQ24530" s="31"/>
    </row>
    <row r="24531" spans="43:43" x14ac:dyDescent="0.2">
      <c r="AQ24531" s="31"/>
    </row>
    <row r="24532" spans="43:43" x14ac:dyDescent="0.2">
      <c r="AQ24532" s="31"/>
    </row>
    <row r="24533" spans="43:43" x14ac:dyDescent="0.2">
      <c r="AQ24533" s="31"/>
    </row>
    <row r="24534" spans="43:43" x14ac:dyDescent="0.2">
      <c r="AQ24534" s="31"/>
    </row>
    <row r="24535" spans="43:43" x14ac:dyDescent="0.2">
      <c r="AQ24535" s="31"/>
    </row>
    <row r="24536" spans="43:43" x14ac:dyDescent="0.2">
      <c r="AQ24536" s="31"/>
    </row>
    <row r="24537" spans="43:43" x14ac:dyDescent="0.2">
      <c r="AQ24537" s="31"/>
    </row>
    <row r="24538" spans="43:43" x14ac:dyDescent="0.2">
      <c r="AQ24538" s="31"/>
    </row>
    <row r="24539" spans="43:43" x14ac:dyDescent="0.2">
      <c r="AQ24539" s="31"/>
    </row>
    <row r="24540" spans="43:43" x14ac:dyDescent="0.2">
      <c r="AQ24540" s="31"/>
    </row>
    <row r="24541" spans="43:43" x14ac:dyDescent="0.2">
      <c r="AQ24541" s="31"/>
    </row>
    <row r="24542" spans="43:43" x14ac:dyDescent="0.2">
      <c r="AQ24542" s="31"/>
    </row>
    <row r="24543" spans="43:43" x14ac:dyDescent="0.2">
      <c r="AQ24543" s="31"/>
    </row>
    <row r="24544" spans="43:43" x14ac:dyDescent="0.2">
      <c r="AQ24544" s="31"/>
    </row>
    <row r="24545" spans="43:43" x14ac:dyDescent="0.2">
      <c r="AQ24545" s="31"/>
    </row>
    <row r="24546" spans="43:43" x14ac:dyDescent="0.2">
      <c r="AQ24546" s="31"/>
    </row>
    <row r="24547" spans="43:43" x14ac:dyDescent="0.2">
      <c r="AQ24547" s="31"/>
    </row>
    <row r="24548" spans="43:43" x14ac:dyDescent="0.2">
      <c r="AQ24548" s="31"/>
    </row>
    <row r="24549" spans="43:43" x14ac:dyDescent="0.2">
      <c r="AQ24549" s="31"/>
    </row>
    <row r="24550" spans="43:43" x14ac:dyDescent="0.2">
      <c r="AQ24550" s="31"/>
    </row>
    <row r="24551" spans="43:43" x14ac:dyDescent="0.2">
      <c r="AQ24551" s="31"/>
    </row>
    <row r="24552" spans="43:43" x14ac:dyDescent="0.2">
      <c r="AQ24552" s="31"/>
    </row>
    <row r="24553" spans="43:43" x14ac:dyDescent="0.2">
      <c r="AQ24553" s="31"/>
    </row>
    <row r="24554" spans="43:43" x14ac:dyDescent="0.2">
      <c r="AQ24554" s="31"/>
    </row>
    <row r="24555" spans="43:43" x14ac:dyDescent="0.2">
      <c r="AQ24555" s="31"/>
    </row>
    <row r="24556" spans="43:43" x14ac:dyDescent="0.2">
      <c r="AQ24556" s="31"/>
    </row>
    <row r="24557" spans="43:43" x14ac:dyDescent="0.2">
      <c r="AQ24557" s="31"/>
    </row>
    <row r="24558" spans="43:43" x14ac:dyDescent="0.2">
      <c r="AQ24558" s="31"/>
    </row>
    <row r="24559" spans="43:43" x14ac:dyDescent="0.2">
      <c r="AQ24559" s="31"/>
    </row>
    <row r="24560" spans="43:43" x14ac:dyDescent="0.2">
      <c r="AQ24560" s="31"/>
    </row>
    <row r="24561" spans="43:43" x14ac:dyDescent="0.2">
      <c r="AQ24561" s="31"/>
    </row>
    <row r="24562" spans="43:43" x14ac:dyDescent="0.2">
      <c r="AQ24562" s="31"/>
    </row>
    <row r="24563" spans="43:43" x14ac:dyDescent="0.2">
      <c r="AQ24563" s="31"/>
    </row>
    <row r="24564" spans="43:43" x14ac:dyDescent="0.2">
      <c r="AQ24564" s="31"/>
    </row>
    <row r="24565" spans="43:43" x14ac:dyDescent="0.2">
      <c r="AQ24565" s="31"/>
    </row>
    <row r="24566" spans="43:43" x14ac:dyDescent="0.2">
      <c r="AQ24566" s="31"/>
    </row>
    <row r="24567" spans="43:43" x14ac:dyDescent="0.2">
      <c r="AQ24567" s="31"/>
    </row>
    <row r="24568" spans="43:43" x14ac:dyDescent="0.2">
      <c r="AQ24568" s="31"/>
    </row>
    <row r="24569" spans="43:43" x14ac:dyDescent="0.2">
      <c r="AQ24569" s="31"/>
    </row>
    <row r="24570" spans="43:43" x14ac:dyDescent="0.2">
      <c r="AQ24570" s="31"/>
    </row>
    <row r="24571" spans="43:43" x14ac:dyDescent="0.2">
      <c r="AQ24571" s="31"/>
    </row>
    <row r="24572" spans="43:43" x14ac:dyDescent="0.2">
      <c r="AQ24572" s="31"/>
    </row>
    <row r="24573" spans="43:43" x14ac:dyDescent="0.2">
      <c r="AQ24573" s="31"/>
    </row>
    <row r="24574" spans="43:43" x14ac:dyDescent="0.2">
      <c r="AQ24574" s="31"/>
    </row>
    <row r="24575" spans="43:43" x14ac:dyDescent="0.2">
      <c r="AQ24575" s="31"/>
    </row>
    <row r="24576" spans="43:43" x14ac:dyDescent="0.2">
      <c r="AQ24576" s="31"/>
    </row>
    <row r="24577" spans="43:43" x14ac:dyDescent="0.2">
      <c r="AQ24577" s="31"/>
    </row>
    <row r="24578" spans="43:43" x14ac:dyDescent="0.2">
      <c r="AQ24578" s="31"/>
    </row>
    <row r="24579" spans="43:43" x14ac:dyDescent="0.2">
      <c r="AQ24579" s="31"/>
    </row>
    <row r="24580" spans="43:43" x14ac:dyDescent="0.2">
      <c r="AQ24580" s="31"/>
    </row>
    <row r="24581" spans="43:43" x14ac:dyDescent="0.2">
      <c r="AQ24581" s="31"/>
    </row>
    <row r="24582" spans="43:43" x14ac:dyDescent="0.2">
      <c r="AQ24582" s="31"/>
    </row>
    <row r="24583" spans="43:43" x14ac:dyDescent="0.2">
      <c r="AQ24583" s="31"/>
    </row>
    <row r="24584" spans="43:43" x14ac:dyDescent="0.2">
      <c r="AQ24584" s="31"/>
    </row>
    <row r="24585" spans="43:43" x14ac:dyDescent="0.2">
      <c r="AQ24585" s="31"/>
    </row>
    <row r="24586" spans="43:43" x14ac:dyDescent="0.2">
      <c r="AQ24586" s="31"/>
    </row>
    <row r="24587" spans="43:43" x14ac:dyDescent="0.2">
      <c r="AQ24587" s="31"/>
    </row>
    <row r="24588" spans="43:43" x14ac:dyDescent="0.2">
      <c r="AQ24588" s="31"/>
    </row>
    <row r="24589" spans="43:43" x14ac:dyDescent="0.2">
      <c r="AQ24589" s="31"/>
    </row>
    <row r="24590" spans="43:43" x14ac:dyDescent="0.2">
      <c r="AQ24590" s="31"/>
    </row>
    <row r="24591" spans="43:43" x14ac:dyDescent="0.2">
      <c r="AQ24591" s="31"/>
    </row>
    <row r="24592" spans="43:43" x14ac:dyDescent="0.2">
      <c r="AQ24592" s="31"/>
    </row>
    <row r="24593" spans="43:43" x14ac:dyDescent="0.2">
      <c r="AQ24593" s="31"/>
    </row>
    <row r="24594" spans="43:43" x14ac:dyDescent="0.2">
      <c r="AQ24594" s="31"/>
    </row>
    <row r="24595" spans="43:43" x14ac:dyDescent="0.2">
      <c r="AQ24595" s="31"/>
    </row>
    <row r="24596" spans="43:43" x14ac:dyDescent="0.2">
      <c r="AQ24596" s="31"/>
    </row>
    <row r="24597" spans="43:43" x14ac:dyDescent="0.2">
      <c r="AQ24597" s="31"/>
    </row>
    <row r="24598" spans="43:43" x14ac:dyDescent="0.2">
      <c r="AQ24598" s="31"/>
    </row>
    <row r="24599" spans="43:43" x14ac:dyDescent="0.2">
      <c r="AQ24599" s="31"/>
    </row>
    <row r="24600" spans="43:43" x14ac:dyDescent="0.2">
      <c r="AQ24600" s="31"/>
    </row>
    <row r="24601" spans="43:43" x14ac:dyDescent="0.2">
      <c r="AQ24601" s="31"/>
    </row>
    <row r="24602" spans="43:43" x14ac:dyDescent="0.2">
      <c r="AQ24602" s="31"/>
    </row>
    <row r="24603" spans="43:43" x14ac:dyDescent="0.2">
      <c r="AQ24603" s="31"/>
    </row>
    <row r="24604" spans="43:43" x14ac:dyDescent="0.2">
      <c r="AQ24604" s="31"/>
    </row>
    <row r="24605" spans="43:43" x14ac:dyDescent="0.2">
      <c r="AQ24605" s="31"/>
    </row>
    <row r="24606" spans="43:43" x14ac:dyDescent="0.2">
      <c r="AQ24606" s="31"/>
    </row>
    <row r="24607" spans="43:43" x14ac:dyDescent="0.2">
      <c r="AQ24607" s="31"/>
    </row>
    <row r="24608" spans="43:43" x14ac:dyDescent="0.2">
      <c r="AQ24608" s="31"/>
    </row>
    <row r="24609" spans="43:43" x14ac:dyDescent="0.2">
      <c r="AQ24609" s="31"/>
    </row>
    <row r="24610" spans="43:43" x14ac:dyDescent="0.2">
      <c r="AQ24610" s="31"/>
    </row>
    <row r="24611" spans="43:43" x14ac:dyDescent="0.2">
      <c r="AQ24611" s="31"/>
    </row>
    <row r="24612" spans="43:43" x14ac:dyDescent="0.2">
      <c r="AQ24612" s="31"/>
    </row>
    <row r="24613" spans="43:43" x14ac:dyDescent="0.2">
      <c r="AQ24613" s="31"/>
    </row>
    <row r="24614" spans="43:43" x14ac:dyDescent="0.2">
      <c r="AQ24614" s="31"/>
    </row>
    <row r="24615" spans="43:43" x14ac:dyDescent="0.2">
      <c r="AQ24615" s="31"/>
    </row>
    <row r="24616" spans="43:43" x14ac:dyDescent="0.2">
      <c r="AQ24616" s="31"/>
    </row>
    <row r="24617" spans="43:43" x14ac:dyDescent="0.2">
      <c r="AQ24617" s="31"/>
    </row>
    <row r="24618" spans="43:43" x14ac:dyDescent="0.2">
      <c r="AQ24618" s="31"/>
    </row>
    <row r="24619" spans="43:43" x14ac:dyDescent="0.2">
      <c r="AQ24619" s="31"/>
    </row>
    <row r="24620" spans="43:43" x14ac:dyDescent="0.2">
      <c r="AQ24620" s="31"/>
    </row>
    <row r="24621" spans="43:43" x14ac:dyDescent="0.2">
      <c r="AQ24621" s="31"/>
    </row>
    <row r="24622" spans="43:43" x14ac:dyDescent="0.2">
      <c r="AQ24622" s="31"/>
    </row>
    <row r="24623" spans="43:43" x14ac:dyDescent="0.2">
      <c r="AQ24623" s="31"/>
    </row>
    <row r="24624" spans="43:43" x14ac:dyDescent="0.2">
      <c r="AQ24624" s="31"/>
    </row>
    <row r="24625" spans="43:43" x14ac:dyDescent="0.2">
      <c r="AQ24625" s="31"/>
    </row>
    <row r="24626" spans="43:43" x14ac:dyDescent="0.2">
      <c r="AQ24626" s="31"/>
    </row>
    <row r="24627" spans="43:43" x14ac:dyDescent="0.2">
      <c r="AQ24627" s="31"/>
    </row>
    <row r="24628" spans="43:43" x14ac:dyDescent="0.2">
      <c r="AQ24628" s="31"/>
    </row>
    <row r="24629" spans="43:43" x14ac:dyDescent="0.2">
      <c r="AQ24629" s="31"/>
    </row>
    <row r="24630" spans="43:43" x14ac:dyDescent="0.2">
      <c r="AQ24630" s="31"/>
    </row>
    <row r="24631" spans="43:43" x14ac:dyDescent="0.2">
      <c r="AQ24631" s="31"/>
    </row>
    <row r="24632" spans="43:43" x14ac:dyDescent="0.2">
      <c r="AQ24632" s="31"/>
    </row>
    <row r="24633" spans="43:43" x14ac:dyDescent="0.2">
      <c r="AQ24633" s="31"/>
    </row>
    <row r="24634" spans="43:43" x14ac:dyDescent="0.2">
      <c r="AQ24634" s="31"/>
    </row>
    <row r="24635" spans="43:43" x14ac:dyDescent="0.2">
      <c r="AQ24635" s="31"/>
    </row>
    <row r="24636" spans="43:43" x14ac:dyDescent="0.2">
      <c r="AQ24636" s="31"/>
    </row>
    <row r="24637" spans="43:43" x14ac:dyDescent="0.2">
      <c r="AQ24637" s="31"/>
    </row>
    <row r="24638" spans="43:43" x14ac:dyDescent="0.2">
      <c r="AQ24638" s="31"/>
    </row>
    <row r="24639" spans="43:43" x14ac:dyDescent="0.2">
      <c r="AQ24639" s="31"/>
    </row>
    <row r="24640" spans="43:43" x14ac:dyDescent="0.2">
      <c r="AQ24640" s="31"/>
    </row>
    <row r="24641" spans="43:43" x14ac:dyDescent="0.2">
      <c r="AQ24641" s="31"/>
    </row>
    <row r="24642" spans="43:43" x14ac:dyDescent="0.2">
      <c r="AQ24642" s="31"/>
    </row>
    <row r="24643" spans="43:43" x14ac:dyDescent="0.2">
      <c r="AQ24643" s="31"/>
    </row>
    <row r="24644" spans="43:43" x14ac:dyDescent="0.2">
      <c r="AQ24644" s="31"/>
    </row>
    <row r="24645" spans="43:43" x14ac:dyDescent="0.2">
      <c r="AQ24645" s="31"/>
    </row>
    <row r="24646" spans="43:43" x14ac:dyDescent="0.2">
      <c r="AQ24646" s="31"/>
    </row>
    <row r="24647" spans="43:43" x14ac:dyDescent="0.2">
      <c r="AQ24647" s="31"/>
    </row>
    <row r="24648" spans="43:43" x14ac:dyDescent="0.2">
      <c r="AQ24648" s="31"/>
    </row>
    <row r="24649" spans="43:43" x14ac:dyDescent="0.2">
      <c r="AQ24649" s="31"/>
    </row>
    <row r="24650" spans="43:43" x14ac:dyDescent="0.2">
      <c r="AQ24650" s="31"/>
    </row>
    <row r="24651" spans="43:43" x14ac:dyDescent="0.2">
      <c r="AQ24651" s="31"/>
    </row>
    <row r="24652" spans="43:43" x14ac:dyDescent="0.2">
      <c r="AQ24652" s="31"/>
    </row>
    <row r="24653" spans="43:43" x14ac:dyDescent="0.2">
      <c r="AQ24653" s="31"/>
    </row>
    <row r="24654" spans="43:43" x14ac:dyDescent="0.2">
      <c r="AQ24654" s="31"/>
    </row>
    <row r="24655" spans="43:43" x14ac:dyDescent="0.2">
      <c r="AQ24655" s="31"/>
    </row>
    <row r="24656" spans="43:43" x14ac:dyDescent="0.2">
      <c r="AQ24656" s="31"/>
    </row>
    <row r="24657" spans="43:43" x14ac:dyDescent="0.2">
      <c r="AQ24657" s="31"/>
    </row>
    <row r="24658" spans="43:43" x14ac:dyDescent="0.2">
      <c r="AQ24658" s="31"/>
    </row>
    <row r="24659" spans="43:43" x14ac:dyDescent="0.2">
      <c r="AQ24659" s="31"/>
    </row>
    <row r="24660" spans="43:43" x14ac:dyDescent="0.2">
      <c r="AQ24660" s="31"/>
    </row>
    <row r="24661" spans="43:43" x14ac:dyDescent="0.2">
      <c r="AQ24661" s="31"/>
    </row>
    <row r="24662" spans="43:43" x14ac:dyDescent="0.2">
      <c r="AQ24662" s="31"/>
    </row>
    <row r="24663" spans="43:43" x14ac:dyDescent="0.2">
      <c r="AQ24663" s="31"/>
    </row>
    <row r="24664" spans="43:43" x14ac:dyDescent="0.2">
      <c r="AQ24664" s="31"/>
    </row>
    <row r="24665" spans="43:43" x14ac:dyDescent="0.2">
      <c r="AQ24665" s="31"/>
    </row>
    <row r="24666" spans="43:43" x14ac:dyDescent="0.2">
      <c r="AQ24666" s="31"/>
    </row>
    <row r="24667" spans="43:43" x14ac:dyDescent="0.2">
      <c r="AQ24667" s="31"/>
    </row>
    <row r="24668" spans="43:43" x14ac:dyDescent="0.2">
      <c r="AQ24668" s="31"/>
    </row>
    <row r="24669" spans="43:43" x14ac:dyDescent="0.2">
      <c r="AQ24669" s="31"/>
    </row>
    <row r="24670" spans="43:43" x14ac:dyDescent="0.2">
      <c r="AQ24670" s="31"/>
    </row>
    <row r="24671" spans="43:43" x14ac:dyDescent="0.2">
      <c r="AQ24671" s="31"/>
    </row>
    <row r="24672" spans="43:43" x14ac:dyDescent="0.2">
      <c r="AQ24672" s="31"/>
    </row>
    <row r="24673" spans="43:43" x14ac:dyDescent="0.2">
      <c r="AQ24673" s="31"/>
    </row>
    <row r="24674" spans="43:43" x14ac:dyDescent="0.2">
      <c r="AQ24674" s="31"/>
    </row>
    <row r="24675" spans="43:43" x14ac:dyDescent="0.2">
      <c r="AQ24675" s="31"/>
    </row>
    <row r="24676" spans="43:43" x14ac:dyDescent="0.2">
      <c r="AQ24676" s="31"/>
    </row>
    <row r="24677" spans="43:43" x14ac:dyDescent="0.2">
      <c r="AQ24677" s="31"/>
    </row>
    <row r="24678" spans="43:43" x14ac:dyDescent="0.2">
      <c r="AQ24678" s="31"/>
    </row>
    <row r="24679" spans="43:43" x14ac:dyDescent="0.2">
      <c r="AQ24679" s="31"/>
    </row>
    <row r="24680" spans="43:43" x14ac:dyDescent="0.2">
      <c r="AQ24680" s="31"/>
    </row>
    <row r="24681" spans="43:43" x14ac:dyDescent="0.2">
      <c r="AQ24681" s="31"/>
    </row>
    <row r="24682" spans="43:43" x14ac:dyDescent="0.2">
      <c r="AQ24682" s="31"/>
    </row>
    <row r="24683" spans="43:43" x14ac:dyDescent="0.2">
      <c r="AQ24683" s="31"/>
    </row>
    <row r="24684" spans="43:43" x14ac:dyDescent="0.2">
      <c r="AQ24684" s="31"/>
    </row>
    <row r="24685" spans="43:43" x14ac:dyDescent="0.2">
      <c r="AQ24685" s="31"/>
    </row>
    <row r="24686" spans="43:43" x14ac:dyDescent="0.2">
      <c r="AQ24686" s="31"/>
    </row>
    <row r="24687" spans="43:43" x14ac:dyDescent="0.2">
      <c r="AQ24687" s="31"/>
    </row>
    <row r="24688" spans="43:43" x14ac:dyDescent="0.2">
      <c r="AQ24688" s="31"/>
    </row>
    <row r="24689" spans="43:43" x14ac:dyDescent="0.2">
      <c r="AQ24689" s="31"/>
    </row>
    <row r="24690" spans="43:43" x14ac:dyDescent="0.2">
      <c r="AQ24690" s="31"/>
    </row>
    <row r="24691" spans="43:43" x14ac:dyDescent="0.2">
      <c r="AQ24691" s="31"/>
    </row>
    <row r="24692" spans="43:43" x14ac:dyDescent="0.2">
      <c r="AQ24692" s="31"/>
    </row>
    <row r="24693" spans="43:43" x14ac:dyDescent="0.2">
      <c r="AQ24693" s="31"/>
    </row>
    <row r="24694" spans="43:43" x14ac:dyDescent="0.2">
      <c r="AQ24694" s="31"/>
    </row>
    <row r="24695" spans="43:43" x14ac:dyDescent="0.2">
      <c r="AQ24695" s="31"/>
    </row>
    <row r="24696" spans="43:43" x14ac:dyDescent="0.2">
      <c r="AQ24696" s="31"/>
    </row>
    <row r="24697" spans="43:43" x14ac:dyDescent="0.2">
      <c r="AQ24697" s="31"/>
    </row>
    <row r="24698" spans="43:43" x14ac:dyDescent="0.2">
      <c r="AQ24698" s="31"/>
    </row>
    <row r="24699" spans="43:43" x14ac:dyDescent="0.2">
      <c r="AQ24699" s="31"/>
    </row>
    <row r="24700" spans="43:43" x14ac:dyDescent="0.2">
      <c r="AQ24700" s="31"/>
    </row>
    <row r="24701" spans="43:43" x14ac:dyDescent="0.2">
      <c r="AQ24701" s="31"/>
    </row>
    <row r="24702" spans="43:43" x14ac:dyDescent="0.2">
      <c r="AQ24702" s="31"/>
    </row>
    <row r="24703" spans="43:43" x14ac:dyDescent="0.2">
      <c r="AQ24703" s="31"/>
    </row>
    <row r="24704" spans="43:43" x14ac:dyDescent="0.2">
      <c r="AQ24704" s="31"/>
    </row>
    <row r="24705" spans="43:43" x14ac:dyDescent="0.2">
      <c r="AQ24705" s="31"/>
    </row>
    <row r="24706" spans="43:43" x14ac:dyDescent="0.2">
      <c r="AQ24706" s="31"/>
    </row>
    <row r="24707" spans="43:43" x14ac:dyDescent="0.2">
      <c r="AQ24707" s="31"/>
    </row>
    <row r="24708" spans="43:43" x14ac:dyDescent="0.2">
      <c r="AQ24708" s="31"/>
    </row>
    <row r="24709" spans="43:43" x14ac:dyDescent="0.2">
      <c r="AQ24709" s="31"/>
    </row>
    <row r="24710" spans="43:43" x14ac:dyDescent="0.2">
      <c r="AQ24710" s="31"/>
    </row>
    <row r="24711" spans="43:43" x14ac:dyDescent="0.2">
      <c r="AQ24711" s="31"/>
    </row>
    <row r="24712" spans="43:43" x14ac:dyDescent="0.2">
      <c r="AQ24712" s="31"/>
    </row>
    <row r="24713" spans="43:43" x14ac:dyDescent="0.2">
      <c r="AQ24713" s="31"/>
    </row>
    <row r="24714" spans="43:43" x14ac:dyDescent="0.2">
      <c r="AQ24714" s="31"/>
    </row>
    <row r="24715" spans="43:43" x14ac:dyDescent="0.2">
      <c r="AQ24715" s="31"/>
    </row>
    <row r="24716" spans="43:43" x14ac:dyDescent="0.2">
      <c r="AQ24716" s="31"/>
    </row>
    <row r="24717" spans="43:43" x14ac:dyDescent="0.2">
      <c r="AQ24717" s="31"/>
    </row>
    <row r="24718" spans="43:43" x14ac:dyDescent="0.2">
      <c r="AQ24718" s="31"/>
    </row>
    <row r="24719" spans="43:43" x14ac:dyDescent="0.2">
      <c r="AQ24719" s="31"/>
    </row>
    <row r="24720" spans="43:43" x14ac:dyDescent="0.2">
      <c r="AQ24720" s="31"/>
    </row>
    <row r="24721" spans="43:43" x14ac:dyDescent="0.2">
      <c r="AQ24721" s="31"/>
    </row>
    <row r="24722" spans="43:43" x14ac:dyDescent="0.2">
      <c r="AQ24722" s="31"/>
    </row>
    <row r="24723" spans="43:43" x14ac:dyDescent="0.2">
      <c r="AQ24723" s="31"/>
    </row>
    <row r="24724" spans="43:43" x14ac:dyDescent="0.2">
      <c r="AQ24724" s="31"/>
    </row>
    <row r="24725" spans="43:43" x14ac:dyDescent="0.2">
      <c r="AQ24725" s="31"/>
    </row>
    <row r="24726" spans="43:43" x14ac:dyDescent="0.2">
      <c r="AQ24726" s="31"/>
    </row>
    <row r="24727" spans="43:43" x14ac:dyDescent="0.2">
      <c r="AQ24727" s="31"/>
    </row>
    <row r="24728" spans="43:43" x14ac:dyDescent="0.2">
      <c r="AQ24728" s="31"/>
    </row>
    <row r="24729" spans="43:43" x14ac:dyDescent="0.2">
      <c r="AQ24729" s="31"/>
    </row>
    <row r="24730" spans="43:43" x14ac:dyDescent="0.2">
      <c r="AQ24730" s="31"/>
    </row>
    <row r="24731" spans="43:43" x14ac:dyDescent="0.2">
      <c r="AQ24731" s="31"/>
    </row>
    <row r="24732" spans="43:43" x14ac:dyDescent="0.2">
      <c r="AQ24732" s="31"/>
    </row>
    <row r="24733" spans="43:43" x14ac:dyDescent="0.2">
      <c r="AQ24733" s="31"/>
    </row>
    <row r="24734" spans="43:43" x14ac:dyDescent="0.2">
      <c r="AQ24734" s="31"/>
    </row>
    <row r="24735" spans="43:43" x14ac:dyDescent="0.2">
      <c r="AQ24735" s="31"/>
    </row>
    <row r="24736" spans="43:43" x14ac:dyDescent="0.2">
      <c r="AQ24736" s="31"/>
    </row>
    <row r="24737" spans="43:43" x14ac:dyDescent="0.2">
      <c r="AQ24737" s="31"/>
    </row>
    <row r="24738" spans="43:43" x14ac:dyDescent="0.2">
      <c r="AQ24738" s="31"/>
    </row>
    <row r="24739" spans="43:43" x14ac:dyDescent="0.2">
      <c r="AQ24739" s="31"/>
    </row>
    <row r="24740" spans="43:43" x14ac:dyDescent="0.2">
      <c r="AQ24740" s="31"/>
    </row>
    <row r="24741" spans="43:43" x14ac:dyDescent="0.2">
      <c r="AQ24741" s="31"/>
    </row>
    <row r="24742" spans="43:43" x14ac:dyDescent="0.2">
      <c r="AQ24742" s="31"/>
    </row>
    <row r="24743" spans="43:43" x14ac:dyDescent="0.2">
      <c r="AQ24743" s="31"/>
    </row>
    <row r="24744" spans="43:43" x14ac:dyDescent="0.2">
      <c r="AQ24744" s="31"/>
    </row>
    <row r="24745" spans="43:43" x14ac:dyDescent="0.2">
      <c r="AQ24745" s="31"/>
    </row>
    <row r="24746" spans="43:43" x14ac:dyDescent="0.2">
      <c r="AQ24746" s="31"/>
    </row>
    <row r="24747" spans="43:43" x14ac:dyDescent="0.2">
      <c r="AQ24747" s="31"/>
    </row>
    <row r="24748" spans="43:43" x14ac:dyDescent="0.2">
      <c r="AQ24748" s="31"/>
    </row>
    <row r="24749" spans="43:43" x14ac:dyDescent="0.2">
      <c r="AQ24749" s="31"/>
    </row>
    <row r="24750" spans="43:43" x14ac:dyDescent="0.2">
      <c r="AQ24750" s="31"/>
    </row>
    <row r="24751" spans="43:43" x14ac:dyDescent="0.2">
      <c r="AQ24751" s="31"/>
    </row>
    <row r="24752" spans="43:43" x14ac:dyDescent="0.2">
      <c r="AQ24752" s="31"/>
    </row>
    <row r="24753" spans="43:43" x14ac:dyDescent="0.2">
      <c r="AQ24753" s="31"/>
    </row>
    <row r="24754" spans="43:43" x14ac:dyDescent="0.2">
      <c r="AQ24754" s="31"/>
    </row>
    <row r="24755" spans="43:43" x14ac:dyDescent="0.2">
      <c r="AQ24755" s="31"/>
    </row>
    <row r="24756" spans="43:43" x14ac:dyDescent="0.2">
      <c r="AQ24756" s="31"/>
    </row>
    <row r="24757" spans="43:43" x14ac:dyDescent="0.2">
      <c r="AQ24757" s="31"/>
    </row>
    <row r="24758" spans="43:43" x14ac:dyDescent="0.2">
      <c r="AQ24758" s="31"/>
    </row>
    <row r="24759" spans="43:43" x14ac:dyDescent="0.2">
      <c r="AQ24759" s="31"/>
    </row>
    <row r="24760" spans="43:43" x14ac:dyDescent="0.2">
      <c r="AQ24760" s="31"/>
    </row>
    <row r="24761" spans="43:43" x14ac:dyDescent="0.2">
      <c r="AQ24761" s="31"/>
    </row>
    <row r="24762" spans="43:43" x14ac:dyDescent="0.2">
      <c r="AQ24762" s="31"/>
    </row>
    <row r="24763" spans="43:43" x14ac:dyDescent="0.2">
      <c r="AQ24763" s="31"/>
    </row>
    <row r="24764" spans="43:43" x14ac:dyDescent="0.2">
      <c r="AQ24764" s="31"/>
    </row>
    <row r="24765" spans="43:43" x14ac:dyDescent="0.2">
      <c r="AQ24765" s="31"/>
    </row>
    <row r="24766" spans="43:43" x14ac:dyDescent="0.2">
      <c r="AQ24766" s="31"/>
    </row>
    <row r="24767" spans="43:43" x14ac:dyDescent="0.2">
      <c r="AQ24767" s="31"/>
    </row>
    <row r="24768" spans="43:43" x14ac:dyDescent="0.2">
      <c r="AQ24768" s="31"/>
    </row>
    <row r="24769" spans="43:43" x14ac:dyDescent="0.2">
      <c r="AQ24769" s="31"/>
    </row>
    <row r="24770" spans="43:43" x14ac:dyDescent="0.2">
      <c r="AQ24770" s="31"/>
    </row>
    <row r="24771" spans="43:43" x14ac:dyDescent="0.2">
      <c r="AQ24771" s="31"/>
    </row>
    <row r="24772" spans="43:43" x14ac:dyDescent="0.2">
      <c r="AQ24772" s="31"/>
    </row>
    <row r="24773" spans="43:43" x14ac:dyDescent="0.2">
      <c r="AQ24773" s="31"/>
    </row>
    <row r="24774" spans="43:43" x14ac:dyDescent="0.2">
      <c r="AQ24774" s="31"/>
    </row>
    <row r="24775" spans="43:43" x14ac:dyDescent="0.2">
      <c r="AQ24775" s="31"/>
    </row>
    <row r="24776" spans="43:43" x14ac:dyDescent="0.2">
      <c r="AQ24776" s="31"/>
    </row>
    <row r="24777" spans="43:43" x14ac:dyDescent="0.2">
      <c r="AQ24777" s="31"/>
    </row>
    <row r="24778" spans="43:43" x14ac:dyDescent="0.2">
      <c r="AQ24778" s="31"/>
    </row>
    <row r="24779" spans="43:43" x14ac:dyDescent="0.2">
      <c r="AQ24779" s="31"/>
    </row>
    <row r="24780" spans="43:43" x14ac:dyDescent="0.2">
      <c r="AQ24780" s="31"/>
    </row>
    <row r="24781" spans="43:43" x14ac:dyDescent="0.2">
      <c r="AQ24781" s="31"/>
    </row>
    <row r="24782" spans="43:43" x14ac:dyDescent="0.2">
      <c r="AQ24782" s="31"/>
    </row>
    <row r="24783" spans="43:43" x14ac:dyDescent="0.2">
      <c r="AQ24783" s="31"/>
    </row>
    <row r="24784" spans="43:43" x14ac:dyDescent="0.2">
      <c r="AQ24784" s="31"/>
    </row>
    <row r="24785" spans="43:43" x14ac:dyDescent="0.2">
      <c r="AQ24785" s="31"/>
    </row>
    <row r="24786" spans="43:43" x14ac:dyDescent="0.2">
      <c r="AQ24786" s="31"/>
    </row>
    <row r="24787" spans="43:43" x14ac:dyDescent="0.2">
      <c r="AQ24787" s="31"/>
    </row>
    <row r="24788" spans="43:43" x14ac:dyDescent="0.2">
      <c r="AQ24788" s="31"/>
    </row>
    <row r="24789" spans="43:43" x14ac:dyDescent="0.2">
      <c r="AQ24789" s="31"/>
    </row>
    <row r="24790" spans="43:43" x14ac:dyDescent="0.2">
      <c r="AQ24790" s="31"/>
    </row>
    <row r="24791" spans="43:43" x14ac:dyDescent="0.2">
      <c r="AQ24791" s="31"/>
    </row>
    <row r="24792" spans="43:43" x14ac:dyDescent="0.2">
      <c r="AQ24792" s="31"/>
    </row>
    <row r="24793" spans="43:43" x14ac:dyDescent="0.2">
      <c r="AQ24793" s="31"/>
    </row>
    <row r="24794" spans="43:43" x14ac:dyDescent="0.2">
      <c r="AQ24794" s="31"/>
    </row>
    <row r="24795" spans="43:43" x14ac:dyDescent="0.2">
      <c r="AQ24795" s="31"/>
    </row>
    <row r="24796" spans="43:43" x14ac:dyDescent="0.2">
      <c r="AQ24796" s="31"/>
    </row>
    <row r="24797" spans="43:43" x14ac:dyDescent="0.2">
      <c r="AQ24797" s="31"/>
    </row>
    <row r="24798" spans="43:43" x14ac:dyDescent="0.2">
      <c r="AQ24798" s="31"/>
    </row>
    <row r="24799" spans="43:43" x14ac:dyDescent="0.2">
      <c r="AQ24799" s="31"/>
    </row>
    <row r="24800" spans="43:43" x14ac:dyDescent="0.2">
      <c r="AQ24800" s="31"/>
    </row>
    <row r="24801" spans="43:43" x14ac:dyDescent="0.2">
      <c r="AQ24801" s="31"/>
    </row>
    <row r="24802" spans="43:43" x14ac:dyDescent="0.2">
      <c r="AQ24802" s="31"/>
    </row>
    <row r="24803" spans="43:43" x14ac:dyDescent="0.2">
      <c r="AQ24803" s="31"/>
    </row>
    <row r="24804" spans="43:43" x14ac:dyDescent="0.2">
      <c r="AQ24804" s="31"/>
    </row>
    <row r="24805" spans="43:43" x14ac:dyDescent="0.2">
      <c r="AQ24805" s="31"/>
    </row>
    <row r="24806" spans="43:43" x14ac:dyDescent="0.2">
      <c r="AQ24806" s="31"/>
    </row>
    <row r="24807" spans="43:43" x14ac:dyDescent="0.2">
      <c r="AQ24807" s="31"/>
    </row>
    <row r="24808" spans="43:43" x14ac:dyDescent="0.2">
      <c r="AQ24808" s="31"/>
    </row>
    <row r="24809" spans="43:43" x14ac:dyDescent="0.2">
      <c r="AQ24809" s="31"/>
    </row>
    <row r="24810" spans="43:43" x14ac:dyDescent="0.2">
      <c r="AQ24810" s="31"/>
    </row>
    <row r="24811" spans="43:43" x14ac:dyDescent="0.2">
      <c r="AQ24811" s="31"/>
    </row>
    <row r="24812" spans="43:43" x14ac:dyDescent="0.2">
      <c r="AQ24812" s="31"/>
    </row>
    <row r="24813" spans="43:43" x14ac:dyDescent="0.2">
      <c r="AQ24813" s="31"/>
    </row>
    <row r="24814" spans="43:43" x14ac:dyDescent="0.2">
      <c r="AQ24814" s="31"/>
    </row>
    <row r="24815" spans="43:43" x14ac:dyDescent="0.2">
      <c r="AQ24815" s="31"/>
    </row>
    <row r="24816" spans="43:43" x14ac:dyDescent="0.2">
      <c r="AQ24816" s="31"/>
    </row>
    <row r="24817" spans="43:43" x14ac:dyDescent="0.2">
      <c r="AQ24817" s="31"/>
    </row>
    <row r="24818" spans="43:43" x14ac:dyDescent="0.2">
      <c r="AQ24818" s="31"/>
    </row>
    <row r="24819" spans="43:43" x14ac:dyDescent="0.2">
      <c r="AQ24819" s="31"/>
    </row>
    <row r="24820" spans="43:43" x14ac:dyDescent="0.2">
      <c r="AQ24820" s="31"/>
    </row>
    <row r="24821" spans="43:43" x14ac:dyDescent="0.2">
      <c r="AQ24821" s="31"/>
    </row>
    <row r="24822" spans="43:43" x14ac:dyDescent="0.2">
      <c r="AQ24822" s="31"/>
    </row>
    <row r="24823" spans="43:43" x14ac:dyDescent="0.2">
      <c r="AQ24823" s="31"/>
    </row>
    <row r="24824" spans="43:43" x14ac:dyDescent="0.2">
      <c r="AQ24824" s="31"/>
    </row>
    <row r="24825" spans="43:43" x14ac:dyDescent="0.2">
      <c r="AQ24825" s="31"/>
    </row>
    <row r="24826" spans="43:43" x14ac:dyDescent="0.2">
      <c r="AQ24826" s="31"/>
    </row>
    <row r="24827" spans="43:43" x14ac:dyDescent="0.2">
      <c r="AQ24827" s="31"/>
    </row>
    <row r="24828" spans="43:43" x14ac:dyDescent="0.2">
      <c r="AQ24828" s="31"/>
    </row>
    <row r="24829" spans="43:43" x14ac:dyDescent="0.2">
      <c r="AQ24829" s="31"/>
    </row>
    <row r="24830" spans="43:43" x14ac:dyDescent="0.2">
      <c r="AQ24830" s="31"/>
    </row>
    <row r="24831" spans="43:43" x14ac:dyDescent="0.2">
      <c r="AQ24831" s="31"/>
    </row>
    <row r="24832" spans="43:43" x14ac:dyDescent="0.2">
      <c r="AQ24832" s="31"/>
    </row>
    <row r="24833" spans="43:43" x14ac:dyDescent="0.2">
      <c r="AQ24833" s="31"/>
    </row>
    <row r="24834" spans="43:43" x14ac:dyDescent="0.2">
      <c r="AQ24834" s="31"/>
    </row>
    <row r="24835" spans="43:43" x14ac:dyDescent="0.2">
      <c r="AQ24835" s="31"/>
    </row>
    <row r="24836" spans="43:43" x14ac:dyDescent="0.2">
      <c r="AQ24836" s="31"/>
    </row>
    <row r="24837" spans="43:43" x14ac:dyDescent="0.2">
      <c r="AQ24837" s="31"/>
    </row>
    <row r="24838" spans="43:43" x14ac:dyDescent="0.2">
      <c r="AQ24838" s="31"/>
    </row>
    <row r="24839" spans="43:43" x14ac:dyDescent="0.2">
      <c r="AQ24839" s="31"/>
    </row>
    <row r="24840" spans="43:43" x14ac:dyDescent="0.2">
      <c r="AQ24840" s="31"/>
    </row>
    <row r="24841" spans="43:43" x14ac:dyDescent="0.2">
      <c r="AQ24841" s="31"/>
    </row>
    <row r="24842" spans="43:43" x14ac:dyDescent="0.2">
      <c r="AQ24842" s="31"/>
    </row>
    <row r="24843" spans="43:43" x14ac:dyDescent="0.2">
      <c r="AQ24843" s="31"/>
    </row>
    <row r="24844" spans="43:43" x14ac:dyDescent="0.2">
      <c r="AQ24844" s="31"/>
    </row>
    <row r="24845" spans="43:43" x14ac:dyDescent="0.2">
      <c r="AQ24845" s="31"/>
    </row>
    <row r="24846" spans="43:43" x14ac:dyDescent="0.2">
      <c r="AQ24846" s="31"/>
    </row>
    <row r="24847" spans="43:43" x14ac:dyDescent="0.2">
      <c r="AQ24847" s="31"/>
    </row>
    <row r="24848" spans="43:43" x14ac:dyDescent="0.2">
      <c r="AQ24848" s="31"/>
    </row>
    <row r="24849" spans="43:43" x14ac:dyDescent="0.2">
      <c r="AQ24849" s="31"/>
    </row>
    <row r="24850" spans="43:43" x14ac:dyDescent="0.2">
      <c r="AQ24850" s="31"/>
    </row>
    <row r="24851" spans="43:43" x14ac:dyDescent="0.2">
      <c r="AQ24851" s="31"/>
    </row>
    <row r="24852" spans="43:43" x14ac:dyDescent="0.2">
      <c r="AQ24852" s="31"/>
    </row>
    <row r="24853" spans="43:43" x14ac:dyDescent="0.2">
      <c r="AQ24853" s="31"/>
    </row>
    <row r="24854" spans="43:43" x14ac:dyDescent="0.2">
      <c r="AQ24854" s="31"/>
    </row>
    <row r="24855" spans="43:43" x14ac:dyDescent="0.2">
      <c r="AQ24855" s="31"/>
    </row>
    <row r="24856" spans="43:43" x14ac:dyDescent="0.2">
      <c r="AQ24856" s="31"/>
    </row>
    <row r="24857" spans="43:43" x14ac:dyDescent="0.2">
      <c r="AQ24857" s="31"/>
    </row>
    <row r="24858" spans="43:43" x14ac:dyDescent="0.2">
      <c r="AQ24858" s="31"/>
    </row>
    <row r="24859" spans="43:43" x14ac:dyDescent="0.2">
      <c r="AQ24859" s="31"/>
    </row>
    <row r="24860" spans="43:43" x14ac:dyDescent="0.2">
      <c r="AQ24860" s="31"/>
    </row>
    <row r="24861" spans="43:43" x14ac:dyDescent="0.2">
      <c r="AQ24861" s="31"/>
    </row>
    <row r="24862" spans="43:43" x14ac:dyDescent="0.2">
      <c r="AQ24862" s="31"/>
    </row>
    <row r="24863" spans="43:43" x14ac:dyDescent="0.2">
      <c r="AQ24863" s="31"/>
    </row>
    <row r="24864" spans="43:43" x14ac:dyDescent="0.2">
      <c r="AQ24864" s="31"/>
    </row>
    <row r="24865" spans="43:43" x14ac:dyDescent="0.2">
      <c r="AQ24865" s="31"/>
    </row>
    <row r="24866" spans="43:43" x14ac:dyDescent="0.2">
      <c r="AQ24866" s="31"/>
    </row>
    <row r="24867" spans="43:43" x14ac:dyDescent="0.2">
      <c r="AQ24867" s="31"/>
    </row>
    <row r="24868" spans="43:43" x14ac:dyDescent="0.2">
      <c r="AQ24868" s="31"/>
    </row>
    <row r="24869" spans="43:43" x14ac:dyDescent="0.2">
      <c r="AQ24869" s="31"/>
    </row>
    <row r="24870" spans="43:43" x14ac:dyDescent="0.2">
      <c r="AQ24870" s="31"/>
    </row>
    <row r="24871" spans="43:43" x14ac:dyDescent="0.2">
      <c r="AQ24871" s="31"/>
    </row>
    <row r="24872" spans="43:43" x14ac:dyDescent="0.2">
      <c r="AQ24872" s="31"/>
    </row>
    <row r="24873" spans="43:43" x14ac:dyDescent="0.2">
      <c r="AQ24873" s="31"/>
    </row>
    <row r="24874" spans="43:43" x14ac:dyDescent="0.2">
      <c r="AQ24874" s="31"/>
    </row>
    <row r="24875" spans="43:43" x14ac:dyDescent="0.2">
      <c r="AQ24875" s="31"/>
    </row>
    <row r="24876" spans="43:43" x14ac:dyDescent="0.2">
      <c r="AQ24876" s="31"/>
    </row>
    <row r="24877" spans="43:43" x14ac:dyDescent="0.2">
      <c r="AQ24877" s="31"/>
    </row>
    <row r="24878" spans="43:43" x14ac:dyDescent="0.2">
      <c r="AQ24878" s="31"/>
    </row>
    <row r="24879" spans="43:43" x14ac:dyDescent="0.2">
      <c r="AQ24879" s="31"/>
    </row>
    <row r="24880" spans="43:43" x14ac:dyDescent="0.2">
      <c r="AQ24880" s="31"/>
    </row>
    <row r="24881" spans="43:43" x14ac:dyDescent="0.2">
      <c r="AQ24881" s="31"/>
    </row>
    <row r="24882" spans="43:43" x14ac:dyDescent="0.2">
      <c r="AQ24882" s="31"/>
    </row>
    <row r="24883" spans="43:43" x14ac:dyDescent="0.2">
      <c r="AQ24883" s="31"/>
    </row>
    <row r="24884" spans="43:43" x14ac:dyDescent="0.2">
      <c r="AQ24884" s="31"/>
    </row>
    <row r="24885" spans="43:43" x14ac:dyDescent="0.2">
      <c r="AQ24885" s="31"/>
    </row>
    <row r="24886" spans="43:43" x14ac:dyDescent="0.2">
      <c r="AQ24886" s="31"/>
    </row>
    <row r="24887" spans="43:43" x14ac:dyDescent="0.2">
      <c r="AQ24887" s="31"/>
    </row>
    <row r="24888" spans="43:43" x14ac:dyDescent="0.2">
      <c r="AQ24888" s="31"/>
    </row>
    <row r="24889" spans="43:43" x14ac:dyDescent="0.2">
      <c r="AQ24889" s="31"/>
    </row>
    <row r="24890" spans="43:43" x14ac:dyDescent="0.2">
      <c r="AQ24890" s="31"/>
    </row>
    <row r="24891" spans="43:43" x14ac:dyDescent="0.2">
      <c r="AQ24891" s="31"/>
    </row>
    <row r="24892" spans="43:43" x14ac:dyDescent="0.2">
      <c r="AQ24892" s="31"/>
    </row>
    <row r="24893" spans="43:43" x14ac:dyDescent="0.2">
      <c r="AQ24893" s="31"/>
    </row>
    <row r="24894" spans="43:43" x14ac:dyDescent="0.2">
      <c r="AQ24894" s="31"/>
    </row>
    <row r="24895" spans="43:43" x14ac:dyDescent="0.2">
      <c r="AQ24895" s="31"/>
    </row>
    <row r="24896" spans="43:43" x14ac:dyDescent="0.2">
      <c r="AQ24896" s="31"/>
    </row>
    <row r="24897" spans="43:43" x14ac:dyDescent="0.2">
      <c r="AQ24897" s="31"/>
    </row>
    <row r="24898" spans="43:43" x14ac:dyDescent="0.2">
      <c r="AQ24898" s="31"/>
    </row>
    <row r="24899" spans="43:43" x14ac:dyDescent="0.2">
      <c r="AQ24899" s="31"/>
    </row>
    <row r="24900" spans="43:43" x14ac:dyDescent="0.2">
      <c r="AQ24900" s="31"/>
    </row>
    <row r="24901" spans="43:43" x14ac:dyDescent="0.2">
      <c r="AQ24901" s="31"/>
    </row>
    <row r="24902" spans="43:43" x14ac:dyDescent="0.2">
      <c r="AQ24902" s="31"/>
    </row>
    <row r="24903" spans="43:43" x14ac:dyDescent="0.2">
      <c r="AQ24903" s="31"/>
    </row>
    <row r="24904" spans="43:43" x14ac:dyDescent="0.2">
      <c r="AQ24904" s="31"/>
    </row>
    <row r="24905" spans="43:43" x14ac:dyDescent="0.2">
      <c r="AQ24905" s="31"/>
    </row>
    <row r="24906" spans="43:43" x14ac:dyDescent="0.2">
      <c r="AQ24906" s="31"/>
    </row>
    <row r="24907" spans="43:43" x14ac:dyDescent="0.2">
      <c r="AQ24907" s="31"/>
    </row>
    <row r="24908" spans="43:43" x14ac:dyDescent="0.2">
      <c r="AQ24908" s="31"/>
    </row>
    <row r="24909" spans="43:43" x14ac:dyDescent="0.2">
      <c r="AQ24909" s="31"/>
    </row>
    <row r="24910" spans="43:43" x14ac:dyDescent="0.2">
      <c r="AQ24910" s="31"/>
    </row>
    <row r="24911" spans="43:43" x14ac:dyDescent="0.2">
      <c r="AQ24911" s="31"/>
    </row>
    <row r="24912" spans="43:43" x14ac:dyDescent="0.2">
      <c r="AQ24912" s="31"/>
    </row>
    <row r="24913" spans="43:43" x14ac:dyDescent="0.2">
      <c r="AQ24913" s="31"/>
    </row>
    <row r="24914" spans="43:43" x14ac:dyDescent="0.2">
      <c r="AQ24914" s="31"/>
    </row>
    <row r="24915" spans="43:43" x14ac:dyDescent="0.2">
      <c r="AQ24915" s="31"/>
    </row>
    <row r="24916" spans="43:43" x14ac:dyDescent="0.2">
      <c r="AQ24916" s="31"/>
    </row>
    <row r="24917" spans="43:43" x14ac:dyDescent="0.2">
      <c r="AQ24917" s="31"/>
    </row>
    <row r="24918" spans="43:43" x14ac:dyDescent="0.2">
      <c r="AQ24918" s="31"/>
    </row>
    <row r="24919" spans="43:43" x14ac:dyDescent="0.2">
      <c r="AQ24919" s="31"/>
    </row>
    <row r="24920" spans="43:43" x14ac:dyDescent="0.2">
      <c r="AQ24920" s="31"/>
    </row>
    <row r="24921" spans="43:43" x14ac:dyDescent="0.2">
      <c r="AQ24921" s="31"/>
    </row>
    <row r="24922" spans="43:43" x14ac:dyDescent="0.2">
      <c r="AQ24922" s="31"/>
    </row>
    <row r="24923" spans="43:43" x14ac:dyDescent="0.2">
      <c r="AQ24923" s="31"/>
    </row>
    <row r="24924" spans="43:43" x14ac:dyDescent="0.2">
      <c r="AQ24924" s="31"/>
    </row>
    <row r="24925" spans="43:43" x14ac:dyDescent="0.2">
      <c r="AQ24925" s="31"/>
    </row>
    <row r="24926" spans="43:43" x14ac:dyDescent="0.2">
      <c r="AQ24926" s="31"/>
    </row>
    <row r="24927" spans="43:43" x14ac:dyDescent="0.2">
      <c r="AQ24927" s="31"/>
    </row>
    <row r="24928" spans="43:43" x14ac:dyDescent="0.2">
      <c r="AQ24928" s="31"/>
    </row>
    <row r="24929" spans="43:43" x14ac:dyDescent="0.2">
      <c r="AQ24929" s="31"/>
    </row>
    <row r="24930" spans="43:43" x14ac:dyDescent="0.2">
      <c r="AQ24930" s="31"/>
    </row>
    <row r="24931" spans="43:43" x14ac:dyDescent="0.2">
      <c r="AQ24931" s="31"/>
    </row>
    <row r="24932" spans="43:43" x14ac:dyDescent="0.2">
      <c r="AQ24932" s="31"/>
    </row>
    <row r="24933" spans="43:43" x14ac:dyDescent="0.2">
      <c r="AQ24933" s="31"/>
    </row>
    <row r="24934" spans="43:43" x14ac:dyDescent="0.2">
      <c r="AQ24934" s="31"/>
    </row>
    <row r="24935" spans="43:43" x14ac:dyDescent="0.2">
      <c r="AQ24935" s="31"/>
    </row>
    <row r="24936" spans="43:43" x14ac:dyDescent="0.2">
      <c r="AQ24936" s="31"/>
    </row>
    <row r="24937" spans="43:43" x14ac:dyDescent="0.2">
      <c r="AQ24937" s="31"/>
    </row>
    <row r="24938" spans="43:43" x14ac:dyDescent="0.2">
      <c r="AQ24938" s="31"/>
    </row>
    <row r="24939" spans="43:43" x14ac:dyDescent="0.2">
      <c r="AQ24939" s="31"/>
    </row>
    <row r="24940" spans="43:43" x14ac:dyDescent="0.2">
      <c r="AQ24940" s="31"/>
    </row>
    <row r="24941" spans="43:43" x14ac:dyDescent="0.2">
      <c r="AQ24941" s="31"/>
    </row>
    <row r="24942" spans="43:43" x14ac:dyDescent="0.2">
      <c r="AQ24942" s="31"/>
    </row>
    <row r="24943" spans="43:43" x14ac:dyDescent="0.2">
      <c r="AQ24943" s="31"/>
    </row>
    <row r="24944" spans="43:43" x14ac:dyDescent="0.2">
      <c r="AQ24944" s="31"/>
    </row>
    <row r="24945" spans="43:43" x14ac:dyDescent="0.2">
      <c r="AQ24945" s="31"/>
    </row>
    <row r="24946" spans="43:43" x14ac:dyDescent="0.2">
      <c r="AQ24946" s="31"/>
    </row>
    <row r="24947" spans="43:43" x14ac:dyDescent="0.2">
      <c r="AQ24947" s="31"/>
    </row>
    <row r="24948" spans="43:43" x14ac:dyDescent="0.2">
      <c r="AQ24948" s="31"/>
    </row>
    <row r="24949" spans="43:43" x14ac:dyDescent="0.2">
      <c r="AQ24949" s="31"/>
    </row>
    <row r="24950" spans="43:43" x14ac:dyDescent="0.2">
      <c r="AQ24950" s="31"/>
    </row>
    <row r="24951" spans="43:43" x14ac:dyDescent="0.2">
      <c r="AQ24951" s="31"/>
    </row>
    <row r="24952" spans="43:43" x14ac:dyDescent="0.2">
      <c r="AQ24952" s="31"/>
    </row>
    <row r="24953" spans="43:43" x14ac:dyDescent="0.2">
      <c r="AQ24953" s="31"/>
    </row>
    <row r="24954" spans="43:43" x14ac:dyDescent="0.2">
      <c r="AQ24954" s="31"/>
    </row>
    <row r="24955" spans="43:43" x14ac:dyDescent="0.2">
      <c r="AQ24955" s="31"/>
    </row>
    <row r="24956" spans="43:43" x14ac:dyDescent="0.2">
      <c r="AQ24956" s="31"/>
    </row>
    <row r="24957" spans="43:43" x14ac:dyDescent="0.2">
      <c r="AQ24957" s="31"/>
    </row>
    <row r="24958" spans="43:43" x14ac:dyDescent="0.2">
      <c r="AQ24958" s="31"/>
    </row>
    <row r="24959" spans="43:43" x14ac:dyDescent="0.2">
      <c r="AQ24959" s="31"/>
    </row>
    <row r="24960" spans="43:43" x14ac:dyDescent="0.2">
      <c r="AQ24960" s="31"/>
    </row>
    <row r="24961" spans="43:43" x14ac:dyDescent="0.2">
      <c r="AQ24961" s="31"/>
    </row>
    <row r="24962" spans="43:43" x14ac:dyDescent="0.2">
      <c r="AQ24962" s="31"/>
    </row>
    <row r="24963" spans="43:43" x14ac:dyDescent="0.2">
      <c r="AQ24963" s="31"/>
    </row>
    <row r="24964" spans="43:43" x14ac:dyDescent="0.2">
      <c r="AQ24964" s="31"/>
    </row>
    <row r="24965" spans="43:43" x14ac:dyDescent="0.2">
      <c r="AQ24965" s="31"/>
    </row>
    <row r="24966" spans="43:43" x14ac:dyDescent="0.2">
      <c r="AQ24966" s="31"/>
    </row>
    <row r="24967" spans="43:43" x14ac:dyDescent="0.2">
      <c r="AQ24967" s="31"/>
    </row>
    <row r="24968" spans="43:43" x14ac:dyDescent="0.2">
      <c r="AQ24968" s="31"/>
    </row>
    <row r="24969" spans="43:43" x14ac:dyDescent="0.2">
      <c r="AQ24969" s="31"/>
    </row>
    <row r="24970" spans="43:43" x14ac:dyDescent="0.2">
      <c r="AQ24970" s="31"/>
    </row>
    <row r="24971" spans="43:43" x14ac:dyDescent="0.2">
      <c r="AQ24971" s="31"/>
    </row>
    <row r="24972" spans="43:43" x14ac:dyDescent="0.2">
      <c r="AQ24972" s="31"/>
    </row>
    <row r="24973" spans="43:43" x14ac:dyDescent="0.2">
      <c r="AQ24973" s="31"/>
    </row>
    <row r="24974" spans="43:43" x14ac:dyDescent="0.2">
      <c r="AQ24974" s="31"/>
    </row>
    <row r="24975" spans="43:43" x14ac:dyDescent="0.2">
      <c r="AQ24975" s="31"/>
    </row>
    <row r="24976" spans="43:43" x14ac:dyDescent="0.2">
      <c r="AQ24976" s="31"/>
    </row>
    <row r="24977" spans="43:43" x14ac:dyDescent="0.2">
      <c r="AQ24977" s="31"/>
    </row>
    <row r="24978" spans="43:43" x14ac:dyDescent="0.2">
      <c r="AQ24978" s="31"/>
    </row>
    <row r="24979" spans="43:43" x14ac:dyDescent="0.2">
      <c r="AQ24979" s="31"/>
    </row>
    <row r="24980" spans="43:43" x14ac:dyDescent="0.2">
      <c r="AQ24980" s="31"/>
    </row>
    <row r="24981" spans="43:43" x14ac:dyDescent="0.2">
      <c r="AQ24981" s="31"/>
    </row>
    <row r="24982" spans="43:43" x14ac:dyDescent="0.2">
      <c r="AQ24982" s="31"/>
    </row>
    <row r="24983" spans="43:43" x14ac:dyDescent="0.2">
      <c r="AQ24983" s="31"/>
    </row>
    <row r="24984" spans="43:43" x14ac:dyDescent="0.2">
      <c r="AQ24984" s="31"/>
    </row>
    <row r="24985" spans="43:43" x14ac:dyDescent="0.2">
      <c r="AQ24985" s="31"/>
    </row>
    <row r="24986" spans="43:43" x14ac:dyDescent="0.2">
      <c r="AQ24986" s="31"/>
    </row>
    <row r="24987" spans="43:43" x14ac:dyDescent="0.2">
      <c r="AQ24987" s="31"/>
    </row>
    <row r="24988" spans="43:43" x14ac:dyDescent="0.2">
      <c r="AQ24988" s="31"/>
    </row>
    <row r="24989" spans="43:43" x14ac:dyDescent="0.2">
      <c r="AQ24989" s="31"/>
    </row>
    <row r="24990" spans="43:43" x14ac:dyDescent="0.2">
      <c r="AQ24990" s="31"/>
    </row>
    <row r="24991" spans="43:43" x14ac:dyDescent="0.2">
      <c r="AQ24991" s="31"/>
    </row>
    <row r="24992" spans="43:43" x14ac:dyDescent="0.2">
      <c r="AQ24992" s="31"/>
    </row>
    <row r="24993" spans="43:43" x14ac:dyDescent="0.2">
      <c r="AQ24993" s="31"/>
    </row>
    <row r="24994" spans="43:43" x14ac:dyDescent="0.2">
      <c r="AQ24994" s="31"/>
    </row>
    <row r="24995" spans="43:43" x14ac:dyDescent="0.2">
      <c r="AQ24995" s="31"/>
    </row>
    <row r="24996" spans="43:43" x14ac:dyDescent="0.2">
      <c r="AQ24996" s="31"/>
    </row>
    <row r="24997" spans="43:43" x14ac:dyDescent="0.2">
      <c r="AQ24997" s="31"/>
    </row>
    <row r="24998" spans="43:43" x14ac:dyDescent="0.2">
      <c r="AQ24998" s="31"/>
    </row>
    <row r="24999" spans="43:43" x14ac:dyDescent="0.2">
      <c r="AQ24999" s="31"/>
    </row>
    <row r="25000" spans="43:43" x14ac:dyDescent="0.2">
      <c r="AQ25000" s="31"/>
    </row>
    <row r="25001" spans="43:43" x14ac:dyDescent="0.2">
      <c r="AQ25001" s="31"/>
    </row>
    <row r="25002" spans="43:43" x14ac:dyDescent="0.2">
      <c r="AQ25002" s="31"/>
    </row>
    <row r="25003" spans="43:43" x14ac:dyDescent="0.2">
      <c r="AQ25003" s="31"/>
    </row>
    <row r="25004" spans="43:43" x14ac:dyDescent="0.2">
      <c r="AQ25004" s="31"/>
    </row>
    <row r="25005" spans="43:43" x14ac:dyDescent="0.2">
      <c r="AQ25005" s="31"/>
    </row>
    <row r="25006" spans="43:43" x14ac:dyDescent="0.2">
      <c r="AQ25006" s="31"/>
    </row>
    <row r="25007" spans="43:43" x14ac:dyDescent="0.2">
      <c r="AQ25007" s="31"/>
    </row>
    <row r="25008" spans="43:43" x14ac:dyDescent="0.2">
      <c r="AQ25008" s="31"/>
    </row>
    <row r="25009" spans="43:43" x14ac:dyDescent="0.2">
      <c r="AQ25009" s="31"/>
    </row>
    <row r="25010" spans="43:43" x14ac:dyDescent="0.2">
      <c r="AQ25010" s="31"/>
    </row>
    <row r="25011" spans="43:43" x14ac:dyDescent="0.2">
      <c r="AQ25011" s="31"/>
    </row>
    <row r="25012" spans="43:43" x14ac:dyDescent="0.2">
      <c r="AQ25012" s="31"/>
    </row>
    <row r="25013" spans="43:43" x14ac:dyDescent="0.2">
      <c r="AQ25013" s="31"/>
    </row>
    <row r="25014" spans="43:43" x14ac:dyDescent="0.2">
      <c r="AQ25014" s="31"/>
    </row>
    <row r="25015" spans="43:43" x14ac:dyDescent="0.2">
      <c r="AQ25015" s="31"/>
    </row>
    <row r="25016" spans="43:43" x14ac:dyDescent="0.2">
      <c r="AQ25016" s="31"/>
    </row>
    <row r="25017" spans="43:43" x14ac:dyDescent="0.2">
      <c r="AQ25017" s="31"/>
    </row>
    <row r="25018" spans="43:43" x14ac:dyDescent="0.2">
      <c r="AQ25018" s="31"/>
    </row>
    <row r="25019" spans="43:43" x14ac:dyDescent="0.2">
      <c r="AQ25019" s="31"/>
    </row>
    <row r="25020" spans="43:43" x14ac:dyDescent="0.2">
      <c r="AQ25020" s="31"/>
    </row>
    <row r="25021" spans="43:43" x14ac:dyDescent="0.2">
      <c r="AQ25021" s="31"/>
    </row>
    <row r="25022" spans="43:43" x14ac:dyDescent="0.2">
      <c r="AQ25022" s="31"/>
    </row>
    <row r="25023" spans="43:43" x14ac:dyDescent="0.2">
      <c r="AQ25023" s="31"/>
    </row>
    <row r="25024" spans="43:43" x14ac:dyDescent="0.2">
      <c r="AQ25024" s="31"/>
    </row>
    <row r="25025" spans="43:43" x14ac:dyDescent="0.2">
      <c r="AQ25025" s="31"/>
    </row>
    <row r="25026" spans="43:43" x14ac:dyDescent="0.2">
      <c r="AQ25026" s="31"/>
    </row>
    <row r="25027" spans="43:43" x14ac:dyDescent="0.2">
      <c r="AQ25027" s="31"/>
    </row>
    <row r="25028" spans="43:43" x14ac:dyDescent="0.2">
      <c r="AQ25028" s="31"/>
    </row>
    <row r="25029" spans="43:43" x14ac:dyDescent="0.2">
      <c r="AQ25029" s="31"/>
    </row>
    <row r="25030" spans="43:43" x14ac:dyDescent="0.2">
      <c r="AQ25030" s="31"/>
    </row>
    <row r="25031" spans="43:43" x14ac:dyDescent="0.2">
      <c r="AQ25031" s="31"/>
    </row>
    <row r="25032" spans="43:43" x14ac:dyDescent="0.2">
      <c r="AQ25032" s="31"/>
    </row>
    <row r="25033" spans="43:43" x14ac:dyDescent="0.2">
      <c r="AQ25033" s="31"/>
    </row>
    <row r="25034" spans="43:43" x14ac:dyDescent="0.2">
      <c r="AQ25034" s="31"/>
    </row>
    <row r="25035" spans="43:43" x14ac:dyDescent="0.2">
      <c r="AQ25035" s="31"/>
    </row>
    <row r="25036" spans="43:43" x14ac:dyDescent="0.2">
      <c r="AQ25036" s="31"/>
    </row>
    <row r="25037" spans="43:43" x14ac:dyDescent="0.2">
      <c r="AQ25037" s="31"/>
    </row>
    <row r="25038" spans="43:43" x14ac:dyDescent="0.2">
      <c r="AQ25038" s="31"/>
    </row>
    <row r="25039" spans="43:43" x14ac:dyDescent="0.2">
      <c r="AQ25039" s="31"/>
    </row>
    <row r="25040" spans="43:43" x14ac:dyDescent="0.2">
      <c r="AQ25040" s="31"/>
    </row>
    <row r="25041" spans="43:43" x14ac:dyDescent="0.2">
      <c r="AQ25041" s="31"/>
    </row>
    <row r="25042" spans="43:43" x14ac:dyDescent="0.2">
      <c r="AQ25042" s="31"/>
    </row>
    <row r="25043" spans="43:43" x14ac:dyDescent="0.2">
      <c r="AQ25043" s="31"/>
    </row>
    <row r="25044" spans="43:43" x14ac:dyDescent="0.2">
      <c r="AQ25044" s="31"/>
    </row>
    <row r="25045" spans="43:43" x14ac:dyDescent="0.2">
      <c r="AQ25045" s="31"/>
    </row>
    <row r="25046" spans="43:43" x14ac:dyDescent="0.2">
      <c r="AQ25046" s="31"/>
    </row>
    <row r="25047" spans="43:43" x14ac:dyDescent="0.2">
      <c r="AQ25047" s="31"/>
    </row>
    <row r="25048" spans="43:43" x14ac:dyDescent="0.2">
      <c r="AQ25048" s="31"/>
    </row>
    <row r="25049" spans="43:43" x14ac:dyDescent="0.2">
      <c r="AQ25049" s="31"/>
    </row>
    <row r="25050" spans="43:43" x14ac:dyDescent="0.2">
      <c r="AQ25050" s="31"/>
    </row>
    <row r="25051" spans="43:43" x14ac:dyDescent="0.2">
      <c r="AQ25051" s="31"/>
    </row>
    <row r="25052" spans="43:43" x14ac:dyDescent="0.2">
      <c r="AQ25052" s="31"/>
    </row>
    <row r="25053" spans="43:43" x14ac:dyDescent="0.2">
      <c r="AQ25053" s="31"/>
    </row>
    <row r="25054" spans="43:43" x14ac:dyDescent="0.2">
      <c r="AQ25054" s="31"/>
    </row>
    <row r="25055" spans="43:43" x14ac:dyDescent="0.2">
      <c r="AQ25055" s="31"/>
    </row>
    <row r="25056" spans="43:43" x14ac:dyDescent="0.2">
      <c r="AQ25056" s="31"/>
    </row>
    <row r="25057" spans="43:43" x14ac:dyDescent="0.2">
      <c r="AQ25057" s="31"/>
    </row>
    <row r="25058" spans="43:43" x14ac:dyDescent="0.2">
      <c r="AQ25058" s="31"/>
    </row>
    <row r="25059" spans="43:43" x14ac:dyDescent="0.2">
      <c r="AQ25059" s="31"/>
    </row>
    <row r="25060" spans="43:43" x14ac:dyDescent="0.2">
      <c r="AQ25060" s="31"/>
    </row>
    <row r="25061" spans="43:43" x14ac:dyDescent="0.2">
      <c r="AQ25061" s="31"/>
    </row>
    <row r="25062" spans="43:43" x14ac:dyDescent="0.2">
      <c r="AQ25062" s="31"/>
    </row>
    <row r="25063" spans="43:43" x14ac:dyDescent="0.2">
      <c r="AQ25063" s="31"/>
    </row>
    <row r="25064" spans="43:43" x14ac:dyDescent="0.2">
      <c r="AQ25064" s="31"/>
    </row>
    <row r="25065" spans="43:43" x14ac:dyDescent="0.2">
      <c r="AQ25065" s="31"/>
    </row>
    <row r="25066" spans="43:43" x14ac:dyDescent="0.2">
      <c r="AQ25066" s="31"/>
    </row>
    <row r="25067" spans="43:43" x14ac:dyDescent="0.2">
      <c r="AQ25067" s="31"/>
    </row>
    <row r="25068" spans="43:43" x14ac:dyDescent="0.2">
      <c r="AQ25068" s="31"/>
    </row>
    <row r="25069" spans="43:43" x14ac:dyDescent="0.2">
      <c r="AQ25069" s="31"/>
    </row>
    <row r="25070" spans="43:43" x14ac:dyDescent="0.2">
      <c r="AQ25070" s="31"/>
    </row>
    <row r="25071" spans="43:43" x14ac:dyDescent="0.2">
      <c r="AQ25071" s="31"/>
    </row>
    <row r="25072" spans="43:43" x14ac:dyDescent="0.2">
      <c r="AQ25072" s="31"/>
    </row>
    <row r="25073" spans="43:43" x14ac:dyDescent="0.2">
      <c r="AQ25073" s="31"/>
    </row>
    <row r="25074" spans="43:43" x14ac:dyDescent="0.2">
      <c r="AQ25074" s="31"/>
    </row>
    <row r="25075" spans="43:43" x14ac:dyDescent="0.2">
      <c r="AQ25075" s="31"/>
    </row>
    <row r="25076" spans="43:43" x14ac:dyDescent="0.2">
      <c r="AQ25076" s="31"/>
    </row>
    <row r="25077" spans="43:43" x14ac:dyDescent="0.2">
      <c r="AQ25077" s="31"/>
    </row>
    <row r="25078" spans="43:43" x14ac:dyDescent="0.2">
      <c r="AQ25078" s="31"/>
    </row>
    <row r="25079" spans="43:43" x14ac:dyDescent="0.2">
      <c r="AQ25079" s="31"/>
    </row>
    <row r="25080" spans="43:43" x14ac:dyDescent="0.2">
      <c r="AQ25080" s="31"/>
    </row>
    <row r="25081" spans="43:43" x14ac:dyDescent="0.2">
      <c r="AQ25081" s="31"/>
    </row>
    <row r="25082" spans="43:43" x14ac:dyDescent="0.2">
      <c r="AQ25082" s="31"/>
    </row>
    <row r="25083" spans="43:43" x14ac:dyDescent="0.2">
      <c r="AQ25083" s="31"/>
    </row>
    <row r="25084" spans="43:43" x14ac:dyDescent="0.2">
      <c r="AQ25084" s="31"/>
    </row>
    <row r="25085" spans="43:43" x14ac:dyDescent="0.2">
      <c r="AQ25085" s="31"/>
    </row>
    <row r="25086" spans="43:43" x14ac:dyDescent="0.2">
      <c r="AQ25086" s="31"/>
    </row>
    <row r="25087" spans="43:43" x14ac:dyDescent="0.2">
      <c r="AQ25087" s="31"/>
    </row>
    <row r="25088" spans="43:43" x14ac:dyDescent="0.2">
      <c r="AQ25088" s="31"/>
    </row>
    <row r="25089" spans="43:43" x14ac:dyDescent="0.2">
      <c r="AQ25089" s="31"/>
    </row>
    <row r="25090" spans="43:43" x14ac:dyDescent="0.2">
      <c r="AQ25090" s="31"/>
    </row>
    <row r="25091" spans="43:43" x14ac:dyDescent="0.2">
      <c r="AQ25091" s="31"/>
    </row>
    <row r="25092" spans="43:43" x14ac:dyDescent="0.2">
      <c r="AQ25092" s="31"/>
    </row>
    <row r="25093" spans="43:43" x14ac:dyDescent="0.2">
      <c r="AQ25093" s="31"/>
    </row>
    <row r="25094" spans="43:43" x14ac:dyDescent="0.2">
      <c r="AQ25094" s="31"/>
    </row>
    <row r="25095" spans="43:43" x14ac:dyDescent="0.2">
      <c r="AQ25095" s="31"/>
    </row>
    <row r="25096" spans="43:43" x14ac:dyDescent="0.2">
      <c r="AQ25096" s="31"/>
    </row>
    <row r="25097" spans="43:43" x14ac:dyDescent="0.2">
      <c r="AQ25097" s="31"/>
    </row>
    <row r="25098" spans="43:43" x14ac:dyDescent="0.2">
      <c r="AQ25098" s="31"/>
    </row>
    <row r="25099" spans="43:43" x14ac:dyDescent="0.2">
      <c r="AQ25099" s="31"/>
    </row>
    <row r="25100" spans="43:43" x14ac:dyDescent="0.2">
      <c r="AQ25100" s="31"/>
    </row>
    <row r="25101" spans="43:43" x14ac:dyDescent="0.2">
      <c r="AQ25101" s="31"/>
    </row>
    <row r="25102" spans="43:43" x14ac:dyDescent="0.2">
      <c r="AQ25102" s="31"/>
    </row>
    <row r="25103" spans="43:43" x14ac:dyDescent="0.2">
      <c r="AQ25103" s="31"/>
    </row>
    <row r="25104" spans="43:43" x14ac:dyDescent="0.2">
      <c r="AQ25104" s="31"/>
    </row>
    <row r="25105" spans="43:43" x14ac:dyDescent="0.2">
      <c r="AQ25105" s="31"/>
    </row>
    <row r="25106" spans="43:43" x14ac:dyDescent="0.2">
      <c r="AQ25106" s="31"/>
    </row>
    <row r="25107" spans="43:43" x14ac:dyDescent="0.2">
      <c r="AQ25107" s="31"/>
    </row>
    <row r="25108" spans="43:43" x14ac:dyDescent="0.2">
      <c r="AQ25108" s="31"/>
    </row>
    <row r="25109" spans="43:43" x14ac:dyDescent="0.2">
      <c r="AQ25109" s="31"/>
    </row>
    <row r="25110" spans="43:43" x14ac:dyDescent="0.2">
      <c r="AQ25110" s="31"/>
    </row>
    <row r="25111" spans="43:43" x14ac:dyDescent="0.2">
      <c r="AQ25111" s="31"/>
    </row>
    <row r="25112" spans="43:43" x14ac:dyDescent="0.2">
      <c r="AQ25112" s="31"/>
    </row>
    <row r="25113" spans="43:43" x14ac:dyDescent="0.2">
      <c r="AQ25113" s="31"/>
    </row>
    <row r="25114" spans="43:43" x14ac:dyDescent="0.2">
      <c r="AQ25114" s="31"/>
    </row>
    <row r="25115" spans="43:43" x14ac:dyDescent="0.2">
      <c r="AQ25115" s="31"/>
    </row>
    <row r="25116" spans="43:43" x14ac:dyDescent="0.2">
      <c r="AQ25116" s="31"/>
    </row>
    <row r="25117" spans="43:43" x14ac:dyDescent="0.2">
      <c r="AQ25117" s="31"/>
    </row>
    <row r="25118" spans="43:43" x14ac:dyDescent="0.2">
      <c r="AQ25118" s="31"/>
    </row>
    <row r="25119" spans="43:43" x14ac:dyDescent="0.2">
      <c r="AQ25119" s="31"/>
    </row>
    <row r="25120" spans="43:43" x14ac:dyDescent="0.2">
      <c r="AQ25120" s="31"/>
    </row>
    <row r="25121" spans="43:43" x14ac:dyDescent="0.2">
      <c r="AQ25121" s="31"/>
    </row>
    <row r="25122" spans="43:43" x14ac:dyDescent="0.2">
      <c r="AQ25122" s="31"/>
    </row>
    <row r="25123" spans="43:43" x14ac:dyDescent="0.2">
      <c r="AQ25123" s="31"/>
    </row>
    <row r="25124" spans="43:43" x14ac:dyDescent="0.2">
      <c r="AQ25124" s="31"/>
    </row>
    <row r="25125" spans="43:43" x14ac:dyDescent="0.2">
      <c r="AQ25125" s="31"/>
    </row>
    <row r="25126" spans="43:43" x14ac:dyDescent="0.2">
      <c r="AQ25126" s="31"/>
    </row>
    <row r="25127" spans="43:43" x14ac:dyDescent="0.2">
      <c r="AQ25127" s="31"/>
    </row>
    <row r="25128" spans="43:43" x14ac:dyDescent="0.2">
      <c r="AQ25128" s="31"/>
    </row>
    <row r="25129" spans="43:43" x14ac:dyDescent="0.2">
      <c r="AQ25129" s="31"/>
    </row>
    <row r="25130" spans="43:43" x14ac:dyDescent="0.2">
      <c r="AQ25130" s="31"/>
    </row>
    <row r="25131" spans="43:43" x14ac:dyDescent="0.2">
      <c r="AQ25131" s="31"/>
    </row>
    <row r="25132" spans="43:43" x14ac:dyDescent="0.2">
      <c r="AQ25132" s="31"/>
    </row>
    <row r="25133" spans="43:43" x14ac:dyDescent="0.2">
      <c r="AQ25133" s="31"/>
    </row>
    <row r="25134" spans="43:43" x14ac:dyDescent="0.2">
      <c r="AQ25134" s="31"/>
    </row>
    <row r="25135" spans="43:43" x14ac:dyDescent="0.2">
      <c r="AQ25135" s="31"/>
    </row>
    <row r="25136" spans="43:43" x14ac:dyDescent="0.2">
      <c r="AQ25136" s="31"/>
    </row>
    <row r="25137" spans="43:43" x14ac:dyDescent="0.2">
      <c r="AQ25137" s="31"/>
    </row>
    <row r="25138" spans="43:43" x14ac:dyDescent="0.2">
      <c r="AQ25138" s="31"/>
    </row>
    <row r="25139" spans="43:43" x14ac:dyDescent="0.2">
      <c r="AQ25139" s="31"/>
    </row>
    <row r="25140" spans="43:43" x14ac:dyDescent="0.2">
      <c r="AQ25140" s="31"/>
    </row>
    <row r="25141" spans="43:43" x14ac:dyDescent="0.2">
      <c r="AQ25141" s="31"/>
    </row>
    <row r="25142" spans="43:43" x14ac:dyDescent="0.2">
      <c r="AQ25142" s="31"/>
    </row>
    <row r="25143" spans="43:43" x14ac:dyDescent="0.2">
      <c r="AQ25143" s="31"/>
    </row>
    <row r="25144" spans="43:43" x14ac:dyDescent="0.2">
      <c r="AQ25144" s="31"/>
    </row>
    <row r="25145" spans="43:43" x14ac:dyDescent="0.2">
      <c r="AQ25145" s="31"/>
    </row>
    <row r="25146" spans="43:43" x14ac:dyDescent="0.2">
      <c r="AQ25146" s="31"/>
    </row>
    <row r="25147" spans="43:43" x14ac:dyDescent="0.2">
      <c r="AQ25147" s="31"/>
    </row>
    <row r="25148" spans="43:43" x14ac:dyDescent="0.2">
      <c r="AQ25148" s="31"/>
    </row>
    <row r="25149" spans="43:43" x14ac:dyDescent="0.2">
      <c r="AQ25149" s="31"/>
    </row>
    <row r="25150" spans="43:43" x14ac:dyDescent="0.2">
      <c r="AQ25150" s="31"/>
    </row>
    <row r="25151" spans="43:43" x14ac:dyDescent="0.2">
      <c r="AQ25151" s="31"/>
    </row>
    <row r="25152" spans="43:43" x14ac:dyDescent="0.2">
      <c r="AQ25152" s="31"/>
    </row>
    <row r="25153" spans="43:43" x14ac:dyDescent="0.2">
      <c r="AQ25153" s="31"/>
    </row>
    <row r="25154" spans="43:43" x14ac:dyDescent="0.2">
      <c r="AQ25154" s="31"/>
    </row>
    <row r="25155" spans="43:43" x14ac:dyDescent="0.2">
      <c r="AQ25155" s="31"/>
    </row>
    <row r="25156" spans="43:43" x14ac:dyDescent="0.2">
      <c r="AQ25156" s="31"/>
    </row>
    <row r="25157" spans="43:43" x14ac:dyDescent="0.2">
      <c r="AQ25157" s="31"/>
    </row>
    <row r="25158" spans="43:43" x14ac:dyDescent="0.2">
      <c r="AQ25158" s="31"/>
    </row>
    <row r="25159" spans="43:43" x14ac:dyDescent="0.2">
      <c r="AQ25159" s="31"/>
    </row>
    <row r="25160" spans="43:43" x14ac:dyDescent="0.2">
      <c r="AQ25160" s="31"/>
    </row>
    <row r="25161" spans="43:43" x14ac:dyDescent="0.2">
      <c r="AQ25161" s="31"/>
    </row>
    <row r="25162" spans="43:43" x14ac:dyDescent="0.2">
      <c r="AQ25162" s="31"/>
    </row>
    <row r="25163" spans="43:43" x14ac:dyDescent="0.2">
      <c r="AQ25163" s="31"/>
    </row>
    <row r="25164" spans="43:43" x14ac:dyDescent="0.2">
      <c r="AQ25164" s="31"/>
    </row>
    <row r="25165" spans="43:43" x14ac:dyDescent="0.2">
      <c r="AQ25165" s="31"/>
    </row>
    <row r="25166" spans="43:43" x14ac:dyDescent="0.2">
      <c r="AQ25166" s="31"/>
    </row>
    <row r="25167" spans="43:43" x14ac:dyDescent="0.2">
      <c r="AQ25167" s="31"/>
    </row>
    <row r="25168" spans="43:43" x14ac:dyDescent="0.2">
      <c r="AQ25168" s="31"/>
    </row>
    <row r="25169" spans="43:43" x14ac:dyDescent="0.2">
      <c r="AQ25169" s="31"/>
    </row>
    <row r="25170" spans="43:43" x14ac:dyDescent="0.2">
      <c r="AQ25170" s="31"/>
    </row>
    <row r="25171" spans="43:43" x14ac:dyDescent="0.2">
      <c r="AQ25171" s="31"/>
    </row>
    <row r="25172" spans="43:43" x14ac:dyDescent="0.2">
      <c r="AQ25172" s="31"/>
    </row>
    <row r="25173" spans="43:43" x14ac:dyDescent="0.2">
      <c r="AQ25173" s="31"/>
    </row>
    <row r="25174" spans="43:43" x14ac:dyDescent="0.2">
      <c r="AQ25174" s="31"/>
    </row>
    <row r="25175" spans="43:43" x14ac:dyDescent="0.2">
      <c r="AQ25175" s="31"/>
    </row>
    <row r="25176" spans="43:43" x14ac:dyDescent="0.2">
      <c r="AQ25176" s="31"/>
    </row>
    <row r="25177" spans="43:43" x14ac:dyDescent="0.2">
      <c r="AQ25177" s="31"/>
    </row>
    <row r="25178" spans="43:43" x14ac:dyDescent="0.2">
      <c r="AQ25178" s="31"/>
    </row>
    <row r="25179" spans="43:43" x14ac:dyDescent="0.2">
      <c r="AQ25179" s="31"/>
    </row>
    <row r="25180" spans="43:43" x14ac:dyDescent="0.2">
      <c r="AQ25180" s="31"/>
    </row>
    <row r="25181" spans="43:43" x14ac:dyDescent="0.2">
      <c r="AQ25181" s="31"/>
    </row>
    <row r="25182" spans="43:43" x14ac:dyDescent="0.2">
      <c r="AQ25182" s="31"/>
    </row>
    <row r="25183" spans="43:43" x14ac:dyDescent="0.2">
      <c r="AQ25183" s="31"/>
    </row>
    <row r="25184" spans="43:43" x14ac:dyDescent="0.2">
      <c r="AQ25184" s="31"/>
    </row>
    <row r="25185" spans="43:43" x14ac:dyDescent="0.2">
      <c r="AQ25185" s="31"/>
    </row>
    <row r="25186" spans="43:43" x14ac:dyDescent="0.2">
      <c r="AQ25186" s="31"/>
    </row>
    <row r="25187" spans="43:43" x14ac:dyDescent="0.2">
      <c r="AQ25187" s="31"/>
    </row>
    <row r="25188" spans="43:43" x14ac:dyDescent="0.2">
      <c r="AQ25188" s="31"/>
    </row>
    <row r="25189" spans="43:43" x14ac:dyDescent="0.2">
      <c r="AQ25189" s="31"/>
    </row>
    <row r="25190" spans="43:43" x14ac:dyDescent="0.2">
      <c r="AQ25190" s="31"/>
    </row>
    <row r="25191" spans="43:43" x14ac:dyDescent="0.2">
      <c r="AQ25191" s="31"/>
    </row>
    <row r="25192" spans="43:43" x14ac:dyDescent="0.2">
      <c r="AQ25192" s="31"/>
    </row>
    <row r="25193" spans="43:43" x14ac:dyDescent="0.2">
      <c r="AQ25193" s="31"/>
    </row>
    <row r="25194" spans="43:43" x14ac:dyDescent="0.2">
      <c r="AQ25194" s="31"/>
    </row>
    <row r="25195" spans="43:43" x14ac:dyDescent="0.2">
      <c r="AQ25195" s="31"/>
    </row>
    <row r="25196" spans="43:43" x14ac:dyDescent="0.2">
      <c r="AQ25196" s="31"/>
    </row>
    <row r="25197" spans="43:43" x14ac:dyDescent="0.2">
      <c r="AQ25197" s="31"/>
    </row>
    <row r="25198" spans="43:43" x14ac:dyDescent="0.2">
      <c r="AQ25198" s="31"/>
    </row>
    <row r="25199" spans="43:43" x14ac:dyDescent="0.2">
      <c r="AQ25199" s="31"/>
    </row>
    <row r="25200" spans="43:43" x14ac:dyDescent="0.2">
      <c r="AQ25200" s="31"/>
    </row>
    <row r="25201" spans="43:43" x14ac:dyDescent="0.2">
      <c r="AQ25201" s="31"/>
    </row>
    <row r="25202" spans="43:43" x14ac:dyDescent="0.2">
      <c r="AQ25202" s="31"/>
    </row>
    <row r="25203" spans="43:43" x14ac:dyDescent="0.2">
      <c r="AQ25203" s="31"/>
    </row>
    <row r="25204" spans="43:43" x14ac:dyDescent="0.2">
      <c r="AQ25204" s="31"/>
    </row>
    <row r="25205" spans="43:43" x14ac:dyDescent="0.2">
      <c r="AQ25205" s="31"/>
    </row>
    <row r="25206" spans="43:43" x14ac:dyDescent="0.2">
      <c r="AQ25206" s="31"/>
    </row>
    <row r="25207" spans="43:43" x14ac:dyDescent="0.2">
      <c r="AQ25207" s="31"/>
    </row>
    <row r="25208" spans="43:43" x14ac:dyDescent="0.2">
      <c r="AQ25208" s="31"/>
    </row>
    <row r="25209" spans="43:43" x14ac:dyDescent="0.2">
      <c r="AQ25209" s="31"/>
    </row>
    <row r="25210" spans="43:43" x14ac:dyDescent="0.2">
      <c r="AQ25210" s="31"/>
    </row>
    <row r="25211" spans="43:43" x14ac:dyDescent="0.2">
      <c r="AQ25211" s="31"/>
    </row>
    <row r="25212" spans="43:43" x14ac:dyDescent="0.2">
      <c r="AQ25212" s="31"/>
    </row>
    <row r="25213" spans="43:43" x14ac:dyDescent="0.2">
      <c r="AQ25213" s="31"/>
    </row>
    <row r="25214" spans="43:43" x14ac:dyDescent="0.2">
      <c r="AQ25214" s="31"/>
    </row>
    <row r="25215" spans="43:43" x14ac:dyDescent="0.2">
      <c r="AQ25215" s="31"/>
    </row>
    <row r="25216" spans="43:43" x14ac:dyDescent="0.2">
      <c r="AQ25216" s="31"/>
    </row>
    <row r="25217" spans="43:43" x14ac:dyDescent="0.2">
      <c r="AQ25217" s="31"/>
    </row>
    <row r="25218" spans="43:43" x14ac:dyDescent="0.2">
      <c r="AQ25218" s="31"/>
    </row>
    <row r="25219" spans="43:43" x14ac:dyDescent="0.2">
      <c r="AQ25219" s="31"/>
    </row>
    <row r="25220" spans="43:43" x14ac:dyDescent="0.2">
      <c r="AQ25220" s="31"/>
    </row>
    <row r="25221" spans="43:43" x14ac:dyDescent="0.2">
      <c r="AQ25221" s="31"/>
    </row>
    <row r="25222" spans="43:43" x14ac:dyDescent="0.2">
      <c r="AQ25222" s="31"/>
    </row>
    <row r="25223" spans="43:43" x14ac:dyDescent="0.2">
      <c r="AQ25223" s="31"/>
    </row>
    <row r="25224" spans="43:43" x14ac:dyDescent="0.2">
      <c r="AQ25224" s="31"/>
    </row>
    <row r="25225" spans="43:43" x14ac:dyDescent="0.2">
      <c r="AQ25225" s="31"/>
    </row>
    <row r="25226" spans="43:43" x14ac:dyDescent="0.2">
      <c r="AQ25226" s="31"/>
    </row>
    <row r="25227" spans="43:43" x14ac:dyDescent="0.2">
      <c r="AQ25227" s="31"/>
    </row>
    <row r="25228" spans="43:43" x14ac:dyDescent="0.2">
      <c r="AQ25228" s="31"/>
    </row>
    <row r="25229" spans="43:43" x14ac:dyDescent="0.2">
      <c r="AQ25229" s="31"/>
    </row>
    <row r="25230" spans="43:43" x14ac:dyDescent="0.2">
      <c r="AQ25230" s="31"/>
    </row>
    <row r="25231" spans="43:43" x14ac:dyDescent="0.2">
      <c r="AQ25231" s="31"/>
    </row>
    <row r="25232" spans="43:43" x14ac:dyDescent="0.2">
      <c r="AQ25232" s="31"/>
    </row>
    <row r="25233" spans="43:43" x14ac:dyDescent="0.2">
      <c r="AQ25233" s="31"/>
    </row>
    <row r="25234" spans="43:43" x14ac:dyDescent="0.2">
      <c r="AQ25234" s="31"/>
    </row>
    <row r="25235" spans="43:43" x14ac:dyDescent="0.2">
      <c r="AQ25235" s="31"/>
    </row>
    <row r="25236" spans="43:43" x14ac:dyDescent="0.2">
      <c r="AQ25236" s="31"/>
    </row>
    <row r="25237" spans="43:43" x14ac:dyDescent="0.2">
      <c r="AQ25237" s="31"/>
    </row>
    <row r="25238" spans="43:43" x14ac:dyDescent="0.2">
      <c r="AQ25238" s="31"/>
    </row>
    <row r="25239" spans="43:43" x14ac:dyDescent="0.2">
      <c r="AQ25239" s="31"/>
    </row>
    <row r="25240" spans="43:43" x14ac:dyDescent="0.2">
      <c r="AQ25240" s="31"/>
    </row>
    <row r="25241" spans="43:43" x14ac:dyDescent="0.2">
      <c r="AQ25241" s="31"/>
    </row>
    <row r="25242" spans="43:43" x14ac:dyDescent="0.2">
      <c r="AQ25242" s="31"/>
    </row>
    <row r="25243" spans="43:43" x14ac:dyDescent="0.2">
      <c r="AQ25243" s="31"/>
    </row>
    <row r="25244" spans="43:43" x14ac:dyDescent="0.2">
      <c r="AQ25244" s="31"/>
    </row>
    <row r="25245" spans="43:43" x14ac:dyDescent="0.2">
      <c r="AQ25245" s="31"/>
    </row>
    <row r="25246" spans="43:43" x14ac:dyDescent="0.2">
      <c r="AQ25246" s="31"/>
    </row>
    <row r="25247" spans="43:43" x14ac:dyDescent="0.2">
      <c r="AQ25247" s="31"/>
    </row>
    <row r="25248" spans="43:43" x14ac:dyDescent="0.2">
      <c r="AQ25248" s="31"/>
    </row>
    <row r="25249" spans="43:43" x14ac:dyDescent="0.2">
      <c r="AQ25249" s="31"/>
    </row>
    <row r="25250" spans="43:43" x14ac:dyDescent="0.2">
      <c r="AQ25250" s="31"/>
    </row>
    <row r="25251" spans="43:43" x14ac:dyDescent="0.2">
      <c r="AQ25251" s="31"/>
    </row>
    <row r="25252" spans="43:43" x14ac:dyDescent="0.2">
      <c r="AQ25252" s="31"/>
    </row>
    <row r="25253" spans="43:43" x14ac:dyDescent="0.2">
      <c r="AQ25253" s="31"/>
    </row>
    <row r="25254" spans="43:43" x14ac:dyDescent="0.2">
      <c r="AQ25254" s="31"/>
    </row>
    <row r="25255" spans="43:43" x14ac:dyDescent="0.2">
      <c r="AQ25255" s="31"/>
    </row>
    <row r="25256" spans="43:43" x14ac:dyDescent="0.2">
      <c r="AQ25256" s="31"/>
    </row>
    <row r="25257" spans="43:43" x14ac:dyDescent="0.2">
      <c r="AQ25257" s="31"/>
    </row>
    <row r="25258" spans="43:43" x14ac:dyDescent="0.2">
      <c r="AQ25258" s="31"/>
    </row>
    <row r="25259" spans="43:43" x14ac:dyDescent="0.2">
      <c r="AQ25259" s="31"/>
    </row>
    <row r="25260" spans="43:43" x14ac:dyDescent="0.2">
      <c r="AQ25260" s="31"/>
    </row>
    <row r="25261" spans="43:43" x14ac:dyDescent="0.2">
      <c r="AQ25261" s="31"/>
    </row>
    <row r="25262" spans="43:43" x14ac:dyDescent="0.2">
      <c r="AQ25262" s="31"/>
    </row>
    <row r="25263" spans="43:43" x14ac:dyDescent="0.2">
      <c r="AQ25263" s="31"/>
    </row>
    <row r="25264" spans="43:43" x14ac:dyDescent="0.2">
      <c r="AQ25264" s="31"/>
    </row>
    <row r="25265" spans="43:43" x14ac:dyDescent="0.2">
      <c r="AQ25265" s="31"/>
    </row>
    <row r="25266" spans="43:43" x14ac:dyDescent="0.2">
      <c r="AQ25266" s="31"/>
    </row>
    <row r="25267" spans="43:43" x14ac:dyDescent="0.2">
      <c r="AQ25267" s="31"/>
    </row>
    <row r="25268" spans="43:43" x14ac:dyDescent="0.2">
      <c r="AQ25268" s="31"/>
    </row>
    <row r="25269" spans="43:43" x14ac:dyDescent="0.2">
      <c r="AQ25269" s="31"/>
    </row>
    <row r="25270" spans="43:43" x14ac:dyDescent="0.2">
      <c r="AQ25270" s="31"/>
    </row>
    <row r="25271" spans="43:43" x14ac:dyDescent="0.2">
      <c r="AQ25271" s="31"/>
    </row>
    <row r="25272" spans="43:43" x14ac:dyDescent="0.2">
      <c r="AQ25272" s="31"/>
    </row>
    <row r="25273" spans="43:43" x14ac:dyDescent="0.2">
      <c r="AQ25273" s="31"/>
    </row>
    <row r="25274" spans="43:43" x14ac:dyDescent="0.2">
      <c r="AQ25274" s="31"/>
    </row>
    <row r="25275" spans="43:43" x14ac:dyDescent="0.2">
      <c r="AQ25275" s="31"/>
    </row>
    <row r="25276" spans="43:43" x14ac:dyDescent="0.2">
      <c r="AQ25276" s="31"/>
    </row>
    <row r="25277" spans="43:43" x14ac:dyDescent="0.2">
      <c r="AQ25277" s="31"/>
    </row>
    <row r="25278" spans="43:43" x14ac:dyDescent="0.2">
      <c r="AQ25278" s="31"/>
    </row>
    <row r="25279" spans="43:43" x14ac:dyDescent="0.2">
      <c r="AQ25279" s="31"/>
    </row>
    <row r="25280" spans="43:43" x14ac:dyDescent="0.2">
      <c r="AQ25280" s="31"/>
    </row>
    <row r="25281" spans="43:43" x14ac:dyDescent="0.2">
      <c r="AQ25281" s="31"/>
    </row>
    <row r="25282" spans="43:43" x14ac:dyDescent="0.2">
      <c r="AQ25282" s="31"/>
    </row>
    <row r="25283" spans="43:43" x14ac:dyDescent="0.2">
      <c r="AQ25283" s="31"/>
    </row>
    <row r="25284" spans="43:43" x14ac:dyDescent="0.2">
      <c r="AQ25284" s="31"/>
    </row>
    <row r="25285" spans="43:43" x14ac:dyDescent="0.2">
      <c r="AQ25285" s="31"/>
    </row>
    <row r="25286" spans="43:43" x14ac:dyDescent="0.2">
      <c r="AQ25286" s="31"/>
    </row>
    <row r="25287" spans="43:43" x14ac:dyDescent="0.2">
      <c r="AQ25287" s="31"/>
    </row>
    <row r="25288" spans="43:43" x14ac:dyDescent="0.2">
      <c r="AQ25288" s="31"/>
    </row>
    <row r="25289" spans="43:43" x14ac:dyDescent="0.2">
      <c r="AQ25289" s="31"/>
    </row>
    <row r="25290" spans="43:43" x14ac:dyDescent="0.2">
      <c r="AQ25290" s="31"/>
    </row>
    <row r="25291" spans="43:43" x14ac:dyDescent="0.2">
      <c r="AQ25291" s="31"/>
    </row>
    <row r="25292" spans="43:43" x14ac:dyDescent="0.2">
      <c r="AQ25292" s="31"/>
    </row>
    <row r="25293" spans="43:43" x14ac:dyDescent="0.2">
      <c r="AQ25293" s="31"/>
    </row>
    <row r="25294" spans="43:43" x14ac:dyDescent="0.2">
      <c r="AQ25294" s="31"/>
    </row>
    <row r="25295" spans="43:43" x14ac:dyDescent="0.2">
      <c r="AQ25295" s="31"/>
    </row>
    <row r="25296" spans="43:43" x14ac:dyDescent="0.2">
      <c r="AQ25296" s="31"/>
    </row>
    <row r="25297" spans="43:43" x14ac:dyDescent="0.2">
      <c r="AQ25297" s="31"/>
    </row>
    <row r="25298" spans="43:43" x14ac:dyDescent="0.2">
      <c r="AQ25298" s="31"/>
    </row>
    <row r="25299" spans="43:43" x14ac:dyDescent="0.2">
      <c r="AQ25299" s="31"/>
    </row>
    <row r="25300" spans="43:43" x14ac:dyDescent="0.2">
      <c r="AQ25300" s="31"/>
    </row>
    <row r="25301" spans="43:43" x14ac:dyDescent="0.2">
      <c r="AQ25301" s="31"/>
    </row>
    <row r="25302" spans="43:43" x14ac:dyDescent="0.2">
      <c r="AQ25302" s="31"/>
    </row>
    <row r="25303" spans="43:43" x14ac:dyDescent="0.2">
      <c r="AQ25303" s="31"/>
    </row>
    <row r="25304" spans="43:43" x14ac:dyDescent="0.2">
      <c r="AQ25304" s="31"/>
    </row>
    <row r="25305" spans="43:43" x14ac:dyDescent="0.2">
      <c r="AQ25305" s="31"/>
    </row>
    <row r="25306" spans="43:43" x14ac:dyDescent="0.2">
      <c r="AQ25306" s="31"/>
    </row>
    <row r="25307" spans="43:43" x14ac:dyDescent="0.2">
      <c r="AQ25307" s="31"/>
    </row>
    <row r="25308" spans="43:43" x14ac:dyDescent="0.2">
      <c r="AQ25308" s="31"/>
    </row>
    <row r="25309" spans="43:43" x14ac:dyDescent="0.2">
      <c r="AQ25309" s="31"/>
    </row>
    <row r="25310" spans="43:43" x14ac:dyDescent="0.2">
      <c r="AQ25310" s="31"/>
    </row>
    <row r="25311" spans="43:43" x14ac:dyDescent="0.2">
      <c r="AQ25311" s="31"/>
    </row>
    <row r="25312" spans="43:43" x14ac:dyDescent="0.2">
      <c r="AQ25312" s="31"/>
    </row>
    <row r="25313" spans="43:43" x14ac:dyDescent="0.2">
      <c r="AQ25313" s="31"/>
    </row>
    <row r="25314" spans="43:43" x14ac:dyDescent="0.2">
      <c r="AQ25314" s="31"/>
    </row>
    <row r="25315" spans="43:43" x14ac:dyDescent="0.2">
      <c r="AQ25315" s="31"/>
    </row>
    <row r="25316" spans="43:43" x14ac:dyDescent="0.2">
      <c r="AQ25316" s="31"/>
    </row>
    <row r="25317" spans="43:43" x14ac:dyDescent="0.2">
      <c r="AQ25317" s="31"/>
    </row>
    <row r="25318" spans="43:43" x14ac:dyDescent="0.2">
      <c r="AQ25318" s="31"/>
    </row>
    <row r="25319" spans="43:43" x14ac:dyDescent="0.2">
      <c r="AQ25319" s="31"/>
    </row>
    <row r="25320" spans="43:43" x14ac:dyDescent="0.2">
      <c r="AQ25320" s="31"/>
    </row>
    <row r="25321" spans="43:43" x14ac:dyDescent="0.2">
      <c r="AQ25321" s="31"/>
    </row>
    <row r="25322" spans="43:43" x14ac:dyDescent="0.2">
      <c r="AQ25322" s="31"/>
    </row>
    <row r="25323" spans="43:43" x14ac:dyDescent="0.2">
      <c r="AQ25323" s="31"/>
    </row>
    <row r="25324" spans="43:43" x14ac:dyDescent="0.2">
      <c r="AQ25324" s="31"/>
    </row>
    <row r="25325" spans="43:43" x14ac:dyDescent="0.2">
      <c r="AQ25325" s="31"/>
    </row>
    <row r="25326" spans="43:43" x14ac:dyDescent="0.2">
      <c r="AQ25326" s="31"/>
    </row>
    <row r="25327" spans="43:43" x14ac:dyDescent="0.2">
      <c r="AQ25327" s="31"/>
    </row>
    <row r="25328" spans="43:43" x14ac:dyDescent="0.2">
      <c r="AQ25328" s="31"/>
    </row>
    <row r="25329" spans="43:43" x14ac:dyDescent="0.2">
      <c r="AQ25329" s="31"/>
    </row>
    <row r="25330" spans="43:43" x14ac:dyDescent="0.2">
      <c r="AQ25330" s="31"/>
    </row>
    <row r="25331" spans="43:43" x14ac:dyDescent="0.2">
      <c r="AQ25331" s="31"/>
    </row>
    <row r="25332" spans="43:43" x14ac:dyDescent="0.2">
      <c r="AQ25332" s="31"/>
    </row>
    <row r="25333" spans="43:43" x14ac:dyDescent="0.2">
      <c r="AQ25333" s="31"/>
    </row>
    <row r="25334" spans="43:43" x14ac:dyDescent="0.2">
      <c r="AQ25334" s="31"/>
    </row>
    <row r="25335" spans="43:43" x14ac:dyDescent="0.2">
      <c r="AQ25335" s="31"/>
    </row>
    <row r="25336" spans="43:43" x14ac:dyDescent="0.2">
      <c r="AQ25336" s="31"/>
    </row>
    <row r="25337" spans="43:43" x14ac:dyDescent="0.2">
      <c r="AQ25337" s="31"/>
    </row>
    <row r="25338" spans="43:43" x14ac:dyDescent="0.2">
      <c r="AQ25338" s="31"/>
    </row>
    <row r="25339" spans="43:43" x14ac:dyDescent="0.2">
      <c r="AQ25339" s="31"/>
    </row>
    <row r="25340" spans="43:43" x14ac:dyDescent="0.2">
      <c r="AQ25340" s="31"/>
    </row>
    <row r="25341" spans="43:43" x14ac:dyDescent="0.2">
      <c r="AQ25341" s="31"/>
    </row>
    <row r="25342" spans="43:43" x14ac:dyDescent="0.2">
      <c r="AQ25342" s="31"/>
    </row>
    <row r="25343" spans="43:43" x14ac:dyDescent="0.2">
      <c r="AQ25343" s="31"/>
    </row>
    <row r="25344" spans="43:43" x14ac:dyDescent="0.2">
      <c r="AQ25344" s="31"/>
    </row>
    <row r="25345" spans="43:43" x14ac:dyDescent="0.2">
      <c r="AQ25345" s="31"/>
    </row>
    <row r="25346" spans="43:43" x14ac:dyDescent="0.2">
      <c r="AQ25346" s="31"/>
    </row>
    <row r="25347" spans="43:43" x14ac:dyDescent="0.2">
      <c r="AQ25347" s="31"/>
    </row>
    <row r="25348" spans="43:43" x14ac:dyDescent="0.2">
      <c r="AQ25348" s="31"/>
    </row>
    <row r="25349" spans="43:43" x14ac:dyDescent="0.2">
      <c r="AQ25349" s="31"/>
    </row>
    <row r="25350" spans="43:43" x14ac:dyDescent="0.2">
      <c r="AQ25350" s="31"/>
    </row>
    <row r="25351" spans="43:43" x14ac:dyDescent="0.2">
      <c r="AQ25351" s="31"/>
    </row>
    <row r="25352" spans="43:43" x14ac:dyDescent="0.2">
      <c r="AQ25352" s="31"/>
    </row>
    <row r="25353" spans="43:43" x14ac:dyDescent="0.2">
      <c r="AQ25353" s="31"/>
    </row>
    <row r="25354" spans="43:43" x14ac:dyDescent="0.2">
      <c r="AQ25354" s="31"/>
    </row>
    <row r="25355" spans="43:43" x14ac:dyDescent="0.2">
      <c r="AQ25355" s="31"/>
    </row>
    <row r="25356" spans="43:43" x14ac:dyDescent="0.2">
      <c r="AQ25356" s="31"/>
    </row>
    <row r="25357" spans="43:43" x14ac:dyDescent="0.2">
      <c r="AQ25357" s="31"/>
    </row>
    <row r="25358" spans="43:43" x14ac:dyDescent="0.2">
      <c r="AQ25358" s="31"/>
    </row>
    <row r="25359" spans="43:43" x14ac:dyDescent="0.2">
      <c r="AQ25359" s="31"/>
    </row>
    <row r="25360" spans="43:43" x14ac:dyDescent="0.2">
      <c r="AQ25360" s="31"/>
    </row>
    <row r="25361" spans="43:43" x14ac:dyDescent="0.2">
      <c r="AQ25361" s="31"/>
    </row>
    <row r="25362" spans="43:43" x14ac:dyDescent="0.2">
      <c r="AQ25362" s="31"/>
    </row>
    <row r="25363" spans="43:43" x14ac:dyDescent="0.2">
      <c r="AQ25363" s="31"/>
    </row>
    <row r="25364" spans="43:43" x14ac:dyDescent="0.2">
      <c r="AQ25364" s="31"/>
    </row>
    <row r="25365" spans="43:43" x14ac:dyDescent="0.2">
      <c r="AQ25365" s="31"/>
    </row>
    <row r="25366" spans="43:43" x14ac:dyDescent="0.2">
      <c r="AQ25366" s="31"/>
    </row>
    <row r="25367" spans="43:43" x14ac:dyDescent="0.2">
      <c r="AQ25367" s="31"/>
    </row>
    <row r="25368" spans="43:43" x14ac:dyDescent="0.2">
      <c r="AQ25368" s="31"/>
    </row>
    <row r="25369" spans="43:43" x14ac:dyDescent="0.2">
      <c r="AQ25369" s="31"/>
    </row>
    <row r="25370" spans="43:43" x14ac:dyDescent="0.2">
      <c r="AQ25370" s="31"/>
    </row>
    <row r="25371" spans="43:43" x14ac:dyDescent="0.2">
      <c r="AQ25371" s="31"/>
    </row>
    <row r="25372" spans="43:43" x14ac:dyDescent="0.2">
      <c r="AQ25372" s="31"/>
    </row>
    <row r="25373" spans="43:43" x14ac:dyDescent="0.2">
      <c r="AQ25373" s="31"/>
    </row>
    <row r="25374" spans="43:43" x14ac:dyDescent="0.2">
      <c r="AQ25374" s="31"/>
    </row>
    <row r="25375" spans="43:43" x14ac:dyDescent="0.2">
      <c r="AQ25375" s="31"/>
    </row>
    <row r="25376" spans="43:43" x14ac:dyDescent="0.2">
      <c r="AQ25376" s="31"/>
    </row>
    <row r="25377" spans="43:43" x14ac:dyDescent="0.2">
      <c r="AQ25377" s="31"/>
    </row>
    <row r="25378" spans="43:43" x14ac:dyDescent="0.2">
      <c r="AQ25378" s="31"/>
    </row>
    <row r="25379" spans="43:43" x14ac:dyDescent="0.2">
      <c r="AQ25379" s="31"/>
    </row>
    <row r="25380" spans="43:43" x14ac:dyDescent="0.2">
      <c r="AQ25380" s="31"/>
    </row>
    <row r="25381" spans="43:43" x14ac:dyDescent="0.2">
      <c r="AQ25381" s="31"/>
    </row>
    <row r="25382" spans="43:43" x14ac:dyDescent="0.2">
      <c r="AQ25382" s="31"/>
    </row>
    <row r="25383" spans="43:43" x14ac:dyDescent="0.2">
      <c r="AQ25383" s="31"/>
    </row>
    <row r="25384" spans="43:43" x14ac:dyDescent="0.2">
      <c r="AQ25384" s="31"/>
    </row>
    <row r="25385" spans="43:43" x14ac:dyDescent="0.2">
      <c r="AQ25385" s="31"/>
    </row>
    <row r="25386" spans="43:43" x14ac:dyDescent="0.2">
      <c r="AQ25386" s="31"/>
    </row>
    <row r="25387" spans="43:43" x14ac:dyDescent="0.2">
      <c r="AQ25387" s="31"/>
    </row>
    <row r="25388" spans="43:43" x14ac:dyDescent="0.2">
      <c r="AQ25388" s="31"/>
    </row>
    <row r="25389" spans="43:43" x14ac:dyDescent="0.2">
      <c r="AQ25389" s="31"/>
    </row>
    <row r="25390" spans="43:43" x14ac:dyDescent="0.2">
      <c r="AQ25390" s="31"/>
    </row>
    <row r="25391" spans="43:43" x14ac:dyDescent="0.2">
      <c r="AQ25391" s="31"/>
    </row>
    <row r="25392" spans="43:43" x14ac:dyDescent="0.2">
      <c r="AQ25392" s="31"/>
    </row>
    <row r="25393" spans="43:43" x14ac:dyDescent="0.2">
      <c r="AQ25393" s="31"/>
    </row>
    <row r="25394" spans="43:43" x14ac:dyDescent="0.2">
      <c r="AQ25394" s="31"/>
    </row>
    <row r="25395" spans="43:43" x14ac:dyDescent="0.2">
      <c r="AQ25395" s="31"/>
    </row>
    <row r="25396" spans="43:43" x14ac:dyDescent="0.2">
      <c r="AQ25396" s="31"/>
    </row>
    <row r="25397" spans="43:43" x14ac:dyDescent="0.2">
      <c r="AQ25397" s="31"/>
    </row>
    <row r="25398" spans="43:43" x14ac:dyDescent="0.2">
      <c r="AQ25398" s="31"/>
    </row>
    <row r="25399" spans="43:43" x14ac:dyDescent="0.2">
      <c r="AQ25399" s="31"/>
    </row>
    <row r="25400" spans="43:43" x14ac:dyDescent="0.2">
      <c r="AQ25400" s="31"/>
    </row>
    <row r="25401" spans="43:43" x14ac:dyDescent="0.2">
      <c r="AQ25401" s="31"/>
    </row>
    <row r="25402" spans="43:43" x14ac:dyDescent="0.2">
      <c r="AQ25402" s="31"/>
    </row>
    <row r="25403" spans="43:43" x14ac:dyDescent="0.2">
      <c r="AQ25403" s="31"/>
    </row>
    <row r="25404" spans="43:43" x14ac:dyDescent="0.2">
      <c r="AQ25404" s="31"/>
    </row>
    <row r="25405" spans="43:43" x14ac:dyDescent="0.2">
      <c r="AQ25405" s="31"/>
    </row>
    <row r="25406" spans="43:43" x14ac:dyDescent="0.2">
      <c r="AQ25406" s="31"/>
    </row>
    <row r="25407" spans="43:43" x14ac:dyDescent="0.2">
      <c r="AQ25407" s="31"/>
    </row>
    <row r="25408" spans="43:43" x14ac:dyDescent="0.2">
      <c r="AQ25408" s="31"/>
    </row>
    <row r="25409" spans="43:43" x14ac:dyDescent="0.2">
      <c r="AQ25409" s="31"/>
    </row>
    <row r="25410" spans="43:43" x14ac:dyDescent="0.2">
      <c r="AQ25410" s="31"/>
    </row>
    <row r="25411" spans="43:43" x14ac:dyDescent="0.2">
      <c r="AQ25411" s="31"/>
    </row>
    <row r="25412" spans="43:43" x14ac:dyDescent="0.2">
      <c r="AQ25412" s="31"/>
    </row>
    <row r="25413" spans="43:43" x14ac:dyDescent="0.2">
      <c r="AQ25413" s="31"/>
    </row>
    <row r="25414" spans="43:43" x14ac:dyDescent="0.2">
      <c r="AQ25414" s="31"/>
    </row>
    <row r="25415" spans="43:43" x14ac:dyDescent="0.2">
      <c r="AQ25415" s="31"/>
    </row>
    <row r="25416" spans="43:43" x14ac:dyDescent="0.2">
      <c r="AQ25416" s="31"/>
    </row>
    <row r="25417" spans="43:43" x14ac:dyDescent="0.2">
      <c r="AQ25417" s="31"/>
    </row>
    <row r="25418" spans="43:43" x14ac:dyDescent="0.2">
      <c r="AQ25418" s="31"/>
    </row>
    <row r="25419" spans="43:43" x14ac:dyDescent="0.2">
      <c r="AQ25419" s="31"/>
    </row>
    <row r="25420" spans="43:43" x14ac:dyDescent="0.2">
      <c r="AQ25420" s="31"/>
    </row>
    <row r="25421" spans="43:43" x14ac:dyDescent="0.2">
      <c r="AQ25421" s="31"/>
    </row>
    <row r="25422" spans="43:43" x14ac:dyDescent="0.2">
      <c r="AQ25422" s="31"/>
    </row>
    <row r="25423" spans="43:43" x14ac:dyDescent="0.2">
      <c r="AQ25423" s="31"/>
    </row>
    <row r="25424" spans="43:43" x14ac:dyDescent="0.2">
      <c r="AQ25424" s="31"/>
    </row>
    <row r="25425" spans="43:43" x14ac:dyDescent="0.2">
      <c r="AQ25425" s="31"/>
    </row>
    <row r="25426" spans="43:43" x14ac:dyDescent="0.2">
      <c r="AQ25426" s="31"/>
    </row>
    <row r="25427" spans="43:43" x14ac:dyDescent="0.2">
      <c r="AQ25427" s="31"/>
    </row>
    <row r="25428" spans="43:43" x14ac:dyDescent="0.2">
      <c r="AQ25428" s="31"/>
    </row>
    <row r="25429" spans="43:43" x14ac:dyDescent="0.2">
      <c r="AQ25429" s="31"/>
    </row>
    <row r="25430" spans="43:43" x14ac:dyDescent="0.2">
      <c r="AQ25430" s="31"/>
    </row>
    <row r="25431" spans="43:43" x14ac:dyDescent="0.2">
      <c r="AQ25431" s="31"/>
    </row>
    <row r="25432" spans="43:43" x14ac:dyDescent="0.2">
      <c r="AQ25432" s="31"/>
    </row>
    <row r="25433" spans="43:43" x14ac:dyDescent="0.2">
      <c r="AQ25433" s="31"/>
    </row>
    <row r="25434" spans="43:43" x14ac:dyDescent="0.2">
      <c r="AQ25434" s="31"/>
    </row>
    <row r="25435" spans="43:43" x14ac:dyDescent="0.2">
      <c r="AQ25435" s="31"/>
    </row>
    <row r="25436" spans="43:43" x14ac:dyDescent="0.2">
      <c r="AQ25436" s="31"/>
    </row>
    <row r="25437" spans="43:43" x14ac:dyDescent="0.2">
      <c r="AQ25437" s="31"/>
    </row>
    <row r="25438" spans="43:43" x14ac:dyDescent="0.2">
      <c r="AQ25438" s="31"/>
    </row>
    <row r="25439" spans="43:43" x14ac:dyDescent="0.2">
      <c r="AQ25439" s="31"/>
    </row>
    <row r="25440" spans="43:43" x14ac:dyDescent="0.2">
      <c r="AQ25440" s="31"/>
    </row>
    <row r="25441" spans="43:43" x14ac:dyDescent="0.2">
      <c r="AQ25441" s="31"/>
    </row>
    <row r="25442" spans="43:43" x14ac:dyDescent="0.2">
      <c r="AQ25442" s="31"/>
    </row>
    <row r="25443" spans="43:43" x14ac:dyDescent="0.2">
      <c r="AQ25443" s="31"/>
    </row>
    <row r="25444" spans="43:43" x14ac:dyDescent="0.2">
      <c r="AQ25444" s="31"/>
    </row>
    <row r="25445" spans="43:43" x14ac:dyDescent="0.2">
      <c r="AQ25445" s="31"/>
    </row>
    <row r="25446" spans="43:43" x14ac:dyDescent="0.2">
      <c r="AQ25446" s="31"/>
    </row>
    <row r="25447" spans="43:43" x14ac:dyDescent="0.2">
      <c r="AQ25447" s="31"/>
    </row>
    <row r="25448" spans="43:43" x14ac:dyDescent="0.2">
      <c r="AQ25448" s="31"/>
    </row>
    <row r="25449" spans="43:43" x14ac:dyDescent="0.2">
      <c r="AQ25449" s="31"/>
    </row>
    <row r="25450" spans="43:43" x14ac:dyDescent="0.2">
      <c r="AQ25450" s="31"/>
    </row>
    <row r="25451" spans="43:43" x14ac:dyDescent="0.2">
      <c r="AQ25451" s="31"/>
    </row>
    <row r="25452" spans="43:43" x14ac:dyDescent="0.2">
      <c r="AQ25452" s="31"/>
    </row>
    <row r="25453" spans="43:43" x14ac:dyDescent="0.2">
      <c r="AQ25453" s="31"/>
    </row>
    <row r="25454" spans="43:43" x14ac:dyDescent="0.2">
      <c r="AQ25454" s="31"/>
    </row>
    <row r="25455" spans="43:43" x14ac:dyDescent="0.2">
      <c r="AQ25455" s="31"/>
    </row>
    <row r="25456" spans="43:43" x14ac:dyDescent="0.2">
      <c r="AQ25456" s="31"/>
    </row>
    <row r="25457" spans="43:43" x14ac:dyDescent="0.2">
      <c r="AQ25457" s="31"/>
    </row>
    <row r="25458" spans="43:43" x14ac:dyDescent="0.2">
      <c r="AQ25458" s="31"/>
    </row>
    <row r="25459" spans="43:43" x14ac:dyDescent="0.2">
      <c r="AQ25459" s="31"/>
    </row>
    <row r="25460" spans="43:43" x14ac:dyDescent="0.2">
      <c r="AQ25460" s="31"/>
    </row>
    <row r="25461" spans="43:43" x14ac:dyDescent="0.2">
      <c r="AQ25461" s="31"/>
    </row>
    <row r="25462" spans="43:43" x14ac:dyDescent="0.2">
      <c r="AQ25462" s="31"/>
    </row>
    <row r="25463" spans="43:43" x14ac:dyDescent="0.2">
      <c r="AQ25463" s="31"/>
    </row>
    <row r="25464" spans="43:43" x14ac:dyDescent="0.2">
      <c r="AQ25464" s="31"/>
    </row>
    <row r="25465" spans="43:43" x14ac:dyDescent="0.2">
      <c r="AQ25465" s="31"/>
    </row>
    <row r="25466" spans="43:43" x14ac:dyDescent="0.2">
      <c r="AQ25466" s="31"/>
    </row>
    <row r="25467" spans="43:43" x14ac:dyDescent="0.2">
      <c r="AQ25467" s="31"/>
    </row>
    <row r="25468" spans="43:43" x14ac:dyDescent="0.2">
      <c r="AQ25468" s="31"/>
    </row>
    <row r="25469" spans="43:43" x14ac:dyDescent="0.2">
      <c r="AQ25469" s="31"/>
    </row>
    <row r="25470" spans="43:43" x14ac:dyDescent="0.2">
      <c r="AQ25470" s="31"/>
    </row>
    <row r="25471" spans="43:43" x14ac:dyDescent="0.2">
      <c r="AQ25471" s="31"/>
    </row>
    <row r="25472" spans="43:43" x14ac:dyDescent="0.2">
      <c r="AQ25472" s="31"/>
    </row>
    <row r="25473" spans="43:43" x14ac:dyDescent="0.2">
      <c r="AQ25473" s="31"/>
    </row>
    <row r="25474" spans="43:43" x14ac:dyDescent="0.2">
      <c r="AQ25474" s="31"/>
    </row>
    <row r="25475" spans="43:43" x14ac:dyDescent="0.2">
      <c r="AQ25475" s="31"/>
    </row>
    <row r="25476" spans="43:43" x14ac:dyDescent="0.2">
      <c r="AQ25476" s="31"/>
    </row>
    <row r="25477" spans="43:43" x14ac:dyDescent="0.2">
      <c r="AQ25477" s="31"/>
    </row>
    <row r="25478" spans="43:43" x14ac:dyDescent="0.2">
      <c r="AQ25478" s="31"/>
    </row>
    <row r="25479" spans="43:43" x14ac:dyDescent="0.2">
      <c r="AQ25479" s="31"/>
    </row>
    <row r="25480" spans="43:43" x14ac:dyDescent="0.2">
      <c r="AQ25480" s="31"/>
    </row>
    <row r="25481" spans="43:43" x14ac:dyDescent="0.2">
      <c r="AQ25481" s="31"/>
    </row>
    <row r="25482" spans="43:43" x14ac:dyDescent="0.2">
      <c r="AQ25482" s="31"/>
    </row>
    <row r="25483" spans="43:43" x14ac:dyDescent="0.2">
      <c r="AQ25483" s="31"/>
    </row>
    <row r="25484" spans="43:43" x14ac:dyDescent="0.2">
      <c r="AQ25484" s="31"/>
    </row>
    <row r="25485" spans="43:43" x14ac:dyDescent="0.2">
      <c r="AQ25485" s="31"/>
    </row>
    <row r="25486" spans="43:43" x14ac:dyDescent="0.2">
      <c r="AQ25486" s="31"/>
    </row>
    <row r="25487" spans="43:43" x14ac:dyDescent="0.2">
      <c r="AQ25487" s="31"/>
    </row>
    <row r="25488" spans="43:43" x14ac:dyDescent="0.2">
      <c r="AQ25488" s="31"/>
    </row>
    <row r="25489" spans="43:43" x14ac:dyDescent="0.2">
      <c r="AQ25489" s="31"/>
    </row>
    <row r="25490" spans="43:43" x14ac:dyDescent="0.2">
      <c r="AQ25490" s="31"/>
    </row>
    <row r="25491" spans="43:43" x14ac:dyDescent="0.2">
      <c r="AQ25491" s="31"/>
    </row>
    <row r="25492" spans="43:43" x14ac:dyDescent="0.2">
      <c r="AQ25492" s="31"/>
    </row>
    <row r="25493" spans="43:43" x14ac:dyDescent="0.2">
      <c r="AQ25493" s="31"/>
    </row>
    <row r="25494" spans="43:43" x14ac:dyDescent="0.2">
      <c r="AQ25494" s="31"/>
    </row>
    <row r="25495" spans="43:43" x14ac:dyDescent="0.2">
      <c r="AQ25495" s="31"/>
    </row>
    <row r="25496" spans="43:43" x14ac:dyDescent="0.2">
      <c r="AQ25496" s="31"/>
    </row>
    <row r="25497" spans="43:43" x14ac:dyDescent="0.2">
      <c r="AQ25497" s="31"/>
    </row>
    <row r="25498" spans="43:43" x14ac:dyDescent="0.2">
      <c r="AQ25498" s="31"/>
    </row>
    <row r="25499" spans="43:43" x14ac:dyDescent="0.2">
      <c r="AQ25499" s="31"/>
    </row>
    <row r="25500" spans="43:43" x14ac:dyDescent="0.2">
      <c r="AQ25500" s="31"/>
    </row>
    <row r="25501" spans="43:43" x14ac:dyDescent="0.2">
      <c r="AQ25501" s="31"/>
    </row>
    <row r="25502" spans="43:43" x14ac:dyDescent="0.2">
      <c r="AQ25502" s="31"/>
    </row>
    <row r="25503" spans="43:43" x14ac:dyDescent="0.2">
      <c r="AQ25503" s="31"/>
    </row>
    <row r="25504" spans="43:43" x14ac:dyDescent="0.2">
      <c r="AQ25504" s="31"/>
    </row>
    <row r="25505" spans="43:43" x14ac:dyDescent="0.2">
      <c r="AQ25505" s="31"/>
    </row>
    <row r="25506" spans="43:43" x14ac:dyDescent="0.2">
      <c r="AQ25506" s="31"/>
    </row>
    <row r="25507" spans="43:43" x14ac:dyDescent="0.2">
      <c r="AQ25507" s="31"/>
    </row>
    <row r="25508" spans="43:43" x14ac:dyDescent="0.2">
      <c r="AQ25508" s="31"/>
    </row>
    <row r="25509" spans="43:43" x14ac:dyDescent="0.2">
      <c r="AQ25509" s="31"/>
    </row>
    <row r="25510" spans="43:43" x14ac:dyDescent="0.2">
      <c r="AQ25510" s="31"/>
    </row>
    <row r="25511" spans="43:43" x14ac:dyDescent="0.2">
      <c r="AQ25511" s="31"/>
    </row>
    <row r="25512" spans="43:43" x14ac:dyDescent="0.2">
      <c r="AQ25512" s="31"/>
    </row>
    <row r="25513" spans="43:43" x14ac:dyDescent="0.2">
      <c r="AQ25513" s="31"/>
    </row>
    <row r="25514" spans="43:43" x14ac:dyDescent="0.2">
      <c r="AQ25514" s="31"/>
    </row>
    <row r="25515" spans="43:43" x14ac:dyDescent="0.2">
      <c r="AQ25515" s="31"/>
    </row>
    <row r="25516" spans="43:43" x14ac:dyDescent="0.2">
      <c r="AQ25516" s="31"/>
    </row>
    <row r="25517" spans="43:43" x14ac:dyDescent="0.2">
      <c r="AQ25517" s="31"/>
    </row>
    <row r="25518" spans="43:43" x14ac:dyDescent="0.2">
      <c r="AQ25518" s="31"/>
    </row>
    <row r="25519" spans="43:43" x14ac:dyDescent="0.2">
      <c r="AQ25519" s="31"/>
    </row>
    <row r="25520" spans="43:43" x14ac:dyDescent="0.2">
      <c r="AQ25520" s="31"/>
    </row>
    <row r="25521" spans="43:43" x14ac:dyDescent="0.2">
      <c r="AQ25521" s="31"/>
    </row>
    <row r="25522" spans="43:43" x14ac:dyDescent="0.2">
      <c r="AQ25522" s="31"/>
    </row>
    <row r="25523" spans="43:43" x14ac:dyDescent="0.2">
      <c r="AQ25523" s="31"/>
    </row>
    <row r="25524" spans="43:43" x14ac:dyDescent="0.2">
      <c r="AQ25524" s="31"/>
    </row>
    <row r="25525" spans="43:43" x14ac:dyDescent="0.2">
      <c r="AQ25525" s="31"/>
    </row>
    <row r="25526" spans="43:43" x14ac:dyDescent="0.2">
      <c r="AQ25526" s="31"/>
    </row>
    <row r="25527" spans="43:43" x14ac:dyDescent="0.2">
      <c r="AQ25527" s="31"/>
    </row>
    <row r="25528" spans="43:43" x14ac:dyDescent="0.2">
      <c r="AQ25528" s="31"/>
    </row>
    <row r="25529" spans="43:43" x14ac:dyDescent="0.2">
      <c r="AQ25529" s="31"/>
    </row>
    <row r="25530" spans="43:43" x14ac:dyDescent="0.2">
      <c r="AQ25530" s="31"/>
    </row>
    <row r="25531" spans="43:43" x14ac:dyDescent="0.2">
      <c r="AQ25531" s="31"/>
    </row>
    <row r="25532" spans="43:43" x14ac:dyDescent="0.2">
      <c r="AQ25532" s="31"/>
    </row>
    <row r="25533" spans="43:43" x14ac:dyDescent="0.2">
      <c r="AQ25533" s="31"/>
    </row>
    <row r="25534" spans="43:43" x14ac:dyDescent="0.2">
      <c r="AQ25534" s="31"/>
    </row>
    <row r="25535" spans="43:43" x14ac:dyDescent="0.2">
      <c r="AQ25535" s="31"/>
    </row>
    <row r="25536" spans="43:43" x14ac:dyDescent="0.2">
      <c r="AQ25536" s="31"/>
    </row>
    <row r="25537" spans="43:43" x14ac:dyDescent="0.2">
      <c r="AQ25537" s="31"/>
    </row>
    <row r="25538" spans="43:43" x14ac:dyDescent="0.2">
      <c r="AQ25538" s="31"/>
    </row>
    <row r="25539" spans="43:43" x14ac:dyDescent="0.2">
      <c r="AQ25539" s="31"/>
    </row>
    <row r="25540" spans="43:43" x14ac:dyDescent="0.2">
      <c r="AQ25540" s="31"/>
    </row>
    <row r="25541" spans="43:43" x14ac:dyDescent="0.2">
      <c r="AQ25541" s="31"/>
    </row>
    <row r="25542" spans="43:43" x14ac:dyDescent="0.2">
      <c r="AQ25542" s="31"/>
    </row>
    <row r="25543" spans="43:43" x14ac:dyDescent="0.2">
      <c r="AQ25543" s="31"/>
    </row>
    <row r="25544" spans="43:43" x14ac:dyDescent="0.2">
      <c r="AQ25544" s="31"/>
    </row>
    <row r="25545" spans="43:43" x14ac:dyDescent="0.2">
      <c r="AQ25545" s="31"/>
    </row>
    <row r="25546" spans="43:43" x14ac:dyDescent="0.2">
      <c r="AQ25546" s="31"/>
    </row>
    <row r="25547" spans="43:43" x14ac:dyDescent="0.2">
      <c r="AQ25547" s="31"/>
    </row>
    <row r="25548" spans="43:43" x14ac:dyDescent="0.2">
      <c r="AQ25548" s="31"/>
    </row>
    <row r="25549" spans="43:43" x14ac:dyDescent="0.2">
      <c r="AQ25549" s="31"/>
    </row>
    <row r="25550" spans="43:43" x14ac:dyDescent="0.2">
      <c r="AQ25550" s="31"/>
    </row>
    <row r="25551" spans="43:43" x14ac:dyDescent="0.2">
      <c r="AQ25551" s="31"/>
    </row>
    <row r="25552" spans="43:43" x14ac:dyDescent="0.2">
      <c r="AQ25552" s="31"/>
    </row>
    <row r="25553" spans="43:43" x14ac:dyDescent="0.2">
      <c r="AQ25553" s="31"/>
    </row>
    <row r="25554" spans="43:43" x14ac:dyDescent="0.2">
      <c r="AQ25554" s="31"/>
    </row>
    <row r="25555" spans="43:43" x14ac:dyDescent="0.2">
      <c r="AQ25555" s="31"/>
    </row>
    <row r="25556" spans="43:43" x14ac:dyDescent="0.2">
      <c r="AQ25556" s="31"/>
    </row>
    <row r="25557" spans="43:43" x14ac:dyDescent="0.2">
      <c r="AQ25557" s="31"/>
    </row>
    <row r="25558" spans="43:43" x14ac:dyDescent="0.2">
      <c r="AQ25558" s="31"/>
    </row>
    <row r="25559" spans="43:43" x14ac:dyDescent="0.2">
      <c r="AQ25559" s="31"/>
    </row>
    <row r="25560" spans="43:43" x14ac:dyDescent="0.2">
      <c r="AQ25560" s="31"/>
    </row>
    <row r="25561" spans="43:43" x14ac:dyDescent="0.2">
      <c r="AQ25561" s="31"/>
    </row>
    <row r="25562" spans="43:43" x14ac:dyDescent="0.2">
      <c r="AQ25562" s="31"/>
    </row>
    <row r="25563" spans="43:43" x14ac:dyDescent="0.2">
      <c r="AQ25563" s="31"/>
    </row>
    <row r="25564" spans="43:43" x14ac:dyDescent="0.2">
      <c r="AQ25564" s="31"/>
    </row>
    <row r="25565" spans="43:43" x14ac:dyDescent="0.2">
      <c r="AQ25565" s="31"/>
    </row>
    <row r="25566" spans="43:43" x14ac:dyDescent="0.2">
      <c r="AQ25566" s="31"/>
    </row>
    <row r="25567" spans="43:43" x14ac:dyDescent="0.2">
      <c r="AQ25567" s="31"/>
    </row>
    <row r="25568" spans="43:43" x14ac:dyDescent="0.2">
      <c r="AQ25568" s="31"/>
    </row>
    <row r="25569" spans="43:43" x14ac:dyDescent="0.2">
      <c r="AQ25569" s="31"/>
    </row>
    <row r="25570" spans="43:43" x14ac:dyDescent="0.2">
      <c r="AQ25570" s="31"/>
    </row>
    <row r="25571" spans="43:43" x14ac:dyDescent="0.2">
      <c r="AQ25571" s="31"/>
    </row>
    <row r="25572" spans="43:43" x14ac:dyDescent="0.2">
      <c r="AQ25572" s="31"/>
    </row>
    <row r="25573" spans="43:43" x14ac:dyDescent="0.2">
      <c r="AQ25573" s="31"/>
    </row>
    <row r="25574" spans="43:43" x14ac:dyDescent="0.2">
      <c r="AQ25574" s="31"/>
    </row>
    <row r="25575" spans="43:43" x14ac:dyDescent="0.2">
      <c r="AQ25575" s="31"/>
    </row>
    <row r="25576" spans="43:43" x14ac:dyDescent="0.2">
      <c r="AQ25576" s="31"/>
    </row>
    <row r="25577" spans="43:43" x14ac:dyDescent="0.2">
      <c r="AQ25577" s="31"/>
    </row>
    <row r="25578" spans="43:43" x14ac:dyDescent="0.2">
      <c r="AQ25578" s="31"/>
    </row>
    <row r="25579" spans="43:43" x14ac:dyDescent="0.2">
      <c r="AQ25579" s="31"/>
    </row>
    <row r="25580" spans="43:43" x14ac:dyDescent="0.2">
      <c r="AQ25580" s="31"/>
    </row>
    <row r="25581" spans="43:43" x14ac:dyDescent="0.2">
      <c r="AQ25581" s="31"/>
    </row>
    <row r="25582" spans="43:43" x14ac:dyDescent="0.2">
      <c r="AQ25582" s="31"/>
    </row>
    <row r="25583" spans="43:43" x14ac:dyDescent="0.2">
      <c r="AQ25583" s="31"/>
    </row>
    <row r="25584" spans="43:43" x14ac:dyDescent="0.2">
      <c r="AQ25584" s="31"/>
    </row>
    <row r="25585" spans="43:43" x14ac:dyDescent="0.2">
      <c r="AQ25585" s="31"/>
    </row>
    <row r="25586" spans="43:43" x14ac:dyDescent="0.2">
      <c r="AQ25586" s="31"/>
    </row>
    <row r="25587" spans="43:43" x14ac:dyDescent="0.2">
      <c r="AQ25587" s="31"/>
    </row>
    <row r="25588" spans="43:43" x14ac:dyDescent="0.2">
      <c r="AQ25588" s="31"/>
    </row>
    <row r="25589" spans="43:43" x14ac:dyDescent="0.2">
      <c r="AQ25589" s="31"/>
    </row>
    <row r="25590" spans="43:43" x14ac:dyDescent="0.2">
      <c r="AQ25590" s="31"/>
    </row>
    <row r="25591" spans="43:43" x14ac:dyDescent="0.2">
      <c r="AQ25591" s="31"/>
    </row>
    <row r="25592" spans="43:43" x14ac:dyDescent="0.2">
      <c r="AQ25592" s="31"/>
    </row>
    <row r="25593" spans="43:43" x14ac:dyDescent="0.2">
      <c r="AQ25593" s="31"/>
    </row>
    <row r="25594" spans="43:43" x14ac:dyDescent="0.2">
      <c r="AQ25594" s="31"/>
    </row>
    <row r="25595" spans="43:43" x14ac:dyDescent="0.2">
      <c r="AQ25595" s="31"/>
    </row>
    <row r="25596" spans="43:43" x14ac:dyDescent="0.2">
      <c r="AQ25596" s="31"/>
    </row>
    <row r="25597" spans="43:43" x14ac:dyDescent="0.2">
      <c r="AQ25597" s="31"/>
    </row>
    <row r="25598" spans="43:43" x14ac:dyDescent="0.2">
      <c r="AQ25598" s="31"/>
    </row>
    <row r="25599" spans="43:43" x14ac:dyDescent="0.2">
      <c r="AQ25599" s="31"/>
    </row>
    <row r="25600" spans="43:43" x14ac:dyDescent="0.2">
      <c r="AQ25600" s="31"/>
    </row>
    <row r="25601" spans="43:43" x14ac:dyDescent="0.2">
      <c r="AQ25601" s="31"/>
    </row>
    <row r="25602" spans="43:43" x14ac:dyDescent="0.2">
      <c r="AQ25602" s="31"/>
    </row>
    <row r="25603" spans="43:43" x14ac:dyDescent="0.2">
      <c r="AQ25603" s="31"/>
    </row>
    <row r="25604" spans="43:43" x14ac:dyDescent="0.2">
      <c r="AQ25604" s="31"/>
    </row>
    <row r="25605" spans="43:43" x14ac:dyDescent="0.2">
      <c r="AQ25605" s="31"/>
    </row>
    <row r="25606" spans="43:43" x14ac:dyDescent="0.2">
      <c r="AQ25606" s="31"/>
    </row>
    <row r="25607" spans="43:43" x14ac:dyDescent="0.2">
      <c r="AQ25607" s="31"/>
    </row>
    <row r="25608" spans="43:43" x14ac:dyDescent="0.2">
      <c r="AQ25608" s="31"/>
    </row>
    <row r="25609" spans="43:43" x14ac:dyDescent="0.2">
      <c r="AQ25609" s="31"/>
    </row>
    <row r="25610" spans="43:43" x14ac:dyDescent="0.2">
      <c r="AQ25610" s="31"/>
    </row>
    <row r="25611" spans="43:43" x14ac:dyDescent="0.2">
      <c r="AQ25611" s="31"/>
    </row>
    <row r="25612" spans="43:43" x14ac:dyDescent="0.2">
      <c r="AQ25612" s="31"/>
    </row>
    <row r="25613" spans="43:43" x14ac:dyDescent="0.2">
      <c r="AQ25613" s="31"/>
    </row>
    <row r="25614" spans="43:43" x14ac:dyDescent="0.2">
      <c r="AQ25614" s="31"/>
    </row>
    <row r="25615" spans="43:43" x14ac:dyDescent="0.2">
      <c r="AQ25615" s="31"/>
    </row>
    <row r="25616" spans="43:43" x14ac:dyDescent="0.2">
      <c r="AQ25616" s="31"/>
    </row>
    <row r="25617" spans="43:43" x14ac:dyDescent="0.2">
      <c r="AQ25617" s="31"/>
    </row>
    <row r="25618" spans="43:43" x14ac:dyDescent="0.2">
      <c r="AQ25618" s="31"/>
    </row>
    <row r="25619" spans="43:43" x14ac:dyDescent="0.2">
      <c r="AQ25619" s="31"/>
    </row>
    <row r="25620" spans="43:43" x14ac:dyDescent="0.2">
      <c r="AQ25620" s="31"/>
    </row>
    <row r="25621" spans="43:43" x14ac:dyDescent="0.2">
      <c r="AQ25621" s="31"/>
    </row>
    <row r="25622" spans="43:43" x14ac:dyDescent="0.2">
      <c r="AQ25622" s="31"/>
    </row>
    <row r="25623" spans="43:43" x14ac:dyDescent="0.2">
      <c r="AQ25623" s="31"/>
    </row>
    <row r="25624" spans="43:43" x14ac:dyDescent="0.2">
      <c r="AQ25624" s="31"/>
    </row>
    <row r="25625" spans="43:43" x14ac:dyDescent="0.2">
      <c r="AQ25625" s="31"/>
    </row>
    <row r="25626" spans="43:43" x14ac:dyDescent="0.2">
      <c r="AQ25626" s="31"/>
    </row>
    <row r="25627" spans="43:43" x14ac:dyDescent="0.2">
      <c r="AQ25627" s="31"/>
    </row>
    <row r="25628" spans="43:43" x14ac:dyDescent="0.2">
      <c r="AQ25628" s="31"/>
    </row>
    <row r="25629" spans="43:43" x14ac:dyDescent="0.2">
      <c r="AQ25629" s="31"/>
    </row>
    <row r="25630" spans="43:43" x14ac:dyDescent="0.2">
      <c r="AQ25630" s="31"/>
    </row>
    <row r="25631" spans="43:43" x14ac:dyDescent="0.2">
      <c r="AQ25631" s="31"/>
    </row>
    <row r="25632" spans="43:43" x14ac:dyDescent="0.2">
      <c r="AQ25632" s="31"/>
    </row>
    <row r="25633" spans="43:43" x14ac:dyDescent="0.2">
      <c r="AQ25633" s="31"/>
    </row>
    <row r="25634" spans="43:43" x14ac:dyDescent="0.2">
      <c r="AQ25634" s="31"/>
    </row>
    <row r="25635" spans="43:43" x14ac:dyDescent="0.2">
      <c r="AQ25635" s="31"/>
    </row>
    <row r="25636" spans="43:43" x14ac:dyDescent="0.2">
      <c r="AQ25636" s="31"/>
    </row>
    <row r="25637" spans="43:43" x14ac:dyDescent="0.2">
      <c r="AQ25637" s="31"/>
    </row>
    <row r="25638" spans="43:43" x14ac:dyDescent="0.2">
      <c r="AQ25638" s="31"/>
    </row>
    <row r="25639" spans="43:43" x14ac:dyDescent="0.2">
      <c r="AQ25639" s="31"/>
    </row>
    <row r="25640" spans="43:43" x14ac:dyDescent="0.2">
      <c r="AQ25640" s="31"/>
    </row>
    <row r="25641" spans="43:43" x14ac:dyDescent="0.2">
      <c r="AQ25641" s="31"/>
    </row>
    <row r="25642" spans="43:43" x14ac:dyDescent="0.2">
      <c r="AQ25642" s="31"/>
    </row>
    <row r="25643" spans="43:43" x14ac:dyDescent="0.2">
      <c r="AQ25643" s="31"/>
    </row>
    <row r="25644" spans="43:43" x14ac:dyDescent="0.2">
      <c r="AQ25644" s="31"/>
    </row>
    <row r="25645" spans="43:43" x14ac:dyDescent="0.2">
      <c r="AQ25645" s="31"/>
    </row>
    <row r="25646" spans="43:43" x14ac:dyDescent="0.2">
      <c r="AQ25646" s="31"/>
    </row>
    <row r="25647" spans="43:43" x14ac:dyDescent="0.2">
      <c r="AQ25647" s="31"/>
    </row>
    <row r="25648" spans="43:43" x14ac:dyDescent="0.2">
      <c r="AQ25648" s="31"/>
    </row>
    <row r="25649" spans="43:43" x14ac:dyDescent="0.2">
      <c r="AQ25649" s="31"/>
    </row>
    <row r="25650" spans="43:43" x14ac:dyDescent="0.2">
      <c r="AQ25650" s="31"/>
    </row>
    <row r="25651" spans="43:43" x14ac:dyDescent="0.2">
      <c r="AQ25651" s="31"/>
    </row>
    <row r="25652" spans="43:43" x14ac:dyDescent="0.2">
      <c r="AQ25652" s="31"/>
    </row>
    <row r="25653" spans="43:43" x14ac:dyDescent="0.2">
      <c r="AQ25653" s="31"/>
    </row>
    <row r="25654" spans="43:43" x14ac:dyDescent="0.2">
      <c r="AQ25654" s="31"/>
    </row>
    <row r="25655" spans="43:43" x14ac:dyDescent="0.2">
      <c r="AQ25655" s="31"/>
    </row>
    <row r="25656" spans="43:43" x14ac:dyDescent="0.2">
      <c r="AQ25656" s="31"/>
    </row>
    <row r="25657" spans="43:43" x14ac:dyDescent="0.2">
      <c r="AQ25657" s="31"/>
    </row>
    <row r="25658" spans="43:43" x14ac:dyDescent="0.2">
      <c r="AQ25658" s="31"/>
    </row>
    <row r="25659" spans="43:43" x14ac:dyDescent="0.2">
      <c r="AQ25659" s="31"/>
    </row>
    <row r="25660" spans="43:43" x14ac:dyDescent="0.2">
      <c r="AQ25660" s="31"/>
    </row>
    <row r="25661" spans="43:43" x14ac:dyDescent="0.2">
      <c r="AQ25661" s="31"/>
    </row>
    <row r="25662" spans="43:43" x14ac:dyDescent="0.2">
      <c r="AQ25662" s="31"/>
    </row>
    <row r="25663" spans="43:43" x14ac:dyDescent="0.2">
      <c r="AQ25663" s="31"/>
    </row>
    <row r="25664" spans="43:43" x14ac:dyDescent="0.2">
      <c r="AQ25664" s="31"/>
    </row>
    <row r="25665" spans="43:43" x14ac:dyDescent="0.2">
      <c r="AQ25665" s="31"/>
    </row>
    <row r="25666" spans="43:43" x14ac:dyDescent="0.2">
      <c r="AQ25666" s="31"/>
    </row>
    <row r="25667" spans="43:43" x14ac:dyDescent="0.2">
      <c r="AQ25667" s="31"/>
    </row>
    <row r="25668" spans="43:43" x14ac:dyDescent="0.2">
      <c r="AQ25668" s="31"/>
    </row>
    <row r="25669" spans="43:43" x14ac:dyDescent="0.2">
      <c r="AQ25669" s="31"/>
    </row>
    <row r="25670" spans="43:43" x14ac:dyDescent="0.2">
      <c r="AQ25670" s="31"/>
    </row>
    <row r="25671" spans="43:43" x14ac:dyDescent="0.2">
      <c r="AQ25671" s="31"/>
    </row>
    <row r="25672" spans="43:43" x14ac:dyDescent="0.2">
      <c r="AQ25672" s="31"/>
    </row>
    <row r="25673" spans="43:43" x14ac:dyDescent="0.2">
      <c r="AQ25673" s="31"/>
    </row>
    <row r="25674" spans="43:43" x14ac:dyDescent="0.2">
      <c r="AQ25674" s="31"/>
    </row>
    <row r="25675" spans="43:43" x14ac:dyDescent="0.2">
      <c r="AQ25675" s="31"/>
    </row>
    <row r="25676" spans="43:43" x14ac:dyDescent="0.2">
      <c r="AQ25676" s="31"/>
    </row>
    <row r="25677" spans="43:43" x14ac:dyDescent="0.2">
      <c r="AQ25677" s="31"/>
    </row>
    <row r="25678" spans="43:43" x14ac:dyDescent="0.2">
      <c r="AQ25678" s="31"/>
    </row>
    <row r="25679" spans="43:43" x14ac:dyDescent="0.2">
      <c r="AQ25679" s="31"/>
    </row>
    <row r="25680" spans="43:43" x14ac:dyDescent="0.2">
      <c r="AQ25680" s="31"/>
    </row>
    <row r="25681" spans="43:43" x14ac:dyDescent="0.2">
      <c r="AQ25681" s="31"/>
    </row>
    <row r="25682" spans="43:43" x14ac:dyDescent="0.2">
      <c r="AQ25682" s="31"/>
    </row>
    <row r="25683" spans="43:43" x14ac:dyDescent="0.2">
      <c r="AQ25683" s="31"/>
    </row>
    <row r="25684" spans="43:43" x14ac:dyDescent="0.2">
      <c r="AQ25684" s="31"/>
    </row>
    <row r="25685" spans="43:43" x14ac:dyDescent="0.2">
      <c r="AQ25685" s="31"/>
    </row>
    <row r="25686" spans="43:43" x14ac:dyDescent="0.2">
      <c r="AQ25686" s="31"/>
    </row>
    <row r="25687" spans="43:43" x14ac:dyDescent="0.2">
      <c r="AQ25687" s="31"/>
    </row>
    <row r="25688" spans="43:43" x14ac:dyDescent="0.2">
      <c r="AQ25688" s="31"/>
    </row>
    <row r="25689" spans="43:43" x14ac:dyDescent="0.2">
      <c r="AQ25689" s="31"/>
    </row>
    <row r="25690" spans="43:43" x14ac:dyDescent="0.2">
      <c r="AQ25690" s="31"/>
    </row>
    <row r="25691" spans="43:43" x14ac:dyDescent="0.2">
      <c r="AQ25691" s="31"/>
    </row>
    <row r="25692" spans="43:43" x14ac:dyDescent="0.2">
      <c r="AQ25692" s="31"/>
    </row>
    <row r="25693" spans="43:43" x14ac:dyDescent="0.2">
      <c r="AQ25693" s="31"/>
    </row>
    <row r="25694" spans="43:43" x14ac:dyDescent="0.2">
      <c r="AQ25694" s="31"/>
    </row>
    <row r="25695" spans="43:43" x14ac:dyDescent="0.2">
      <c r="AQ25695" s="31"/>
    </row>
    <row r="25696" spans="43:43" x14ac:dyDescent="0.2">
      <c r="AQ25696" s="31"/>
    </row>
    <row r="25697" spans="43:43" x14ac:dyDescent="0.2">
      <c r="AQ25697" s="31"/>
    </row>
    <row r="25698" spans="43:43" x14ac:dyDescent="0.2">
      <c r="AQ25698" s="31"/>
    </row>
    <row r="25699" spans="43:43" x14ac:dyDescent="0.2">
      <c r="AQ25699" s="31"/>
    </row>
    <row r="25700" spans="43:43" x14ac:dyDescent="0.2">
      <c r="AQ25700" s="31"/>
    </row>
    <row r="25701" spans="43:43" x14ac:dyDescent="0.2">
      <c r="AQ25701" s="31"/>
    </row>
    <row r="25702" spans="43:43" x14ac:dyDescent="0.2">
      <c r="AQ25702" s="31"/>
    </row>
    <row r="25703" spans="43:43" x14ac:dyDescent="0.2">
      <c r="AQ25703" s="31"/>
    </row>
    <row r="25704" spans="43:43" x14ac:dyDescent="0.2">
      <c r="AQ25704" s="31"/>
    </row>
    <row r="25705" spans="43:43" x14ac:dyDescent="0.2">
      <c r="AQ25705" s="31"/>
    </row>
    <row r="25706" spans="43:43" x14ac:dyDescent="0.2">
      <c r="AQ25706" s="31"/>
    </row>
    <row r="25707" spans="43:43" x14ac:dyDescent="0.2">
      <c r="AQ25707" s="31"/>
    </row>
    <row r="25708" spans="43:43" x14ac:dyDescent="0.2">
      <c r="AQ25708" s="31"/>
    </row>
    <row r="25709" spans="43:43" x14ac:dyDescent="0.2">
      <c r="AQ25709" s="31"/>
    </row>
    <row r="25710" spans="43:43" x14ac:dyDescent="0.2">
      <c r="AQ25710" s="31"/>
    </row>
    <row r="25711" spans="43:43" x14ac:dyDescent="0.2">
      <c r="AQ25711" s="31"/>
    </row>
    <row r="25712" spans="43:43" x14ac:dyDescent="0.2">
      <c r="AQ25712" s="31"/>
    </row>
    <row r="25713" spans="43:43" x14ac:dyDescent="0.2">
      <c r="AQ25713" s="31"/>
    </row>
    <row r="25714" spans="43:43" x14ac:dyDescent="0.2">
      <c r="AQ25714" s="31"/>
    </row>
    <row r="25715" spans="43:43" x14ac:dyDescent="0.2">
      <c r="AQ25715" s="31"/>
    </row>
    <row r="25716" spans="43:43" x14ac:dyDescent="0.2">
      <c r="AQ25716" s="31"/>
    </row>
    <row r="25717" spans="43:43" x14ac:dyDescent="0.2">
      <c r="AQ25717" s="31"/>
    </row>
    <row r="25718" spans="43:43" x14ac:dyDescent="0.2">
      <c r="AQ25718" s="31"/>
    </row>
    <row r="25719" spans="43:43" x14ac:dyDescent="0.2">
      <c r="AQ25719" s="31"/>
    </row>
    <row r="25720" spans="43:43" x14ac:dyDescent="0.2">
      <c r="AQ25720" s="31"/>
    </row>
    <row r="25721" spans="43:43" x14ac:dyDescent="0.2">
      <c r="AQ25721" s="31"/>
    </row>
    <row r="25722" spans="43:43" x14ac:dyDescent="0.2">
      <c r="AQ25722" s="31"/>
    </row>
    <row r="25723" spans="43:43" x14ac:dyDescent="0.2">
      <c r="AQ25723" s="31"/>
    </row>
    <row r="25724" spans="43:43" x14ac:dyDescent="0.2">
      <c r="AQ25724" s="31"/>
    </row>
    <row r="25725" spans="43:43" x14ac:dyDescent="0.2">
      <c r="AQ25725" s="31"/>
    </row>
    <row r="25726" spans="43:43" x14ac:dyDescent="0.2">
      <c r="AQ25726" s="31"/>
    </row>
    <row r="25727" spans="43:43" x14ac:dyDescent="0.2">
      <c r="AQ25727" s="31"/>
    </row>
    <row r="25728" spans="43:43" x14ac:dyDescent="0.2">
      <c r="AQ25728" s="31"/>
    </row>
    <row r="25729" spans="43:43" x14ac:dyDescent="0.2">
      <c r="AQ25729" s="31"/>
    </row>
    <row r="25730" spans="43:43" x14ac:dyDescent="0.2">
      <c r="AQ25730" s="31"/>
    </row>
    <row r="25731" spans="43:43" x14ac:dyDescent="0.2">
      <c r="AQ25731" s="31"/>
    </row>
    <row r="25732" spans="43:43" x14ac:dyDescent="0.2">
      <c r="AQ25732" s="31"/>
    </row>
    <row r="25733" spans="43:43" x14ac:dyDescent="0.2">
      <c r="AQ25733" s="31"/>
    </row>
    <row r="25734" spans="43:43" x14ac:dyDescent="0.2">
      <c r="AQ25734" s="31"/>
    </row>
    <row r="25735" spans="43:43" x14ac:dyDescent="0.2">
      <c r="AQ25735" s="31"/>
    </row>
    <row r="25736" spans="43:43" x14ac:dyDescent="0.2">
      <c r="AQ25736" s="31"/>
    </row>
    <row r="25737" spans="43:43" x14ac:dyDescent="0.2">
      <c r="AQ25737" s="31"/>
    </row>
    <row r="25738" spans="43:43" x14ac:dyDescent="0.2">
      <c r="AQ25738" s="31"/>
    </row>
    <row r="25739" spans="43:43" x14ac:dyDescent="0.2">
      <c r="AQ25739" s="31"/>
    </row>
    <row r="25740" spans="43:43" x14ac:dyDescent="0.2">
      <c r="AQ25740" s="31"/>
    </row>
    <row r="25741" spans="43:43" x14ac:dyDescent="0.2">
      <c r="AQ25741" s="31"/>
    </row>
    <row r="25742" spans="43:43" x14ac:dyDescent="0.2">
      <c r="AQ25742" s="31"/>
    </row>
    <row r="25743" spans="43:43" x14ac:dyDescent="0.2">
      <c r="AQ25743" s="31"/>
    </row>
    <row r="25744" spans="43:43" x14ac:dyDescent="0.2">
      <c r="AQ25744" s="31"/>
    </row>
    <row r="25745" spans="43:43" x14ac:dyDescent="0.2">
      <c r="AQ25745" s="31"/>
    </row>
    <row r="25746" spans="43:43" x14ac:dyDescent="0.2">
      <c r="AQ25746" s="31"/>
    </row>
    <row r="25747" spans="43:43" x14ac:dyDescent="0.2">
      <c r="AQ25747" s="31"/>
    </row>
    <row r="25748" spans="43:43" x14ac:dyDescent="0.2">
      <c r="AQ25748" s="31"/>
    </row>
    <row r="25749" spans="43:43" x14ac:dyDescent="0.2">
      <c r="AQ25749" s="31"/>
    </row>
    <row r="25750" spans="43:43" x14ac:dyDescent="0.2">
      <c r="AQ25750" s="31"/>
    </row>
    <row r="25751" spans="43:43" x14ac:dyDescent="0.2">
      <c r="AQ25751" s="31"/>
    </row>
    <row r="25752" spans="43:43" x14ac:dyDescent="0.2">
      <c r="AQ25752" s="31"/>
    </row>
    <row r="25753" spans="43:43" x14ac:dyDescent="0.2">
      <c r="AQ25753" s="31"/>
    </row>
    <row r="25754" spans="43:43" x14ac:dyDescent="0.2">
      <c r="AQ25754" s="31"/>
    </row>
    <row r="25755" spans="43:43" x14ac:dyDescent="0.2">
      <c r="AQ25755" s="31"/>
    </row>
    <row r="25756" spans="43:43" x14ac:dyDescent="0.2">
      <c r="AQ25756" s="31"/>
    </row>
    <row r="25757" spans="43:43" x14ac:dyDescent="0.2">
      <c r="AQ25757" s="31"/>
    </row>
    <row r="25758" spans="43:43" x14ac:dyDescent="0.2">
      <c r="AQ25758" s="31"/>
    </row>
    <row r="25759" spans="43:43" x14ac:dyDescent="0.2">
      <c r="AQ25759" s="31"/>
    </row>
    <row r="25760" spans="43:43" x14ac:dyDescent="0.2">
      <c r="AQ25760" s="31"/>
    </row>
    <row r="25761" spans="43:43" x14ac:dyDescent="0.2">
      <c r="AQ25761" s="31"/>
    </row>
    <row r="25762" spans="43:43" x14ac:dyDescent="0.2">
      <c r="AQ25762" s="31"/>
    </row>
    <row r="25763" spans="43:43" x14ac:dyDescent="0.2">
      <c r="AQ25763" s="31"/>
    </row>
    <row r="25764" spans="43:43" x14ac:dyDescent="0.2">
      <c r="AQ25764" s="31"/>
    </row>
    <row r="25765" spans="43:43" x14ac:dyDescent="0.2">
      <c r="AQ25765" s="31"/>
    </row>
    <row r="25766" spans="43:43" x14ac:dyDescent="0.2">
      <c r="AQ25766" s="31"/>
    </row>
    <row r="25767" spans="43:43" x14ac:dyDescent="0.2">
      <c r="AQ25767" s="31"/>
    </row>
    <row r="25768" spans="43:43" x14ac:dyDescent="0.2">
      <c r="AQ25768" s="31"/>
    </row>
    <row r="25769" spans="43:43" x14ac:dyDescent="0.2">
      <c r="AQ25769" s="31"/>
    </row>
    <row r="25770" spans="43:43" x14ac:dyDescent="0.2">
      <c r="AQ25770" s="31"/>
    </row>
    <row r="25771" spans="43:43" x14ac:dyDescent="0.2">
      <c r="AQ25771" s="31"/>
    </row>
    <row r="25772" spans="43:43" x14ac:dyDescent="0.2">
      <c r="AQ25772" s="31"/>
    </row>
    <row r="25773" spans="43:43" x14ac:dyDescent="0.2">
      <c r="AQ25773" s="31"/>
    </row>
    <row r="25774" spans="43:43" x14ac:dyDescent="0.2">
      <c r="AQ25774" s="31"/>
    </row>
    <row r="25775" spans="43:43" x14ac:dyDescent="0.2">
      <c r="AQ25775" s="31"/>
    </row>
    <row r="25776" spans="43:43" x14ac:dyDescent="0.2">
      <c r="AQ25776" s="31"/>
    </row>
    <row r="25777" spans="43:43" x14ac:dyDescent="0.2">
      <c r="AQ25777" s="31"/>
    </row>
    <row r="25778" spans="43:43" x14ac:dyDescent="0.2">
      <c r="AQ25778" s="31"/>
    </row>
    <row r="25779" spans="43:43" x14ac:dyDescent="0.2">
      <c r="AQ25779" s="31"/>
    </row>
    <row r="25780" spans="43:43" x14ac:dyDescent="0.2">
      <c r="AQ25780" s="31"/>
    </row>
    <row r="25781" spans="43:43" x14ac:dyDescent="0.2">
      <c r="AQ25781" s="31"/>
    </row>
    <row r="25782" spans="43:43" x14ac:dyDescent="0.2">
      <c r="AQ25782" s="31"/>
    </row>
    <row r="25783" spans="43:43" x14ac:dyDescent="0.2">
      <c r="AQ25783" s="31"/>
    </row>
    <row r="25784" spans="43:43" x14ac:dyDescent="0.2">
      <c r="AQ25784" s="31"/>
    </row>
    <row r="25785" spans="43:43" x14ac:dyDescent="0.2">
      <c r="AQ25785" s="31"/>
    </row>
    <row r="25786" spans="43:43" x14ac:dyDescent="0.2">
      <c r="AQ25786" s="31"/>
    </row>
    <row r="25787" spans="43:43" x14ac:dyDescent="0.2">
      <c r="AQ25787" s="31"/>
    </row>
    <row r="25788" spans="43:43" x14ac:dyDescent="0.2">
      <c r="AQ25788" s="31"/>
    </row>
    <row r="25789" spans="43:43" x14ac:dyDescent="0.2">
      <c r="AQ25789" s="31"/>
    </row>
    <row r="25790" spans="43:43" x14ac:dyDescent="0.2">
      <c r="AQ25790" s="31"/>
    </row>
    <row r="25791" spans="43:43" x14ac:dyDescent="0.2">
      <c r="AQ25791" s="31"/>
    </row>
    <row r="25792" spans="43:43" x14ac:dyDescent="0.2">
      <c r="AQ25792" s="31"/>
    </row>
    <row r="25793" spans="43:43" x14ac:dyDescent="0.2">
      <c r="AQ25793" s="31"/>
    </row>
    <row r="25794" spans="43:43" x14ac:dyDescent="0.2">
      <c r="AQ25794" s="31"/>
    </row>
    <row r="25795" spans="43:43" x14ac:dyDescent="0.2">
      <c r="AQ25795" s="31"/>
    </row>
    <row r="25796" spans="43:43" x14ac:dyDescent="0.2">
      <c r="AQ25796" s="31"/>
    </row>
    <row r="25797" spans="43:43" x14ac:dyDescent="0.2">
      <c r="AQ25797" s="31"/>
    </row>
    <row r="25798" spans="43:43" x14ac:dyDescent="0.2">
      <c r="AQ25798" s="31"/>
    </row>
    <row r="25799" spans="43:43" x14ac:dyDescent="0.2">
      <c r="AQ25799" s="31"/>
    </row>
    <row r="25800" spans="43:43" x14ac:dyDescent="0.2">
      <c r="AQ25800" s="31"/>
    </row>
    <row r="25801" spans="43:43" x14ac:dyDescent="0.2">
      <c r="AQ25801" s="31"/>
    </row>
    <row r="25802" spans="43:43" x14ac:dyDescent="0.2">
      <c r="AQ25802" s="31"/>
    </row>
    <row r="25803" spans="43:43" x14ac:dyDescent="0.2">
      <c r="AQ25803" s="31"/>
    </row>
    <row r="25804" spans="43:43" x14ac:dyDescent="0.2">
      <c r="AQ25804" s="31"/>
    </row>
    <row r="25805" spans="43:43" x14ac:dyDescent="0.2">
      <c r="AQ25805" s="31"/>
    </row>
    <row r="25806" spans="43:43" x14ac:dyDescent="0.2">
      <c r="AQ25806" s="31"/>
    </row>
    <row r="25807" spans="43:43" x14ac:dyDescent="0.2">
      <c r="AQ25807" s="31"/>
    </row>
    <row r="25808" spans="43:43" x14ac:dyDescent="0.2">
      <c r="AQ25808" s="31"/>
    </row>
    <row r="25809" spans="43:43" x14ac:dyDescent="0.2">
      <c r="AQ25809" s="31"/>
    </row>
    <row r="25810" spans="43:43" x14ac:dyDescent="0.2">
      <c r="AQ25810" s="31"/>
    </row>
    <row r="25811" spans="43:43" x14ac:dyDescent="0.2">
      <c r="AQ25811" s="31"/>
    </row>
    <row r="25812" spans="43:43" x14ac:dyDescent="0.2">
      <c r="AQ25812" s="31"/>
    </row>
    <row r="25813" spans="43:43" x14ac:dyDescent="0.2">
      <c r="AQ25813" s="31"/>
    </row>
    <row r="25814" spans="43:43" x14ac:dyDescent="0.2">
      <c r="AQ25814" s="31"/>
    </row>
    <row r="25815" spans="43:43" x14ac:dyDescent="0.2">
      <c r="AQ25815" s="31"/>
    </row>
    <row r="25816" spans="43:43" x14ac:dyDescent="0.2">
      <c r="AQ25816" s="31"/>
    </row>
    <row r="25817" spans="43:43" x14ac:dyDescent="0.2">
      <c r="AQ25817" s="31"/>
    </row>
    <row r="25818" spans="43:43" x14ac:dyDescent="0.2">
      <c r="AQ25818" s="31"/>
    </row>
    <row r="25819" spans="43:43" x14ac:dyDescent="0.2">
      <c r="AQ25819" s="31"/>
    </row>
    <row r="25820" spans="43:43" x14ac:dyDescent="0.2">
      <c r="AQ25820" s="31"/>
    </row>
    <row r="25821" spans="43:43" x14ac:dyDescent="0.2">
      <c r="AQ25821" s="31"/>
    </row>
    <row r="25822" spans="43:43" x14ac:dyDescent="0.2">
      <c r="AQ25822" s="31"/>
    </row>
    <row r="25823" spans="43:43" x14ac:dyDescent="0.2">
      <c r="AQ25823" s="31"/>
    </row>
    <row r="25824" spans="43:43" x14ac:dyDescent="0.2">
      <c r="AQ25824" s="31"/>
    </row>
    <row r="25825" spans="43:43" x14ac:dyDescent="0.2">
      <c r="AQ25825" s="31"/>
    </row>
    <row r="25826" spans="43:43" x14ac:dyDescent="0.2">
      <c r="AQ25826" s="31"/>
    </row>
    <row r="25827" spans="43:43" x14ac:dyDescent="0.2">
      <c r="AQ25827" s="31"/>
    </row>
    <row r="25828" spans="43:43" x14ac:dyDescent="0.2">
      <c r="AQ25828" s="31"/>
    </row>
    <row r="25829" spans="43:43" x14ac:dyDescent="0.2">
      <c r="AQ25829" s="31"/>
    </row>
    <row r="25830" spans="43:43" x14ac:dyDescent="0.2">
      <c r="AQ25830" s="31"/>
    </row>
    <row r="25831" spans="43:43" x14ac:dyDescent="0.2">
      <c r="AQ25831" s="31"/>
    </row>
    <row r="25832" spans="43:43" x14ac:dyDescent="0.2">
      <c r="AQ25832" s="31"/>
    </row>
    <row r="25833" spans="43:43" x14ac:dyDescent="0.2">
      <c r="AQ25833" s="31"/>
    </row>
    <row r="25834" spans="43:43" x14ac:dyDescent="0.2">
      <c r="AQ25834" s="31"/>
    </row>
    <row r="25835" spans="43:43" x14ac:dyDescent="0.2">
      <c r="AQ25835" s="31"/>
    </row>
    <row r="25836" spans="43:43" x14ac:dyDescent="0.2">
      <c r="AQ25836" s="31"/>
    </row>
    <row r="25837" spans="43:43" x14ac:dyDescent="0.2">
      <c r="AQ25837" s="31"/>
    </row>
    <row r="25838" spans="43:43" x14ac:dyDescent="0.2">
      <c r="AQ25838" s="31"/>
    </row>
    <row r="25839" spans="43:43" x14ac:dyDescent="0.2">
      <c r="AQ25839" s="31"/>
    </row>
    <row r="25840" spans="43:43" x14ac:dyDescent="0.2">
      <c r="AQ25840" s="31"/>
    </row>
    <row r="25841" spans="43:43" x14ac:dyDescent="0.2">
      <c r="AQ25841" s="31"/>
    </row>
    <row r="25842" spans="43:43" x14ac:dyDescent="0.2">
      <c r="AQ25842" s="31"/>
    </row>
    <row r="25843" spans="43:43" x14ac:dyDescent="0.2">
      <c r="AQ25843" s="31"/>
    </row>
    <row r="25844" spans="43:43" x14ac:dyDescent="0.2">
      <c r="AQ25844" s="31"/>
    </row>
    <row r="25845" spans="43:43" x14ac:dyDescent="0.2">
      <c r="AQ25845" s="31"/>
    </row>
    <row r="25846" spans="43:43" x14ac:dyDescent="0.2">
      <c r="AQ25846" s="31"/>
    </row>
    <row r="25847" spans="43:43" x14ac:dyDescent="0.2">
      <c r="AQ25847" s="31"/>
    </row>
    <row r="25848" spans="43:43" x14ac:dyDescent="0.2">
      <c r="AQ25848" s="31"/>
    </row>
    <row r="25849" spans="43:43" x14ac:dyDescent="0.2">
      <c r="AQ25849" s="31"/>
    </row>
    <row r="25850" spans="43:43" x14ac:dyDescent="0.2">
      <c r="AQ25850" s="31"/>
    </row>
    <row r="25851" spans="43:43" x14ac:dyDescent="0.2">
      <c r="AQ25851" s="31"/>
    </row>
    <row r="25852" spans="43:43" x14ac:dyDescent="0.2">
      <c r="AQ25852" s="31"/>
    </row>
    <row r="25853" spans="43:43" x14ac:dyDescent="0.2">
      <c r="AQ25853" s="31"/>
    </row>
    <row r="25854" spans="43:43" x14ac:dyDescent="0.2">
      <c r="AQ25854" s="31"/>
    </row>
    <row r="25855" spans="43:43" x14ac:dyDescent="0.2">
      <c r="AQ25855" s="31"/>
    </row>
    <row r="25856" spans="43:43" x14ac:dyDescent="0.2">
      <c r="AQ25856" s="31"/>
    </row>
    <row r="25857" spans="43:43" x14ac:dyDescent="0.2">
      <c r="AQ25857" s="31"/>
    </row>
    <row r="25858" spans="43:43" x14ac:dyDescent="0.2">
      <c r="AQ25858" s="31"/>
    </row>
    <row r="25859" spans="43:43" x14ac:dyDescent="0.2">
      <c r="AQ25859" s="31"/>
    </row>
    <row r="25860" spans="43:43" x14ac:dyDescent="0.2">
      <c r="AQ25860" s="31"/>
    </row>
    <row r="25861" spans="43:43" x14ac:dyDescent="0.2">
      <c r="AQ25861" s="31"/>
    </row>
    <row r="25862" spans="43:43" x14ac:dyDescent="0.2">
      <c r="AQ25862" s="31"/>
    </row>
    <row r="25863" spans="43:43" x14ac:dyDescent="0.2">
      <c r="AQ25863" s="31"/>
    </row>
    <row r="25864" spans="43:43" x14ac:dyDescent="0.2">
      <c r="AQ25864" s="31"/>
    </row>
    <row r="25865" spans="43:43" x14ac:dyDescent="0.2">
      <c r="AQ25865" s="31"/>
    </row>
    <row r="25866" spans="43:43" x14ac:dyDescent="0.2">
      <c r="AQ25866" s="31"/>
    </row>
    <row r="25867" spans="43:43" x14ac:dyDescent="0.2">
      <c r="AQ25867" s="31"/>
    </row>
    <row r="25868" spans="43:43" x14ac:dyDescent="0.2">
      <c r="AQ25868" s="31"/>
    </row>
    <row r="25869" spans="43:43" x14ac:dyDescent="0.2">
      <c r="AQ25869" s="31"/>
    </row>
    <row r="25870" spans="43:43" x14ac:dyDescent="0.2">
      <c r="AQ25870" s="31"/>
    </row>
    <row r="25871" spans="43:43" x14ac:dyDescent="0.2">
      <c r="AQ25871" s="31"/>
    </row>
    <row r="25872" spans="43:43" x14ac:dyDescent="0.2">
      <c r="AQ25872" s="31"/>
    </row>
    <row r="25873" spans="43:43" x14ac:dyDescent="0.2">
      <c r="AQ25873" s="31"/>
    </row>
    <row r="25874" spans="43:43" x14ac:dyDescent="0.2">
      <c r="AQ25874" s="31"/>
    </row>
    <row r="25875" spans="43:43" x14ac:dyDescent="0.2">
      <c r="AQ25875" s="31"/>
    </row>
    <row r="25876" spans="43:43" x14ac:dyDescent="0.2">
      <c r="AQ25876" s="31"/>
    </row>
    <row r="25877" spans="43:43" x14ac:dyDescent="0.2">
      <c r="AQ25877" s="31"/>
    </row>
    <row r="25878" spans="43:43" x14ac:dyDescent="0.2">
      <c r="AQ25878" s="31"/>
    </row>
    <row r="25879" spans="43:43" x14ac:dyDescent="0.2">
      <c r="AQ25879" s="31"/>
    </row>
    <row r="25880" spans="43:43" x14ac:dyDescent="0.2">
      <c r="AQ25880" s="31"/>
    </row>
    <row r="25881" spans="43:43" x14ac:dyDescent="0.2">
      <c r="AQ25881" s="31"/>
    </row>
    <row r="25882" spans="43:43" x14ac:dyDescent="0.2">
      <c r="AQ25882" s="31"/>
    </row>
    <row r="25883" spans="43:43" x14ac:dyDescent="0.2">
      <c r="AQ25883" s="31"/>
    </row>
    <row r="25884" spans="43:43" x14ac:dyDescent="0.2">
      <c r="AQ25884" s="31"/>
    </row>
    <row r="25885" spans="43:43" x14ac:dyDescent="0.2">
      <c r="AQ25885" s="31"/>
    </row>
    <row r="25886" spans="43:43" x14ac:dyDescent="0.2">
      <c r="AQ25886" s="31"/>
    </row>
    <row r="25887" spans="43:43" x14ac:dyDescent="0.2">
      <c r="AQ25887" s="31"/>
    </row>
    <row r="25888" spans="43:43" x14ac:dyDescent="0.2">
      <c r="AQ25888" s="31"/>
    </row>
    <row r="25889" spans="43:43" x14ac:dyDescent="0.2">
      <c r="AQ25889" s="31"/>
    </row>
    <row r="25890" spans="43:43" x14ac:dyDescent="0.2">
      <c r="AQ25890" s="31"/>
    </row>
    <row r="25891" spans="43:43" x14ac:dyDescent="0.2">
      <c r="AQ25891" s="31"/>
    </row>
    <row r="25892" spans="43:43" x14ac:dyDescent="0.2">
      <c r="AQ25892" s="31"/>
    </row>
    <row r="25893" spans="43:43" x14ac:dyDescent="0.2">
      <c r="AQ25893" s="31"/>
    </row>
    <row r="25894" spans="43:43" x14ac:dyDescent="0.2">
      <c r="AQ25894" s="31"/>
    </row>
    <row r="25895" spans="43:43" x14ac:dyDescent="0.2">
      <c r="AQ25895" s="31"/>
    </row>
    <row r="25896" spans="43:43" x14ac:dyDescent="0.2">
      <c r="AQ25896" s="31"/>
    </row>
    <row r="25897" spans="43:43" x14ac:dyDescent="0.2">
      <c r="AQ25897" s="31"/>
    </row>
    <row r="25898" spans="43:43" x14ac:dyDescent="0.2">
      <c r="AQ25898" s="31"/>
    </row>
    <row r="25899" spans="43:43" x14ac:dyDescent="0.2">
      <c r="AQ25899" s="31"/>
    </row>
    <row r="25900" spans="43:43" x14ac:dyDescent="0.2">
      <c r="AQ25900" s="31"/>
    </row>
    <row r="25901" spans="43:43" x14ac:dyDescent="0.2">
      <c r="AQ25901" s="31"/>
    </row>
    <row r="25902" spans="43:43" x14ac:dyDescent="0.2">
      <c r="AQ25902" s="31"/>
    </row>
    <row r="25903" spans="43:43" x14ac:dyDescent="0.2">
      <c r="AQ25903" s="31"/>
    </row>
    <row r="25904" spans="43:43" x14ac:dyDescent="0.2">
      <c r="AQ25904" s="31"/>
    </row>
    <row r="25905" spans="43:43" x14ac:dyDescent="0.2">
      <c r="AQ25905" s="31"/>
    </row>
    <row r="25906" spans="43:43" x14ac:dyDescent="0.2">
      <c r="AQ25906" s="31"/>
    </row>
    <row r="25907" spans="43:43" x14ac:dyDescent="0.2">
      <c r="AQ25907" s="31"/>
    </row>
    <row r="25908" spans="43:43" x14ac:dyDescent="0.2">
      <c r="AQ25908" s="31"/>
    </row>
    <row r="25909" spans="43:43" x14ac:dyDescent="0.2">
      <c r="AQ25909" s="31"/>
    </row>
    <row r="25910" spans="43:43" x14ac:dyDescent="0.2">
      <c r="AQ25910" s="31"/>
    </row>
    <row r="25911" spans="43:43" x14ac:dyDescent="0.2">
      <c r="AQ25911" s="31"/>
    </row>
    <row r="25912" spans="43:43" x14ac:dyDescent="0.2">
      <c r="AQ25912" s="31"/>
    </row>
    <row r="25913" spans="43:43" x14ac:dyDescent="0.2">
      <c r="AQ25913" s="31"/>
    </row>
    <row r="25914" spans="43:43" x14ac:dyDescent="0.2">
      <c r="AQ25914" s="31"/>
    </row>
    <row r="25915" spans="43:43" x14ac:dyDescent="0.2">
      <c r="AQ25915" s="31"/>
    </row>
    <row r="25916" spans="43:43" x14ac:dyDescent="0.2">
      <c r="AQ25916" s="31"/>
    </row>
    <row r="25917" spans="43:43" x14ac:dyDescent="0.2">
      <c r="AQ25917" s="31"/>
    </row>
    <row r="25918" spans="43:43" x14ac:dyDescent="0.2">
      <c r="AQ25918" s="31"/>
    </row>
    <row r="25919" spans="43:43" x14ac:dyDescent="0.2">
      <c r="AQ25919" s="31"/>
    </row>
    <row r="25920" spans="43:43" x14ac:dyDescent="0.2">
      <c r="AQ25920" s="31"/>
    </row>
    <row r="25921" spans="43:43" x14ac:dyDescent="0.2">
      <c r="AQ25921" s="31"/>
    </row>
    <row r="25922" spans="43:43" x14ac:dyDescent="0.2">
      <c r="AQ25922" s="31"/>
    </row>
    <row r="25923" spans="43:43" x14ac:dyDescent="0.2">
      <c r="AQ25923" s="31"/>
    </row>
    <row r="25924" spans="43:43" x14ac:dyDescent="0.2">
      <c r="AQ25924" s="31"/>
    </row>
    <row r="25925" spans="43:43" x14ac:dyDescent="0.2">
      <c r="AQ25925" s="31"/>
    </row>
    <row r="25926" spans="43:43" x14ac:dyDescent="0.2">
      <c r="AQ25926" s="31"/>
    </row>
    <row r="25927" spans="43:43" x14ac:dyDescent="0.2">
      <c r="AQ25927" s="31"/>
    </row>
    <row r="25928" spans="43:43" x14ac:dyDescent="0.2">
      <c r="AQ25928" s="31"/>
    </row>
    <row r="25929" spans="43:43" x14ac:dyDescent="0.2">
      <c r="AQ25929" s="31"/>
    </row>
    <row r="25930" spans="43:43" x14ac:dyDescent="0.2">
      <c r="AQ25930" s="31"/>
    </row>
    <row r="25931" spans="43:43" x14ac:dyDescent="0.2">
      <c r="AQ25931" s="31"/>
    </row>
    <row r="25932" spans="43:43" x14ac:dyDescent="0.2">
      <c r="AQ25932" s="31"/>
    </row>
    <row r="25933" spans="43:43" x14ac:dyDescent="0.2">
      <c r="AQ25933" s="31"/>
    </row>
    <row r="25934" spans="43:43" x14ac:dyDescent="0.2">
      <c r="AQ25934" s="31"/>
    </row>
    <row r="25935" spans="43:43" x14ac:dyDescent="0.2">
      <c r="AQ25935" s="31"/>
    </row>
    <row r="25936" spans="43:43" x14ac:dyDescent="0.2">
      <c r="AQ25936" s="31"/>
    </row>
    <row r="25937" spans="43:43" x14ac:dyDescent="0.2">
      <c r="AQ25937" s="31"/>
    </row>
    <row r="25938" spans="43:43" x14ac:dyDescent="0.2">
      <c r="AQ25938" s="31"/>
    </row>
    <row r="25939" spans="43:43" x14ac:dyDescent="0.2">
      <c r="AQ25939" s="31"/>
    </row>
    <row r="25940" spans="43:43" x14ac:dyDescent="0.2">
      <c r="AQ25940" s="31"/>
    </row>
    <row r="25941" spans="43:43" x14ac:dyDescent="0.2">
      <c r="AQ25941" s="31"/>
    </row>
    <row r="25942" spans="43:43" x14ac:dyDescent="0.2">
      <c r="AQ25942" s="31"/>
    </row>
    <row r="25943" spans="43:43" x14ac:dyDescent="0.2">
      <c r="AQ25943" s="31"/>
    </row>
    <row r="25944" spans="43:43" x14ac:dyDescent="0.2">
      <c r="AQ25944" s="31"/>
    </row>
    <row r="25945" spans="43:43" x14ac:dyDescent="0.2">
      <c r="AQ25945" s="31"/>
    </row>
    <row r="25946" spans="43:43" x14ac:dyDescent="0.2">
      <c r="AQ25946" s="31"/>
    </row>
    <row r="25947" spans="43:43" x14ac:dyDescent="0.2">
      <c r="AQ25947" s="31"/>
    </row>
    <row r="25948" spans="43:43" x14ac:dyDescent="0.2">
      <c r="AQ25948" s="31"/>
    </row>
    <row r="25949" spans="43:43" x14ac:dyDescent="0.2">
      <c r="AQ25949" s="31"/>
    </row>
    <row r="25950" spans="43:43" x14ac:dyDescent="0.2">
      <c r="AQ25950" s="31"/>
    </row>
    <row r="25951" spans="43:43" x14ac:dyDescent="0.2">
      <c r="AQ25951" s="31"/>
    </row>
    <row r="25952" spans="43:43" x14ac:dyDescent="0.2">
      <c r="AQ25952" s="31"/>
    </row>
    <row r="25953" spans="43:43" x14ac:dyDescent="0.2">
      <c r="AQ25953" s="31"/>
    </row>
    <row r="25954" spans="43:43" x14ac:dyDescent="0.2">
      <c r="AQ25954" s="31"/>
    </row>
    <row r="25955" spans="43:43" x14ac:dyDescent="0.2">
      <c r="AQ25955" s="31"/>
    </row>
    <row r="25956" spans="43:43" x14ac:dyDescent="0.2">
      <c r="AQ25956" s="31"/>
    </row>
    <row r="25957" spans="43:43" x14ac:dyDescent="0.2">
      <c r="AQ25957" s="31"/>
    </row>
    <row r="25958" spans="43:43" x14ac:dyDescent="0.2">
      <c r="AQ25958" s="31"/>
    </row>
    <row r="25959" spans="43:43" x14ac:dyDescent="0.2">
      <c r="AQ25959" s="31"/>
    </row>
    <row r="25960" spans="43:43" x14ac:dyDescent="0.2">
      <c r="AQ25960" s="31"/>
    </row>
    <row r="25961" spans="43:43" x14ac:dyDescent="0.2">
      <c r="AQ25961" s="31"/>
    </row>
    <row r="25962" spans="43:43" x14ac:dyDescent="0.2">
      <c r="AQ25962" s="31"/>
    </row>
    <row r="25963" spans="43:43" x14ac:dyDescent="0.2">
      <c r="AQ25963" s="31"/>
    </row>
    <row r="25964" spans="43:43" x14ac:dyDescent="0.2">
      <c r="AQ25964" s="31"/>
    </row>
    <row r="25965" spans="43:43" x14ac:dyDescent="0.2">
      <c r="AQ25965" s="31"/>
    </row>
    <row r="25966" spans="43:43" x14ac:dyDescent="0.2">
      <c r="AQ25966" s="31"/>
    </row>
    <row r="25967" spans="43:43" x14ac:dyDescent="0.2">
      <c r="AQ25967" s="31"/>
    </row>
    <row r="25968" spans="43:43" x14ac:dyDescent="0.2">
      <c r="AQ25968" s="31"/>
    </row>
    <row r="25969" spans="43:43" x14ac:dyDescent="0.2">
      <c r="AQ25969" s="31"/>
    </row>
    <row r="25970" spans="43:43" x14ac:dyDescent="0.2">
      <c r="AQ25970" s="31"/>
    </row>
    <row r="25971" spans="43:43" x14ac:dyDescent="0.2">
      <c r="AQ25971" s="31"/>
    </row>
    <row r="25972" spans="43:43" x14ac:dyDescent="0.2">
      <c r="AQ25972" s="31"/>
    </row>
    <row r="25973" spans="43:43" x14ac:dyDescent="0.2">
      <c r="AQ25973" s="31"/>
    </row>
    <row r="25974" spans="43:43" x14ac:dyDescent="0.2">
      <c r="AQ25974" s="31"/>
    </row>
    <row r="25975" spans="43:43" x14ac:dyDescent="0.2">
      <c r="AQ25975" s="31"/>
    </row>
    <row r="25976" spans="43:43" x14ac:dyDescent="0.2">
      <c r="AQ25976" s="31"/>
    </row>
    <row r="25977" spans="43:43" x14ac:dyDescent="0.2">
      <c r="AQ25977" s="31"/>
    </row>
    <row r="25978" spans="43:43" x14ac:dyDescent="0.2">
      <c r="AQ25978" s="31"/>
    </row>
    <row r="25979" spans="43:43" x14ac:dyDescent="0.2">
      <c r="AQ25979" s="31"/>
    </row>
    <row r="25980" spans="43:43" x14ac:dyDescent="0.2">
      <c r="AQ25980" s="31"/>
    </row>
    <row r="25981" spans="43:43" x14ac:dyDescent="0.2">
      <c r="AQ25981" s="31"/>
    </row>
    <row r="25982" spans="43:43" x14ac:dyDescent="0.2">
      <c r="AQ25982" s="31"/>
    </row>
    <row r="25983" spans="43:43" x14ac:dyDescent="0.2">
      <c r="AQ25983" s="31"/>
    </row>
    <row r="25984" spans="43:43" x14ac:dyDescent="0.2">
      <c r="AQ25984" s="31"/>
    </row>
    <row r="25985" spans="43:43" x14ac:dyDescent="0.2">
      <c r="AQ25985" s="31"/>
    </row>
    <row r="25986" spans="43:43" x14ac:dyDescent="0.2">
      <c r="AQ25986" s="31"/>
    </row>
    <row r="25987" spans="43:43" x14ac:dyDescent="0.2">
      <c r="AQ25987" s="31"/>
    </row>
    <row r="25988" spans="43:43" x14ac:dyDescent="0.2">
      <c r="AQ25988" s="31"/>
    </row>
    <row r="25989" spans="43:43" x14ac:dyDescent="0.2">
      <c r="AQ25989" s="31"/>
    </row>
    <row r="25990" spans="43:43" x14ac:dyDescent="0.2">
      <c r="AQ25990" s="31"/>
    </row>
    <row r="25991" spans="43:43" x14ac:dyDescent="0.2">
      <c r="AQ25991" s="31"/>
    </row>
    <row r="25992" spans="43:43" x14ac:dyDescent="0.2">
      <c r="AQ25992" s="31"/>
    </row>
    <row r="25993" spans="43:43" x14ac:dyDescent="0.2">
      <c r="AQ25993" s="31"/>
    </row>
    <row r="25994" spans="43:43" x14ac:dyDescent="0.2">
      <c r="AQ25994" s="31"/>
    </row>
    <row r="25995" spans="43:43" x14ac:dyDescent="0.2">
      <c r="AQ25995" s="31"/>
    </row>
    <row r="25996" spans="43:43" x14ac:dyDescent="0.2">
      <c r="AQ25996" s="31"/>
    </row>
    <row r="25997" spans="43:43" x14ac:dyDescent="0.2">
      <c r="AQ25997" s="31"/>
    </row>
    <row r="25998" spans="43:43" x14ac:dyDescent="0.2">
      <c r="AQ25998" s="31"/>
    </row>
    <row r="25999" spans="43:43" x14ac:dyDescent="0.2">
      <c r="AQ25999" s="31"/>
    </row>
    <row r="26000" spans="43:43" x14ac:dyDescent="0.2">
      <c r="AQ26000" s="31"/>
    </row>
    <row r="26001" spans="43:43" x14ac:dyDescent="0.2">
      <c r="AQ26001" s="31"/>
    </row>
    <row r="26002" spans="43:43" x14ac:dyDescent="0.2">
      <c r="AQ26002" s="31"/>
    </row>
    <row r="26003" spans="43:43" x14ac:dyDescent="0.2">
      <c r="AQ26003" s="31"/>
    </row>
    <row r="26004" spans="43:43" x14ac:dyDescent="0.2">
      <c r="AQ26004" s="31"/>
    </row>
    <row r="26005" spans="43:43" x14ac:dyDescent="0.2">
      <c r="AQ26005" s="31"/>
    </row>
    <row r="26006" spans="43:43" x14ac:dyDescent="0.2">
      <c r="AQ26006" s="31"/>
    </row>
    <row r="26007" spans="43:43" x14ac:dyDescent="0.2">
      <c r="AQ26007" s="31"/>
    </row>
    <row r="26008" spans="43:43" x14ac:dyDescent="0.2">
      <c r="AQ26008" s="31"/>
    </row>
    <row r="26009" spans="43:43" x14ac:dyDescent="0.2">
      <c r="AQ26009" s="31"/>
    </row>
    <row r="26010" spans="43:43" x14ac:dyDescent="0.2">
      <c r="AQ26010" s="31"/>
    </row>
    <row r="26011" spans="43:43" x14ac:dyDescent="0.2">
      <c r="AQ26011" s="31"/>
    </row>
    <row r="26012" spans="43:43" x14ac:dyDescent="0.2">
      <c r="AQ26012" s="31"/>
    </row>
    <row r="26013" spans="43:43" x14ac:dyDescent="0.2">
      <c r="AQ26013" s="31"/>
    </row>
    <row r="26014" spans="43:43" x14ac:dyDescent="0.2">
      <c r="AQ26014" s="31"/>
    </row>
    <row r="26015" spans="43:43" x14ac:dyDescent="0.2">
      <c r="AQ26015" s="31"/>
    </row>
    <row r="26016" spans="43:43" x14ac:dyDescent="0.2">
      <c r="AQ26016" s="31"/>
    </row>
    <row r="26017" spans="43:43" x14ac:dyDescent="0.2">
      <c r="AQ26017" s="31"/>
    </row>
    <row r="26018" spans="43:43" x14ac:dyDescent="0.2">
      <c r="AQ26018" s="31"/>
    </row>
    <row r="26019" spans="43:43" x14ac:dyDescent="0.2">
      <c r="AQ26019" s="31"/>
    </row>
    <row r="26020" spans="43:43" x14ac:dyDescent="0.2">
      <c r="AQ26020" s="31"/>
    </row>
    <row r="26021" spans="43:43" x14ac:dyDescent="0.2">
      <c r="AQ26021" s="31"/>
    </row>
    <row r="26022" spans="43:43" x14ac:dyDescent="0.2">
      <c r="AQ26022" s="31"/>
    </row>
    <row r="26023" spans="43:43" x14ac:dyDescent="0.2">
      <c r="AQ26023" s="31"/>
    </row>
    <row r="26024" spans="43:43" x14ac:dyDescent="0.2">
      <c r="AQ26024" s="31"/>
    </row>
    <row r="26025" spans="43:43" x14ac:dyDescent="0.2">
      <c r="AQ26025" s="31"/>
    </row>
    <row r="26026" spans="43:43" x14ac:dyDescent="0.2">
      <c r="AQ26026" s="31"/>
    </row>
    <row r="26027" spans="43:43" x14ac:dyDescent="0.2">
      <c r="AQ26027" s="31"/>
    </row>
    <row r="26028" spans="43:43" x14ac:dyDescent="0.2">
      <c r="AQ26028" s="31"/>
    </row>
    <row r="26029" spans="43:43" x14ac:dyDescent="0.2">
      <c r="AQ26029" s="31"/>
    </row>
    <row r="26030" spans="43:43" x14ac:dyDescent="0.2">
      <c r="AQ26030" s="31"/>
    </row>
    <row r="26031" spans="43:43" x14ac:dyDescent="0.2">
      <c r="AQ26031" s="31"/>
    </row>
    <row r="26032" spans="43:43" x14ac:dyDescent="0.2">
      <c r="AQ26032" s="31"/>
    </row>
    <row r="26033" spans="43:43" x14ac:dyDescent="0.2">
      <c r="AQ26033" s="31"/>
    </row>
    <row r="26034" spans="43:43" x14ac:dyDescent="0.2">
      <c r="AQ26034" s="31"/>
    </row>
    <row r="26035" spans="43:43" x14ac:dyDescent="0.2">
      <c r="AQ26035" s="31"/>
    </row>
    <row r="26036" spans="43:43" x14ac:dyDescent="0.2">
      <c r="AQ26036" s="31"/>
    </row>
    <row r="26037" spans="43:43" x14ac:dyDescent="0.2">
      <c r="AQ26037" s="31"/>
    </row>
    <row r="26038" spans="43:43" x14ac:dyDescent="0.2">
      <c r="AQ26038" s="31"/>
    </row>
    <row r="26039" spans="43:43" x14ac:dyDescent="0.2">
      <c r="AQ26039" s="31"/>
    </row>
    <row r="26040" spans="43:43" x14ac:dyDescent="0.2">
      <c r="AQ26040" s="31"/>
    </row>
    <row r="26041" spans="43:43" x14ac:dyDescent="0.2">
      <c r="AQ26041" s="31"/>
    </row>
    <row r="26042" spans="43:43" x14ac:dyDescent="0.2">
      <c r="AQ26042" s="31"/>
    </row>
    <row r="26043" spans="43:43" x14ac:dyDescent="0.2">
      <c r="AQ26043" s="31"/>
    </row>
    <row r="26044" spans="43:43" x14ac:dyDescent="0.2">
      <c r="AQ26044" s="31"/>
    </row>
    <row r="26045" spans="43:43" x14ac:dyDescent="0.2">
      <c r="AQ26045" s="31"/>
    </row>
    <row r="26046" spans="43:43" x14ac:dyDescent="0.2">
      <c r="AQ26046" s="31"/>
    </row>
    <row r="26047" spans="43:43" x14ac:dyDescent="0.2">
      <c r="AQ26047" s="31"/>
    </row>
    <row r="26048" spans="43:43" x14ac:dyDescent="0.2">
      <c r="AQ26048" s="31"/>
    </row>
    <row r="26049" spans="43:43" x14ac:dyDescent="0.2">
      <c r="AQ26049" s="31"/>
    </row>
    <row r="26050" spans="43:43" x14ac:dyDescent="0.2">
      <c r="AQ26050" s="31"/>
    </row>
    <row r="26051" spans="43:43" x14ac:dyDescent="0.2">
      <c r="AQ26051" s="31"/>
    </row>
    <row r="26052" spans="43:43" x14ac:dyDescent="0.2">
      <c r="AQ26052" s="31"/>
    </row>
    <row r="26053" spans="43:43" x14ac:dyDescent="0.2">
      <c r="AQ26053" s="31"/>
    </row>
    <row r="26054" spans="43:43" x14ac:dyDescent="0.2">
      <c r="AQ26054" s="31"/>
    </row>
    <row r="26055" spans="43:43" x14ac:dyDescent="0.2">
      <c r="AQ26055" s="31"/>
    </row>
    <row r="26056" spans="43:43" x14ac:dyDescent="0.2">
      <c r="AQ26056" s="31"/>
    </row>
    <row r="26057" spans="43:43" x14ac:dyDescent="0.2">
      <c r="AQ26057" s="31"/>
    </row>
    <row r="26058" spans="43:43" x14ac:dyDescent="0.2">
      <c r="AQ26058" s="31"/>
    </row>
    <row r="26059" spans="43:43" x14ac:dyDescent="0.2">
      <c r="AQ26059" s="31"/>
    </row>
    <row r="26060" spans="43:43" x14ac:dyDescent="0.2">
      <c r="AQ26060" s="31"/>
    </row>
    <row r="26061" spans="43:43" x14ac:dyDescent="0.2">
      <c r="AQ26061" s="31"/>
    </row>
    <row r="26062" spans="43:43" x14ac:dyDescent="0.2">
      <c r="AQ26062" s="31"/>
    </row>
    <row r="26063" spans="43:43" x14ac:dyDescent="0.2">
      <c r="AQ26063" s="31"/>
    </row>
    <row r="26064" spans="43:43" x14ac:dyDescent="0.2">
      <c r="AQ26064" s="31"/>
    </row>
    <row r="26065" spans="43:43" x14ac:dyDescent="0.2">
      <c r="AQ26065" s="31"/>
    </row>
    <row r="26066" spans="43:43" x14ac:dyDescent="0.2">
      <c r="AQ26066" s="31"/>
    </row>
    <row r="26067" spans="43:43" x14ac:dyDescent="0.2">
      <c r="AQ26067" s="31"/>
    </row>
    <row r="26068" spans="43:43" x14ac:dyDescent="0.2">
      <c r="AQ26068" s="31"/>
    </row>
    <row r="26069" spans="43:43" x14ac:dyDescent="0.2">
      <c r="AQ26069" s="31"/>
    </row>
    <row r="26070" spans="43:43" x14ac:dyDescent="0.2">
      <c r="AQ26070" s="31"/>
    </row>
    <row r="26071" spans="43:43" x14ac:dyDescent="0.2">
      <c r="AQ26071" s="31"/>
    </row>
    <row r="26072" spans="43:43" x14ac:dyDescent="0.2">
      <c r="AQ26072" s="31"/>
    </row>
    <row r="26073" spans="43:43" x14ac:dyDescent="0.2">
      <c r="AQ26073" s="31"/>
    </row>
    <row r="26074" spans="43:43" x14ac:dyDescent="0.2">
      <c r="AQ26074" s="31"/>
    </row>
    <row r="26075" spans="43:43" x14ac:dyDescent="0.2">
      <c r="AQ26075" s="31"/>
    </row>
    <row r="26076" spans="43:43" x14ac:dyDescent="0.2">
      <c r="AQ26076" s="31"/>
    </row>
    <row r="26077" spans="43:43" x14ac:dyDescent="0.2">
      <c r="AQ26077" s="31"/>
    </row>
    <row r="26078" spans="43:43" x14ac:dyDescent="0.2">
      <c r="AQ26078" s="31"/>
    </row>
    <row r="26079" spans="43:43" x14ac:dyDescent="0.2">
      <c r="AQ26079" s="31"/>
    </row>
    <row r="26080" spans="43:43" x14ac:dyDescent="0.2">
      <c r="AQ26080" s="31"/>
    </row>
    <row r="26081" spans="43:43" x14ac:dyDescent="0.2">
      <c r="AQ26081" s="31"/>
    </row>
    <row r="26082" spans="43:43" x14ac:dyDescent="0.2">
      <c r="AQ26082" s="31"/>
    </row>
    <row r="26083" spans="43:43" x14ac:dyDescent="0.2">
      <c r="AQ26083" s="31"/>
    </row>
    <row r="26084" spans="43:43" x14ac:dyDescent="0.2">
      <c r="AQ26084" s="31"/>
    </row>
    <row r="26085" spans="43:43" x14ac:dyDescent="0.2">
      <c r="AQ26085" s="31"/>
    </row>
    <row r="26086" spans="43:43" x14ac:dyDescent="0.2">
      <c r="AQ26086" s="31"/>
    </row>
    <row r="26087" spans="43:43" x14ac:dyDescent="0.2">
      <c r="AQ26087" s="31"/>
    </row>
    <row r="26088" spans="43:43" x14ac:dyDescent="0.2">
      <c r="AQ26088" s="31"/>
    </row>
    <row r="26089" spans="43:43" x14ac:dyDescent="0.2">
      <c r="AQ26089" s="31"/>
    </row>
    <row r="26090" spans="43:43" x14ac:dyDescent="0.2">
      <c r="AQ26090" s="31"/>
    </row>
    <row r="26091" spans="43:43" x14ac:dyDescent="0.2">
      <c r="AQ26091" s="31"/>
    </row>
    <row r="26092" spans="43:43" x14ac:dyDescent="0.2">
      <c r="AQ26092" s="31"/>
    </row>
    <row r="26093" spans="43:43" x14ac:dyDescent="0.2">
      <c r="AQ26093" s="31"/>
    </row>
    <row r="26094" spans="43:43" x14ac:dyDescent="0.2">
      <c r="AQ26094" s="31"/>
    </row>
    <row r="26095" spans="43:43" x14ac:dyDescent="0.2">
      <c r="AQ26095" s="31"/>
    </row>
    <row r="26096" spans="43:43" x14ac:dyDescent="0.2">
      <c r="AQ26096" s="31"/>
    </row>
    <row r="26097" spans="43:43" x14ac:dyDescent="0.2">
      <c r="AQ26097" s="31"/>
    </row>
    <row r="26098" spans="43:43" x14ac:dyDescent="0.2">
      <c r="AQ26098" s="31"/>
    </row>
    <row r="26099" spans="43:43" x14ac:dyDescent="0.2">
      <c r="AQ26099" s="31"/>
    </row>
    <row r="26100" spans="43:43" x14ac:dyDescent="0.2">
      <c r="AQ26100" s="31"/>
    </row>
    <row r="26101" spans="43:43" x14ac:dyDescent="0.2">
      <c r="AQ26101" s="31"/>
    </row>
    <row r="26102" spans="43:43" x14ac:dyDescent="0.2">
      <c r="AQ26102" s="31"/>
    </row>
    <row r="26103" spans="43:43" x14ac:dyDescent="0.2">
      <c r="AQ26103" s="31"/>
    </row>
    <row r="26104" spans="43:43" x14ac:dyDescent="0.2">
      <c r="AQ26104" s="31"/>
    </row>
    <row r="26105" spans="43:43" x14ac:dyDescent="0.2">
      <c r="AQ26105" s="31"/>
    </row>
    <row r="26106" spans="43:43" x14ac:dyDescent="0.2">
      <c r="AQ26106" s="31"/>
    </row>
    <row r="26107" spans="43:43" x14ac:dyDescent="0.2">
      <c r="AQ26107" s="31"/>
    </row>
    <row r="26108" spans="43:43" x14ac:dyDescent="0.2">
      <c r="AQ26108" s="31"/>
    </row>
    <row r="26109" spans="43:43" x14ac:dyDescent="0.2">
      <c r="AQ26109" s="31"/>
    </row>
    <row r="26110" spans="43:43" x14ac:dyDescent="0.2">
      <c r="AQ26110" s="31"/>
    </row>
    <row r="26111" spans="43:43" x14ac:dyDescent="0.2">
      <c r="AQ26111" s="31"/>
    </row>
    <row r="26112" spans="43:43" x14ac:dyDescent="0.2">
      <c r="AQ26112" s="31"/>
    </row>
    <row r="26113" spans="43:43" x14ac:dyDescent="0.2">
      <c r="AQ26113" s="31"/>
    </row>
    <row r="26114" spans="43:43" x14ac:dyDescent="0.2">
      <c r="AQ26114" s="31"/>
    </row>
    <row r="26115" spans="43:43" x14ac:dyDescent="0.2">
      <c r="AQ26115" s="31"/>
    </row>
    <row r="26116" spans="43:43" x14ac:dyDescent="0.2">
      <c r="AQ26116" s="31"/>
    </row>
    <row r="26117" spans="43:43" x14ac:dyDescent="0.2">
      <c r="AQ26117" s="31"/>
    </row>
    <row r="26118" spans="43:43" x14ac:dyDescent="0.2">
      <c r="AQ26118" s="31"/>
    </row>
    <row r="26119" spans="43:43" x14ac:dyDescent="0.2">
      <c r="AQ26119" s="31"/>
    </row>
    <row r="26120" spans="43:43" x14ac:dyDescent="0.2">
      <c r="AQ26120" s="31"/>
    </row>
    <row r="26121" spans="43:43" x14ac:dyDescent="0.2">
      <c r="AQ26121" s="31"/>
    </row>
    <row r="26122" spans="43:43" x14ac:dyDescent="0.2">
      <c r="AQ26122" s="31"/>
    </row>
    <row r="26123" spans="43:43" x14ac:dyDescent="0.2">
      <c r="AQ26123" s="31"/>
    </row>
    <row r="26124" spans="43:43" x14ac:dyDescent="0.2">
      <c r="AQ26124" s="31"/>
    </row>
    <row r="26125" spans="43:43" x14ac:dyDescent="0.2">
      <c r="AQ26125" s="31"/>
    </row>
    <row r="26126" spans="43:43" x14ac:dyDescent="0.2">
      <c r="AQ26126" s="31"/>
    </row>
    <row r="26127" spans="43:43" x14ac:dyDescent="0.2">
      <c r="AQ26127" s="31"/>
    </row>
    <row r="26128" spans="43:43" x14ac:dyDescent="0.2">
      <c r="AQ26128" s="31"/>
    </row>
    <row r="26129" spans="43:43" x14ac:dyDescent="0.2">
      <c r="AQ26129" s="31"/>
    </row>
    <row r="26130" spans="43:43" x14ac:dyDescent="0.2">
      <c r="AQ26130" s="31"/>
    </row>
    <row r="26131" spans="43:43" x14ac:dyDescent="0.2">
      <c r="AQ26131" s="31"/>
    </row>
    <row r="26132" spans="43:43" x14ac:dyDescent="0.2">
      <c r="AQ26132" s="31"/>
    </row>
    <row r="26133" spans="43:43" x14ac:dyDescent="0.2">
      <c r="AQ26133" s="31"/>
    </row>
    <row r="26134" spans="43:43" x14ac:dyDescent="0.2">
      <c r="AQ26134" s="31"/>
    </row>
    <row r="26135" spans="43:43" x14ac:dyDescent="0.2">
      <c r="AQ26135" s="31"/>
    </row>
    <row r="26136" spans="43:43" x14ac:dyDescent="0.2">
      <c r="AQ26136" s="31"/>
    </row>
    <row r="26137" spans="43:43" x14ac:dyDescent="0.2">
      <c r="AQ26137" s="31"/>
    </row>
    <row r="26138" spans="43:43" x14ac:dyDescent="0.2">
      <c r="AQ26138" s="31"/>
    </row>
    <row r="26139" spans="43:43" x14ac:dyDescent="0.2">
      <c r="AQ26139" s="31"/>
    </row>
    <row r="26140" spans="43:43" x14ac:dyDescent="0.2">
      <c r="AQ26140" s="31"/>
    </row>
    <row r="26141" spans="43:43" x14ac:dyDescent="0.2">
      <c r="AQ26141" s="31"/>
    </row>
    <row r="26142" spans="43:43" x14ac:dyDescent="0.2">
      <c r="AQ26142" s="31"/>
    </row>
    <row r="26143" spans="43:43" x14ac:dyDescent="0.2">
      <c r="AQ26143" s="31"/>
    </row>
    <row r="26144" spans="43:43" x14ac:dyDescent="0.2">
      <c r="AQ26144" s="31"/>
    </row>
    <row r="26145" spans="43:43" x14ac:dyDescent="0.2">
      <c r="AQ26145" s="31"/>
    </row>
    <row r="26146" spans="43:43" x14ac:dyDescent="0.2">
      <c r="AQ26146" s="31"/>
    </row>
    <row r="26147" spans="43:43" x14ac:dyDescent="0.2">
      <c r="AQ26147" s="31"/>
    </row>
    <row r="26148" spans="43:43" x14ac:dyDescent="0.2">
      <c r="AQ26148" s="31"/>
    </row>
    <row r="26149" spans="43:43" x14ac:dyDescent="0.2">
      <c r="AQ26149" s="31"/>
    </row>
    <row r="26150" spans="43:43" x14ac:dyDescent="0.2">
      <c r="AQ26150" s="31"/>
    </row>
    <row r="26151" spans="43:43" x14ac:dyDescent="0.2">
      <c r="AQ26151" s="31"/>
    </row>
    <row r="26152" spans="43:43" x14ac:dyDescent="0.2">
      <c r="AQ26152" s="31"/>
    </row>
    <row r="26153" spans="43:43" x14ac:dyDescent="0.2">
      <c r="AQ26153" s="31"/>
    </row>
    <row r="26154" spans="43:43" x14ac:dyDescent="0.2">
      <c r="AQ26154" s="31"/>
    </row>
    <row r="26155" spans="43:43" x14ac:dyDescent="0.2">
      <c r="AQ26155" s="31"/>
    </row>
    <row r="26156" spans="43:43" x14ac:dyDescent="0.2">
      <c r="AQ26156" s="31"/>
    </row>
    <row r="26157" spans="43:43" x14ac:dyDescent="0.2">
      <c r="AQ26157" s="31"/>
    </row>
    <row r="26158" spans="43:43" x14ac:dyDescent="0.2">
      <c r="AQ26158" s="31"/>
    </row>
    <row r="26159" spans="43:43" x14ac:dyDescent="0.2">
      <c r="AQ26159" s="31"/>
    </row>
    <row r="26160" spans="43:43" x14ac:dyDescent="0.2">
      <c r="AQ26160" s="31"/>
    </row>
    <row r="26161" spans="43:43" x14ac:dyDescent="0.2">
      <c r="AQ26161" s="31"/>
    </row>
    <row r="26162" spans="43:43" x14ac:dyDescent="0.2">
      <c r="AQ26162" s="31"/>
    </row>
    <row r="26163" spans="43:43" x14ac:dyDescent="0.2">
      <c r="AQ26163" s="31"/>
    </row>
    <row r="26164" spans="43:43" x14ac:dyDescent="0.2">
      <c r="AQ26164" s="31"/>
    </row>
    <row r="26165" spans="43:43" x14ac:dyDescent="0.2">
      <c r="AQ26165" s="31"/>
    </row>
    <row r="26166" spans="43:43" x14ac:dyDescent="0.2">
      <c r="AQ26166" s="31"/>
    </row>
    <row r="26167" spans="43:43" x14ac:dyDescent="0.2">
      <c r="AQ26167" s="31"/>
    </row>
    <row r="26168" spans="43:43" x14ac:dyDescent="0.2">
      <c r="AQ26168" s="31"/>
    </row>
    <row r="26169" spans="43:43" x14ac:dyDescent="0.2">
      <c r="AQ26169" s="31"/>
    </row>
    <row r="26170" spans="43:43" x14ac:dyDescent="0.2">
      <c r="AQ26170" s="31"/>
    </row>
    <row r="26171" spans="43:43" x14ac:dyDescent="0.2">
      <c r="AQ26171" s="31"/>
    </row>
    <row r="26172" spans="43:43" x14ac:dyDescent="0.2">
      <c r="AQ26172" s="31"/>
    </row>
    <row r="26173" spans="43:43" x14ac:dyDescent="0.2">
      <c r="AQ26173" s="31"/>
    </row>
    <row r="26174" spans="43:43" x14ac:dyDescent="0.2">
      <c r="AQ26174" s="31"/>
    </row>
    <row r="26175" spans="43:43" x14ac:dyDescent="0.2">
      <c r="AQ26175" s="31"/>
    </row>
    <row r="26176" spans="43:43" x14ac:dyDescent="0.2">
      <c r="AQ26176" s="31"/>
    </row>
    <row r="26177" spans="43:43" x14ac:dyDescent="0.2">
      <c r="AQ26177" s="31"/>
    </row>
    <row r="26178" spans="43:43" x14ac:dyDescent="0.2">
      <c r="AQ26178" s="31"/>
    </row>
    <row r="26179" spans="43:43" x14ac:dyDescent="0.2">
      <c r="AQ26179" s="31"/>
    </row>
    <row r="26180" spans="43:43" x14ac:dyDescent="0.2">
      <c r="AQ26180" s="31"/>
    </row>
    <row r="26181" spans="43:43" x14ac:dyDescent="0.2">
      <c r="AQ26181" s="31"/>
    </row>
    <row r="26182" spans="43:43" x14ac:dyDescent="0.2">
      <c r="AQ26182" s="31"/>
    </row>
    <row r="26183" spans="43:43" x14ac:dyDescent="0.2">
      <c r="AQ26183" s="31"/>
    </row>
    <row r="26184" spans="43:43" x14ac:dyDescent="0.2">
      <c r="AQ26184" s="31"/>
    </row>
    <row r="26185" spans="43:43" x14ac:dyDescent="0.2">
      <c r="AQ26185" s="31"/>
    </row>
    <row r="26186" spans="43:43" x14ac:dyDescent="0.2">
      <c r="AQ26186" s="31"/>
    </row>
    <row r="26187" spans="43:43" x14ac:dyDescent="0.2">
      <c r="AQ26187" s="31"/>
    </row>
    <row r="26188" spans="43:43" x14ac:dyDescent="0.2">
      <c r="AQ26188" s="31"/>
    </row>
    <row r="26189" spans="43:43" x14ac:dyDescent="0.2">
      <c r="AQ26189" s="31"/>
    </row>
    <row r="26190" spans="43:43" x14ac:dyDescent="0.2">
      <c r="AQ26190" s="31"/>
    </row>
    <row r="26191" spans="43:43" x14ac:dyDescent="0.2">
      <c r="AQ26191" s="31"/>
    </row>
    <row r="26192" spans="43:43" x14ac:dyDescent="0.2">
      <c r="AQ26192" s="31"/>
    </row>
    <row r="26193" spans="43:43" x14ac:dyDescent="0.2">
      <c r="AQ26193" s="31"/>
    </row>
    <row r="26194" spans="43:43" x14ac:dyDescent="0.2">
      <c r="AQ26194" s="31"/>
    </row>
    <row r="26195" spans="43:43" x14ac:dyDescent="0.2">
      <c r="AQ26195" s="31"/>
    </row>
    <row r="26196" spans="43:43" x14ac:dyDescent="0.2">
      <c r="AQ26196" s="31"/>
    </row>
    <row r="26197" spans="43:43" x14ac:dyDescent="0.2">
      <c r="AQ26197" s="31"/>
    </row>
    <row r="26198" spans="43:43" x14ac:dyDescent="0.2">
      <c r="AQ26198" s="31"/>
    </row>
    <row r="26199" spans="43:43" x14ac:dyDescent="0.2">
      <c r="AQ26199" s="31"/>
    </row>
    <row r="26200" spans="43:43" x14ac:dyDescent="0.2">
      <c r="AQ26200" s="31"/>
    </row>
    <row r="26201" spans="43:43" x14ac:dyDescent="0.2">
      <c r="AQ26201" s="31"/>
    </row>
    <row r="26202" spans="43:43" x14ac:dyDescent="0.2">
      <c r="AQ26202" s="31"/>
    </row>
    <row r="26203" spans="43:43" x14ac:dyDescent="0.2">
      <c r="AQ26203" s="31"/>
    </row>
    <row r="26204" spans="43:43" x14ac:dyDescent="0.2">
      <c r="AQ26204" s="31"/>
    </row>
    <row r="26205" spans="43:43" x14ac:dyDescent="0.2">
      <c r="AQ26205" s="31"/>
    </row>
    <row r="26206" spans="43:43" x14ac:dyDescent="0.2">
      <c r="AQ26206" s="31"/>
    </row>
    <row r="26207" spans="43:43" x14ac:dyDescent="0.2">
      <c r="AQ26207" s="31"/>
    </row>
    <row r="26208" spans="43:43" x14ac:dyDescent="0.2">
      <c r="AQ26208" s="31"/>
    </row>
    <row r="26209" spans="43:43" x14ac:dyDescent="0.2">
      <c r="AQ26209" s="31"/>
    </row>
    <row r="26210" spans="43:43" x14ac:dyDescent="0.2">
      <c r="AQ26210" s="31"/>
    </row>
    <row r="26211" spans="43:43" x14ac:dyDescent="0.2">
      <c r="AQ26211" s="31"/>
    </row>
    <row r="26212" spans="43:43" x14ac:dyDescent="0.2">
      <c r="AQ26212" s="31"/>
    </row>
    <row r="26213" spans="43:43" x14ac:dyDescent="0.2">
      <c r="AQ26213" s="31"/>
    </row>
    <row r="26214" spans="43:43" x14ac:dyDescent="0.2">
      <c r="AQ26214" s="31"/>
    </row>
    <row r="26215" spans="43:43" x14ac:dyDescent="0.2">
      <c r="AQ26215" s="31"/>
    </row>
    <row r="26216" spans="43:43" x14ac:dyDescent="0.2">
      <c r="AQ26216" s="31"/>
    </row>
    <row r="26217" spans="43:43" x14ac:dyDescent="0.2">
      <c r="AQ26217" s="31"/>
    </row>
    <row r="26218" spans="43:43" x14ac:dyDescent="0.2">
      <c r="AQ26218" s="31"/>
    </row>
    <row r="26219" spans="43:43" x14ac:dyDescent="0.2">
      <c r="AQ26219" s="31"/>
    </row>
    <row r="26220" spans="43:43" x14ac:dyDescent="0.2">
      <c r="AQ26220" s="31"/>
    </row>
    <row r="26221" spans="43:43" x14ac:dyDescent="0.2">
      <c r="AQ26221" s="31"/>
    </row>
    <row r="26222" spans="43:43" x14ac:dyDescent="0.2">
      <c r="AQ26222" s="31"/>
    </row>
    <row r="26223" spans="43:43" x14ac:dyDescent="0.2">
      <c r="AQ26223" s="31"/>
    </row>
    <row r="26224" spans="43:43" x14ac:dyDescent="0.2">
      <c r="AQ26224" s="31"/>
    </row>
    <row r="26225" spans="43:43" x14ac:dyDescent="0.2">
      <c r="AQ26225" s="31"/>
    </row>
    <row r="26226" spans="43:43" x14ac:dyDescent="0.2">
      <c r="AQ26226" s="31"/>
    </row>
    <row r="26227" spans="43:43" x14ac:dyDescent="0.2">
      <c r="AQ26227" s="31"/>
    </row>
    <row r="26228" spans="43:43" x14ac:dyDescent="0.2">
      <c r="AQ26228" s="31"/>
    </row>
    <row r="26229" spans="43:43" x14ac:dyDescent="0.2">
      <c r="AQ26229" s="31"/>
    </row>
    <row r="26230" spans="43:43" x14ac:dyDescent="0.2">
      <c r="AQ26230" s="31"/>
    </row>
    <row r="26231" spans="43:43" x14ac:dyDescent="0.2">
      <c r="AQ26231" s="31"/>
    </row>
    <row r="26232" spans="43:43" x14ac:dyDescent="0.2">
      <c r="AQ26232" s="31"/>
    </row>
    <row r="26233" spans="43:43" x14ac:dyDescent="0.2">
      <c r="AQ26233" s="31"/>
    </row>
    <row r="26234" spans="43:43" x14ac:dyDescent="0.2">
      <c r="AQ26234" s="31"/>
    </row>
    <row r="26235" spans="43:43" x14ac:dyDescent="0.2">
      <c r="AQ26235" s="31"/>
    </row>
    <row r="26236" spans="43:43" x14ac:dyDescent="0.2">
      <c r="AQ26236" s="31"/>
    </row>
    <row r="26237" spans="43:43" x14ac:dyDescent="0.2">
      <c r="AQ26237" s="31"/>
    </row>
    <row r="26238" spans="43:43" x14ac:dyDescent="0.2">
      <c r="AQ26238" s="31"/>
    </row>
    <row r="26239" spans="43:43" x14ac:dyDescent="0.2">
      <c r="AQ26239" s="31"/>
    </row>
    <row r="26240" spans="43:43" x14ac:dyDescent="0.2">
      <c r="AQ26240" s="31"/>
    </row>
    <row r="26241" spans="43:43" x14ac:dyDescent="0.2">
      <c r="AQ26241" s="31"/>
    </row>
    <row r="26242" spans="43:43" x14ac:dyDescent="0.2">
      <c r="AQ26242" s="31"/>
    </row>
    <row r="26243" spans="43:43" x14ac:dyDescent="0.2">
      <c r="AQ26243" s="31"/>
    </row>
    <row r="26244" spans="43:43" x14ac:dyDescent="0.2">
      <c r="AQ26244" s="31"/>
    </row>
    <row r="26245" spans="43:43" x14ac:dyDescent="0.2">
      <c r="AQ26245" s="31"/>
    </row>
    <row r="26246" spans="43:43" x14ac:dyDescent="0.2">
      <c r="AQ26246" s="31"/>
    </row>
    <row r="26247" spans="43:43" x14ac:dyDescent="0.2">
      <c r="AQ26247" s="31"/>
    </row>
    <row r="26248" spans="43:43" x14ac:dyDescent="0.2">
      <c r="AQ26248" s="31"/>
    </row>
    <row r="26249" spans="43:43" x14ac:dyDescent="0.2">
      <c r="AQ26249" s="31"/>
    </row>
    <row r="26250" spans="43:43" x14ac:dyDescent="0.2">
      <c r="AQ26250" s="31"/>
    </row>
    <row r="26251" spans="43:43" x14ac:dyDescent="0.2">
      <c r="AQ26251" s="31"/>
    </row>
    <row r="26252" spans="43:43" x14ac:dyDescent="0.2">
      <c r="AQ26252" s="31"/>
    </row>
    <row r="26253" spans="43:43" x14ac:dyDescent="0.2">
      <c r="AQ26253" s="31"/>
    </row>
    <row r="26254" spans="43:43" x14ac:dyDescent="0.2">
      <c r="AQ26254" s="31"/>
    </row>
    <row r="26255" spans="43:43" x14ac:dyDescent="0.2">
      <c r="AQ26255" s="31"/>
    </row>
    <row r="26256" spans="43:43" x14ac:dyDescent="0.2">
      <c r="AQ26256" s="31"/>
    </row>
    <row r="26257" spans="43:43" x14ac:dyDescent="0.2">
      <c r="AQ26257" s="31"/>
    </row>
    <row r="26258" spans="43:43" x14ac:dyDescent="0.2">
      <c r="AQ26258" s="31"/>
    </row>
    <row r="26259" spans="43:43" x14ac:dyDescent="0.2">
      <c r="AQ26259" s="31"/>
    </row>
    <row r="26260" spans="43:43" x14ac:dyDescent="0.2">
      <c r="AQ26260" s="31"/>
    </row>
    <row r="26261" spans="43:43" x14ac:dyDescent="0.2">
      <c r="AQ26261" s="31"/>
    </row>
    <row r="26262" spans="43:43" x14ac:dyDescent="0.2">
      <c r="AQ26262" s="31"/>
    </row>
    <row r="26263" spans="43:43" x14ac:dyDescent="0.2">
      <c r="AQ26263" s="31"/>
    </row>
    <row r="26264" spans="43:43" x14ac:dyDescent="0.2">
      <c r="AQ26264" s="31"/>
    </row>
    <row r="26265" spans="43:43" x14ac:dyDescent="0.2">
      <c r="AQ26265" s="31"/>
    </row>
    <row r="26266" spans="43:43" x14ac:dyDescent="0.2">
      <c r="AQ26266" s="31"/>
    </row>
    <row r="26267" spans="43:43" x14ac:dyDescent="0.2">
      <c r="AQ26267" s="31"/>
    </row>
    <row r="26268" spans="43:43" x14ac:dyDescent="0.2">
      <c r="AQ26268" s="31"/>
    </row>
    <row r="26269" spans="43:43" x14ac:dyDescent="0.2">
      <c r="AQ26269" s="31"/>
    </row>
    <row r="26270" spans="43:43" x14ac:dyDescent="0.2">
      <c r="AQ26270" s="31"/>
    </row>
    <row r="26271" spans="43:43" x14ac:dyDescent="0.2">
      <c r="AQ26271" s="31"/>
    </row>
    <row r="26272" spans="43:43" x14ac:dyDescent="0.2">
      <c r="AQ26272" s="31"/>
    </row>
    <row r="26273" spans="43:43" x14ac:dyDescent="0.2">
      <c r="AQ26273" s="31"/>
    </row>
    <row r="26274" spans="43:43" x14ac:dyDescent="0.2">
      <c r="AQ26274" s="31"/>
    </row>
    <row r="26275" spans="43:43" x14ac:dyDescent="0.2">
      <c r="AQ26275" s="31"/>
    </row>
    <row r="26276" spans="43:43" x14ac:dyDescent="0.2">
      <c r="AQ26276" s="31"/>
    </row>
    <row r="26277" spans="43:43" x14ac:dyDescent="0.2">
      <c r="AQ26277" s="31"/>
    </row>
    <row r="26278" spans="43:43" x14ac:dyDescent="0.2">
      <c r="AQ26278" s="31"/>
    </row>
    <row r="26279" spans="43:43" x14ac:dyDescent="0.2">
      <c r="AQ26279" s="31"/>
    </row>
    <row r="26280" spans="43:43" x14ac:dyDescent="0.2">
      <c r="AQ26280" s="31"/>
    </row>
    <row r="26281" spans="43:43" x14ac:dyDescent="0.2">
      <c r="AQ26281" s="31"/>
    </row>
    <row r="26282" spans="43:43" x14ac:dyDescent="0.2">
      <c r="AQ26282" s="31"/>
    </row>
    <row r="26283" spans="43:43" x14ac:dyDescent="0.2">
      <c r="AQ26283" s="31"/>
    </row>
    <row r="26284" spans="43:43" x14ac:dyDescent="0.2">
      <c r="AQ26284" s="31"/>
    </row>
    <row r="26285" spans="43:43" x14ac:dyDescent="0.2">
      <c r="AQ26285" s="31"/>
    </row>
    <row r="26286" spans="43:43" x14ac:dyDescent="0.2">
      <c r="AQ26286" s="31"/>
    </row>
    <row r="26287" spans="43:43" x14ac:dyDescent="0.2">
      <c r="AQ26287" s="31"/>
    </row>
    <row r="26288" spans="43:43" x14ac:dyDescent="0.2">
      <c r="AQ26288" s="31"/>
    </row>
    <row r="26289" spans="43:43" x14ac:dyDescent="0.2">
      <c r="AQ26289" s="31"/>
    </row>
    <row r="26290" spans="43:43" x14ac:dyDescent="0.2">
      <c r="AQ26290" s="31"/>
    </row>
    <row r="26291" spans="43:43" x14ac:dyDescent="0.2">
      <c r="AQ26291" s="31"/>
    </row>
    <row r="26292" spans="43:43" x14ac:dyDescent="0.2">
      <c r="AQ26292" s="31"/>
    </row>
    <row r="26293" spans="43:43" x14ac:dyDescent="0.2">
      <c r="AQ26293" s="31"/>
    </row>
    <row r="26294" spans="43:43" x14ac:dyDescent="0.2">
      <c r="AQ26294" s="31"/>
    </row>
    <row r="26295" spans="43:43" x14ac:dyDescent="0.2">
      <c r="AQ26295" s="31"/>
    </row>
    <row r="26296" spans="43:43" x14ac:dyDescent="0.2">
      <c r="AQ26296" s="31"/>
    </row>
    <row r="26297" spans="43:43" x14ac:dyDescent="0.2">
      <c r="AQ26297" s="31"/>
    </row>
    <row r="26298" spans="43:43" x14ac:dyDescent="0.2">
      <c r="AQ26298" s="31"/>
    </row>
    <row r="26299" spans="43:43" x14ac:dyDescent="0.2">
      <c r="AQ26299" s="31"/>
    </row>
    <row r="26300" spans="43:43" x14ac:dyDescent="0.2">
      <c r="AQ26300" s="31"/>
    </row>
    <row r="26301" spans="43:43" x14ac:dyDescent="0.2">
      <c r="AQ26301" s="31"/>
    </row>
    <row r="26302" spans="43:43" x14ac:dyDescent="0.2">
      <c r="AQ26302" s="31"/>
    </row>
    <row r="26303" spans="43:43" x14ac:dyDescent="0.2">
      <c r="AQ26303" s="31"/>
    </row>
    <row r="26304" spans="43:43" x14ac:dyDescent="0.2">
      <c r="AQ26304" s="31"/>
    </row>
    <row r="26305" spans="43:43" x14ac:dyDescent="0.2">
      <c r="AQ26305" s="31"/>
    </row>
    <row r="26306" spans="43:43" x14ac:dyDescent="0.2">
      <c r="AQ26306" s="31"/>
    </row>
    <row r="26307" spans="43:43" x14ac:dyDescent="0.2">
      <c r="AQ26307" s="31"/>
    </row>
    <row r="26308" spans="43:43" x14ac:dyDescent="0.2">
      <c r="AQ26308" s="31"/>
    </row>
    <row r="26309" spans="43:43" x14ac:dyDescent="0.2">
      <c r="AQ26309" s="31"/>
    </row>
    <row r="26310" spans="43:43" x14ac:dyDescent="0.2">
      <c r="AQ26310" s="31"/>
    </row>
    <row r="26311" spans="43:43" x14ac:dyDescent="0.2">
      <c r="AQ26311" s="31"/>
    </row>
    <row r="26312" spans="43:43" x14ac:dyDescent="0.2">
      <c r="AQ26312" s="31"/>
    </row>
    <row r="26313" spans="43:43" x14ac:dyDescent="0.2">
      <c r="AQ26313" s="31"/>
    </row>
    <row r="26314" spans="43:43" x14ac:dyDescent="0.2">
      <c r="AQ26314" s="31"/>
    </row>
    <row r="26315" spans="43:43" x14ac:dyDescent="0.2">
      <c r="AQ26315" s="31"/>
    </row>
    <row r="26316" spans="43:43" x14ac:dyDescent="0.2">
      <c r="AQ26316" s="31"/>
    </row>
    <row r="26317" spans="43:43" x14ac:dyDescent="0.2">
      <c r="AQ26317" s="31"/>
    </row>
    <row r="26318" spans="43:43" x14ac:dyDescent="0.2">
      <c r="AQ26318" s="31"/>
    </row>
    <row r="26319" spans="43:43" x14ac:dyDescent="0.2">
      <c r="AQ26319" s="31"/>
    </row>
    <row r="26320" spans="43:43" x14ac:dyDescent="0.2">
      <c r="AQ26320" s="31"/>
    </row>
    <row r="26321" spans="43:43" x14ac:dyDescent="0.2">
      <c r="AQ26321" s="31"/>
    </row>
    <row r="26322" spans="43:43" x14ac:dyDescent="0.2">
      <c r="AQ26322" s="31"/>
    </row>
    <row r="26323" spans="43:43" x14ac:dyDescent="0.2">
      <c r="AQ26323" s="31"/>
    </row>
    <row r="26324" spans="43:43" x14ac:dyDescent="0.2">
      <c r="AQ26324" s="31"/>
    </row>
    <row r="26325" spans="43:43" x14ac:dyDescent="0.2">
      <c r="AQ26325" s="31"/>
    </row>
    <row r="26326" spans="43:43" x14ac:dyDescent="0.2">
      <c r="AQ26326" s="31"/>
    </row>
    <row r="26327" spans="43:43" x14ac:dyDescent="0.2">
      <c r="AQ26327" s="31"/>
    </row>
    <row r="26328" spans="43:43" x14ac:dyDescent="0.2">
      <c r="AQ26328" s="31"/>
    </row>
    <row r="26329" spans="43:43" x14ac:dyDescent="0.2">
      <c r="AQ26329" s="31"/>
    </row>
    <row r="26330" spans="43:43" x14ac:dyDescent="0.2">
      <c r="AQ26330" s="31"/>
    </row>
    <row r="26331" spans="43:43" x14ac:dyDescent="0.2">
      <c r="AQ26331" s="31"/>
    </row>
    <row r="26332" spans="43:43" x14ac:dyDescent="0.2">
      <c r="AQ26332" s="31"/>
    </row>
    <row r="26333" spans="43:43" x14ac:dyDescent="0.2">
      <c r="AQ26333" s="31"/>
    </row>
    <row r="26334" spans="43:43" x14ac:dyDescent="0.2">
      <c r="AQ26334" s="31"/>
    </row>
    <row r="26335" spans="43:43" x14ac:dyDescent="0.2">
      <c r="AQ26335" s="31"/>
    </row>
    <row r="26336" spans="43:43" x14ac:dyDescent="0.2">
      <c r="AQ26336" s="31"/>
    </row>
    <row r="26337" spans="43:43" x14ac:dyDescent="0.2">
      <c r="AQ26337" s="31"/>
    </row>
    <row r="26338" spans="43:43" x14ac:dyDescent="0.2">
      <c r="AQ26338" s="31"/>
    </row>
    <row r="26339" spans="43:43" x14ac:dyDescent="0.2">
      <c r="AQ26339" s="31"/>
    </row>
    <row r="26340" spans="43:43" x14ac:dyDescent="0.2">
      <c r="AQ26340" s="31"/>
    </row>
    <row r="26341" spans="43:43" x14ac:dyDescent="0.2">
      <c r="AQ26341" s="31"/>
    </row>
    <row r="26342" spans="43:43" x14ac:dyDescent="0.2">
      <c r="AQ26342" s="31"/>
    </row>
    <row r="26343" spans="43:43" x14ac:dyDescent="0.2">
      <c r="AQ26343" s="31"/>
    </row>
    <row r="26344" spans="43:43" x14ac:dyDescent="0.2">
      <c r="AQ26344" s="31"/>
    </row>
    <row r="26345" spans="43:43" x14ac:dyDescent="0.2">
      <c r="AQ26345" s="31"/>
    </row>
    <row r="26346" spans="43:43" x14ac:dyDescent="0.2">
      <c r="AQ26346" s="31"/>
    </row>
    <row r="26347" spans="43:43" x14ac:dyDescent="0.2">
      <c r="AQ26347" s="31"/>
    </row>
    <row r="26348" spans="43:43" x14ac:dyDescent="0.2">
      <c r="AQ26348" s="31"/>
    </row>
    <row r="26349" spans="43:43" x14ac:dyDescent="0.2">
      <c r="AQ26349" s="31"/>
    </row>
    <row r="26350" spans="43:43" x14ac:dyDescent="0.2">
      <c r="AQ26350" s="31"/>
    </row>
    <row r="26351" spans="43:43" x14ac:dyDescent="0.2">
      <c r="AQ26351" s="31"/>
    </row>
    <row r="26352" spans="43:43" x14ac:dyDescent="0.2">
      <c r="AQ26352" s="31"/>
    </row>
    <row r="26353" spans="43:43" x14ac:dyDescent="0.2">
      <c r="AQ26353" s="31"/>
    </row>
    <row r="26354" spans="43:43" x14ac:dyDescent="0.2">
      <c r="AQ26354" s="31"/>
    </row>
    <row r="26355" spans="43:43" x14ac:dyDescent="0.2">
      <c r="AQ26355" s="31"/>
    </row>
    <row r="26356" spans="43:43" x14ac:dyDescent="0.2">
      <c r="AQ26356" s="31"/>
    </row>
    <row r="26357" spans="43:43" x14ac:dyDescent="0.2">
      <c r="AQ26357" s="31"/>
    </row>
    <row r="26358" spans="43:43" x14ac:dyDescent="0.2">
      <c r="AQ26358" s="31"/>
    </row>
    <row r="26359" spans="43:43" x14ac:dyDescent="0.2">
      <c r="AQ26359" s="31"/>
    </row>
    <row r="26360" spans="43:43" x14ac:dyDescent="0.2">
      <c r="AQ26360" s="31"/>
    </row>
    <row r="26361" spans="43:43" x14ac:dyDescent="0.2">
      <c r="AQ26361" s="31"/>
    </row>
    <row r="26362" spans="43:43" x14ac:dyDescent="0.2">
      <c r="AQ26362" s="31"/>
    </row>
    <row r="26363" spans="43:43" x14ac:dyDescent="0.2">
      <c r="AQ26363" s="31"/>
    </row>
    <row r="26364" spans="43:43" x14ac:dyDescent="0.2">
      <c r="AQ26364" s="31"/>
    </row>
    <row r="26365" spans="43:43" x14ac:dyDescent="0.2">
      <c r="AQ26365" s="31"/>
    </row>
    <row r="26366" spans="43:43" x14ac:dyDescent="0.2">
      <c r="AQ26366" s="31"/>
    </row>
    <row r="26367" spans="43:43" x14ac:dyDescent="0.2">
      <c r="AQ26367" s="31"/>
    </row>
    <row r="26368" spans="43:43" x14ac:dyDescent="0.2">
      <c r="AQ26368" s="31"/>
    </row>
    <row r="26369" spans="43:43" x14ac:dyDescent="0.2">
      <c r="AQ26369" s="31"/>
    </row>
    <row r="26370" spans="43:43" x14ac:dyDescent="0.2">
      <c r="AQ26370" s="31"/>
    </row>
    <row r="26371" spans="43:43" x14ac:dyDescent="0.2">
      <c r="AQ26371" s="31"/>
    </row>
    <row r="26372" spans="43:43" x14ac:dyDescent="0.2">
      <c r="AQ26372" s="31"/>
    </row>
    <row r="26373" spans="43:43" x14ac:dyDescent="0.2">
      <c r="AQ26373" s="31"/>
    </row>
    <row r="26374" spans="43:43" x14ac:dyDescent="0.2">
      <c r="AQ26374" s="31"/>
    </row>
    <row r="26375" spans="43:43" x14ac:dyDescent="0.2">
      <c r="AQ26375" s="31"/>
    </row>
    <row r="26376" spans="43:43" x14ac:dyDescent="0.2">
      <c r="AQ26376" s="31"/>
    </row>
    <row r="26377" spans="43:43" x14ac:dyDescent="0.2">
      <c r="AQ26377" s="31"/>
    </row>
    <row r="26378" spans="43:43" x14ac:dyDescent="0.2">
      <c r="AQ26378" s="31"/>
    </row>
    <row r="26379" spans="43:43" x14ac:dyDescent="0.2">
      <c r="AQ26379" s="31"/>
    </row>
    <row r="26380" spans="43:43" x14ac:dyDescent="0.2">
      <c r="AQ26380" s="31"/>
    </row>
    <row r="26381" spans="43:43" x14ac:dyDescent="0.2">
      <c r="AQ26381" s="31"/>
    </row>
    <row r="26382" spans="43:43" x14ac:dyDescent="0.2">
      <c r="AQ26382" s="31"/>
    </row>
    <row r="26383" spans="43:43" x14ac:dyDescent="0.2">
      <c r="AQ26383" s="31"/>
    </row>
    <row r="26384" spans="43:43" x14ac:dyDescent="0.2">
      <c r="AQ26384" s="31"/>
    </row>
    <row r="26385" spans="43:43" x14ac:dyDescent="0.2">
      <c r="AQ26385" s="31"/>
    </row>
    <row r="26386" spans="43:43" x14ac:dyDescent="0.2">
      <c r="AQ26386" s="31"/>
    </row>
    <row r="26387" spans="43:43" x14ac:dyDescent="0.2">
      <c r="AQ26387" s="31"/>
    </row>
    <row r="26388" spans="43:43" x14ac:dyDescent="0.2">
      <c r="AQ26388" s="31"/>
    </row>
    <row r="26389" spans="43:43" x14ac:dyDescent="0.2">
      <c r="AQ26389" s="31"/>
    </row>
    <row r="26390" spans="43:43" x14ac:dyDescent="0.2">
      <c r="AQ26390" s="31"/>
    </row>
    <row r="26391" spans="43:43" x14ac:dyDescent="0.2">
      <c r="AQ26391" s="31"/>
    </row>
    <row r="26392" spans="43:43" x14ac:dyDescent="0.2">
      <c r="AQ26392" s="31"/>
    </row>
    <row r="26393" spans="43:43" x14ac:dyDescent="0.2">
      <c r="AQ26393" s="31"/>
    </row>
    <row r="26394" spans="43:43" x14ac:dyDescent="0.2">
      <c r="AQ26394" s="31"/>
    </row>
    <row r="26395" spans="43:43" x14ac:dyDescent="0.2">
      <c r="AQ26395" s="31"/>
    </row>
    <row r="26396" spans="43:43" x14ac:dyDescent="0.2">
      <c r="AQ26396" s="31"/>
    </row>
    <row r="26397" spans="43:43" x14ac:dyDescent="0.2">
      <c r="AQ26397" s="31"/>
    </row>
    <row r="26398" spans="43:43" x14ac:dyDescent="0.2">
      <c r="AQ26398" s="31"/>
    </row>
    <row r="26399" spans="43:43" x14ac:dyDescent="0.2">
      <c r="AQ26399" s="31"/>
    </row>
    <row r="26400" spans="43:43" x14ac:dyDescent="0.2">
      <c r="AQ26400" s="31"/>
    </row>
    <row r="26401" spans="43:43" x14ac:dyDescent="0.2">
      <c r="AQ26401" s="31"/>
    </row>
    <row r="26402" spans="43:43" x14ac:dyDescent="0.2">
      <c r="AQ26402" s="31"/>
    </row>
    <row r="26403" spans="43:43" x14ac:dyDescent="0.2">
      <c r="AQ26403" s="31"/>
    </row>
    <row r="26404" spans="43:43" x14ac:dyDescent="0.2">
      <c r="AQ26404" s="31"/>
    </row>
    <row r="26405" spans="43:43" x14ac:dyDescent="0.2">
      <c r="AQ26405" s="31"/>
    </row>
    <row r="26406" spans="43:43" x14ac:dyDescent="0.2">
      <c r="AQ26406" s="31"/>
    </row>
    <row r="26407" spans="43:43" x14ac:dyDescent="0.2">
      <c r="AQ26407" s="31"/>
    </row>
    <row r="26408" spans="43:43" x14ac:dyDescent="0.2">
      <c r="AQ26408" s="31"/>
    </row>
    <row r="26409" spans="43:43" x14ac:dyDescent="0.2">
      <c r="AQ26409" s="31"/>
    </row>
    <row r="26410" spans="43:43" x14ac:dyDescent="0.2">
      <c r="AQ26410" s="31"/>
    </row>
    <row r="26411" spans="43:43" x14ac:dyDescent="0.2">
      <c r="AQ26411" s="31"/>
    </row>
    <row r="26412" spans="43:43" x14ac:dyDescent="0.2">
      <c r="AQ26412" s="31"/>
    </row>
    <row r="26413" spans="43:43" x14ac:dyDescent="0.2">
      <c r="AQ26413" s="31"/>
    </row>
    <row r="26414" spans="43:43" x14ac:dyDescent="0.2">
      <c r="AQ26414" s="31"/>
    </row>
    <row r="26415" spans="43:43" x14ac:dyDescent="0.2">
      <c r="AQ26415" s="31"/>
    </row>
    <row r="26416" spans="43:43" x14ac:dyDescent="0.2">
      <c r="AQ26416" s="31"/>
    </row>
    <row r="26417" spans="43:43" x14ac:dyDescent="0.2">
      <c r="AQ26417" s="31"/>
    </row>
    <row r="26418" spans="43:43" x14ac:dyDescent="0.2">
      <c r="AQ26418" s="31"/>
    </row>
    <row r="26419" spans="43:43" x14ac:dyDescent="0.2">
      <c r="AQ26419" s="31"/>
    </row>
    <row r="26420" spans="43:43" x14ac:dyDescent="0.2">
      <c r="AQ26420" s="31"/>
    </row>
    <row r="26421" spans="43:43" x14ac:dyDescent="0.2">
      <c r="AQ26421" s="31"/>
    </row>
    <row r="26422" spans="43:43" x14ac:dyDescent="0.2">
      <c r="AQ26422" s="31"/>
    </row>
    <row r="26423" spans="43:43" x14ac:dyDescent="0.2">
      <c r="AQ26423" s="31"/>
    </row>
    <row r="26424" spans="43:43" x14ac:dyDescent="0.2">
      <c r="AQ26424" s="31"/>
    </row>
    <row r="26425" spans="43:43" x14ac:dyDescent="0.2">
      <c r="AQ26425" s="31"/>
    </row>
    <row r="26426" spans="43:43" x14ac:dyDescent="0.2">
      <c r="AQ26426" s="31"/>
    </row>
    <row r="26427" spans="43:43" x14ac:dyDescent="0.2">
      <c r="AQ26427" s="31"/>
    </row>
    <row r="26428" spans="43:43" x14ac:dyDescent="0.2">
      <c r="AQ26428" s="31"/>
    </row>
    <row r="26429" spans="43:43" x14ac:dyDescent="0.2">
      <c r="AQ26429" s="31"/>
    </row>
    <row r="26430" spans="43:43" x14ac:dyDescent="0.2">
      <c r="AQ26430" s="31"/>
    </row>
    <row r="26431" spans="43:43" x14ac:dyDescent="0.2">
      <c r="AQ26431" s="31"/>
    </row>
    <row r="26432" spans="43:43" x14ac:dyDescent="0.2">
      <c r="AQ26432" s="31"/>
    </row>
    <row r="26433" spans="43:43" x14ac:dyDescent="0.2">
      <c r="AQ26433" s="31"/>
    </row>
    <row r="26434" spans="43:43" x14ac:dyDescent="0.2">
      <c r="AQ26434" s="31"/>
    </row>
    <row r="26435" spans="43:43" x14ac:dyDescent="0.2">
      <c r="AQ26435" s="31"/>
    </row>
    <row r="26436" spans="43:43" x14ac:dyDescent="0.2">
      <c r="AQ26436" s="31"/>
    </row>
    <row r="26437" spans="43:43" x14ac:dyDescent="0.2">
      <c r="AQ26437" s="31"/>
    </row>
    <row r="26438" spans="43:43" x14ac:dyDescent="0.2">
      <c r="AQ26438" s="31"/>
    </row>
    <row r="26439" spans="43:43" x14ac:dyDescent="0.2">
      <c r="AQ26439" s="31"/>
    </row>
    <row r="26440" spans="43:43" x14ac:dyDescent="0.2">
      <c r="AQ26440" s="31"/>
    </row>
    <row r="26441" spans="43:43" x14ac:dyDescent="0.2">
      <c r="AQ26441" s="31"/>
    </row>
    <row r="26442" spans="43:43" x14ac:dyDescent="0.2">
      <c r="AQ26442" s="31"/>
    </row>
    <row r="26443" spans="43:43" x14ac:dyDescent="0.2">
      <c r="AQ26443" s="31"/>
    </row>
    <row r="26444" spans="43:43" x14ac:dyDescent="0.2">
      <c r="AQ26444" s="31"/>
    </row>
    <row r="26445" spans="43:43" x14ac:dyDescent="0.2">
      <c r="AQ26445" s="31"/>
    </row>
    <row r="26446" spans="43:43" x14ac:dyDescent="0.2">
      <c r="AQ26446" s="31"/>
    </row>
    <row r="26447" spans="43:43" x14ac:dyDescent="0.2">
      <c r="AQ26447" s="31"/>
    </row>
    <row r="26448" spans="43:43" x14ac:dyDescent="0.2">
      <c r="AQ26448" s="31"/>
    </row>
    <row r="26449" spans="43:43" x14ac:dyDescent="0.2">
      <c r="AQ26449" s="31"/>
    </row>
    <row r="26450" spans="43:43" x14ac:dyDescent="0.2">
      <c r="AQ26450" s="31"/>
    </row>
    <row r="26451" spans="43:43" x14ac:dyDescent="0.2">
      <c r="AQ26451" s="31"/>
    </row>
    <row r="26452" spans="43:43" x14ac:dyDescent="0.2">
      <c r="AQ26452" s="31"/>
    </row>
    <row r="26453" spans="43:43" x14ac:dyDescent="0.2">
      <c r="AQ26453" s="31"/>
    </row>
    <row r="26454" spans="43:43" x14ac:dyDescent="0.2">
      <c r="AQ26454" s="31"/>
    </row>
    <row r="26455" spans="43:43" x14ac:dyDescent="0.2">
      <c r="AQ26455" s="31"/>
    </row>
    <row r="26456" spans="43:43" x14ac:dyDescent="0.2">
      <c r="AQ26456" s="31"/>
    </row>
    <row r="26457" spans="43:43" x14ac:dyDescent="0.2">
      <c r="AQ26457" s="31"/>
    </row>
    <row r="26458" spans="43:43" x14ac:dyDescent="0.2">
      <c r="AQ26458" s="31"/>
    </row>
    <row r="26459" spans="43:43" x14ac:dyDescent="0.2">
      <c r="AQ26459" s="31"/>
    </row>
    <row r="26460" spans="43:43" x14ac:dyDescent="0.2">
      <c r="AQ26460" s="31"/>
    </row>
    <row r="26461" spans="43:43" x14ac:dyDescent="0.2">
      <c r="AQ26461" s="31"/>
    </row>
    <row r="26462" spans="43:43" x14ac:dyDescent="0.2">
      <c r="AQ26462" s="31"/>
    </row>
    <row r="26463" spans="43:43" x14ac:dyDescent="0.2">
      <c r="AQ26463" s="31"/>
    </row>
    <row r="26464" spans="43:43" x14ac:dyDescent="0.2">
      <c r="AQ26464" s="31"/>
    </row>
    <row r="26465" spans="43:43" x14ac:dyDescent="0.2">
      <c r="AQ26465" s="31"/>
    </row>
    <row r="26466" spans="43:43" x14ac:dyDescent="0.2">
      <c r="AQ26466" s="31"/>
    </row>
    <row r="26467" spans="43:43" x14ac:dyDescent="0.2">
      <c r="AQ26467" s="31"/>
    </row>
    <row r="26468" spans="43:43" x14ac:dyDescent="0.2">
      <c r="AQ26468" s="31"/>
    </row>
    <row r="26469" spans="43:43" x14ac:dyDescent="0.2">
      <c r="AQ26469" s="31"/>
    </row>
    <row r="26470" spans="43:43" x14ac:dyDescent="0.2">
      <c r="AQ26470" s="31"/>
    </row>
    <row r="26471" spans="43:43" x14ac:dyDescent="0.2">
      <c r="AQ26471" s="31"/>
    </row>
    <row r="26472" spans="43:43" x14ac:dyDescent="0.2">
      <c r="AQ26472" s="31"/>
    </row>
    <row r="26473" spans="43:43" x14ac:dyDescent="0.2">
      <c r="AQ26473" s="31"/>
    </row>
    <row r="26474" spans="43:43" x14ac:dyDescent="0.2">
      <c r="AQ26474" s="31"/>
    </row>
    <row r="26475" spans="43:43" x14ac:dyDescent="0.2">
      <c r="AQ26475" s="31"/>
    </row>
    <row r="26476" spans="43:43" x14ac:dyDescent="0.2">
      <c r="AQ26476" s="31"/>
    </row>
    <row r="26477" spans="43:43" x14ac:dyDescent="0.2">
      <c r="AQ26477" s="31"/>
    </row>
    <row r="26478" spans="43:43" x14ac:dyDescent="0.2">
      <c r="AQ26478" s="31"/>
    </row>
    <row r="26479" spans="43:43" x14ac:dyDescent="0.2">
      <c r="AQ26479" s="31"/>
    </row>
    <row r="26480" spans="43:43" x14ac:dyDescent="0.2">
      <c r="AQ26480" s="31"/>
    </row>
    <row r="26481" spans="43:43" x14ac:dyDescent="0.2">
      <c r="AQ26481" s="31"/>
    </row>
    <row r="26482" spans="43:43" x14ac:dyDescent="0.2">
      <c r="AQ26482" s="31"/>
    </row>
    <row r="26483" spans="43:43" x14ac:dyDescent="0.2">
      <c r="AQ26483" s="31"/>
    </row>
    <row r="26484" spans="43:43" x14ac:dyDescent="0.2">
      <c r="AQ26484" s="31"/>
    </row>
    <row r="26485" spans="43:43" x14ac:dyDescent="0.2">
      <c r="AQ26485" s="31"/>
    </row>
    <row r="26486" spans="43:43" x14ac:dyDescent="0.2">
      <c r="AQ26486" s="31"/>
    </row>
    <row r="26487" spans="43:43" x14ac:dyDescent="0.2">
      <c r="AQ26487" s="31"/>
    </row>
    <row r="26488" spans="43:43" x14ac:dyDescent="0.2">
      <c r="AQ26488" s="31"/>
    </row>
    <row r="26489" spans="43:43" x14ac:dyDescent="0.2">
      <c r="AQ26489" s="31"/>
    </row>
    <row r="26490" spans="43:43" x14ac:dyDescent="0.2">
      <c r="AQ26490" s="31"/>
    </row>
    <row r="26491" spans="43:43" x14ac:dyDescent="0.2">
      <c r="AQ26491" s="31"/>
    </row>
    <row r="26492" spans="43:43" x14ac:dyDescent="0.2">
      <c r="AQ26492" s="31"/>
    </row>
    <row r="26493" spans="43:43" x14ac:dyDescent="0.2">
      <c r="AQ26493" s="31"/>
    </row>
    <row r="26494" spans="43:43" x14ac:dyDescent="0.2">
      <c r="AQ26494" s="31"/>
    </row>
    <row r="26495" spans="43:43" x14ac:dyDescent="0.2">
      <c r="AQ26495" s="31"/>
    </row>
    <row r="26496" spans="43:43" x14ac:dyDescent="0.2">
      <c r="AQ26496" s="31"/>
    </row>
    <row r="26497" spans="43:43" x14ac:dyDescent="0.2">
      <c r="AQ26497" s="31"/>
    </row>
    <row r="26498" spans="43:43" x14ac:dyDescent="0.2">
      <c r="AQ26498" s="31"/>
    </row>
    <row r="26499" spans="43:43" x14ac:dyDescent="0.2">
      <c r="AQ26499" s="31"/>
    </row>
    <row r="26500" spans="43:43" x14ac:dyDescent="0.2">
      <c r="AQ26500" s="31"/>
    </row>
    <row r="26501" spans="43:43" x14ac:dyDescent="0.2">
      <c r="AQ26501" s="31"/>
    </row>
    <row r="26502" spans="43:43" x14ac:dyDescent="0.2">
      <c r="AQ26502" s="31"/>
    </row>
    <row r="26503" spans="43:43" x14ac:dyDescent="0.2">
      <c r="AQ26503" s="31"/>
    </row>
    <row r="26504" spans="43:43" x14ac:dyDescent="0.2">
      <c r="AQ26504" s="31"/>
    </row>
    <row r="26505" spans="43:43" x14ac:dyDescent="0.2">
      <c r="AQ26505" s="31"/>
    </row>
    <row r="26506" spans="43:43" x14ac:dyDescent="0.2">
      <c r="AQ26506" s="31"/>
    </row>
    <row r="26507" spans="43:43" x14ac:dyDescent="0.2">
      <c r="AQ26507" s="31"/>
    </row>
    <row r="26508" spans="43:43" x14ac:dyDescent="0.2">
      <c r="AQ26508" s="31"/>
    </row>
    <row r="26509" spans="43:43" x14ac:dyDescent="0.2">
      <c r="AQ26509" s="31"/>
    </row>
    <row r="26510" spans="43:43" x14ac:dyDescent="0.2">
      <c r="AQ26510" s="31"/>
    </row>
    <row r="26511" spans="43:43" x14ac:dyDescent="0.2">
      <c r="AQ26511" s="31"/>
    </row>
    <row r="26512" spans="43:43" x14ac:dyDescent="0.2">
      <c r="AQ26512" s="31"/>
    </row>
    <row r="26513" spans="43:43" x14ac:dyDescent="0.2">
      <c r="AQ26513" s="31"/>
    </row>
    <row r="26514" spans="43:43" x14ac:dyDescent="0.2">
      <c r="AQ26514" s="31"/>
    </row>
    <row r="26515" spans="43:43" x14ac:dyDescent="0.2">
      <c r="AQ26515" s="31"/>
    </row>
    <row r="26516" spans="43:43" x14ac:dyDescent="0.2">
      <c r="AQ26516" s="31"/>
    </row>
    <row r="26517" spans="43:43" x14ac:dyDescent="0.2">
      <c r="AQ26517" s="31"/>
    </row>
    <row r="26518" spans="43:43" x14ac:dyDescent="0.2">
      <c r="AQ26518" s="31"/>
    </row>
    <row r="26519" spans="43:43" x14ac:dyDescent="0.2">
      <c r="AQ26519" s="31"/>
    </row>
    <row r="26520" spans="43:43" x14ac:dyDescent="0.2">
      <c r="AQ26520" s="31"/>
    </row>
    <row r="26521" spans="43:43" x14ac:dyDescent="0.2">
      <c r="AQ26521" s="31"/>
    </row>
    <row r="26522" spans="43:43" x14ac:dyDescent="0.2">
      <c r="AQ26522" s="31"/>
    </row>
    <row r="26523" spans="43:43" x14ac:dyDescent="0.2">
      <c r="AQ26523" s="31"/>
    </row>
    <row r="26524" spans="43:43" x14ac:dyDescent="0.2">
      <c r="AQ26524" s="31"/>
    </row>
    <row r="26525" spans="43:43" x14ac:dyDescent="0.2">
      <c r="AQ26525" s="31"/>
    </row>
    <row r="26526" spans="43:43" x14ac:dyDescent="0.2">
      <c r="AQ26526" s="31"/>
    </row>
    <row r="26527" spans="43:43" x14ac:dyDescent="0.2">
      <c r="AQ26527" s="31"/>
    </row>
    <row r="26528" spans="43:43" x14ac:dyDescent="0.2">
      <c r="AQ26528" s="31"/>
    </row>
    <row r="26529" spans="43:43" x14ac:dyDescent="0.2">
      <c r="AQ26529" s="31"/>
    </row>
    <row r="26530" spans="43:43" x14ac:dyDescent="0.2">
      <c r="AQ26530" s="31"/>
    </row>
    <row r="26531" spans="43:43" x14ac:dyDescent="0.2">
      <c r="AQ26531" s="31"/>
    </row>
    <row r="26532" spans="43:43" x14ac:dyDescent="0.2">
      <c r="AQ26532" s="31"/>
    </row>
    <row r="26533" spans="43:43" x14ac:dyDescent="0.2">
      <c r="AQ26533" s="31"/>
    </row>
    <row r="26534" spans="43:43" x14ac:dyDescent="0.2">
      <c r="AQ26534" s="31"/>
    </row>
    <row r="26535" spans="43:43" x14ac:dyDescent="0.2">
      <c r="AQ26535" s="31"/>
    </row>
    <row r="26536" spans="43:43" x14ac:dyDescent="0.2">
      <c r="AQ26536" s="31"/>
    </row>
    <row r="26537" spans="43:43" x14ac:dyDescent="0.2">
      <c r="AQ26537" s="31"/>
    </row>
    <row r="26538" spans="43:43" x14ac:dyDescent="0.2">
      <c r="AQ26538" s="31"/>
    </row>
    <row r="26539" spans="43:43" x14ac:dyDescent="0.2">
      <c r="AQ26539" s="31"/>
    </row>
    <row r="26540" spans="43:43" x14ac:dyDescent="0.2">
      <c r="AQ26540" s="31"/>
    </row>
    <row r="26541" spans="43:43" x14ac:dyDescent="0.2">
      <c r="AQ26541" s="31"/>
    </row>
    <row r="26542" spans="43:43" x14ac:dyDescent="0.2">
      <c r="AQ26542" s="31"/>
    </row>
    <row r="26543" spans="43:43" x14ac:dyDescent="0.2">
      <c r="AQ26543" s="31"/>
    </row>
    <row r="26544" spans="43:43" x14ac:dyDescent="0.2">
      <c r="AQ26544" s="31"/>
    </row>
    <row r="26545" spans="43:43" x14ac:dyDescent="0.2">
      <c r="AQ26545" s="31"/>
    </row>
    <row r="26546" spans="43:43" x14ac:dyDescent="0.2">
      <c r="AQ26546" s="31"/>
    </row>
    <row r="26547" spans="43:43" x14ac:dyDescent="0.2">
      <c r="AQ26547" s="31"/>
    </row>
    <row r="26548" spans="43:43" x14ac:dyDescent="0.2">
      <c r="AQ26548" s="31"/>
    </row>
    <row r="26549" spans="43:43" x14ac:dyDescent="0.2">
      <c r="AQ26549" s="31"/>
    </row>
    <row r="26550" spans="43:43" x14ac:dyDescent="0.2">
      <c r="AQ26550" s="31"/>
    </row>
    <row r="26551" spans="43:43" x14ac:dyDescent="0.2">
      <c r="AQ26551" s="31"/>
    </row>
    <row r="26552" spans="43:43" x14ac:dyDescent="0.2">
      <c r="AQ26552" s="31"/>
    </row>
    <row r="26553" spans="43:43" x14ac:dyDescent="0.2">
      <c r="AQ26553" s="31"/>
    </row>
    <row r="26554" spans="43:43" x14ac:dyDescent="0.2">
      <c r="AQ26554" s="31"/>
    </row>
    <row r="26555" spans="43:43" x14ac:dyDescent="0.2">
      <c r="AQ26555" s="31"/>
    </row>
    <row r="26556" spans="43:43" x14ac:dyDescent="0.2">
      <c r="AQ26556" s="31"/>
    </row>
    <row r="26557" spans="43:43" x14ac:dyDescent="0.2">
      <c r="AQ26557" s="31"/>
    </row>
    <row r="26558" spans="43:43" x14ac:dyDescent="0.2">
      <c r="AQ26558" s="31"/>
    </row>
    <row r="26559" spans="43:43" x14ac:dyDescent="0.2">
      <c r="AQ26559" s="31"/>
    </row>
    <row r="26560" spans="43:43" x14ac:dyDescent="0.2">
      <c r="AQ26560" s="31"/>
    </row>
    <row r="26561" spans="43:43" x14ac:dyDescent="0.2">
      <c r="AQ26561" s="31"/>
    </row>
    <row r="26562" spans="43:43" x14ac:dyDescent="0.2">
      <c r="AQ26562" s="31"/>
    </row>
    <row r="26563" spans="43:43" x14ac:dyDescent="0.2">
      <c r="AQ26563" s="31"/>
    </row>
    <row r="26564" spans="43:43" x14ac:dyDescent="0.2">
      <c r="AQ26564" s="31"/>
    </row>
    <row r="26565" spans="43:43" x14ac:dyDescent="0.2">
      <c r="AQ26565" s="31"/>
    </row>
    <row r="26566" spans="43:43" x14ac:dyDescent="0.2">
      <c r="AQ26566" s="31"/>
    </row>
    <row r="26567" spans="43:43" x14ac:dyDescent="0.2">
      <c r="AQ26567" s="31"/>
    </row>
    <row r="26568" spans="43:43" x14ac:dyDescent="0.2">
      <c r="AQ26568" s="31"/>
    </row>
    <row r="26569" spans="43:43" x14ac:dyDescent="0.2">
      <c r="AQ26569" s="31"/>
    </row>
    <row r="26570" spans="43:43" x14ac:dyDescent="0.2">
      <c r="AQ26570" s="31"/>
    </row>
    <row r="26571" spans="43:43" x14ac:dyDescent="0.2">
      <c r="AQ26571" s="31"/>
    </row>
    <row r="26572" spans="43:43" x14ac:dyDescent="0.2">
      <c r="AQ26572" s="31"/>
    </row>
    <row r="26573" spans="43:43" x14ac:dyDescent="0.2">
      <c r="AQ26573" s="31"/>
    </row>
    <row r="26574" spans="43:43" x14ac:dyDescent="0.2">
      <c r="AQ26574" s="31"/>
    </row>
    <row r="26575" spans="43:43" x14ac:dyDescent="0.2">
      <c r="AQ26575" s="31"/>
    </row>
    <row r="26576" spans="43:43" x14ac:dyDescent="0.2">
      <c r="AQ26576" s="31"/>
    </row>
    <row r="26577" spans="43:43" x14ac:dyDescent="0.2">
      <c r="AQ26577" s="31"/>
    </row>
    <row r="26578" spans="43:43" x14ac:dyDescent="0.2">
      <c r="AQ26578" s="31"/>
    </row>
    <row r="26579" spans="43:43" x14ac:dyDescent="0.2">
      <c r="AQ26579" s="31"/>
    </row>
    <row r="26580" spans="43:43" x14ac:dyDescent="0.2">
      <c r="AQ26580" s="31"/>
    </row>
    <row r="26581" spans="43:43" x14ac:dyDescent="0.2">
      <c r="AQ26581" s="31"/>
    </row>
    <row r="26582" spans="43:43" x14ac:dyDescent="0.2">
      <c r="AQ26582" s="31"/>
    </row>
    <row r="26583" spans="43:43" x14ac:dyDescent="0.2">
      <c r="AQ26583" s="31"/>
    </row>
    <row r="26584" spans="43:43" x14ac:dyDescent="0.2">
      <c r="AQ26584" s="31"/>
    </row>
    <row r="26585" spans="43:43" x14ac:dyDescent="0.2">
      <c r="AQ26585" s="31"/>
    </row>
    <row r="26586" spans="43:43" x14ac:dyDescent="0.2">
      <c r="AQ26586" s="31"/>
    </row>
    <row r="26587" spans="43:43" x14ac:dyDescent="0.2">
      <c r="AQ26587" s="31"/>
    </row>
    <row r="26588" spans="43:43" x14ac:dyDescent="0.2">
      <c r="AQ26588" s="31"/>
    </row>
    <row r="26589" spans="43:43" x14ac:dyDescent="0.2">
      <c r="AQ26589" s="31"/>
    </row>
    <row r="26590" spans="43:43" x14ac:dyDescent="0.2">
      <c r="AQ26590" s="31"/>
    </row>
    <row r="26591" spans="43:43" x14ac:dyDescent="0.2">
      <c r="AQ26591" s="31"/>
    </row>
    <row r="26592" spans="43:43" x14ac:dyDescent="0.2">
      <c r="AQ26592" s="31"/>
    </row>
    <row r="26593" spans="43:43" x14ac:dyDescent="0.2">
      <c r="AQ26593" s="31"/>
    </row>
    <row r="26594" spans="43:43" x14ac:dyDescent="0.2">
      <c r="AQ26594" s="31"/>
    </row>
    <row r="26595" spans="43:43" x14ac:dyDescent="0.2">
      <c r="AQ26595" s="31"/>
    </row>
    <row r="26596" spans="43:43" x14ac:dyDescent="0.2">
      <c r="AQ26596" s="31"/>
    </row>
    <row r="26597" spans="43:43" x14ac:dyDescent="0.2">
      <c r="AQ26597" s="31"/>
    </row>
    <row r="26598" spans="43:43" x14ac:dyDescent="0.2">
      <c r="AQ26598" s="31"/>
    </row>
    <row r="26599" spans="43:43" x14ac:dyDescent="0.2">
      <c r="AQ26599" s="31"/>
    </row>
    <row r="26600" spans="43:43" x14ac:dyDescent="0.2">
      <c r="AQ26600" s="31"/>
    </row>
    <row r="26601" spans="43:43" x14ac:dyDescent="0.2">
      <c r="AQ26601" s="31"/>
    </row>
    <row r="26602" spans="43:43" x14ac:dyDescent="0.2">
      <c r="AQ26602" s="31"/>
    </row>
    <row r="26603" spans="43:43" x14ac:dyDescent="0.2">
      <c r="AQ26603" s="31"/>
    </row>
    <row r="26604" spans="43:43" x14ac:dyDescent="0.2">
      <c r="AQ26604" s="31"/>
    </row>
    <row r="26605" spans="43:43" x14ac:dyDescent="0.2">
      <c r="AQ26605" s="31"/>
    </row>
    <row r="26606" spans="43:43" x14ac:dyDescent="0.2">
      <c r="AQ26606" s="31"/>
    </row>
    <row r="26607" spans="43:43" x14ac:dyDescent="0.2">
      <c r="AQ26607" s="31"/>
    </row>
    <row r="26608" spans="43:43" x14ac:dyDescent="0.2">
      <c r="AQ26608" s="31"/>
    </row>
    <row r="26609" spans="43:43" x14ac:dyDescent="0.2">
      <c r="AQ26609" s="31"/>
    </row>
    <row r="26610" spans="43:43" x14ac:dyDescent="0.2">
      <c r="AQ26610" s="31"/>
    </row>
    <row r="26611" spans="43:43" x14ac:dyDescent="0.2">
      <c r="AQ26611" s="31"/>
    </row>
    <row r="26612" spans="43:43" x14ac:dyDescent="0.2">
      <c r="AQ26612" s="31"/>
    </row>
    <row r="26613" spans="43:43" x14ac:dyDescent="0.2">
      <c r="AQ26613" s="31"/>
    </row>
    <row r="26614" spans="43:43" x14ac:dyDescent="0.2">
      <c r="AQ26614" s="31"/>
    </row>
    <row r="26615" spans="43:43" x14ac:dyDescent="0.2">
      <c r="AQ26615" s="31"/>
    </row>
    <row r="26616" spans="43:43" x14ac:dyDescent="0.2">
      <c r="AQ26616" s="31"/>
    </row>
    <row r="26617" spans="43:43" x14ac:dyDescent="0.2">
      <c r="AQ26617" s="31"/>
    </row>
    <row r="26618" spans="43:43" x14ac:dyDescent="0.2">
      <c r="AQ26618" s="31"/>
    </row>
    <row r="26619" spans="43:43" x14ac:dyDescent="0.2">
      <c r="AQ26619" s="31"/>
    </row>
    <row r="26620" spans="43:43" x14ac:dyDescent="0.2">
      <c r="AQ26620" s="31"/>
    </row>
    <row r="26621" spans="43:43" x14ac:dyDescent="0.2">
      <c r="AQ26621" s="31"/>
    </row>
    <row r="26622" spans="43:43" x14ac:dyDescent="0.2">
      <c r="AQ26622" s="31"/>
    </row>
    <row r="26623" spans="43:43" x14ac:dyDescent="0.2">
      <c r="AQ26623" s="31"/>
    </row>
    <row r="26624" spans="43:43" x14ac:dyDescent="0.2">
      <c r="AQ26624" s="31"/>
    </row>
    <row r="26625" spans="43:43" x14ac:dyDescent="0.2">
      <c r="AQ26625" s="31"/>
    </row>
    <row r="26626" spans="43:43" x14ac:dyDescent="0.2">
      <c r="AQ26626" s="31"/>
    </row>
    <row r="26627" spans="43:43" x14ac:dyDescent="0.2">
      <c r="AQ26627" s="31"/>
    </row>
    <row r="26628" spans="43:43" x14ac:dyDescent="0.2">
      <c r="AQ26628" s="31"/>
    </row>
    <row r="26629" spans="43:43" x14ac:dyDescent="0.2">
      <c r="AQ26629" s="31"/>
    </row>
    <row r="26630" spans="43:43" x14ac:dyDescent="0.2">
      <c r="AQ26630" s="31"/>
    </row>
    <row r="26631" spans="43:43" x14ac:dyDescent="0.2">
      <c r="AQ26631" s="31"/>
    </row>
    <row r="26632" spans="43:43" x14ac:dyDescent="0.2">
      <c r="AQ26632" s="31"/>
    </row>
    <row r="26633" spans="43:43" x14ac:dyDescent="0.2">
      <c r="AQ26633" s="31"/>
    </row>
    <row r="26634" spans="43:43" x14ac:dyDescent="0.2">
      <c r="AQ26634" s="31"/>
    </row>
    <row r="26635" spans="43:43" x14ac:dyDescent="0.2">
      <c r="AQ26635" s="31"/>
    </row>
    <row r="26636" spans="43:43" x14ac:dyDescent="0.2">
      <c r="AQ26636" s="31"/>
    </row>
    <row r="26637" spans="43:43" x14ac:dyDescent="0.2">
      <c r="AQ26637" s="31"/>
    </row>
    <row r="26638" spans="43:43" x14ac:dyDescent="0.2">
      <c r="AQ26638" s="31"/>
    </row>
    <row r="26639" spans="43:43" x14ac:dyDescent="0.2">
      <c r="AQ26639" s="31"/>
    </row>
    <row r="26640" spans="43:43" x14ac:dyDescent="0.2">
      <c r="AQ26640" s="31"/>
    </row>
    <row r="26641" spans="43:43" x14ac:dyDescent="0.2">
      <c r="AQ26641" s="31"/>
    </row>
    <row r="26642" spans="43:43" x14ac:dyDescent="0.2">
      <c r="AQ26642" s="31"/>
    </row>
    <row r="26643" spans="43:43" x14ac:dyDescent="0.2">
      <c r="AQ26643" s="31"/>
    </row>
    <row r="26644" spans="43:43" x14ac:dyDescent="0.2">
      <c r="AQ26644" s="31"/>
    </row>
    <row r="26645" spans="43:43" x14ac:dyDescent="0.2">
      <c r="AQ26645" s="31"/>
    </row>
    <row r="26646" spans="43:43" x14ac:dyDescent="0.2">
      <c r="AQ26646" s="31"/>
    </row>
    <row r="26647" spans="43:43" x14ac:dyDescent="0.2">
      <c r="AQ26647" s="31"/>
    </row>
    <row r="26648" spans="43:43" x14ac:dyDescent="0.2">
      <c r="AQ26648" s="31"/>
    </row>
    <row r="26649" spans="43:43" x14ac:dyDescent="0.2">
      <c r="AQ26649" s="31"/>
    </row>
    <row r="26650" spans="43:43" x14ac:dyDescent="0.2">
      <c r="AQ26650" s="31"/>
    </row>
    <row r="26651" spans="43:43" x14ac:dyDescent="0.2">
      <c r="AQ26651" s="31"/>
    </row>
    <row r="26652" spans="43:43" x14ac:dyDescent="0.2">
      <c r="AQ26652" s="31"/>
    </row>
    <row r="26653" spans="43:43" x14ac:dyDescent="0.2">
      <c r="AQ26653" s="31"/>
    </row>
    <row r="26654" spans="43:43" x14ac:dyDescent="0.2">
      <c r="AQ26654" s="31"/>
    </row>
    <row r="26655" spans="43:43" x14ac:dyDescent="0.2">
      <c r="AQ26655" s="31"/>
    </row>
    <row r="26656" spans="43:43" x14ac:dyDescent="0.2">
      <c r="AQ26656" s="31"/>
    </row>
    <row r="26657" spans="43:43" x14ac:dyDescent="0.2">
      <c r="AQ26657" s="31"/>
    </row>
    <row r="26658" spans="43:43" x14ac:dyDescent="0.2">
      <c r="AQ26658" s="31"/>
    </row>
    <row r="26659" spans="43:43" x14ac:dyDescent="0.2">
      <c r="AQ26659" s="31"/>
    </row>
    <row r="26660" spans="43:43" x14ac:dyDescent="0.2">
      <c r="AQ26660" s="31"/>
    </row>
    <row r="26661" spans="43:43" x14ac:dyDescent="0.2">
      <c r="AQ26661" s="31"/>
    </row>
    <row r="26662" spans="43:43" x14ac:dyDescent="0.2">
      <c r="AQ26662" s="31"/>
    </row>
    <row r="26663" spans="43:43" x14ac:dyDescent="0.2">
      <c r="AQ26663" s="31"/>
    </row>
    <row r="26664" spans="43:43" x14ac:dyDescent="0.2">
      <c r="AQ26664" s="31"/>
    </row>
    <row r="26665" spans="43:43" x14ac:dyDescent="0.2">
      <c r="AQ26665" s="31"/>
    </row>
    <row r="26666" spans="43:43" x14ac:dyDescent="0.2">
      <c r="AQ26666" s="31"/>
    </row>
    <row r="26667" spans="43:43" x14ac:dyDescent="0.2">
      <c r="AQ26667" s="31"/>
    </row>
    <row r="26668" spans="43:43" x14ac:dyDescent="0.2">
      <c r="AQ26668" s="31"/>
    </row>
    <row r="26669" spans="43:43" x14ac:dyDescent="0.2">
      <c r="AQ26669" s="31"/>
    </row>
    <row r="26670" spans="43:43" x14ac:dyDescent="0.2">
      <c r="AQ26670" s="31"/>
    </row>
    <row r="26671" spans="43:43" x14ac:dyDescent="0.2">
      <c r="AQ26671" s="31"/>
    </row>
    <row r="26672" spans="43:43" x14ac:dyDescent="0.2">
      <c r="AQ26672" s="31"/>
    </row>
    <row r="26673" spans="43:43" x14ac:dyDescent="0.2">
      <c r="AQ26673" s="31"/>
    </row>
    <row r="26674" spans="43:43" x14ac:dyDescent="0.2">
      <c r="AQ26674" s="31"/>
    </row>
    <row r="26675" spans="43:43" x14ac:dyDescent="0.2">
      <c r="AQ26675" s="31"/>
    </row>
    <row r="26676" spans="43:43" x14ac:dyDescent="0.2">
      <c r="AQ26676" s="31"/>
    </row>
    <row r="26677" spans="43:43" x14ac:dyDescent="0.2">
      <c r="AQ26677" s="31"/>
    </row>
    <row r="26678" spans="43:43" x14ac:dyDescent="0.2">
      <c r="AQ26678" s="31"/>
    </row>
    <row r="26679" spans="43:43" x14ac:dyDescent="0.2">
      <c r="AQ26679" s="31"/>
    </row>
    <row r="26680" spans="43:43" x14ac:dyDescent="0.2">
      <c r="AQ26680" s="31"/>
    </row>
    <row r="26681" spans="43:43" x14ac:dyDescent="0.2">
      <c r="AQ26681" s="31"/>
    </row>
    <row r="26682" spans="43:43" x14ac:dyDescent="0.2">
      <c r="AQ26682" s="31"/>
    </row>
    <row r="26683" spans="43:43" x14ac:dyDescent="0.2">
      <c r="AQ26683" s="31"/>
    </row>
    <row r="26684" spans="43:43" x14ac:dyDescent="0.2">
      <c r="AQ26684" s="31"/>
    </row>
    <row r="26685" spans="43:43" x14ac:dyDescent="0.2">
      <c r="AQ26685" s="31"/>
    </row>
    <row r="26686" spans="43:43" x14ac:dyDescent="0.2">
      <c r="AQ26686" s="31"/>
    </row>
    <row r="26687" spans="43:43" x14ac:dyDescent="0.2">
      <c r="AQ26687" s="31"/>
    </row>
    <row r="26688" spans="43:43" x14ac:dyDescent="0.2">
      <c r="AQ26688" s="31"/>
    </row>
    <row r="26689" spans="43:43" x14ac:dyDescent="0.2">
      <c r="AQ26689" s="31"/>
    </row>
    <row r="26690" spans="43:43" x14ac:dyDescent="0.2">
      <c r="AQ26690" s="31"/>
    </row>
    <row r="26691" spans="43:43" x14ac:dyDescent="0.2">
      <c r="AQ26691" s="31"/>
    </row>
    <row r="26692" spans="43:43" x14ac:dyDescent="0.2">
      <c r="AQ26692" s="31"/>
    </row>
    <row r="26693" spans="43:43" x14ac:dyDescent="0.2">
      <c r="AQ26693" s="31"/>
    </row>
    <row r="26694" spans="43:43" x14ac:dyDescent="0.2">
      <c r="AQ26694" s="31"/>
    </row>
    <row r="26695" spans="43:43" x14ac:dyDescent="0.2">
      <c r="AQ26695" s="31"/>
    </row>
    <row r="26696" spans="43:43" x14ac:dyDescent="0.2">
      <c r="AQ26696" s="31"/>
    </row>
    <row r="26697" spans="43:43" x14ac:dyDescent="0.2">
      <c r="AQ26697" s="31"/>
    </row>
    <row r="26698" spans="43:43" x14ac:dyDescent="0.2">
      <c r="AQ26698" s="31"/>
    </row>
    <row r="26699" spans="43:43" x14ac:dyDescent="0.2">
      <c r="AQ26699" s="31"/>
    </row>
    <row r="26700" spans="43:43" x14ac:dyDescent="0.2">
      <c r="AQ26700" s="31"/>
    </row>
    <row r="26701" spans="43:43" x14ac:dyDescent="0.2">
      <c r="AQ26701" s="31"/>
    </row>
    <row r="26702" spans="43:43" x14ac:dyDescent="0.2">
      <c r="AQ26702" s="31"/>
    </row>
    <row r="26703" spans="43:43" x14ac:dyDescent="0.2">
      <c r="AQ26703" s="31"/>
    </row>
    <row r="26704" spans="43:43" x14ac:dyDescent="0.2">
      <c r="AQ26704" s="31"/>
    </row>
    <row r="26705" spans="43:43" x14ac:dyDescent="0.2">
      <c r="AQ26705" s="31"/>
    </row>
    <row r="26706" spans="43:43" x14ac:dyDescent="0.2">
      <c r="AQ26706" s="31"/>
    </row>
    <row r="26707" spans="43:43" x14ac:dyDescent="0.2">
      <c r="AQ26707" s="31"/>
    </row>
    <row r="26708" spans="43:43" x14ac:dyDescent="0.2">
      <c r="AQ26708" s="31"/>
    </row>
    <row r="26709" spans="43:43" x14ac:dyDescent="0.2">
      <c r="AQ26709" s="31"/>
    </row>
    <row r="26710" spans="43:43" x14ac:dyDescent="0.2">
      <c r="AQ26710" s="31"/>
    </row>
    <row r="26711" spans="43:43" x14ac:dyDescent="0.2">
      <c r="AQ26711" s="31"/>
    </row>
    <row r="26712" spans="43:43" x14ac:dyDescent="0.2">
      <c r="AQ26712" s="31"/>
    </row>
    <row r="26713" spans="43:43" x14ac:dyDescent="0.2">
      <c r="AQ26713" s="31"/>
    </row>
    <row r="26714" spans="43:43" x14ac:dyDescent="0.2">
      <c r="AQ26714" s="31"/>
    </row>
    <row r="26715" spans="43:43" x14ac:dyDescent="0.2">
      <c r="AQ26715" s="31"/>
    </row>
    <row r="26716" spans="43:43" x14ac:dyDescent="0.2">
      <c r="AQ26716" s="31"/>
    </row>
    <row r="26717" spans="43:43" x14ac:dyDescent="0.2">
      <c r="AQ26717" s="31"/>
    </row>
    <row r="26718" spans="43:43" x14ac:dyDescent="0.2">
      <c r="AQ26718" s="31"/>
    </row>
    <row r="26719" spans="43:43" x14ac:dyDescent="0.2">
      <c r="AQ26719" s="31"/>
    </row>
    <row r="26720" spans="43:43" x14ac:dyDescent="0.2">
      <c r="AQ26720" s="31"/>
    </row>
    <row r="26721" spans="43:43" x14ac:dyDescent="0.2">
      <c r="AQ26721" s="31"/>
    </row>
    <row r="26722" spans="43:43" x14ac:dyDescent="0.2">
      <c r="AQ26722" s="31"/>
    </row>
    <row r="26723" spans="43:43" x14ac:dyDescent="0.2">
      <c r="AQ26723" s="31"/>
    </row>
    <row r="26724" spans="43:43" x14ac:dyDescent="0.2">
      <c r="AQ26724" s="31"/>
    </row>
    <row r="26725" spans="43:43" x14ac:dyDescent="0.2">
      <c r="AQ26725" s="31"/>
    </row>
    <row r="26726" spans="43:43" x14ac:dyDescent="0.2">
      <c r="AQ26726" s="31"/>
    </row>
    <row r="26727" spans="43:43" x14ac:dyDescent="0.2">
      <c r="AQ26727" s="31"/>
    </row>
    <row r="26728" spans="43:43" x14ac:dyDescent="0.2">
      <c r="AQ26728" s="31"/>
    </row>
    <row r="26729" spans="43:43" x14ac:dyDescent="0.2">
      <c r="AQ26729" s="31"/>
    </row>
    <row r="26730" spans="43:43" x14ac:dyDescent="0.2">
      <c r="AQ26730" s="31"/>
    </row>
    <row r="26731" spans="43:43" x14ac:dyDescent="0.2">
      <c r="AQ26731" s="31"/>
    </row>
    <row r="26732" spans="43:43" x14ac:dyDescent="0.2">
      <c r="AQ26732" s="31"/>
    </row>
    <row r="26733" spans="43:43" x14ac:dyDescent="0.2">
      <c r="AQ26733" s="31"/>
    </row>
    <row r="26734" spans="43:43" x14ac:dyDescent="0.2">
      <c r="AQ26734" s="31"/>
    </row>
    <row r="26735" spans="43:43" x14ac:dyDescent="0.2">
      <c r="AQ26735" s="31"/>
    </row>
    <row r="26736" spans="43:43" x14ac:dyDescent="0.2">
      <c r="AQ26736" s="31"/>
    </row>
    <row r="26737" spans="43:43" x14ac:dyDescent="0.2">
      <c r="AQ26737" s="31"/>
    </row>
    <row r="26738" spans="43:43" x14ac:dyDescent="0.2">
      <c r="AQ26738" s="31"/>
    </row>
    <row r="26739" spans="43:43" x14ac:dyDescent="0.2">
      <c r="AQ26739" s="31"/>
    </row>
    <row r="26740" spans="43:43" x14ac:dyDescent="0.2">
      <c r="AQ26740" s="31"/>
    </row>
    <row r="26741" spans="43:43" x14ac:dyDescent="0.2">
      <c r="AQ26741" s="31"/>
    </row>
    <row r="26742" spans="43:43" x14ac:dyDescent="0.2">
      <c r="AQ26742" s="31"/>
    </row>
    <row r="26743" spans="43:43" x14ac:dyDescent="0.2">
      <c r="AQ26743" s="31"/>
    </row>
    <row r="26744" spans="43:43" x14ac:dyDescent="0.2">
      <c r="AQ26744" s="31"/>
    </row>
    <row r="26745" spans="43:43" x14ac:dyDescent="0.2">
      <c r="AQ26745" s="31"/>
    </row>
    <row r="26746" spans="43:43" x14ac:dyDescent="0.2">
      <c r="AQ26746" s="31"/>
    </row>
    <row r="26747" spans="43:43" x14ac:dyDescent="0.2">
      <c r="AQ26747" s="31"/>
    </row>
    <row r="26748" spans="43:43" x14ac:dyDescent="0.2">
      <c r="AQ26748" s="31"/>
    </row>
    <row r="26749" spans="43:43" x14ac:dyDescent="0.2">
      <c r="AQ26749" s="31"/>
    </row>
    <row r="26750" spans="43:43" x14ac:dyDescent="0.2">
      <c r="AQ26750" s="31"/>
    </row>
    <row r="26751" spans="43:43" x14ac:dyDescent="0.2">
      <c r="AQ26751" s="31"/>
    </row>
    <row r="26752" spans="43:43" x14ac:dyDescent="0.2">
      <c r="AQ26752" s="31"/>
    </row>
    <row r="26753" spans="43:43" x14ac:dyDescent="0.2">
      <c r="AQ26753" s="31"/>
    </row>
    <row r="26754" spans="43:43" x14ac:dyDescent="0.2">
      <c r="AQ26754" s="31"/>
    </row>
    <row r="26755" spans="43:43" x14ac:dyDescent="0.2">
      <c r="AQ26755" s="31"/>
    </row>
    <row r="26756" spans="43:43" x14ac:dyDescent="0.2">
      <c r="AQ26756" s="31"/>
    </row>
    <row r="26757" spans="43:43" x14ac:dyDescent="0.2">
      <c r="AQ26757" s="31"/>
    </row>
    <row r="26758" spans="43:43" x14ac:dyDescent="0.2">
      <c r="AQ26758" s="31"/>
    </row>
    <row r="26759" spans="43:43" x14ac:dyDescent="0.2">
      <c r="AQ26759" s="31"/>
    </row>
    <row r="26760" spans="43:43" x14ac:dyDescent="0.2">
      <c r="AQ26760" s="31"/>
    </row>
    <row r="26761" spans="43:43" x14ac:dyDescent="0.2">
      <c r="AQ26761" s="31"/>
    </row>
    <row r="26762" spans="43:43" x14ac:dyDescent="0.2">
      <c r="AQ26762" s="31"/>
    </row>
    <row r="26763" spans="43:43" x14ac:dyDescent="0.2">
      <c r="AQ26763" s="31"/>
    </row>
    <row r="26764" spans="43:43" x14ac:dyDescent="0.2">
      <c r="AQ26764" s="31"/>
    </row>
    <row r="26765" spans="43:43" x14ac:dyDescent="0.2">
      <c r="AQ26765" s="31"/>
    </row>
    <row r="26766" spans="43:43" x14ac:dyDescent="0.2">
      <c r="AQ26766" s="31"/>
    </row>
    <row r="26767" spans="43:43" x14ac:dyDescent="0.2">
      <c r="AQ26767" s="31"/>
    </row>
    <row r="26768" spans="43:43" x14ac:dyDescent="0.2">
      <c r="AQ26768" s="31"/>
    </row>
    <row r="26769" spans="43:43" x14ac:dyDescent="0.2">
      <c r="AQ26769" s="31"/>
    </row>
    <row r="26770" spans="43:43" x14ac:dyDescent="0.2">
      <c r="AQ26770" s="31"/>
    </row>
    <row r="26771" spans="43:43" x14ac:dyDescent="0.2">
      <c r="AQ26771" s="31"/>
    </row>
    <row r="26772" spans="43:43" x14ac:dyDescent="0.2">
      <c r="AQ26772" s="31"/>
    </row>
    <row r="26773" spans="43:43" x14ac:dyDescent="0.2">
      <c r="AQ26773" s="31"/>
    </row>
    <row r="26774" spans="43:43" x14ac:dyDescent="0.2">
      <c r="AQ26774" s="31"/>
    </row>
    <row r="26775" spans="43:43" x14ac:dyDescent="0.2">
      <c r="AQ26775" s="31"/>
    </row>
    <row r="26776" spans="43:43" x14ac:dyDescent="0.2">
      <c r="AQ26776" s="31"/>
    </row>
    <row r="26777" spans="43:43" x14ac:dyDescent="0.2">
      <c r="AQ26777" s="31"/>
    </row>
    <row r="26778" spans="43:43" x14ac:dyDescent="0.2">
      <c r="AQ26778" s="31"/>
    </row>
    <row r="26779" spans="43:43" x14ac:dyDescent="0.2">
      <c r="AQ26779" s="31"/>
    </row>
    <row r="26780" spans="43:43" x14ac:dyDescent="0.2">
      <c r="AQ26780" s="31"/>
    </row>
    <row r="26781" spans="43:43" x14ac:dyDescent="0.2">
      <c r="AQ26781" s="31"/>
    </row>
    <row r="26782" spans="43:43" x14ac:dyDescent="0.2">
      <c r="AQ26782" s="31"/>
    </row>
    <row r="26783" spans="43:43" x14ac:dyDescent="0.2">
      <c r="AQ26783" s="31"/>
    </row>
    <row r="26784" spans="43:43" x14ac:dyDescent="0.2">
      <c r="AQ26784" s="31"/>
    </row>
    <row r="26785" spans="43:43" x14ac:dyDescent="0.2">
      <c r="AQ26785" s="31"/>
    </row>
    <row r="26786" spans="43:43" x14ac:dyDescent="0.2">
      <c r="AQ26786" s="31"/>
    </row>
    <row r="26787" spans="43:43" x14ac:dyDescent="0.2">
      <c r="AQ26787" s="31"/>
    </row>
    <row r="26788" spans="43:43" x14ac:dyDescent="0.2">
      <c r="AQ26788" s="31"/>
    </row>
    <row r="26789" spans="43:43" x14ac:dyDescent="0.2">
      <c r="AQ26789" s="31"/>
    </row>
    <row r="26790" spans="43:43" x14ac:dyDescent="0.2">
      <c r="AQ26790" s="31"/>
    </row>
    <row r="26791" spans="43:43" x14ac:dyDescent="0.2">
      <c r="AQ26791" s="31"/>
    </row>
    <row r="26792" spans="43:43" x14ac:dyDescent="0.2">
      <c r="AQ26792" s="31"/>
    </row>
    <row r="26793" spans="43:43" x14ac:dyDescent="0.2">
      <c r="AQ26793" s="31"/>
    </row>
    <row r="26794" spans="43:43" x14ac:dyDescent="0.2">
      <c r="AQ26794" s="31"/>
    </row>
    <row r="26795" spans="43:43" x14ac:dyDescent="0.2">
      <c r="AQ26795" s="31"/>
    </row>
    <row r="26796" spans="43:43" x14ac:dyDescent="0.2">
      <c r="AQ26796" s="31"/>
    </row>
    <row r="26797" spans="43:43" x14ac:dyDescent="0.2">
      <c r="AQ26797" s="31"/>
    </row>
    <row r="26798" spans="43:43" x14ac:dyDescent="0.2">
      <c r="AQ26798" s="31"/>
    </row>
    <row r="26799" spans="43:43" x14ac:dyDescent="0.2">
      <c r="AQ26799" s="31"/>
    </row>
    <row r="26800" spans="43:43" x14ac:dyDescent="0.2">
      <c r="AQ26800" s="31"/>
    </row>
    <row r="26801" spans="43:43" x14ac:dyDescent="0.2">
      <c r="AQ26801" s="31"/>
    </row>
    <row r="26802" spans="43:43" x14ac:dyDescent="0.2">
      <c r="AQ26802" s="31"/>
    </row>
    <row r="26803" spans="43:43" x14ac:dyDescent="0.2">
      <c r="AQ26803" s="31"/>
    </row>
    <row r="26804" spans="43:43" x14ac:dyDescent="0.2">
      <c r="AQ26804" s="31"/>
    </row>
    <row r="26805" spans="43:43" x14ac:dyDescent="0.2">
      <c r="AQ26805" s="31"/>
    </row>
    <row r="26806" spans="43:43" x14ac:dyDescent="0.2">
      <c r="AQ26806" s="31"/>
    </row>
    <row r="26807" spans="43:43" x14ac:dyDescent="0.2">
      <c r="AQ26807" s="31"/>
    </row>
    <row r="26808" spans="43:43" x14ac:dyDescent="0.2">
      <c r="AQ26808" s="31"/>
    </row>
    <row r="26809" spans="43:43" x14ac:dyDescent="0.2">
      <c r="AQ26809" s="31"/>
    </row>
    <row r="26810" spans="43:43" x14ac:dyDescent="0.2">
      <c r="AQ26810" s="31"/>
    </row>
    <row r="26811" spans="43:43" x14ac:dyDescent="0.2">
      <c r="AQ26811" s="31"/>
    </row>
    <row r="26812" spans="43:43" x14ac:dyDescent="0.2">
      <c r="AQ26812" s="31"/>
    </row>
    <row r="26813" spans="43:43" x14ac:dyDescent="0.2">
      <c r="AQ26813" s="31"/>
    </row>
    <row r="26814" spans="43:43" x14ac:dyDescent="0.2">
      <c r="AQ26814" s="31"/>
    </row>
    <row r="26815" spans="43:43" x14ac:dyDescent="0.2">
      <c r="AQ26815" s="31"/>
    </row>
    <row r="26816" spans="43:43" x14ac:dyDescent="0.2">
      <c r="AQ26816" s="31"/>
    </row>
    <row r="26817" spans="43:43" x14ac:dyDescent="0.2">
      <c r="AQ26817" s="31"/>
    </row>
    <row r="26818" spans="43:43" x14ac:dyDescent="0.2">
      <c r="AQ26818" s="31"/>
    </row>
    <row r="26819" spans="43:43" x14ac:dyDescent="0.2">
      <c r="AQ26819" s="31"/>
    </row>
    <row r="26820" spans="43:43" x14ac:dyDescent="0.2">
      <c r="AQ26820" s="31"/>
    </row>
    <row r="26821" spans="43:43" x14ac:dyDescent="0.2">
      <c r="AQ26821" s="31"/>
    </row>
    <row r="26822" spans="43:43" x14ac:dyDescent="0.2">
      <c r="AQ26822" s="31"/>
    </row>
    <row r="26823" spans="43:43" x14ac:dyDescent="0.2">
      <c r="AQ26823" s="31"/>
    </row>
    <row r="26824" spans="43:43" x14ac:dyDescent="0.2">
      <c r="AQ26824" s="31"/>
    </row>
    <row r="26825" spans="43:43" x14ac:dyDescent="0.2">
      <c r="AQ26825" s="31"/>
    </row>
    <row r="26826" spans="43:43" x14ac:dyDescent="0.2">
      <c r="AQ26826" s="31"/>
    </row>
    <row r="26827" spans="43:43" x14ac:dyDescent="0.2">
      <c r="AQ26827" s="31"/>
    </row>
    <row r="26828" spans="43:43" x14ac:dyDescent="0.2">
      <c r="AQ26828" s="31"/>
    </row>
    <row r="26829" spans="43:43" x14ac:dyDescent="0.2">
      <c r="AQ26829" s="31"/>
    </row>
    <row r="26830" spans="43:43" x14ac:dyDescent="0.2">
      <c r="AQ26830" s="31"/>
    </row>
    <row r="26831" spans="43:43" x14ac:dyDescent="0.2">
      <c r="AQ26831" s="31"/>
    </row>
    <row r="26832" spans="43:43" x14ac:dyDescent="0.2">
      <c r="AQ26832" s="31"/>
    </row>
    <row r="26833" spans="43:43" x14ac:dyDescent="0.2">
      <c r="AQ26833" s="31"/>
    </row>
    <row r="26834" spans="43:43" x14ac:dyDescent="0.2">
      <c r="AQ26834" s="31"/>
    </row>
    <row r="26835" spans="43:43" x14ac:dyDescent="0.2">
      <c r="AQ26835" s="31"/>
    </row>
    <row r="26836" spans="43:43" x14ac:dyDescent="0.2">
      <c r="AQ26836" s="31"/>
    </row>
    <row r="26837" spans="43:43" x14ac:dyDescent="0.2">
      <c r="AQ26837" s="31"/>
    </row>
    <row r="26838" spans="43:43" x14ac:dyDescent="0.2">
      <c r="AQ26838" s="31"/>
    </row>
    <row r="26839" spans="43:43" x14ac:dyDescent="0.2">
      <c r="AQ26839" s="31"/>
    </row>
    <row r="26840" spans="43:43" x14ac:dyDescent="0.2">
      <c r="AQ26840" s="31"/>
    </row>
    <row r="26841" spans="43:43" x14ac:dyDescent="0.2">
      <c r="AQ26841" s="31"/>
    </row>
    <row r="26842" spans="43:43" x14ac:dyDescent="0.2">
      <c r="AQ26842" s="31"/>
    </row>
    <row r="26843" spans="43:43" x14ac:dyDescent="0.2">
      <c r="AQ26843" s="31"/>
    </row>
    <row r="26844" spans="43:43" x14ac:dyDescent="0.2">
      <c r="AQ26844" s="31"/>
    </row>
    <row r="26845" spans="43:43" x14ac:dyDescent="0.2">
      <c r="AQ26845" s="31"/>
    </row>
    <row r="26846" spans="43:43" x14ac:dyDescent="0.2">
      <c r="AQ26846" s="31"/>
    </row>
    <row r="26847" spans="43:43" x14ac:dyDescent="0.2">
      <c r="AQ26847" s="31"/>
    </row>
    <row r="26848" spans="43:43" x14ac:dyDescent="0.2">
      <c r="AQ26848" s="31"/>
    </row>
    <row r="26849" spans="43:43" x14ac:dyDescent="0.2">
      <c r="AQ26849" s="31"/>
    </row>
    <row r="26850" spans="43:43" x14ac:dyDescent="0.2">
      <c r="AQ26850" s="31"/>
    </row>
    <row r="26851" spans="43:43" x14ac:dyDescent="0.2">
      <c r="AQ26851" s="31"/>
    </row>
    <row r="26852" spans="43:43" x14ac:dyDescent="0.2">
      <c r="AQ26852" s="31"/>
    </row>
    <row r="26853" spans="43:43" x14ac:dyDescent="0.2">
      <c r="AQ26853" s="31"/>
    </row>
    <row r="26854" spans="43:43" x14ac:dyDescent="0.2">
      <c r="AQ26854" s="31"/>
    </row>
    <row r="26855" spans="43:43" x14ac:dyDescent="0.2">
      <c r="AQ26855" s="31"/>
    </row>
    <row r="26856" spans="43:43" x14ac:dyDescent="0.2">
      <c r="AQ26856" s="31"/>
    </row>
    <row r="26857" spans="43:43" x14ac:dyDescent="0.2">
      <c r="AQ26857" s="31"/>
    </row>
    <row r="26858" spans="43:43" x14ac:dyDescent="0.2">
      <c r="AQ26858" s="31"/>
    </row>
    <row r="26859" spans="43:43" x14ac:dyDescent="0.2">
      <c r="AQ26859" s="31"/>
    </row>
    <row r="26860" spans="43:43" x14ac:dyDescent="0.2">
      <c r="AQ26860" s="31"/>
    </row>
    <row r="26861" spans="43:43" x14ac:dyDescent="0.2">
      <c r="AQ26861" s="31"/>
    </row>
    <row r="26862" spans="43:43" x14ac:dyDescent="0.2">
      <c r="AQ26862" s="31"/>
    </row>
    <row r="26863" spans="43:43" x14ac:dyDescent="0.2">
      <c r="AQ26863" s="31"/>
    </row>
    <row r="26864" spans="43:43" x14ac:dyDescent="0.2">
      <c r="AQ26864" s="31"/>
    </row>
    <row r="26865" spans="43:43" x14ac:dyDescent="0.2">
      <c r="AQ26865" s="31"/>
    </row>
    <row r="26866" spans="43:43" x14ac:dyDescent="0.2">
      <c r="AQ26866" s="31"/>
    </row>
    <row r="26867" spans="43:43" x14ac:dyDescent="0.2">
      <c r="AQ26867" s="31"/>
    </row>
    <row r="26868" spans="43:43" x14ac:dyDescent="0.2">
      <c r="AQ26868" s="31"/>
    </row>
    <row r="26869" spans="43:43" x14ac:dyDescent="0.2">
      <c r="AQ26869" s="31"/>
    </row>
    <row r="26870" spans="43:43" x14ac:dyDescent="0.2">
      <c r="AQ26870" s="31"/>
    </row>
    <row r="26871" spans="43:43" x14ac:dyDescent="0.2">
      <c r="AQ26871" s="31"/>
    </row>
    <row r="26872" spans="43:43" x14ac:dyDescent="0.2">
      <c r="AQ26872" s="31"/>
    </row>
    <row r="26873" spans="43:43" x14ac:dyDescent="0.2">
      <c r="AQ26873" s="31"/>
    </row>
    <row r="26874" spans="43:43" x14ac:dyDescent="0.2">
      <c r="AQ26874" s="31"/>
    </row>
    <row r="26875" spans="43:43" x14ac:dyDescent="0.2">
      <c r="AQ26875" s="31"/>
    </row>
    <row r="26876" spans="43:43" x14ac:dyDescent="0.2">
      <c r="AQ26876" s="31"/>
    </row>
    <row r="26877" spans="43:43" x14ac:dyDescent="0.2">
      <c r="AQ26877" s="31"/>
    </row>
    <row r="26878" spans="43:43" x14ac:dyDescent="0.2">
      <c r="AQ26878" s="31"/>
    </row>
    <row r="26879" spans="43:43" x14ac:dyDescent="0.2">
      <c r="AQ26879" s="31"/>
    </row>
    <row r="26880" spans="43:43" x14ac:dyDescent="0.2">
      <c r="AQ26880" s="31"/>
    </row>
    <row r="26881" spans="43:43" x14ac:dyDescent="0.2">
      <c r="AQ26881" s="31"/>
    </row>
    <row r="26882" spans="43:43" x14ac:dyDescent="0.2">
      <c r="AQ26882" s="31"/>
    </row>
    <row r="26883" spans="43:43" x14ac:dyDescent="0.2">
      <c r="AQ26883" s="31"/>
    </row>
    <row r="26884" spans="43:43" x14ac:dyDescent="0.2">
      <c r="AQ26884" s="31"/>
    </row>
    <row r="26885" spans="43:43" x14ac:dyDescent="0.2">
      <c r="AQ26885" s="31"/>
    </row>
    <row r="26886" spans="43:43" x14ac:dyDescent="0.2">
      <c r="AQ26886" s="31"/>
    </row>
    <row r="26887" spans="43:43" x14ac:dyDescent="0.2">
      <c r="AQ26887" s="31"/>
    </row>
    <row r="26888" spans="43:43" x14ac:dyDescent="0.2">
      <c r="AQ26888" s="31"/>
    </row>
    <row r="26889" spans="43:43" x14ac:dyDescent="0.2">
      <c r="AQ26889" s="31"/>
    </row>
    <row r="26890" spans="43:43" x14ac:dyDescent="0.2">
      <c r="AQ26890" s="31"/>
    </row>
    <row r="26891" spans="43:43" x14ac:dyDescent="0.2">
      <c r="AQ26891" s="31"/>
    </row>
    <row r="26892" spans="43:43" x14ac:dyDescent="0.2">
      <c r="AQ26892" s="31"/>
    </row>
    <row r="26893" spans="43:43" x14ac:dyDescent="0.2">
      <c r="AQ26893" s="31"/>
    </row>
    <row r="26894" spans="43:43" x14ac:dyDescent="0.2">
      <c r="AQ26894" s="31"/>
    </row>
    <row r="26895" spans="43:43" x14ac:dyDescent="0.2">
      <c r="AQ26895" s="31"/>
    </row>
    <row r="26896" spans="43:43" x14ac:dyDescent="0.2">
      <c r="AQ26896" s="31"/>
    </row>
    <row r="26897" spans="43:43" x14ac:dyDescent="0.2">
      <c r="AQ26897" s="31"/>
    </row>
    <row r="26898" spans="43:43" x14ac:dyDescent="0.2">
      <c r="AQ26898" s="31"/>
    </row>
    <row r="26899" spans="43:43" x14ac:dyDescent="0.2">
      <c r="AQ26899" s="31"/>
    </row>
    <row r="26900" spans="43:43" x14ac:dyDescent="0.2">
      <c r="AQ26900" s="31"/>
    </row>
    <row r="26901" spans="43:43" x14ac:dyDescent="0.2">
      <c r="AQ26901" s="31"/>
    </row>
    <row r="26902" spans="43:43" x14ac:dyDescent="0.2">
      <c r="AQ26902" s="31"/>
    </row>
    <row r="26903" spans="43:43" x14ac:dyDescent="0.2">
      <c r="AQ26903" s="31"/>
    </row>
    <row r="26904" spans="43:43" x14ac:dyDescent="0.2">
      <c r="AQ26904" s="31"/>
    </row>
    <row r="26905" spans="43:43" x14ac:dyDescent="0.2">
      <c r="AQ26905" s="31"/>
    </row>
    <row r="26906" spans="43:43" x14ac:dyDescent="0.2">
      <c r="AQ26906" s="31"/>
    </row>
    <row r="26907" spans="43:43" x14ac:dyDescent="0.2">
      <c r="AQ26907" s="31"/>
    </row>
    <row r="26908" spans="43:43" x14ac:dyDescent="0.2">
      <c r="AQ26908" s="31"/>
    </row>
    <row r="26909" spans="43:43" x14ac:dyDescent="0.2">
      <c r="AQ26909" s="31"/>
    </row>
    <row r="26910" spans="43:43" x14ac:dyDescent="0.2">
      <c r="AQ26910" s="31"/>
    </row>
    <row r="26911" spans="43:43" x14ac:dyDescent="0.2">
      <c r="AQ26911" s="31"/>
    </row>
    <row r="26912" spans="43:43" x14ac:dyDescent="0.2">
      <c r="AQ26912" s="31"/>
    </row>
    <row r="26913" spans="43:43" x14ac:dyDescent="0.2">
      <c r="AQ26913" s="31"/>
    </row>
    <row r="26914" spans="43:43" x14ac:dyDescent="0.2">
      <c r="AQ26914" s="31"/>
    </row>
    <row r="26915" spans="43:43" x14ac:dyDescent="0.2">
      <c r="AQ26915" s="31"/>
    </row>
    <row r="26916" spans="43:43" x14ac:dyDescent="0.2">
      <c r="AQ26916" s="31"/>
    </row>
    <row r="26917" spans="43:43" x14ac:dyDescent="0.2">
      <c r="AQ26917" s="31"/>
    </row>
    <row r="26918" spans="43:43" x14ac:dyDescent="0.2">
      <c r="AQ26918" s="31"/>
    </row>
    <row r="26919" spans="43:43" x14ac:dyDescent="0.2">
      <c r="AQ26919" s="31"/>
    </row>
    <row r="26920" spans="43:43" x14ac:dyDescent="0.2">
      <c r="AQ26920" s="31"/>
    </row>
    <row r="26921" spans="43:43" x14ac:dyDescent="0.2">
      <c r="AQ26921" s="31"/>
    </row>
    <row r="26922" spans="43:43" x14ac:dyDescent="0.2">
      <c r="AQ26922" s="31"/>
    </row>
    <row r="26923" spans="43:43" x14ac:dyDescent="0.2">
      <c r="AQ26923" s="31"/>
    </row>
    <row r="26924" spans="43:43" x14ac:dyDescent="0.2">
      <c r="AQ26924" s="31"/>
    </row>
    <row r="26925" spans="43:43" x14ac:dyDescent="0.2">
      <c r="AQ26925" s="31"/>
    </row>
    <row r="26926" spans="43:43" x14ac:dyDescent="0.2">
      <c r="AQ26926" s="31"/>
    </row>
    <row r="26927" spans="43:43" x14ac:dyDescent="0.2">
      <c r="AQ26927" s="31"/>
    </row>
    <row r="26928" spans="43:43" x14ac:dyDescent="0.2">
      <c r="AQ26928" s="31"/>
    </row>
    <row r="26929" spans="43:43" x14ac:dyDescent="0.2">
      <c r="AQ26929" s="31"/>
    </row>
    <row r="26930" spans="43:43" x14ac:dyDescent="0.2">
      <c r="AQ26930" s="31"/>
    </row>
    <row r="26931" spans="43:43" x14ac:dyDescent="0.2">
      <c r="AQ26931" s="31"/>
    </row>
    <row r="26932" spans="43:43" x14ac:dyDescent="0.2">
      <c r="AQ26932" s="31"/>
    </row>
    <row r="26933" spans="43:43" x14ac:dyDescent="0.2">
      <c r="AQ26933" s="31"/>
    </row>
    <row r="26934" spans="43:43" x14ac:dyDescent="0.2">
      <c r="AQ26934" s="31"/>
    </row>
    <row r="26935" spans="43:43" x14ac:dyDescent="0.2">
      <c r="AQ26935" s="31"/>
    </row>
    <row r="26936" spans="43:43" x14ac:dyDescent="0.2">
      <c r="AQ26936" s="31"/>
    </row>
    <row r="26937" spans="43:43" x14ac:dyDescent="0.2">
      <c r="AQ26937" s="31"/>
    </row>
    <row r="26938" spans="43:43" x14ac:dyDescent="0.2">
      <c r="AQ26938" s="31"/>
    </row>
    <row r="26939" spans="43:43" x14ac:dyDescent="0.2">
      <c r="AQ26939" s="31"/>
    </row>
    <row r="26940" spans="43:43" x14ac:dyDescent="0.2">
      <c r="AQ26940" s="31"/>
    </row>
    <row r="26941" spans="43:43" x14ac:dyDescent="0.2">
      <c r="AQ26941" s="31"/>
    </row>
    <row r="26942" spans="43:43" x14ac:dyDescent="0.2">
      <c r="AQ26942" s="31"/>
    </row>
    <row r="26943" spans="43:43" x14ac:dyDescent="0.2">
      <c r="AQ26943" s="31"/>
    </row>
    <row r="26944" spans="43:43" x14ac:dyDescent="0.2">
      <c r="AQ26944" s="31"/>
    </row>
    <row r="26945" spans="43:43" x14ac:dyDescent="0.2">
      <c r="AQ26945" s="31"/>
    </row>
    <row r="26946" spans="43:43" x14ac:dyDescent="0.2">
      <c r="AQ26946" s="31"/>
    </row>
    <row r="26947" spans="43:43" x14ac:dyDescent="0.2">
      <c r="AQ26947" s="31"/>
    </row>
    <row r="26948" spans="43:43" x14ac:dyDescent="0.2">
      <c r="AQ26948" s="31"/>
    </row>
    <row r="26949" spans="43:43" x14ac:dyDescent="0.2">
      <c r="AQ26949" s="31"/>
    </row>
    <row r="26950" spans="43:43" x14ac:dyDescent="0.2">
      <c r="AQ26950" s="31"/>
    </row>
    <row r="26951" spans="43:43" x14ac:dyDescent="0.2">
      <c r="AQ26951" s="31"/>
    </row>
    <row r="26952" spans="43:43" x14ac:dyDescent="0.2">
      <c r="AQ26952" s="31"/>
    </row>
    <row r="26953" spans="43:43" x14ac:dyDescent="0.2">
      <c r="AQ26953" s="31"/>
    </row>
    <row r="26954" spans="43:43" x14ac:dyDescent="0.2">
      <c r="AQ26954" s="31"/>
    </row>
    <row r="26955" spans="43:43" x14ac:dyDescent="0.2">
      <c r="AQ26955" s="31"/>
    </row>
    <row r="26956" spans="43:43" x14ac:dyDescent="0.2">
      <c r="AQ26956" s="31"/>
    </row>
    <row r="26957" spans="43:43" x14ac:dyDescent="0.2">
      <c r="AQ26957" s="31"/>
    </row>
    <row r="26958" spans="43:43" x14ac:dyDescent="0.2">
      <c r="AQ26958" s="31"/>
    </row>
    <row r="26959" spans="43:43" x14ac:dyDescent="0.2">
      <c r="AQ26959" s="31"/>
    </row>
    <row r="26960" spans="43:43" x14ac:dyDescent="0.2">
      <c r="AQ26960" s="31"/>
    </row>
    <row r="26961" spans="43:43" x14ac:dyDescent="0.2">
      <c r="AQ26961" s="31"/>
    </row>
    <row r="26962" spans="43:43" x14ac:dyDescent="0.2">
      <c r="AQ26962" s="31"/>
    </row>
    <row r="26963" spans="43:43" x14ac:dyDescent="0.2">
      <c r="AQ26963" s="31"/>
    </row>
    <row r="26964" spans="43:43" x14ac:dyDescent="0.2">
      <c r="AQ26964" s="31"/>
    </row>
    <row r="26965" spans="43:43" x14ac:dyDescent="0.2">
      <c r="AQ26965" s="31"/>
    </row>
    <row r="26966" spans="43:43" x14ac:dyDescent="0.2">
      <c r="AQ26966" s="31"/>
    </row>
    <row r="26967" spans="43:43" x14ac:dyDescent="0.2">
      <c r="AQ26967" s="31"/>
    </row>
    <row r="26968" spans="43:43" x14ac:dyDescent="0.2">
      <c r="AQ26968" s="31"/>
    </row>
    <row r="26969" spans="43:43" x14ac:dyDescent="0.2">
      <c r="AQ26969" s="31"/>
    </row>
    <row r="26970" spans="43:43" x14ac:dyDescent="0.2">
      <c r="AQ26970" s="31"/>
    </row>
    <row r="26971" spans="43:43" x14ac:dyDescent="0.2">
      <c r="AQ26971" s="31"/>
    </row>
    <row r="26972" spans="43:43" x14ac:dyDescent="0.2">
      <c r="AQ26972" s="31"/>
    </row>
    <row r="26973" spans="43:43" x14ac:dyDescent="0.2">
      <c r="AQ26973" s="31"/>
    </row>
    <row r="26974" spans="43:43" x14ac:dyDescent="0.2">
      <c r="AQ26974" s="31"/>
    </row>
    <row r="26975" spans="43:43" x14ac:dyDescent="0.2">
      <c r="AQ26975" s="31"/>
    </row>
    <row r="26976" spans="43:43" x14ac:dyDescent="0.2">
      <c r="AQ26976" s="31"/>
    </row>
    <row r="26977" spans="43:43" x14ac:dyDescent="0.2">
      <c r="AQ26977" s="31"/>
    </row>
    <row r="26978" spans="43:43" x14ac:dyDescent="0.2">
      <c r="AQ26978" s="31"/>
    </row>
    <row r="26979" spans="43:43" x14ac:dyDescent="0.2">
      <c r="AQ26979" s="31"/>
    </row>
    <row r="26980" spans="43:43" x14ac:dyDescent="0.2">
      <c r="AQ26980" s="31"/>
    </row>
    <row r="26981" spans="43:43" x14ac:dyDescent="0.2">
      <c r="AQ26981" s="31"/>
    </row>
    <row r="26982" spans="43:43" x14ac:dyDescent="0.2">
      <c r="AQ26982" s="31"/>
    </row>
    <row r="26983" spans="43:43" x14ac:dyDescent="0.2">
      <c r="AQ26983" s="31"/>
    </row>
    <row r="26984" spans="43:43" x14ac:dyDescent="0.2">
      <c r="AQ26984" s="31"/>
    </row>
    <row r="26985" spans="43:43" x14ac:dyDescent="0.2">
      <c r="AQ26985" s="31"/>
    </row>
    <row r="26986" spans="43:43" x14ac:dyDescent="0.2">
      <c r="AQ26986" s="31"/>
    </row>
    <row r="26987" spans="43:43" x14ac:dyDescent="0.2">
      <c r="AQ26987" s="31"/>
    </row>
    <row r="26988" spans="43:43" x14ac:dyDescent="0.2">
      <c r="AQ26988" s="31"/>
    </row>
    <row r="26989" spans="43:43" x14ac:dyDescent="0.2">
      <c r="AQ26989" s="31"/>
    </row>
    <row r="26990" spans="43:43" x14ac:dyDescent="0.2">
      <c r="AQ26990" s="31"/>
    </row>
    <row r="26991" spans="43:43" x14ac:dyDescent="0.2">
      <c r="AQ26991" s="31"/>
    </row>
    <row r="26992" spans="43:43" x14ac:dyDescent="0.2">
      <c r="AQ26992" s="31"/>
    </row>
    <row r="26993" spans="43:43" x14ac:dyDescent="0.2">
      <c r="AQ26993" s="31"/>
    </row>
    <row r="26994" spans="43:43" x14ac:dyDescent="0.2">
      <c r="AQ26994" s="31"/>
    </row>
    <row r="26995" spans="43:43" x14ac:dyDescent="0.2">
      <c r="AQ26995" s="31"/>
    </row>
    <row r="26996" spans="43:43" x14ac:dyDescent="0.2">
      <c r="AQ26996" s="31"/>
    </row>
    <row r="26997" spans="43:43" x14ac:dyDescent="0.2">
      <c r="AQ26997" s="31"/>
    </row>
    <row r="26998" spans="43:43" x14ac:dyDescent="0.2">
      <c r="AQ26998" s="31"/>
    </row>
    <row r="26999" spans="43:43" x14ac:dyDescent="0.2">
      <c r="AQ26999" s="31"/>
    </row>
    <row r="27000" spans="43:43" x14ac:dyDescent="0.2">
      <c r="AQ27000" s="31"/>
    </row>
    <row r="27001" spans="43:43" x14ac:dyDescent="0.2">
      <c r="AQ27001" s="31"/>
    </row>
    <row r="27002" spans="43:43" x14ac:dyDescent="0.2">
      <c r="AQ27002" s="31"/>
    </row>
    <row r="27003" spans="43:43" x14ac:dyDescent="0.2">
      <c r="AQ27003" s="31"/>
    </row>
    <row r="27004" spans="43:43" x14ac:dyDescent="0.2">
      <c r="AQ27004" s="31"/>
    </row>
    <row r="27005" spans="43:43" x14ac:dyDescent="0.2">
      <c r="AQ27005" s="31"/>
    </row>
    <row r="27006" spans="43:43" x14ac:dyDescent="0.2">
      <c r="AQ27006" s="31"/>
    </row>
    <row r="27007" spans="43:43" x14ac:dyDescent="0.2">
      <c r="AQ27007" s="31"/>
    </row>
    <row r="27008" spans="43:43" x14ac:dyDescent="0.2">
      <c r="AQ27008" s="31"/>
    </row>
    <row r="27009" spans="43:43" x14ac:dyDescent="0.2">
      <c r="AQ27009" s="31"/>
    </row>
    <row r="27010" spans="43:43" x14ac:dyDescent="0.2">
      <c r="AQ27010" s="31"/>
    </row>
    <row r="27011" spans="43:43" x14ac:dyDescent="0.2">
      <c r="AQ27011" s="31"/>
    </row>
    <row r="27012" spans="43:43" x14ac:dyDescent="0.2">
      <c r="AQ27012" s="31"/>
    </row>
    <row r="27013" spans="43:43" x14ac:dyDescent="0.2">
      <c r="AQ27013" s="31"/>
    </row>
    <row r="27014" spans="43:43" x14ac:dyDescent="0.2">
      <c r="AQ27014" s="31"/>
    </row>
    <row r="27015" spans="43:43" x14ac:dyDescent="0.2">
      <c r="AQ27015" s="31"/>
    </row>
    <row r="27016" spans="43:43" x14ac:dyDescent="0.2">
      <c r="AQ27016" s="31"/>
    </row>
    <row r="27017" spans="43:43" x14ac:dyDescent="0.2">
      <c r="AQ27017" s="31"/>
    </row>
    <row r="27018" spans="43:43" x14ac:dyDescent="0.2">
      <c r="AQ27018" s="31"/>
    </row>
    <row r="27019" spans="43:43" x14ac:dyDescent="0.2">
      <c r="AQ27019" s="31"/>
    </row>
    <row r="27020" spans="43:43" x14ac:dyDescent="0.2">
      <c r="AQ27020" s="31"/>
    </row>
    <row r="27021" spans="43:43" x14ac:dyDescent="0.2">
      <c r="AQ27021" s="31"/>
    </row>
    <row r="27022" spans="43:43" x14ac:dyDescent="0.2">
      <c r="AQ27022" s="31"/>
    </row>
    <row r="27023" spans="43:43" x14ac:dyDescent="0.2">
      <c r="AQ27023" s="31"/>
    </row>
    <row r="27024" spans="43:43" x14ac:dyDescent="0.2">
      <c r="AQ27024" s="31"/>
    </row>
    <row r="27025" spans="43:43" x14ac:dyDescent="0.2">
      <c r="AQ27025" s="31"/>
    </row>
    <row r="27026" spans="43:43" x14ac:dyDescent="0.2">
      <c r="AQ27026" s="31"/>
    </row>
    <row r="27027" spans="43:43" x14ac:dyDescent="0.2">
      <c r="AQ27027" s="31"/>
    </row>
    <row r="27028" spans="43:43" x14ac:dyDescent="0.2">
      <c r="AQ27028" s="31"/>
    </row>
    <row r="27029" spans="43:43" x14ac:dyDescent="0.2">
      <c r="AQ27029" s="31"/>
    </row>
    <row r="27030" spans="43:43" x14ac:dyDescent="0.2">
      <c r="AQ27030" s="31"/>
    </row>
    <row r="27031" spans="43:43" x14ac:dyDescent="0.2">
      <c r="AQ27031" s="31"/>
    </row>
    <row r="27032" spans="43:43" x14ac:dyDescent="0.2">
      <c r="AQ27032" s="31"/>
    </row>
    <row r="27033" spans="43:43" x14ac:dyDescent="0.2">
      <c r="AQ27033" s="31"/>
    </row>
    <row r="27034" spans="43:43" x14ac:dyDescent="0.2">
      <c r="AQ27034" s="31"/>
    </row>
    <row r="27035" spans="43:43" x14ac:dyDescent="0.2">
      <c r="AQ27035" s="31"/>
    </row>
    <row r="27036" spans="43:43" x14ac:dyDescent="0.2">
      <c r="AQ27036" s="31"/>
    </row>
    <row r="27037" spans="43:43" x14ac:dyDescent="0.2">
      <c r="AQ27037" s="31"/>
    </row>
    <row r="27038" spans="43:43" x14ac:dyDescent="0.2">
      <c r="AQ27038" s="31"/>
    </row>
    <row r="27039" spans="43:43" x14ac:dyDescent="0.2">
      <c r="AQ27039" s="31"/>
    </row>
    <row r="27040" spans="43:43" x14ac:dyDescent="0.2">
      <c r="AQ27040" s="31"/>
    </row>
    <row r="27041" spans="43:43" x14ac:dyDescent="0.2">
      <c r="AQ27041" s="31"/>
    </row>
    <row r="27042" spans="43:43" x14ac:dyDescent="0.2">
      <c r="AQ27042" s="31"/>
    </row>
    <row r="27043" spans="43:43" x14ac:dyDescent="0.2">
      <c r="AQ27043" s="31"/>
    </row>
    <row r="27044" spans="43:43" x14ac:dyDescent="0.2">
      <c r="AQ27044" s="31"/>
    </row>
    <row r="27045" spans="43:43" x14ac:dyDescent="0.2">
      <c r="AQ27045" s="31"/>
    </row>
    <row r="27046" spans="43:43" x14ac:dyDescent="0.2">
      <c r="AQ27046" s="31"/>
    </row>
    <row r="27047" spans="43:43" x14ac:dyDescent="0.2">
      <c r="AQ27047" s="31"/>
    </row>
    <row r="27048" spans="43:43" x14ac:dyDescent="0.2">
      <c r="AQ27048" s="31"/>
    </row>
    <row r="27049" spans="43:43" x14ac:dyDescent="0.2">
      <c r="AQ27049" s="31"/>
    </row>
    <row r="27050" spans="43:43" x14ac:dyDescent="0.2">
      <c r="AQ27050" s="31"/>
    </row>
    <row r="27051" spans="43:43" x14ac:dyDescent="0.2">
      <c r="AQ27051" s="31"/>
    </row>
    <row r="27052" spans="43:43" x14ac:dyDescent="0.2">
      <c r="AQ27052" s="31"/>
    </row>
    <row r="27053" spans="43:43" x14ac:dyDescent="0.2">
      <c r="AQ27053" s="31"/>
    </row>
    <row r="27054" spans="43:43" x14ac:dyDescent="0.2">
      <c r="AQ27054" s="31"/>
    </row>
    <row r="27055" spans="43:43" x14ac:dyDescent="0.2">
      <c r="AQ27055" s="31"/>
    </row>
    <row r="27056" spans="43:43" x14ac:dyDescent="0.2">
      <c r="AQ27056" s="31"/>
    </row>
    <row r="27057" spans="43:43" x14ac:dyDescent="0.2">
      <c r="AQ27057" s="31"/>
    </row>
    <row r="27058" spans="43:43" x14ac:dyDescent="0.2">
      <c r="AQ27058" s="31"/>
    </row>
    <row r="27059" spans="43:43" x14ac:dyDescent="0.2">
      <c r="AQ27059" s="31"/>
    </row>
    <row r="27060" spans="43:43" x14ac:dyDescent="0.2">
      <c r="AQ27060" s="31"/>
    </row>
    <row r="27061" spans="43:43" x14ac:dyDescent="0.2">
      <c r="AQ27061" s="31"/>
    </row>
    <row r="27062" spans="43:43" x14ac:dyDescent="0.2">
      <c r="AQ27062" s="31"/>
    </row>
    <row r="27063" spans="43:43" x14ac:dyDescent="0.2">
      <c r="AQ27063" s="31"/>
    </row>
    <row r="27064" spans="43:43" x14ac:dyDescent="0.2">
      <c r="AQ27064" s="31"/>
    </row>
    <row r="27065" spans="43:43" x14ac:dyDescent="0.2">
      <c r="AQ27065" s="31"/>
    </row>
    <row r="27066" spans="43:43" x14ac:dyDescent="0.2">
      <c r="AQ27066" s="31"/>
    </row>
    <row r="27067" spans="43:43" x14ac:dyDescent="0.2">
      <c r="AQ27067" s="31"/>
    </row>
    <row r="27068" spans="43:43" x14ac:dyDescent="0.2">
      <c r="AQ27068" s="31"/>
    </row>
    <row r="27069" spans="43:43" x14ac:dyDescent="0.2">
      <c r="AQ27069" s="31"/>
    </row>
    <row r="27070" spans="43:43" x14ac:dyDescent="0.2">
      <c r="AQ27070" s="31"/>
    </row>
    <row r="27071" spans="43:43" x14ac:dyDescent="0.2">
      <c r="AQ27071" s="31"/>
    </row>
    <row r="27072" spans="43:43" x14ac:dyDescent="0.2">
      <c r="AQ27072" s="31"/>
    </row>
    <row r="27073" spans="43:43" x14ac:dyDescent="0.2">
      <c r="AQ27073" s="31"/>
    </row>
    <row r="27074" spans="43:43" x14ac:dyDescent="0.2">
      <c r="AQ27074" s="31"/>
    </row>
    <row r="27075" spans="43:43" x14ac:dyDescent="0.2">
      <c r="AQ27075" s="31"/>
    </row>
    <row r="27076" spans="43:43" x14ac:dyDescent="0.2">
      <c r="AQ27076" s="31"/>
    </row>
    <row r="27077" spans="43:43" x14ac:dyDescent="0.2">
      <c r="AQ27077" s="31"/>
    </row>
    <row r="27078" spans="43:43" x14ac:dyDescent="0.2">
      <c r="AQ27078" s="31"/>
    </row>
    <row r="27079" spans="43:43" x14ac:dyDescent="0.2">
      <c r="AQ27079" s="31"/>
    </row>
    <row r="27080" spans="43:43" x14ac:dyDescent="0.2">
      <c r="AQ27080" s="31"/>
    </row>
    <row r="27081" spans="43:43" x14ac:dyDescent="0.2">
      <c r="AQ27081" s="31"/>
    </row>
    <row r="27082" spans="43:43" x14ac:dyDescent="0.2">
      <c r="AQ27082" s="31"/>
    </row>
    <row r="27083" spans="43:43" x14ac:dyDescent="0.2">
      <c r="AQ27083" s="31"/>
    </row>
    <row r="27084" spans="43:43" x14ac:dyDescent="0.2">
      <c r="AQ27084" s="31"/>
    </row>
    <row r="27085" spans="43:43" x14ac:dyDescent="0.2">
      <c r="AQ27085" s="31"/>
    </row>
    <row r="27086" spans="43:43" x14ac:dyDescent="0.2">
      <c r="AQ27086" s="31"/>
    </row>
    <row r="27087" spans="43:43" x14ac:dyDescent="0.2">
      <c r="AQ27087" s="31"/>
    </row>
    <row r="27088" spans="43:43" x14ac:dyDescent="0.2">
      <c r="AQ27088" s="31"/>
    </row>
    <row r="27089" spans="43:43" x14ac:dyDescent="0.2">
      <c r="AQ27089" s="31"/>
    </row>
    <row r="27090" spans="43:43" x14ac:dyDescent="0.2">
      <c r="AQ27090" s="31"/>
    </row>
    <row r="27091" spans="43:43" x14ac:dyDescent="0.2">
      <c r="AQ27091" s="31"/>
    </row>
    <row r="27092" spans="43:43" x14ac:dyDescent="0.2">
      <c r="AQ27092" s="31"/>
    </row>
    <row r="27093" spans="43:43" x14ac:dyDescent="0.2">
      <c r="AQ27093" s="31"/>
    </row>
    <row r="27094" spans="43:43" x14ac:dyDescent="0.2">
      <c r="AQ27094" s="31"/>
    </row>
    <row r="27095" spans="43:43" x14ac:dyDescent="0.2">
      <c r="AQ27095" s="31"/>
    </row>
    <row r="27096" spans="43:43" x14ac:dyDescent="0.2">
      <c r="AQ27096" s="31"/>
    </row>
    <row r="27097" spans="43:43" x14ac:dyDescent="0.2">
      <c r="AQ27097" s="31"/>
    </row>
    <row r="27098" spans="43:43" x14ac:dyDescent="0.2">
      <c r="AQ27098" s="31"/>
    </row>
    <row r="27099" spans="43:43" x14ac:dyDescent="0.2">
      <c r="AQ27099" s="31"/>
    </row>
    <row r="27100" spans="43:43" x14ac:dyDescent="0.2">
      <c r="AQ27100" s="31"/>
    </row>
    <row r="27101" spans="43:43" x14ac:dyDescent="0.2">
      <c r="AQ27101" s="31"/>
    </row>
    <row r="27102" spans="43:43" x14ac:dyDescent="0.2">
      <c r="AQ27102" s="31"/>
    </row>
    <row r="27103" spans="43:43" x14ac:dyDescent="0.2">
      <c r="AQ27103" s="31"/>
    </row>
    <row r="27104" spans="43:43" x14ac:dyDescent="0.2">
      <c r="AQ27104" s="31"/>
    </row>
    <row r="27105" spans="43:43" x14ac:dyDescent="0.2">
      <c r="AQ27105" s="31"/>
    </row>
    <row r="27106" spans="43:43" x14ac:dyDescent="0.2">
      <c r="AQ27106" s="31"/>
    </row>
    <row r="27107" spans="43:43" x14ac:dyDescent="0.2">
      <c r="AQ27107" s="31"/>
    </row>
    <row r="27108" spans="43:43" x14ac:dyDescent="0.2">
      <c r="AQ27108" s="31"/>
    </row>
    <row r="27109" spans="43:43" x14ac:dyDescent="0.2">
      <c r="AQ27109" s="31"/>
    </row>
    <row r="27110" spans="43:43" x14ac:dyDescent="0.2">
      <c r="AQ27110" s="31"/>
    </row>
    <row r="27111" spans="43:43" x14ac:dyDescent="0.2">
      <c r="AQ27111" s="31"/>
    </row>
    <row r="27112" spans="43:43" x14ac:dyDescent="0.2">
      <c r="AQ27112" s="31"/>
    </row>
    <row r="27113" spans="43:43" x14ac:dyDescent="0.2">
      <c r="AQ27113" s="31"/>
    </row>
    <row r="27114" spans="43:43" x14ac:dyDescent="0.2">
      <c r="AQ27114" s="31"/>
    </row>
    <row r="27115" spans="43:43" x14ac:dyDescent="0.2">
      <c r="AQ27115" s="31"/>
    </row>
    <row r="27116" spans="43:43" x14ac:dyDescent="0.2">
      <c r="AQ27116" s="31"/>
    </row>
    <row r="27117" spans="43:43" x14ac:dyDescent="0.2">
      <c r="AQ27117" s="31"/>
    </row>
    <row r="27118" spans="43:43" x14ac:dyDescent="0.2">
      <c r="AQ27118" s="31"/>
    </row>
    <row r="27119" spans="43:43" x14ac:dyDescent="0.2">
      <c r="AQ27119" s="31"/>
    </row>
    <row r="27120" spans="43:43" x14ac:dyDescent="0.2">
      <c r="AQ27120" s="31"/>
    </row>
    <row r="27121" spans="43:43" x14ac:dyDescent="0.2">
      <c r="AQ27121" s="31"/>
    </row>
    <row r="27122" spans="43:43" x14ac:dyDescent="0.2">
      <c r="AQ27122" s="31"/>
    </row>
    <row r="27123" spans="43:43" x14ac:dyDescent="0.2">
      <c r="AQ27123" s="31"/>
    </row>
    <row r="27124" spans="43:43" x14ac:dyDescent="0.2">
      <c r="AQ27124" s="31"/>
    </row>
    <row r="27125" spans="43:43" x14ac:dyDescent="0.2">
      <c r="AQ27125" s="31"/>
    </row>
    <row r="27126" spans="43:43" x14ac:dyDescent="0.2">
      <c r="AQ27126" s="31"/>
    </row>
    <row r="27127" spans="43:43" x14ac:dyDescent="0.2">
      <c r="AQ27127" s="31"/>
    </row>
    <row r="27128" spans="43:43" x14ac:dyDescent="0.2">
      <c r="AQ27128" s="31"/>
    </row>
    <row r="27129" spans="43:43" x14ac:dyDescent="0.2">
      <c r="AQ27129" s="31"/>
    </row>
    <row r="27130" spans="43:43" x14ac:dyDescent="0.2">
      <c r="AQ27130" s="31"/>
    </row>
    <row r="27131" spans="43:43" x14ac:dyDescent="0.2">
      <c r="AQ27131" s="31"/>
    </row>
    <row r="27132" spans="43:43" x14ac:dyDescent="0.2">
      <c r="AQ27132" s="31"/>
    </row>
    <row r="27133" spans="43:43" x14ac:dyDescent="0.2">
      <c r="AQ27133" s="31"/>
    </row>
    <row r="27134" spans="43:43" x14ac:dyDescent="0.2">
      <c r="AQ27134" s="31"/>
    </row>
    <row r="27135" spans="43:43" x14ac:dyDescent="0.2">
      <c r="AQ27135" s="31"/>
    </row>
    <row r="27136" spans="43:43" x14ac:dyDescent="0.2">
      <c r="AQ27136" s="31"/>
    </row>
    <row r="27137" spans="43:43" x14ac:dyDescent="0.2">
      <c r="AQ27137" s="31"/>
    </row>
    <row r="27138" spans="43:43" x14ac:dyDescent="0.2">
      <c r="AQ27138" s="31"/>
    </row>
    <row r="27139" spans="43:43" x14ac:dyDescent="0.2">
      <c r="AQ27139" s="31"/>
    </row>
    <row r="27140" spans="43:43" x14ac:dyDescent="0.2">
      <c r="AQ27140" s="31"/>
    </row>
    <row r="27141" spans="43:43" x14ac:dyDescent="0.2">
      <c r="AQ27141" s="31"/>
    </row>
    <row r="27142" spans="43:43" x14ac:dyDescent="0.2">
      <c r="AQ27142" s="31"/>
    </row>
    <row r="27143" spans="43:43" x14ac:dyDescent="0.2">
      <c r="AQ27143" s="31"/>
    </row>
    <row r="27144" spans="43:43" x14ac:dyDescent="0.2">
      <c r="AQ27144" s="31"/>
    </row>
    <row r="27145" spans="43:43" x14ac:dyDescent="0.2">
      <c r="AQ27145" s="31"/>
    </row>
    <row r="27146" spans="43:43" x14ac:dyDescent="0.2">
      <c r="AQ27146" s="31"/>
    </row>
    <row r="27147" spans="43:43" x14ac:dyDescent="0.2">
      <c r="AQ27147" s="31"/>
    </row>
    <row r="27148" spans="43:43" x14ac:dyDescent="0.2">
      <c r="AQ27148" s="31"/>
    </row>
    <row r="27149" spans="43:43" x14ac:dyDescent="0.2">
      <c r="AQ27149" s="31"/>
    </row>
    <row r="27150" spans="43:43" x14ac:dyDescent="0.2">
      <c r="AQ27150" s="31"/>
    </row>
    <row r="27151" spans="43:43" x14ac:dyDescent="0.2">
      <c r="AQ27151" s="31"/>
    </row>
    <row r="27152" spans="43:43" x14ac:dyDescent="0.2">
      <c r="AQ27152" s="31"/>
    </row>
    <row r="27153" spans="43:43" x14ac:dyDescent="0.2">
      <c r="AQ27153" s="31"/>
    </row>
    <row r="27154" spans="43:43" x14ac:dyDescent="0.2">
      <c r="AQ27154" s="31"/>
    </row>
    <row r="27155" spans="43:43" x14ac:dyDescent="0.2">
      <c r="AQ27155" s="31"/>
    </row>
    <row r="27156" spans="43:43" x14ac:dyDescent="0.2">
      <c r="AQ27156" s="31"/>
    </row>
    <row r="27157" spans="43:43" x14ac:dyDescent="0.2">
      <c r="AQ27157" s="31"/>
    </row>
    <row r="27158" spans="43:43" x14ac:dyDescent="0.2">
      <c r="AQ27158" s="31"/>
    </row>
    <row r="27159" spans="43:43" x14ac:dyDescent="0.2">
      <c r="AQ27159" s="31"/>
    </row>
    <row r="27160" spans="43:43" x14ac:dyDescent="0.2">
      <c r="AQ27160" s="31"/>
    </row>
    <row r="27161" spans="43:43" x14ac:dyDescent="0.2">
      <c r="AQ27161" s="31"/>
    </row>
    <row r="27162" spans="43:43" x14ac:dyDescent="0.2">
      <c r="AQ27162" s="31"/>
    </row>
    <row r="27163" spans="43:43" x14ac:dyDescent="0.2">
      <c r="AQ27163" s="31"/>
    </row>
    <row r="27164" spans="43:43" x14ac:dyDescent="0.2">
      <c r="AQ27164" s="31"/>
    </row>
    <row r="27165" spans="43:43" x14ac:dyDescent="0.2">
      <c r="AQ27165" s="31"/>
    </row>
    <row r="27166" spans="43:43" x14ac:dyDescent="0.2">
      <c r="AQ27166" s="31"/>
    </row>
    <row r="27167" spans="43:43" x14ac:dyDescent="0.2">
      <c r="AQ27167" s="31"/>
    </row>
    <row r="27168" spans="43:43" x14ac:dyDescent="0.2">
      <c r="AQ27168" s="31"/>
    </row>
    <row r="27169" spans="43:43" x14ac:dyDescent="0.2">
      <c r="AQ27169" s="31"/>
    </row>
    <row r="27170" spans="43:43" x14ac:dyDescent="0.2">
      <c r="AQ27170" s="31"/>
    </row>
    <row r="27171" spans="43:43" x14ac:dyDescent="0.2">
      <c r="AQ27171" s="31"/>
    </row>
    <row r="27172" spans="43:43" x14ac:dyDescent="0.2">
      <c r="AQ27172" s="31"/>
    </row>
    <row r="27173" spans="43:43" x14ac:dyDescent="0.2">
      <c r="AQ27173" s="31"/>
    </row>
    <row r="27174" spans="43:43" x14ac:dyDescent="0.2">
      <c r="AQ27174" s="31"/>
    </row>
    <row r="27175" spans="43:43" x14ac:dyDescent="0.2">
      <c r="AQ27175" s="31"/>
    </row>
    <row r="27176" spans="43:43" x14ac:dyDescent="0.2">
      <c r="AQ27176" s="31"/>
    </row>
    <row r="27177" spans="43:43" x14ac:dyDescent="0.2">
      <c r="AQ27177" s="31"/>
    </row>
    <row r="27178" spans="43:43" x14ac:dyDescent="0.2">
      <c r="AQ27178" s="31"/>
    </row>
    <row r="27179" spans="43:43" x14ac:dyDescent="0.2">
      <c r="AQ27179" s="31"/>
    </row>
    <row r="27180" spans="43:43" x14ac:dyDescent="0.2">
      <c r="AQ27180" s="31"/>
    </row>
    <row r="27181" spans="43:43" x14ac:dyDescent="0.2">
      <c r="AQ27181" s="31"/>
    </row>
    <row r="27182" spans="43:43" x14ac:dyDescent="0.2">
      <c r="AQ27182" s="31"/>
    </row>
    <row r="27183" spans="43:43" x14ac:dyDescent="0.2">
      <c r="AQ27183" s="31"/>
    </row>
    <row r="27184" spans="43:43" x14ac:dyDescent="0.2">
      <c r="AQ27184" s="31"/>
    </row>
    <row r="27185" spans="43:43" x14ac:dyDescent="0.2">
      <c r="AQ27185" s="31"/>
    </row>
    <row r="27186" spans="43:43" x14ac:dyDescent="0.2">
      <c r="AQ27186" s="31"/>
    </row>
    <row r="27187" spans="43:43" x14ac:dyDescent="0.2">
      <c r="AQ27187" s="31"/>
    </row>
    <row r="27188" spans="43:43" x14ac:dyDescent="0.2">
      <c r="AQ27188" s="31"/>
    </row>
    <row r="27189" spans="43:43" x14ac:dyDescent="0.2">
      <c r="AQ27189" s="31"/>
    </row>
    <row r="27190" spans="43:43" x14ac:dyDescent="0.2">
      <c r="AQ27190" s="31"/>
    </row>
    <row r="27191" spans="43:43" x14ac:dyDescent="0.2">
      <c r="AQ27191" s="31"/>
    </row>
    <row r="27192" spans="43:43" x14ac:dyDescent="0.2">
      <c r="AQ27192" s="31"/>
    </row>
    <row r="27193" spans="43:43" x14ac:dyDescent="0.2">
      <c r="AQ27193" s="31"/>
    </row>
    <row r="27194" spans="43:43" x14ac:dyDescent="0.2">
      <c r="AQ27194" s="31"/>
    </row>
    <row r="27195" spans="43:43" x14ac:dyDescent="0.2">
      <c r="AQ27195" s="31"/>
    </row>
    <row r="27196" spans="43:43" x14ac:dyDescent="0.2">
      <c r="AQ27196" s="31"/>
    </row>
    <row r="27197" spans="43:43" x14ac:dyDescent="0.2">
      <c r="AQ27197" s="31"/>
    </row>
    <row r="27198" spans="43:43" x14ac:dyDescent="0.2">
      <c r="AQ27198" s="31"/>
    </row>
    <row r="27199" spans="43:43" x14ac:dyDescent="0.2">
      <c r="AQ27199" s="31"/>
    </row>
    <row r="27200" spans="43:43" x14ac:dyDescent="0.2">
      <c r="AQ27200" s="31"/>
    </row>
    <row r="27201" spans="43:43" x14ac:dyDescent="0.2">
      <c r="AQ27201" s="31"/>
    </row>
    <row r="27202" spans="43:43" x14ac:dyDescent="0.2">
      <c r="AQ27202" s="31"/>
    </row>
    <row r="27203" spans="43:43" x14ac:dyDescent="0.2">
      <c r="AQ27203" s="31"/>
    </row>
    <row r="27204" spans="43:43" x14ac:dyDescent="0.2">
      <c r="AQ27204" s="31"/>
    </row>
    <row r="27205" spans="43:43" x14ac:dyDescent="0.2">
      <c r="AQ27205" s="31"/>
    </row>
    <row r="27206" spans="43:43" x14ac:dyDescent="0.2">
      <c r="AQ27206" s="31"/>
    </row>
    <row r="27207" spans="43:43" x14ac:dyDescent="0.2">
      <c r="AQ27207" s="31"/>
    </row>
    <row r="27208" spans="43:43" x14ac:dyDescent="0.2">
      <c r="AQ27208" s="31"/>
    </row>
    <row r="27209" spans="43:43" x14ac:dyDescent="0.2">
      <c r="AQ27209" s="31"/>
    </row>
    <row r="27210" spans="43:43" x14ac:dyDescent="0.2">
      <c r="AQ27210" s="31"/>
    </row>
    <row r="27211" spans="43:43" x14ac:dyDescent="0.2">
      <c r="AQ27211" s="31"/>
    </row>
    <row r="27212" spans="43:43" x14ac:dyDescent="0.2">
      <c r="AQ27212" s="31"/>
    </row>
    <row r="27213" spans="43:43" x14ac:dyDescent="0.2">
      <c r="AQ27213" s="31"/>
    </row>
    <row r="27214" spans="43:43" x14ac:dyDescent="0.2">
      <c r="AQ27214" s="31"/>
    </row>
    <row r="27215" spans="43:43" x14ac:dyDescent="0.2">
      <c r="AQ27215" s="31"/>
    </row>
    <row r="27216" spans="43:43" x14ac:dyDescent="0.2">
      <c r="AQ27216" s="31"/>
    </row>
    <row r="27217" spans="43:43" x14ac:dyDescent="0.2">
      <c r="AQ27217" s="31"/>
    </row>
    <row r="27218" spans="43:43" x14ac:dyDescent="0.2">
      <c r="AQ27218" s="31"/>
    </row>
    <row r="27219" spans="43:43" x14ac:dyDescent="0.2">
      <c r="AQ27219" s="31"/>
    </row>
    <row r="27220" spans="43:43" x14ac:dyDescent="0.2">
      <c r="AQ27220" s="31"/>
    </row>
    <row r="27221" spans="43:43" x14ac:dyDescent="0.2">
      <c r="AQ27221" s="31"/>
    </row>
    <row r="27222" spans="43:43" x14ac:dyDescent="0.2">
      <c r="AQ27222" s="31"/>
    </row>
    <row r="27223" spans="43:43" x14ac:dyDescent="0.2">
      <c r="AQ27223" s="31"/>
    </row>
    <row r="27224" spans="43:43" x14ac:dyDescent="0.2">
      <c r="AQ27224" s="31"/>
    </row>
    <row r="27225" spans="43:43" x14ac:dyDescent="0.2">
      <c r="AQ27225" s="31"/>
    </row>
    <row r="27226" spans="43:43" x14ac:dyDescent="0.2">
      <c r="AQ27226" s="31"/>
    </row>
    <row r="27227" spans="43:43" x14ac:dyDescent="0.2">
      <c r="AQ27227" s="31"/>
    </row>
    <row r="27228" spans="43:43" x14ac:dyDescent="0.2">
      <c r="AQ27228" s="31"/>
    </row>
    <row r="27229" spans="43:43" x14ac:dyDescent="0.2">
      <c r="AQ27229" s="31"/>
    </row>
    <row r="27230" spans="43:43" x14ac:dyDescent="0.2">
      <c r="AQ27230" s="31"/>
    </row>
    <row r="27231" spans="43:43" x14ac:dyDescent="0.2">
      <c r="AQ27231" s="31"/>
    </row>
    <row r="27232" spans="43:43" x14ac:dyDescent="0.2">
      <c r="AQ27232" s="31"/>
    </row>
    <row r="27233" spans="43:43" x14ac:dyDescent="0.2">
      <c r="AQ27233" s="31"/>
    </row>
    <row r="27234" spans="43:43" x14ac:dyDescent="0.2">
      <c r="AQ27234" s="31"/>
    </row>
    <row r="27235" spans="43:43" x14ac:dyDescent="0.2">
      <c r="AQ27235" s="31"/>
    </row>
    <row r="27236" spans="43:43" x14ac:dyDescent="0.2">
      <c r="AQ27236" s="31"/>
    </row>
    <row r="27237" spans="43:43" x14ac:dyDescent="0.2">
      <c r="AQ27237" s="31"/>
    </row>
    <row r="27238" spans="43:43" x14ac:dyDescent="0.2">
      <c r="AQ27238" s="31"/>
    </row>
    <row r="27239" spans="43:43" x14ac:dyDescent="0.2">
      <c r="AQ27239" s="31"/>
    </row>
    <row r="27240" spans="43:43" x14ac:dyDescent="0.2">
      <c r="AQ27240" s="31"/>
    </row>
    <row r="27241" spans="43:43" x14ac:dyDescent="0.2">
      <c r="AQ27241" s="31"/>
    </row>
    <row r="27242" spans="43:43" x14ac:dyDescent="0.2">
      <c r="AQ27242" s="31"/>
    </row>
    <row r="27243" spans="43:43" x14ac:dyDescent="0.2">
      <c r="AQ27243" s="31"/>
    </row>
    <row r="27244" spans="43:43" x14ac:dyDescent="0.2">
      <c r="AQ27244" s="31"/>
    </row>
    <row r="27245" spans="43:43" x14ac:dyDescent="0.2">
      <c r="AQ27245" s="31"/>
    </row>
    <row r="27246" spans="43:43" x14ac:dyDescent="0.2">
      <c r="AQ27246" s="31"/>
    </row>
    <row r="27247" spans="43:43" x14ac:dyDescent="0.2">
      <c r="AQ27247" s="31"/>
    </row>
    <row r="27248" spans="43:43" x14ac:dyDescent="0.2">
      <c r="AQ27248" s="31"/>
    </row>
    <row r="27249" spans="43:43" x14ac:dyDescent="0.2">
      <c r="AQ27249" s="31"/>
    </row>
    <row r="27250" spans="43:43" x14ac:dyDescent="0.2">
      <c r="AQ27250" s="31"/>
    </row>
    <row r="27251" spans="43:43" x14ac:dyDescent="0.2">
      <c r="AQ27251" s="31"/>
    </row>
    <row r="27252" spans="43:43" x14ac:dyDescent="0.2">
      <c r="AQ27252" s="31"/>
    </row>
    <row r="27253" spans="43:43" x14ac:dyDescent="0.2">
      <c r="AQ27253" s="31"/>
    </row>
    <row r="27254" spans="43:43" x14ac:dyDescent="0.2">
      <c r="AQ27254" s="31"/>
    </row>
    <row r="27255" spans="43:43" x14ac:dyDescent="0.2">
      <c r="AQ27255" s="31"/>
    </row>
    <row r="27256" spans="43:43" x14ac:dyDescent="0.2">
      <c r="AQ27256" s="31"/>
    </row>
    <row r="27257" spans="43:43" x14ac:dyDescent="0.2">
      <c r="AQ27257" s="31"/>
    </row>
    <row r="27258" spans="43:43" x14ac:dyDescent="0.2">
      <c r="AQ27258" s="31"/>
    </row>
    <row r="27259" spans="43:43" x14ac:dyDescent="0.2">
      <c r="AQ27259" s="31"/>
    </row>
    <row r="27260" spans="43:43" x14ac:dyDescent="0.2">
      <c r="AQ27260" s="31"/>
    </row>
    <row r="27261" spans="43:43" x14ac:dyDescent="0.2">
      <c r="AQ27261" s="31"/>
    </row>
    <row r="27262" spans="43:43" x14ac:dyDescent="0.2">
      <c r="AQ27262" s="31"/>
    </row>
    <row r="27263" spans="43:43" x14ac:dyDescent="0.2">
      <c r="AQ27263" s="31"/>
    </row>
    <row r="27264" spans="43:43" x14ac:dyDescent="0.2">
      <c r="AQ27264" s="31"/>
    </row>
    <row r="27265" spans="43:43" x14ac:dyDescent="0.2">
      <c r="AQ27265" s="31"/>
    </row>
    <row r="27266" spans="43:43" x14ac:dyDescent="0.2">
      <c r="AQ27266" s="31"/>
    </row>
    <row r="27267" spans="43:43" x14ac:dyDescent="0.2">
      <c r="AQ27267" s="31"/>
    </row>
    <row r="27268" spans="43:43" x14ac:dyDescent="0.2">
      <c r="AQ27268" s="31"/>
    </row>
    <row r="27269" spans="43:43" x14ac:dyDescent="0.2">
      <c r="AQ27269" s="31"/>
    </row>
    <row r="27270" spans="43:43" x14ac:dyDescent="0.2">
      <c r="AQ27270" s="31"/>
    </row>
    <row r="27271" spans="43:43" x14ac:dyDescent="0.2">
      <c r="AQ27271" s="31"/>
    </row>
    <row r="27272" spans="43:43" x14ac:dyDescent="0.2">
      <c r="AQ27272" s="31"/>
    </row>
    <row r="27273" spans="43:43" x14ac:dyDescent="0.2">
      <c r="AQ27273" s="31"/>
    </row>
    <row r="27274" spans="43:43" x14ac:dyDescent="0.2">
      <c r="AQ27274" s="31"/>
    </row>
    <row r="27275" spans="43:43" x14ac:dyDescent="0.2">
      <c r="AQ27275" s="31"/>
    </row>
    <row r="27276" spans="43:43" x14ac:dyDescent="0.2">
      <c r="AQ27276" s="31"/>
    </row>
    <row r="27277" spans="43:43" x14ac:dyDescent="0.2">
      <c r="AQ27277" s="31"/>
    </row>
    <row r="27278" spans="43:43" x14ac:dyDescent="0.2">
      <c r="AQ27278" s="31"/>
    </row>
    <row r="27279" spans="43:43" x14ac:dyDescent="0.2">
      <c r="AQ27279" s="31"/>
    </row>
    <row r="27280" spans="43:43" x14ac:dyDescent="0.2">
      <c r="AQ27280" s="31"/>
    </row>
    <row r="27281" spans="43:43" x14ac:dyDescent="0.2">
      <c r="AQ27281" s="31"/>
    </row>
    <row r="27282" spans="43:43" x14ac:dyDescent="0.2">
      <c r="AQ27282" s="31"/>
    </row>
    <row r="27283" spans="43:43" x14ac:dyDescent="0.2">
      <c r="AQ27283" s="31"/>
    </row>
    <row r="27284" spans="43:43" x14ac:dyDescent="0.2">
      <c r="AQ27284" s="31"/>
    </row>
    <row r="27285" spans="43:43" x14ac:dyDescent="0.2">
      <c r="AQ27285" s="31"/>
    </row>
    <row r="27286" spans="43:43" x14ac:dyDescent="0.2">
      <c r="AQ27286" s="31"/>
    </row>
    <row r="27287" spans="43:43" x14ac:dyDescent="0.2">
      <c r="AQ27287" s="31"/>
    </row>
    <row r="27288" spans="43:43" x14ac:dyDescent="0.2">
      <c r="AQ27288" s="31"/>
    </row>
    <row r="27289" spans="43:43" x14ac:dyDescent="0.2">
      <c r="AQ27289" s="31"/>
    </row>
    <row r="27290" spans="43:43" x14ac:dyDescent="0.2">
      <c r="AQ27290" s="31"/>
    </row>
    <row r="27291" spans="43:43" x14ac:dyDescent="0.2">
      <c r="AQ27291" s="31"/>
    </row>
    <row r="27292" spans="43:43" x14ac:dyDescent="0.2">
      <c r="AQ27292" s="31"/>
    </row>
    <row r="27293" spans="43:43" x14ac:dyDescent="0.2">
      <c r="AQ27293" s="31"/>
    </row>
    <row r="27294" spans="43:43" x14ac:dyDescent="0.2">
      <c r="AQ27294" s="31"/>
    </row>
    <row r="27295" spans="43:43" x14ac:dyDescent="0.2">
      <c r="AQ27295" s="31"/>
    </row>
    <row r="27296" spans="43:43" x14ac:dyDescent="0.2">
      <c r="AQ27296" s="31"/>
    </row>
    <row r="27297" spans="43:43" x14ac:dyDescent="0.2">
      <c r="AQ27297" s="31"/>
    </row>
    <row r="27298" spans="43:43" x14ac:dyDescent="0.2">
      <c r="AQ27298" s="31"/>
    </row>
    <row r="27299" spans="43:43" x14ac:dyDescent="0.2">
      <c r="AQ27299" s="31"/>
    </row>
    <row r="27300" spans="43:43" x14ac:dyDescent="0.2">
      <c r="AQ27300" s="31"/>
    </row>
    <row r="27301" spans="43:43" x14ac:dyDescent="0.2">
      <c r="AQ27301" s="31"/>
    </row>
    <row r="27302" spans="43:43" x14ac:dyDescent="0.2">
      <c r="AQ27302" s="31"/>
    </row>
    <row r="27303" spans="43:43" x14ac:dyDescent="0.2">
      <c r="AQ27303" s="31"/>
    </row>
    <row r="27304" spans="43:43" x14ac:dyDescent="0.2">
      <c r="AQ27304" s="31"/>
    </row>
    <row r="27305" spans="43:43" x14ac:dyDescent="0.2">
      <c r="AQ27305" s="31"/>
    </row>
    <row r="27306" spans="43:43" x14ac:dyDescent="0.2">
      <c r="AQ27306" s="31"/>
    </row>
    <row r="27307" spans="43:43" x14ac:dyDescent="0.2">
      <c r="AQ27307" s="31"/>
    </row>
    <row r="27308" spans="43:43" x14ac:dyDescent="0.2">
      <c r="AQ27308" s="31"/>
    </row>
    <row r="27309" spans="43:43" x14ac:dyDescent="0.2">
      <c r="AQ27309" s="31"/>
    </row>
    <row r="27310" spans="43:43" x14ac:dyDescent="0.2">
      <c r="AQ27310" s="31"/>
    </row>
    <row r="27311" spans="43:43" x14ac:dyDescent="0.2">
      <c r="AQ27311" s="31"/>
    </row>
    <row r="27312" spans="43:43" x14ac:dyDescent="0.2">
      <c r="AQ27312" s="31"/>
    </row>
    <row r="27313" spans="43:43" x14ac:dyDescent="0.2">
      <c r="AQ27313" s="31"/>
    </row>
    <row r="27314" spans="43:43" x14ac:dyDescent="0.2">
      <c r="AQ27314" s="31"/>
    </row>
    <row r="27315" spans="43:43" x14ac:dyDescent="0.2">
      <c r="AQ27315" s="31"/>
    </row>
    <row r="27316" spans="43:43" x14ac:dyDescent="0.2">
      <c r="AQ27316" s="31"/>
    </row>
    <row r="27317" spans="43:43" x14ac:dyDescent="0.2">
      <c r="AQ27317" s="31"/>
    </row>
    <row r="27318" spans="43:43" x14ac:dyDescent="0.2">
      <c r="AQ27318" s="31"/>
    </row>
    <row r="27319" spans="43:43" x14ac:dyDescent="0.2">
      <c r="AQ27319" s="31"/>
    </row>
    <row r="27320" spans="43:43" x14ac:dyDescent="0.2">
      <c r="AQ27320" s="31"/>
    </row>
    <row r="27321" spans="43:43" x14ac:dyDescent="0.2">
      <c r="AQ27321" s="31"/>
    </row>
    <row r="27322" spans="43:43" x14ac:dyDescent="0.2">
      <c r="AQ27322" s="31"/>
    </row>
    <row r="27323" spans="43:43" x14ac:dyDescent="0.2">
      <c r="AQ27323" s="31"/>
    </row>
    <row r="27324" spans="43:43" x14ac:dyDescent="0.2">
      <c r="AQ27324" s="31"/>
    </row>
    <row r="27325" spans="43:43" x14ac:dyDescent="0.2">
      <c r="AQ27325" s="31"/>
    </row>
    <row r="27326" spans="43:43" x14ac:dyDescent="0.2">
      <c r="AQ27326" s="31"/>
    </row>
    <row r="27327" spans="43:43" x14ac:dyDescent="0.2">
      <c r="AQ27327" s="31"/>
    </row>
    <row r="27328" spans="43:43" x14ac:dyDescent="0.2">
      <c r="AQ27328" s="31"/>
    </row>
    <row r="27329" spans="43:43" x14ac:dyDescent="0.2">
      <c r="AQ27329" s="31"/>
    </row>
    <row r="27330" spans="43:43" x14ac:dyDescent="0.2">
      <c r="AQ27330" s="31"/>
    </row>
    <row r="27331" spans="43:43" x14ac:dyDescent="0.2">
      <c r="AQ27331" s="31"/>
    </row>
    <row r="27332" spans="43:43" x14ac:dyDescent="0.2">
      <c r="AQ27332" s="31"/>
    </row>
    <row r="27333" spans="43:43" x14ac:dyDescent="0.2">
      <c r="AQ27333" s="31"/>
    </row>
    <row r="27334" spans="43:43" x14ac:dyDescent="0.2">
      <c r="AQ27334" s="31"/>
    </row>
    <row r="27335" spans="43:43" x14ac:dyDescent="0.2">
      <c r="AQ27335" s="31"/>
    </row>
    <row r="27336" spans="43:43" x14ac:dyDescent="0.2">
      <c r="AQ27336" s="31"/>
    </row>
    <row r="27337" spans="43:43" x14ac:dyDescent="0.2">
      <c r="AQ27337" s="31"/>
    </row>
    <row r="27338" spans="43:43" x14ac:dyDescent="0.2">
      <c r="AQ27338" s="31"/>
    </row>
    <row r="27339" spans="43:43" x14ac:dyDescent="0.2">
      <c r="AQ27339" s="31"/>
    </row>
    <row r="27340" spans="43:43" x14ac:dyDescent="0.2">
      <c r="AQ27340" s="31"/>
    </row>
    <row r="27341" spans="43:43" x14ac:dyDescent="0.2">
      <c r="AQ27341" s="31"/>
    </row>
    <row r="27342" spans="43:43" x14ac:dyDescent="0.2">
      <c r="AQ27342" s="31"/>
    </row>
    <row r="27343" spans="43:43" x14ac:dyDescent="0.2">
      <c r="AQ27343" s="31"/>
    </row>
    <row r="27344" spans="43:43" x14ac:dyDescent="0.2">
      <c r="AQ27344" s="31"/>
    </row>
    <row r="27345" spans="43:43" x14ac:dyDescent="0.2">
      <c r="AQ27345" s="31"/>
    </row>
    <row r="27346" spans="43:43" x14ac:dyDescent="0.2">
      <c r="AQ27346" s="31"/>
    </row>
    <row r="27347" spans="43:43" x14ac:dyDescent="0.2">
      <c r="AQ27347" s="31"/>
    </row>
    <row r="27348" spans="43:43" x14ac:dyDescent="0.2">
      <c r="AQ27348" s="31"/>
    </row>
    <row r="27349" spans="43:43" x14ac:dyDescent="0.2">
      <c r="AQ27349" s="31"/>
    </row>
    <row r="27350" spans="43:43" x14ac:dyDescent="0.2">
      <c r="AQ27350" s="31"/>
    </row>
    <row r="27351" spans="43:43" x14ac:dyDescent="0.2">
      <c r="AQ27351" s="31"/>
    </row>
    <row r="27352" spans="43:43" x14ac:dyDescent="0.2">
      <c r="AQ27352" s="31"/>
    </row>
    <row r="27353" spans="43:43" x14ac:dyDescent="0.2">
      <c r="AQ27353" s="31"/>
    </row>
    <row r="27354" spans="43:43" x14ac:dyDescent="0.2">
      <c r="AQ27354" s="31"/>
    </row>
    <row r="27355" spans="43:43" x14ac:dyDescent="0.2">
      <c r="AQ27355" s="31"/>
    </row>
    <row r="27356" spans="43:43" x14ac:dyDescent="0.2">
      <c r="AQ27356" s="31"/>
    </row>
    <row r="27357" spans="43:43" x14ac:dyDescent="0.2">
      <c r="AQ27357" s="31"/>
    </row>
    <row r="27358" spans="43:43" x14ac:dyDescent="0.2">
      <c r="AQ27358" s="31"/>
    </row>
    <row r="27359" spans="43:43" x14ac:dyDescent="0.2">
      <c r="AQ27359" s="31"/>
    </row>
    <row r="27360" spans="43:43" x14ac:dyDescent="0.2">
      <c r="AQ27360" s="31"/>
    </row>
    <row r="27361" spans="43:43" x14ac:dyDescent="0.2">
      <c r="AQ27361" s="31"/>
    </row>
    <row r="27362" spans="43:43" x14ac:dyDescent="0.2">
      <c r="AQ27362" s="31"/>
    </row>
    <row r="27363" spans="43:43" x14ac:dyDescent="0.2">
      <c r="AQ27363" s="31"/>
    </row>
    <row r="27364" spans="43:43" x14ac:dyDescent="0.2">
      <c r="AQ27364" s="31"/>
    </row>
    <row r="27365" spans="43:43" x14ac:dyDescent="0.2">
      <c r="AQ27365" s="31"/>
    </row>
    <row r="27366" spans="43:43" x14ac:dyDescent="0.2">
      <c r="AQ27366" s="31"/>
    </row>
    <row r="27367" spans="43:43" x14ac:dyDescent="0.2">
      <c r="AQ27367" s="31"/>
    </row>
    <row r="27368" spans="43:43" x14ac:dyDescent="0.2">
      <c r="AQ27368" s="31"/>
    </row>
    <row r="27369" spans="43:43" x14ac:dyDescent="0.2">
      <c r="AQ27369" s="31"/>
    </row>
    <row r="27370" spans="43:43" x14ac:dyDescent="0.2">
      <c r="AQ27370" s="31"/>
    </row>
    <row r="27371" spans="43:43" x14ac:dyDescent="0.2">
      <c r="AQ27371" s="31"/>
    </row>
    <row r="27372" spans="43:43" x14ac:dyDescent="0.2">
      <c r="AQ27372" s="31"/>
    </row>
    <row r="27373" spans="43:43" x14ac:dyDescent="0.2">
      <c r="AQ27373" s="31"/>
    </row>
    <row r="27374" spans="43:43" x14ac:dyDescent="0.2">
      <c r="AQ27374" s="31"/>
    </row>
    <row r="27375" spans="43:43" x14ac:dyDescent="0.2">
      <c r="AQ27375" s="31"/>
    </row>
    <row r="27376" spans="43:43" x14ac:dyDescent="0.2">
      <c r="AQ27376" s="31"/>
    </row>
    <row r="27377" spans="43:43" x14ac:dyDescent="0.2">
      <c r="AQ27377" s="31"/>
    </row>
    <row r="27378" spans="43:43" x14ac:dyDescent="0.2">
      <c r="AQ27378" s="31"/>
    </row>
    <row r="27379" spans="43:43" x14ac:dyDescent="0.2">
      <c r="AQ27379" s="31"/>
    </row>
    <row r="27380" spans="43:43" x14ac:dyDescent="0.2">
      <c r="AQ27380" s="31"/>
    </row>
    <row r="27381" spans="43:43" x14ac:dyDescent="0.2">
      <c r="AQ27381" s="31"/>
    </row>
    <row r="27382" spans="43:43" x14ac:dyDescent="0.2">
      <c r="AQ27382" s="31"/>
    </row>
    <row r="27383" spans="43:43" x14ac:dyDescent="0.2">
      <c r="AQ27383" s="31"/>
    </row>
    <row r="27384" spans="43:43" x14ac:dyDescent="0.2">
      <c r="AQ27384" s="31"/>
    </row>
    <row r="27385" spans="43:43" x14ac:dyDescent="0.2">
      <c r="AQ27385" s="31"/>
    </row>
    <row r="27386" spans="43:43" x14ac:dyDescent="0.2">
      <c r="AQ27386" s="31"/>
    </row>
    <row r="27387" spans="43:43" x14ac:dyDescent="0.2">
      <c r="AQ27387" s="31"/>
    </row>
    <row r="27388" spans="43:43" x14ac:dyDescent="0.2">
      <c r="AQ27388" s="31"/>
    </row>
    <row r="27389" spans="43:43" x14ac:dyDescent="0.2">
      <c r="AQ27389" s="31"/>
    </row>
    <row r="27390" spans="43:43" x14ac:dyDescent="0.2">
      <c r="AQ27390" s="31"/>
    </row>
    <row r="27391" spans="43:43" x14ac:dyDescent="0.2">
      <c r="AQ27391" s="31"/>
    </row>
    <row r="27392" spans="43:43" x14ac:dyDescent="0.2">
      <c r="AQ27392" s="31"/>
    </row>
    <row r="27393" spans="43:43" x14ac:dyDescent="0.2">
      <c r="AQ27393" s="31"/>
    </row>
    <row r="27394" spans="43:43" x14ac:dyDescent="0.2">
      <c r="AQ27394" s="31"/>
    </row>
    <row r="27395" spans="43:43" x14ac:dyDescent="0.2">
      <c r="AQ27395" s="31"/>
    </row>
    <row r="27396" spans="43:43" x14ac:dyDescent="0.2">
      <c r="AQ27396" s="31"/>
    </row>
    <row r="27397" spans="43:43" x14ac:dyDescent="0.2">
      <c r="AQ27397" s="31"/>
    </row>
    <row r="27398" spans="43:43" x14ac:dyDescent="0.2">
      <c r="AQ27398" s="31"/>
    </row>
    <row r="27399" spans="43:43" x14ac:dyDescent="0.2">
      <c r="AQ27399" s="31"/>
    </row>
    <row r="27400" spans="43:43" x14ac:dyDescent="0.2">
      <c r="AQ27400" s="31"/>
    </row>
    <row r="27401" spans="43:43" x14ac:dyDescent="0.2">
      <c r="AQ27401" s="31"/>
    </row>
    <row r="27402" spans="43:43" x14ac:dyDescent="0.2">
      <c r="AQ27402" s="31"/>
    </row>
    <row r="27403" spans="43:43" x14ac:dyDescent="0.2">
      <c r="AQ27403" s="31"/>
    </row>
    <row r="27404" spans="43:43" x14ac:dyDescent="0.2">
      <c r="AQ27404" s="31"/>
    </row>
    <row r="27405" spans="43:43" x14ac:dyDescent="0.2">
      <c r="AQ27405" s="31"/>
    </row>
    <row r="27406" spans="43:43" x14ac:dyDescent="0.2">
      <c r="AQ27406" s="31"/>
    </row>
    <row r="27407" spans="43:43" x14ac:dyDescent="0.2">
      <c r="AQ27407" s="31"/>
    </row>
    <row r="27408" spans="43:43" x14ac:dyDescent="0.2">
      <c r="AQ27408" s="31"/>
    </row>
    <row r="27409" spans="43:43" x14ac:dyDescent="0.2">
      <c r="AQ27409" s="31"/>
    </row>
    <row r="27410" spans="43:43" x14ac:dyDescent="0.2">
      <c r="AQ27410" s="31"/>
    </row>
    <row r="27411" spans="43:43" x14ac:dyDescent="0.2">
      <c r="AQ27411" s="31"/>
    </row>
    <row r="27412" spans="43:43" x14ac:dyDescent="0.2">
      <c r="AQ27412" s="31"/>
    </row>
    <row r="27413" spans="43:43" x14ac:dyDescent="0.2">
      <c r="AQ27413" s="31"/>
    </row>
    <row r="27414" spans="43:43" x14ac:dyDescent="0.2">
      <c r="AQ27414" s="31"/>
    </row>
    <row r="27415" spans="43:43" x14ac:dyDescent="0.2">
      <c r="AQ27415" s="31"/>
    </row>
    <row r="27416" spans="43:43" x14ac:dyDescent="0.2">
      <c r="AQ27416" s="31"/>
    </row>
    <row r="27417" spans="43:43" x14ac:dyDescent="0.2">
      <c r="AQ27417" s="31"/>
    </row>
    <row r="27418" spans="43:43" x14ac:dyDescent="0.2">
      <c r="AQ27418" s="31"/>
    </row>
    <row r="27419" spans="43:43" x14ac:dyDescent="0.2">
      <c r="AQ27419" s="31"/>
    </row>
    <row r="27420" spans="43:43" x14ac:dyDescent="0.2">
      <c r="AQ27420" s="31"/>
    </row>
    <row r="27421" spans="43:43" x14ac:dyDescent="0.2">
      <c r="AQ27421" s="31"/>
    </row>
    <row r="27422" spans="43:43" x14ac:dyDescent="0.2">
      <c r="AQ27422" s="31"/>
    </row>
    <row r="27423" spans="43:43" x14ac:dyDescent="0.2">
      <c r="AQ27423" s="31"/>
    </row>
    <row r="27424" spans="43:43" x14ac:dyDescent="0.2">
      <c r="AQ27424" s="31"/>
    </row>
    <row r="27425" spans="43:43" x14ac:dyDescent="0.2">
      <c r="AQ27425" s="31"/>
    </row>
    <row r="27426" spans="43:43" x14ac:dyDescent="0.2">
      <c r="AQ27426" s="31"/>
    </row>
    <row r="27427" spans="43:43" x14ac:dyDescent="0.2">
      <c r="AQ27427" s="31"/>
    </row>
    <row r="27428" spans="43:43" x14ac:dyDescent="0.2">
      <c r="AQ27428" s="31"/>
    </row>
    <row r="27429" spans="43:43" x14ac:dyDescent="0.2">
      <c r="AQ27429" s="31"/>
    </row>
    <row r="27430" spans="43:43" x14ac:dyDescent="0.2">
      <c r="AQ27430" s="31"/>
    </row>
    <row r="27431" spans="43:43" x14ac:dyDescent="0.2">
      <c r="AQ27431" s="31"/>
    </row>
    <row r="27432" spans="43:43" x14ac:dyDescent="0.2">
      <c r="AQ27432" s="31"/>
    </row>
    <row r="27433" spans="43:43" x14ac:dyDescent="0.2">
      <c r="AQ27433" s="31"/>
    </row>
    <row r="27434" spans="43:43" x14ac:dyDescent="0.2">
      <c r="AQ27434" s="31"/>
    </row>
    <row r="27435" spans="43:43" x14ac:dyDescent="0.2">
      <c r="AQ27435" s="31"/>
    </row>
    <row r="27436" spans="43:43" x14ac:dyDescent="0.2">
      <c r="AQ27436" s="31"/>
    </row>
    <row r="27437" spans="43:43" x14ac:dyDescent="0.2">
      <c r="AQ27437" s="31"/>
    </row>
    <row r="27438" spans="43:43" x14ac:dyDescent="0.2">
      <c r="AQ27438" s="31"/>
    </row>
    <row r="27439" spans="43:43" x14ac:dyDescent="0.2">
      <c r="AQ27439" s="31"/>
    </row>
    <row r="27440" spans="43:43" x14ac:dyDescent="0.2">
      <c r="AQ27440" s="31"/>
    </row>
    <row r="27441" spans="43:43" x14ac:dyDescent="0.2">
      <c r="AQ27441" s="31"/>
    </row>
    <row r="27442" spans="43:43" x14ac:dyDescent="0.2">
      <c r="AQ27442" s="31"/>
    </row>
    <row r="27443" spans="43:43" x14ac:dyDescent="0.2">
      <c r="AQ27443" s="31"/>
    </row>
    <row r="27444" spans="43:43" x14ac:dyDescent="0.2">
      <c r="AQ27444" s="31"/>
    </row>
    <row r="27445" spans="43:43" x14ac:dyDescent="0.2">
      <c r="AQ27445" s="31"/>
    </row>
    <row r="27446" spans="43:43" x14ac:dyDescent="0.2">
      <c r="AQ27446" s="31"/>
    </row>
    <row r="27447" spans="43:43" x14ac:dyDescent="0.2">
      <c r="AQ27447" s="31"/>
    </row>
    <row r="27448" spans="43:43" x14ac:dyDescent="0.2">
      <c r="AQ27448" s="31"/>
    </row>
    <row r="27449" spans="43:43" x14ac:dyDescent="0.2">
      <c r="AQ27449" s="31"/>
    </row>
    <row r="27450" spans="43:43" x14ac:dyDescent="0.2">
      <c r="AQ27450" s="31"/>
    </row>
    <row r="27451" spans="43:43" x14ac:dyDescent="0.2">
      <c r="AQ27451" s="31"/>
    </row>
    <row r="27452" spans="43:43" x14ac:dyDescent="0.2">
      <c r="AQ27452" s="31"/>
    </row>
    <row r="27453" spans="43:43" x14ac:dyDescent="0.2">
      <c r="AQ27453" s="31"/>
    </row>
    <row r="27454" spans="43:43" x14ac:dyDescent="0.2">
      <c r="AQ27454" s="31"/>
    </row>
    <row r="27455" spans="43:43" x14ac:dyDescent="0.2">
      <c r="AQ27455" s="31"/>
    </row>
    <row r="27456" spans="43:43" x14ac:dyDescent="0.2">
      <c r="AQ27456" s="31"/>
    </row>
    <row r="27457" spans="43:43" x14ac:dyDescent="0.2">
      <c r="AQ27457" s="31"/>
    </row>
    <row r="27458" spans="43:43" x14ac:dyDescent="0.2">
      <c r="AQ27458" s="31"/>
    </row>
    <row r="27459" spans="43:43" x14ac:dyDescent="0.2">
      <c r="AQ27459" s="31"/>
    </row>
    <row r="27460" spans="43:43" x14ac:dyDescent="0.2">
      <c r="AQ27460" s="31"/>
    </row>
    <row r="27461" spans="43:43" x14ac:dyDescent="0.2">
      <c r="AQ27461" s="31"/>
    </row>
    <row r="27462" spans="43:43" x14ac:dyDescent="0.2">
      <c r="AQ27462" s="31"/>
    </row>
    <row r="27463" spans="43:43" x14ac:dyDescent="0.2">
      <c r="AQ27463" s="31"/>
    </row>
    <row r="27464" spans="43:43" x14ac:dyDescent="0.2">
      <c r="AQ27464" s="31"/>
    </row>
    <row r="27465" spans="43:43" x14ac:dyDescent="0.2">
      <c r="AQ27465" s="31"/>
    </row>
    <row r="27466" spans="43:43" x14ac:dyDescent="0.2">
      <c r="AQ27466" s="31"/>
    </row>
    <row r="27467" spans="43:43" x14ac:dyDescent="0.2">
      <c r="AQ27467" s="31"/>
    </row>
    <row r="27468" spans="43:43" x14ac:dyDescent="0.2">
      <c r="AQ27468" s="31"/>
    </row>
    <row r="27469" spans="43:43" x14ac:dyDescent="0.2">
      <c r="AQ27469" s="31"/>
    </row>
    <row r="27470" spans="43:43" x14ac:dyDescent="0.2">
      <c r="AQ27470" s="31"/>
    </row>
    <row r="27471" spans="43:43" x14ac:dyDescent="0.2">
      <c r="AQ27471" s="31"/>
    </row>
    <row r="27472" spans="43:43" x14ac:dyDescent="0.2">
      <c r="AQ27472" s="31"/>
    </row>
    <row r="27473" spans="43:43" x14ac:dyDescent="0.2">
      <c r="AQ27473" s="31"/>
    </row>
    <row r="27474" spans="43:43" x14ac:dyDescent="0.2">
      <c r="AQ27474" s="31"/>
    </row>
    <row r="27475" spans="43:43" x14ac:dyDescent="0.2">
      <c r="AQ27475" s="31"/>
    </row>
    <row r="27476" spans="43:43" x14ac:dyDescent="0.2">
      <c r="AQ27476" s="31"/>
    </row>
    <row r="27477" spans="43:43" x14ac:dyDescent="0.2">
      <c r="AQ27477" s="31"/>
    </row>
    <row r="27478" spans="43:43" x14ac:dyDescent="0.2">
      <c r="AQ27478" s="31"/>
    </row>
    <row r="27479" spans="43:43" x14ac:dyDescent="0.2">
      <c r="AQ27479" s="31"/>
    </row>
    <row r="27480" spans="43:43" x14ac:dyDescent="0.2">
      <c r="AQ27480" s="31"/>
    </row>
    <row r="27481" spans="43:43" x14ac:dyDescent="0.2">
      <c r="AQ27481" s="31"/>
    </row>
    <row r="27482" spans="43:43" x14ac:dyDescent="0.2">
      <c r="AQ27482" s="31"/>
    </row>
    <row r="27483" spans="43:43" x14ac:dyDescent="0.2">
      <c r="AQ27483" s="31"/>
    </row>
    <row r="27484" spans="43:43" x14ac:dyDescent="0.2">
      <c r="AQ27484" s="31"/>
    </row>
    <row r="27485" spans="43:43" x14ac:dyDescent="0.2">
      <c r="AQ27485" s="31"/>
    </row>
    <row r="27486" spans="43:43" x14ac:dyDescent="0.2">
      <c r="AQ27486" s="31"/>
    </row>
    <row r="27487" spans="43:43" x14ac:dyDescent="0.2">
      <c r="AQ27487" s="31"/>
    </row>
    <row r="27488" spans="43:43" x14ac:dyDescent="0.2">
      <c r="AQ27488" s="31"/>
    </row>
    <row r="27489" spans="43:43" x14ac:dyDescent="0.2">
      <c r="AQ27489" s="31"/>
    </row>
    <row r="27490" spans="43:43" x14ac:dyDescent="0.2">
      <c r="AQ27490" s="31"/>
    </row>
    <row r="27491" spans="43:43" x14ac:dyDescent="0.2">
      <c r="AQ27491" s="31"/>
    </row>
    <row r="27492" spans="43:43" x14ac:dyDescent="0.2">
      <c r="AQ27492" s="31"/>
    </row>
    <row r="27493" spans="43:43" x14ac:dyDescent="0.2">
      <c r="AQ27493" s="31"/>
    </row>
    <row r="27494" spans="43:43" x14ac:dyDescent="0.2">
      <c r="AQ27494" s="31"/>
    </row>
    <row r="27495" spans="43:43" x14ac:dyDescent="0.2">
      <c r="AQ27495" s="31"/>
    </row>
    <row r="27496" spans="43:43" x14ac:dyDescent="0.2">
      <c r="AQ27496" s="31"/>
    </row>
    <row r="27497" spans="43:43" x14ac:dyDescent="0.2">
      <c r="AQ27497" s="31"/>
    </row>
    <row r="27498" spans="43:43" x14ac:dyDescent="0.2">
      <c r="AQ27498" s="31"/>
    </row>
    <row r="27499" spans="43:43" x14ac:dyDescent="0.2">
      <c r="AQ27499" s="31"/>
    </row>
    <row r="27500" spans="43:43" x14ac:dyDescent="0.2">
      <c r="AQ27500" s="31"/>
    </row>
    <row r="27501" spans="43:43" x14ac:dyDescent="0.2">
      <c r="AQ27501" s="31"/>
    </row>
    <row r="27502" spans="43:43" x14ac:dyDescent="0.2">
      <c r="AQ27502" s="31"/>
    </row>
    <row r="27503" spans="43:43" x14ac:dyDescent="0.2">
      <c r="AQ27503" s="31"/>
    </row>
    <row r="27504" spans="43:43" x14ac:dyDescent="0.2">
      <c r="AQ27504" s="31"/>
    </row>
    <row r="27505" spans="43:43" x14ac:dyDescent="0.2">
      <c r="AQ27505" s="31"/>
    </row>
    <row r="27506" spans="43:43" x14ac:dyDescent="0.2">
      <c r="AQ27506" s="31"/>
    </row>
    <row r="27507" spans="43:43" x14ac:dyDescent="0.2">
      <c r="AQ27507" s="31"/>
    </row>
    <row r="27508" spans="43:43" x14ac:dyDescent="0.2">
      <c r="AQ27508" s="31"/>
    </row>
    <row r="27509" spans="43:43" x14ac:dyDescent="0.2">
      <c r="AQ27509" s="31"/>
    </row>
    <row r="27510" spans="43:43" x14ac:dyDescent="0.2">
      <c r="AQ27510" s="31"/>
    </row>
    <row r="27511" spans="43:43" x14ac:dyDescent="0.2">
      <c r="AQ27511" s="31"/>
    </row>
    <row r="27512" spans="43:43" x14ac:dyDescent="0.2">
      <c r="AQ27512" s="31"/>
    </row>
    <row r="27513" spans="43:43" x14ac:dyDescent="0.2">
      <c r="AQ27513" s="31"/>
    </row>
    <row r="27514" spans="43:43" x14ac:dyDescent="0.2">
      <c r="AQ27514" s="31"/>
    </row>
    <row r="27515" spans="43:43" x14ac:dyDescent="0.2">
      <c r="AQ27515" s="31"/>
    </row>
    <row r="27516" spans="43:43" x14ac:dyDescent="0.2">
      <c r="AQ27516" s="31"/>
    </row>
    <row r="27517" spans="43:43" x14ac:dyDescent="0.2">
      <c r="AQ27517" s="31"/>
    </row>
    <row r="27518" spans="43:43" x14ac:dyDescent="0.2">
      <c r="AQ27518" s="31"/>
    </row>
    <row r="27519" spans="43:43" x14ac:dyDescent="0.2">
      <c r="AQ27519" s="31"/>
    </row>
    <row r="27520" spans="43:43" x14ac:dyDescent="0.2">
      <c r="AQ27520" s="31"/>
    </row>
    <row r="27521" spans="43:43" x14ac:dyDescent="0.2">
      <c r="AQ27521" s="31"/>
    </row>
    <row r="27522" spans="43:43" x14ac:dyDescent="0.2">
      <c r="AQ27522" s="31"/>
    </row>
    <row r="27523" spans="43:43" x14ac:dyDescent="0.2">
      <c r="AQ27523" s="31"/>
    </row>
    <row r="27524" spans="43:43" x14ac:dyDescent="0.2">
      <c r="AQ27524" s="31"/>
    </row>
    <row r="27525" spans="43:43" x14ac:dyDescent="0.2">
      <c r="AQ27525" s="31"/>
    </row>
    <row r="27526" spans="43:43" x14ac:dyDescent="0.2">
      <c r="AQ27526" s="31"/>
    </row>
    <row r="27527" spans="43:43" x14ac:dyDescent="0.2">
      <c r="AQ27527" s="31"/>
    </row>
    <row r="27528" spans="43:43" x14ac:dyDescent="0.2">
      <c r="AQ27528" s="31"/>
    </row>
    <row r="27529" spans="43:43" x14ac:dyDescent="0.2">
      <c r="AQ27529" s="31"/>
    </row>
    <row r="27530" spans="43:43" x14ac:dyDescent="0.2">
      <c r="AQ27530" s="31"/>
    </row>
    <row r="27531" spans="43:43" x14ac:dyDescent="0.2">
      <c r="AQ27531" s="31"/>
    </row>
    <row r="27532" spans="43:43" x14ac:dyDescent="0.2">
      <c r="AQ27532" s="31"/>
    </row>
    <row r="27533" spans="43:43" x14ac:dyDescent="0.2">
      <c r="AQ27533" s="31"/>
    </row>
    <row r="27534" spans="43:43" x14ac:dyDescent="0.2">
      <c r="AQ27534" s="31"/>
    </row>
    <row r="27535" spans="43:43" x14ac:dyDescent="0.2">
      <c r="AQ27535" s="31"/>
    </row>
    <row r="27536" spans="43:43" x14ac:dyDescent="0.2">
      <c r="AQ27536" s="31"/>
    </row>
    <row r="27537" spans="43:43" x14ac:dyDescent="0.2">
      <c r="AQ27537" s="31"/>
    </row>
    <row r="27538" spans="43:43" x14ac:dyDescent="0.2">
      <c r="AQ27538" s="31"/>
    </row>
    <row r="27539" spans="43:43" x14ac:dyDescent="0.2">
      <c r="AQ27539" s="31"/>
    </row>
    <row r="27540" spans="43:43" x14ac:dyDescent="0.2">
      <c r="AQ27540" s="31"/>
    </row>
    <row r="27541" spans="43:43" x14ac:dyDescent="0.2">
      <c r="AQ27541" s="31"/>
    </row>
    <row r="27542" spans="43:43" x14ac:dyDescent="0.2">
      <c r="AQ27542" s="31"/>
    </row>
    <row r="27543" spans="43:43" x14ac:dyDescent="0.2">
      <c r="AQ27543" s="31"/>
    </row>
    <row r="27544" spans="43:43" x14ac:dyDescent="0.2">
      <c r="AQ27544" s="31"/>
    </row>
    <row r="27545" spans="43:43" x14ac:dyDescent="0.2">
      <c r="AQ27545" s="31"/>
    </row>
    <row r="27546" spans="43:43" x14ac:dyDescent="0.2">
      <c r="AQ27546" s="31"/>
    </row>
    <row r="27547" spans="43:43" x14ac:dyDescent="0.2">
      <c r="AQ27547" s="31"/>
    </row>
    <row r="27548" spans="43:43" x14ac:dyDescent="0.2">
      <c r="AQ27548" s="31"/>
    </row>
    <row r="27549" spans="43:43" x14ac:dyDescent="0.2">
      <c r="AQ27549" s="31"/>
    </row>
    <row r="27550" spans="43:43" x14ac:dyDescent="0.2">
      <c r="AQ27550" s="31"/>
    </row>
    <row r="27551" spans="43:43" x14ac:dyDescent="0.2">
      <c r="AQ27551" s="31"/>
    </row>
    <row r="27552" spans="43:43" x14ac:dyDescent="0.2">
      <c r="AQ27552" s="31"/>
    </row>
    <row r="27553" spans="43:43" x14ac:dyDescent="0.2">
      <c r="AQ27553" s="31"/>
    </row>
    <row r="27554" spans="43:43" x14ac:dyDescent="0.2">
      <c r="AQ27554" s="31"/>
    </row>
    <row r="27555" spans="43:43" x14ac:dyDescent="0.2">
      <c r="AQ27555" s="31"/>
    </row>
    <row r="27556" spans="43:43" x14ac:dyDescent="0.2">
      <c r="AQ27556" s="31"/>
    </row>
    <row r="27557" spans="43:43" x14ac:dyDescent="0.2">
      <c r="AQ27557" s="31"/>
    </row>
    <row r="27558" spans="43:43" x14ac:dyDescent="0.2">
      <c r="AQ27558" s="31"/>
    </row>
    <row r="27559" spans="43:43" x14ac:dyDescent="0.2">
      <c r="AQ27559" s="31"/>
    </row>
    <row r="27560" spans="43:43" x14ac:dyDescent="0.2">
      <c r="AQ27560" s="31"/>
    </row>
    <row r="27561" spans="43:43" x14ac:dyDescent="0.2">
      <c r="AQ27561" s="31"/>
    </row>
    <row r="27562" spans="43:43" x14ac:dyDescent="0.2">
      <c r="AQ27562" s="31"/>
    </row>
    <row r="27563" spans="43:43" x14ac:dyDescent="0.2">
      <c r="AQ27563" s="31"/>
    </row>
    <row r="27564" spans="43:43" x14ac:dyDescent="0.2">
      <c r="AQ27564" s="31"/>
    </row>
    <row r="27565" spans="43:43" x14ac:dyDescent="0.2">
      <c r="AQ27565" s="31"/>
    </row>
    <row r="27566" spans="43:43" x14ac:dyDescent="0.2">
      <c r="AQ27566" s="31"/>
    </row>
    <row r="27567" spans="43:43" x14ac:dyDescent="0.2">
      <c r="AQ27567" s="31"/>
    </row>
    <row r="27568" spans="43:43" x14ac:dyDescent="0.2">
      <c r="AQ27568" s="31"/>
    </row>
    <row r="27569" spans="43:43" x14ac:dyDescent="0.2">
      <c r="AQ27569" s="31"/>
    </row>
    <row r="27570" spans="43:43" x14ac:dyDescent="0.2">
      <c r="AQ27570" s="31"/>
    </row>
    <row r="27571" spans="43:43" x14ac:dyDescent="0.2">
      <c r="AQ27571" s="31"/>
    </row>
    <row r="27572" spans="43:43" x14ac:dyDescent="0.2">
      <c r="AQ27572" s="31"/>
    </row>
    <row r="27573" spans="43:43" x14ac:dyDescent="0.2">
      <c r="AQ27573" s="31"/>
    </row>
    <row r="27574" spans="43:43" x14ac:dyDescent="0.2">
      <c r="AQ27574" s="31"/>
    </row>
    <row r="27575" spans="43:43" x14ac:dyDescent="0.2">
      <c r="AQ27575" s="31"/>
    </row>
    <row r="27576" spans="43:43" x14ac:dyDescent="0.2">
      <c r="AQ27576" s="31"/>
    </row>
    <row r="27577" spans="43:43" x14ac:dyDescent="0.2">
      <c r="AQ27577" s="31"/>
    </row>
    <row r="27578" spans="43:43" x14ac:dyDescent="0.2">
      <c r="AQ27578" s="31"/>
    </row>
    <row r="27579" spans="43:43" x14ac:dyDescent="0.2">
      <c r="AQ27579" s="31"/>
    </row>
    <row r="27580" spans="43:43" x14ac:dyDescent="0.2">
      <c r="AQ27580" s="31"/>
    </row>
    <row r="27581" spans="43:43" x14ac:dyDescent="0.2">
      <c r="AQ27581" s="31"/>
    </row>
    <row r="27582" spans="43:43" x14ac:dyDescent="0.2">
      <c r="AQ27582" s="31"/>
    </row>
    <row r="27583" spans="43:43" x14ac:dyDescent="0.2">
      <c r="AQ27583" s="31"/>
    </row>
    <row r="27584" spans="43:43" x14ac:dyDescent="0.2">
      <c r="AQ27584" s="31"/>
    </row>
    <row r="27585" spans="43:43" x14ac:dyDescent="0.2">
      <c r="AQ27585" s="31"/>
    </row>
    <row r="27586" spans="43:43" x14ac:dyDescent="0.2">
      <c r="AQ27586" s="31"/>
    </row>
    <row r="27587" spans="43:43" x14ac:dyDescent="0.2">
      <c r="AQ27587" s="31"/>
    </row>
    <row r="27588" spans="43:43" x14ac:dyDescent="0.2">
      <c r="AQ27588" s="31"/>
    </row>
    <row r="27589" spans="43:43" x14ac:dyDescent="0.2">
      <c r="AQ27589" s="31"/>
    </row>
    <row r="27590" spans="43:43" x14ac:dyDescent="0.2">
      <c r="AQ27590" s="31"/>
    </row>
    <row r="27591" spans="43:43" x14ac:dyDescent="0.2">
      <c r="AQ27591" s="31"/>
    </row>
    <row r="27592" spans="43:43" x14ac:dyDescent="0.2">
      <c r="AQ27592" s="31"/>
    </row>
    <row r="27593" spans="43:43" x14ac:dyDescent="0.2">
      <c r="AQ27593" s="31"/>
    </row>
    <row r="27594" spans="43:43" x14ac:dyDescent="0.2">
      <c r="AQ27594" s="31"/>
    </row>
    <row r="27595" spans="43:43" x14ac:dyDescent="0.2">
      <c r="AQ27595" s="31"/>
    </row>
    <row r="27596" spans="43:43" x14ac:dyDescent="0.2">
      <c r="AQ27596" s="31"/>
    </row>
    <row r="27597" spans="43:43" x14ac:dyDescent="0.2">
      <c r="AQ27597" s="31"/>
    </row>
    <row r="27598" spans="43:43" x14ac:dyDescent="0.2">
      <c r="AQ27598" s="31"/>
    </row>
    <row r="27599" spans="43:43" x14ac:dyDescent="0.2">
      <c r="AQ27599" s="31"/>
    </row>
    <row r="27600" spans="43:43" x14ac:dyDescent="0.2">
      <c r="AQ27600" s="31"/>
    </row>
    <row r="27601" spans="43:43" x14ac:dyDescent="0.2">
      <c r="AQ27601" s="31"/>
    </row>
    <row r="27602" spans="43:43" x14ac:dyDescent="0.2">
      <c r="AQ27602" s="31"/>
    </row>
    <row r="27603" spans="43:43" x14ac:dyDescent="0.2">
      <c r="AQ27603" s="31"/>
    </row>
    <row r="27604" spans="43:43" x14ac:dyDescent="0.2">
      <c r="AQ27604" s="31"/>
    </row>
    <row r="27605" spans="43:43" x14ac:dyDescent="0.2">
      <c r="AQ27605" s="31"/>
    </row>
    <row r="27606" spans="43:43" x14ac:dyDescent="0.2">
      <c r="AQ27606" s="31"/>
    </row>
    <row r="27607" spans="43:43" x14ac:dyDescent="0.2">
      <c r="AQ27607" s="31"/>
    </row>
    <row r="27608" spans="43:43" x14ac:dyDescent="0.2">
      <c r="AQ27608" s="31"/>
    </row>
    <row r="27609" spans="43:43" x14ac:dyDescent="0.2">
      <c r="AQ27609" s="31"/>
    </row>
    <row r="27610" spans="43:43" x14ac:dyDescent="0.2">
      <c r="AQ27610" s="31"/>
    </row>
    <row r="27611" spans="43:43" x14ac:dyDescent="0.2">
      <c r="AQ27611" s="31"/>
    </row>
    <row r="27612" spans="43:43" x14ac:dyDescent="0.2">
      <c r="AQ27612" s="31"/>
    </row>
    <row r="27613" spans="43:43" x14ac:dyDescent="0.2">
      <c r="AQ27613" s="31"/>
    </row>
    <row r="27614" spans="43:43" x14ac:dyDescent="0.2">
      <c r="AQ27614" s="31"/>
    </row>
    <row r="27615" spans="43:43" x14ac:dyDescent="0.2">
      <c r="AQ27615" s="31"/>
    </row>
    <row r="27616" spans="43:43" x14ac:dyDescent="0.2">
      <c r="AQ27616" s="31"/>
    </row>
    <row r="27617" spans="43:43" x14ac:dyDescent="0.2">
      <c r="AQ27617" s="31"/>
    </row>
    <row r="27618" spans="43:43" x14ac:dyDescent="0.2">
      <c r="AQ27618" s="31"/>
    </row>
    <row r="27619" spans="43:43" x14ac:dyDescent="0.2">
      <c r="AQ27619" s="31"/>
    </row>
    <row r="27620" spans="43:43" x14ac:dyDescent="0.2">
      <c r="AQ27620" s="31"/>
    </row>
    <row r="27621" spans="43:43" x14ac:dyDescent="0.2">
      <c r="AQ27621" s="31"/>
    </row>
    <row r="27622" spans="43:43" x14ac:dyDescent="0.2">
      <c r="AQ27622" s="31"/>
    </row>
    <row r="27623" spans="43:43" x14ac:dyDescent="0.2">
      <c r="AQ27623" s="31"/>
    </row>
    <row r="27624" spans="43:43" x14ac:dyDescent="0.2">
      <c r="AQ27624" s="31"/>
    </row>
    <row r="27625" spans="43:43" x14ac:dyDescent="0.2">
      <c r="AQ27625" s="31"/>
    </row>
    <row r="27626" spans="43:43" x14ac:dyDescent="0.2">
      <c r="AQ27626" s="31"/>
    </row>
    <row r="27627" spans="43:43" x14ac:dyDescent="0.2">
      <c r="AQ27627" s="31"/>
    </row>
    <row r="27628" spans="43:43" x14ac:dyDescent="0.2">
      <c r="AQ27628" s="31"/>
    </row>
    <row r="27629" spans="43:43" x14ac:dyDescent="0.2">
      <c r="AQ27629" s="31"/>
    </row>
    <row r="27630" spans="43:43" x14ac:dyDescent="0.2">
      <c r="AQ27630" s="31"/>
    </row>
    <row r="27631" spans="43:43" x14ac:dyDescent="0.2">
      <c r="AQ27631" s="31"/>
    </row>
    <row r="27632" spans="43:43" x14ac:dyDescent="0.2">
      <c r="AQ27632" s="31"/>
    </row>
    <row r="27633" spans="43:43" x14ac:dyDescent="0.2">
      <c r="AQ27633" s="31"/>
    </row>
    <row r="27634" spans="43:43" x14ac:dyDescent="0.2">
      <c r="AQ27634" s="31"/>
    </row>
    <row r="27635" spans="43:43" x14ac:dyDescent="0.2">
      <c r="AQ27635" s="31"/>
    </row>
    <row r="27636" spans="43:43" x14ac:dyDescent="0.2">
      <c r="AQ27636" s="31"/>
    </row>
    <row r="27637" spans="43:43" x14ac:dyDescent="0.2">
      <c r="AQ27637" s="31"/>
    </row>
    <row r="27638" spans="43:43" x14ac:dyDescent="0.2">
      <c r="AQ27638" s="31"/>
    </row>
    <row r="27639" spans="43:43" x14ac:dyDescent="0.2">
      <c r="AQ27639" s="31"/>
    </row>
    <row r="27640" spans="43:43" x14ac:dyDescent="0.2">
      <c r="AQ27640" s="31"/>
    </row>
    <row r="27641" spans="43:43" x14ac:dyDescent="0.2">
      <c r="AQ27641" s="31"/>
    </row>
    <row r="27642" spans="43:43" x14ac:dyDescent="0.2">
      <c r="AQ27642" s="31"/>
    </row>
    <row r="27643" spans="43:43" x14ac:dyDescent="0.2">
      <c r="AQ27643" s="31"/>
    </row>
    <row r="27644" spans="43:43" x14ac:dyDescent="0.2">
      <c r="AQ27644" s="31"/>
    </row>
    <row r="27645" spans="43:43" x14ac:dyDescent="0.2">
      <c r="AQ27645" s="31"/>
    </row>
    <row r="27646" spans="43:43" x14ac:dyDescent="0.2">
      <c r="AQ27646" s="31"/>
    </row>
    <row r="27647" spans="43:43" x14ac:dyDescent="0.2">
      <c r="AQ27647" s="31"/>
    </row>
    <row r="27648" spans="43:43" x14ac:dyDescent="0.2">
      <c r="AQ27648" s="31"/>
    </row>
    <row r="27649" spans="43:43" x14ac:dyDescent="0.2">
      <c r="AQ27649" s="31"/>
    </row>
    <row r="27650" spans="43:43" x14ac:dyDescent="0.2">
      <c r="AQ27650" s="31"/>
    </row>
    <row r="27651" spans="43:43" x14ac:dyDescent="0.2">
      <c r="AQ27651" s="31"/>
    </row>
    <row r="27652" spans="43:43" x14ac:dyDescent="0.2">
      <c r="AQ27652" s="31"/>
    </row>
    <row r="27653" spans="43:43" x14ac:dyDescent="0.2">
      <c r="AQ27653" s="31"/>
    </row>
    <row r="27654" spans="43:43" x14ac:dyDescent="0.2">
      <c r="AQ27654" s="31"/>
    </row>
    <row r="27655" spans="43:43" x14ac:dyDescent="0.2">
      <c r="AQ27655" s="31"/>
    </row>
    <row r="27656" spans="43:43" x14ac:dyDescent="0.2">
      <c r="AQ27656" s="31"/>
    </row>
    <row r="27657" spans="43:43" x14ac:dyDescent="0.2">
      <c r="AQ27657" s="31"/>
    </row>
    <row r="27658" spans="43:43" x14ac:dyDescent="0.2">
      <c r="AQ27658" s="31"/>
    </row>
    <row r="27659" spans="43:43" x14ac:dyDescent="0.2">
      <c r="AQ27659" s="31"/>
    </row>
    <row r="27660" spans="43:43" x14ac:dyDescent="0.2">
      <c r="AQ27660" s="31"/>
    </row>
    <row r="27661" spans="43:43" x14ac:dyDescent="0.2">
      <c r="AQ27661" s="31"/>
    </row>
    <row r="27662" spans="43:43" x14ac:dyDescent="0.2">
      <c r="AQ27662" s="31"/>
    </row>
    <row r="27663" spans="43:43" x14ac:dyDescent="0.2">
      <c r="AQ27663" s="31"/>
    </row>
    <row r="27664" spans="43:43" x14ac:dyDescent="0.2">
      <c r="AQ27664" s="31"/>
    </row>
    <row r="27665" spans="43:43" x14ac:dyDescent="0.2">
      <c r="AQ27665" s="31"/>
    </row>
    <row r="27666" spans="43:43" x14ac:dyDescent="0.2">
      <c r="AQ27666" s="31"/>
    </row>
    <row r="27667" spans="43:43" x14ac:dyDescent="0.2">
      <c r="AQ27667" s="31"/>
    </row>
    <row r="27668" spans="43:43" x14ac:dyDescent="0.2">
      <c r="AQ27668" s="31"/>
    </row>
    <row r="27669" spans="43:43" x14ac:dyDescent="0.2">
      <c r="AQ27669" s="31"/>
    </row>
    <row r="27670" spans="43:43" x14ac:dyDescent="0.2">
      <c r="AQ27670" s="31"/>
    </row>
    <row r="27671" spans="43:43" x14ac:dyDescent="0.2">
      <c r="AQ27671" s="31"/>
    </row>
    <row r="27672" spans="43:43" x14ac:dyDescent="0.2">
      <c r="AQ27672" s="31"/>
    </row>
    <row r="27673" spans="43:43" x14ac:dyDescent="0.2">
      <c r="AQ27673" s="31"/>
    </row>
    <row r="27674" spans="43:43" x14ac:dyDescent="0.2">
      <c r="AQ27674" s="31"/>
    </row>
    <row r="27675" spans="43:43" x14ac:dyDescent="0.2">
      <c r="AQ27675" s="31"/>
    </row>
    <row r="27676" spans="43:43" x14ac:dyDescent="0.2">
      <c r="AQ27676" s="31"/>
    </row>
    <row r="27677" spans="43:43" x14ac:dyDescent="0.2">
      <c r="AQ27677" s="31"/>
    </row>
    <row r="27678" spans="43:43" x14ac:dyDescent="0.2">
      <c r="AQ27678" s="31"/>
    </row>
    <row r="27679" spans="43:43" x14ac:dyDescent="0.2">
      <c r="AQ27679" s="31"/>
    </row>
    <row r="27680" spans="43:43" x14ac:dyDescent="0.2">
      <c r="AQ27680" s="31"/>
    </row>
    <row r="27681" spans="43:43" x14ac:dyDescent="0.2">
      <c r="AQ27681" s="31"/>
    </row>
    <row r="27682" spans="43:43" x14ac:dyDescent="0.2">
      <c r="AQ27682" s="31"/>
    </row>
    <row r="27683" spans="43:43" x14ac:dyDescent="0.2">
      <c r="AQ27683" s="31"/>
    </row>
    <row r="27684" spans="43:43" x14ac:dyDescent="0.2">
      <c r="AQ27684" s="31"/>
    </row>
    <row r="27685" spans="43:43" x14ac:dyDescent="0.2">
      <c r="AQ27685" s="31"/>
    </row>
    <row r="27686" spans="43:43" x14ac:dyDescent="0.2">
      <c r="AQ27686" s="31"/>
    </row>
    <row r="27687" spans="43:43" x14ac:dyDescent="0.2">
      <c r="AQ27687" s="31"/>
    </row>
    <row r="27688" spans="43:43" x14ac:dyDescent="0.2">
      <c r="AQ27688" s="31"/>
    </row>
    <row r="27689" spans="43:43" x14ac:dyDescent="0.2">
      <c r="AQ27689" s="31"/>
    </row>
    <row r="27690" spans="43:43" x14ac:dyDescent="0.2">
      <c r="AQ27690" s="31"/>
    </row>
    <row r="27691" spans="43:43" x14ac:dyDescent="0.2">
      <c r="AQ27691" s="31"/>
    </row>
    <row r="27692" spans="43:43" x14ac:dyDescent="0.2">
      <c r="AQ27692" s="31"/>
    </row>
    <row r="27693" spans="43:43" x14ac:dyDescent="0.2">
      <c r="AQ27693" s="31"/>
    </row>
    <row r="27694" spans="43:43" x14ac:dyDescent="0.2">
      <c r="AQ27694" s="31"/>
    </row>
    <row r="27695" spans="43:43" x14ac:dyDescent="0.2">
      <c r="AQ27695" s="31"/>
    </row>
    <row r="27696" spans="43:43" x14ac:dyDescent="0.2">
      <c r="AQ27696" s="31"/>
    </row>
    <row r="27697" spans="43:43" x14ac:dyDescent="0.2">
      <c r="AQ27697" s="31"/>
    </row>
    <row r="27698" spans="43:43" x14ac:dyDescent="0.2">
      <c r="AQ27698" s="31"/>
    </row>
    <row r="27699" spans="43:43" x14ac:dyDescent="0.2">
      <c r="AQ27699" s="31"/>
    </row>
    <row r="27700" spans="43:43" x14ac:dyDescent="0.2">
      <c r="AQ27700" s="31"/>
    </row>
    <row r="27701" spans="43:43" x14ac:dyDescent="0.2">
      <c r="AQ27701" s="31"/>
    </row>
    <row r="27702" spans="43:43" x14ac:dyDescent="0.2">
      <c r="AQ27702" s="31"/>
    </row>
    <row r="27703" spans="43:43" x14ac:dyDescent="0.2">
      <c r="AQ27703" s="31"/>
    </row>
    <row r="27704" spans="43:43" x14ac:dyDescent="0.2">
      <c r="AQ27704" s="31"/>
    </row>
    <row r="27705" spans="43:43" x14ac:dyDescent="0.2">
      <c r="AQ27705" s="31"/>
    </row>
    <row r="27706" spans="43:43" x14ac:dyDescent="0.2">
      <c r="AQ27706" s="31"/>
    </row>
    <row r="27707" spans="43:43" x14ac:dyDescent="0.2">
      <c r="AQ27707" s="31"/>
    </row>
    <row r="27708" spans="43:43" x14ac:dyDescent="0.2">
      <c r="AQ27708" s="31"/>
    </row>
    <row r="27709" spans="43:43" x14ac:dyDescent="0.2">
      <c r="AQ27709" s="31"/>
    </row>
    <row r="27710" spans="43:43" x14ac:dyDescent="0.2">
      <c r="AQ27710" s="31"/>
    </row>
    <row r="27711" spans="43:43" x14ac:dyDescent="0.2">
      <c r="AQ27711" s="31"/>
    </row>
    <row r="27712" spans="43:43" x14ac:dyDescent="0.2">
      <c r="AQ27712" s="31"/>
    </row>
    <row r="27713" spans="43:43" x14ac:dyDescent="0.2">
      <c r="AQ27713" s="31"/>
    </row>
    <row r="27714" spans="43:43" x14ac:dyDescent="0.2">
      <c r="AQ27714" s="31"/>
    </row>
    <row r="27715" spans="43:43" x14ac:dyDescent="0.2">
      <c r="AQ27715" s="31"/>
    </row>
    <row r="27716" spans="43:43" x14ac:dyDescent="0.2">
      <c r="AQ27716" s="31"/>
    </row>
    <row r="27717" spans="43:43" x14ac:dyDescent="0.2">
      <c r="AQ27717" s="31"/>
    </row>
    <row r="27718" spans="43:43" x14ac:dyDescent="0.2">
      <c r="AQ27718" s="31"/>
    </row>
    <row r="27719" spans="43:43" x14ac:dyDescent="0.2">
      <c r="AQ27719" s="31"/>
    </row>
    <row r="27720" spans="43:43" x14ac:dyDescent="0.2">
      <c r="AQ27720" s="31"/>
    </row>
    <row r="27721" spans="43:43" x14ac:dyDescent="0.2">
      <c r="AQ27721" s="31"/>
    </row>
    <row r="27722" spans="43:43" x14ac:dyDescent="0.2">
      <c r="AQ27722" s="31"/>
    </row>
    <row r="27723" spans="43:43" x14ac:dyDescent="0.2">
      <c r="AQ27723" s="31"/>
    </row>
    <row r="27724" spans="43:43" x14ac:dyDescent="0.2">
      <c r="AQ27724" s="31"/>
    </row>
    <row r="27725" spans="43:43" x14ac:dyDescent="0.2">
      <c r="AQ27725" s="31"/>
    </row>
    <row r="27726" spans="43:43" x14ac:dyDescent="0.2">
      <c r="AQ27726" s="31"/>
    </row>
    <row r="27727" spans="43:43" x14ac:dyDescent="0.2">
      <c r="AQ27727" s="31"/>
    </row>
    <row r="27728" spans="43:43" x14ac:dyDescent="0.2">
      <c r="AQ27728" s="31"/>
    </row>
    <row r="27729" spans="43:43" x14ac:dyDescent="0.2">
      <c r="AQ27729" s="31"/>
    </row>
    <row r="27730" spans="43:43" x14ac:dyDescent="0.2">
      <c r="AQ27730" s="31"/>
    </row>
    <row r="27731" spans="43:43" x14ac:dyDescent="0.2">
      <c r="AQ27731" s="31"/>
    </row>
    <row r="27732" spans="43:43" x14ac:dyDescent="0.2">
      <c r="AQ27732" s="31"/>
    </row>
    <row r="27733" spans="43:43" x14ac:dyDescent="0.2">
      <c r="AQ27733" s="31"/>
    </row>
    <row r="27734" spans="43:43" x14ac:dyDescent="0.2">
      <c r="AQ27734" s="31"/>
    </row>
    <row r="27735" spans="43:43" x14ac:dyDescent="0.2">
      <c r="AQ27735" s="31"/>
    </row>
    <row r="27736" spans="43:43" x14ac:dyDescent="0.2">
      <c r="AQ27736" s="31"/>
    </row>
    <row r="27737" spans="43:43" x14ac:dyDescent="0.2">
      <c r="AQ27737" s="31"/>
    </row>
    <row r="27738" spans="43:43" x14ac:dyDescent="0.2">
      <c r="AQ27738" s="31"/>
    </row>
    <row r="27739" spans="43:43" x14ac:dyDescent="0.2">
      <c r="AQ27739" s="31"/>
    </row>
    <row r="27740" spans="43:43" x14ac:dyDescent="0.2">
      <c r="AQ27740" s="31"/>
    </row>
    <row r="27741" spans="43:43" x14ac:dyDescent="0.2">
      <c r="AQ27741" s="31"/>
    </row>
    <row r="27742" spans="43:43" x14ac:dyDescent="0.2">
      <c r="AQ27742" s="31"/>
    </row>
    <row r="27743" spans="43:43" x14ac:dyDescent="0.2">
      <c r="AQ27743" s="31"/>
    </row>
    <row r="27744" spans="43:43" x14ac:dyDescent="0.2">
      <c r="AQ27744" s="31"/>
    </row>
    <row r="27745" spans="43:43" x14ac:dyDescent="0.2">
      <c r="AQ27745" s="31"/>
    </row>
    <row r="27746" spans="43:43" x14ac:dyDescent="0.2">
      <c r="AQ27746" s="31"/>
    </row>
    <row r="27747" spans="43:43" x14ac:dyDescent="0.2">
      <c r="AQ27747" s="31"/>
    </row>
    <row r="27748" spans="43:43" x14ac:dyDescent="0.2">
      <c r="AQ27748" s="31"/>
    </row>
    <row r="27749" spans="43:43" x14ac:dyDescent="0.2">
      <c r="AQ27749" s="31"/>
    </row>
    <row r="27750" spans="43:43" x14ac:dyDescent="0.2">
      <c r="AQ27750" s="31"/>
    </row>
    <row r="27751" spans="43:43" x14ac:dyDescent="0.2">
      <c r="AQ27751" s="31"/>
    </row>
    <row r="27752" spans="43:43" x14ac:dyDescent="0.2">
      <c r="AQ27752" s="31"/>
    </row>
    <row r="27753" spans="43:43" x14ac:dyDescent="0.2">
      <c r="AQ27753" s="31"/>
    </row>
    <row r="27754" spans="43:43" x14ac:dyDescent="0.2">
      <c r="AQ27754" s="31"/>
    </row>
    <row r="27755" spans="43:43" x14ac:dyDescent="0.2">
      <c r="AQ27755" s="31"/>
    </row>
    <row r="27756" spans="43:43" x14ac:dyDescent="0.2">
      <c r="AQ27756" s="31"/>
    </row>
    <row r="27757" spans="43:43" x14ac:dyDescent="0.2">
      <c r="AQ27757" s="31"/>
    </row>
    <row r="27758" spans="43:43" x14ac:dyDescent="0.2">
      <c r="AQ27758" s="31"/>
    </row>
    <row r="27759" spans="43:43" x14ac:dyDescent="0.2">
      <c r="AQ27759" s="31"/>
    </row>
    <row r="27760" spans="43:43" x14ac:dyDescent="0.2">
      <c r="AQ27760" s="31"/>
    </row>
    <row r="27761" spans="43:43" x14ac:dyDescent="0.2">
      <c r="AQ27761" s="31"/>
    </row>
    <row r="27762" spans="43:43" x14ac:dyDescent="0.2">
      <c r="AQ27762" s="31"/>
    </row>
    <row r="27763" spans="43:43" x14ac:dyDescent="0.2">
      <c r="AQ27763" s="31"/>
    </row>
    <row r="27764" spans="43:43" x14ac:dyDescent="0.2">
      <c r="AQ27764" s="31"/>
    </row>
    <row r="27765" spans="43:43" x14ac:dyDescent="0.2">
      <c r="AQ27765" s="31"/>
    </row>
    <row r="27766" spans="43:43" x14ac:dyDescent="0.2">
      <c r="AQ27766" s="31"/>
    </row>
    <row r="27767" spans="43:43" x14ac:dyDescent="0.2">
      <c r="AQ27767" s="31"/>
    </row>
    <row r="27768" spans="43:43" x14ac:dyDescent="0.2">
      <c r="AQ27768" s="31"/>
    </row>
    <row r="27769" spans="43:43" x14ac:dyDescent="0.2">
      <c r="AQ27769" s="31"/>
    </row>
    <row r="27770" spans="43:43" x14ac:dyDescent="0.2">
      <c r="AQ27770" s="31"/>
    </row>
    <row r="27771" spans="43:43" x14ac:dyDescent="0.2">
      <c r="AQ27771" s="31"/>
    </row>
    <row r="27772" spans="43:43" x14ac:dyDescent="0.2">
      <c r="AQ27772" s="31"/>
    </row>
    <row r="27773" spans="43:43" x14ac:dyDescent="0.2">
      <c r="AQ27773" s="31"/>
    </row>
    <row r="27774" spans="43:43" x14ac:dyDescent="0.2">
      <c r="AQ27774" s="31"/>
    </row>
    <row r="27775" spans="43:43" x14ac:dyDescent="0.2">
      <c r="AQ27775" s="31"/>
    </row>
    <row r="27776" spans="43:43" x14ac:dyDescent="0.2">
      <c r="AQ27776" s="31"/>
    </row>
    <row r="27777" spans="43:43" x14ac:dyDescent="0.2">
      <c r="AQ27777" s="31"/>
    </row>
    <row r="27778" spans="43:43" x14ac:dyDescent="0.2">
      <c r="AQ27778" s="31"/>
    </row>
    <row r="27779" spans="43:43" x14ac:dyDescent="0.2">
      <c r="AQ27779" s="31"/>
    </row>
    <row r="27780" spans="43:43" x14ac:dyDescent="0.2">
      <c r="AQ27780" s="31"/>
    </row>
    <row r="27781" spans="43:43" x14ac:dyDescent="0.2">
      <c r="AQ27781" s="31"/>
    </row>
    <row r="27782" spans="43:43" x14ac:dyDescent="0.2">
      <c r="AQ27782" s="31"/>
    </row>
    <row r="27783" spans="43:43" x14ac:dyDescent="0.2">
      <c r="AQ27783" s="31"/>
    </row>
    <row r="27784" spans="43:43" x14ac:dyDescent="0.2">
      <c r="AQ27784" s="31"/>
    </row>
    <row r="27785" spans="43:43" x14ac:dyDescent="0.2">
      <c r="AQ27785" s="31"/>
    </row>
    <row r="27786" spans="43:43" x14ac:dyDescent="0.2">
      <c r="AQ27786" s="31"/>
    </row>
    <row r="27787" spans="43:43" x14ac:dyDescent="0.2">
      <c r="AQ27787" s="31"/>
    </row>
    <row r="27788" spans="43:43" x14ac:dyDescent="0.2">
      <c r="AQ27788" s="31"/>
    </row>
    <row r="27789" spans="43:43" x14ac:dyDescent="0.2">
      <c r="AQ27789" s="31"/>
    </row>
    <row r="27790" spans="43:43" x14ac:dyDescent="0.2">
      <c r="AQ27790" s="31"/>
    </row>
    <row r="27791" spans="43:43" x14ac:dyDescent="0.2">
      <c r="AQ27791" s="31"/>
    </row>
    <row r="27792" spans="43:43" x14ac:dyDescent="0.2">
      <c r="AQ27792" s="31"/>
    </row>
    <row r="27793" spans="43:43" x14ac:dyDescent="0.2">
      <c r="AQ27793" s="31"/>
    </row>
    <row r="27794" spans="43:43" x14ac:dyDescent="0.2">
      <c r="AQ27794" s="31"/>
    </row>
    <row r="27795" spans="43:43" x14ac:dyDescent="0.2">
      <c r="AQ27795" s="31"/>
    </row>
    <row r="27796" spans="43:43" x14ac:dyDescent="0.2">
      <c r="AQ27796" s="31"/>
    </row>
    <row r="27797" spans="43:43" x14ac:dyDescent="0.2">
      <c r="AQ27797" s="31"/>
    </row>
    <row r="27798" spans="43:43" x14ac:dyDescent="0.2">
      <c r="AQ27798" s="31"/>
    </row>
    <row r="27799" spans="43:43" x14ac:dyDescent="0.2">
      <c r="AQ27799" s="31"/>
    </row>
    <row r="27800" spans="43:43" x14ac:dyDescent="0.2">
      <c r="AQ27800" s="31"/>
    </row>
    <row r="27801" spans="43:43" x14ac:dyDescent="0.2">
      <c r="AQ27801" s="31"/>
    </row>
    <row r="27802" spans="43:43" x14ac:dyDescent="0.2">
      <c r="AQ27802" s="31"/>
    </row>
    <row r="27803" spans="43:43" x14ac:dyDescent="0.2">
      <c r="AQ27803" s="31"/>
    </row>
    <row r="27804" spans="43:43" x14ac:dyDescent="0.2">
      <c r="AQ27804" s="31"/>
    </row>
    <row r="27805" spans="43:43" x14ac:dyDescent="0.2">
      <c r="AQ27805" s="31"/>
    </row>
    <row r="27806" spans="43:43" x14ac:dyDescent="0.2">
      <c r="AQ27806" s="31"/>
    </row>
    <row r="27807" spans="43:43" x14ac:dyDescent="0.2">
      <c r="AQ27807" s="31"/>
    </row>
    <row r="27808" spans="43:43" x14ac:dyDescent="0.2">
      <c r="AQ27808" s="31"/>
    </row>
    <row r="27809" spans="43:43" x14ac:dyDescent="0.2">
      <c r="AQ27809" s="31"/>
    </row>
    <row r="27810" spans="43:43" x14ac:dyDescent="0.2">
      <c r="AQ27810" s="31"/>
    </row>
    <row r="27811" spans="43:43" x14ac:dyDescent="0.2">
      <c r="AQ27811" s="31"/>
    </row>
    <row r="27812" spans="43:43" x14ac:dyDescent="0.2">
      <c r="AQ27812" s="31"/>
    </row>
    <row r="27813" spans="43:43" x14ac:dyDescent="0.2">
      <c r="AQ27813" s="31"/>
    </row>
    <row r="27814" spans="43:43" x14ac:dyDescent="0.2">
      <c r="AQ27814" s="31"/>
    </row>
    <row r="27815" spans="43:43" x14ac:dyDescent="0.2">
      <c r="AQ27815" s="31"/>
    </row>
    <row r="27816" spans="43:43" x14ac:dyDescent="0.2">
      <c r="AQ27816" s="31"/>
    </row>
    <row r="27817" spans="43:43" x14ac:dyDescent="0.2">
      <c r="AQ27817" s="31"/>
    </row>
    <row r="27818" spans="43:43" x14ac:dyDescent="0.2">
      <c r="AQ27818" s="31"/>
    </row>
    <row r="27819" spans="43:43" x14ac:dyDescent="0.2">
      <c r="AQ27819" s="31"/>
    </row>
    <row r="27820" spans="43:43" x14ac:dyDescent="0.2">
      <c r="AQ27820" s="31"/>
    </row>
    <row r="27821" spans="43:43" x14ac:dyDescent="0.2">
      <c r="AQ27821" s="31"/>
    </row>
    <row r="27822" spans="43:43" x14ac:dyDescent="0.2">
      <c r="AQ27822" s="31"/>
    </row>
    <row r="27823" spans="43:43" x14ac:dyDescent="0.2">
      <c r="AQ27823" s="31"/>
    </row>
    <row r="27824" spans="43:43" x14ac:dyDescent="0.2">
      <c r="AQ27824" s="31"/>
    </row>
    <row r="27825" spans="43:43" x14ac:dyDescent="0.2">
      <c r="AQ27825" s="31"/>
    </row>
    <row r="27826" spans="43:43" x14ac:dyDescent="0.2">
      <c r="AQ27826" s="31"/>
    </row>
    <row r="27827" spans="43:43" x14ac:dyDescent="0.2">
      <c r="AQ27827" s="31"/>
    </row>
    <row r="27828" spans="43:43" x14ac:dyDescent="0.2">
      <c r="AQ27828" s="31"/>
    </row>
    <row r="27829" spans="43:43" x14ac:dyDescent="0.2">
      <c r="AQ27829" s="31"/>
    </row>
    <row r="27830" spans="43:43" x14ac:dyDescent="0.2">
      <c r="AQ27830" s="31"/>
    </row>
    <row r="27831" spans="43:43" x14ac:dyDescent="0.2">
      <c r="AQ27831" s="31"/>
    </row>
    <row r="27832" spans="43:43" x14ac:dyDescent="0.2">
      <c r="AQ27832" s="31"/>
    </row>
    <row r="27833" spans="43:43" x14ac:dyDescent="0.2">
      <c r="AQ27833" s="31"/>
    </row>
    <row r="27834" spans="43:43" x14ac:dyDescent="0.2">
      <c r="AQ27834" s="31"/>
    </row>
    <row r="27835" spans="43:43" x14ac:dyDescent="0.2">
      <c r="AQ27835" s="31"/>
    </row>
    <row r="27836" spans="43:43" x14ac:dyDescent="0.2">
      <c r="AQ27836" s="31"/>
    </row>
    <row r="27837" spans="43:43" x14ac:dyDescent="0.2">
      <c r="AQ27837" s="31"/>
    </row>
    <row r="27838" spans="43:43" x14ac:dyDescent="0.2">
      <c r="AQ27838" s="31"/>
    </row>
    <row r="27839" spans="43:43" x14ac:dyDescent="0.2">
      <c r="AQ27839" s="31"/>
    </row>
    <row r="27840" spans="43:43" x14ac:dyDescent="0.2">
      <c r="AQ27840" s="31"/>
    </row>
    <row r="27841" spans="43:43" x14ac:dyDescent="0.2">
      <c r="AQ27841" s="31"/>
    </row>
    <row r="27842" spans="43:43" x14ac:dyDescent="0.2">
      <c r="AQ27842" s="31"/>
    </row>
    <row r="27843" spans="43:43" x14ac:dyDescent="0.2">
      <c r="AQ27843" s="31"/>
    </row>
    <row r="27844" spans="43:43" x14ac:dyDescent="0.2">
      <c r="AQ27844" s="31"/>
    </row>
    <row r="27845" spans="43:43" x14ac:dyDescent="0.2">
      <c r="AQ27845" s="31"/>
    </row>
    <row r="27846" spans="43:43" x14ac:dyDescent="0.2">
      <c r="AQ27846" s="31"/>
    </row>
    <row r="27847" spans="43:43" x14ac:dyDescent="0.2">
      <c r="AQ27847" s="31"/>
    </row>
    <row r="27848" spans="43:43" x14ac:dyDescent="0.2">
      <c r="AQ27848" s="31"/>
    </row>
    <row r="27849" spans="43:43" x14ac:dyDescent="0.2">
      <c r="AQ27849" s="31"/>
    </row>
    <row r="27850" spans="43:43" x14ac:dyDescent="0.2">
      <c r="AQ27850" s="31"/>
    </row>
    <row r="27851" spans="43:43" x14ac:dyDescent="0.2">
      <c r="AQ27851" s="31"/>
    </row>
    <row r="27852" spans="43:43" x14ac:dyDescent="0.2">
      <c r="AQ27852" s="31"/>
    </row>
    <row r="27853" spans="43:43" x14ac:dyDescent="0.2">
      <c r="AQ27853" s="31"/>
    </row>
    <row r="27854" spans="43:43" x14ac:dyDescent="0.2">
      <c r="AQ27854" s="31"/>
    </row>
    <row r="27855" spans="43:43" x14ac:dyDescent="0.2">
      <c r="AQ27855" s="31"/>
    </row>
    <row r="27856" spans="43:43" x14ac:dyDescent="0.2">
      <c r="AQ27856" s="31"/>
    </row>
    <row r="27857" spans="43:43" x14ac:dyDescent="0.2">
      <c r="AQ27857" s="31"/>
    </row>
    <row r="27858" spans="43:43" x14ac:dyDescent="0.2">
      <c r="AQ27858" s="31"/>
    </row>
    <row r="27859" spans="43:43" x14ac:dyDescent="0.2">
      <c r="AQ27859" s="31"/>
    </row>
    <row r="27860" spans="43:43" x14ac:dyDescent="0.2">
      <c r="AQ27860" s="31"/>
    </row>
    <row r="27861" spans="43:43" x14ac:dyDescent="0.2">
      <c r="AQ27861" s="31"/>
    </row>
    <row r="27862" spans="43:43" x14ac:dyDescent="0.2">
      <c r="AQ27862" s="31"/>
    </row>
    <row r="27863" spans="43:43" x14ac:dyDescent="0.2">
      <c r="AQ27863" s="31"/>
    </row>
    <row r="27864" spans="43:43" x14ac:dyDescent="0.2">
      <c r="AQ27864" s="31"/>
    </row>
    <row r="27865" spans="43:43" x14ac:dyDescent="0.2">
      <c r="AQ27865" s="31"/>
    </row>
    <row r="27866" spans="43:43" x14ac:dyDescent="0.2">
      <c r="AQ27866" s="31"/>
    </row>
    <row r="27867" spans="43:43" x14ac:dyDescent="0.2">
      <c r="AQ27867" s="31"/>
    </row>
    <row r="27868" spans="43:43" x14ac:dyDescent="0.2">
      <c r="AQ27868" s="31"/>
    </row>
    <row r="27869" spans="43:43" x14ac:dyDescent="0.2">
      <c r="AQ27869" s="31"/>
    </row>
    <row r="27870" spans="43:43" x14ac:dyDescent="0.2">
      <c r="AQ27870" s="31"/>
    </row>
    <row r="27871" spans="43:43" x14ac:dyDescent="0.2">
      <c r="AQ27871" s="31"/>
    </row>
    <row r="27872" spans="43:43" x14ac:dyDescent="0.2">
      <c r="AQ27872" s="31"/>
    </row>
    <row r="27873" spans="43:43" x14ac:dyDescent="0.2">
      <c r="AQ27873" s="31"/>
    </row>
    <row r="27874" spans="43:43" x14ac:dyDescent="0.2">
      <c r="AQ27874" s="31"/>
    </row>
    <row r="27875" spans="43:43" x14ac:dyDescent="0.2">
      <c r="AQ27875" s="31"/>
    </row>
    <row r="27876" spans="43:43" x14ac:dyDescent="0.2">
      <c r="AQ27876" s="31"/>
    </row>
    <row r="27877" spans="43:43" x14ac:dyDescent="0.2">
      <c r="AQ27877" s="31"/>
    </row>
    <row r="27878" spans="43:43" x14ac:dyDescent="0.2">
      <c r="AQ27878" s="31"/>
    </row>
    <row r="27879" spans="43:43" x14ac:dyDescent="0.2">
      <c r="AQ27879" s="31"/>
    </row>
    <row r="27880" spans="43:43" x14ac:dyDescent="0.2">
      <c r="AQ27880" s="31"/>
    </row>
    <row r="27881" spans="43:43" x14ac:dyDescent="0.2">
      <c r="AQ27881" s="31"/>
    </row>
    <row r="27882" spans="43:43" x14ac:dyDescent="0.2">
      <c r="AQ27882" s="31"/>
    </row>
    <row r="27883" spans="43:43" x14ac:dyDescent="0.2">
      <c r="AQ27883" s="31"/>
    </row>
    <row r="27884" spans="43:43" x14ac:dyDescent="0.2">
      <c r="AQ27884" s="31"/>
    </row>
    <row r="27885" spans="43:43" x14ac:dyDescent="0.2">
      <c r="AQ27885" s="31"/>
    </row>
    <row r="27886" spans="43:43" x14ac:dyDescent="0.2">
      <c r="AQ27886" s="31"/>
    </row>
    <row r="27887" spans="43:43" x14ac:dyDescent="0.2">
      <c r="AQ27887" s="31"/>
    </row>
    <row r="27888" spans="43:43" x14ac:dyDescent="0.2">
      <c r="AQ27888" s="31"/>
    </row>
    <row r="27889" spans="43:43" x14ac:dyDescent="0.2">
      <c r="AQ27889" s="31"/>
    </row>
    <row r="27890" spans="43:43" x14ac:dyDescent="0.2">
      <c r="AQ27890" s="31"/>
    </row>
    <row r="27891" spans="43:43" x14ac:dyDescent="0.2">
      <c r="AQ27891" s="31"/>
    </row>
    <row r="27892" spans="43:43" x14ac:dyDescent="0.2">
      <c r="AQ27892" s="31"/>
    </row>
    <row r="27893" spans="43:43" x14ac:dyDescent="0.2">
      <c r="AQ27893" s="31"/>
    </row>
    <row r="27894" spans="43:43" x14ac:dyDescent="0.2">
      <c r="AQ27894" s="31"/>
    </row>
    <row r="27895" spans="43:43" x14ac:dyDescent="0.2">
      <c r="AQ27895" s="31"/>
    </row>
    <row r="27896" spans="43:43" x14ac:dyDescent="0.2">
      <c r="AQ27896" s="31"/>
    </row>
    <row r="27897" spans="43:43" x14ac:dyDescent="0.2">
      <c r="AQ27897" s="31"/>
    </row>
    <row r="27898" spans="43:43" x14ac:dyDescent="0.2">
      <c r="AQ27898" s="31"/>
    </row>
    <row r="27899" spans="43:43" x14ac:dyDescent="0.2">
      <c r="AQ27899" s="31"/>
    </row>
    <row r="27900" spans="43:43" x14ac:dyDescent="0.2">
      <c r="AQ27900" s="31"/>
    </row>
    <row r="27901" spans="43:43" x14ac:dyDescent="0.2">
      <c r="AQ27901" s="31"/>
    </row>
    <row r="27902" spans="43:43" x14ac:dyDescent="0.2">
      <c r="AQ27902" s="31"/>
    </row>
    <row r="27903" spans="43:43" x14ac:dyDescent="0.2">
      <c r="AQ27903" s="31"/>
    </row>
    <row r="27904" spans="43:43" x14ac:dyDescent="0.2">
      <c r="AQ27904" s="31"/>
    </row>
    <row r="27905" spans="43:43" x14ac:dyDescent="0.2">
      <c r="AQ27905" s="31"/>
    </row>
    <row r="27906" spans="43:43" x14ac:dyDescent="0.2">
      <c r="AQ27906" s="31"/>
    </row>
    <row r="27907" spans="43:43" x14ac:dyDescent="0.2">
      <c r="AQ27907" s="31"/>
    </row>
    <row r="27908" spans="43:43" x14ac:dyDescent="0.2">
      <c r="AQ27908" s="31"/>
    </row>
    <row r="27909" spans="43:43" x14ac:dyDescent="0.2">
      <c r="AQ27909" s="31"/>
    </row>
    <row r="27910" spans="43:43" x14ac:dyDescent="0.2">
      <c r="AQ27910" s="31"/>
    </row>
    <row r="27911" spans="43:43" x14ac:dyDescent="0.2">
      <c r="AQ27911" s="31"/>
    </row>
    <row r="27912" spans="43:43" x14ac:dyDescent="0.2">
      <c r="AQ27912" s="31"/>
    </row>
    <row r="27913" spans="43:43" x14ac:dyDescent="0.2">
      <c r="AQ27913" s="31"/>
    </row>
    <row r="27914" spans="43:43" x14ac:dyDescent="0.2">
      <c r="AQ27914" s="31"/>
    </row>
    <row r="27915" spans="43:43" x14ac:dyDescent="0.2">
      <c r="AQ27915" s="31"/>
    </row>
    <row r="27916" spans="43:43" x14ac:dyDescent="0.2">
      <c r="AQ27916" s="31"/>
    </row>
    <row r="27917" spans="43:43" x14ac:dyDescent="0.2">
      <c r="AQ27917" s="31"/>
    </row>
    <row r="27918" spans="43:43" x14ac:dyDescent="0.2">
      <c r="AQ27918" s="31"/>
    </row>
    <row r="27919" spans="43:43" x14ac:dyDescent="0.2">
      <c r="AQ27919" s="31"/>
    </row>
    <row r="27920" spans="43:43" x14ac:dyDescent="0.2">
      <c r="AQ27920" s="31"/>
    </row>
    <row r="27921" spans="43:43" x14ac:dyDescent="0.2">
      <c r="AQ27921" s="31"/>
    </row>
    <row r="27922" spans="43:43" x14ac:dyDescent="0.2">
      <c r="AQ27922" s="31"/>
    </row>
    <row r="27923" spans="43:43" x14ac:dyDescent="0.2">
      <c r="AQ27923" s="31"/>
    </row>
    <row r="27924" spans="43:43" x14ac:dyDescent="0.2">
      <c r="AQ27924" s="31"/>
    </row>
    <row r="27925" spans="43:43" x14ac:dyDescent="0.2">
      <c r="AQ27925" s="31"/>
    </row>
    <row r="27926" spans="43:43" x14ac:dyDescent="0.2">
      <c r="AQ27926" s="31"/>
    </row>
    <row r="27927" spans="43:43" x14ac:dyDescent="0.2">
      <c r="AQ27927" s="31"/>
    </row>
    <row r="27928" spans="43:43" x14ac:dyDescent="0.2">
      <c r="AQ27928" s="31"/>
    </row>
    <row r="27929" spans="43:43" x14ac:dyDescent="0.2">
      <c r="AQ27929" s="31"/>
    </row>
    <row r="27930" spans="43:43" x14ac:dyDescent="0.2">
      <c r="AQ27930" s="31"/>
    </row>
    <row r="27931" spans="43:43" x14ac:dyDescent="0.2">
      <c r="AQ27931" s="31"/>
    </row>
    <row r="27932" spans="43:43" x14ac:dyDescent="0.2">
      <c r="AQ27932" s="31"/>
    </row>
    <row r="27933" spans="43:43" x14ac:dyDescent="0.2">
      <c r="AQ27933" s="31"/>
    </row>
    <row r="27934" spans="43:43" x14ac:dyDescent="0.2">
      <c r="AQ27934" s="31"/>
    </row>
    <row r="27935" spans="43:43" x14ac:dyDescent="0.2">
      <c r="AQ27935" s="31"/>
    </row>
    <row r="27936" spans="43:43" x14ac:dyDescent="0.2">
      <c r="AQ27936" s="31"/>
    </row>
    <row r="27937" spans="43:43" x14ac:dyDescent="0.2">
      <c r="AQ27937" s="31"/>
    </row>
    <row r="27938" spans="43:43" x14ac:dyDescent="0.2">
      <c r="AQ27938" s="31"/>
    </row>
    <row r="27939" spans="43:43" x14ac:dyDescent="0.2">
      <c r="AQ27939" s="31"/>
    </row>
    <row r="27940" spans="43:43" x14ac:dyDescent="0.2">
      <c r="AQ27940" s="31"/>
    </row>
    <row r="27941" spans="43:43" x14ac:dyDescent="0.2">
      <c r="AQ27941" s="31"/>
    </row>
    <row r="27942" spans="43:43" x14ac:dyDescent="0.2">
      <c r="AQ27942" s="31"/>
    </row>
    <row r="27943" spans="43:43" x14ac:dyDescent="0.2">
      <c r="AQ27943" s="31"/>
    </row>
    <row r="27944" spans="43:43" x14ac:dyDescent="0.2">
      <c r="AQ27944" s="31"/>
    </row>
    <row r="27945" spans="43:43" x14ac:dyDescent="0.2">
      <c r="AQ27945" s="31"/>
    </row>
    <row r="27946" spans="43:43" x14ac:dyDescent="0.2">
      <c r="AQ27946" s="31"/>
    </row>
    <row r="27947" spans="43:43" x14ac:dyDescent="0.2">
      <c r="AQ27947" s="31"/>
    </row>
    <row r="27948" spans="43:43" x14ac:dyDescent="0.2">
      <c r="AQ27948" s="31"/>
    </row>
    <row r="27949" spans="43:43" x14ac:dyDescent="0.2">
      <c r="AQ27949" s="31"/>
    </row>
    <row r="27950" spans="43:43" x14ac:dyDescent="0.2">
      <c r="AQ27950" s="31"/>
    </row>
    <row r="27951" spans="43:43" x14ac:dyDescent="0.2">
      <c r="AQ27951" s="31"/>
    </row>
    <row r="27952" spans="43:43" x14ac:dyDescent="0.2">
      <c r="AQ27952" s="31"/>
    </row>
    <row r="27953" spans="43:43" x14ac:dyDescent="0.2">
      <c r="AQ27953" s="31"/>
    </row>
    <row r="27954" spans="43:43" x14ac:dyDescent="0.2">
      <c r="AQ27954" s="31"/>
    </row>
    <row r="27955" spans="43:43" x14ac:dyDescent="0.2">
      <c r="AQ27955" s="31"/>
    </row>
    <row r="27956" spans="43:43" x14ac:dyDescent="0.2">
      <c r="AQ27956" s="31"/>
    </row>
    <row r="27957" spans="43:43" x14ac:dyDescent="0.2">
      <c r="AQ27957" s="31"/>
    </row>
    <row r="27958" spans="43:43" x14ac:dyDescent="0.2">
      <c r="AQ27958" s="31"/>
    </row>
    <row r="27959" spans="43:43" x14ac:dyDescent="0.2">
      <c r="AQ27959" s="31"/>
    </row>
    <row r="27960" spans="43:43" x14ac:dyDescent="0.2">
      <c r="AQ27960" s="31"/>
    </row>
    <row r="27961" spans="43:43" x14ac:dyDescent="0.2">
      <c r="AQ27961" s="31"/>
    </row>
    <row r="27962" spans="43:43" x14ac:dyDescent="0.2">
      <c r="AQ27962" s="31"/>
    </row>
    <row r="27963" spans="43:43" x14ac:dyDescent="0.2">
      <c r="AQ27963" s="31"/>
    </row>
    <row r="27964" spans="43:43" x14ac:dyDescent="0.2">
      <c r="AQ27964" s="31"/>
    </row>
    <row r="27965" spans="43:43" x14ac:dyDescent="0.2">
      <c r="AQ27965" s="31"/>
    </row>
    <row r="27966" spans="43:43" x14ac:dyDescent="0.2">
      <c r="AQ27966" s="31"/>
    </row>
    <row r="27967" spans="43:43" x14ac:dyDescent="0.2">
      <c r="AQ27967" s="31"/>
    </row>
    <row r="27968" spans="43:43" x14ac:dyDescent="0.2">
      <c r="AQ27968" s="31"/>
    </row>
    <row r="27969" spans="43:43" x14ac:dyDescent="0.2">
      <c r="AQ27969" s="31"/>
    </row>
    <row r="27970" spans="43:43" x14ac:dyDescent="0.2">
      <c r="AQ27970" s="31"/>
    </row>
    <row r="27971" spans="43:43" x14ac:dyDescent="0.2">
      <c r="AQ27971" s="31"/>
    </row>
    <row r="27972" spans="43:43" x14ac:dyDescent="0.2">
      <c r="AQ27972" s="31"/>
    </row>
    <row r="27973" spans="43:43" x14ac:dyDescent="0.2">
      <c r="AQ27973" s="31"/>
    </row>
    <row r="27974" spans="43:43" x14ac:dyDescent="0.2">
      <c r="AQ27974" s="31"/>
    </row>
    <row r="27975" spans="43:43" x14ac:dyDescent="0.2">
      <c r="AQ27975" s="31"/>
    </row>
    <row r="27976" spans="43:43" x14ac:dyDescent="0.2">
      <c r="AQ27976" s="31"/>
    </row>
    <row r="27977" spans="43:43" x14ac:dyDescent="0.2">
      <c r="AQ27977" s="31"/>
    </row>
    <row r="27978" spans="43:43" x14ac:dyDescent="0.2">
      <c r="AQ27978" s="31"/>
    </row>
    <row r="27979" spans="43:43" x14ac:dyDescent="0.2">
      <c r="AQ27979" s="31"/>
    </row>
    <row r="27980" spans="43:43" x14ac:dyDescent="0.2">
      <c r="AQ27980" s="31"/>
    </row>
    <row r="27981" spans="43:43" x14ac:dyDescent="0.2">
      <c r="AQ27981" s="31"/>
    </row>
    <row r="27982" spans="43:43" x14ac:dyDescent="0.2">
      <c r="AQ27982" s="31"/>
    </row>
    <row r="27983" spans="43:43" x14ac:dyDescent="0.2">
      <c r="AQ27983" s="31"/>
    </row>
    <row r="27984" spans="43:43" x14ac:dyDescent="0.2">
      <c r="AQ27984" s="31"/>
    </row>
    <row r="27985" spans="43:43" x14ac:dyDescent="0.2">
      <c r="AQ27985" s="31"/>
    </row>
    <row r="27986" spans="43:43" x14ac:dyDescent="0.2">
      <c r="AQ27986" s="31"/>
    </row>
    <row r="27987" spans="43:43" x14ac:dyDescent="0.2">
      <c r="AQ27987" s="31"/>
    </row>
    <row r="27988" spans="43:43" x14ac:dyDescent="0.2">
      <c r="AQ27988" s="31"/>
    </row>
    <row r="27989" spans="43:43" x14ac:dyDescent="0.2">
      <c r="AQ27989" s="31"/>
    </row>
    <row r="27990" spans="43:43" x14ac:dyDescent="0.2">
      <c r="AQ27990" s="31"/>
    </row>
    <row r="27991" spans="43:43" x14ac:dyDescent="0.2">
      <c r="AQ27991" s="31"/>
    </row>
    <row r="27992" spans="43:43" x14ac:dyDescent="0.2">
      <c r="AQ27992" s="31"/>
    </row>
    <row r="27993" spans="43:43" x14ac:dyDescent="0.2">
      <c r="AQ27993" s="31"/>
    </row>
    <row r="27994" spans="43:43" x14ac:dyDescent="0.2">
      <c r="AQ27994" s="31"/>
    </row>
    <row r="27995" spans="43:43" x14ac:dyDescent="0.2">
      <c r="AQ27995" s="31"/>
    </row>
    <row r="27996" spans="43:43" x14ac:dyDescent="0.2">
      <c r="AQ27996" s="31"/>
    </row>
    <row r="27997" spans="43:43" x14ac:dyDescent="0.2">
      <c r="AQ27997" s="31"/>
    </row>
    <row r="27998" spans="43:43" x14ac:dyDescent="0.2">
      <c r="AQ27998" s="31"/>
    </row>
    <row r="27999" spans="43:43" x14ac:dyDescent="0.2">
      <c r="AQ27999" s="31"/>
    </row>
    <row r="28000" spans="43:43" x14ac:dyDescent="0.2">
      <c r="AQ28000" s="31"/>
    </row>
    <row r="28001" spans="43:43" x14ac:dyDescent="0.2">
      <c r="AQ28001" s="31"/>
    </row>
    <row r="28002" spans="43:43" x14ac:dyDescent="0.2">
      <c r="AQ28002" s="31"/>
    </row>
    <row r="28003" spans="43:43" x14ac:dyDescent="0.2">
      <c r="AQ28003" s="31"/>
    </row>
    <row r="28004" spans="43:43" x14ac:dyDescent="0.2">
      <c r="AQ28004" s="31"/>
    </row>
    <row r="28005" spans="43:43" x14ac:dyDescent="0.2">
      <c r="AQ28005" s="31"/>
    </row>
    <row r="28006" spans="43:43" x14ac:dyDescent="0.2">
      <c r="AQ28006" s="31"/>
    </row>
    <row r="28007" spans="43:43" x14ac:dyDescent="0.2">
      <c r="AQ28007" s="31"/>
    </row>
    <row r="28008" spans="43:43" x14ac:dyDescent="0.2">
      <c r="AQ28008" s="31"/>
    </row>
    <row r="28009" spans="43:43" x14ac:dyDescent="0.2">
      <c r="AQ28009" s="31"/>
    </row>
    <row r="28010" spans="43:43" x14ac:dyDescent="0.2">
      <c r="AQ28010" s="31"/>
    </row>
    <row r="28011" spans="43:43" x14ac:dyDescent="0.2">
      <c r="AQ28011" s="31"/>
    </row>
    <row r="28012" spans="43:43" x14ac:dyDescent="0.2">
      <c r="AQ28012" s="31"/>
    </row>
    <row r="28013" spans="43:43" x14ac:dyDescent="0.2">
      <c r="AQ28013" s="31"/>
    </row>
    <row r="28014" spans="43:43" x14ac:dyDescent="0.2">
      <c r="AQ28014" s="31"/>
    </row>
    <row r="28015" spans="43:43" x14ac:dyDescent="0.2">
      <c r="AQ28015" s="31"/>
    </row>
    <row r="28016" spans="43:43" x14ac:dyDescent="0.2">
      <c r="AQ28016" s="31"/>
    </row>
    <row r="28017" spans="43:43" x14ac:dyDescent="0.2">
      <c r="AQ28017" s="31"/>
    </row>
    <row r="28018" spans="43:43" x14ac:dyDescent="0.2">
      <c r="AQ28018" s="31"/>
    </row>
    <row r="28019" spans="43:43" x14ac:dyDescent="0.2">
      <c r="AQ28019" s="31"/>
    </row>
    <row r="28020" spans="43:43" x14ac:dyDescent="0.2">
      <c r="AQ28020" s="31"/>
    </row>
    <row r="28021" spans="43:43" x14ac:dyDescent="0.2">
      <c r="AQ28021" s="31"/>
    </row>
    <row r="28022" spans="43:43" x14ac:dyDescent="0.2">
      <c r="AQ28022" s="31"/>
    </row>
    <row r="28023" spans="43:43" x14ac:dyDescent="0.2">
      <c r="AQ28023" s="31"/>
    </row>
    <row r="28024" spans="43:43" x14ac:dyDescent="0.2">
      <c r="AQ28024" s="31"/>
    </row>
    <row r="28025" spans="43:43" x14ac:dyDescent="0.2">
      <c r="AQ28025" s="31"/>
    </row>
    <row r="28026" spans="43:43" x14ac:dyDescent="0.2">
      <c r="AQ28026" s="31"/>
    </row>
    <row r="28027" spans="43:43" x14ac:dyDescent="0.2">
      <c r="AQ28027" s="31"/>
    </row>
    <row r="28028" spans="43:43" x14ac:dyDescent="0.2">
      <c r="AQ28028" s="31"/>
    </row>
    <row r="28029" spans="43:43" x14ac:dyDescent="0.2">
      <c r="AQ28029" s="31"/>
    </row>
    <row r="28030" spans="43:43" x14ac:dyDescent="0.2">
      <c r="AQ28030" s="31"/>
    </row>
    <row r="28031" spans="43:43" x14ac:dyDescent="0.2">
      <c r="AQ28031" s="31"/>
    </row>
    <row r="28032" spans="43:43" x14ac:dyDescent="0.2">
      <c r="AQ28032" s="31"/>
    </row>
    <row r="28033" spans="43:43" x14ac:dyDescent="0.2">
      <c r="AQ28033" s="31"/>
    </row>
    <row r="28034" spans="43:43" x14ac:dyDescent="0.2">
      <c r="AQ28034" s="31"/>
    </row>
    <row r="28035" spans="43:43" x14ac:dyDescent="0.2">
      <c r="AQ28035" s="31"/>
    </row>
    <row r="28036" spans="43:43" x14ac:dyDescent="0.2">
      <c r="AQ28036" s="31"/>
    </row>
    <row r="28037" spans="43:43" x14ac:dyDescent="0.2">
      <c r="AQ28037" s="31"/>
    </row>
    <row r="28038" spans="43:43" x14ac:dyDescent="0.2">
      <c r="AQ28038" s="31"/>
    </row>
    <row r="28039" spans="43:43" x14ac:dyDescent="0.2">
      <c r="AQ28039" s="31"/>
    </row>
    <row r="28040" spans="43:43" x14ac:dyDescent="0.2">
      <c r="AQ28040" s="31"/>
    </row>
    <row r="28041" spans="43:43" x14ac:dyDescent="0.2">
      <c r="AQ28041" s="31"/>
    </row>
    <row r="28042" spans="43:43" x14ac:dyDescent="0.2">
      <c r="AQ28042" s="31"/>
    </row>
    <row r="28043" spans="43:43" x14ac:dyDescent="0.2">
      <c r="AQ28043" s="31"/>
    </row>
    <row r="28044" spans="43:43" x14ac:dyDescent="0.2">
      <c r="AQ28044" s="31"/>
    </row>
    <row r="28045" spans="43:43" x14ac:dyDescent="0.2">
      <c r="AQ28045" s="31"/>
    </row>
    <row r="28046" spans="43:43" x14ac:dyDescent="0.2">
      <c r="AQ28046" s="31"/>
    </row>
    <row r="28047" spans="43:43" x14ac:dyDescent="0.2">
      <c r="AQ28047" s="31"/>
    </row>
    <row r="28048" spans="43:43" x14ac:dyDescent="0.2">
      <c r="AQ28048" s="31"/>
    </row>
    <row r="28049" spans="43:43" x14ac:dyDescent="0.2">
      <c r="AQ28049" s="31"/>
    </row>
    <row r="28050" spans="43:43" x14ac:dyDescent="0.2">
      <c r="AQ28050" s="31"/>
    </row>
    <row r="28051" spans="43:43" x14ac:dyDescent="0.2">
      <c r="AQ28051" s="31"/>
    </row>
    <row r="28052" spans="43:43" x14ac:dyDescent="0.2">
      <c r="AQ28052" s="31"/>
    </row>
    <row r="28053" spans="43:43" x14ac:dyDescent="0.2">
      <c r="AQ28053" s="31"/>
    </row>
    <row r="28054" spans="43:43" x14ac:dyDescent="0.2">
      <c r="AQ28054" s="31"/>
    </row>
    <row r="28055" spans="43:43" x14ac:dyDescent="0.2">
      <c r="AQ28055" s="31"/>
    </row>
    <row r="28056" spans="43:43" x14ac:dyDescent="0.2">
      <c r="AQ28056" s="31"/>
    </row>
    <row r="28057" spans="43:43" x14ac:dyDescent="0.2">
      <c r="AQ28057" s="31"/>
    </row>
    <row r="28058" spans="43:43" x14ac:dyDescent="0.2">
      <c r="AQ28058" s="31"/>
    </row>
    <row r="28059" spans="43:43" x14ac:dyDescent="0.2">
      <c r="AQ28059" s="31"/>
    </row>
    <row r="28060" spans="43:43" x14ac:dyDescent="0.2">
      <c r="AQ28060" s="31"/>
    </row>
    <row r="28061" spans="43:43" x14ac:dyDescent="0.2">
      <c r="AQ28061" s="31"/>
    </row>
    <row r="28062" spans="43:43" x14ac:dyDescent="0.2">
      <c r="AQ28062" s="31"/>
    </row>
    <row r="28063" spans="43:43" x14ac:dyDescent="0.2">
      <c r="AQ28063" s="31"/>
    </row>
    <row r="28064" spans="43:43" x14ac:dyDescent="0.2">
      <c r="AQ28064" s="31"/>
    </row>
    <row r="28065" spans="43:43" x14ac:dyDescent="0.2">
      <c r="AQ28065" s="31"/>
    </row>
    <row r="28066" spans="43:43" x14ac:dyDescent="0.2">
      <c r="AQ28066" s="31"/>
    </row>
    <row r="28067" spans="43:43" x14ac:dyDescent="0.2">
      <c r="AQ28067" s="31"/>
    </row>
    <row r="28068" spans="43:43" x14ac:dyDescent="0.2">
      <c r="AQ28068" s="31"/>
    </row>
    <row r="28069" spans="43:43" x14ac:dyDescent="0.2">
      <c r="AQ28069" s="31"/>
    </row>
    <row r="28070" spans="43:43" x14ac:dyDescent="0.2">
      <c r="AQ28070" s="31"/>
    </row>
    <row r="28071" spans="43:43" x14ac:dyDescent="0.2">
      <c r="AQ28071" s="31"/>
    </row>
    <row r="28072" spans="43:43" x14ac:dyDescent="0.2">
      <c r="AQ28072" s="31"/>
    </row>
    <row r="28073" spans="43:43" x14ac:dyDescent="0.2">
      <c r="AQ28073" s="31"/>
    </row>
    <row r="28074" spans="43:43" x14ac:dyDescent="0.2">
      <c r="AQ28074" s="31"/>
    </row>
    <row r="28075" spans="43:43" x14ac:dyDescent="0.2">
      <c r="AQ28075" s="31"/>
    </row>
    <row r="28076" spans="43:43" x14ac:dyDescent="0.2">
      <c r="AQ28076" s="31"/>
    </row>
    <row r="28077" spans="43:43" x14ac:dyDescent="0.2">
      <c r="AQ28077" s="31"/>
    </row>
    <row r="28078" spans="43:43" x14ac:dyDescent="0.2">
      <c r="AQ28078" s="31"/>
    </row>
    <row r="28079" spans="43:43" x14ac:dyDescent="0.2">
      <c r="AQ28079" s="31"/>
    </row>
    <row r="28080" spans="43:43" x14ac:dyDescent="0.2">
      <c r="AQ28080" s="31"/>
    </row>
    <row r="28081" spans="43:43" x14ac:dyDescent="0.2">
      <c r="AQ28081" s="31"/>
    </row>
    <row r="28082" spans="43:43" x14ac:dyDescent="0.2">
      <c r="AQ28082" s="31"/>
    </row>
    <row r="28083" spans="43:43" x14ac:dyDescent="0.2">
      <c r="AQ28083" s="31"/>
    </row>
    <row r="28084" spans="43:43" x14ac:dyDescent="0.2">
      <c r="AQ28084" s="31"/>
    </row>
    <row r="28085" spans="43:43" x14ac:dyDescent="0.2">
      <c r="AQ28085" s="31"/>
    </row>
    <row r="28086" spans="43:43" x14ac:dyDescent="0.2">
      <c r="AQ28086" s="31"/>
    </row>
    <row r="28087" spans="43:43" x14ac:dyDescent="0.2">
      <c r="AQ28087" s="31"/>
    </row>
    <row r="28088" spans="43:43" x14ac:dyDescent="0.2">
      <c r="AQ28088" s="31"/>
    </row>
    <row r="28089" spans="43:43" x14ac:dyDescent="0.2">
      <c r="AQ28089" s="31"/>
    </row>
    <row r="28090" spans="43:43" x14ac:dyDescent="0.2">
      <c r="AQ28090" s="31"/>
    </row>
    <row r="28091" spans="43:43" x14ac:dyDescent="0.2">
      <c r="AQ28091" s="31"/>
    </row>
    <row r="28092" spans="43:43" x14ac:dyDescent="0.2">
      <c r="AQ28092" s="31"/>
    </row>
    <row r="28093" spans="43:43" x14ac:dyDescent="0.2">
      <c r="AQ28093" s="31"/>
    </row>
    <row r="28094" spans="43:43" x14ac:dyDescent="0.2">
      <c r="AQ28094" s="31"/>
    </row>
    <row r="28095" spans="43:43" x14ac:dyDescent="0.2">
      <c r="AQ28095" s="31"/>
    </row>
    <row r="28096" spans="43:43" x14ac:dyDescent="0.2">
      <c r="AQ28096" s="31"/>
    </row>
    <row r="28097" spans="43:43" x14ac:dyDescent="0.2">
      <c r="AQ28097" s="31"/>
    </row>
    <row r="28098" spans="43:43" x14ac:dyDescent="0.2">
      <c r="AQ28098" s="31"/>
    </row>
    <row r="28099" spans="43:43" x14ac:dyDescent="0.2">
      <c r="AQ28099" s="31"/>
    </row>
    <row r="28100" spans="43:43" x14ac:dyDescent="0.2">
      <c r="AQ28100" s="31"/>
    </row>
    <row r="28101" spans="43:43" x14ac:dyDescent="0.2">
      <c r="AQ28101" s="31"/>
    </row>
    <row r="28102" spans="43:43" x14ac:dyDescent="0.2">
      <c r="AQ28102" s="31"/>
    </row>
    <row r="28103" spans="43:43" x14ac:dyDescent="0.2">
      <c r="AQ28103" s="31"/>
    </row>
    <row r="28104" spans="43:43" x14ac:dyDescent="0.2">
      <c r="AQ28104" s="31"/>
    </row>
    <row r="28105" spans="43:43" x14ac:dyDescent="0.2">
      <c r="AQ28105" s="31"/>
    </row>
    <row r="28106" spans="43:43" x14ac:dyDescent="0.2">
      <c r="AQ28106" s="31"/>
    </row>
    <row r="28107" spans="43:43" x14ac:dyDescent="0.2">
      <c r="AQ28107" s="31"/>
    </row>
    <row r="28108" spans="43:43" x14ac:dyDescent="0.2">
      <c r="AQ28108" s="31"/>
    </row>
    <row r="28109" spans="43:43" x14ac:dyDescent="0.2">
      <c r="AQ28109" s="31"/>
    </row>
    <row r="28110" spans="43:43" x14ac:dyDescent="0.2">
      <c r="AQ28110" s="31"/>
    </row>
    <row r="28111" spans="43:43" x14ac:dyDescent="0.2">
      <c r="AQ28111" s="31"/>
    </row>
    <row r="28112" spans="43:43" x14ac:dyDescent="0.2">
      <c r="AQ28112" s="31"/>
    </row>
    <row r="28113" spans="43:43" x14ac:dyDescent="0.2">
      <c r="AQ28113" s="31"/>
    </row>
    <row r="28114" spans="43:43" x14ac:dyDescent="0.2">
      <c r="AQ28114" s="31"/>
    </row>
    <row r="28115" spans="43:43" x14ac:dyDescent="0.2">
      <c r="AQ28115" s="31"/>
    </row>
    <row r="28116" spans="43:43" x14ac:dyDescent="0.2">
      <c r="AQ28116" s="31"/>
    </row>
    <row r="28117" spans="43:43" x14ac:dyDescent="0.2">
      <c r="AQ28117" s="31"/>
    </row>
    <row r="28118" spans="43:43" x14ac:dyDescent="0.2">
      <c r="AQ28118" s="31"/>
    </row>
    <row r="28119" spans="43:43" x14ac:dyDescent="0.2">
      <c r="AQ28119" s="31"/>
    </row>
    <row r="28120" spans="43:43" x14ac:dyDescent="0.2">
      <c r="AQ28120" s="31"/>
    </row>
    <row r="28121" spans="43:43" x14ac:dyDescent="0.2">
      <c r="AQ28121" s="31"/>
    </row>
    <row r="28122" spans="43:43" x14ac:dyDescent="0.2">
      <c r="AQ28122" s="31"/>
    </row>
    <row r="28123" spans="43:43" x14ac:dyDescent="0.2">
      <c r="AQ28123" s="31"/>
    </row>
    <row r="28124" spans="43:43" x14ac:dyDescent="0.2">
      <c r="AQ28124" s="31"/>
    </row>
    <row r="28125" spans="43:43" x14ac:dyDescent="0.2">
      <c r="AQ28125" s="31"/>
    </row>
    <row r="28126" spans="43:43" x14ac:dyDescent="0.2">
      <c r="AQ28126" s="31"/>
    </row>
    <row r="28127" spans="43:43" x14ac:dyDescent="0.2">
      <c r="AQ28127" s="31"/>
    </row>
    <row r="28128" spans="43:43" x14ac:dyDescent="0.2">
      <c r="AQ28128" s="31"/>
    </row>
    <row r="28129" spans="43:43" x14ac:dyDescent="0.2">
      <c r="AQ28129" s="31"/>
    </row>
    <row r="28130" spans="43:43" x14ac:dyDescent="0.2">
      <c r="AQ28130" s="31"/>
    </row>
    <row r="28131" spans="43:43" x14ac:dyDescent="0.2">
      <c r="AQ28131" s="31"/>
    </row>
    <row r="28132" spans="43:43" x14ac:dyDescent="0.2">
      <c r="AQ28132" s="31"/>
    </row>
    <row r="28133" spans="43:43" x14ac:dyDescent="0.2">
      <c r="AQ28133" s="31"/>
    </row>
    <row r="28134" spans="43:43" x14ac:dyDescent="0.2">
      <c r="AQ28134" s="31"/>
    </row>
    <row r="28135" spans="43:43" x14ac:dyDescent="0.2">
      <c r="AQ28135" s="31"/>
    </row>
    <row r="28136" spans="43:43" x14ac:dyDescent="0.2">
      <c r="AQ28136" s="31"/>
    </row>
    <row r="28137" spans="43:43" x14ac:dyDescent="0.2">
      <c r="AQ28137" s="31"/>
    </row>
    <row r="28138" spans="43:43" x14ac:dyDescent="0.2">
      <c r="AQ28138" s="31"/>
    </row>
    <row r="28139" spans="43:43" x14ac:dyDescent="0.2">
      <c r="AQ28139" s="31"/>
    </row>
    <row r="28140" spans="43:43" x14ac:dyDescent="0.2">
      <c r="AQ28140" s="31"/>
    </row>
    <row r="28141" spans="43:43" x14ac:dyDescent="0.2">
      <c r="AQ28141" s="31"/>
    </row>
    <row r="28142" spans="43:43" x14ac:dyDescent="0.2">
      <c r="AQ28142" s="31"/>
    </row>
    <row r="28143" spans="43:43" x14ac:dyDescent="0.2">
      <c r="AQ28143" s="31"/>
    </row>
    <row r="28144" spans="43:43" x14ac:dyDescent="0.2">
      <c r="AQ28144" s="31"/>
    </row>
    <row r="28145" spans="43:43" x14ac:dyDescent="0.2">
      <c r="AQ28145" s="31"/>
    </row>
    <row r="28146" spans="43:43" x14ac:dyDescent="0.2">
      <c r="AQ28146" s="31"/>
    </row>
    <row r="28147" spans="43:43" x14ac:dyDescent="0.2">
      <c r="AQ28147" s="31"/>
    </row>
    <row r="28148" spans="43:43" x14ac:dyDescent="0.2">
      <c r="AQ28148" s="31"/>
    </row>
    <row r="28149" spans="43:43" x14ac:dyDescent="0.2">
      <c r="AQ28149" s="31"/>
    </row>
    <row r="28150" spans="43:43" x14ac:dyDescent="0.2">
      <c r="AQ28150" s="31"/>
    </row>
    <row r="28151" spans="43:43" x14ac:dyDescent="0.2">
      <c r="AQ28151" s="31"/>
    </row>
    <row r="28152" spans="43:43" x14ac:dyDescent="0.2">
      <c r="AQ28152" s="31"/>
    </row>
    <row r="28153" spans="43:43" x14ac:dyDescent="0.2">
      <c r="AQ28153" s="31"/>
    </row>
    <row r="28154" spans="43:43" x14ac:dyDescent="0.2">
      <c r="AQ28154" s="31"/>
    </row>
    <row r="28155" spans="43:43" x14ac:dyDescent="0.2">
      <c r="AQ28155" s="31"/>
    </row>
    <row r="28156" spans="43:43" x14ac:dyDescent="0.2">
      <c r="AQ28156" s="31"/>
    </row>
    <row r="28157" spans="43:43" x14ac:dyDescent="0.2">
      <c r="AQ28157" s="31"/>
    </row>
    <row r="28158" spans="43:43" x14ac:dyDescent="0.2">
      <c r="AQ28158" s="31"/>
    </row>
    <row r="28159" spans="43:43" x14ac:dyDescent="0.2">
      <c r="AQ28159" s="31"/>
    </row>
    <row r="28160" spans="43:43" x14ac:dyDescent="0.2">
      <c r="AQ28160" s="31"/>
    </row>
    <row r="28161" spans="43:43" x14ac:dyDescent="0.2">
      <c r="AQ28161" s="31"/>
    </row>
    <row r="28162" spans="43:43" x14ac:dyDescent="0.2">
      <c r="AQ28162" s="31"/>
    </row>
    <row r="28163" spans="43:43" x14ac:dyDescent="0.2">
      <c r="AQ28163" s="31"/>
    </row>
    <row r="28164" spans="43:43" x14ac:dyDescent="0.2">
      <c r="AQ28164" s="31"/>
    </row>
    <row r="28165" spans="43:43" x14ac:dyDescent="0.2">
      <c r="AQ28165" s="31"/>
    </row>
    <row r="28166" spans="43:43" x14ac:dyDescent="0.2">
      <c r="AQ28166" s="31"/>
    </row>
    <row r="28167" spans="43:43" x14ac:dyDescent="0.2">
      <c r="AQ28167" s="31"/>
    </row>
    <row r="28168" spans="43:43" x14ac:dyDescent="0.2">
      <c r="AQ28168" s="31"/>
    </row>
    <row r="28169" spans="43:43" x14ac:dyDescent="0.2">
      <c r="AQ28169" s="31"/>
    </row>
    <row r="28170" spans="43:43" x14ac:dyDescent="0.2">
      <c r="AQ28170" s="31"/>
    </row>
    <row r="28171" spans="43:43" x14ac:dyDescent="0.2">
      <c r="AQ28171" s="31"/>
    </row>
    <row r="28172" spans="43:43" x14ac:dyDescent="0.2">
      <c r="AQ28172" s="31"/>
    </row>
    <row r="28173" spans="43:43" x14ac:dyDescent="0.2">
      <c r="AQ28173" s="31"/>
    </row>
    <row r="28174" spans="43:43" x14ac:dyDescent="0.2">
      <c r="AQ28174" s="31"/>
    </row>
    <row r="28175" spans="43:43" x14ac:dyDescent="0.2">
      <c r="AQ28175" s="31"/>
    </row>
    <row r="28176" spans="43:43" x14ac:dyDescent="0.2">
      <c r="AQ28176" s="31"/>
    </row>
    <row r="28177" spans="43:43" x14ac:dyDescent="0.2">
      <c r="AQ28177" s="31"/>
    </row>
    <row r="28178" spans="43:43" x14ac:dyDescent="0.2">
      <c r="AQ28178" s="31"/>
    </row>
    <row r="28179" spans="43:43" x14ac:dyDescent="0.2">
      <c r="AQ28179" s="31"/>
    </row>
    <row r="28180" spans="43:43" x14ac:dyDescent="0.2">
      <c r="AQ28180" s="31"/>
    </row>
    <row r="28181" spans="43:43" x14ac:dyDescent="0.2">
      <c r="AQ28181" s="31"/>
    </row>
    <row r="28182" spans="43:43" x14ac:dyDescent="0.2">
      <c r="AQ28182" s="31"/>
    </row>
    <row r="28183" spans="43:43" x14ac:dyDescent="0.2">
      <c r="AQ28183" s="31"/>
    </row>
    <row r="28184" spans="43:43" x14ac:dyDescent="0.2">
      <c r="AQ28184" s="31"/>
    </row>
    <row r="28185" spans="43:43" x14ac:dyDescent="0.2">
      <c r="AQ28185" s="31"/>
    </row>
    <row r="28186" spans="43:43" x14ac:dyDescent="0.2">
      <c r="AQ28186" s="31"/>
    </row>
    <row r="28187" spans="43:43" x14ac:dyDescent="0.2">
      <c r="AQ28187" s="31"/>
    </row>
    <row r="28188" spans="43:43" x14ac:dyDescent="0.2">
      <c r="AQ28188" s="31"/>
    </row>
    <row r="28189" spans="43:43" x14ac:dyDescent="0.2">
      <c r="AQ28189" s="31"/>
    </row>
    <row r="28190" spans="43:43" x14ac:dyDescent="0.2">
      <c r="AQ28190" s="31"/>
    </row>
    <row r="28191" spans="43:43" x14ac:dyDescent="0.2">
      <c r="AQ28191" s="31"/>
    </row>
    <row r="28192" spans="43:43" x14ac:dyDescent="0.2">
      <c r="AQ28192" s="31"/>
    </row>
    <row r="28193" spans="43:43" x14ac:dyDescent="0.2">
      <c r="AQ28193" s="31"/>
    </row>
    <row r="28194" spans="43:43" x14ac:dyDescent="0.2">
      <c r="AQ28194" s="31"/>
    </row>
    <row r="28195" spans="43:43" x14ac:dyDescent="0.2">
      <c r="AQ28195" s="31"/>
    </row>
    <row r="28196" spans="43:43" x14ac:dyDescent="0.2">
      <c r="AQ28196" s="31"/>
    </row>
    <row r="28197" spans="43:43" x14ac:dyDescent="0.2">
      <c r="AQ28197" s="31"/>
    </row>
    <row r="28198" spans="43:43" x14ac:dyDescent="0.2">
      <c r="AQ28198" s="31"/>
    </row>
    <row r="28199" spans="43:43" x14ac:dyDescent="0.2">
      <c r="AQ28199" s="31"/>
    </row>
    <row r="28200" spans="43:43" x14ac:dyDescent="0.2">
      <c r="AQ28200" s="31"/>
    </row>
    <row r="28201" spans="43:43" x14ac:dyDescent="0.2">
      <c r="AQ28201" s="31"/>
    </row>
    <row r="28202" spans="43:43" x14ac:dyDescent="0.2">
      <c r="AQ28202" s="31"/>
    </row>
    <row r="28203" spans="43:43" x14ac:dyDescent="0.2">
      <c r="AQ28203" s="31"/>
    </row>
    <row r="28204" spans="43:43" x14ac:dyDescent="0.2">
      <c r="AQ28204" s="31"/>
    </row>
    <row r="28205" spans="43:43" x14ac:dyDescent="0.2">
      <c r="AQ28205" s="31"/>
    </row>
    <row r="28206" spans="43:43" x14ac:dyDescent="0.2">
      <c r="AQ28206" s="31"/>
    </row>
    <row r="28207" spans="43:43" x14ac:dyDescent="0.2">
      <c r="AQ28207" s="31"/>
    </row>
    <row r="28208" spans="43:43" x14ac:dyDescent="0.2">
      <c r="AQ28208" s="31"/>
    </row>
    <row r="28209" spans="43:43" x14ac:dyDescent="0.2">
      <c r="AQ28209" s="31"/>
    </row>
    <row r="28210" spans="43:43" x14ac:dyDescent="0.2">
      <c r="AQ28210" s="31"/>
    </row>
    <row r="28211" spans="43:43" x14ac:dyDescent="0.2">
      <c r="AQ28211" s="31"/>
    </row>
    <row r="28212" spans="43:43" x14ac:dyDescent="0.2">
      <c r="AQ28212" s="31"/>
    </row>
    <row r="28213" spans="43:43" x14ac:dyDescent="0.2">
      <c r="AQ28213" s="31"/>
    </row>
    <row r="28214" spans="43:43" x14ac:dyDescent="0.2">
      <c r="AQ28214" s="31"/>
    </row>
    <row r="28215" spans="43:43" x14ac:dyDescent="0.2">
      <c r="AQ28215" s="31"/>
    </row>
    <row r="28216" spans="43:43" x14ac:dyDescent="0.2">
      <c r="AQ28216" s="31"/>
    </row>
    <row r="28217" spans="43:43" x14ac:dyDescent="0.2">
      <c r="AQ28217" s="31"/>
    </row>
    <row r="28218" spans="43:43" x14ac:dyDescent="0.2">
      <c r="AQ28218" s="31"/>
    </row>
    <row r="28219" spans="43:43" x14ac:dyDescent="0.2">
      <c r="AQ28219" s="31"/>
    </row>
    <row r="28220" spans="43:43" x14ac:dyDescent="0.2">
      <c r="AQ28220" s="31"/>
    </row>
    <row r="28221" spans="43:43" x14ac:dyDescent="0.2">
      <c r="AQ28221" s="31"/>
    </row>
    <row r="28222" spans="43:43" x14ac:dyDescent="0.2">
      <c r="AQ28222" s="31"/>
    </row>
    <row r="28223" spans="43:43" x14ac:dyDescent="0.2">
      <c r="AQ28223" s="31"/>
    </row>
    <row r="28224" spans="43:43" x14ac:dyDescent="0.2">
      <c r="AQ28224" s="31"/>
    </row>
    <row r="28225" spans="43:43" x14ac:dyDescent="0.2">
      <c r="AQ28225" s="31"/>
    </row>
    <row r="28226" spans="43:43" x14ac:dyDescent="0.2">
      <c r="AQ28226" s="31"/>
    </row>
    <row r="28227" spans="43:43" x14ac:dyDescent="0.2">
      <c r="AQ28227" s="31"/>
    </row>
    <row r="28228" spans="43:43" x14ac:dyDescent="0.2">
      <c r="AQ28228" s="31"/>
    </row>
    <row r="28229" spans="43:43" x14ac:dyDescent="0.2">
      <c r="AQ28229" s="31"/>
    </row>
    <row r="28230" spans="43:43" x14ac:dyDescent="0.2">
      <c r="AQ28230" s="31"/>
    </row>
    <row r="28231" spans="43:43" x14ac:dyDescent="0.2">
      <c r="AQ28231" s="31"/>
    </row>
    <row r="28232" spans="43:43" x14ac:dyDescent="0.2">
      <c r="AQ28232" s="31"/>
    </row>
    <row r="28233" spans="43:43" x14ac:dyDescent="0.2">
      <c r="AQ28233" s="31"/>
    </row>
    <row r="28234" spans="43:43" x14ac:dyDescent="0.2">
      <c r="AQ28234" s="31"/>
    </row>
    <row r="28235" spans="43:43" x14ac:dyDescent="0.2">
      <c r="AQ28235" s="31"/>
    </row>
    <row r="28236" spans="43:43" x14ac:dyDescent="0.2">
      <c r="AQ28236" s="31"/>
    </row>
    <row r="28237" spans="43:43" x14ac:dyDescent="0.2">
      <c r="AQ28237" s="31"/>
    </row>
    <row r="28238" spans="43:43" x14ac:dyDescent="0.2">
      <c r="AQ28238" s="31"/>
    </row>
    <row r="28239" spans="43:43" x14ac:dyDescent="0.2">
      <c r="AQ28239" s="31"/>
    </row>
    <row r="28240" spans="43:43" x14ac:dyDescent="0.2">
      <c r="AQ28240" s="31"/>
    </row>
    <row r="28241" spans="43:43" x14ac:dyDescent="0.2">
      <c r="AQ28241" s="31"/>
    </row>
    <row r="28242" spans="43:43" x14ac:dyDescent="0.2">
      <c r="AQ28242" s="31"/>
    </row>
    <row r="28243" spans="43:43" x14ac:dyDescent="0.2">
      <c r="AQ28243" s="31"/>
    </row>
    <row r="28244" spans="43:43" x14ac:dyDescent="0.2">
      <c r="AQ28244" s="31"/>
    </row>
    <row r="28245" spans="43:43" x14ac:dyDescent="0.2">
      <c r="AQ28245" s="31"/>
    </row>
    <row r="28246" spans="43:43" x14ac:dyDescent="0.2">
      <c r="AQ28246" s="31"/>
    </row>
    <row r="28247" spans="43:43" x14ac:dyDescent="0.2">
      <c r="AQ28247" s="31"/>
    </row>
    <row r="28248" spans="43:43" x14ac:dyDescent="0.2">
      <c r="AQ28248" s="31"/>
    </row>
    <row r="28249" spans="43:43" x14ac:dyDescent="0.2">
      <c r="AQ28249" s="31"/>
    </row>
    <row r="28250" spans="43:43" x14ac:dyDescent="0.2">
      <c r="AQ28250" s="31"/>
    </row>
    <row r="28251" spans="43:43" x14ac:dyDescent="0.2">
      <c r="AQ28251" s="31"/>
    </row>
    <row r="28252" spans="43:43" x14ac:dyDescent="0.2">
      <c r="AQ28252" s="31"/>
    </row>
    <row r="28253" spans="43:43" x14ac:dyDescent="0.2">
      <c r="AQ28253" s="31"/>
    </row>
    <row r="28254" spans="43:43" x14ac:dyDescent="0.2">
      <c r="AQ28254" s="31"/>
    </row>
    <row r="28255" spans="43:43" x14ac:dyDescent="0.2">
      <c r="AQ28255" s="31"/>
    </row>
    <row r="28256" spans="43:43" x14ac:dyDescent="0.2">
      <c r="AQ28256" s="31"/>
    </row>
    <row r="28257" spans="43:43" x14ac:dyDescent="0.2">
      <c r="AQ28257" s="31"/>
    </row>
    <row r="28258" spans="43:43" x14ac:dyDescent="0.2">
      <c r="AQ28258" s="31"/>
    </row>
    <row r="28259" spans="43:43" x14ac:dyDescent="0.2">
      <c r="AQ28259" s="31"/>
    </row>
    <row r="28260" spans="43:43" x14ac:dyDescent="0.2">
      <c r="AQ28260" s="31"/>
    </row>
    <row r="28261" spans="43:43" x14ac:dyDescent="0.2">
      <c r="AQ28261" s="31"/>
    </row>
    <row r="28262" spans="43:43" x14ac:dyDescent="0.2">
      <c r="AQ28262" s="31"/>
    </row>
    <row r="28263" spans="43:43" x14ac:dyDescent="0.2">
      <c r="AQ28263" s="31"/>
    </row>
    <row r="28264" spans="43:43" x14ac:dyDescent="0.2">
      <c r="AQ28264" s="31"/>
    </row>
    <row r="28265" spans="43:43" x14ac:dyDescent="0.2">
      <c r="AQ28265" s="31"/>
    </row>
    <row r="28266" spans="43:43" x14ac:dyDescent="0.2">
      <c r="AQ28266" s="31"/>
    </row>
    <row r="28267" spans="43:43" x14ac:dyDescent="0.2">
      <c r="AQ28267" s="31"/>
    </row>
    <row r="28268" spans="43:43" x14ac:dyDescent="0.2">
      <c r="AQ28268" s="31"/>
    </row>
    <row r="28269" spans="43:43" x14ac:dyDescent="0.2">
      <c r="AQ28269" s="31"/>
    </row>
    <row r="28270" spans="43:43" x14ac:dyDescent="0.2">
      <c r="AQ28270" s="31"/>
    </row>
    <row r="28271" spans="43:43" x14ac:dyDescent="0.2">
      <c r="AQ28271" s="31"/>
    </row>
    <row r="28272" spans="43:43" x14ac:dyDescent="0.2">
      <c r="AQ28272" s="31"/>
    </row>
    <row r="28273" spans="43:43" x14ac:dyDescent="0.2">
      <c r="AQ28273" s="31"/>
    </row>
    <row r="28274" spans="43:43" x14ac:dyDescent="0.2">
      <c r="AQ28274" s="31"/>
    </row>
    <row r="28275" spans="43:43" x14ac:dyDescent="0.2">
      <c r="AQ28275" s="31"/>
    </row>
    <row r="28276" spans="43:43" x14ac:dyDescent="0.2">
      <c r="AQ28276" s="31"/>
    </row>
    <row r="28277" spans="43:43" x14ac:dyDescent="0.2">
      <c r="AQ28277" s="31"/>
    </row>
    <row r="28278" spans="43:43" x14ac:dyDescent="0.2">
      <c r="AQ28278" s="31"/>
    </row>
    <row r="28279" spans="43:43" x14ac:dyDescent="0.2">
      <c r="AQ28279" s="31"/>
    </row>
    <row r="28280" spans="43:43" x14ac:dyDescent="0.2">
      <c r="AQ28280" s="31"/>
    </row>
    <row r="28281" spans="43:43" x14ac:dyDescent="0.2">
      <c r="AQ28281" s="31"/>
    </row>
    <row r="28282" spans="43:43" x14ac:dyDescent="0.2">
      <c r="AQ28282" s="31"/>
    </row>
    <row r="28283" spans="43:43" x14ac:dyDescent="0.2">
      <c r="AQ28283" s="31"/>
    </row>
    <row r="28284" spans="43:43" x14ac:dyDescent="0.2">
      <c r="AQ28284" s="31"/>
    </row>
    <row r="28285" spans="43:43" x14ac:dyDescent="0.2">
      <c r="AQ28285" s="31"/>
    </row>
    <row r="28286" spans="43:43" x14ac:dyDescent="0.2">
      <c r="AQ28286" s="31"/>
    </row>
    <row r="28287" spans="43:43" x14ac:dyDescent="0.2">
      <c r="AQ28287" s="31"/>
    </row>
    <row r="28288" spans="43:43" x14ac:dyDescent="0.2">
      <c r="AQ28288" s="31"/>
    </row>
    <row r="28289" spans="43:43" x14ac:dyDescent="0.2">
      <c r="AQ28289" s="31"/>
    </row>
    <row r="28290" spans="43:43" x14ac:dyDescent="0.2">
      <c r="AQ28290" s="31"/>
    </row>
    <row r="28291" spans="43:43" x14ac:dyDescent="0.2">
      <c r="AQ28291" s="31"/>
    </row>
    <row r="28292" spans="43:43" x14ac:dyDescent="0.2">
      <c r="AQ28292" s="31"/>
    </row>
    <row r="28293" spans="43:43" x14ac:dyDescent="0.2">
      <c r="AQ28293" s="31"/>
    </row>
    <row r="28294" spans="43:43" x14ac:dyDescent="0.2">
      <c r="AQ28294" s="31"/>
    </row>
    <row r="28295" spans="43:43" x14ac:dyDescent="0.2">
      <c r="AQ28295" s="31"/>
    </row>
    <row r="28296" spans="43:43" x14ac:dyDescent="0.2">
      <c r="AQ28296" s="31"/>
    </row>
    <row r="28297" spans="43:43" x14ac:dyDescent="0.2">
      <c r="AQ28297" s="31"/>
    </row>
    <row r="28298" spans="43:43" x14ac:dyDescent="0.2">
      <c r="AQ28298" s="31"/>
    </row>
    <row r="28299" spans="43:43" x14ac:dyDescent="0.2">
      <c r="AQ28299" s="31"/>
    </row>
    <row r="28300" spans="43:43" x14ac:dyDescent="0.2">
      <c r="AQ28300" s="31"/>
    </row>
    <row r="28301" spans="43:43" x14ac:dyDescent="0.2">
      <c r="AQ28301" s="31"/>
    </row>
    <row r="28302" spans="43:43" x14ac:dyDescent="0.2">
      <c r="AQ28302" s="31"/>
    </row>
    <row r="28303" spans="43:43" x14ac:dyDescent="0.2">
      <c r="AQ28303" s="31"/>
    </row>
    <row r="28304" spans="43:43" x14ac:dyDescent="0.2">
      <c r="AQ28304" s="31"/>
    </row>
    <row r="28305" spans="43:43" x14ac:dyDescent="0.2">
      <c r="AQ28305" s="31"/>
    </row>
    <row r="28306" spans="43:43" x14ac:dyDescent="0.2">
      <c r="AQ28306" s="31"/>
    </row>
    <row r="28307" spans="43:43" x14ac:dyDescent="0.2">
      <c r="AQ28307" s="31"/>
    </row>
    <row r="28308" spans="43:43" x14ac:dyDescent="0.2">
      <c r="AQ28308" s="31"/>
    </row>
    <row r="28309" spans="43:43" x14ac:dyDescent="0.2">
      <c r="AQ28309" s="31"/>
    </row>
    <row r="28310" spans="43:43" x14ac:dyDescent="0.2">
      <c r="AQ28310" s="31"/>
    </row>
    <row r="28311" spans="43:43" x14ac:dyDescent="0.2">
      <c r="AQ28311" s="31"/>
    </row>
    <row r="28312" spans="43:43" x14ac:dyDescent="0.2">
      <c r="AQ28312" s="31"/>
    </row>
    <row r="28313" spans="43:43" x14ac:dyDescent="0.2">
      <c r="AQ28313" s="31"/>
    </row>
    <row r="28314" spans="43:43" x14ac:dyDescent="0.2">
      <c r="AQ28314" s="31"/>
    </row>
    <row r="28315" spans="43:43" x14ac:dyDescent="0.2">
      <c r="AQ28315" s="31"/>
    </row>
    <row r="28316" spans="43:43" x14ac:dyDescent="0.2">
      <c r="AQ28316" s="31"/>
    </row>
    <row r="28317" spans="43:43" x14ac:dyDescent="0.2">
      <c r="AQ28317" s="31"/>
    </row>
    <row r="28318" spans="43:43" x14ac:dyDescent="0.2">
      <c r="AQ28318" s="31"/>
    </row>
    <row r="28319" spans="43:43" x14ac:dyDescent="0.2">
      <c r="AQ28319" s="31"/>
    </row>
    <row r="28320" spans="43:43" x14ac:dyDescent="0.2">
      <c r="AQ28320" s="31"/>
    </row>
    <row r="28321" spans="43:43" x14ac:dyDescent="0.2">
      <c r="AQ28321" s="31"/>
    </row>
    <row r="28322" spans="43:43" x14ac:dyDescent="0.2">
      <c r="AQ28322" s="31"/>
    </row>
    <row r="28323" spans="43:43" x14ac:dyDescent="0.2">
      <c r="AQ28323" s="31"/>
    </row>
    <row r="28324" spans="43:43" x14ac:dyDescent="0.2">
      <c r="AQ28324" s="31"/>
    </row>
    <row r="28325" spans="43:43" x14ac:dyDescent="0.2">
      <c r="AQ28325" s="31"/>
    </row>
    <row r="28326" spans="43:43" x14ac:dyDescent="0.2">
      <c r="AQ28326" s="31"/>
    </row>
    <row r="28327" spans="43:43" x14ac:dyDescent="0.2">
      <c r="AQ28327" s="31"/>
    </row>
    <row r="28328" spans="43:43" x14ac:dyDescent="0.2">
      <c r="AQ28328" s="31"/>
    </row>
    <row r="28329" spans="43:43" x14ac:dyDescent="0.2">
      <c r="AQ28329" s="31"/>
    </row>
    <row r="28330" spans="43:43" x14ac:dyDescent="0.2">
      <c r="AQ28330" s="31"/>
    </row>
    <row r="28331" spans="43:43" x14ac:dyDescent="0.2">
      <c r="AQ28331" s="31"/>
    </row>
    <row r="28332" spans="43:43" x14ac:dyDescent="0.2">
      <c r="AQ28332" s="31"/>
    </row>
    <row r="28333" spans="43:43" x14ac:dyDescent="0.2">
      <c r="AQ28333" s="31"/>
    </row>
    <row r="28334" spans="43:43" x14ac:dyDescent="0.2">
      <c r="AQ28334" s="31"/>
    </row>
    <row r="28335" spans="43:43" x14ac:dyDescent="0.2">
      <c r="AQ28335" s="31"/>
    </row>
    <row r="28336" spans="43:43" x14ac:dyDescent="0.2">
      <c r="AQ28336" s="31"/>
    </row>
    <row r="28337" spans="43:43" x14ac:dyDescent="0.2">
      <c r="AQ28337" s="31"/>
    </row>
    <row r="28338" spans="43:43" x14ac:dyDescent="0.2">
      <c r="AQ28338" s="31"/>
    </row>
    <row r="28339" spans="43:43" x14ac:dyDescent="0.2">
      <c r="AQ28339" s="31"/>
    </row>
    <row r="28340" spans="43:43" x14ac:dyDescent="0.2">
      <c r="AQ28340" s="31"/>
    </row>
    <row r="28341" spans="43:43" x14ac:dyDescent="0.2">
      <c r="AQ28341" s="31"/>
    </row>
    <row r="28342" spans="43:43" x14ac:dyDescent="0.2">
      <c r="AQ28342" s="31"/>
    </row>
    <row r="28343" spans="43:43" x14ac:dyDescent="0.2">
      <c r="AQ28343" s="31"/>
    </row>
    <row r="28344" spans="43:43" x14ac:dyDescent="0.2">
      <c r="AQ28344" s="31"/>
    </row>
    <row r="28345" spans="43:43" x14ac:dyDescent="0.2">
      <c r="AQ28345" s="31"/>
    </row>
    <row r="28346" spans="43:43" x14ac:dyDescent="0.2">
      <c r="AQ28346" s="31"/>
    </row>
    <row r="28347" spans="43:43" x14ac:dyDescent="0.2">
      <c r="AQ28347" s="31"/>
    </row>
    <row r="28348" spans="43:43" x14ac:dyDescent="0.2">
      <c r="AQ28348" s="31"/>
    </row>
    <row r="28349" spans="43:43" x14ac:dyDescent="0.2">
      <c r="AQ28349" s="31"/>
    </row>
    <row r="28350" spans="43:43" x14ac:dyDescent="0.2">
      <c r="AQ28350" s="31"/>
    </row>
    <row r="28351" spans="43:43" x14ac:dyDescent="0.2">
      <c r="AQ28351" s="31"/>
    </row>
    <row r="28352" spans="43:43" x14ac:dyDescent="0.2">
      <c r="AQ28352" s="31"/>
    </row>
    <row r="28353" spans="43:43" x14ac:dyDescent="0.2">
      <c r="AQ28353" s="31"/>
    </row>
    <row r="28354" spans="43:43" x14ac:dyDescent="0.2">
      <c r="AQ28354" s="31"/>
    </row>
    <row r="28355" spans="43:43" x14ac:dyDescent="0.2">
      <c r="AQ28355" s="31"/>
    </row>
    <row r="28356" spans="43:43" x14ac:dyDescent="0.2">
      <c r="AQ28356" s="31"/>
    </row>
    <row r="28357" spans="43:43" x14ac:dyDescent="0.2">
      <c r="AQ28357" s="31"/>
    </row>
    <row r="28358" spans="43:43" x14ac:dyDescent="0.2">
      <c r="AQ28358" s="31"/>
    </row>
    <row r="28359" spans="43:43" x14ac:dyDescent="0.2">
      <c r="AQ28359" s="31"/>
    </row>
    <row r="28360" spans="43:43" x14ac:dyDescent="0.2">
      <c r="AQ28360" s="31"/>
    </row>
    <row r="28361" spans="43:43" x14ac:dyDescent="0.2">
      <c r="AQ28361" s="31"/>
    </row>
    <row r="28362" spans="43:43" x14ac:dyDescent="0.2">
      <c r="AQ28362" s="31"/>
    </row>
    <row r="28363" spans="43:43" x14ac:dyDescent="0.2">
      <c r="AQ28363" s="31"/>
    </row>
    <row r="28364" spans="43:43" x14ac:dyDescent="0.2">
      <c r="AQ28364" s="31"/>
    </row>
    <row r="28365" spans="43:43" x14ac:dyDescent="0.2">
      <c r="AQ28365" s="31"/>
    </row>
    <row r="28366" spans="43:43" x14ac:dyDescent="0.2">
      <c r="AQ28366" s="31"/>
    </row>
    <row r="28367" spans="43:43" x14ac:dyDescent="0.2">
      <c r="AQ28367" s="31"/>
    </row>
    <row r="28368" spans="43:43" x14ac:dyDescent="0.2">
      <c r="AQ28368" s="31"/>
    </row>
    <row r="28369" spans="43:43" x14ac:dyDescent="0.2">
      <c r="AQ28369" s="31"/>
    </row>
    <row r="28370" spans="43:43" x14ac:dyDescent="0.2">
      <c r="AQ28370" s="31"/>
    </row>
    <row r="28371" spans="43:43" x14ac:dyDescent="0.2">
      <c r="AQ28371" s="31"/>
    </row>
    <row r="28372" spans="43:43" x14ac:dyDescent="0.2">
      <c r="AQ28372" s="31"/>
    </row>
    <row r="28373" spans="43:43" x14ac:dyDescent="0.2">
      <c r="AQ28373" s="31"/>
    </row>
    <row r="28374" spans="43:43" x14ac:dyDescent="0.2">
      <c r="AQ28374" s="31"/>
    </row>
    <row r="28375" spans="43:43" x14ac:dyDescent="0.2">
      <c r="AQ28375" s="31"/>
    </row>
    <row r="28376" spans="43:43" x14ac:dyDescent="0.2">
      <c r="AQ28376" s="31"/>
    </row>
    <row r="28377" spans="43:43" x14ac:dyDescent="0.2">
      <c r="AQ28377" s="31"/>
    </row>
    <row r="28378" spans="43:43" x14ac:dyDescent="0.2">
      <c r="AQ28378" s="31"/>
    </row>
    <row r="28379" spans="43:43" x14ac:dyDescent="0.2">
      <c r="AQ28379" s="31"/>
    </row>
    <row r="28380" spans="43:43" x14ac:dyDescent="0.2">
      <c r="AQ28380" s="31"/>
    </row>
    <row r="28381" spans="43:43" x14ac:dyDescent="0.2">
      <c r="AQ28381" s="31"/>
    </row>
    <row r="28382" spans="43:43" x14ac:dyDescent="0.2">
      <c r="AQ28382" s="31"/>
    </row>
    <row r="28383" spans="43:43" x14ac:dyDescent="0.2">
      <c r="AQ28383" s="31"/>
    </row>
    <row r="28384" spans="43:43" x14ac:dyDescent="0.2">
      <c r="AQ28384" s="31"/>
    </row>
    <row r="28385" spans="43:43" x14ac:dyDescent="0.2">
      <c r="AQ28385" s="31"/>
    </row>
    <row r="28386" spans="43:43" x14ac:dyDescent="0.2">
      <c r="AQ28386" s="31"/>
    </row>
    <row r="28387" spans="43:43" x14ac:dyDescent="0.2">
      <c r="AQ28387" s="31"/>
    </row>
    <row r="28388" spans="43:43" x14ac:dyDescent="0.2">
      <c r="AQ28388" s="31"/>
    </row>
    <row r="28389" spans="43:43" x14ac:dyDescent="0.2">
      <c r="AQ28389" s="31"/>
    </row>
    <row r="28390" spans="43:43" x14ac:dyDescent="0.2">
      <c r="AQ28390" s="31"/>
    </row>
    <row r="28391" spans="43:43" x14ac:dyDescent="0.2">
      <c r="AQ28391" s="31"/>
    </row>
    <row r="28392" spans="43:43" x14ac:dyDescent="0.2">
      <c r="AQ28392" s="31"/>
    </row>
    <row r="28393" spans="43:43" x14ac:dyDescent="0.2">
      <c r="AQ28393" s="31"/>
    </row>
    <row r="28394" spans="43:43" x14ac:dyDescent="0.2">
      <c r="AQ28394" s="31"/>
    </row>
    <row r="28395" spans="43:43" x14ac:dyDescent="0.2">
      <c r="AQ28395" s="31"/>
    </row>
    <row r="28396" spans="43:43" x14ac:dyDescent="0.2">
      <c r="AQ28396" s="31"/>
    </row>
    <row r="28397" spans="43:43" x14ac:dyDescent="0.2">
      <c r="AQ28397" s="31"/>
    </row>
    <row r="28398" spans="43:43" x14ac:dyDescent="0.2">
      <c r="AQ28398" s="31"/>
    </row>
    <row r="28399" spans="43:43" x14ac:dyDescent="0.2">
      <c r="AQ28399" s="31"/>
    </row>
    <row r="28400" spans="43:43" x14ac:dyDescent="0.2">
      <c r="AQ28400" s="31"/>
    </row>
    <row r="28401" spans="43:43" x14ac:dyDescent="0.2">
      <c r="AQ28401" s="31"/>
    </row>
    <row r="28402" spans="43:43" x14ac:dyDescent="0.2">
      <c r="AQ28402" s="31"/>
    </row>
    <row r="28403" spans="43:43" x14ac:dyDescent="0.2">
      <c r="AQ28403" s="31"/>
    </row>
    <row r="28404" spans="43:43" x14ac:dyDescent="0.2">
      <c r="AQ28404" s="31"/>
    </row>
    <row r="28405" spans="43:43" x14ac:dyDescent="0.2">
      <c r="AQ28405" s="31"/>
    </row>
    <row r="28406" spans="43:43" x14ac:dyDescent="0.2">
      <c r="AQ28406" s="31"/>
    </row>
    <row r="28407" spans="43:43" x14ac:dyDescent="0.2">
      <c r="AQ28407" s="31"/>
    </row>
    <row r="28408" spans="43:43" x14ac:dyDescent="0.2">
      <c r="AQ28408" s="31"/>
    </row>
    <row r="28409" spans="43:43" x14ac:dyDescent="0.2">
      <c r="AQ28409" s="31"/>
    </row>
    <row r="28410" spans="43:43" x14ac:dyDescent="0.2">
      <c r="AQ28410" s="31"/>
    </row>
    <row r="28411" spans="43:43" x14ac:dyDescent="0.2">
      <c r="AQ28411" s="31"/>
    </row>
    <row r="28412" spans="43:43" x14ac:dyDescent="0.2">
      <c r="AQ28412" s="31"/>
    </row>
    <row r="28413" spans="43:43" x14ac:dyDescent="0.2">
      <c r="AQ28413" s="31"/>
    </row>
    <row r="28414" spans="43:43" x14ac:dyDescent="0.2">
      <c r="AQ28414" s="31"/>
    </row>
    <row r="28415" spans="43:43" x14ac:dyDescent="0.2">
      <c r="AQ28415" s="31"/>
    </row>
    <row r="28416" spans="43:43" x14ac:dyDescent="0.2">
      <c r="AQ28416" s="31"/>
    </row>
    <row r="28417" spans="43:43" x14ac:dyDescent="0.2">
      <c r="AQ28417" s="31"/>
    </row>
    <row r="28418" spans="43:43" x14ac:dyDescent="0.2">
      <c r="AQ28418" s="31"/>
    </row>
    <row r="28419" spans="43:43" x14ac:dyDescent="0.2">
      <c r="AQ28419" s="31"/>
    </row>
    <row r="28420" spans="43:43" x14ac:dyDescent="0.2">
      <c r="AQ28420" s="31"/>
    </row>
    <row r="28421" spans="43:43" x14ac:dyDescent="0.2">
      <c r="AQ28421" s="31"/>
    </row>
    <row r="28422" spans="43:43" x14ac:dyDescent="0.2">
      <c r="AQ28422" s="31"/>
    </row>
    <row r="28423" spans="43:43" x14ac:dyDescent="0.2">
      <c r="AQ28423" s="31"/>
    </row>
    <row r="28424" spans="43:43" x14ac:dyDescent="0.2">
      <c r="AQ28424" s="31"/>
    </row>
    <row r="28425" spans="43:43" x14ac:dyDescent="0.2">
      <c r="AQ28425" s="31"/>
    </row>
    <row r="28426" spans="43:43" x14ac:dyDescent="0.2">
      <c r="AQ28426" s="31"/>
    </row>
    <row r="28427" spans="43:43" x14ac:dyDescent="0.2">
      <c r="AQ28427" s="31"/>
    </row>
    <row r="28428" spans="43:43" x14ac:dyDescent="0.2">
      <c r="AQ28428" s="31"/>
    </row>
    <row r="28429" spans="43:43" x14ac:dyDescent="0.2">
      <c r="AQ28429" s="31"/>
    </row>
    <row r="28430" spans="43:43" x14ac:dyDescent="0.2">
      <c r="AQ28430" s="31"/>
    </row>
    <row r="28431" spans="43:43" x14ac:dyDescent="0.2">
      <c r="AQ28431" s="31"/>
    </row>
    <row r="28432" spans="43:43" x14ac:dyDescent="0.2">
      <c r="AQ28432" s="31"/>
    </row>
    <row r="28433" spans="43:43" x14ac:dyDescent="0.2">
      <c r="AQ28433" s="31"/>
    </row>
    <row r="28434" spans="43:43" x14ac:dyDescent="0.2">
      <c r="AQ28434" s="31"/>
    </row>
    <row r="28435" spans="43:43" x14ac:dyDescent="0.2">
      <c r="AQ28435" s="31"/>
    </row>
    <row r="28436" spans="43:43" x14ac:dyDescent="0.2">
      <c r="AQ28436" s="31"/>
    </row>
    <row r="28437" spans="43:43" x14ac:dyDescent="0.2">
      <c r="AQ28437" s="31"/>
    </row>
    <row r="28438" spans="43:43" x14ac:dyDescent="0.2">
      <c r="AQ28438" s="31"/>
    </row>
    <row r="28439" spans="43:43" x14ac:dyDescent="0.2">
      <c r="AQ28439" s="31"/>
    </row>
    <row r="28440" spans="43:43" x14ac:dyDescent="0.2">
      <c r="AQ28440" s="31"/>
    </row>
    <row r="28441" spans="43:43" x14ac:dyDescent="0.2">
      <c r="AQ28441" s="31"/>
    </row>
    <row r="28442" spans="43:43" x14ac:dyDescent="0.2">
      <c r="AQ28442" s="31"/>
    </row>
    <row r="28443" spans="43:43" x14ac:dyDescent="0.2">
      <c r="AQ28443" s="31"/>
    </row>
    <row r="28444" spans="43:43" x14ac:dyDescent="0.2">
      <c r="AQ28444" s="31"/>
    </row>
    <row r="28445" spans="43:43" x14ac:dyDescent="0.2">
      <c r="AQ28445" s="31"/>
    </row>
    <row r="28446" spans="43:43" x14ac:dyDescent="0.2">
      <c r="AQ28446" s="31"/>
    </row>
    <row r="28447" spans="43:43" x14ac:dyDescent="0.2">
      <c r="AQ28447" s="31"/>
    </row>
    <row r="28448" spans="43:43" x14ac:dyDescent="0.2">
      <c r="AQ28448" s="31"/>
    </row>
    <row r="28449" spans="43:43" x14ac:dyDescent="0.2">
      <c r="AQ28449" s="31"/>
    </row>
    <row r="28450" spans="43:43" x14ac:dyDescent="0.2">
      <c r="AQ28450" s="31"/>
    </row>
    <row r="28451" spans="43:43" x14ac:dyDescent="0.2">
      <c r="AQ28451" s="31"/>
    </row>
    <row r="28452" spans="43:43" x14ac:dyDescent="0.2">
      <c r="AQ28452" s="31"/>
    </row>
    <row r="28453" spans="43:43" x14ac:dyDescent="0.2">
      <c r="AQ28453" s="31"/>
    </row>
    <row r="28454" spans="43:43" x14ac:dyDescent="0.2">
      <c r="AQ28454" s="31"/>
    </row>
    <row r="28455" spans="43:43" x14ac:dyDescent="0.2">
      <c r="AQ28455" s="31"/>
    </row>
    <row r="28456" spans="43:43" x14ac:dyDescent="0.2">
      <c r="AQ28456" s="31"/>
    </row>
    <row r="28457" spans="43:43" x14ac:dyDescent="0.2">
      <c r="AQ28457" s="31"/>
    </row>
    <row r="28458" spans="43:43" x14ac:dyDescent="0.2">
      <c r="AQ28458" s="31"/>
    </row>
    <row r="28459" spans="43:43" x14ac:dyDescent="0.2">
      <c r="AQ28459" s="31"/>
    </row>
    <row r="28460" spans="43:43" x14ac:dyDescent="0.2">
      <c r="AQ28460" s="31"/>
    </row>
    <row r="28461" spans="43:43" x14ac:dyDescent="0.2">
      <c r="AQ28461" s="31"/>
    </row>
    <row r="28462" spans="43:43" x14ac:dyDescent="0.2">
      <c r="AQ28462" s="31"/>
    </row>
    <row r="28463" spans="43:43" x14ac:dyDescent="0.2">
      <c r="AQ28463" s="31"/>
    </row>
    <row r="28464" spans="43:43" x14ac:dyDescent="0.2">
      <c r="AQ28464" s="31"/>
    </row>
    <row r="28465" spans="43:43" x14ac:dyDescent="0.2">
      <c r="AQ28465" s="31"/>
    </row>
    <row r="28466" spans="43:43" x14ac:dyDescent="0.2">
      <c r="AQ28466" s="31"/>
    </row>
    <row r="28467" spans="43:43" x14ac:dyDescent="0.2">
      <c r="AQ28467" s="31"/>
    </row>
    <row r="28468" spans="43:43" x14ac:dyDescent="0.2">
      <c r="AQ28468" s="31"/>
    </row>
    <row r="28469" spans="43:43" x14ac:dyDescent="0.2">
      <c r="AQ28469" s="31"/>
    </row>
    <row r="28470" spans="43:43" x14ac:dyDescent="0.2">
      <c r="AQ28470" s="31"/>
    </row>
    <row r="28471" spans="43:43" x14ac:dyDescent="0.2">
      <c r="AQ28471" s="31"/>
    </row>
    <row r="28472" spans="43:43" x14ac:dyDescent="0.2">
      <c r="AQ28472" s="31"/>
    </row>
    <row r="28473" spans="43:43" x14ac:dyDescent="0.2">
      <c r="AQ28473" s="31"/>
    </row>
    <row r="28474" spans="43:43" x14ac:dyDescent="0.2">
      <c r="AQ28474" s="31"/>
    </row>
    <row r="28475" spans="43:43" x14ac:dyDescent="0.2">
      <c r="AQ28475" s="31"/>
    </row>
    <row r="28476" spans="43:43" x14ac:dyDescent="0.2">
      <c r="AQ28476" s="31"/>
    </row>
    <row r="28477" spans="43:43" x14ac:dyDescent="0.2">
      <c r="AQ28477" s="31"/>
    </row>
    <row r="28478" spans="43:43" x14ac:dyDescent="0.2">
      <c r="AQ28478" s="31"/>
    </row>
    <row r="28479" spans="43:43" x14ac:dyDescent="0.2">
      <c r="AQ28479" s="31"/>
    </row>
    <row r="28480" spans="43:43" x14ac:dyDescent="0.2">
      <c r="AQ28480" s="31"/>
    </row>
    <row r="28481" spans="43:43" x14ac:dyDescent="0.2">
      <c r="AQ28481" s="31"/>
    </row>
    <row r="28482" spans="43:43" x14ac:dyDescent="0.2">
      <c r="AQ28482" s="31"/>
    </row>
    <row r="28483" spans="43:43" x14ac:dyDescent="0.2">
      <c r="AQ28483" s="31"/>
    </row>
    <row r="28484" spans="43:43" x14ac:dyDescent="0.2">
      <c r="AQ28484" s="31"/>
    </row>
    <row r="28485" spans="43:43" x14ac:dyDescent="0.2">
      <c r="AQ28485" s="31"/>
    </row>
    <row r="28486" spans="43:43" x14ac:dyDescent="0.2">
      <c r="AQ28486" s="31"/>
    </row>
    <row r="28487" spans="43:43" x14ac:dyDescent="0.2">
      <c r="AQ28487" s="31"/>
    </row>
    <row r="28488" spans="43:43" x14ac:dyDescent="0.2">
      <c r="AQ28488" s="31"/>
    </row>
    <row r="28489" spans="43:43" x14ac:dyDescent="0.2">
      <c r="AQ28489" s="31"/>
    </row>
    <row r="28490" spans="43:43" x14ac:dyDescent="0.2">
      <c r="AQ28490" s="31"/>
    </row>
    <row r="28491" spans="43:43" x14ac:dyDescent="0.2">
      <c r="AQ28491" s="31"/>
    </row>
    <row r="28492" spans="43:43" x14ac:dyDescent="0.2">
      <c r="AQ28492" s="31"/>
    </row>
    <row r="28493" spans="43:43" x14ac:dyDescent="0.2">
      <c r="AQ28493" s="31"/>
    </row>
    <row r="28494" spans="43:43" x14ac:dyDescent="0.2">
      <c r="AQ28494" s="31"/>
    </row>
    <row r="28495" spans="43:43" x14ac:dyDescent="0.2">
      <c r="AQ28495" s="31"/>
    </row>
    <row r="28496" spans="43:43" x14ac:dyDescent="0.2">
      <c r="AQ28496" s="31"/>
    </row>
    <row r="28497" spans="43:43" x14ac:dyDescent="0.2">
      <c r="AQ28497" s="31"/>
    </row>
    <row r="28498" spans="43:43" x14ac:dyDescent="0.2">
      <c r="AQ28498" s="31"/>
    </row>
    <row r="28499" spans="43:43" x14ac:dyDescent="0.2">
      <c r="AQ28499" s="31"/>
    </row>
    <row r="28500" spans="43:43" x14ac:dyDescent="0.2">
      <c r="AQ28500" s="31"/>
    </row>
    <row r="28501" spans="43:43" x14ac:dyDescent="0.2">
      <c r="AQ28501" s="31"/>
    </row>
    <row r="28502" spans="43:43" x14ac:dyDescent="0.2">
      <c r="AQ28502" s="31"/>
    </row>
    <row r="28503" spans="43:43" x14ac:dyDescent="0.2">
      <c r="AQ28503" s="31"/>
    </row>
    <row r="28504" spans="43:43" x14ac:dyDescent="0.2">
      <c r="AQ28504" s="31"/>
    </row>
    <row r="28505" spans="43:43" x14ac:dyDescent="0.2">
      <c r="AQ28505" s="31"/>
    </row>
    <row r="28506" spans="43:43" x14ac:dyDescent="0.2">
      <c r="AQ28506" s="31"/>
    </row>
    <row r="28507" spans="43:43" x14ac:dyDescent="0.2">
      <c r="AQ28507" s="31"/>
    </row>
    <row r="28508" spans="43:43" x14ac:dyDescent="0.2">
      <c r="AQ28508" s="31"/>
    </row>
    <row r="28509" spans="43:43" x14ac:dyDescent="0.2">
      <c r="AQ28509" s="31"/>
    </row>
    <row r="28510" spans="43:43" x14ac:dyDescent="0.2">
      <c r="AQ28510" s="31"/>
    </row>
    <row r="28511" spans="43:43" x14ac:dyDescent="0.2">
      <c r="AQ28511" s="31"/>
    </row>
    <row r="28512" spans="43:43" x14ac:dyDescent="0.2">
      <c r="AQ28512" s="31"/>
    </row>
    <row r="28513" spans="43:43" x14ac:dyDescent="0.2">
      <c r="AQ28513" s="31"/>
    </row>
    <row r="28514" spans="43:43" x14ac:dyDescent="0.2">
      <c r="AQ28514" s="31"/>
    </row>
    <row r="28515" spans="43:43" x14ac:dyDescent="0.2">
      <c r="AQ28515" s="31"/>
    </row>
    <row r="28516" spans="43:43" x14ac:dyDescent="0.2">
      <c r="AQ28516" s="31"/>
    </row>
    <row r="28517" spans="43:43" x14ac:dyDescent="0.2">
      <c r="AQ28517" s="31"/>
    </row>
    <row r="28518" spans="43:43" x14ac:dyDescent="0.2">
      <c r="AQ28518" s="31"/>
    </row>
    <row r="28519" spans="43:43" x14ac:dyDescent="0.2">
      <c r="AQ28519" s="31"/>
    </row>
    <row r="28520" spans="43:43" x14ac:dyDescent="0.2">
      <c r="AQ28520" s="31"/>
    </row>
    <row r="28521" spans="43:43" x14ac:dyDescent="0.2">
      <c r="AQ28521" s="31"/>
    </row>
    <row r="28522" spans="43:43" x14ac:dyDescent="0.2">
      <c r="AQ28522" s="31"/>
    </row>
    <row r="28523" spans="43:43" x14ac:dyDescent="0.2">
      <c r="AQ28523" s="31"/>
    </row>
    <row r="28524" spans="43:43" x14ac:dyDescent="0.2">
      <c r="AQ28524" s="31"/>
    </row>
    <row r="28525" spans="43:43" x14ac:dyDescent="0.2">
      <c r="AQ28525" s="31"/>
    </row>
    <row r="28526" spans="43:43" x14ac:dyDescent="0.2">
      <c r="AQ28526" s="31"/>
    </row>
    <row r="28527" spans="43:43" x14ac:dyDescent="0.2">
      <c r="AQ28527" s="31"/>
    </row>
    <row r="28528" spans="43:43" x14ac:dyDescent="0.2">
      <c r="AQ28528" s="31"/>
    </row>
    <row r="28529" spans="43:43" x14ac:dyDescent="0.2">
      <c r="AQ28529" s="31"/>
    </row>
    <row r="28530" spans="43:43" x14ac:dyDescent="0.2">
      <c r="AQ28530" s="31"/>
    </row>
    <row r="28531" spans="43:43" x14ac:dyDescent="0.2">
      <c r="AQ28531" s="31"/>
    </row>
    <row r="28532" spans="43:43" x14ac:dyDescent="0.2">
      <c r="AQ28532" s="31"/>
    </row>
    <row r="28533" spans="43:43" x14ac:dyDescent="0.2">
      <c r="AQ28533" s="31"/>
    </row>
    <row r="28534" spans="43:43" x14ac:dyDescent="0.2">
      <c r="AQ28534" s="31"/>
    </row>
    <row r="28535" spans="43:43" x14ac:dyDescent="0.2">
      <c r="AQ28535" s="31"/>
    </row>
    <row r="28536" spans="43:43" x14ac:dyDescent="0.2">
      <c r="AQ28536" s="31"/>
    </row>
    <row r="28537" spans="43:43" x14ac:dyDescent="0.2">
      <c r="AQ28537" s="31"/>
    </row>
    <row r="28538" spans="43:43" x14ac:dyDescent="0.2">
      <c r="AQ28538" s="31"/>
    </row>
    <row r="28539" spans="43:43" x14ac:dyDescent="0.2">
      <c r="AQ28539" s="31"/>
    </row>
    <row r="28540" spans="43:43" x14ac:dyDescent="0.2">
      <c r="AQ28540" s="31"/>
    </row>
    <row r="28541" spans="43:43" x14ac:dyDescent="0.2">
      <c r="AQ28541" s="31"/>
    </row>
    <row r="28542" spans="43:43" x14ac:dyDescent="0.2">
      <c r="AQ28542" s="31"/>
    </row>
    <row r="28543" spans="43:43" x14ac:dyDescent="0.2">
      <c r="AQ28543" s="31"/>
    </row>
    <row r="28544" spans="43:43" x14ac:dyDescent="0.2">
      <c r="AQ28544" s="31"/>
    </row>
    <row r="28545" spans="43:43" x14ac:dyDescent="0.2">
      <c r="AQ28545" s="31"/>
    </row>
    <row r="28546" spans="43:43" x14ac:dyDescent="0.2">
      <c r="AQ28546" s="31"/>
    </row>
    <row r="28547" spans="43:43" x14ac:dyDescent="0.2">
      <c r="AQ28547" s="31"/>
    </row>
    <row r="28548" spans="43:43" x14ac:dyDescent="0.2">
      <c r="AQ28548" s="31"/>
    </row>
    <row r="28549" spans="43:43" x14ac:dyDescent="0.2">
      <c r="AQ28549" s="31"/>
    </row>
    <row r="28550" spans="43:43" x14ac:dyDescent="0.2">
      <c r="AQ28550" s="31"/>
    </row>
    <row r="28551" spans="43:43" x14ac:dyDescent="0.2">
      <c r="AQ28551" s="31"/>
    </row>
    <row r="28552" spans="43:43" x14ac:dyDescent="0.2">
      <c r="AQ28552" s="31"/>
    </row>
    <row r="28553" spans="43:43" x14ac:dyDescent="0.2">
      <c r="AQ28553" s="31"/>
    </row>
    <row r="28554" spans="43:43" x14ac:dyDescent="0.2">
      <c r="AQ28554" s="31"/>
    </row>
    <row r="28555" spans="43:43" x14ac:dyDescent="0.2">
      <c r="AQ28555" s="31"/>
    </row>
    <row r="28556" spans="43:43" x14ac:dyDescent="0.2">
      <c r="AQ28556" s="31"/>
    </row>
    <row r="28557" spans="43:43" x14ac:dyDescent="0.2">
      <c r="AQ28557" s="31"/>
    </row>
    <row r="28558" spans="43:43" x14ac:dyDescent="0.2">
      <c r="AQ28558" s="31"/>
    </row>
    <row r="28559" spans="43:43" x14ac:dyDescent="0.2">
      <c r="AQ28559" s="31"/>
    </row>
    <row r="28560" spans="43:43" x14ac:dyDescent="0.2">
      <c r="AQ28560" s="31"/>
    </row>
    <row r="28561" spans="43:43" x14ac:dyDescent="0.2">
      <c r="AQ28561" s="31"/>
    </row>
    <row r="28562" spans="43:43" x14ac:dyDescent="0.2">
      <c r="AQ28562" s="31"/>
    </row>
    <row r="28563" spans="43:43" x14ac:dyDescent="0.2">
      <c r="AQ28563" s="31"/>
    </row>
    <row r="28564" spans="43:43" x14ac:dyDescent="0.2">
      <c r="AQ28564" s="31"/>
    </row>
    <row r="28565" spans="43:43" x14ac:dyDescent="0.2">
      <c r="AQ28565" s="31"/>
    </row>
    <row r="28566" spans="43:43" x14ac:dyDescent="0.2">
      <c r="AQ28566" s="31"/>
    </row>
    <row r="28567" spans="43:43" x14ac:dyDescent="0.2">
      <c r="AQ28567" s="31"/>
    </row>
    <row r="28568" spans="43:43" x14ac:dyDescent="0.2">
      <c r="AQ28568" s="31"/>
    </row>
    <row r="28569" spans="43:43" x14ac:dyDescent="0.2">
      <c r="AQ28569" s="31"/>
    </row>
    <row r="28570" spans="43:43" x14ac:dyDescent="0.2">
      <c r="AQ28570" s="31"/>
    </row>
    <row r="28571" spans="43:43" x14ac:dyDescent="0.2">
      <c r="AQ28571" s="31"/>
    </row>
    <row r="28572" spans="43:43" x14ac:dyDescent="0.2">
      <c r="AQ28572" s="31"/>
    </row>
    <row r="28573" spans="43:43" x14ac:dyDescent="0.2">
      <c r="AQ28573" s="31"/>
    </row>
    <row r="28574" spans="43:43" x14ac:dyDescent="0.2">
      <c r="AQ28574" s="31"/>
    </row>
    <row r="28575" spans="43:43" x14ac:dyDescent="0.2">
      <c r="AQ28575" s="31"/>
    </row>
    <row r="28576" spans="43:43" x14ac:dyDescent="0.2">
      <c r="AQ28576" s="31"/>
    </row>
    <row r="28577" spans="43:43" x14ac:dyDescent="0.2">
      <c r="AQ28577" s="31"/>
    </row>
    <row r="28578" spans="43:43" x14ac:dyDescent="0.2">
      <c r="AQ28578" s="31"/>
    </row>
    <row r="28579" spans="43:43" x14ac:dyDescent="0.2">
      <c r="AQ28579" s="31"/>
    </row>
    <row r="28580" spans="43:43" x14ac:dyDescent="0.2">
      <c r="AQ28580" s="31"/>
    </row>
    <row r="28581" spans="43:43" x14ac:dyDescent="0.2">
      <c r="AQ28581" s="31"/>
    </row>
    <row r="28582" spans="43:43" x14ac:dyDescent="0.2">
      <c r="AQ28582" s="31"/>
    </row>
    <row r="28583" spans="43:43" x14ac:dyDescent="0.2">
      <c r="AQ28583" s="31"/>
    </row>
    <row r="28584" spans="43:43" x14ac:dyDescent="0.2">
      <c r="AQ28584" s="31"/>
    </row>
    <row r="28585" spans="43:43" x14ac:dyDescent="0.2">
      <c r="AQ28585" s="31"/>
    </row>
    <row r="28586" spans="43:43" x14ac:dyDescent="0.2">
      <c r="AQ28586" s="31"/>
    </row>
    <row r="28587" spans="43:43" x14ac:dyDescent="0.2">
      <c r="AQ28587" s="31"/>
    </row>
    <row r="28588" spans="43:43" x14ac:dyDescent="0.2">
      <c r="AQ28588" s="31"/>
    </row>
    <row r="28589" spans="43:43" x14ac:dyDescent="0.2">
      <c r="AQ28589" s="31"/>
    </row>
    <row r="28590" spans="43:43" x14ac:dyDescent="0.2">
      <c r="AQ28590" s="31"/>
    </row>
    <row r="28591" spans="43:43" x14ac:dyDescent="0.2">
      <c r="AQ28591" s="31"/>
    </row>
    <row r="28592" spans="43:43" x14ac:dyDescent="0.2">
      <c r="AQ28592" s="31"/>
    </row>
    <row r="28593" spans="43:43" x14ac:dyDescent="0.2">
      <c r="AQ28593" s="31"/>
    </row>
    <row r="28594" spans="43:43" x14ac:dyDescent="0.2">
      <c r="AQ28594" s="31"/>
    </row>
    <row r="28595" spans="43:43" x14ac:dyDescent="0.2">
      <c r="AQ28595" s="31"/>
    </row>
    <row r="28596" spans="43:43" x14ac:dyDescent="0.2">
      <c r="AQ28596" s="31"/>
    </row>
    <row r="28597" spans="43:43" x14ac:dyDescent="0.2">
      <c r="AQ28597" s="31"/>
    </row>
    <row r="28598" spans="43:43" x14ac:dyDescent="0.2">
      <c r="AQ28598" s="31"/>
    </row>
    <row r="28599" spans="43:43" x14ac:dyDescent="0.2">
      <c r="AQ28599" s="31"/>
    </row>
    <row r="28600" spans="43:43" x14ac:dyDescent="0.2">
      <c r="AQ28600" s="31"/>
    </row>
    <row r="28601" spans="43:43" x14ac:dyDescent="0.2">
      <c r="AQ28601" s="31"/>
    </row>
    <row r="28602" spans="43:43" x14ac:dyDescent="0.2">
      <c r="AQ28602" s="31"/>
    </row>
    <row r="28603" spans="43:43" x14ac:dyDescent="0.2">
      <c r="AQ28603" s="31"/>
    </row>
    <row r="28604" spans="43:43" x14ac:dyDescent="0.2">
      <c r="AQ28604" s="31"/>
    </row>
    <row r="28605" spans="43:43" x14ac:dyDescent="0.2">
      <c r="AQ28605" s="31"/>
    </row>
    <row r="28606" spans="43:43" x14ac:dyDescent="0.2">
      <c r="AQ28606" s="31"/>
    </row>
    <row r="28607" spans="43:43" x14ac:dyDescent="0.2">
      <c r="AQ28607" s="31"/>
    </row>
    <row r="28608" spans="43:43" x14ac:dyDescent="0.2">
      <c r="AQ28608" s="31"/>
    </row>
    <row r="28609" spans="43:43" x14ac:dyDescent="0.2">
      <c r="AQ28609" s="31"/>
    </row>
    <row r="28610" spans="43:43" x14ac:dyDescent="0.2">
      <c r="AQ28610" s="31"/>
    </row>
    <row r="28611" spans="43:43" x14ac:dyDescent="0.2">
      <c r="AQ28611" s="31"/>
    </row>
    <row r="28612" spans="43:43" x14ac:dyDescent="0.2">
      <c r="AQ28612" s="31"/>
    </row>
    <row r="28613" spans="43:43" x14ac:dyDescent="0.2">
      <c r="AQ28613" s="31"/>
    </row>
    <row r="28614" spans="43:43" x14ac:dyDescent="0.2">
      <c r="AQ28614" s="31"/>
    </row>
    <row r="28615" spans="43:43" x14ac:dyDescent="0.2">
      <c r="AQ28615" s="31"/>
    </row>
    <row r="28616" spans="43:43" x14ac:dyDescent="0.2">
      <c r="AQ28616" s="31"/>
    </row>
    <row r="28617" spans="43:43" x14ac:dyDescent="0.2">
      <c r="AQ28617" s="31"/>
    </row>
    <row r="28618" spans="43:43" x14ac:dyDescent="0.2">
      <c r="AQ28618" s="31"/>
    </row>
    <row r="28619" spans="43:43" x14ac:dyDescent="0.2">
      <c r="AQ28619" s="31"/>
    </row>
    <row r="28620" spans="43:43" x14ac:dyDescent="0.2">
      <c r="AQ28620" s="31"/>
    </row>
    <row r="28621" spans="43:43" x14ac:dyDescent="0.2">
      <c r="AQ28621" s="31"/>
    </row>
    <row r="28622" spans="43:43" x14ac:dyDescent="0.2">
      <c r="AQ28622" s="31"/>
    </row>
    <row r="28623" spans="43:43" x14ac:dyDescent="0.2">
      <c r="AQ28623" s="31"/>
    </row>
    <row r="28624" spans="43:43" x14ac:dyDescent="0.2">
      <c r="AQ28624" s="31"/>
    </row>
    <row r="28625" spans="43:43" x14ac:dyDescent="0.2">
      <c r="AQ28625" s="31"/>
    </row>
    <row r="28626" spans="43:43" x14ac:dyDescent="0.2">
      <c r="AQ28626" s="31"/>
    </row>
    <row r="28627" spans="43:43" x14ac:dyDescent="0.2">
      <c r="AQ28627" s="31"/>
    </row>
    <row r="28628" spans="43:43" x14ac:dyDescent="0.2">
      <c r="AQ28628" s="31"/>
    </row>
    <row r="28629" spans="43:43" x14ac:dyDescent="0.2">
      <c r="AQ28629" s="31"/>
    </row>
    <row r="28630" spans="43:43" x14ac:dyDescent="0.2">
      <c r="AQ28630" s="31"/>
    </row>
    <row r="28631" spans="43:43" x14ac:dyDescent="0.2">
      <c r="AQ28631" s="31"/>
    </row>
    <row r="28632" spans="43:43" x14ac:dyDescent="0.2">
      <c r="AQ28632" s="31"/>
    </row>
    <row r="28633" spans="43:43" x14ac:dyDescent="0.2">
      <c r="AQ28633" s="31"/>
    </row>
    <row r="28634" spans="43:43" x14ac:dyDescent="0.2">
      <c r="AQ28634" s="31"/>
    </row>
    <row r="28635" spans="43:43" x14ac:dyDescent="0.2">
      <c r="AQ28635" s="31"/>
    </row>
    <row r="28636" spans="43:43" x14ac:dyDescent="0.2">
      <c r="AQ28636" s="31"/>
    </row>
    <row r="28637" spans="43:43" x14ac:dyDescent="0.2">
      <c r="AQ28637" s="31"/>
    </row>
    <row r="28638" spans="43:43" x14ac:dyDescent="0.2">
      <c r="AQ28638" s="31"/>
    </row>
    <row r="28639" spans="43:43" x14ac:dyDescent="0.2">
      <c r="AQ28639" s="31"/>
    </row>
    <row r="28640" spans="43:43" x14ac:dyDescent="0.2">
      <c r="AQ28640" s="31"/>
    </row>
    <row r="28641" spans="43:43" x14ac:dyDescent="0.2">
      <c r="AQ28641" s="31"/>
    </row>
    <row r="28642" spans="43:43" x14ac:dyDescent="0.2">
      <c r="AQ28642" s="31"/>
    </row>
    <row r="28643" spans="43:43" x14ac:dyDescent="0.2">
      <c r="AQ28643" s="31"/>
    </row>
    <row r="28644" spans="43:43" x14ac:dyDescent="0.2">
      <c r="AQ28644" s="31"/>
    </row>
    <row r="28645" spans="43:43" x14ac:dyDescent="0.2">
      <c r="AQ28645" s="31"/>
    </row>
    <row r="28646" spans="43:43" x14ac:dyDescent="0.2">
      <c r="AQ28646" s="31"/>
    </row>
    <row r="28647" spans="43:43" x14ac:dyDescent="0.2">
      <c r="AQ28647" s="31"/>
    </row>
    <row r="28648" spans="43:43" x14ac:dyDescent="0.2">
      <c r="AQ28648" s="31"/>
    </row>
    <row r="28649" spans="43:43" x14ac:dyDescent="0.2">
      <c r="AQ28649" s="31"/>
    </row>
    <row r="28650" spans="43:43" x14ac:dyDescent="0.2">
      <c r="AQ28650" s="31"/>
    </row>
    <row r="28651" spans="43:43" x14ac:dyDescent="0.2">
      <c r="AQ28651" s="31"/>
    </row>
    <row r="28652" spans="43:43" x14ac:dyDescent="0.2">
      <c r="AQ28652" s="31"/>
    </row>
    <row r="28653" spans="43:43" x14ac:dyDescent="0.2">
      <c r="AQ28653" s="31"/>
    </row>
    <row r="28654" spans="43:43" x14ac:dyDescent="0.2">
      <c r="AQ28654" s="31"/>
    </row>
    <row r="28655" spans="43:43" x14ac:dyDescent="0.2">
      <c r="AQ28655" s="31"/>
    </row>
    <row r="28656" spans="43:43" x14ac:dyDescent="0.2">
      <c r="AQ28656" s="31"/>
    </row>
    <row r="28657" spans="43:43" x14ac:dyDescent="0.2">
      <c r="AQ28657" s="31"/>
    </row>
    <row r="28658" spans="43:43" x14ac:dyDescent="0.2">
      <c r="AQ28658" s="31"/>
    </row>
    <row r="28659" spans="43:43" x14ac:dyDescent="0.2">
      <c r="AQ28659" s="31"/>
    </row>
    <row r="28660" spans="43:43" x14ac:dyDescent="0.2">
      <c r="AQ28660" s="31"/>
    </row>
    <row r="28661" spans="43:43" x14ac:dyDescent="0.2">
      <c r="AQ28661" s="31"/>
    </row>
    <row r="28662" spans="43:43" x14ac:dyDescent="0.2">
      <c r="AQ28662" s="31"/>
    </row>
    <row r="28663" spans="43:43" x14ac:dyDescent="0.2">
      <c r="AQ28663" s="31"/>
    </row>
    <row r="28664" spans="43:43" x14ac:dyDescent="0.2">
      <c r="AQ28664" s="31"/>
    </row>
    <row r="28665" spans="43:43" x14ac:dyDescent="0.2">
      <c r="AQ28665" s="31"/>
    </row>
    <row r="28666" spans="43:43" x14ac:dyDescent="0.2">
      <c r="AQ28666" s="31"/>
    </row>
    <row r="28667" spans="43:43" x14ac:dyDescent="0.2">
      <c r="AQ28667" s="31"/>
    </row>
    <row r="28668" spans="43:43" x14ac:dyDescent="0.2">
      <c r="AQ28668" s="31"/>
    </row>
    <row r="28669" spans="43:43" x14ac:dyDescent="0.2">
      <c r="AQ28669" s="31"/>
    </row>
    <row r="28670" spans="43:43" x14ac:dyDescent="0.2">
      <c r="AQ28670" s="31"/>
    </row>
    <row r="28671" spans="43:43" x14ac:dyDescent="0.2">
      <c r="AQ28671" s="31"/>
    </row>
    <row r="28672" spans="43:43" x14ac:dyDescent="0.2">
      <c r="AQ28672" s="31"/>
    </row>
    <row r="28673" spans="43:43" x14ac:dyDescent="0.2">
      <c r="AQ28673" s="31"/>
    </row>
    <row r="28674" spans="43:43" x14ac:dyDescent="0.2">
      <c r="AQ28674" s="31"/>
    </row>
    <row r="28675" spans="43:43" x14ac:dyDescent="0.2">
      <c r="AQ28675" s="31"/>
    </row>
    <row r="28676" spans="43:43" x14ac:dyDescent="0.2">
      <c r="AQ28676" s="31"/>
    </row>
    <row r="28677" spans="43:43" x14ac:dyDescent="0.2">
      <c r="AQ28677" s="31"/>
    </row>
    <row r="28678" spans="43:43" x14ac:dyDescent="0.2">
      <c r="AQ28678" s="31"/>
    </row>
    <row r="28679" spans="43:43" x14ac:dyDescent="0.2">
      <c r="AQ28679" s="31"/>
    </row>
    <row r="28680" spans="43:43" x14ac:dyDescent="0.2">
      <c r="AQ28680" s="31"/>
    </row>
    <row r="28681" spans="43:43" x14ac:dyDescent="0.2">
      <c r="AQ28681" s="31"/>
    </row>
    <row r="28682" spans="43:43" x14ac:dyDescent="0.2">
      <c r="AQ28682" s="31"/>
    </row>
    <row r="28683" spans="43:43" x14ac:dyDescent="0.2">
      <c r="AQ28683" s="31"/>
    </row>
    <row r="28684" spans="43:43" x14ac:dyDescent="0.2">
      <c r="AQ28684" s="31"/>
    </row>
    <row r="28685" spans="43:43" x14ac:dyDescent="0.2">
      <c r="AQ28685" s="31"/>
    </row>
    <row r="28686" spans="43:43" x14ac:dyDescent="0.2">
      <c r="AQ28686" s="31"/>
    </row>
    <row r="28687" spans="43:43" x14ac:dyDescent="0.2">
      <c r="AQ28687" s="31"/>
    </row>
    <row r="28688" spans="43:43" x14ac:dyDescent="0.2">
      <c r="AQ28688" s="31"/>
    </row>
    <row r="28689" spans="43:43" x14ac:dyDescent="0.2">
      <c r="AQ28689" s="31"/>
    </row>
    <row r="28690" spans="43:43" x14ac:dyDescent="0.2">
      <c r="AQ28690" s="31"/>
    </row>
    <row r="28691" spans="43:43" x14ac:dyDescent="0.2">
      <c r="AQ28691" s="31"/>
    </row>
    <row r="28692" spans="43:43" x14ac:dyDescent="0.2">
      <c r="AQ28692" s="31"/>
    </row>
    <row r="28693" spans="43:43" x14ac:dyDescent="0.2">
      <c r="AQ28693" s="31"/>
    </row>
    <row r="28694" spans="43:43" x14ac:dyDescent="0.2">
      <c r="AQ28694" s="31"/>
    </row>
    <row r="28695" spans="43:43" x14ac:dyDescent="0.2">
      <c r="AQ28695" s="31"/>
    </row>
    <row r="28696" spans="43:43" x14ac:dyDescent="0.2">
      <c r="AQ28696" s="31"/>
    </row>
    <row r="28697" spans="43:43" x14ac:dyDescent="0.2">
      <c r="AQ28697" s="31"/>
    </row>
    <row r="28698" spans="43:43" x14ac:dyDescent="0.2">
      <c r="AQ28698" s="31"/>
    </row>
    <row r="28699" spans="43:43" x14ac:dyDescent="0.2">
      <c r="AQ28699" s="31"/>
    </row>
    <row r="28700" spans="43:43" x14ac:dyDescent="0.2">
      <c r="AQ28700" s="31"/>
    </row>
    <row r="28701" spans="43:43" x14ac:dyDescent="0.2">
      <c r="AQ28701" s="31"/>
    </row>
    <row r="28702" spans="43:43" x14ac:dyDescent="0.2">
      <c r="AQ28702" s="31"/>
    </row>
    <row r="28703" spans="43:43" x14ac:dyDescent="0.2">
      <c r="AQ28703" s="31"/>
    </row>
    <row r="28704" spans="43:43" x14ac:dyDescent="0.2">
      <c r="AQ28704" s="31"/>
    </row>
    <row r="28705" spans="43:43" x14ac:dyDescent="0.2">
      <c r="AQ28705" s="31"/>
    </row>
    <row r="28706" spans="43:43" x14ac:dyDescent="0.2">
      <c r="AQ28706" s="31"/>
    </row>
    <row r="28707" spans="43:43" x14ac:dyDescent="0.2">
      <c r="AQ28707" s="31"/>
    </row>
    <row r="28708" spans="43:43" x14ac:dyDescent="0.2">
      <c r="AQ28708" s="31"/>
    </row>
    <row r="28709" spans="43:43" x14ac:dyDescent="0.2">
      <c r="AQ28709" s="31"/>
    </row>
    <row r="28710" spans="43:43" x14ac:dyDescent="0.2">
      <c r="AQ28710" s="31"/>
    </row>
    <row r="28711" spans="43:43" x14ac:dyDescent="0.2">
      <c r="AQ28711" s="31"/>
    </row>
    <row r="28712" spans="43:43" x14ac:dyDescent="0.2">
      <c r="AQ28712" s="31"/>
    </row>
    <row r="28713" spans="43:43" x14ac:dyDescent="0.2">
      <c r="AQ28713" s="31"/>
    </row>
    <row r="28714" spans="43:43" x14ac:dyDescent="0.2">
      <c r="AQ28714" s="31"/>
    </row>
    <row r="28715" spans="43:43" x14ac:dyDescent="0.2">
      <c r="AQ28715" s="31"/>
    </row>
    <row r="28716" spans="43:43" x14ac:dyDescent="0.2">
      <c r="AQ28716" s="31"/>
    </row>
    <row r="28717" spans="43:43" x14ac:dyDescent="0.2">
      <c r="AQ28717" s="31"/>
    </row>
    <row r="28718" spans="43:43" x14ac:dyDescent="0.2">
      <c r="AQ28718" s="31"/>
    </row>
    <row r="28719" spans="43:43" x14ac:dyDescent="0.2">
      <c r="AQ28719" s="31"/>
    </row>
    <row r="28720" spans="43:43" x14ac:dyDescent="0.2">
      <c r="AQ28720" s="31"/>
    </row>
    <row r="28721" spans="43:43" x14ac:dyDescent="0.2">
      <c r="AQ28721" s="31"/>
    </row>
    <row r="28722" spans="43:43" x14ac:dyDescent="0.2">
      <c r="AQ28722" s="31"/>
    </row>
    <row r="28723" spans="43:43" x14ac:dyDescent="0.2">
      <c r="AQ28723" s="31"/>
    </row>
    <row r="28724" spans="43:43" x14ac:dyDescent="0.2">
      <c r="AQ28724" s="31"/>
    </row>
    <row r="28725" spans="43:43" x14ac:dyDescent="0.2">
      <c r="AQ28725" s="31"/>
    </row>
    <row r="28726" spans="43:43" x14ac:dyDescent="0.2">
      <c r="AQ28726" s="31"/>
    </row>
    <row r="28727" spans="43:43" x14ac:dyDescent="0.2">
      <c r="AQ28727" s="31"/>
    </row>
    <row r="28728" spans="43:43" x14ac:dyDescent="0.2">
      <c r="AQ28728" s="31"/>
    </row>
    <row r="28729" spans="43:43" x14ac:dyDescent="0.2">
      <c r="AQ28729" s="31"/>
    </row>
    <row r="28730" spans="43:43" x14ac:dyDescent="0.2">
      <c r="AQ28730" s="31"/>
    </row>
    <row r="28731" spans="43:43" x14ac:dyDescent="0.2">
      <c r="AQ28731" s="31"/>
    </row>
    <row r="28732" spans="43:43" x14ac:dyDescent="0.2">
      <c r="AQ28732" s="31"/>
    </row>
    <row r="28733" spans="43:43" x14ac:dyDescent="0.2">
      <c r="AQ28733" s="31"/>
    </row>
    <row r="28734" spans="43:43" x14ac:dyDescent="0.2">
      <c r="AQ28734" s="31"/>
    </row>
    <row r="28735" spans="43:43" x14ac:dyDescent="0.2">
      <c r="AQ28735" s="31"/>
    </row>
    <row r="28736" spans="43:43" x14ac:dyDescent="0.2">
      <c r="AQ28736" s="31"/>
    </row>
    <row r="28737" spans="43:43" x14ac:dyDescent="0.2">
      <c r="AQ28737" s="31"/>
    </row>
    <row r="28738" spans="43:43" x14ac:dyDescent="0.2">
      <c r="AQ28738" s="31"/>
    </row>
    <row r="28739" spans="43:43" x14ac:dyDescent="0.2">
      <c r="AQ28739" s="31"/>
    </row>
    <row r="28740" spans="43:43" x14ac:dyDescent="0.2">
      <c r="AQ28740" s="31"/>
    </row>
    <row r="28741" spans="43:43" x14ac:dyDescent="0.2">
      <c r="AQ28741" s="31"/>
    </row>
    <row r="28742" spans="43:43" x14ac:dyDescent="0.2">
      <c r="AQ28742" s="31"/>
    </row>
    <row r="28743" spans="43:43" x14ac:dyDescent="0.2">
      <c r="AQ28743" s="31"/>
    </row>
    <row r="28744" spans="43:43" x14ac:dyDescent="0.2">
      <c r="AQ28744" s="31"/>
    </row>
    <row r="28745" spans="43:43" x14ac:dyDescent="0.2">
      <c r="AQ28745" s="31"/>
    </row>
    <row r="28746" spans="43:43" x14ac:dyDescent="0.2">
      <c r="AQ28746" s="31"/>
    </row>
    <row r="28747" spans="43:43" x14ac:dyDescent="0.2">
      <c r="AQ28747" s="31"/>
    </row>
    <row r="28748" spans="43:43" x14ac:dyDescent="0.2">
      <c r="AQ28748" s="31"/>
    </row>
    <row r="28749" spans="43:43" x14ac:dyDescent="0.2">
      <c r="AQ28749" s="31"/>
    </row>
    <row r="28750" spans="43:43" x14ac:dyDescent="0.2">
      <c r="AQ28750" s="31"/>
    </row>
    <row r="28751" spans="43:43" x14ac:dyDescent="0.2">
      <c r="AQ28751" s="31"/>
    </row>
    <row r="28752" spans="43:43" x14ac:dyDescent="0.2">
      <c r="AQ28752" s="31"/>
    </row>
    <row r="28753" spans="43:43" x14ac:dyDescent="0.2">
      <c r="AQ28753" s="31"/>
    </row>
    <row r="28754" spans="43:43" x14ac:dyDescent="0.2">
      <c r="AQ28754" s="31"/>
    </row>
    <row r="28755" spans="43:43" x14ac:dyDescent="0.2">
      <c r="AQ28755" s="31"/>
    </row>
    <row r="28756" spans="43:43" x14ac:dyDescent="0.2">
      <c r="AQ28756" s="31"/>
    </row>
    <row r="28757" spans="43:43" x14ac:dyDescent="0.2">
      <c r="AQ28757" s="31"/>
    </row>
    <row r="28758" spans="43:43" x14ac:dyDescent="0.2">
      <c r="AQ28758" s="31"/>
    </row>
    <row r="28759" spans="43:43" x14ac:dyDescent="0.2">
      <c r="AQ28759" s="31"/>
    </row>
    <row r="28760" spans="43:43" x14ac:dyDescent="0.2">
      <c r="AQ28760" s="31"/>
    </row>
    <row r="28761" spans="43:43" x14ac:dyDescent="0.2">
      <c r="AQ28761" s="31"/>
    </row>
    <row r="28762" spans="43:43" x14ac:dyDescent="0.2">
      <c r="AQ28762" s="31"/>
    </row>
    <row r="28763" spans="43:43" x14ac:dyDescent="0.2">
      <c r="AQ28763" s="31"/>
    </row>
    <row r="28764" spans="43:43" x14ac:dyDescent="0.2">
      <c r="AQ28764" s="31"/>
    </row>
    <row r="28765" spans="43:43" x14ac:dyDescent="0.2">
      <c r="AQ28765" s="31"/>
    </row>
    <row r="28766" spans="43:43" x14ac:dyDescent="0.2">
      <c r="AQ28766" s="31"/>
    </row>
    <row r="28767" spans="43:43" x14ac:dyDescent="0.2">
      <c r="AQ28767" s="31"/>
    </row>
    <row r="28768" spans="43:43" x14ac:dyDescent="0.2">
      <c r="AQ28768" s="31"/>
    </row>
    <row r="28769" spans="43:43" x14ac:dyDescent="0.2">
      <c r="AQ28769" s="31"/>
    </row>
    <row r="28770" spans="43:43" x14ac:dyDescent="0.2">
      <c r="AQ28770" s="31"/>
    </row>
    <row r="28771" spans="43:43" x14ac:dyDescent="0.2">
      <c r="AQ28771" s="31"/>
    </row>
    <row r="28772" spans="43:43" x14ac:dyDescent="0.2">
      <c r="AQ28772" s="31"/>
    </row>
    <row r="28773" spans="43:43" x14ac:dyDescent="0.2">
      <c r="AQ28773" s="31"/>
    </row>
    <row r="28774" spans="43:43" x14ac:dyDescent="0.2">
      <c r="AQ28774" s="31"/>
    </row>
    <row r="28775" spans="43:43" x14ac:dyDescent="0.2">
      <c r="AQ28775" s="31"/>
    </row>
    <row r="28776" spans="43:43" x14ac:dyDescent="0.2">
      <c r="AQ28776" s="31"/>
    </row>
    <row r="28777" spans="43:43" x14ac:dyDescent="0.2">
      <c r="AQ28777" s="31"/>
    </row>
    <row r="28778" spans="43:43" x14ac:dyDescent="0.2">
      <c r="AQ28778" s="31"/>
    </row>
    <row r="28779" spans="43:43" x14ac:dyDescent="0.2">
      <c r="AQ28779" s="31"/>
    </row>
    <row r="28780" spans="43:43" x14ac:dyDescent="0.2">
      <c r="AQ28780" s="31"/>
    </row>
    <row r="28781" spans="43:43" x14ac:dyDescent="0.2">
      <c r="AQ28781" s="31"/>
    </row>
    <row r="28782" spans="43:43" x14ac:dyDescent="0.2">
      <c r="AQ28782" s="31"/>
    </row>
    <row r="28783" spans="43:43" x14ac:dyDescent="0.2">
      <c r="AQ28783" s="31"/>
    </row>
    <row r="28784" spans="43:43" x14ac:dyDescent="0.2">
      <c r="AQ28784" s="31"/>
    </row>
    <row r="28785" spans="43:43" x14ac:dyDescent="0.2">
      <c r="AQ28785" s="31"/>
    </row>
    <row r="28786" spans="43:43" x14ac:dyDescent="0.2">
      <c r="AQ28786" s="31"/>
    </row>
    <row r="28787" spans="43:43" x14ac:dyDescent="0.2">
      <c r="AQ28787" s="31"/>
    </row>
    <row r="28788" spans="43:43" x14ac:dyDescent="0.2">
      <c r="AQ28788" s="31"/>
    </row>
    <row r="28789" spans="43:43" x14ac:dyDescent="0.2">
      <c r="AQ28789" s="31"/>
    </row>
    <row r="28790" spans="43:43" x14ac:dyDescent="0.2">
      <c r="AQ28790" s="31"/>
    </row>
    <row r="28791" spans="43:43" x14ac:dyDescent="0.2">
      <c r="AQ28791" s="31"/>
    </row>
    <row r="28792" spans="43:43" x14ac:dyDescent="0.2">
      <c r="AQ28792" s="31"/>
    </row>
    <row r="28793" spans="43:43" x14ac:dyDescent="0.2">
      <c r="AQ28793" s="31"/>
    </row>
    <row r="28794" spans="43:43" x14ac:dyDescent="0.2">
      <c r="AQ28794" s="31"/>
    </row>
    <row r="28795" spans="43:43" x14ac:dyDescent="0.2">
      <c r="AQ28795" s="31"/>
    </row>
    <row r="28796" spans="43:43" x14ac:dyDescent="0.2">
      <c r="AQ28796" s="31"/>
    </row>
    <row r="28797" spans="43:43" x14ac:dyDescent="0.2">
      <c r="AQ28797" s="31"/>
    </row>
    <row r="28798" spans="43:43" x14ac:dyDescent="0.2">
      <c r="AQ28798" s="31"/>
    </row>
    <row r="28799" spans="43:43" x14ac:dyDescent="0.2">
      <c r="AQ28799" s="31"/>
    </row>
    <row r="28800" spans="43:43" x14ac:dyDescent="0.2">
      <c r="AQ28800" s="31"/>
    </row>
    <row r="28801" spans="43:43" x14ac:dyDescent="0.2">
      <c r="AQ28801" s="31"/>
    </row>
    <row r="28802" spans="43:43" x14ac:dyDescent="0.2">
      <c r="AQ28802" s="31"/>
    </row>
    <row r="28803" spans="43:43" x14ac:dyDescent="0.2">
      <c r="AQ28803" s="31"/>
    </row>
    <row r="28804" spans="43:43" x14ac:dyDescent="0.2">
      <c r="AQ28804" s="31"/>
    </row>
    <row r="28805" spans="43:43" x14ac:dyDescent="0.2">
      <c r="AQ28805" s="31"/>
    </row>
    <row r="28806" spans="43:43" x14ac:dyDescent="0.2">
      <c r="AQ28806" s="31"/>
    </row>
    <row r="28807" spans="43:43" x14ac:dyDescent="0.2">
      <c r="AQ28807" s="31"/>
    </row>
    <row r="28808" spans="43:43" x14ac:dyDescent="0.2">
      <c r="AQ28808" s="31"/>
    </row>
    <row r="28809" spans="43:43" x14ac:dyDescent="0.2">
      <c r="AQ28809" s="31"/>
    </row>
    <row r="28810" spans="43:43" x14ac:dyDescent="0.2">
      <c r="AQ28810" s="31"/>
    </row>
    <row r="28811" spans="43:43" x14ac:dyDescent="0.2">
      <c r="AQ28811" s="31"/>
    </row>
    <row r="28812" spans="43:43" x14ac:dyDescent="0.2">
      <c r="AQ28812" s="31"/>
    </row>
    <row r="28813" spans="43:43" x14ac:dyDescent="0.2">
      <c r="AQ28813" s="31"/>
    </row>
    <row r="28814" spans="43:43" x14ac:dyDescent="0.2">
      <c r="AQ28814" s="31"/>
    </row>
    <row r="28815" spans="43:43" x14ac:dyDescent="0.2">
      <c r="AQ28815" s="31"/>
    </row>
    <row r="28816" spans="43:43" x14ac:dyDescent="0.2">
      <c r="AQ28816" s="31"/>
    </row>
    <row r="28817" spans="43:43" x14ac:dyDescent="0.2">
      <c r="AQ28817" s="31"/>
    </row>
    <row r="28818" spans="43:43" x14ac:dyDescent="0.2">
      <c r="AQ28818" s="31"/>
    </row>
    <row r="28819" spans="43:43" x14ac:dyDescent="0.2">
      <c r="AQ28819" s="31"/>
    </row>
    <row r="28820" spans="43:43" x14ac:dyDescent="0.2">
      <c r="AQ28820" s="31"/>
    </row>
    <row r="28821" spans="43:43" x14ac:dyDescent="0.2">
      <c r="AQ28821" s="31"/>
    </row>
    <row r="28822" spans="43:43" x14ac:dyDescent="0.2">
      <c r="AQ28822" s="31"/>
    </row>
    <row r="28823" spans="43:43" x14ac:dyDescent="0.2">
      <c r="AQ28823" s="31"/>
    </row>
    <row r="28824" spans="43:43" x14ac:dyDescent="0.2">
      <c r="AQ28824" s="31"/>
    </row>
    <row r="28825" spans="43:43" x14ac:dyDescent="0.2">
      <c r="AQ28825" s="31"/>
    </row>
    <row r="28826" spans="43:43" x14ac:dyDescent="0.2">
      <c r="AQ28826" s="31"/>
    </row>
    <row r="28827" spans="43:43" x14ac:dyDescent="0.2">
      <c r="AQ28827" s="31"/>
    </row>
    <row r="28828" spans="43:43" x14ac:dyDescent="0.2">
      <c r="AQ28828" s="31"/>
    </row>
    <row r="28829" spans="43:43" x14ac:dyDescent="0.2">
      <c r="AQ28829" s="31"/>
    </row>
    <row r="28830" spans="43:43" x14ac:dyDescent="0.2">
      <c r="AQ28830" s="31"/>
    </row>
    <row r="28831" spans="43:43" x14ac:dyDescent="0.2">
      <c r="AQ28831" s="31"/>
    </row>
    <row r="28832" spans="43:43" x14ac:dyDescent="0.2">
      <c r="AQ28832" s="31"/>
    </row>
    <row r="28833" spans="43:43" x14ac:dyDescent="0.2">
      <c r="AQ28833" s="31"/>
    </row>
    <row r="28834" spans="43:43" x14ac:dyDescent="0.2">
      <c r="AQ28834" s="31"/>
    </row>
    <row r="28835" spans="43:43" x14ac:dyDescent="0.2">
      <c r="AQ28835" s="31"/>
    </row>
    <row r="28836" spans="43:43" x14ac:dyDescent="0.2">
      <c r="AQ28836" s="31"/>
    </row>
    <row r="28837" spans="43:43" x14ac:dyDescent="0.2">
      <c r="AQ28837" s="31"/>
    </row>
    <row r="28838" spans="43:43" x14ac:dyDescent="0.2">
      <c r="AQ28838" s="31"/>
    </row>
    <row r="28839" spans="43:43" x14ac:dyDescent="0.2">
      <c r="AQ28839" s="31"/>
    </row>
    <row r="28840" spans="43:43" x14ac:dyDescent="0.2">
      <c r="AQ28840" s="31"/>
    </row>
    <row r="28841" spans="43:43" x14ac:dyDescent="0.2">
      <c r="AQ28841" s="31"/>
    </row>
    <row r="28842" spans="43:43" x14ac:dyDescent="0.2">
      <c r="AQ28842" s="31"/>
    </row>
    <row r="28843" spans="43:43" x14ac:dyDescent="0.2">
      <c r="AQ28843" s="31"/>
    </row>
    <row r="28844" spans="43:43" x14ac:dyDescent="0.2">
      <c r="AQ28844" s="31"/>
    </row>
    <row r="28845" spans="43:43" x14ac:dyDescent="0.2">
      <c r="AQ28845" s="31"/>
    </row>
    <row r="28846" spans="43:43" x14ac:dyDescent="0.2">
      <c r="AQ28846" s="31"/>
    </row>
    <row r="28847" spans="43:43" x14ac:dyDescent="0.2">
      <c r="AQ28847" s="31"/>
    </row>
    <row r="28848" spans="43:43" x14ac:dyDescent="0.2">
      <c r="AQ28848" s="31"/>
    </row>
    <row r="28849" spans="43:43" x14ac:dyDescent="0.2">
      <c r="AQ28849" s="31"/>
    </row>
    <row r="28850" spans="43:43" x14ac:dyDescent="0.2">
      <c r="AQ28850" s="31"/>
    </row>
    <row r="28851" spans="43:43" x14ac:dyDescent="0.2">
      <c r="AQ28851" s="31"/>
    </row>
    <row r="28852" spans="43:43" x14ac:dyDescent="0.2">
      <c r="AQ28852" s="31"/>
    </row>
    <row r="28853" spans="43:43" x14ac:dyDescent="0.2">
      <c r="AQ28853" s="31"/>
    </row>
    <row r="28854" spans="43:43" x14ac:dyDescent="0.2">
      <c r="AQ28854" s="31"/>
    </row>
    <row r="28855" spans="43:43" x14ac:dyDescent="0.2">
      <c r="AQ28855" s="31"/>
    </row>
    <row r="28856" spans="43:43" x14ac:dyDescent="0.2">
      <c r="AQ28856" s="31"/>
    </row>
    <row r="28857" spans="43:43" x14ac:dyDescent="0.2">
      <c r="AQ28857" s="31"/>
    </row>
    <row r="28858" spans="43:43" x14ac:dyDescent="0.2">
      <c r="AQ28858" s="31"/>
    </row>
    <row r="28859" spans="43:43" x14ac:dyDescent="0.2">
      <c r="AQ28859" s="31"/>
    </row>
    <row r="28860" spans="43:43" x14ac:dyDescent="0.2">
      <c r="AQ28860" s="31"/>
    </row>
    <row r="28861" spans="43:43" x14ac:dyDescent="0.2">
      <c r="AQ28861" s="31"/>
    </row>
    <row r="28862" spans="43:43" x14ac:dyDescent="0.2">
      <c r="AQ28862" s="31"/>
    </row>
    <row r="28863" spans="43:43" x14ac:dyDescent="0.2">
      <c r="AQ28863" s="31"/>
    </row>
    <row r="28864" spans="43:43" x14ac:dyDescent="0.2">
      <c r="AQ28864" s="31"/>
    </row>
    <row r="28865" spans="43:43" x14ac:dyDescent="0.2">
      <c r="AQ28865" s="31"/>
    </row>
    <row r="28866" spans="43:43" x14ac:dyDescent="0.2">
      <c r="AQ28866" s="31"/>
    </row>
    <row r="28867" spans="43:43" x14ac:dyDescent="0.2">
      <c r="AQ28867" s="31"/>
    </row>
    <row r="28868" spans="43:43" x14ac:dyDescent="0.2">
      <c r="AQ28868" s="31"/>
    </row>
    <row r="28869" spans="43:43" x14ac:dyDescent="0.2">
      <c r="AQ28869" s="31"/>
    </row>
    <row r="28870" spans="43:43" x14ac:dyDescent="0.2">
      <c r="AQ28870" s="31"/>
    </row>
    <row r="28871" spans="43:43" x14ac:dyDescent="0.2">
      <c r="AQ28871" s="31"/>
    </row>
    <row r="28872" spans="43:43" x14ac:dyDescent="0.2">
      <c r="AQ28872" s="31"/>
    </row>
    <row r="28873" spans="43:43" x14ac:dyDescent="0.2">
      <c r="AQ28873" s="31"/>
    </row>
    <row r="28874" spans="43:43" x14ac:dyDescent="0.2">
      <c r="AQ28874" s="31"/>
    </row>
    <row r="28875" spans="43:43" x14ac:dyDescent="0.2">
      <c r="AQ28875" s="31"/>
    </row>
    <row r="28876" spans="43:43" x14ac:dyDescent="0.2">
      <c r="AQ28876" s="31"/>
    </row>
    <row r="28877" spans="43:43" x14ac:dyDescent="0.2">
      <c r="AQ28877" s="31"/>
    </row>
    <row r="28878" spans="43:43" x14ac:dyDescent="0.2">
      <c r="AQ28878" s="31"/>
    </row>
    <row r="28879" spans="43:43" x14ac:dyDescent="0.2">
      <c r="AQ28879" s="31"/>
    </row>
    <row r="28880" spans="43:43" x14ac:dyDescent="0.2">
      <c r="AQ28880" s="31"/>
    </row>
    <row r="28881" spans="43:43" x14ac:dyDescent="0.2">
      <c r="AQ28881" s="31"/>
    </row>
    <row r="28882" spans="43:43" x14ac:dyDescent="0.2">
      <c r="AQ28882" s="31"/>
    </row>
    <row r="28883" spans="43:43" x14ac:dyDescent="0.2">
      <c r="AQ28883" s="31"/>
    </row>
    <row r="28884" spans="43:43" x14ac:dyDescent="0.2">
      <c r="AQ28884" s="31"/>
    </row>
    <row r="28885" spans="43:43" x14ac:dyDescent="0.2">
      <c r="AQ28885" s="31"/>
    </row>
    <row r="28886" spans="43:43" x14ac:dyDescent="0.2">
      <c r="AQ28886" s="31"/>
    </row>
    <row r="28887" spans="43:43" x14ac:dyDescent="0.2">
      <c r="AQ28887" s="31"/>
    </row>
    <row r="28888" spans="43:43" x14ac:dyDescent="0.2">
      <c r="AQ28888" s="31"/>
    </row>
    <row r="28889" spans="43:43" x14ac:dyDescent="0.2">
      <c r="AQ28889" s="31"/>
    </row>
    <row r="28890" spans="43:43" x14ac:dyDescent="0.2">
      <c r="AQ28890" s="31"/>
    </row>
    <row r="28891" spans="43:43" x14ac:dyDescent="0.2">
      <c r="AQ28891" s="31"/>
    </row>
    <row r="28892" spans="43:43" x14ac:dyDescent="0.2">
      <c r="AQ28892" s="31"/>
    </row>
    <row r="28893" spans="43:43" x14ac:dyDescent="0.2">
      <c r="AQ28893" s="31"/>
    </row>
    <row r="28894" spans="43:43" x14ac:dyDescent="0.2">
      <c r="AQ28894" s="31"/>
    </row>
    <row r="28895" spans="43:43" x14ac:dyDescent="0.2">
      <c r="AQ28895" s="31"/>
    </row>
    <row r="28896" spans="43:43" x14ac:dyDescent="0.2">
      <c r="AQ28896" s="31"/>
    </row>
    <row r="28897" spans="43:43" x14ac:dyDescent="0.2">
      <c r="AQ28897" s="31"/>
    </row>
    <row r="28898" spans="43:43" x14ac:dyDescent="0.2">
      <c r="AQ28898" s="31"/>
    </row>
    <row r="28899" spans="43:43" x14ac:dyDescent="0.2">
      <c r="AQ28899" s="31"/>
    </row>
    <row r="28900" spans="43:43" x14ac:dyDescent="0.2">
      <c r="AQ28900" s="31"/>
    </row>
    <row r="28901" spans="43:43" x14ac:dyDescent="0.2">
      <c r="AQ28901" s="31"/>
    </row>
    <row r="28902" spans="43:43" x14ac:dyDescent="0.2">
      <c r="AQ28902" s="31"/>
    </row>
    <row r="28903" spans="43:43" x14ac:dyDescent="0.2">
      <c r="AQ28903" s="31"/>
    </row>
    <row r="28904" spans="43:43" x14ac:dyDescent="0.2">
      <c r="AQ28904" s="31"/>
    </row>
    <row r="28905" spans="43:43" x14ac:dyDescent="0.2">
      <c r="AQ28905" s="31"/>
    </row>
    <row r="28906" spans="43:43" x14ac:dyDescent="0.2">
      <c r="AQ28906" s="31"/>
    </row>
    <row r="28907" spans="43:43" x14ac:dyDescent="0.2">
      <c r="AQ28907" s="31"/>
    </row>
    <row r="28908" spans="43:43" x14ac:dyDescent="0.2">
      <c r="AQ28908" s="31"/>
    </row>
    <row r="28909" spans="43:43" x14ac:dyDescent="0.2">
      <c r="AQ28909" s="31"/>
    </row>
    <row r="28910" spans="43:43" x14ac:dyDescent="0.2">
      <c r="AQ28910" s="31"/>
    </row>
    <row r="28911" spans="43:43" x14ac:dyDescent="0.2">
      <c r="AQ28911" s="31"/>
    </row>
    <row r="28912" spans="43:43" x14ac:dyDescent="0.2">
      <c r="AQ28912" s="31"/>
    </row>
    <row r="28913" spans="43:43" x14ac:dyDescent="0.2">
      <c r="AQ28913" s="31"/>
    </row>
    <row r="28914" spans="43:43" x14ac:dyDescent="0.2">
      <c r="AQ28914" s="31"/>
    </row>
    <row r="28915" spans="43:43" x14ac:dyDescent="0.2">
      <c r="AQ28915" s="31"/>
    </row>
    <row r="28916" spans="43:43" x14ac:dyDescent="0.2">
      <c r="AQ28916" s="31"/>
    </row>
    <row r="28917" spans="43:43" x14ac:dyDescent="0.2">
      <c r="AQ28917" s="31"/>
    </row>
    <row r="28918" spans="43:43" x14ac:dyDescent="0.2">
      <c r="AQ28918" s="31"/>
    </row>
    <row r="28919" spans="43:43" x14ac:dyDescent="0.2">
      <c r="AQ28919" s="31"/>
    </row>
    <row r="28920" spans="43:43" x14ac:dyDescent="0.2">
      <c r="AQ28920" s="31"/>
    </row>
    <row r="28921" spans="43:43" x14ac:dyDescent="0.2">
      <c r="AQ28921" s="31"/>
    </row>
    <row r="28922" spans="43:43" x14ac:dyDescent="0.2">
      <c r="AQ28922" s="31"/>
    </row>
    <row r="28923" spans="43:43" x14ac:dyDescent="0.2">
      <c r="AQ28923" s="31"/>
    </row>
    <row r="28924" spans="43:43" x14ac:dyDescent="0.2">
      <c r="AQ28924" s="31"/>
    </row>
    <row r="28925" spans="43:43" x14ac:dyDescent="0.2">
      <c r="AQ28925" s="31"/>
    </row>
    <row r="28926" spans="43:43" x14ac:dyDescent="0.2">
      <c r="AQ28926" s="31"/>
    </row>
    <row r="28927" spans="43:43" x14ac:dyDescent="0.2">
      <c r="AQ28927" s="31"/>
    </row>
    <row r="28928" spans="43:43" x14ac:dyDescent="0.2">
      <c r="AQ28928" s="31"/>
    </row>
    <row r="28929" spans="43:43" x14ac:dyDescent="0.2">
      <c r="AQ28929" s="31"/>
    </row>
    <row r="28930" spans="43:43" x14ac:dyDescent="0.2">
      <c r="AQ28930" s="31"/>
    </row>
    <row r="28931" spans="43:43" x14ac:dyDescent="0.2">
      <c r="AQ28931" s="31"/>
    </row>
    <row r="28932" spans="43:43" x14ac:dyDescent="0.2">
      <c r="AQ28932" s="31"/>
    </row>
    <row r="28933" spans="43:43" x14ac:dyDescent="0.2">
      <c r="AQ28933" s="31"/>
    </row>
    <row r="28934" spans="43:43" x14ac:dyDescent="0.2">
      <c r="AQ28934" s="31"/>
    </row>
    <row r="28935" spans="43:43" x14ac:dyDescent="0.2">
      <c r="AQ28935" s="31"/>
    </row>
    <row r="28936" spans="43:43" x14ac:dyDescent="0.2">
      <c r="AQ28936" s="31"/>
    </row>
    <row r="28937" spans="43:43" x14ac:dyDescent="0.2">
      <c r="AQ28937" s="31"/>
    </row>
    <row r="28938" spans="43:43" x14ac:dyDescent="0.2">
      <c r="AQ28938" s="31"/>
    </row>
    <row r="28939" spans="43:43" x14ac:dyDescent="0.2">
      <c r="AQ28939" s="31"/>
    </row>
    <row r="28940" spans="43:43" x14ac:dyDescent="0.2">
      <c r="AQ28940" s="31"/>
    </row>
    <row r="28941" spans="43:43" x14ac:dyDescent="0.2">
      <c r="AQ28941" s="31"/>
    </row>
    <row r="28942" spans="43:43" x14ac:dyDescent="0.2">
      <c r="AQ28942" s="31"/>
    </row>
    <row r="28943" spans="43:43" x14ac:dyDescent="0.2">
      <c r="AQ28943" s="31"/>
    </row>
    <row r="28944" spans="43:43" x14ac:dyDescent="0.2">
      <c r="AQ28944" s="31"/>
    </row>
    <row r="28945" spans="43:43" x14ac:dyDescent="0.2">
      <c r="AQ28945" s="31"/>
    </row>
    <row r="28946" spans="43:43" x14ac:dyDescent="0.2">
      <c r="AQ28946" s="31"/>
    </row>
    <row r="28947" spans="43:43" x14ac:dyDescent="0.2">
      <c r="AQ28947" s="31"/>
    </row>
    <row r="28948" spans="43:43" x14ac:dyDescent="0.2">
      <c r="AQ28948" s="31"/>
    </row>
    <row r="28949" spans="43:43" x14ac:dyDescent="0.2">
      <c r="AQ28949" s="31"/>
    </row>
    <row r="28950" spans="43:43" x14ac:dyDescent="0.2">
      <c r="AQ28950" s="31"/>
    </row>
    <row r="28951" spans="43:43" x14ac:dyDescent="0.2">
      <c r="AQ28951" s="31"/>
    </row>
    <row r="28952" spans="43:43" x14ac:dyDescent="0.2">
      <c r="AQ28952" s="31"/>
    </row>
    <row r="28953" spans="43:43" x14ac:dyDescent="0.2">
      <c r="AQ28953" s="31"/>
    </row>
    <row r="28954" spans="43:43" x14ac:dyDescent="0.2">
      <c r="AQ28954" s="31"/>
    </row>
    <row r="28955" spans="43:43" x14ac:dyDescent="0.2">
      <c r="AQ28955" s="31"/>
    </row>
    <row r="28956" spans="43:43" x14ac:dyDescent="0.2">
      <c r="AQ28956" s="31"/>
    </row>
    <row r="28957" spans="43:43" x14ac:dyDescent="0.2">
      <c r="AQ28957" s="31"/>
    </row>
    <row r="28958" spans="43:43" x14ac:dyDescent="0.2">
      <c r="AQ28958" s="31"/>
    </row>
    <row r="28959" spans="43:43" x14ac:dyDescent="0.2">
      <c r="AQ28959" s="31"/>
    </row>
    <row r="28960" spans="43:43" x14ac:dyDescent="0.2">
      <c r="AQ28960" s="31"/>
    </row>
    <row r="28961" spans="43:43" x14ac:dyDescent="0.2">
      <c r="AQ28961" s="31"/>
    </row>
    <row r="28962" spans="43:43" x14ac:dyDescent="0.2">
      <c r="AQ28962" s="31"/>
    </row>
    <row r="28963" spans="43:43" x14ac:dyDescent="0.2">
      <c r="AQ28963" s="31"/>
    </row>
    <row r="28964" spans="43:43" x14ac:dyDescent="0.2">
      <c r="AQ28964" s="31"/>
    </row>
    <row r="28965" spans="43:43" x14ac:dyDescent="0.2">
      <c r="AQ28965" s="31"/>
    </row>
    <row r="28966" spans="43:43" x14ac:dyDescent="0.2">
      <c r="AQ28966" s="31"/>
    </row>
    <row r="28967" spans="43:43" x14ac:dyDescent="0.2">
      <c r="AQ28967" s="31"/>
    </row>
    <row r="28968" spans="43:43" x14ac:dyDescent="0.2">
      <c r="AQ28968" s="31"/>
    </row>
    <row r="28969" spans="43:43" x14ac:dyDescent="0.2">
      <c r="AQ28969" s="31"/>
    </row>
    <row r="28970" spans="43:43" x14ac:dyDescent="0.2">
      <c r="AQ28970" s="31"/>
    </row>
    <row r="28971" spans="43:43" x14ac:dyDescent="0.2">
      <c r="AQ28971" s="31"/>
    </row>
    <row r="28972" spans="43:43" x14ac:dyDescent="0.2">
      <c r="AQ28972" s="31"/>
    </row>
    <row r="28973" spans="43:43" x14ac:dyDescent="0.2">
      <c r="AQ28973" s="31"/>
    </row>
    <row r="28974" spans="43:43" x14ac:dyDescent="0.2">
      <c r="AQ28974" s="31"/>
    </row>
    <row r="28975" spans="43:43" x14ac:dyDescent="0.2">
      <c r="AQ28975" s="31"/>
    </row>
    <row r="28976" spans="43:43" x14ac:dyDescent="0.2">
      <c r="AQ28976" s="31"/>
    </row>
    <row r="28977" spans="43:43" x14ac:dyDescent="0.2">
      <c r="AQ28977" s="31"/>
    </row>
    <row r="28978" spans="43:43" x14ac:dyDescent="0.2">
      <c r="AQ28978" s="31"/>
    </row>
    <row r="28979" spans="43:43" x14ac:dyDescent="0.2">
      <c r="AQ28979" s="31"/>
    </row>
    <row r="28980" spans="43:43" x14ac:dyDescent="0.2">
      <c r="AQ28980" s="31"/>
    </row>
    <row r="28981" spans="43:43" x14ac:dyDescent="0.2">
      <c r="AQ28981" s="31"/>
    </row>
    <row r="28982" spans="43:43" x14ac:dyDescent="0.2">
      <c r="AQ28982" s="31"/>
    </row>
    <row r="28983" spans="43:43" x14ac:dyDescent="0.2">
      <c r="AQ28983" s="31"/>
    </row>
    <row r="28984" spans="43:43" x14ac:dyDescent="0.2">
      <c r="AQ28984" s="31"/>
    </row>
    <row r="28985" spans="43:43" x14ac:dyDescent="0.2">
      <c r="AQ28985" s="31"/>
    </row>
    <row r="28986" spans="43:43" x14ac:dyDescent="0.2">
      <c r="AQ28986" s="31"/>
    </row>
    <row r="28987" spans="43:43" x14ac:dyDescent="0.2">
      <c r="AQ28987" s="31"/>
    </row>
    <row r="28988" spans="43:43" x14ac:dyDescent="0.2">
      <c r="AQ28988" s="31"/>
    </row>
    <row r="28989" spans="43:43" x14ac:dyDescent="0.2">
      <c r="AQ28989" s="31"/>
    </row>
    <row r="28990" spans="43:43" x14ac:dyDescent="0.2">
      <c r="AQ28990" s="31"/>
    </row>
    <row r="28991" spans="43:43" x14ac:dyDescent="0.2">
      <c r="AQ28991" s="31"/>
    </row>
    <row r="28992" spans="43:43" x14ac:dyDescent="0.2">
      <c r="AQ28992" s="31"/>
    </row>
    <row r="28993" spans="43:43" x14ac:dyDescent="0.2">
      <c r="AQ28993" s="31"/>
    </row>
    <row r="28994" spans="43:43" x14ac:dyDescent="0.2">
      <c r="AQ28994" s="31"/>
    </row>
    <row r="28995" spans="43:43" x14ac:dyDescent="0.2">
      <c r="AQ28995" s="31"/>
    </row>
    <row r="28996" spans="43:43" x14ac:dyDescent="0.2">
      <c r="AQ28996" s="31"/>
    </row>
    <row r="28997" spans="43:43" x14ac:dyDescent="0.2">
      <c r="AQ28997" s="31"/>
    </row>
    <row r="28998" spans="43:43" x14ac:dyDescent="0.2">
      <c r="AQ28998" s="31"/>
    </row>
    <row r="28999" spans="43:43" x14ac:dyDescent="0.2">
      <c r="AQ28999" s="31"/>
    </row>
    <row r="29000" spans="43:43" x14ac:dyDescent="0.2">
      <c r="AQ29000" s="31"/>
    </row>
    <row r="29001" spans="43:43" x14ac:dyDescent="0.2">
      <c r="AQ29001" s="31"/>
    </row>
    <row r="29002" spans="43:43" x14ac:dyDescent="0.2">
      <c r="AQ29002" s="31"/>
    </row>
    <row r="29003" spans="43:43" x14ac:dyDescent="0.2">
      <c r="AQ29003" s="31"/>
    </row>
    <row r="29004" spans="43:43" x14ac:dyDescent="0.2">
      <c r="AQ29004" s="31"/>
    </row>
    <row r="29005" spans="43:43" x14ac:dyDescent="0.2">
      <c r="AQ29005" s="31"/>
    </row>
    <row r="29006" spans="43:43" x14ac:dyDescent="0.2">
      <c r="AQ29006" s="31"/>
    </row>
    <row r="29007" spans="43:43" x14ac:dyDescent="0.2">
      <c r="AQ29007" s="31"/>
    </row>
    <row r="29008" spans="43:43" x14ac:dyDescent="0.2">
      <c r="AQ29008" s="31"/>
    </row>
    <row r="29009" spans="43:43" x14ac:dyDescent="0.2">
      <c r="AQ29009" s="31"/>
    </row>
    <row r="29010" spans="43:43" x14ac:dyDescent="0.2">
      <c r="AQ29010" s="31"/>
    </row>
    <row r="29011" spans="43:43" x14ac:dyDescent="0.2">
      <c r="AQ29011" s="31"/>
    </row>
    <row r="29012" spans="43:43" x14ac:dyDescent="0.2">
      <c r="AQ29012" s="31"/>
    </row>
    <row r="29013" spans="43:43" x14ac:dyDescent="0.2">
      <c r="AQ29013" s="31"/>
    </row>
    <row r="29014" spans="43:43" x14ac:dyDescent="0.2">
      <c r="AQ29014" s="31"/>
    </row>
    <row r="29015" spans="43:43" x14ac:dyDescent="0.2">
      <c r="AQ29015" s="31"/>
    </row>
    <row r="29016" spans="43:43" x14ac:dyDescent="0.2">
      <c r="AQ29016" s="31"/>
    </row>
    <row r="29017" spans="43:43" x14ac:dyDescent="0.2">
      <c r="AQ29017" s="31"/>
    </row>
    <row r="29018" spans="43:43" x14ac:dyDescent="0.2">
      <c r="AQ29018" s="31"/>
    </row>
    <row r="29019" spans="43:43" x14ac:dyDescent="0.2">
      <c r="AQ29019" s="31"/>
    </row>
    <row r="29020" spans="43:43" x14ac:dyDescent="0.2">
      <c r="AQ29020" s="31"/>
    </row>
    <row r="29021" spans="43:43" x14ac:dyDescent="0.2">
      <c r="AQ29021" s="31"/>
    </row>
    <row r="29022" spans="43:43" x14ac:dyDescent="0.2">
      <c r="AQ29022" s="31"/>
    </row>
    <row r="29023" spans="43:43" x14ac:dyDescent="0.2">
      <c r="AQ29023" s="31"/>
    </row>
    <row r="29024" spans="43:43" x14ac:dyDescent="0.2">
      <c r="AQ29024" s="31"/>
    </row>
    <row r="29025" spans="43:43" x14ac:dyDescent="0.2">
      <c r="AQ29025" s="31"/>
    </row>
    <row r="29026" spans="43:43" x14ac:dyDescent="0.2">
      <c r="AQ29026" s="31"/>
    </row>
    <row r="29027" spans="43:43" x14ac:dyDescent="0.2">
      <c r="AQ29027" s="31"/>
    </row>
    <row r="29028" spans="43:43" x14ac:dyDescent="0.2">
      <c r="AQ29028" s="31"/>
    </row>
    <row r="29029" spans="43:43" x14ac:dyDescent="0.2">
      <c r="AQ29029" s="31"/>
    </row>
    <row r="29030" spans="43:43" x14ac:dyDescent="0.2">
      <c r="AQ29030" s="31"/>
    </row>
    <row r="29031" spans="43:43" x14ac:dyDescent="0.2">
      <c r="AQ29031" s="31"/>
    </row>
    <row r="29032" spans="43:43" x14ac:dyDescent="0.2">
      <c r="AQ29032" s="31"/>
    </row>
    <row r="29033" spans="43:43" x14ac:dyDescent="0.2">
      <c r="AQ29033" s="31"/>
    </row>
    <row r="29034" spans="43:43" x14ac:dyDescent="0.2">
      <c r="AQ29034" s="31"/>
    </row>
    <row r="29035" spans="43:43" x14ac:dyDescent="0.2">
      <c r="AQ29035" s="31"/>
    </row>
    <row r="29036" spans="43:43" x14ac:dyDescent="0.2">
      <c r="AQ29036" s="31"/>
    </row>
    <row r="29037" spans="43:43" x14ac:dyDescent="0.2">
      <c r="AQ29037" s="31"/>
    </row>
    <row r="29038" spans="43:43" x14ac:dyDescent="0.2">
      <c r="AQ29038" s="31"/>
    </row>
    <row r="29039" spans="43:43" x14ac:dyDescent="0.2">
      <c r="AQ29039" s="31"/>
    </row>
    <row r="29040" spans="43:43" x14ac:dyDescent="0.2">
      <c r="AQ29040" s="31"/>
    </row>
    <row r="29041" spans="43:43" x14ac:dyDescent="0.2">
      <c r="AQ29041" s="31"/>
    </row>
    <row r="29042" spans="43:43" x14ac:dyDescent="0.2">
      <c r="AQ29042" s="31"/>
    </row>
    <row r="29043" spans="43:43" x14ac:dyDescent="0.2">
      <c r="AQ29043" s="31"/>
    </row>
    <row r="29044" spans="43:43" x14ac:dyDescent="0.2">
      <c r="AQ29044" s="31"/>
    </row>
    <row r="29045" spans="43:43" x14ac:dyDescent="0.2">
      <c r="AQ29045" s="31"/>
    </row>
    <row r="29046" spans="43:43" x14ac:dyDescent="0.2">
      <c r="AQ29046" s="31"/>
    </row>
    <row r="29047" spans="43:43" x14ac:dyDescent="0.2">
      <c r="AQ29047" s="31"/>
    </row>
    <row r="29048" spans="43:43" x14ac:dyDescent="0.2">
      <c r="AQ29048" s="31"/>
    </row>
    <row r="29049" spans="43:43" x14ac:dyDescent="0.2">
      <c r="AQ29049" s="31"/>
    </row>
    <row r="29050" spans="43:43" x14ac:dyDescent="0.2">
      <c r="AQ29050" s="31"/>
    </row>
    <row r="29051" spans="43:43" x14ac:dyDescent="0.2">
      <c r="AQ29051" s="31"/>
    </row>
    <row r="29052" spans="43:43" x14ac:dyDescent="0.2">
      <c r="AQ29052" s="31"/>
    </row>
    <row r="29053" spans="43:43" x14ac:dyDescent="0.2">
      <c r="AQ29053" s="31"/>
    </row>
    <row r="29054" spans="43:43" x14ac:dyDescent="0.2">
      <c r="AQ29054" s="31"/>
    </row>
    <row r="29055" spans="43:43" x14ac:dyDescent="0.2">
      <c r="AQ29055" s="31"/>
    </row>
    <row r="29056" spans="43:43" x14ac:dyDescent="0.2">
      <c r="AQ29056" s="31"/>
    </row>
    <row r="29057" spans="43:43" x14ac:dyDescent="0.2">
      <c r="AQ29057" s="31"/>
    </row>
    <row r="29058" spans="43:43" x14ac:dyDescent="0.2">
      <c r="AQ29058" s="31"/>
    </row>
    <row r="29059" spans="43:43" x14ac:dyDescent="0.2">
      <c r="AQ29059" s="31"/>
    </row>
    <row r="29060" spans="43:43" x14ac:dyDescent="0.2">
      <c r="AQ29060" s="31"/>
    </row>
    <row r="29061" spans="43:43" x14ac:dyDescent="0.2">
      <c r="AQ29061" s="31"/>
    </row>
    <row r="29062" spans="43:43" x14ac:dyDescent="0.2">
      <c r="AQ29062" s="31"/>
    </row>
    <row r="29063" spans="43:43" x14ac:dyDescent="0.2">
      <c r="AQ29063" s="31"/>
    </row>
    <row r="29064" spans="43:43" x14ac:dyDescent="0.2">
      <c r="AQ29064" s="31"/>
    </row>
    <row r="29065" spans="43:43" x14ac:dyDescent="0.2">
      <c r="AQ29065" s="31"/>
    </row>
    <row r="29066" spans="43:43" x14ac:dyDescent="0.2">
      <c r="AQ29066" s="31"/>
    </row>
    <row r="29067" spans="43:43" x14ac:dyDescent="0.2">
      <c r="AQ29067" s="31"/>
    </row>
    <row r="29068" spans="43:43" x14ac:dyDescent="0.2">
      <c r="AQ29068" s="31"/>
    </row>
    <row r="29069" spans="43:43" x14ac:dyDescent="0.2">
      <c r="AQ29069" s="31"/>
    </row>
    <row r="29070" spans="43:43" x14ac:dyDescent="0.2">
      <c r="AQ29070" s="31"/>
    </row>
    <row r="29071" spans="43:43" x14ac:dyDescent="0.2">
      <c r="AQ29071" s="31"/>
    </row>
    <row r="29072" spans="43:43" x14ac:dyDescent="0.2">
      <c r="AQ29072" s="31"/>
    </row>
    <row r="29073" spans="43:43" x14ac:dyDescent="0.2">
      <c r="AQ29073" s="31"/>
    </row>
    <row r="29074" spans="43:43" x14ac:dyDescent="0.2">
      <c r="AQ29074" s="31"/>
    </row>
    <row r="29075" spans="43:43" x14ac:dyDescent="0.2">
      <c r="AQ29075" s="31"/>
    </row>
    <row r="29076" spans="43:43" x14ac:dyDescent="0.2">
      <c r="AQ29076" s="31"/>
    </row>
    <row r="29077" spans="43:43" x14ac:dyDescent="0.2">
      <c r="AQ29077" s="31"/>
    </row>
    <row r="29078" spans="43:43" x14ac:dyDescent="0.2">
      <c r="AQ29078" s="31"/>
    </row>
    <row r="29079" spans="43:43" x14ac:dyDescent="0.2">
      <c r="AQ29079" s="31"/>
    </row>
    <row r="29080" spans="43:43" x14ac:dyDescent="0.2">
      <c r="AQ29080" s="31"/>
    </row>
    <row r="29081" spans="43:43" x14ac:dyDescent="0.2">
      <c r="AQ29081" s="31"/>
    </row>
    <row r="29082" spans="43:43" x14ac:dyDescent="0.2">
      <c r="AQ29082" s="31"/>
    </row>
    <row r="29083" spans="43:43" x14ac:dyDescent="0.2">
      <c r="AQ29083" s="31"/>
    </row>
    <row r="29084" spans="43:43" x14ac:dyDescent="0.2">
      <c r="AQ29084" s="31"/>
    </row>
    <row r="29085" spans="43:43" x14ac:dyDescent="0.2">
      <c r="AQ29085" s="31"/>
    </row>
    <row r="29086" spans="43:43" x14ac:dyDescent="0.2">
      <c r="AQ29086" s="31"/>
    </row>
    <row r="29087" spans="43:43" x14ac:dyDescent="0.2">
      <c r="AQ29087" s="31"/>
    </row>
    <row r="29088" spans="43:43" x14ac:dyDescent="0.2">
      <c r="AQ29088" s="31"/>
    </row>
    <row r="29089" spans="43:43" x14ac:dyDescent="0.2">
      <c r="AQ29089" s="31"/>
    </row>
    <row r="29090" spans="43:43" x14ac:dyDescent="0.2">
      <c r="AQ29090" s="31"/>
    </row>
    <row r="29091" spans="43:43" x14ac:dyDescent="0.2">
      <c r="AQ29091" s="31"/>
    </row>
    <row r="29092" spans="43:43" x14ac:dyDescent="0.2">
      <c r="AQ29092" s="31"/>
    </row>
    <row r="29093" spans="43:43" x14ac:dyDescent="0.2">
      <c r="AQ29093" s="31"/>
    </row>
    <row r="29094" spans="43:43" x14ac:dyDescent="0.2">
      <c r="AQ29094" s="31"/>
    </row>
    <row r="29095" spans="43:43" x14ac:dyDescent="0.2">
      <c r="AQ29095" s="31"/>
    </row>
    <row r="29096" spans="43:43" x14ac:dyDescent="0.2">
      <c r="AQ29096" s="31"/>
    </row>
    <row r="29097" spans="43:43" x14ac:dyDescent="0.2">
      <c r="AQ29097" s="31"/>
    </row>
    <row r="29098" spans="43:43" x14ac:dyDescent="0.2">
      <c r="AQ29098" s="31"/>
    </row>
    <row r="29099" spans="43:43" x14ac:dyDescent="0.2">
      <c r="AQ29099" s="31"/>
    </row>
    <row r="29100" spans="43:43" x14ac:dyDescent="0.2">
      <c r="AQ29100" s="31"/>
    </row>
    <row r="29101" spans="43:43" x14ac:dyDescent="0.2">
      <c r="AQ29101" s="31"/>
    </row>
    <row r="29102" spans="43:43" x14ac:dyDescent="0.2">
      <c r="AQ29102" s="31"/>
    </row>
    <row r="29103" spans="43:43" x14ac:dyDescent="0.2">
      <c r="AQ29103" s="31"/>
    </row>
    <row r="29104" spans="43:43" x14ac:dyDescent="0.2">
      <c r="AQ29104" s="31"/>
    </row>
    <row r="29105" spans="43:43" x14ac:dyDescent="0.2">
      <c r="AQ29105" s="31"/>
    </row>
    <row r="29106" spans="43:43" x14ac:dyDescent="0.2">
      <c r="AQ29106" s="31"/>
    </row>
    <row r="29107" spans="43:43" x14ac:dyDescent="0.2">
      <c r="AQ29107" s="31"/>
    </row>
    <row r="29108" spans="43:43" x14ac:dyDescent="0.2">
      <c r="AQ29108" s="31"/>
    </row>
    <row r="29109" spans="43:43" x14ac:dyDescent="0.2">
      <c r="AQ29109" s="31"/>
    </row>
    <row r="29110" spans="43:43" x14ac:dyDescent="0.2">
      <c r="AQ29110" s="31"/>
    </row>
    <row r="29111" spans="43:43" x14ac:dyDescent="0.2">
      <c r="AQ29111" s="31"/>
    </row>
    <row r="29112" spans="43:43" x14ac:dyDescent="0.2">
      <c r="AQ29112" s="31"/>
    </row>
    <row r="29113" spans="43:43" x14ac:dyDescent="0.2">
      <c r="AQ29113" s="31"/>
    </row>
    <row r="29114" spans="43:43" x14ac:dyDescent="0.2">
      <c r="AQ29114" s="31"/>
    </row>
    <row r="29115" spans="43:43" x14ac:dyDescent="0.2">
      <c r="AQ29115" s="31"/>
    </row>
    <row r="29116" spans="43:43" x14ac:dyDescent="0.2">
      <c r="AQ29116" s="31"/>
    </row>
    <row r="29117" spans="43:43" x14ac:dyDescent="0.2">
      <c r="AQ29117" s="31"/>
    </row>
    <row r="29118" spans="43:43" x14ac:dyDescent="0.2">
      <c r="AQ29118" s="31"/>
    </row>
    <row r="29119" spans="43:43" x14ac:dyDescent="0.2">
      <c r="AQ29119" s="31"/>
    </row>
    <row r="29120" spans="43:43" x14ac:dyDescent="0.2">
      <c r="AQ29120" s="31"/>
    </row>
    <row r="29121" spans="43:43" x14ac:dyDescent="0.2">
      <c r="AQ29121" s="31"/>
    </row>
    <row r="29122" spans="43:43" x14ac:dyDescent="0.2">
      <c r="AQ29122" s="31"/>
    </row>
    <row r="29123" spans="43:43" x14ac:dyDescent="0.2">
      <c r="AQ29123" s="31"/>
    </row>
    <row r="29124" spans="43:43" x14ac:dyDescent="0.2">
      <c r="AQ29124" s="31"/>
    </row>
    <row r="29125" spans="43:43" x14ac:dyDescent="0.2">
      <c r="AQ29125" s="31"/>
    </row>
    <row r="29126" spans="43:43" x14ac:dyDescent="0.2">
      <c r="AQ29126" s="31"/>
    </row>
    <row r="29127" spans="43:43" x14ac:dyDescent="0.2">
      <c r="AQ29127" s="31"/>
    </row>
    <row r="29128" spans="43:43" x14ac:dyDescent="0.2">
      <c r="AQ29128" s="31"/>
    </row>
    <row r="29129" spans="43:43" x14ac:dyDescent="0.2">
      <c r="AQ29129" s="31"/>
    </row>
    <row r="29130" spans="43:43" x14ac:dyDescent="0.2">
      <c r="AQ29130" s="31"/>
    </row>
    <row r="29131" spans="43:43" x14ac:dyDescent="0.2">
      <c r="AQ29131" s="31"/>
    </row>
    <row r="29132" spans="43:43" x14ac:dyDescent="0.2">
      <c r="AQ29132" s="31"/>
    </row>
    <row r="29133" spans="43:43" x14ac:dyDescent="0.2">
      <c r="AQ29133" s="31"/>
    </row>
    <row r="29134" spans="43:43" x14ac:dyDescent="0.2">
      <c r="AQ29134" s="31"/>
    </row>
    <row r="29135" spans="43:43" x14ac:dyDescent="0.2">
      <c r="AQ29135" s="31"/>
    </row>
    <row r="29136" spans="43:43" x14ac:dyDescent="0.2">
      <c r="AQ29136" s="31"/>
    </row>
    <row r="29137" spans="43:43" x14ac:dyDescent="0.2">
      <c r="AQ29137" s="31"/>
    </row>
    <row r="29138" spans="43:43" x14ac:dyDescent="0.2">
      <c r="AQ29138" s="31"/>
    </row>
    <row r="29139" spans="43:43" x14ac:dyDescent="0.2">
      <c r="AQ29139" s="31"/>
    </row>
    <row r="29140" spans="43:43" x14ac:dyDescent="0.2">
      <c r="AQ29140" s="31"/>
    </row>
    <row r="29141" spans="43:43" x14ac:dyDescent="0.2">
      <c r="AQ29141" s="31"/>
    </row>
    <row r="29142" spans="43:43" x14ac:dyDescent="0.2">
      <c r="AQ29142" s="31"/>
    </row>
    <row r="29143" spans="43:43" x14ac:dyDescent="0.2">
      <c r="AQ29143" s="31"/>
    </row>
    <row r="29144" spans="43:43" x14ac:dyDescent="0.2">
      <c r="AQ29144" s="31"/>
    </row>
    <row r="29145" spans="43:43" x14ac:dyDescent="0.2">
      <c r="AQ29145" s="31"/>
    </row>
    <row r="29146" spans="43:43" x14ac:dyDescent="0.2">
      <c r="AQ29146" s="31"/>
    </row>
    <row r="29147" spans="43:43" x14ac:dyDescent="0.2">
      <c r="AQ29147" s="31"/>
    </row>
    <row r="29148" spans="43:43" x14ac:dyDescent="0.2">
      <c r="AQ29148" s="31"/>
    </row>
    <row r="29149" spans="43:43" x14ac:dyDescent="0.2">
      <c r="AQ29149" s="31"/>
    </row>
    <row r="29150" spans="43:43" x14ac:dyDescent="0.2">
      <c r="AQ29150" s="31"/>
    </row>
    <row r="29151" spans="43:43" x14ac:dyDescent="0.2">
      <c r="AQ29151" s="31"/>
    </row>
    <row r="29152" spans="43:43" x14ac:dyDescent="0.2">
      <c r="AQ29152" s="31"/>
    </row>
    <row r="29153" spans="43:43" x14ac:dyDescent="0.2">
      <c r="AQ29153" s="31"/>
    </row>
    <row r="29154" spans="43:43" x14ac:dyDescent="0.2">
      <c r="AQ29154" s="31"/>
    </row>
    <row r="29155" spans="43:43" x14ac:dyDescent="0.2">
      <c r="AQ29155" s="31"/>
    </row>
    <row r="29156" spans="43:43" x14ac:dyDescent="0.2">
      <c r="AQ29156" s="31"/>
    </row>
    <row r="29157" spans="43:43" x14ac:dyDescent="0.2">
      <c r="AQ29157" s="31"/>
    </row>
    <row r="29158" spans="43:43" x14ac:dyDescent="0.2">
      <c r="AQ29158" s="31"/>
    </row>
    <row r="29159" spans="43:43" x14ac:dyDescent="0.2">
      <c r="AQ29159" s="31"/>
    </row>
    <row r="29160" spans="43:43" x14ac:dyDescent="0.2">
      <c r="AQ29160" s="31"/>
    </row>
    <row r="29161" spans="43:43" x14ac:dyDescent="0.2">
      <c r="AQ29161" s="31"/>
    </row>
    <row r="29162" spans="43:43" x14ac:dyDescent="0.2">
      <c r="AQ29162" s="31"/>
    </row>
    <row r="29163" spans="43:43" x14ac:dyDescent="0.2">
      <c r="AQ29163" s="31"/>
    </row>
    <row r="29164" spans="43:43" x14ac:dyDescent="0.2">
      <c r="AQ29164" s="31"/>
    </row>
    <row r="29165" spans="43:43" x14ac:dyDescent="0.2">
      <c r="AQ29165" s="31"/>
    </row>
    <row r="29166" spans="43:43" x14ac:dyDescent="0.2">
      <c r="AQ29166" s="31"/>
    </row>
    <row r="29167" spans="43:43" x14ac:dyDescent="0.2">
      <c r="AQ29167" s="31"/>
    </row>
    <row r="29168" spans="43:43" x14ac:dyDescent="0.2">
      <c r="AQ29168" s="31"/>
    </row>
    <row r="29169" spans="43:43" x14ac:dyDescent="0.2">
      <c r="AQ29169" s="31"/>
    </row>
    <row r="29170" spans="43:43" x14ac:dyDescent="0.2">
      <c r="AQ29170" s="31"/>
    </row>
    <row r="29171" spans="43:43" x14ac:dyDescent="0.2">
      <c r="AQ29171" s="31"/>
    </row>
    <row r="29172" spans="43:43" x14ac:dyDescent="0.2">
      <c r="AQ29172" s="31"/>
    </row>
    <row r="29173" spans="43:43" x14ac:dyDescent="0.2">
      <c r="AQ29173" s="31"/>
    </row>
    <row r="29174" spans="43:43" x14ac:dyDescent="0.2">
      <c r="AQ29174" s="31"/>
    </row>
    <row r="29175" spans="43:43" x14ac:dyDescent="0.2">
      <c r="AQ29175" s="31"/>
    </row>
    <row r="29176" spans="43:43" x14ac:dyDescent="0.2">
      <c r="AQ29176" s="31"/>
    </row>
    <row r="29177" spans="43:43" x14ac:dyDescent="0.2">
      <c r="AQ29177" s="31"/>
    </row>
    <row r="29178" spans="43:43" x14ac:dyDescent="0.2">
      <c r="AQ29178" s="31"/>
    </row>
    <row r="29179" spans="43:43" x14ac:dyDescent="0.2">
      <c r="AQ29179" s="31"/>
    </row>
    <row r="29180" spans="43:43" x14ac:dyDescent="0.2">
      <c r="AQ29180" s="31"/>
    </row>
    <row r="29181" spans="43:43" x14ac:dyDescent="0.2">
      <c r="AQ29181" s="31"/>
    </row>
    <row r="29182" spans="43:43" x14ac:dyDescent="0.2">
      <c r="AQ29182" s="31"/>
    </row>
    <row r="29183" spans="43:43" x14ac:dyDescent="0.2">
      <c r="AQ29183" s="31"/>
    </row>
    <row r="29184" spans="43:43" x14ac:dyDescent="0.2">
      <c r="AQ29184" s="31"/>
    </row>
    <row r="29185" spans="43:43" x14ac:dyDescent="0.2">
      <c r="AQ29185" s="31"/>
    </row>
    <row r="29186" spans="43:43" x14ac:dyDescent="0.2">
      <c r="AQ29186" s="31"/>
    </row>
    <row r="29187" spans="43:43" x14ac:dyDescent="0.2">
      <c r="AQ29187" s="31"/>
    </row>
    <row r="29188" spans="43:43" x14ac:dyDescent="0.2">
      <c r="AQ29188" s="31"/>
    </row>
    <row r="29189" spans="43:43" x14ac:dyDescent="0.2">
      <c r="AQ29189" s="31"/>
    </row>
    <row r="29190" spans="43:43" x14ac:dyDescent="0.2">
      <c r="AQ29190" s="31"/>
    </row>
    <row r="29191" spans="43:43" x14ac:dyDescent="0.2">
      <c r="AQ29191" s="31"/>
    </row>
    <row r="29192" spans="43:43" x14ac:dyDescent="0.2">
      <c r="AQ29192" s="31"/>
    </row>
    <row r="29193" spans="43:43" x14ac:dyDescent="0.2">
      <c r="AQ29193" s="31"/>
    </row>
    <row r="29194" spans="43:43" x14ac:dyDescent="0.2">
      <c r="AQ29194" s="31"/>
    </row>
    <row r="29195" spans="43:43" x14ac:dyDescent="0.2">
      <c r="AQ29195" s="31"/>
    </row>
    <row r="29196" spans="43:43" x14ac:dyDescent="0.2">
      <c r="AQ29196" s="31"/>
    </row>
    <row r="29197" spans="43:43" x14ac:dyDescent="0.2">
      <c r="AQ29197" s="31"/>
    </row>
    <row r="29198" spans="43:43" x14ac:dyDescent="0.2">
      <c r="AQ29198" s="31"/>
    </row>
    <row r="29199" spans="43:43" x14ac:dyDescent="0.2">
      <c r="AQ29199" s="31"/>
    </row>
    <row r="29200" spans="43:43" x14ac:dyDescent="0.2">
      <c r="AQ29200" s="31"/>
    </row>
    <row r="29201" spans="43:43" x14ac:dyDescent="0.2">
      <c r="AQ29201" s="31"/>
    </row>
    <row r="29202" spans="43:43" x14ac:dyDescent="0.2">
      <c r="AQ29202" s="31"/>
    </row>
    <row r="29203" spans="43:43" x14ac:dyDescent="0.2">
      <c r="AQ29203" s="31"/>
    </row>
    <row r="29204" spans="43:43" x14ac:dyDescent="0.2">
      <c r="AQ29204" s="31"/>
    </row>
    <row r="29205" spans="43:43" x14ac:dyDescent="0.2">
      <c r="AQ29205" s="31"/>
    </row>
    <row r="29206" spans="43:43" x14ac:dyDescent="0.2">
      <c r="AQ29206" s="31"/>
    </row>
    <row r="29207" spans="43:43" x14ac:dyDescent="0.2">
      <c r="AQ29207" s="31"/>
    </row>
    <row r="29208" spans="43:43" x14ac:dyDescent="0.2">
      <c r="AQ29208" s="31"/>
    </row>
    <row r="29209" spans="43:43" x14ac:dyDescent="0.2">
      <c r="AQ29209" s="31"/>
    </row>
    <row r="29210" spans="43:43" x14ac:dyDescent="0.2">
      <c r="AQ29210" s="31"/>
    </row>
    <row r="29211" spans="43:43" x14ac:dyDescent="0.2">
      <c r="AQ29211" s="31"/>
    </row>
    <row r="29212" spans="43:43" x14ac:dyDescent="0.2">
      <c r="AQ29212" s="31"/>
    </row>
    <row r="29213" spans="43:43" x14ac:dyDescent="0.2">
      <c r="AQ29213" s="31"/>
    </row>
    <row r="29214" spans="43:43" x14ac:dyDescent="0.2">
      <c r="AQ29214" s="31"/>
    </row>
    <row r="29215" spans="43:43" x14ac:dyDescent="0.2">
      <c r="AQ29215" s="31"/>
    </row>
    <row r="29216" spans="43:43" x14ac:dyDescent="0.2">
      <c r="AQ29216" s="31"/>
    </row>
    <row r="29217" spans="43:43" x14ac:dyDescent="0.2">
      <c r="AQ29217" s="31"/>
    </row>
    <row r="29218" spans="43:43" x14ac:dyDescent="0.2">
      <c r="AQ29218" s="31"/>
    </row>
    <row r="29219" spans="43:43" x14ac:dyDescent="0.2">
      <c r="AQ29219" s="31"/>
    </row>
    <row r="29220" spans="43:43" x14ac:dyDescent="0.2">
      <c r="AQ29220" s="31"/>
    </row>
    <row r="29221" spans="43:43" x14ac:dyDescent="0.2">
      <c r="AQ29221" s="31"/>
    </row>
    <row r="29222" spans="43:43" x14ac:dyDescent="0.2">
      <c r="AQ29222" s="31"/>
    </row>
    <row r="29223" spans="43:43" x14ac:dyDescent="0.2">
      <c r="AQ29223" s="31"/>
    </row>
    <row r="29224" spans="43:43" x14ac:dyDescent="0.2">
      <c r="AQ29224" s="31"/>
    </row>
    <row r="29225" spans="43:43" x14ac:dyDescent="0.2">
      <c r="AQ29225" s="31"/>
    </row>
    <row r="29226" spans="43:43" x14ac:dyDescent="0.2">
      <c r="AQ29226" s="31"/>
    </row>
    <row r="29227" spans="43:43" x14ac:dyDescent="0.2">
      <c r="AQ29227" s="31"/>
    </row>
    <row r="29228" spans="43:43" x14ac:dyDescent="0.2">
      <c r="AQ29228" s="31"/>
    </row>
    <row r="29229" spans="43:43" x14ac:dyDescent="0.2">
      <c r="AQ29229" s="31"/>
    </row>
    <row r="29230" spans="43:43" x14ac:dyDescent="0.2">
      <c r="AQ29230" s="31"/>
    </row>
    <row r="29231" spans="43:43" x14ac:dyDescent="0.2">
      <c r="AQ29231" s="31"/>
    </row>
    <row r="29232" spans="43:43" x14ac:dyDescent="0.2">
      <c r="AQ29232" s="31"/>
    </row>
    <row r="29233" spans="43:43" x14ac:dyDescent="0.2">
      <c r="AQ29233" s="31"/>
    </row>
    <row r="29234" spans="43:43" x14ac:dyDescent="0.2">
      <c r="AQ29234" s="31"/>
    </row>
    <row r="29235" spans="43:43" x14ac:dyDescent="0.2">
      <c r="AQ29235" s="31"/>
    </row>
    <row r="29236" spans="43:43" x14ac:dyDescent="0.2">
      <c r="AQ29236" s="31"/>
    </row>
    <row r="29237" spans="43:43" x14ac:dyDescent="0.2">
      <c r="AQ29237" s="31"/>
    </row>
    <row r="29238" spans="43:43" x14ac:dyDescent="0.2">
      <c r="AQ29238" s="31"/>
    </row>
    <row r="29239" spans="43:43" x14ac:dyDescent="0.2">
      <c r="AQ29239" s="31"/>
    </row>
    <row r="29240" spans="43:43" x14ac:dyDescent="0.2">
      <c r="AQ29240" s="31"/>
    </row>
    <row r="29241" spans="43:43" x14ac:dyDescent="0.2">
      <c r="AQ29241" s="31"/>
    </row>
    <row r="29242" spans="43:43" x14ac:dyDescent="0.2">
      <c r="AQ29242" s="31"/>
    </row>
    <row r="29243" spans="43:43" x14ac:dyDescent="0.2">
      <c r="AQ29243" s="31"/>
    </row>
    <row r="29244" spans="43:43" x14ac:dyDescent="0.2">
      <c r="AQ29244" s="31"/>
    </row>
    <row r="29245" spans="43:43" x14ac:dyDescent="0.2">
      <c r="AQ29245" s="31"/>
    </row>
    <row r="29246" spans="43:43" x14ac:dyDescent="0.2">
      <c r="AQ29246" s="31"/>
    </row>
    <row r="29247" spans="43:43" x14ac:dyDescent="0.2">
      <c r="AQ29247" s="31"/>
    </row>
    <row r="29248" spans="43:43" x14ac:dyDescent="0.2">
      <c r="AQ29248" s="31"/>
    </row>
    <row r="29249" spans="43:43" x14ac:dyDescent="0.2">
      <c r="AQ29249" s="31"/>
    </row>
    <row r="29250" spans="43:43" x14ac:dyDescent="0.2">
      <c r="AQ29250" s="31"/>
    </row>
    <row r="29251" spans="43:43" x14ac:dyDescent="0.2">
      <c r="AQ29251" s="31"/>
    </row>
    <row r="29252" spans="43:43" x14ac:dyDescent="0.2">
      <c r="AQ29252" s="31"/>
    </row>
    <row r="29253" spans="43:43" x14ac:dyDescent="0.2">
      <c r="AQ29253" s="31"/>
    </row>
    <row r="29254" spans="43:43" x14ac:dyDescent="0.2">
      <c r="AQ29254" s="31"/>
    </row>
    <row r="29255" spans="43:43" x14ac:dyDescent="0.2">
      <c r="AQ29255" s="31"/>
    </row>
    <row r="29256" spans="43:43" x14ac:dyDescent="0.2">
      <c r="AQ29256" s="31"/>
    </row>
    <row r="29257" spans="43:43" x14ac:dyDescent="0.2">
      <c r="AQ29257" s="31"/>
    </row>
    <row r="29258" spans="43:43" x14ac:dyDescent="0.2">
      <c r="AQ29258" s="31"/>
    </row>
    <row r="29259" spans="43:43" x14ac:dyDescent="0.2">
      <c r="AQ29259" s="31"/>
    </row>
    <row r="29260" spans="43:43" x14ac:dyDescent="0.2">
      <c r="AQ29260" s="31"/>
    </row>
    <row r="29261" spans="43:43" x14ac:dyDescent="0.2">
      <c r="AQ29261" s="31"/>
    </row>
    <row r="29262" spans="43:43" x14ac:dyDescent="0.2">
      <c r="AQ29262" s="31"/>
    </row>
    <row r="29263" spans="43:43" x14ac:dyDescent="0.2">
      <c r="AQ29263" s="31"/>
    </row>
    <row r="29264" spans="43:43" x14ac:dyDescent="0.2">
      <c r="AQ29264" s="31"/>
    </row>
    <row r="29265" spans="43:43" x14ac:dyDescent="0.2">
      <c r="AQ29265" s="31"/>
    </row>
    <row r="29266" spans="43:43" x14ac:dyDescent="0.2">
      <c r="AQ29266" s="31"/>
    </row>
    <row r="29267" spans="43:43" x14ac:dyDescent="0.2">
      <c r="AQ29267" s="31"/>
    </row>
    <row r="29268" spans="43:43" x14ac:dyDescent="0.2">
      <c r="AQ29268" s="31"/>
    </row>
    <row r="29269" spans="43:43" x14ac:dyDescent="0.2">
      <c r="AQ29269" s="31"/>
    </row>
    <row r="29270" spans="43:43" x14ac:dyDescent="0.2">
      <c r="AQ29270" s="31"/>
    </row>
    <row r="29271" spans="43:43" x14ac:dyDescent="0.2">
      <c r="AQ29271" s="31"/>
    </row>
    <row r="29272" spans="43:43" x14ac:dyDescent="0.2">
      <c r="AQ29272" s="31"/>
    </row>
    <row r="29273" spans="43:43" x14ac:dyDescent="0.2">
      <c r="AQ29273" s="31"/>
    </row>
    <row r="29274" spans="43:43" x14ac:dyDescent="0.2">
      <c r="AQ29274" s="31"/>
    </row>
    <row r="29275" spans="43:43" x14ac:dyDescent="0.2">
      <c r="AQ29275" s="31"/>
    </row>
    <row r="29276" spans="43:43" x14ac:dyDescent="0.2">
      <c r="AQ29276" s="31"/>
    </row>
    <row r="29277" spans="43:43" x14ac:dyDescent="0.2">
      <c r="AQ29277" s="31"/>
    </row>
    <row r="29278" spans="43:43" x14ac:dyDescent="0.2">
      <c r="AQ29278" s="31"/>
    </row>
    <row r="29279" spans="43:43" x14ac:dyDescent="0.2">
      <c r="AQ29279" s="31"/>
    </row>
    <row r="29280" spans="43:43" x14ac:dyDescent="0.2">
      <c r="AQ29280" s="31"/>
    </row>
    <row r="29281" spans="43:43" x14ac:dyDescent="0.2">
      <c r="AQ29281" s="31"/>
    </row>
    <row r="29282" spans="43:43" x14ac:dyDescent="0.2">
      <c r="AQ29282" s="31"/>
    </row>
    <row r="29283" spans="43:43" x14ac:dyDescent="0.2">
      <c r="AQ29283" s="31"/>
    </row>
    <row r="29284" spans="43:43" x14ac:dyDescent="0.2">
      <c r="AQ29284" s="31"/>
    </row>
    <row r="29285" spans="43:43" x14ac:dyDescent="0.2">
      <c r="AQ29285" s="31"/>
    </row>
    <row r="29286" spans="43:43" x14ac:dyDescent="0.2">
      <c r="AQ29286" s="31"/>
    </row>
    <row r="29287" spans="43:43" x14ac:dyDescent="0.2">
      <c r="AQ29287" s="31"/>
    </row>
    <row r="29288" spans="43:43" x14ac:dyDescent="0.2">
      <c r="AQ29288" s="31"/>
    </row>
    <row r="29289" spans="43:43" x14ac:dyDescent="0.2">
      <c r="AQ29289" s="31"/>
    </row>
    <row r="29290" spans="43:43" x14ac:dyDescent="0.2">
      <c r="AQ29290" s="31"/>
    </row>
    <row r="29291" spans="43:43" x14ac:dyDescent="0.2">
      <c r="AQ29291" s="31"/>
    </row>
    <row r="29292" spans="43:43" x14ac:dyDescent="0.2">
      <c r="AQ29292" s="31"/>
    </row>
    <row r="29293" spans="43:43" x14ac:dyDescent="0.2">
      <c r="AQ29293" s="31"/>
    </row>
    <row r="29294" spans="43:43" x14ac:dyDescent="0.2">
      <c r="AQ29294" s="31"/>
    </row>
    <row r="29295" spans="43:43" x14ac:dyDescent="0.2">
      <c r="AQ29295" s="31"/>
    </row>
    <row r="29296" spans="43:43" x14ac:dyDescent="0.2">
      <c r="AQ29296" s="31"/>
    </row>
    <row r="29297" spans="43:43" x14ac:dyDescent="0.2">
      <c r="AQ29297" s="31"/>
    </row>
    <row r="29298" spans="43:43" x14ac:dyDescent="0.2">
      <c r="AQ29298" s="31"/>
    </row>
    <row r="29299" spans="43:43" x14ac:dyDescent="0.2">
      <c r="AQ29299" s="31"/>
    </row>
    <row r="29300" spans="43:43" x14ac:dyDescent="0.2">
      <c r="AQ29300" s="31"/>
    </row>
    <row r="29301" spans="43:43" x14ac:dyDescent="0.2">
      <c r="AQ29301" s="31"/>
    </row>
    <row r="29302" spans="43:43" x14ac:dyDescent="0.2">
      <c r="AQ29302" s="31"/>
    </row>
    <row r="29303" spans="43:43" x14ac:dyDescent="0.2">
      <c r="AQ29303" s="31"/>
    </row>
    <row r="29304" spans="43:43" x14ac:dyDescent="0.2">
      <c r="AQ29304" s="31"/>
    </row>
    <row r="29305" spans="43:43" x14ac:dyDescent="0.2">
      <c r="AQ29305" s="31"/>
    </row>
    <row r="29306" spans="43:43" x14ac:dyDescent="0.2">
      <c r="AQ29306" s="31"/>
    </row>
    <row r="29307" spans="43:43" x14ac:dyDescent="0.2">
      <c r="AQ29307" s="31"/>
    </row>
    <row r="29308" spans="43:43" x14ac:dyDescent="0.2">
      <c r="AQ29308" s="31"/>
    </row>
    <row r="29309" spans="43:43" x14ac:dyDescent="0.2">
      <c r="AQ29309" s="31"/>
    </row>
    <row r="29310" spans="43:43" x14ac:dyDescent="0.2">
      <c r="AQ29310" s="31"/>
    </row>
    <row r="29311" spans="43:43" x14ac:dyDescent="0.2">
      <c r="AQ29311" s="31"/>
    </row>
    <row r="29312" spans="43:43" x14ac:dyDescent="0.2">
      <c r="AQ29312" s="31"/>
    </row>
    <row r="29313" spans="43:43" x14ac:dyDescent="0.2">
      <c r="AQ29313" s="31"/>
    </row>
    <row r="29314" spans="43:43" x14ac:dyDescent="0.2">
      <c r="AQ29314" s="31"/>
    </row>
    <row r="29315" spans="43:43" x14ac:dyDescent="0.2">
      <c r="AQ29315" s="31"/>
    </row>
    <row r="29316" spans="43:43" x14ac:dyDescent="0.2">
      <c r="AQ29316" s="31"/>
    </row>
    <row r="29317" spans="43:43" x14ac:dyDescent="0.2">
      <c r="AQ29317" s="31"/>
    </row>
    <row r="29318" spans="43:43" x14ac:dyDescent="0.2">
      <c r="AQ29318" s="31"/>
    </row>
    <row r="29319" spans="43:43" x14ac:dyDescent="0.2">
      <c r="AQ29319" s="31"/>
    </row>
    <row r="29320" spans="43:43" x14ac:dyDescent="0.2">
      <c r="AQ29320" s="31"/>
    </row>
    <row r="29321" spans="43:43" x14ac:dyDescent="0.2">
      <c r="AQ29321" s="31"/>
    </row>
    <row r="29322" spans="43:43" x14ac:dyDescent="0.2">
      <c r="AQ29322" s="31"/>
    </row>
    <row r="29323" spans="43:43" x14ac:dyDescent="0.2">
      <c r="AQ29323" s="31"/>
    </row>
    <row r="29324" spans="43:43" x14ac:dyDescent="0.2">
      <c r="AQ29324" s="31"/>
    </row>
    <row r="29325" spans="43:43" x14ac:dyDescent="0.2">
      <c r="AQ29325" s="31"/>
    </row>
    <row r="29326" spans="43:43" x14ac:dyDescent="0.2">
      <c r="AQ29326" s="31"/>
    </row>
    <row r="29327" spans="43:43" x14ac:dyDescent="0.2">
      <c r="AQ29327" s="31"/>
    </row>
    <row r="29328" spans="43:43" x14ac:dyDescent="0.2">
      <c r="AQ29328" s="31"/>
    </row>
    <row r="29329" spans="43:43" x14ac:dyDescent="0.2">
      <c r="AQ29329" s="31"/>
    </row>
    <row r="29330" spans="43:43" x14ac:dyDescent="0.2">
      <c r="AQ29330" s="31"/>
    </row>
    <row r="29331" spans="43:43" x14ac:dyDescent="0.2">
      <c r="AQ29331" s="31"/>
    </row>
    <row r="29332" spans="43:43" x14ac:dyDescent="0.2">
      <c r="AQ29332" s="31"/>
    </row>
    <row r="29333" spans="43:43" x14ac:dyDescent="0.2">
      <c r="AQ29333" s="31"/>
    </row>
    <row r="29334" spans="43:43" x14ac:dyDescent="0.2">
      <c r="AQ29334" s="31"/>
    </row>
    <row r="29335" spans="43:43" x14ac:dyDescent="0.2">
      <c r="AQ29335" s="31"/>
    </row>
    <row r="29336" spans="43:43" x14ac:dyDescent="0.2">
      <c r="AQ29336" s="31"/>
    </row>
    <row r="29337" spans="43:43" x14ac:dyDescent="0.2">
      <c r="AQ29337" s="31"/>
    </row>
    <row r="29338" spans="43:43" x14ac:dyDescent="0.2">
      <c r="AQ29338" s="31"/>
    </row>
    <row r="29339" spans="43:43" x14ac:dyDescent="0.2">
      <c r="AQ29339" s="31"/>
    </row>
    <row r="29340" spans="43:43" x14ac:dyDescent="0.2">
      <c r="AQ29340" s="31"/>
    </row>
    <row r="29341" spans="43:43" x14ac:dyDescent="0.2">
      <c r="AQ29341" s="31"/>
    </row>
    <row r="29342" spans="43:43" x14ac:dyDescent="0.2">
      <c r="AQ29342" s="31"/>
    </row>
    <row r="29343" spans="43:43" x14ac:dyDescent="0.2">
      <c r="AQ29343" s="31"/>
    </row>
    <row r="29344" spans="43:43" x14ac:dyDescent="0.2">
      <c r="AQ29344" s="31"/>
    </row>
    <row r="29345" spans="43:43" x14ac:dyDescent="0.2">
      <c r="AQ29345" s="31"/>
    </row>
    <row r="29346" spans="43:43" x14ac:dyDescent="0.2">
      <c r="AQ29346" s="31"/>
    </row>
    <row r="29347" spans="43:43" x14ac:dyDescent="0.2">
      <c r="AQ29347" s="31"/>
    </row>
    <row r="29348" spans="43:43" x14ac:dyDescent="0.2">
      <c r="AQ29348" s="31"/>
    </row>
    <row r="29349" spans="43:43" x14ac:dyDescent="0.2">
      <c r="AQ29349" s="31"/>
    </row>
    <row r="29350" spans="43:43" x14ac:dyDescent="0.2">
      <c r="AQ29350" s="31"/>
    </row>
    <row r="29351" spans="43:43" x14ac:dyDescent="0.2">
      <c r="AQ29351" s="31"/>
    </row>
    <row r="29352" spans="43:43" x14ac:dyDescent="0.2">
      <c r="AQ29352" s="31"/>
    </row>
    <row r="29353" spans="43:43" x14ac:dyDescent="0.2">
      <c r="AQ29353" s="31"/>
    </row>
    <row r="29354" spans="43:43" x14ac:dyDescent="0.2">
      <c r="AQ29354" s="31"/>
    </row>
    <row r="29355" spans="43:43" x14ac:dyDescent="0.2">
      <c r="AQ29355" s="31"/>
    </row>
    <row r="29356" spans="43:43" x14ac:dyDescent="0.2">
      <c r="AQ29356" s="31"/>
    </row>
    <row r="29357" spans="43:43" x14ac:dyDescent="0.2">
      <c r="AQ29357" s="31"/>
    </row>
    <row r="29358" spans="43:43" x14ac:dyDescent="0.2">
      <c r="AQ29358" s="31"/>
    </row>
    <row r="29359" spans="43:43" x14ac:dyDescent="0.2">
      <c r="AQ29359" s="31"/>
    </row>
    <row r="29360" spans="43:43" x14ac:dyDescent="0.2">
      <c r="AQ29360" s="31"/>
    </row>
    <row r="29361" spans="43:43" x14ac:dyDescent="0.2">
      <c r="AQ29361" s="31"/>
    </row>
    <row r="29362" spans="43:43" x14ac:dyDescent="0.2">
      <c r="AQ29362" s="31"/>
    </row>
    <row r="29363" spans="43:43" x14ac:dyDescent="0.2">
      <c r="AQ29363" s="31"/>
    </row>
    <row r="29364" spans="43:43" x14ac:dyDescent="0.2">
      <c r="AQ29364" s="31"/>
    </row>
    <row r="29365" spans="43:43" x14ac:dyDescent="0.2">
      <c r="AQ29365" s="31"/>
    </row>
    <row r="29366" spans="43:43" x14ac:dyDescent="0.2">
      <c r="AQ29366" s="31"/>
    </row>
    <row r="29367" spans="43:43" x14ac:dyDescent="0.2">
      <c r="AQ29367" s="31"/>
    </row>
    <row r="29368" spans="43:43" x14ac:dyDescent="0.2">
      <c r="AQ29368" s="31"/>
    </row>
    <row r="29369" spans="43:43" x14ac:dyDescent="0.2">
      <c r="AQ29369" s="31"/>
    </row>
    <row r="29370" spans="43:43" x14ac:dyDescent="0.2">
      <c r="AQ29370" s="31"/>
    </row>
    <row r="29371" spans="43:43" x14ac:dyDescent="0.2">
      <c r="AQ29371" s="31"/>
    </row>
    <row r="29372" spans="43:43" x14ac:dyDescent="0.2">
      <c r="AQ29372" s="31"/>
    </row>
    <row r="29373" spans="43:43" x14ac:dyDescent="0.2">
      <c r="AQ29373" s="31"/>
    </row>
    <row r="29374" spans="43:43" x14ac:dyDescent="0.2">
      <c r="AQ29374" s="31"/>
    </row>
    <row r="29375" spans="43:43" x14ac:dyDescent="0.2">
      <c r="AQ29375" s="31"/>
    </row>
    <row r="29376" spans="43:43" x14ac:dyDescent="0.2">
      <c r="AQ29376" s="31"/>
    </row>
    <row r="29377" spans="43:43" x14ac:dyDescent="0.2">
      <c r="AQ29377" s="31"/>
    </row>
    <row r="29378" spans="43:43" x14ac:dyDescent="0.2">
      <c r="AQ29378" s="31"/>
    </row>
    <row r="29379" spans="43:43" x14ac:dyDescent="0.2">
      <c r="AQ29379" s="31"/>
    </row>
    <row r="29380" spans="43:43" x14ac:dyDescent="0.2">
      <c r="AQ29380" s="31"/>
    </row>
    <row r="29381" spans="43:43" x14ac:dyDescent="0.2">
      <c r="AQ29381" s="31"/>
    </row>
    <row r="29382" spans="43:43" x14ac:dyDescent="0.2">
      <c r="AQ29382" s="31"/>
    </row>
    <row r="29383" spans="43:43" x14ac:dyDescent="0.2">
      <c r="AQ29383" s="31"/>
    </row>
    <row r="29384" spans="43:43" x14ac:dyDescent="0.2">
      <c r="AQ29384" s="31"/>
    </row>
    <row r="29385" spans="43:43" x14ac:dyDescent="0.2">
      <c r="AQ29385" s="31"/>
    </row>
    <row r="29386" spans="43:43" x14ac:dyDescent="0.2">
      <c r="AQ29386" s="31"/>
    </row>
    <row r="29387" spans="43:43" x14ac:dyDescent="0.2">
      <c r="AQ29387" s="31"/>
    </row>
    <row r="29388" spans="43:43" x14ac:dyDescent="0.2">
      <c r="AQ29388" s="31"/>
    </row>
    <row r="29389" spans="43:43" x14ac:dyDescent="0.2">
      <c r="AQ29389" s="31"/>
    </row>
    <row r="29390" spans="43:43" x14ac:dyDescent="0.2">
      <c r="AQ29390" s="31"/>
    </row>
    <row r="29391" spans="43:43" x14ac:dyDescent="0.2">
      <c r="AQ29391" s="31"/>
    </row>
    <row r="29392" spans="43:43" x14ac:dyDescent="0.2">
      <c r="AQ29392" s="31"/>
    </row>
    <row r="29393" spans="43:43" x14ac:dyDescent="0.2">
      <c r="AQ29393" s="31"/>
    </row>
    <row r="29394" spans="43:43" x14ac:dyDescent="0.2">
      <c r="AQ29394" s="31"/>
    </row>
    <row r="29395" spans="43:43" x14ac:dyDescent="0.2">
      <c r="AQ29395" s="31"/>
    </row>
    <row r="29396" spans="43:43" x14ac:dyDescent="0.2">
      <c r="AQ29396" s="31"/>
    </row>
    <row r="29397" spans="43:43" x14ac:dyDescent="0.2">
      <c r="AQ29397" s="31"/>
    </row>
    <row r="29398" spans="43:43" x14ac:dyDescent="0.2">
      <c r="AQ29398" s="31"/>
    </row>
    <row r="29399" spans="43:43" x14ac:dyDescent="0.2">
      <c r="AQ29399" s="31"/>
    </row>
    <row r="29400" spans="43:43" x14ac:dyDescent="0.2">
      <c r="AQ29400" s="31"/>
    </row>
    <row r="29401" spans="43:43" x14ac:dyDescent="0.2">
      <c r="AQ29401" s="31"/>
    </row>
    <row r="29402" spans="43:43" x14ac:dyDescent="0.2">
      <c r="AQ29402" s="31"/>
    </row>
    <row r="29403" spans="43:43" x14ac:dyDescent="0.2">
      <c r="AQ29403" s="31"/>
    </row>
    <row r="29404" spans="43:43" x14ac:dyDescent="0.2">
      <c r="AQ29404" s="31"/>
    </row>
    <row r="29405" spans="43:43" x14ac:dyDescent="0.2">
      <c r="AQ29405" s="31"/>
    </row>
    <row r="29406" spans="43:43" x14ac:dyDescent="0.2">
      <c r="AQ29406" s="31"/>
    </row>
    <row r="29407" spans="43:43" x14ac:dyDescent="0.2">
      <c r="AQ29407" s="31"/>
    </row>
    <row r="29408" spans="43:43" x14ac:dyDescent="0.2">
      <c r="AQ29408" s="31"/>
    </row>
    <row r="29409" spans="43:43" x14ac:dyDescent="0.2">
      <c r="AQ29409" s="31"/>
    </row>
    <row r="29410" spans="43:43" x14ac:dyDescent="0.2">
      <c r="AQ29410" s="31"/>
    </row>
    <row r="29411" spans="43:43" x14ac:dyDescent="0.2">
      <c r="AQ29411" s="31"/>
    </row>
    <row r="29412" spans="43:43" x14ac:dyDescent="0.2">
      <c r="AQ29412" s="31"/>
    </row>
    <row r="29413" spans="43:43" x14ac:dyDescent="0.2">
      <c r="AQ29413" s="31"/>
    </row>
    <row r="29414" spans="43:43" x14ac:dyDescent="0.2">
      <c r="AQ29414" s="31"/>
    </row>
    <row r="29415" spans="43:43" x14ac:dyDescent="0.2">
      <c r="AQ29415" s="31"/>
    </row>
    <row r="29416" spans="43:43" x14ac:dyDescent="0.2">
      <c r="AQ29416" s="31"/>
    </row>
    <row r="29417" spans="43:43" x14ac:dyDescent="0.2">
      <c r="AQ29417" s="31"/>
    </row>
    <row r="29418" spans="43:43" x14ac:dyDescent="0.2">
      <c r="AQ29418" s="31"/>
    </row>
    <row r="29419" spans="43:43" x14ac:dyDescent="0.2">
      <c r="AQ29419" s="31"/>
    </row>
    <row r="29420" spans="43:43" x14ac:dyDescent="0.2">
      <c r="AQ29420" s="31"/>
    </row>
    <row r="29421" spans="43:43" x14ac:dyDescent="0.2">
      <c r="AQ29421" s="31"/>
    </row>
    <row r="29422" spans="43:43" x14ac:dyDescent="0.2">
      <c r="AQ29422" s="31"/>
    </row>
    <row r="29423" spans="43:43" x14ac:dyDescent="0.2">
      <c r="AQ29423" s="31"/>
    </row>
    <row r="29424" spans="43:43" x14ac:dyDescent="0.2">
      <c r="AQ29424" s="31"/>
    </row>
    <row r="29425" spans="43:43" x14ac:dyDescent="0.2">
      <c r="AQ29425" s="31"/>
    </row>
    <row r="29426" spans="43:43" x14ac:dyDescent="0.2">
      <c r="AQ29426" s="31"/>
    </row>
    <row r="29427" spans="43:43" x14ac:dyDescent="0.2">
      <c r="AQ29427" s="31"/>
    </row>
    <row r="29428" spans="43:43" x14ac:dyDescent="0.2">
      <c r="AQ29428" s="31"/>
    </row>
    <row r="29429" spans="43:43" x14ac:dyDescent="0.2">
      <c r="AQ29429" s="31"/>
    </row>
    <row r="29430" spans="43:43" x14ac:dyDescent="0.2">
      <c r="AQ29430" s="31"/>
    </row>
    <row r="29431" spans="43:43" x14ac:dyDescent="0.2">
      <c r="AQ29431" s="31"/>
    </row>
    <row r="29432" spans="43:43" x14ac:dyDescent="0.2">
      <c r="AQ29432" s="31"/>
    </row>
    <row r="29433" spans="43:43" x14ac:dyDescent="0.2">
      <c r="AQ29433" s="31"/>
    </row>
    <row r="29434" spans="43:43" x14ac:dyDescent="0.2">
      <c r="AQ29434" s="31"/>
    </row>
    <row r="29435" spans="43:43" x14ac:dyDescent="0.2">
      <c r="AQ29435" s="31"/>
    </row>
    <row r="29436" spans="43:43" x14ac:dyDescent="0.2">
      <c r="AQ29436" s="31"/>
    </row>
    <row r="29437" spans="43:43" x14ac:dyDescent="0.2">
      <c r="AQ29437" s="31"/>
    </row>
    <row r="29438" spans="43:43" x14ac:dyDescent="0.2">
      <c r="AQ29438" s="31"/>
    </row>
    <row r="29439" spans="43:43" x14ac:dyDescent="0.2">
      <c r="AQ29439" s="31"/>
    </row>
    <row r="29440" spans="43:43" x14ac:dyDescent="0.2">
      <c r="AQ29440" s="31"/>
    </row>
    <row r="29441" spans="43:43" x14ac:dyDescent="0.2">
      <c r="AQ29441" s="31"/>
    </row>
    <row r="29442" spans="43:43" x14ac:dyDescent="0.2">
      <c r="AQ29442" s="31"/>
    </row>
    <row r="29443" spans="43:43" x14ac:dyDescent="0.2">
      <c r="AQ29443" s="31"/>
    </row>
    <row r="29444" spans="43:43" x14ac:dyDescent="0.2">
      <c r="AQ29444" s="31"/>
    </row>
    <row r="29445" spans="43:43" x14ac:dyDescent="0.2">
      <c r="AQ29445" s="31"/>
    </row>
    <row r="29446" spans="43:43" x14ac:dyDescent="0.2">
      <c r="AQ29446" s="31"/>
    </row>
    <row r="29447" spans="43:43" x14ac:dyDescent="0.2">
      <c r="AQ29447" s="31"/>
    </row>
    <row r="29448" spans="43:43" x14ac:dyDescent="0.2">
      <c r="AQ29448" s="31"/>
    </row>
    <row r="29449" spans="43:43" x14ac:dyDescent="0.2">
      <c r="AQ29449" s="31"/>
    </row>
    <row r="29450" spans="43:43" x14ac:dyDescent="0.2">
      <c r="AQ29450" s="31"/>
    </row>
    <row r="29451" spans="43:43" x14ac:dyDescent="0.2">
      <c r="AQ29451" s="31"/>
    </row>
    <row r="29452" spans="43:43" x14ac:dyDescent="0.2">
      <c r="AQ29452" s="31"/>
    </row>
    <row r="29453" spans="43:43" x14ac:dyDescent="0.2">
      <c r="AQ29453" s="31"/>
    </row>
    <row r="29454" spans="43:43" x14ac:dyDescent="0.2">
      <c r="AQ29454" s="31"/>
    </row>
    <row r="29455" spans="43:43" x14ac:dyDescent="0.2">
      <c r="AQ29455" s="31"/>
    </row>
    <row r="29456" spans="43:43" x14ac:dyDescent="0.2">
      <c r="AQ29456" s="31"/>
    </row>
    <row r="29457" spans="43:43" x14ac:dyDescent="0.2">
      <c r="AQ29457" s="31"/>
    </row>
    <row r="29458" spans="43:43" x14ac:dyDescent="0.2">
      <c r="AQ29458" s="31"/>
    </row>
    <row r="29459" spans="43:43" x14ac:dyDescent="0.2">
      <c r="AQ29459" s="31"/>
    </row>
    <row r="29460" spans="43:43" x14ac:dyDescent="0.2">
      <c r="AQ29460" s="31"/>
    </row>
    <row r="29461" spans="43:43" x14ac:dyDescent="0.2">
      <c r="AQ29461" s="31"/>
    </row>
    <row r="29462" spans="43:43" x14ac:dyDescent="0.2">
      <c r="AQ29462" s="31"/>
    </row>
    <row r="29463" spans="43:43" x14ac:dyDescent="0.2">
      <c r="AQ29463" s="31"/>
    </row>
    <row r="29464" spans="43:43" x14ac:dyDescent="0.2">
      <c r="AQ29464" s="31"/>
    </row>
    <row r="29465" spans="43:43" x14ac:dyDescent="0.2">
      <c r="AQ29465" s="31"/>
    </row>
    <row r="29466" spans="43:43" x14ac:dyDescent="0.2">
      <c r="AQ29466" s="31"/>
    </row>
    <row r="29467" spans="43:43" x14ac:dyDescent="0.2">
      <c r="AQ29467" s="31"/>
    </row>
    <row r="29468" spans="43:43" x14ac:dyDescent="0.2">
      <c r="AQ29468" s="31"/>
    </row>
    <row r="29469" spans="43:43" x14ac:dyDescent="0.2">
      <c r="AQ29469" s="31"/>
    </row>
    <row r="29470" spans="43:43" x14ac:dyDescent="0.2">
      <c r="AQ29470" s="31"/>
    </row>
    <row r="29471" spans="43:43" x14ac:dyDescent="0.2">
      <c r="AQ29471" s="31"/>
    </row>
    <row r="29472" spans="43:43" x14ac:dyDescent="0.2">
      <c r="AQ29472" s="31"/>
    </row>
    <row r="29473" spans="43:43" x14ac:dyDescent="0.2">
      <c r="AQ29473" s="31"/>
    </row>
    <row r="29474" spans="43:43" x14ac:dyDescent="0.2">
      <c r="AQ29474" s="31"/>
    </row>
    <row r="29475" spans="43:43" x14ac:dyDescent="0.2">
      <c r="AQ29475" s="31"/>
    </row>
    <row r="29476" spans="43:43" x14ac:dyDescent="0.2">
      <c r="AQ29476" s="31"/>
    </row>
    <row r="29477" spans="43:43" x14ac:dyDescent="0.2">
      <c r="AQ29477" s="31"/>
    </row>
    <row r="29478" spans="43:43" x14ac:dyDescent="0.2">
      <c r="AQ29478" s="31"/>
    </row>
    <row r="29479" spans="43:43" x14ac:dyDescent="0.2">
      <c r="AQ29479" s="31"/>
    </row>
    <row r="29480" spans="43:43" x14ac:dyDescent="0.2">
      <c r="AQ29480" s="31"/>
    </row>
    <row r="29481" spans="43:43" x14ac:dyDescent="0.2">
      <c r="AQ29481" s="31"/>
    </row>
    <row r="29482" spans="43:43" x14ac:dyDescent="0.2">
      <c r="AQ29482" s="31"/>
    </row>
    <row r="29483" spans="43:43" x14ac:dyDescent="0.2">
      <c r="AQ29483" s="31"/>
    </row>
    <row r="29484" spans="43:43" x14ac:dyDescent="0.2">
      <c r="AQ29484" s="31"/>
    </row>
    <row r="29485" spans="43:43" x14ac:dyDescent="0.2">
      <c r="AQ29485" s="31"/>
    </row>
    <row r="29486" spans="43:43" x14ac:dyDescent="0.2">
      <c r="AQ29486" s="31"/>
    </row>
    <row r="29487" spans="43:43" x14ac:dyDescent="0.2">
      <c r="AQ29487" s="31"/>
    </row>
    <row r="29488" spans="43:43" x14ac:dyDescent="0.2">
      <c r="AQ29488" s="31"/>
    </row>
    <row r="29489" spans="43:43" x14ac:dyDescent="0.2">
      <c r="AQ29489" s="31"/>
    </row>
    <row r="29490" spans="43:43" x14ac:dyDescent="0.2">
      <c r="AQ29490" s="31"/>
    </row>
    <row r="29491" spans="43:43" x14ac:dyDescent="0.2">
      <c r="AQ29491" s="31"/>
    </row>
    <row r="29492" spans="43:43" x14ac:dyDescent="0.2">
      <c r="AQ29492" s="31"/>
    </row>
    <row r="29493" spans="43:43" x14ac:dyDescent="0.2">
      <c r="AQ29493" s="31"/>
    </row>
    <row r="29494" spans="43:43" x14ac:dyDescent="0.2">
      <c r="AQ29494" s="31"/>
    </row>
    <row r="29495" spans="43:43" x14ac:dyDescent="0.2">
      <c r="AQ29495" s="31"/>
    </row>
    <row r="29496" spans="43:43" x14ac:dyDescent="0.2">
      <c r="AQ29496" s="31"/>
    </row>
    <row r="29497" spans="43:43" x14ac:dyDescent="0.2">
      <c r="AQ29497" s="31"/>
    </row>
    <row r="29498" spans="43:43" x14ac:dyDescent="0.2">
      <c r="AQ29498" s="31"/>
    </row>
    <row r="29499" spans="43:43" x14ac:dyDescent="0.2">
      <c r="AQ29499" s="31"/>
    </row>
    <row r="29500" spans="43:43" x14ac:dyDescent="0.2">
      <c r="AQ29500" s="31"/>
    </row>
    <row r="29501" spans="43:43" x14ac:dyDescent="0.2">
      <c r="AQ29501" s="31"/>
    </row>
    <row r="29502" spans="43:43" x14ac:dyDescent="0.2">
      <c r="AQ29502" s="31"/>
    </row>
    <row r="29503" spans="43:43" x14ac:dyDescent="0.2">
      <c r="AQ29503" s="31"/>
    </row>
    <row r="29504" spans="43:43" x14ac:dyDescent="0.2">
      <c r="AQ29504" s="31"/>
    </row>
    <row r="29505" spans="43:43" x14ac:dyDescent="0.2">
      <c r="AQ29505" s="31"/>
    </row>
    <row r="29506" spans="43:43" x14ac:dyDescent="0.2">
      <c r="AQ29506" s="31"/>
    </row>
    <row r="29507" spans="43:43" x14ac:dyDescent="0.2">
      <c r="AQ29507" s="31"/>
    </row>
    <row r="29508" spans="43:43" x14ac:dyDescent="0.2">
      <c r="AQ29508" s="31"/>
    </row>
    <row r="29509" spans="43:43" x14ac:dyDescent="0.2">
      <c r="AQ29509" s="31"/>
    </row>
    <row r="29510" spans="43:43" x14ac:dyDescent="0.2">
      <c r="AQ29510" s="31"/>
    </row>
    <row r="29511" spans="43:43" x14ac:dyDescent="0.2">
      <c r="AQ29511" s="31"/>
    </row>
    <row r="29512" spans="43:43" x14ac:dyDescent="0.2">
      <c r="AQ29512" s="31"/>
    </row>
    <row r="29513" spans="43:43" x14ac:dyDescent="0.2">
      <c r="AQ29513" s="31"/>
    </row>
    <row r="29514" spans="43:43" x14ac:dyDescent="0.2">
      <c r="AQ29514" s="31"/>
    </row>
    <row r="29515" spans="43:43" x14ac:dyDescent="0.2">
      <c r="AQ29515" s="31"/>
    </row>
    <row r="29516" spans="43:43" x14ac:dyDescent="0.2">
      <c r="AQ29516" s="31"/>
    </row>
    <row r="29517" spans="43:43" x14ac:dyDescent="0.2">
      <c r="AQ29517" s="31"/>
    </row>
    <row r="29518" spans="43:43" x14ac:dyDescent="0.2">
      <c r="AQ29518" s="31"/>
    </row>
    <row r="29519" spans="43:43" x14ac:dyDescent="0.2">
      <c r="AQ29519" s="31"/>
    </row>
    <row r="29520" spans="43:43" x14ac:dyDescent="0.2">
      <c r="AQ29520" s="31"/>
    </row>
    <row r="29521" spans="43:43" x14ac:dyDescent="0.2">
      <c r="AQ29521" s="31"/>
    </row>
    <row r="29522" spans="43:43" x14ac:dyDescent="0.2">
      <c r="AQ29522" s="31"/>
    </row>
    <row r="29523" spans="43:43" x14ac:dyDescent="0.2">
      <c r="AQ29523" s="31"/>
    </row>
    <row r="29524" spans="43:43" x14ac:dyDescent="0.2">
      <c r="AQ29524" s="31"/>
    </row>
    <row r="29525" spans="43:43" x14ac:dyDescent="0.2">
      <c r="AQ29525" s="31"/>
    </row>
    <row r="29526" spans="43:43" x14ac:dyDescent="0.2">
      <c r="AQ29526" s="31"/>
    </row>
    <row r="29527" spans="43:43" x14ac:dyDescent="0.2">
      <c r="AQ29527" s="31"/>
    </row>
    <row r="29528" spans="43:43" x14ac:dyDescent="0.2">
      <c r="AQ29528" s="31"/>
    </row>
    <row r="29529" spans="43:43" x14ac:dyDescent="0.2">
      <c r="AQ29529" s="31"/>
    </row>
    <row r="29530" spans="43:43" x14ac:dyDescent="0.2">
      <c r="AQ29530" s="31"/>
    </row>
    <row r="29531" spans="43:43" x14ac:dyDescent="0.2">
      <c r="AQ29531" s="31"/>
    </row>
    <row r="29532" spans="43:43" x14ac:dyDescent="0.2">
      <c r="AQ29532" s="31"/>
    </row>
    <row r="29533" spans="43:43" x14ac:dyDescent="0.2">
      <c r="AQ29533" s="31"/>
    </row>
    <row r="29534" spans="43:43" x14ac:dyDescent="0.2">
      <c r="AQ29534" s="31"/>
    </row>
    <row r="29535" spans="43:43" x14ac:dyDescent="0.2">
      <c r="AQ29535" s="31"/>
    </row>
    <row r="29536" spans="43:43" x14ac:dyDescent="0.2">
      <c r="AQ29536" s="31"/>
    </row>
    <row r="29537" spans="43:43" x14ac:dyDescent="0.2">
      <c r="AQ29537" s="31"/>
    </row>
    <row r="29538" spans="43:43" x14ac:dyDescent="0.2">
      <c r="AQ29538" s="31"/>
    </row>
    <row r="29539" spans="43:43" x14ac:dyDescent="0.2">
      <c r="AQ29539" s="31"/>
    </row>
    <row r="29540" spans="43:43" x14ac:dyDescent="0.2">
      <c r="AQ29540" s="31"/>
    </row>
    <row r="29541" spans="43:43" x14ac:dyDescent="0.2">
      <c r="AQ29541" s="31"/>
    </row>
    <row r="29542" spans="43:43" x14ac:dyDescent="0.2">
      <c r="AQ29542" s="31"/>
    </row>
    <row r="29543" spans="43:43" x14ac:dyDescent="0.2">
      <c r="AQ29543" s="31"/>
    </row>
    <row r="29544" spans="43:43" x14ac:dyDescent="0.2">
      <c r="AQ29544" s="31"/>
    </row>
    <row r="29545" spans="43:43" x14ac:dyDescent="0.2">
      <c r="AQ29545" s="31"/>
    </row>
    <row r="29546" spans="43:43" x14ac:dyDescent="0.2">
      <c r="AQ29546" s="31"/>
    </row>
    <row r="29547" spans="43:43" x14ac:dyDescent="0.2">
      <c r="AQ29547" s="31"/>
    </row>
    <row r="29548" spans="43:43" x14ac:dyDescent="0.2">
      <c r="AQ29548" s="31"/>
    </row>
    <row r="29549" spans="43:43" x14ac:dyDescent="0.2">
      <c r="AQ29549" s="31"/>
    </row>
    <row r="29550" spans="43:43" x14ac:dyDescent="0.2">
      <c r="AQ29550" s="31"/>
    </row>
    <row r="29551" spans="43:43" x14ac:dyDescent="0.2">
      <c r="AQ29551" s="31"/>
    </row>
    <row r="29552" spans="43:43" x14ac:dyDescent="0.2">
      <c r="AQ29552" s="31"/>
    </row>
    <row r="29553" spans="43:43" x14ac:dyDescent="0.2">
      <c r="AQ29553" s="31"/>
    </row>
    <row r="29554" spans="43:43" x14ac:dyDescent="0.2">
      <c r="AQ29554" s="31"/>
    </row>
    <row r="29555" spans="43:43" x14ac:dyDescent="0.2">
      <c r="AQ29555" s="31"/>
    </row>
    <row r="29556" spans="43:43" x14ac:dyDescent="0.2">
      <c r="AQ29556" s="31"/>
    </row>
    <row r="29557" spans="43:43" x14ac:dyDescent="0.2">
      <c r="AQ29557" s="31"/>
    </row>
    <row r="29558" spans="43:43" x14ac:dyDescent="0.2">
      <c r="AQ29558" s="31"/>
    </row>
    <row r="29559" spans="43:43" x14ac:dyDescent="0.2">
      <c r="AQ29559" s="31"/>
    </row>
    <row r="29560" spans="43:43" x14ac:dyDescent="0.2">
      <c r="AQ29560" s="31"/>
    </row>
    <row r="29561" spans="43:43" x14ac:dyDescent="0.2">
      <c r="AQ29561" s="31"/>
    </row>
    <row r="29562" spans="43:43" x14ac:dyDescent="0.2">
      <c r="AQ29562" s="31"/>
    </row>
    <row r="29563" spans="43:43" x14ac:dyDescent="0.2">
      <c r="AQ29563" s="31"/>
    </row>
    <row r="29564" spans="43:43" x14ac:dyDescent="0.2">
      <c r="AQ29564" s="31"/>
    </row>
    <row r="29565" spans="43:43" x14ac:dyDescent="0.2">
      <c r="AQ29565" s="31"/>
    </row>
    <row r="29566" spans="43:43" x14ac:dyDescent="0.2">
      <c r="AQ29566" s="31"/>
    </row>
    <row r="29567" spans="43:43" x14ac:dyDescent="0.2">
      <c r="AQ29567" s="31"/>
    </row>
    <row r="29568" spans="43:43" x14ac:dyDescent="0.2">
      <c r="AQ29568" s="31"/>
    </row>
    <row r="29569" spans="43:43" x14ac:dyDescent="0.2">
      <c r="AQ29569" s="31"/>
    </row>
    <row r="29570" spans="43:43" x14ac:dyDescent="0.2">
      <c r="AQ29570" s="31"/>
    </row>
    <row r="29571" spans="43:43" x14ac:dyDescent="0.2">
      <c r="AQ29571" s="31"/>
    </row>
    <row r="29572" spans="43:43" x14ac:dyDescent="0.2">
      <c r="AQ29572" s="31"/>
    </row>
    <row r="29573" spans="43:43" x14ac:dyDescent="0.2">
      <c r="AQ29573" s="31"/>
    </row>
    <row r="29574" spans="43:43" x14ac:dyDescent="0.2">
      <c r="AQ29574" s="31"/>
    </row>
    <row r="29575" spans="43:43" x14ac:dyDescent="0.2">
      <c r="AQ29575" s="31"/>
    </row>
    <row r="29576" spans="43:43" x14ac:dyDescent="0.2">
      <c r="AQ29576" s="31"/>
    </row>
    <row r="29577" spans="43:43" x14ac:dyDescent="0.2">
      <c r="AQ29577" s="31"/>
    </row>
    <row r="29578" spans="43:43" x14ac:dyDescent="0.2">
      <c r="AQ29578" s="31"/>
    </row>
    <row r="29579" spans="43:43" x14ac:dyDescent="0.2">
      <c r="AQ29579" s="31"/>
    </row>
    <row r="29580" spans="43:43" x14ac:dyDescent="0.2">
      <c r="AQ29580" s="31"/>
    </row>
    <row r="29581" spans="43:43" x14ac:dyDescent="0.2">
      <c r="AQ29581" s="31"/>
    </row>
    <row r="29582" spans="43:43" x14ac:dyDescent="0.2">
      <c r="AQ29582" s="31"/>
    </row>
    <row r="29583" spans="43:43" x14ac:dyDescent="0.2">
      <c r="AQ29583" s="31"/>
    </row>
    <row r="29584" spans="43:43" x14ac:dyDescent="0.2">
      <c r="AQ29584" s="31"/>
    </row>
    <row r="29585" spans="43:43" x14ac:dyDescent="0.2">
      <c r="AQ29585" s="31"/>
    </row>
    <row r="29586" spans="43:43" x14ac:dyDescent="0.2">
      <c r="AQ29586" s="31"/>
    </row>
    <row r="29587" spans="43:43" x14ac:dyDescent="0.2">
      <c r="AQ29587" s="31"/>
    </row>
    <row r="29588" spans="43:43" x14ac:dyDescent="0.2">
      <c r="AQ29588" s="31"/>
    </row>
    <row r="29589" spans="43:43" x14ac:dyDescent="0.2">
      <c r="AQ29589" s="31"/>
    </row>
    <row r="29590" spans="43:43" x14ac:dyDescent="0.2">
      <c r="AQ29590" s="31"/>
    </row>
    <row r="29591" spans="43:43" x14ac:dyDescent="0.2">
      <c r="AQ29591" s="31"/>
    </row>
    <row r="29592" spans="43:43" x14ac:dyDescent="0.2">
      <c r="AQ29592" s="31"/>
    </row>
    <row r="29593" spans="43:43" x14ac:dyDescent="0.2">
      <c r="AQ29593" s="31"/>
    </row>
    <row r="29594" spans="43:43" x14ac:dyDescent="0.2">
      <c r="AQ29594" s="31"/>
    </row>
    <row r="29595" spans="43:43" x14ac:dyDescent="0.2">
      <c r="AQ29595" s="31"/>
    </row>
    <row r="29596" spans="43:43" x14ac:dyDescent="0.2">
      <c r="AQ29596" s="31"/>
    </row>
    <row r="29597" spans="43:43" x14ac:dyDescent="0.2">
      <c r="AQ29597" s="31"/>
    </row>
    <row r="29598" spans="43:43" x14ac:dyDescent="0.2">
      <c r="AQ29598" s="31"/>
    </row>
    <row r="29599" spans="43:43" x14ac:dyDescent="0.2">
      <c r="AQ29599" s="31"/>
    </row>
    <row r="29600" spans="43:43" x14ac:dyDescent="0.2">
      <c r="AQ29600" s="31"/>
    </row>
    <row r="29601" spans="43:43" x14ac:dyDescent="0.2">
      <c r="AQ29601" s="31"/>
    </row>
    <row r="29602" spans="43:43" x14ac:dyDescent="0.2">
      <c r="AQ29602" s="31"/>
    </row>
    <row r="29603" spans="43:43" x14ac:dyDescent="0.2">
      <c r="AQ29603" s="31"/>
    </row>
    <row r="29604" spans="43:43" x14ac:dyDescent="0.2">
      <c r="AQ29604" s="31"/>
    </row>
    <row r="29605" spans="43:43" x14ac:dyDescent="0.2">
      <c r="AQ29605" s="31"/>
    </row>
    <row r="29606" spans="43:43" x14ac:dyDescent="0.2">
      <c r="AQ29606" s="31"/>
    </row>
    <row r="29607" spans="43:43" x14ac:dyDescent="0.2">
      <c r="AQ29607" s="31"/>
    </row>
    <row r="29608" spans="43:43" x14ac:dyDescent="0.2">
      <c r="AQ29608" s="31"/>
    </row>
    <row r="29609" spans="43:43" x14ac:dyDescent="0.2">
      <c r="AQ29609" s="31"/>
    </row>
    <row r="29610" spans="43:43" x14ac:dyDescent="0.2">
      <c r="AQ29610" s="31"/>
    </row>
    <row r="29611" spans="43:43" x14ac:dyDescent="0.2">
      <c r="AQ29611" s="31"/>
    </row>
    <row r="29612" spans="43:43" x14ac:dyDescent="0.2">
      <c r="AQ29612" s="31"/>
    </row>
    <row r="29613" spans="43:43" x14ac:dyDescent="0.2">
      <c r="AQ29613" s="31"/>
    </row>
    <row r="29614" spans="43:43" x14ac:dyDescent="0.2">
      <c r="AQ29614" s="31"/>
    </row>
    <row r="29615" spans="43:43" x14ac:dyDescent="0.2">
      <c r="AQ29615" s="31"/>
    </row>
    <row r="29616" spans="43:43" x14ac:dyDescent="0.2">
      <c r="AQ29616" s="31"/>
    </row>
    <row r="29617" spans="43:43" x14ac:dyDescent="0.2">
      <c r="AQ29617" s="31"/>
    </row>
    <row r="29618" spans="43:43" x14ac:dyDescent="0.2">
      <c r="AQ29618" s="31"/>
    </row>
    <row r="29619" spans="43:43" x14ac:dyDescent="0.2">
      <c r="AQ29619" s="31"/>
    </row>
    <row r="29620" spans="43:43" x14ac:dyDescent="0.2">
      <c r="AQ29620" s="31"/>
    </row>
    <row r="29621" spans="43:43" x14ac:dyDescent="0.2">
      <c r="AQ29621" s="31"/>
    </row>
    <row r="29622" spans="43:43" x14ac:dyDescent="0.2">
      <c r="AQ29622" s="31"/>
    </row>
    <row r="29623" spans="43:43" x14ac:dyDescent="0.2">
      <c r="AQ29623" s="31"/>
    </row>
    <row r="29624" spans="43:43" x14ac:dyDescent="0.2">
      <c r="AQ29624" s="31"/>
    </row>
    <row r="29625" spans="43:43" x14ac:dyDescent="0.2">
      <c r="AQ29625" s="31"/>
    </row>
    <row r="29626" spans="43:43" x14ac:dyDescent="0.2">
      <c r="AQ29626" s="31"/>
    </row>
    <row r="29627" spans="43:43" x14ac:dyDescent="0.2">
      <c r="AQ29627" s="31"/>
    </row>
    <row r="29628" spans="43:43" x14ac:dyDescent="0.2">
      <c r="AQ29628" s="31"/>
    </row>
    <row r="29629" spans="43:43" x14ac:dyDescent="0.2">
      <c r="AQ29629" s="31"/>
    </row>
    <row r="29630" spans="43:43" x14ac:dyDescent="0.2">
      <c r="AQ29630" s="31"/>
    </row>
    <row r="29631" spans="43:43" x14ac:dyDescent="0.2">
      <c r="AQ29631" s="31"/>
    </row>
    <row r="29632" spans="43:43" x14ac:dyDescent="0.2">
      <c r="AQ29632" s="31"/>
    </row>
    <row r="29633" spans="43:43" x14ac:dyDescent="0.2">
      <c r="AQ29633" s="31"/>
    </row>
    <row r="29634" spans="43:43" x14ac:dyDescent="0.2">
      <c r="AQ29634" s="31"/>
    </row>
    <row r="29635" spans="43:43" x14ac:dyDescent="0.2">
      <c r="AQ29635" s="31"/>
    </row>
    <row r="29636" spans="43:43" x14ac:dyDescent="0.2">
      <c r="AQ29636" s="31"/>
    </row>
    <row r="29637" spans="43:43" x14ac:dyDescent="0.2">
      <c r="AQ29637" s="31"/>
    </row>
    <row r="29638" spans="43:43" x14ac:dyDescent="0.2">
      <c r="AQ29638" s="31"/>
    </row>
    <row r="29639" spans="43:43" x14ac:dyDescent="0.2">
      <c r="AQ29639" s="31"/>
    </row>
    <row r="29640" spans="43:43" x14ac:dyDescent="0.2">
      <c r="AQ29640" s="31"/>
    </row>
    <row r="29641" spans="43:43" x14ac:dyDescent="0.2">
      <c r="AQ29641" s="31"/>
    </row>
    <row r="29642" spans="43:43" x14ac:dyDescent="0.2">
      <c r="AQ29642" s="31"/>
    </row>
    <row r="29643" spans="43:43" x14ac:dyDescent="0.2">
      <c r="AQ29643" s="31"/>
    </row>
    <row r="29644" spans="43:43" x14ac:dyDescent="0.2">
      <c r="AQ29644" s="31"/>
    </row>
    <row r="29645" spans="43:43" x14ac:dyDescent="0.2">
      <c r="AQ29645" s="31"/>
    </row>
    <row r="29646" spans="43:43" x14ac:dyDescent="0.2">
      <c r="AQ29646" s="31"/>
    </row>
    <row r="29647" spans="43:43" x14ac:dyDescent="0.2">
      <c r="AQ29647" s="31"/>
    </row>
    <row r="29648" spans="43:43" x14ac:dyDescent="0.2">
      <c r="AQ29648" s="31"/>
    </row>
    <row r="29649" spans="43:43" x14ac:dyDescent="0.2">
      <c r="AQ29649" s="31"/>
    </row>
    <row r="29650" spans="43:43" x14ac:dyDescent="0.2">
      <c r="AQ29650" s="31"/>
    </row>
    <row r="29651" spans="43:43" x14ac:dyDescent="0.2">
      <c r="AQ29651" s="31"/>
    </row>
    <row r="29652" spans="43:43" x14ac:dyDescent="0.2">
      <c r="AQ29652" s="31"/>
    </row>
    <row r="29653" spans="43:43" x14ac:dyDescent="0.2">
      <c r="AQ29653" s="31"/>
    </row>
    <row r="29654" spans="43:43" x14ac:dyDescent="0.2">
      <c r="AQ29654" s="31"/>
    </row>
    <row r="29655" spans="43:43" x14ac:dyDescent="0.2">
      <c r="AQ29655" s="31"/>
    </row>
    <row r="29656" spans="43:43" x14ac:dyDescent="0.2">
      <c r="AQ29656" s="31"/>
    </row>
    <row r="29657" spans="43:43" x14ac:dyDescent="0.2">
      <c r="AQ29657" s="31"/>
    </row>
    <row r="29658" spans="43:43" x14ac:dyDescent="0.2">
      <c r="AQ29658" s="31"/>
    </row>
    <row r="29659" spans="43:43" x14ac:dyDescent="0.2">
      <c r="AQ29659" s="31"/>
    </row>
    <row r="29660" spans="43:43" x14ac:dyDescent="0.2">
      <c r="AQ29660" s="31"/>
    </row>
    <row r="29661" spans="43:43" x14ac:dyDescent="0.2">
      <c r="AQ29661" s="31"/>
    </row>
    <row r="29662" spans="43:43" x14ac:dyDescent="0.2">
      <c r="AQ29662" s="31"/>
    </row>
    <row r="29663" spans="43:43" x14ac:dyDescent="0.2">
      <c r="AQ29663" s="31"/>
    </row>
    <row r="29664" spans="43:43" x14ac:dyDescent="0.2">
      <c r="AQ29664" s="31"/>
    </row>
    <row r="29665" spans="43:43" x14ac:dyDescent="0.2">
      <c r="AQ29665" s="31"/>
    </row>
    <row r="29666" spans="43:43" x14ac:dyDescent="0.2">
      <c r="AQ29666" s="31"/>
    </row>
    <row r="29667" spans="43:43" x14ac:dyDescent="0.2">
      <c r="AQ29667" s="31"/>
    </row>
    <row r="29668" spans="43:43" x14ac:dyDescent="0.2">
      <c r="AQ29668" s="31"/>
    </row>
    <row r="29669" spans="43:43" x14ac:dyDescent="0.2">
      <c r="AQ29669" s="31"/>
    </row>
    <row r="29670" spans="43:43" x14ac:dyDescent="0.2">
      <c r="AQ29670" s="31"/>
    </row>
    <row r="29671" spans="43:43" x14ac:dyDescent="0.2">
      <c r="AQ29671" s="31"/>
    </row>
    <row r="29672" spans="43:43" x14ac:dyDescent="0.2">
      <c r="AQ29672" s="31"/>
    </row>
    <row r="29673" spans="43:43" x14ac:dyDescent="0.2">
      <c r="AQ29673" s="31"/>
    </row>
    <row r="29674" spans="43:43" x14ac:dyDescent="0.2">
      <c r="AQ29674" s="31"/>
    </row>
    <row r="29675" spans="43:43" x14ac:dyDescent="0.2">
      <c r="AQ29675" s="31"/>
    </row>
    <row r="29676" spans="43:43" x14ac:dyDescent="0.2">
      <c r="AQ29676" s="31"/>
    </row>
    <row r="29677" spans="43:43" x14ac:dyDescent="0.2">
      <c r="AQ29677" s="31"/>
    </row>
    <row r="29678" spans="43:43" x14ac:dyDescent="0.2">
      <c r="AQ29678" s="31"/>
    </row>
    <row r="29679" spans="43:43" x14ac:dyDescent="0.2">
      <c r="AQ29679" s="31"/>
    </row>
    <row r="29680" spans="43:43" x14ac:dyDescent="0.2">
      <c r="AQ29680" s="31"/>
    </row>
    <row r="29681" spans="43:43" x14ac:dyDescent="0.2">
      <c r="AQ29681" s="31"/>
    </row>
    <row r="29682" spans="43:43" x14ac:dyDescent="0.2">
      <c r="AQ29682" s="31"/>
    </row>
    <row r="29683" spans="43:43" x14ac:dyDescent="0.2">
      <c r="AQ29683" s="31"/>
    </row>
    <row r="29684" spans="43:43" x14ac:dyDescent="0.2">
      <c r="AQ29684" s="31"/>
    </row>
    <row r="29685" spans="43:43" x14ac:dyDescent="0.2">
      <c r="AQ29685" s="31"/>
    </row>
    <row r="29686" spans="43:43" x14ac:dyDescent="0.2">
      <c r="AQ29686" s="31"/>
    </row>
    <row r="29687" spans="43:43" x14ac:dyDescent="0.2">
      <c r="AQ29687" s="31"/>
    </row>
    <row r="29688" spans="43:43" x14ac:dyDescent="0.2">
      <c r="AQ29688" s="31"/>
    </row>
    <row r="29689" spans="43:43" x14ac:dyDescent="0.2">
      <c r="AQ29689" s="31"/>
    </row>
    <row r="29690" spans="43:43" x14ac:dyDescent="0.2">
      <c r="AQ29690" s="31"/>
    </row>
    <row r="29691" spans="43:43" x14ac:dyDescent="0.2">
      <c r="AQ29691" s="31"/>
    </row>
    <row r="29692" spans="43:43" x14ac:dyDescent="0.2">
      <c r="AQ29692" s="31"/>
    </row>
    <row r="29693" spans="43:43" x14ac:dyDescent="0.2">
      <c r="AQ29693" s="31"/>
    </row>
    <row r="29694" spans="43:43" x14ac:dyDescent="0.2">
      <c r="AQ29694" s="31"/>
    </row>
    <row r="29695" spans="43:43" x14ac:dyDescent="0.2">
      <c r="AQ29695" s="31"/>
    </row>
    <row r="29696" spans="43:43" x14ac:dyDescent="0.2">
      <c r="AQ29696" s="31"/>
    </row>
    <row r="29697" spans="43:43" x14ac:dyDescent="0.2">
      <c r="AQ29697" s="31"/>
    </row>
    <row r="29698" spans="43:43" x14ac:dyDescent="0.2">
      <c r="AQ29698" s="31"/>
    </row>
    <row r="29699" spans="43:43" x14ac:dyDescent="0.2">
      <c r="AQ29699" s="31"/>
    </row>
    <row r="29700" spans="43:43" x14ac:dyDescent="0.2">
      <c r="AQ29700" s="31"/>
    </row>
    <row r="29701" spans="43:43" x14ac:dyDescent="0.2">
      <c r="AQ29701" s="31"/>
    </row>
    <row r="29702" spans="43:43" x14ac:dyDescent="0.2">
      <c r="AQ29702" s="31"/>
    </row>
    <row r="29703" spans="43:43" x14ac:dyDescent="0.2">
      <c r="AQ29703" s="31"/>
    </row>
    <row r="29704" spans="43:43" x14ac:dyDescent="0.2">
      <c r="AQ29704" s="31"/>
    </row>
    <row r="29705" spans="43:43" x14ac:dyDescent="0.2">
      <c r="AQ29705" s="31"/>
    </row>
    <row r="29706" spans="43:43" x14ac:dyDescent="0.2">
      <c r="AQ29706" s="31"/>
    </row>
    <row r="29707" spans="43:43" x14ac:dyDescent="0.2">
      <c r="AQ29707" s="31"/>
    </row>
    <row r="29708" spans="43:43" x14ac:dyDescent="0.2">
      <c r="AQ29708" s="31"/>
    </row>
    <row r="29709" spans="43:43" x14ac:dyDescent="0.2">
      <c r="AQ29709" s="31"/>
    </row>
    <row r="29710" spans="43:43" x14ac:dyDescent="0.2">
      <c r="AQ29710" s="31"/>
    </row>
    <row r="29711" spans="43:43" x14ac:dyDescent="0.2">
      <c r="AQ29711" s="31"/>
    </row>
    <row r="29712" spans="43:43" x14ac:dyDescent="0.2">
      <c r="AQ29712" s="31"/>
    </row>
    <row r="29713" spans="43:43" x14ac:dyDescent="0.2">
      <c r="AQ29713" s="31"/>
    </row>
    <row r="29714" spans="43:43" x14ac:dyDescent="0.2">
      <c r="AQ29714" s="31"/>
    </row>
    <row r="29715" spans="43:43" x14ac:dyDescent="0.2">
      <c r="AQ29715" s="31"/>
    </row>
    <row r="29716" spans="43:43" x14ac:dyDescent="0.2">
      <c r="AQ29716" s="31"/>
    </row>
    <row r="29717" spans="43:43" x14ac:dyDescent="0.2">
      <c r="AQ29717" s="31"/>
    </row>
    <row r="29718" spans="43:43" x14ac:dyDescent="0.2">
      <c r="AQ29718" s="31"/>
    </row>
    <row r="29719" spans="43:43" x14ac:dyDescent="0.2">
      <c r="AQ29719" s="31"/>
    </row>
    <row r="29720" spans="43:43" x14ac:dyDescent="0.2">
      <c r="AQ29720" s="31"/>
    </row>
    <row r="29721" spans="43:43" x14ac:dyDescent="0.2">
      <c r="AQ29721" s="31"/>
    </row>
    <row r="29722" spans="43:43" x14ac:dyDescent="0.2">
      <c r="AQ29722" s="31"/>
    </row>
    <row r="29723" spans="43:43" x14ac:dyDescent="0.2">
      <c r="AQ29723" s="31"/>
    </row>
    <row r="29724" spans="43:43" x14ac:dyDescent="0.2">
      <c r="AQ29724" s="31"/>
    </row>
    <row r="29725" spans="43:43" x14ac:dyDescent="0.2">
      <c r="AQ29725" s="31"/>
    </row>
    <row r="29726" spans="43:43" x14ac:dyDescent="0.2">
      <c r="AQ29726" s="31"/>
    </row>
    <row r="29727" spans="43:43" x14ac:dyDescent="0.2">
      <c r="AQ29727" s="31"/>
    </row>
    <row r="29728" spans="43:43" x14ac:dyDescent="0.2">
      <c r="AQ29728" s="31"/>
    </row>
    <row r="29729" spans="43:43" x14ac:dyDescent="0.2">
      <c r="AQ29729" s="31"/>
    </row>
    <row r="29730" spans="43:43" x14ac:dyDescent="0.2">
      <c r="AQ29730" s="31"/>
    </row>
    <row r="29731" spans="43:43" x14ac:dyDescent="0.2">
      <c r="AQ29731" s="31"/>
    </row>
    <row r="29732" spans="43:43" x14ac:dyDescent="0.2">
      <c r="AQ29732" s="31"/>
    </row>
    <row r="29733" spans="43:43" x14ac:dyDescent="0.2">
      <c r="AQ29733" s="31"/>
    </row>
    <row r="29734" spans="43:43" x14ac:dyDescent="0.2">
      <c r="AQ29734" s="31"/>
    </row>
    <row r="29735" spans="43:43" x14ac:dyDescent="0.2">
      <c r="AQ29735" s="31"/>
    </row>
    <row r="29736" spans="43:43" x14ac:dyDescent="0.2">
      <c r="AQ29736" s="31"/>
    </row>
    <row r="29737" spans="43:43" x14ac:dyDescent="0.2">
      <c r="AQ29737" s="31"/>
    </row>
    <row r="29738" spans="43:43" x14ac:dyDescent="0.2">
      <c r="AQ29738" s="31"/>
    </row>
    <row r="29739" spans="43:43" x14ac:dyDescent="0.2">
      <c r="AQ29739" s="31"/>
    </row>
    <row r="29740" spans="43:43" x14ac:dyDescent="0.2">
      <c r="AQ29740" s="31"/>
    </row>
    <row r="29741" spans="43:43" x14ac:dyDescent="0.2">
      <c r="AQ29741" s="31"/>
    </row>
    <row r="29742" spans="43:43" x14ac:dyDescent="0.2">
      <c r="AQ29742" s="31"/>
    </row>
    <row r="29743" spans="43:43" x14ac:dyDescent="0.2">
      <c r="AQ29743" s="31"/>
    </row>
    <row r="29744" spans="43:43" x14ac:dyDescent="0.2">
      <c r="AQ29744" s="31"/>
    </row>
    <row r="29745" spans="43:43" x14ac:dyDescent="0.2">
      <c r="AQ29745" s="31"/>
    </row>
    <row r="29746" spans="43:43" x14ac:dyDescent="0.2">
      <c r="AQ29746" s="31"/>
    </row>
    <row r="29747" spans="43:43" x14ac:dyDescent="0.2">
      <c r="AQ29747" s="31"/>
    </row>
    <row r="29748" spans="43:43" x14ac:dyDescent="0.2">
      <c r="AQ29748" s="31"/>
    </row>
    <row r="29749" spans="43:43" x14ac:dyDescent="0.2">
      <c r="AQ29749" s="31"/>
    </row>
    <row r="29750" spans="43:43" x14ac:dyDescent="0.2">
      <c r="AQ29750" s="31"/>
    </row>
    <row r="29751" spans="43:43" x14ac:dyDescent="0.2">
      <c r="AQ29751" s="31"/>
    </row>
    <row r="29752" spans="43:43" x14ac:dyDescent="0.2">
      <c r="AQ29752" s="31"/>
    </row>
    <row r="29753" spans="43:43" x14ac:dyDescent="0.2">
      <c r="AQ29753" s="31"/>
    </row>
    <row r="29754" spans="43:43" x14ac:dyDescent="0.2">
      <c r="AQ29754" s="31"/>
    </row>
    <row r="29755" spans="43:43" x14ac:dyDescent="0.2">
      <c r="AQ29755" s="31"/>
    </row>
    <row r="29756" spans="43:43" x14ac:dyDescent="0.2">
      <c r="AQ29756" s="31"/>
    </row>
    <row r="29757" spans="43:43" x14ac:dyDescent="0.2">
      <c r="AQ29757" s="31"/>
    </row>
    <row r="29758" spans="43:43" x14ac:dyDescent="0.2">
      <c r="AQ29758" s="31"/>
    </row>
    <row r="29759" spans="43:43" x14ac:dyDescent="0.2">
      <c r="AQ29759" s="31"/>
    </row>
    <row r="29760" spans="43:43" x14ac:dyDescent="0.2">
      <c r="AQ29760" s="31"/>
    </row>
    <row r="29761" spans="43:43" x14ac:dyDescent="0.2">
      <c r="AQ29761" s="31"/>
    </row>
    <row r="29762" spans="43:43" x14ac:dyDescent="0.2">
      <c r="AQ29762" s="31"/>
    </row>
    <row r="29763" spans="43:43" x14ac:dyDescent="0.2">
      <c r="AQ29763" s="31"/>
    </row>
    <row r="29764" spans="43:43" x14ac:dyDescent="0.2">
      <c r="AQ29764" s="31"/>
    </row>
    <row r="29765" spans="43:43" x14ac:dyDescent="0.2">
      <c r="AQ29765" s="31"/>
    </row>
    <row r="29766" spans="43:43" x14ac:dyDescent="0.2">
      <c r="AQ29766" s="31"/>
    </row>
    <row r="29767" spans="43:43" x14ac:dyDescent="0.2">
      <c r="AQ29767" s="31"/>
    </row>
    <row r="29768" spans="43:43" x14ac:dyDescent="0.2">
      <c r="AQ29768" s="31"/>
    </row>
    <row r="29769" spans="43:43" x14ac:dyDescent="0.2">
      <c r="AQ29769" s="31"/>
    </row>
    <row r="29770" spans="43:43" x14ac:dyDescent="0.2">
      <c r="AQ29770" s="31"/>
    </row>
    <row r="29771" spans="43:43" x14ac:dyDescent="0.2">
      <c r="AQ29771" s="31"/>
    </row>
    <row r="29772" spans="43:43" x14ac:dyDescent="0.2">
      <c r="AQ29772" s="31"/>
    </row>
    <row r="29773" spans="43:43" x14ac:dyDescent="0.2">
      <c r="AQ29773" s="31"/>
    </row>
    <row r="29774" spans="43:43" x14ac:dyDescent="0.2">
      <c r="AQ29774" s="31"/>
    </row>
    <row r="29775" spans="43:43" x14ac:dyDescent="0.2">
      <c r="AQ29775" s="31"/>
    </row>
    <row r="29776" spans="43:43" x14ac:dyDescent="0.2">
      <c r="AQ29776" s="31"/>
    </row>
    <row r="29777" spans="43:43" x14ac:dyDescent="0.2">
      <c r="AQ29777" s="31"/>
    </row>
    <row r="29778" spans="43:43" x14ac:dyDescent="0.2">
      <c r="AQ29778" s="31"/>
    </row>
    <row r="29779" spans="43:43" x14ac:dyDescent="0.2">
      <c r="AQ29779" s="31"/>
    </row>
    <row r="29780" spans="43:43" x14ac:dyDescent="0.2">
      <c r="AQ29780" s="31"/>
    </row>
    <row r="29781" spans="43:43" x14ac:dyDescent="0.2">
      <c r="AQ29781" s="31"/>
    </row>
    <row r="29782" spans="43:43" x14ac:dyDescent="0.2">
      <c r="AQ29782" s="31"/>
    </row>
    <row r="29783" spans="43:43" x14ac:dyDescent="0.2">
      <c r="AQ29783" s="31"/>
    </row>
    <row r="29784" spans="43:43" x14ac:dyDescent="0.2">
      <c r="AQ29784" s="31"/>
    </row>
    <row r="29785" spans="43:43" x14ac:dyDescent="0.2">
      <c r="AQ29785" s="31"/>
    </row>
    <row r="29786" spans="43:43" x14ac:dyDescent="0.2">
      <c r="AQ29786" s="31"/>
    </row>
    <row r="29787" spans="43:43" x14ac:dyDescent="0.2">
      <c r="AQ29787" s="31"/>
    </row>
    <row r="29788" spans="43:43" x14ac:dyDescent="0.2">
      <c r="AQ29788" s="31"/>
    </row>
    <row r="29789" spans="43:43" x14ac:dyDescent="0.2">
      <c r="AQ29789" s="31"/>
    </row>
    <row r="29790" spans="43:43" x14ac:dyDescent="0.2">
      <c r="AQ29790" s="31"/>
    </row>
    <row r="29791" spans="43:43" x14ac:dyDescent="0.2">
      <c r="AQ29791" s="31"/>
    </row>
    <row r="29792" spans="43:43" x14ac:dyDescent="0.2">
      <c r="AQ29792" s="31"/>
    </row>
    <row r="29793" spans="43:43" x14ac:dyDescent="0.2">
      <c r="AQ29793" s="31"/>
    </row>
    <row r="29794" spans="43:43" x14ac:dyDescent="0.2">
      <c r="AQ29794" s="31"/>
    </row>
    <row r="29795" spans="43:43" x14ac:dyDescent="0.2">
      <c r="AQ29795" s="31"/>
    </row>
    <row r="29796" spans="43:43" x14ac:dyDescent="0.2">
      <c r="AQ29796" s="31"/>
    </row>
    <row r="29797" spans="43:43" x14ac:dyDescent="0.2">
      <c r="AQ29797" s="31"/>
    </row>
    <row r="29798" spans="43:43" x14ac:dyDescent="0.2">
      <c r="AQ29798" s="31"/>
    </row>
    <row r="29799" spans="43:43" x14ac:dyDescent="0.2">
      <c r="AQ29799" s="31"/>
    </row>
    <row r="29800" spans="43:43" x14ac:dyDescent="0.2">
      <c r="AQ29800" s="31"/>
    </row>
    <row r="29801" spans="43:43" x14ac:dyDescent="0.2">
      <c r="AQ29801" s="31"/>
    </row>
    <row r="29802" spans="43:43" x14ac:dyDescent="0.2">
      <c r="AQ29802" s="31"/>
    </row>
    <row r="29803" spans="43:43" x14ac:dyDescent="0.2">
      <c r="AQ29803" s="31"/>
    </row>
    <row r="29804" spans="43:43" x14ac:dyDescent="0.2">
      <c r="AQ29804" s="31"/>
    </row>
    <row r="29805" spans="43:43" x14ac:dyDescent="0.2">
      <c r="AQ29805" s="31"/>
    </row>
    <row r="29806" spans="43:43" x14ac:dyDescent="0.2">
      <c r="AQ29806" s="31"/>
    </row>
    <row r="29807" spans="43:43" x14ac:dyDescent="0.2">
      <c r="AQ29807" s="31"/>
    </row>
    <row r="29808" spans="43:43" x14ac:dyDescent="0.2">
      <c r="AQ29808" s="31"/>
    </row>
    <row r="29809" spans="43:43" x14ac:dyDescent="0.2">
      <c r="AQ29809" s="31"/>
    </row>
    <row r="29810" spans="43:43" x14ac:dyDescent="0.2">
      <c r="AQ29810" s="31"/>
    </row>
    <row r="29811" spans="43:43" x14ac:dyDescent="0.2">
      <c r="AQ29811" s="31"/>
    </row>
    <row r="29812" spans="43:43" x14ac:dyDescent="0.2">
      <c r="AQ29812" s="31"/>
    </row>
    <row r="29813" spans="43:43" x14ac:dyDescent="0.2">
      <c r="AQ29813" s="31"/>
    </row>
    <row r="29814" spans="43:43" x14ac:dyDescent="0.2">
      <c r="AQ29814" s="31"/>
    </row>
    <row r="29815" spans="43:43" x14ac:dyDescent="0.2">
      <c r="AQ29815" s="31"/>
    </row>
    <row r="29816" spans="43:43" x14ac:dyDescent="0.2">
      <c r="AQ29816" s="31"/>
    </row>
    <row r="29817" spans="43:43" x14ac:dyDescent="0.2">
      <c r="AQ29817" s="31"/>
    </row>
    <row r="29818" spans="43:43" x14ac:dyDescent="0.2">
      <c r="AQ29818" s="31"/>
    </row>
    <row r="29819" spans="43:43" x14ac:dyDescent="0.2">
      <c r="AQ29819" s="31"/>
    </row>
    <row r="29820" spans="43:43" x14ac:dyDescent="0.2">
      <c r="AQ29820" s="31"/>
    </row>
    <row r="29821" spans="43:43" x14ac:dyDescent="0.2">
      <c r="AQ29821" s="31"/>
    </row>
    <row r="29822" spans="43:43" x14ac:dyDescent="0.2">
      <c r="AQ29822" s="31"/>
    </row>
    <row r="29823" spans="43:43" x14ac:dyDescent="0.2">
      <c r="AQ29823" s="31"/>
    </row>
    <row r="29824" spans="43:43" x14ac:dyDescent="0.2">
      <c r="AQ29824" s="31"/>
    </row>
    <row r="29825" spans="43:43" x14ac:dyDescent="0.2">
      <c r="AQ29825" s="31"/>
    </row>
    <row r="29826" spans="43:43" x14ac:dyDescent="0.2">
      <c r="AQ29826" s="31"/>
    </row>
    <row r="29827" spans="43:43" x14ac:dyDescent="0.2">
      <c r="AQ29827" s="31"/>
    </row>
    <row r="29828" spans="43:43" x14ac:dyDescent="0.2">
      <c r="AQ29828" s="31"/>
    </row>
    <row r="29829" spans="43:43" x14ac:dyDescent="0.2">
      <c r="AQ29829" s="31"/>
    </row>
    <row r="29830" spans="43:43" x14ac:dyDescent="0.2">
      <c r="AQ29830" s="31"/>
    </row>
    <row r="29831" spans="43:43" x14ac:dyDescent="0.2">
      <c r="AQ29831" s="31"/>
    </row>
    <row r="29832" spans="43:43" x14ac:dyDescent="0.2">
      <c r="AQ29832" s="31"/>
    </row>
    <row r="29833" spans="43:43" x14ac:dyDescent="0.2">
      <c r="AQ29833" s="31"/>
    </row>
    <row r="29834" spans="43:43" x14ac:dyDescent="0.2">
      <c r="AQ29834" s="31"/>
    </row>
    <row r="29835" spans="43:43" x14ac:dyDescent="0.2">
      <c r="AQ29835" s="31"/>
    </row>
    <row r="29836" spans="43:43" x14ac:dyDescent="0.2">
      <c r="AQ29836" s="31"/>
    </row>
    <row r="29837" spans="43:43" x14ac:dyDescent="0.2">
      <c r="AQ29837" s="31"/>
    </row>
    <row r="29838" spans="43:43" x14ac:dyDescent="0.2">
      <c r="AQ29838" s="31"/>
    </row>
    <row r="29839" spans="43:43" x14ac:dyDescent="0.2">
      <c r="AQ29839" s="31"/>
    </row>
    <row r="29840" spans="43:43" x14ac:dyDescent="0.2">
      <c r="AQ29840" s="31"/>
    </row>
    <row r="29841" spans="43:43" x14ac:dyDescent="0.2">
      <c r="AQ29841" s="31"/>
    </row>
    <row r="29842" spans="43:43" x14ac:dyDescent="0.2">
      <c r="AQ29842" s="31"/>
    </row>
    <row r="29843" spans="43:43" x14ac:dyDescent="0.2">
      <c r="AQ29843" s="31"/>
    </row>
    <row r="29844" spans="43:43" x14ac:dyDescent="0.2">
      <c r="AQ29844" s="31"/>
    </row>
    <row r="29845" spans="43:43" x14ac:dyDescent="0.2">
      <c r="AQ29845" s="31"/>
    </row>
    <row r="29846" spans="43:43" x14ac:dyDescent="0.2">
      <c r="AQ29846" s="31"/>
    </row>
    <row r="29847" spans="43:43" x14ac:dyDescent="0.2">
      <c r="AQ29847" s="31"/>
    </row>
    <row r="29848" spans="43:43" x14ac:dyDescent="0.2">
      <c r="AQ29848" s="31"/>
    </row>
    <row r="29849" spans="43:43" x14ac:dyDescent="0.2">
      <c r="AQ29849" s="31"/>
    </row>
    <row r="29850" spans="43:43" x14ac:dyDescent="0.2">
      <c r="AQ29850" s="31"/>
    </row>
    <row r="29851" spans="43:43" x14ac:dyDescent="0.2">
      <c r="AQ29851" s="31"/>
    </row>
    <row r="29852" spans="43:43" x14ac:dyDescent="0.2">
      <c r="AQ29852" s="31"/>
    </row>
    <row r="29853" spans="43:43" x14ac:dyDescent="0.2">
      <c r="AQ29853" s="31"/>
    </row>
    <row r="29854" spans="43:43" x14ac:dyDescent="0.2">
      <c r="AQ29854" s="31"/>
    </row>
    <row r="29855" spans="43:43" x14ac:dyDescent="0.2">
      <c r="AQ29855" s="31"/>
    </row>
    <row r="29856" spans="43:43" x14ac:dyDescent="0.2">
      <c r="AQ29856" s="31"/>
    </row>
    <row r="29857" spans="43:43" x14ac:dyDescent="0.2">
      <c r="AQ29857" s="31"/>
    </row>
    <row r="29858" spans="43:43" x14ac:dyDescent="0.2">
      <c r="AQ29858" s="31"/>
    </row>
    <row r="29859" spans="43:43" x14ac:dyDescent="0.2">
      <c r="AQ29859" s="31"/>
    </row>
    <row r="29860" spans="43:43" x14ac:dyDescent="0.2">
      <c r="AQ29860" s="31"/>
    </row>
    <row r="29861" spans="43:43" x14ac:dyDescent="0.2">
      <c r="AQ29861" s="31"/>
    </row>
    <row r="29862" spans="43:43" x14ac:dyDescent="0.2">
      <c r="AQ29862" s="31"/>
    </row>
    <row r="29863" spans="43:43" x14ac:dyDescent="0.2">
      <c r="AQ29863" s="31"/>
    </row>
    <row r="29864" spans="43:43" x14ac:dyDescent="0.2">
      <c r="AQ29864" s="31"/>
    </row>
    <row r="29865" spans="43:43" x14ac:dyDescent="0.2">
      <c r="AQ29865" s="31"/>
    </row>
    <row r="29866" spans="43:43" x14ac:dyDescent="0.2">
      <c r="AQ29866" s="31"/>
    </row>
    <row r="29867" spans="43:43" x14ac:dyDescent="0.2">
      <c r="AQ29867" s="31"/>
    </row>
    <row r="29868" spans="43:43" x14ac:dyDescent="0.2">
      <c r="AQ29868" s="31"/>
    </row>
    <row r="29869" spans="43:43" x14ac:dyDescent="0.2">
      <c r="AQ29869" s="31"/>
    </row>
    <row r="29870" spans="43:43" x14ac:dyDescent="0.2">
      <c r="AQ29870" s="31"/>
    </row>
    <row r="29871" spans="43:43" x14ac:dyDescent="0.2">
      <c r="AQ29871" s="31"/>
    </row>
    <row r="29872" spans="43:43" x14ac:dyDescent="0.2">
      <c r="AQ29872" s="31"/>
    </row>
    <row r="29873" spans="43:43" x14ac:dyDescent="0.2">
      <c r="AQ29873" s="31"/>
    </row>
    <row r="29874" spans="43:43" x14ac:dyDescent="0.2">
      <c r="AQ29874" s="31"/>
    </row>
    <row r="29875" spans="43:43" x14ac:dyDescent="0.2">
      <c r="AQ29875" s="31"/>
    </row>
    <row r="29876" spans="43:43" x14ac:dyDescent="0.2">
      <c r="AQ29876" s="31"/>
    </row>
    <row r="29877" spans="43:43" x14ac:dyDescent="0.2">
      <c r="AQ29877" s="31"/>
    </row>
    <row r="29878" spans="43:43" x14ac:dyDescent="0.2">
      <c r="AQ29878" s="31"/>
    </row>
    <row r="29879" spans="43:43" x14ac:dyDescent="0.2">
      <c r="AQ29879" s="31"/>
    </row>
    <row r="29880" spans="43:43" x14ac:dyDescent="0.2">
      <c r="AQ29880" s="31"/>
    </row>
    <row r="29881" spans="43:43" x14ac:dyDescent="0.2">
      <c r="AQ29881" s="31"/>
    </row>
    <row r="29882" spans="43:43" x14ac:dyDescent="0.2">
      <c r="AQ29882" s="31"/>
    </row>
    <row r="29883" spans="43:43" x14ac:dyDescent="0.2">
      <c r="AQ29883" s="31"/>
    </row>
    <row r="29884" spans="43:43" x14ac:dyDescent="0.2">
      <c r="AQ29884" s="31"/>
    </row>
    <row r="29885" spans="43:43" x14ac:dyDescent="0.2">
      <c r="AQ29885" s="31"/>
    </row>
    <row r="29886" spans="43:43" x14ac:dyDescent="0.2">
      <c r="AQ29886" s="31"/>
    </row>
    <row r="29887" spans="43:43" x14ac:dyDescent="0.2">
      <c r="AQ29887" s="31"/>
    </row>
    <row r="29888" spans="43:43" x14ac:dyDescent="0.2">
      <c r="AQ29888" s="31"/>
    </row>
    <row r="29889" spans="43:43" x14ac:dyDescent="0.2">
      <c r="AQ29889" s="31"/>
    </row>
    <row r="29890" spans="43:43" x14ac:dyDescent="0.2">
      <c r="AQ29890" s="31"/>
    </row>
    <row r="29891" spans="43:43" x14ac:dyDescent="0.2">
      <c r="AQ29891" s="31"/>
    </row>
    <row r="29892" spans="43:43" x14ac:dyDescent="0.2">
      <c r="AQ29892" s="31"/>
    </row>
    <row r="29893" spans="43:43" x14ac:dyDescent="0.2">
      <c r="AQ29893" s="31"/>
    </row>
    <row r="29894" spans="43:43" x14ac:dyDescent="0.2">
      <c r="AQ29894" s="31"/>
    </row>
    <row r="29895" spans="43:43" x14ac:dyDescent="0.2">
      <c r="AQ29895" s="31"/>
    </row>
    <row r="29896" spans="43:43" x14ac:dyDescent="0.2">
      <c r="AQ29896" s="31"/>
    </row>
    <row r="29897" spans="43:43" x14ac:dyDescent="0.2">
      <c r="AQ29897" s="31"/>
    </row>
    <row r="29898" spans="43:43" x14ac:dyDescent="0.2">
      <c r="AQ29898" s="31"/>
    </row>
    <row r="29899" spans="43:43" x14ac:dyDescent="0.2">
      <c r="AQ29899" s="31"/>
    </row>
    <row r="29900" spans="43:43" x14ac:dyDescent="0.2">
      <c r="AQ29900" s="31"/>
    </row>
    <row r="29901" spans="43:43" x14ac:dyDescent="0.2">
      <c r="AQ29901" s="31"/>
    </row>
    <row r="29902" spans="43:43" x14ac:dyDescent="0.2">
      <c r="AQ29902" s="31"/>
    </row>
    <row r="29903" spans="43:43" x14ac:dyDescent="0.2">
      <c r="AQ29903" s="31"/>
    </row>
    <row r="29904" spans="43:43" x14ac:dyDescent="0.2">
      <c r="AQ29904" s="31"/>
    </row>
    <row r="29905" spans="43:43" x14ac:dyDescent="0.2">
      <c r="AQ29905" s="31"/>
    </row>
    <row r="29906" spans="43:43" x14ac:dyDescent="0.2">
      <c r="AQ29906" s="31"/>
    </row>
    <row r="29907" spans="43:43" x14ac:dyDescent="0.2">
      <c r="AQ29907" s="31"/>
    </row>
    <row r="29908" spans="43:43" x14ac:dyDescent="0.2">
      <c r="AQ29908" s="31"/>
    </row>
    <row r="29909" spans="43:43" x14ac:dyDescent="0.2">
      <c r="AQ29909" s="31"/>
    </row>
    <row r="29910" spans="43:43" x14ac:dyDescent="0.2">
      <c r="AQ29910" s="31"/>
    </row>
    <row r="29911" spans="43:43" x14ac:dyDescent="0.2">
      <c r="AQ29911" s="31"/>
    </row>
    <row r="29912" spans="43:43" x14ac:dyDescent="0.2">
      <c r="AQ29912" s="31"/>
    </row>
    <row r="29913" spans="43:43" x14ac:dyDescent="0.2">
      <c r="AQ29913" s="31"/>
    </row>
    <row r="29914" spans="43:43" x14ac:dyDescent="0.2">
      <c r="AQ29914" s="31"/>
    </row>
    <row r="29915" spans="43:43" x14ac:dyDescent="0.2">
      <c r="AQ29915" s="31"/>
    </row>
    <row r="29916" spans="43:43" x14ac:dyDescent="0.2">
      <c r="AQ29916" s="31"/>
    </row>
    <row r="29917" spans="43:43" x14ac:dyDescent="0.2">
      <c r="AQ29917" s="31"/>
    </row>
    <row r="29918" spans="43:43" x14ac:dyDescent="0.2">
      <c r="AQ29918" s="31"/>
    </row>
    <row r="29919" spans="43:43" x14ac:dyDescent="0.2">
      <c r="AQ29919" s="31"/>
    </row>
    <row r="29920" spans="43:43" x14ac:dyDescent="0.2">
      <c r="AQ29920" s="31"/>
    </row>
    <row r="29921" spans="43:43" x14ac:dyDescent="0.2">
      <c r="AQ29921" s="31"/>
    </row>
    <row r="29922" spans="43:43" x14ac:dyDescent="0.2">
      <c r="AQ29922" s="31"/>
    </row>
    <row r="29923" spans="43:43" x14ac:dyDescent="0.2">
      <c r="AQ29923" s="31"/>
    </row>
    <row r="29924" spans="43:43" x14ac:dyDescent="0.2">
      <c r="AQ29924" s="31"/>
    </row>
    <row r="29925" spans="43:43" x14ac:dyDescent="0.2">
      <c r="AQ29925" s="31"/>
    </row>
    <row r="29926" spans="43:43" x14ac:dyDescent="0.2">
      <c r="AQ29926" s="31"/>
    </row>
    <row r="29927" spans="43:43" x14ac:dyDescent="0.2">
      <c r="AQ29927" s="31"/>
    </row>
    <row r="29928" spans="43:43" x14ac:dyDescent="0.2">
      <c r="AQ29928" s="31"/>
    </row>
    <row r="29929" spans="43:43" x14ac:dyDescent="0.2">
      <c r="AQ29929" s="31"/>
    </row>
    <row r="29930" spans="43:43" x14ac:dyDescent="0.2">
      <c r="AQ29930" s="31"/>
    </row>
    <row r="29931" spans="43:43" x14ac:dyDescent="0.2">
      <c r="AQ29931" s="31"/>
    </row>
    <row r="29932" spans="43:43" x14ac:dyDescent="0.2">
      <c r="AQ29932" s="31"/>
    </row>
    <row r="29933" spans="43:43" x14ac:dyDescent="0.2">
      <c r="AQ29933" s="31"/>
    </row>
    <row r="29934" spans="43:43" x14ac:dyDescent="0.2">
      <c r="AQ29934" s="31"/>
    </row>
    <row r="29935" spans="43:43" x14ac:dyDescent="0.2">
      <c r="AQ29935" s="31"/>
    </row>
    <row r="29936" spans="43:43" x14ac:dyDescent="0.2">
      <c r="AQ29936" s="31"/>
    </row>
    <row r="29937" spans="43:43" x14ac:dyDescent="0.2">
      <c r="AQ29937" s="31"/>
    </row>
    <row r="29938" spans="43:43" x14ac:dyDescent="0.2">
      <c r="AQ29938" s="31"/>
    </row>
    <row r="29939" spans="43:43" x14ac:dyDescent="0.2">
      <c r="AQ29939" s="31"/>
    </row>
    <row r="29940" spans="43:43" x14ac:dyDescent="0.2">
      <c r="AQ29940" s="31"/>
    </row>
    <row r="29941" spans="43:43" x14ac:dyDescent="0.2">
      <c r="AQ29941" s="31"/>
    </row>
    <row r="29942" spans="43:43" x14ac:dyDescent="0.2">
      <c r="AQ29942" s="31"/>
    </row>
    <row r="29943" spans="43:43" x14ac:dyDescent="0.2">
      <c r="AQ29943" s="31"/>
    </row>
    <row r="29944" spans="43:43" x14ac:dyDescent="0.2">
      <c r="AQ29944" s="31"/>
    </row>
    <row r="29945" spans="43:43" x14ac:dyDescent="0.2">
      <c r="AQ29945" s="31"/>
    </row>
    <row r="29946" spans="43:43" x14ac:dyDescent="0.2">
      <c r="AQ29946" s="31"/>
    </row>
    <row r="29947" spans="43:43" x14ac:dyDescent="0.2">
      <c r="AQ29947" s="31"/>
    </row>
    <row r="29948" spans="43:43" x14ac:dyDescent="0.2">
      <c r="AQ29948" s="31"/>
    </row>
    <row r="29949" spans="43:43" x14ac:dyDescent="0.2">
      <c r="AQ29949" s="31"/>
    </row>
    <row r="29950" spans="43:43" x14ac:dyDescent="0.2">
      <c r="AQ29950" s="31"/>
    </row>
    <row r="29951" spans="43:43" x14ac:dyDescent="0.2">
      <c r="AQ29951" s="31"/>
    </row>
    <row r="29952" spans="43:43" x14ac:dyDescent="0.2">
      <c r="AQ29952" s="31"/>
    </row>
    <row r="29953" spans="43:43" x14ac:dyDescent="0.2">
      <c r="AQ29953" s="31"/>
    </row>
    <row r="29954" spans="43:43" x14ac:dyDescent="0.2">
      <c r="AQ29954" s="31"/>
    </row>
    <row r="29955" spans="43:43" x14ac:dyDescent="0.2">
      <c r="AQ29955" s="31"/>
    </row>
    <row r="29956" spans="43:43" x14ac:dyDescent="0.2">
      <c r="AQ29956" s="31"/>
    </row>
    <row r="29957" spans="43:43" x14ac:dyDescent="0.2">
      <c r="AQ29957" s="31"/>
    </row>
    <row r="29958" spans="43:43" x14ac:dyDescent="0.2">
      <c r="AQ29958" s="31"/>
    </row>
    <row r="29959" spans="43:43" x14ac:dyDescent="0.2">
      <c r="AQ29959" s="31"/>
    </row>
    <row r="29960" spans="43:43" x14ac:dyDescent="0.2">
      <c r="AQ29960" s="31"/>
    </row>
    <row r="29961" spans="43:43" x14ac:dyDescent="0.2">
      <c r="AQ29961" s="31"/>
    </row>
    <row r="29962" spans="43:43" x14ac:dyDescent="0.2">
      <c r="AQ29962" s="31"/>
    </row>
    <row r="29963" spans="43:43" x14ac:dyDescent="0.2">
      <c r="AQ29963" s="31"/>
    </row>
    <row r="29964" spans="43:43" x14ac:dyDescent="0.2">
      <c r="AQ29964" s="31"/>
    </row>
    <row r="29965" spans="43:43" x14ac:dyDescent="0.2">
      <c r="AQ29965" s="31"/>
    </row>
    <row r="29966" spans="43:43" x14ac:dyDescent="0.2">
      <c r="AQ29966" s="31"/>
    </row>
    <row r="29967" spans="43:43" x14ac:dyDescent="0.2">
      <c r="AQ29967" s="31"/>
    </row>
    <row r="29968" spans="43:43" x14ac:dyDescent="0.2">
      <c r="AQ29968" s="31"/>
    </row>
    <row r="29969" spans="43:43" x14ac:dyDescent="0.2">
      <c r="AQ29969" s="31"/>
    </row>
    <row r="29970" spans="43:43" x14ac:dyDescent="0.2">
      <c r="AQ29970" s="31"/>
    </row>
    <row r="29971" spans="43:43" x14ac:dyDescent="0.2">
      <c r="AQ29971" s="31"/>
    </row>
    <row r="29972" spans="43:43" x14ac:dyDescent="0.2">
      <c r="AQ29972" s="31"/>
    </row>
    <row r="29973" spans="43:43" x14ac:dyDescent="0.2">
      <c r="AQ29973" s="31"/>
    </row>
    <row r="29974" spans="43:43" x14ac:dyDescent="0.2">
      <c r="AQ29974" s="31"/>
    </row>
    <row r="29975" spans="43:43" x14ac:dyDescent="0.2">
      <c r="AQ29975" s="31"/>
    </row>
    <row r="29976" spans="43:43" x14ac:dyDescent="0.2">
      <c r="AQ29976" s="31"/>
    </row>
    <row r="29977" spans="43:43" x14ac:dyDescent="0.2">
      <c r="AQ29977" s="31"/>
    </row>
    <row r="29978" spans="43:43" x14ac:dyDescent="0.2">
      <c r="AQ29978" s="31"/>
    </row>
    <row r="29979" spans="43:43" x14ac:dyDescent="0.2">
      <c r="AQ29979" s="31"/>
    </row>
    <row r="29980" spans="43:43" x14ac:dyDescent="0.2">
      <c r="AQ29980" s="31"/>
    </row>
    <row r="29981" spans="43:43" x14ac:dyDescent="0.2">
      <c r="AQ29981" s="31"/>
    </row>
    <row r="29982" spans="43:43" x14ac:dyDescent="0.2">
      <c r="AQ29982" s="31"/>
    </row>
    <row r="29983" spans="43:43" x14ac:dyDescent="0.2">
      <c r="AQ29983" s="31"/>
    </row>
    <row r="29984" spans="43:43" x14ac:dyDescent="0.2">
      <c r="AQ29984" s="31"/>
    </row>
    <row r="29985" spans="43:43" x14ac:dyDescent="0.2">
      <c r="AQ29985" s="31"/>
    </row>
    <row r="29986" spans="43:43" x14ac:dyDescent="0.2">
      <c r="AQ29986" s="31"/>
    </row>
    <row r="29987" spans="43:43" x14ac:dyDescent="0.2">
      <c r="AQ29987" s="31"/>
    </row>
    <row r="29988" spans="43:43" x14ac:dyDescent="0.2">
      <c r="AQ29988" s="31"/>
    </row>
    <row r="29989" spans="43:43" x14ac:dyDescent="0.2">
      <c r="AQ29989" s="31"/>
    </row>
    <row r="29990" spans="43:43" x14ac:dyDescent="0.2">
      <c r="AQ29990" s="31"/>
    </row>
    <row r="29991" spans="43:43" x14ac:dyDescent="0.2">
      <c r="AQ29991" s="31"/>
    </row>
    <row r="29992" spans="43:43" x14ac:dyDescent="0.2">
      <c r="AQ29992" s="31"/>
    </row>
    <row r="29993" spans="43:43" x14ac:dyDescent="0.2">
      <c r="AQ29993" s="31"/>
    </row>
    <row r="29994" spans="43:43" x14ac:dyDescent="0.2">
      <c r="AQ29994" s="31"/>
    </row>
    <row r="29995" spans="43:43" x14ac:dyDescent="0.2">
      <c r="AQ29995" s="31"/>
    </row>
    <row r="29996" spans="43:43" x14ac:dyDescent="0.2">
      <c r="AQ29996" s="31"/>
    </row>
    <row r="29997" spans="43:43" x14ac:dyDescent="0.2">
      <c r="AQ29997" s="31"/>
    </row>
    <row r="29998" spans="43:43" x14ac:dyDescent="0.2">
      <c r="AQ29998" s="31"/>
    </row>
    <row r="29999" spans="43:43" x14ac:dyDescent="0.2">
      <c r="AQ29999" s="31"/>
    </row>
    <row r="30000" spans="43:43" x14ac:dyDescent="0.2">
      <c r="AQ30000" s="31"/>
    </row>
    <row r="30001" spans="43:43" x14ac:dyDescent="0.2">
      <c r="AQ30001" s="31"/>
    </row>
    <row r="30002" spans="43:43" x14ac:dyDescent="0.2">
      <c r="AQ30002" s="31"/>
    </row>
    <row r="30003" spans="43:43" x14ac:dyDescent="0.2">
      <c r="AQ30003" s="31"/>
    </row>
    <row r="30004" spans="43:43" x14ac:dyDescent="0.2">
      <c r="AQ30004" s="31"/>
    </row>
    <row r="30005" spans="43:43" x14ac:dyDescent="0.2">
      <c r="AQ30005" s="31"/>
    </row>
    <row r="30006" spans="43:43" x14ac:dyDescent="0.2">
      <c r="AQ30006" s="31"/>
    </row>
    <row r="30007" spans="43:43" x14ac:dyDescent="0.2">
      <c r="AQ30007" s="31"/>
    </row>
    <row r="30008" spans="43:43" x14ac:dyDescent="0.2">
      <c r="AQ30008" s="31"/>
    </row>
    <row r="30009" spans="43:43" x14ac:dyDescent="0.2">
      <c r="AQ30009" s="31"/>
    </row>
    <row r="30010" spans="43:43" x14ac:dyDescent="0.2">
      <c r="AQ30010" s="31"/>
    </row>
    <row r="30011" spans="43:43" x14ac:dyDescent="0.2">
      <c r="AQ30011" s="31"/>
    </row>
    <row r="30012" spans="43:43" x14ac:dyDescent="0.2">
      <c r="AQ30012" s="31"/>
    </row>
    <row r="30013" spans="43:43" x14ac:dyDescent="0.2">
      <c r="AQ30013" s="31"/>
    </row>
    <row r="30014" spans="43:43" x14ac:dyDescent="0.2">
      <c r="AQ30014" s="31"/>
    </row>
    <row r="30015" spans="43:43" x14ac:dyDescent="0.2">
      <c r="AQ30015" s="31"/>
    </row>
    <row r="30016" spans="43:43" x14ac:dyDescent="0.2">
      <c r="AQ30016" s="31"/>
    </row>
    <row r="30017" spans="43:43" x14ac:dyDescent="0.2">
      <c r="AQ30017" s="31"/>
    </row>
    <row r="30018" spans="43:43" x14ac:dyDescent="0.2">
      <c r="AQ30018" s="31"/>
    </row>
    <row r="30019" spans="43:43" x14ac:dyDescent="0.2">
      <c r="AQ30019" s="31"/>
    </row>
    <row r="30020" spans="43:43" x14ac:dyDescent="0.2">
      <c r="AQ30020" s="31"/>
    </row>
    <row r="30021" spans="43:43" x14ac:dyDescent="0.2">
      <c r="AQ30021" s="31"/>
    </row>
    <row r="30022" spans="43:43" x14ac:dyDescent="0.2">
      <c r="AQ30022" s="31"/>
    </row>
    <row r="30023" spans="43:43" x14ac:dyDescent="0.2">
      <c r="AQ30023" s="31"/>
    </row>
    <row r="30024" spans="43:43" x14ac:dyDescent="0.2">
      <c r="AQ30024" s="31"/>
    </row>
    <row r="30025" spans="43:43" x14ac:dyDescent="0.2">
      <c r="AQ30025" s="31"/>
    </row>
    <row r="30026" spans="43:43" x14ac:dyDescent="0.2">
      <c r="AQ30026" s="31"/>
    </row>
    <row r="30027" spans="43:43" x14ac:dyDescent="0.2">
      <c r="AQ30027" s="31"/>
    </row>
    <row r="30028" spans="43:43" x14ac:dyDescent="0.2">
      <c r="AQ30028" s="31"/>
    </row>
    <row r="30029" spans="43:43" x14ac:dyDescent="0.2">
      <c r="AQ30029" s="31"/>
    </row>
    <row r="30030" spans="43:43" x14ac:dyDescent="0.2">
      <c r="AQ30030" s="31"/>
    </row>
    <row r="30031" spans="43:43" x14ac:dyDescent="0.2">
      <c r="AQ30031" s="31"/>
    </row>
    <row r="30032" spans="43:43" x14ac:dyDescent="0.2">
      <c r="AQ30032" s="31"/>
    </row>
    <row r="30033" spans="43:43" x14ac:dyDescent="0.2">
      <c r="AQ30033" s="31"/>
    </row>
    <row r="30034" spans="43:43" x14ac:dyDescent="0.2">
      <c r="AQ30034" s="31"/>
    </row>
    <row r="30035" spans="43:43" x14ac:dyDescent="0.2">
      <c r="AQ30035" s="31"/>
    </row>
    <row r="30036" spans="43:43" x14ac:dyDescent="0.2">
      <c r="AQ30036" s="31"/>
    </row>
    <row r="30037" spans="43:43" x14ac:dyDescent="0.2">
      <c r="AQ30037" s="31"/>
    </row>
    <row r="30038" spans="43:43" x14ac:dyDescent="0.2">
      <c r="AQ30038" s="31"/>
    </row>
    <row r="30039" spans="43:43" x14ac:dyDescent="0.2">
      <c r="AQ30039" s="31"/>
    </row>
    <row r="30040" spans="43:43" x14ac:dyDescent="0.2">
      <c r="AQ30040" s="31"/>
    </row>
    <row r="30041" spans="43:43" x14ac:dyDescent="0.2">
      <c r="AQ30041" s="31"/>
    </row>
    <row r="30042" spans="43:43" x14ac:dyDescent="0.2">
      <c r="AQ30042" s="31"/>
    </row>
    <row r="30043" spans="43:43" x14ac:dyDescent="0.2">
      <c r="AQ30043" s="31"/>
    </row>
    <row r="30044" spans="43:43" x14ac:dyDescent="0.2">
      <c r="AQ30044" s="31"/>
    </row>
    <row r="30045" spans="43:43" x14ac:dyDescent="0.2">
      <c r="AQ30045" s="31"/>
    </row>
    <row r="30046" spans="43:43" x14ac:dyDescent="0.2">
      <c r="AQ30046" s="31"/>
    </row>
    <row r="30047" spans="43:43" x14ac:dyDescent="0.2">
      <c r="AQ30047" s="31"/>
    </row>
    <row r="30048" spans="43:43" x14ac:dyDescent="0.2">
      <c r="AQ30048" s="31"/>
    </row>
    <row r="30049" spans="43:43" x14ac:dyDescent="0.2">
      <c r="AQ30049" s="31"/>
    </row>
    <row r="30050" spans="43:43" x14ac:dyDescent="0.2">
      <c r="AQ30050" s="31"/>
    </row>
    <row r="30051" spans="43:43" x14ac:dyDescent="0.2">
      <c r="AQ30051" s="31"/>
    </row>
    <row r="30052" spans="43:43" x14ac:dyDescent="0.2">
      <c r="AQ30052" s="31"/>
    </row>
    <row r="30053" spans="43:43" x14ac:dyDescent="0.2">
      <c r="AQ30053" s="31"/>
    </row>
    <row r="30054" spans="43:43" x14ac:dyDescent="0.2">
      <c r="AQ30054" s="31"/>
    </row>
    <row r="30055" spans="43:43" x14ac:dyDescent="0.2">
      <c r="AQ30055" s="31"/>
    </row>
    <row r="30056" spans="43:43" x14ac:dyDescent="0.2">
      <c r="AQ30056" s="31"/>
    </row>
    <row r="30057" spans="43:43" x14ac:dyDescent="0.2">
      <c r="AQ30057" s="31"/>
    </row>
    <row r="30058" spans="43:43" x14ac:dyDescent="0.2">
      <c r="AQ30058" s="31"/>
    </row>
    <row r="30059" spans="43:43" x14ac:dyDescent="0.2">
      <c r="AQ30059" s="31"/>
    </row>
    <row r="30060" spans="43:43" x14ac:dyDescent="0.2">
      <c r="AQ30060" s="31"/>
    </row>
    <row r="30061" spans="43:43" x14ac:dyDescent="0.2">
      <c r="AQ30061" s="31"/>
    </row>
    <row r="30062" spans="43:43" x14ac:dyDescent="0.2">
      <c r="AQ30062" s="31"/>
    </row>
    <row r="30063" spans="43:43" x14ac:dyDescent="0.2">
      <c r="AQ30063" s="31"/>
    </row>
    <row r="30064" spans="43:43" x14ac:dyDescent="0.2">
      <c r="AQ30064" s="31"/>
    </row>
    <row r="30065" spans="43:43" x14ac:dyDescent="0.2">
      <c r="AQ30065" s="31"/>
    </row>
    <row r="30066" spans="43:43" x14ac:dyDescent="0.2">
      <c r="AQ30066" s="31"/>
    </row>
    <row r="30067" spans="43:43" x14ac:dyDescent="0.2">
      <c r="AQ30067" s="31"/>
    </row>
    <row r="30068" spans="43:43" x14ac:dyDescent="0.2">
      <c r="AQ30068" s="31"/>
    </row>
    <row r="30069" spans="43:43" x14ac:dyDescent="0.2">
      <c r="AQ30069" s="31"/>
    </row>
    <row r="30070" spans="43:43" x14ac:dyDescent="0.2">
      <c r="AQ30070" s="31"/>
    </row>
    <row r="30071" spans="43:43" x14ac:dyDescent="0.2">
      <c r="AQ30071" s="31"/>
    </row>
    <row r="30072" spans="43:43" x14ac:dyDescent="0.2">
      <c r="AQ30072" s="31"/>
    </row>
    <row r="30073" spans="43:43" x14ac:dyDescent="0.2">
      <c r="AQ30073" s="31"/>
    </row>
    <row r="30074" spans="43:43" x14ac:dyDescent="0.2">
      <c r="AQ30074" s="31"/>
    </row>
    <row r="30075" spans="43:43" x14ac:dyDescent="0.2">
      <c r="AQ30075" s="31"/>
    </row>
    <row r="30076" spans="43:43" x14ac:dyDescent="0.2">
      <c r="AQ30076" s="31"/>
    </row>
    <row r="30077" spans="43:43" x14ac:dyDescent="0.2">
      <c r="AQ30077" s="31"/>
    </row>
    <row r="30078" spans="43:43" x14ac:dyDescent="0.2">
      <c r="AQ30078" s="31"/>
    </row>
    <row r="30079" spans="43:43" x14ac:dyDescent="0.2">
      <c r="AQ30079" s="31"/>
    </row>
    <row r="30080" spans="43:43" x14ac:dyDescent="0.2">
      <c r="AQ30080" s="31"/>
    </row>
    <row r="30081" spans="43:43" x14ac:dyDescent="0.2">
      <c r="AQ30081" s="31"/>
    </row>
    <row r="30082" spans="43:43" x14ac:dyDescent="0.2">
      <c r="AQ30082" s="31"/>
    </row>
    <row r="30083" spans="43:43" x14ac:dyDescent="0.2">
      <c r="AQ30083" s="31"/>
    </row>
    <row r="30084" spans="43:43" x14ac:dyDescent="0.2">
      <c r="AQ30084" s="31"/>
    </row>
    <row r="30085" spans="43:43" x14ac:dyDescent="0.2">
      <c r="AQ30085" s="31"/>
    </row>
    <row r="30086" spans="43:43" x14ac:dyDescent="0.2">
      <c r="AQ30086" s="31"/>
    </row>
    <row r="30087" spans="43:43" x14ac:dyDescent="0.2">
      <c r="AQ30087" s="31"/>
    </row>
    <row r="30088" spans="43:43" x14ac:dyDescent="0.2">
      <c r="AQ30088" s="31"/>
    </row>
    <row r="30089" spans="43:43" x14ac:dyDescent="0.2">
      <c r="AQ30089" s="31"/>
    </row>
    <row r="30090" spans="43:43" x14ac:dyDescent="0.2">
      <c r="AQ30090" s="31"/>
    </row>
    <row r="30091" spans="43:43" x14ac:dyDescent="0.2">
      <c r="AQ30091" s="31"/>
    </row>
    <row r="30092" spans="43:43" x14ac:dyDescent="0.2">
      <c r="AQ30092" s="31"/>
    </row>
    <row r="30093" spans="43:43" x14ac:dyDescent="0.2">
      <c r="AQ30093" s="31"/>
    </row>
    <row r="30094" spans="43:43" x14ac:dyDescent="0.2">
      <c r="AQ30094" s="31"/>
    </row>
    <row r="30095" spans="43:43" x14ac:dyDescent="0.2">
      <c r="AQ30095" s="31"/>
    </row>
    <row r="30096" spans="43:43" x14ac:dyDescent="0.2">
      <c r="AQ30096" s="31"/>
    </row>
    <row r="30097" spans="43:43" x14ac:dyDescent="0.2">
      <c r="AQ30097" s="31"/>
    </row>
    <row r="30098" spans="43:43" x14ac:dyDescent="0.2">
      <c r="AQ30098" s="31"/>
    </row>
    <row r="30099" spans="43:43" x14ac:dyDescent="0.2">
      <c r="AQ30099" s="31"/>
    </row>
    <row r="30100" spans="43:43" x14ac:dyDescent="0.2">
      <c r="AQ30100" s="31"/>
    </row>
    <row r="30101" spans="43:43" x14ac:dyDescent="0.2">
      <c r="AQ30101" s="31"/>
    </row>
    <row r="30102" spans="43:43" x14ac:dyDescent="0.2">
      <c r="AQ30102" s="31"/>
    </row>
    <row r="30103" spans="43:43" x14ac:dyDescent="0.2">
      <c r="AQ30103" s="31"/>
    </row>
    <row r="30104" spans="43:43" x14ac:dyDescent="0.2">
      <c r="AQ30104" s="31"/>
    </row>
    <row r="30105" spans="43:43" x14ac:dyDescent="0.2">
      <c r="AQ30105" s="31"/>
    </row>
    <row r="30106" spans="43:43" x14ac:dyDescent="0.2">
      <c r="AQ30106" s="31"/>
    </row>
    <row r="30107" spans="43:43" x14ac:dyDescent="0.2">
      <c r="AQ30107" s="31"/>
    </row>
    <row r="30108" spans="43:43" x14ac:dyDescent="0.2">
      <c r="AQ30108" s="31"/>
    </row>
    <row r="30109" spans="43:43" x14ac:dyDescent="0.2">
      <c r="AQ30109" s="31"/>
    </row>
    <row r="30110" spans="43:43" x14ac:dyDescent="0.2">
      <c r="AQ30110" s="31"/>
    </row>
    <row r="30111" spans="43:43" x14ac:dyDescent="0.2">
      <c r="AQ30111" s="31"/>
    </row>
    <row r="30112" spans="43:43" x14ac:dyDescent="0.2">
      <c r="AQ30112" s="31"/>
    </row>
    <row r="30113" spans="43:43" x14ac:dyDescent="0.2">
      <c r="AQ30113" s="31"/>
    </row>
    <row r="30114" spans="43:43" x14ac:dyDescent="0.2">
      <c r="AQ30114" s="31"/>
    </row>
    <row r="30115" spans="43:43" x14ac:dyDescent="0.2">
      <c r="AQ30115" s="31"/>
    </row>
    <row r="30116" spans="43:43" x14ac:dyDescent="0.2">
      <c r="AQ30116" s="31"/>
    </row>
    <row r="30117" spans="43:43" x14ac:dyDescent="0.2">
      <c r="AQ30117" s="31"/>
    </row>
    <row r="30118" spans="43:43" x14ac:dyDescent="0.2">
      <c r="AQ30118" s="31"/>
    </row>
    <row r="30119" spans="43:43" x14ac:dyDescent="0.2">
      <c r="AQ30119" s="31"/>
    </row>
    <row r="30120" spans="43:43" x14ac:dyDescent="0.2">
      <c r="AQ30120" s="31"/>
    </row>
    <row r="30121" spans="43:43" x14ac:dyDescent="0.2">
      <c r="AQ30121" s="31"/>
    </row>
    <row r="30122" spans="43:43" x14ac:dyDescent="0.2">
      <c r="AQ30122" s="31"/>
    </row>
    <row r="30123" spans="43:43" x14ac:dyDescent="0.2">
      <c r="AQ30123" s="31"/>
    </row>
    <row r="30124" spans="43:43" x14ac:dyDescent="0.2">
      <c r="AQ30124" s="31"/>
    </row>
    <row r="30125" spans="43:43" x14ac:dyDescent="0.2">
      <c r="AQ30125" s="31"/>
    </row>
    <row r="30126" spans="43:43" x14ac:dyDescent="0.2">
      <c r="AQ30126" s="31"/>
    </row>
    <row r="30127" spans="43:43" x14ac:dyDescent="0.2">
      <c r="AQ30127" s="31"/>
    </row>
    <row r="30128" spans="43:43" x14ac:dyDescent="0.2">
      <c r="AQ30128" s="31"/>
    </row>
    <row r="30129" spans="43:43" x14ac:dyDescent="0.2">
      <c r="AQ30129" s="31"/>
    </row>
    <row r="30130" spans="43:43" x14ac:dyDescent="0.2">
      <c r="AQ30130" s="31"/>
    </row>
    <row r="30131" spans="43:43" x14ac:dyDescent="0.2">
      <c r="AQ30131" s="31"/>
    </row>
    <row r="30132" spans="43:43" x14ac:dyDescent="0.2">
      <c r="AQ30132" s="31"/>
    </row>
    <row r="30133" spans="43:43" x14ac:dyDescent="0.2">
      <c r="AQ30133" s="31"/>
    </row>
    <row r="30134" spans="43:43" x14ac:dyDescent="0.2">
      <c r="AQ30134" s="31"/>
    </row>
    <row r="30135" spans="43:43" x14ac:dyDescent="0.2">
      <c r="AQ30135" s="31"/>
    </row>
    <row r="30136" spans="43:43" x14ac:dyDescent="0.2">
      <c r="AQ30136" s="31"/>
    </row>
    <row r="30137" spans="43:43" x14ac:dyDescent="0.2">
      <c r="AQ30137" s="31"/>
    </row>
    <row r="30138" spans="43:43" x14ac:dyDescent="0.2">
      <c r="AQ30138" s="31"/>
    </row>
    <row r="30139" spans="43:43" x14ac:dyDescent="0.2">
      <c r="AQ30139" s="31"/>
    </row>
    <row r="30140" spans="43:43" x14ac:dyDescent="0.2">
      <c r="AQ30140" s="31"/>
    </row>
    <row r="30141" spans="43:43" x14ac:dyDescent="0.2">
      <c r="AQ30141" s="31"/>
    </row>
    <row r="30142" spans="43:43" x14ac:dyDescent="0.2">
      <c r="AQ30142" s="31"/>
    </row>
    <row r="30143" spans="43:43" x14ac:dyDescent="0.2">
      <c r="AQ30143" s="31"/>
    </row>
    <row r="30144" spans="43:43" x14ac:dyDescent="0.2">
      <c r="AQ30144" s="31"/>
    </row>
    <row r="30145" spans="43:43" x14ac:dyDescent="0.2">
      <c r="AQ30145" s="31"/>
    </row>
    <row r="30146" spans="43:43" x14ac:dyDescent="0.2">
      <c r="AQ30146" s="31"/>
    </row>
    <row r="30147" spans="43:43" x14ac:dyDescent="0.2">
      <c r="AQ30147" s="31"/>
    </row>
    <row r="30148" spans="43:43" x14ac:dyDescent="0.2">
      <c r="AQ30148" s="31"/>
    </row>
    <row r="30149" spans="43:43" x14ac:dyDescent="0.2">
      <c r="AQ30149" s="31"/>
    </row>
    <row r="30150" spans="43:43" x14ac:dyDescent="0.2">
      <c r="AQ30150" s="31"/>
    </row>
    <row r="30151" spans="43:43" x14ac:dyDescent="0.2">
      <c r="AQ30151" s="31"/>
    </row>
    <row r="30152" spans="43:43" x14ac:dyDescent="0.2">
      <c r="AQ30152" s="31"/>
    </row>
    <row r="30153" spans="43:43" x14ac:dyDescent="0.2">
      <c r="AQ30153" s="31"/>
    </row>
    <row r="30154" spans="43:43" x14ac:dyDescent="0.2">
      <c r="AQ30154" s="31"/>
    </row>
    <row r="30155" spans="43:43" x14ac:dyDescent="0.2">
      <c r="AQ30155" s="31"/>
    </row>
    <row r="30156" spans="43:43" x14ac:dyDescent="0.2">
      <c r="AQ30156" s="31"/>
    </row>
    <row r="30157" spans="43:43" x14ac:dyDescent="0.2">
      <c r="AQ30157" s="31"/>
    </row>
    <row r="30158" spans="43:43" x14ac:dyDescent="0.2">
      <c r="AQ30158" s="31"/>
    </row>
    <row r="30159" spans="43:43" x14ac:dyDescent="0.2">
      <c r="AQ30159" s="31"/>
    </row>
    <row r="30160" spans="43:43" x14ac:dyDescent="0.2">
      <c r="AQ30160" s="31"/>
    </row>
    <row r="30161" spans="43:43" x14ac:dyDescent="0.2">
      <c r="AQ30161" s="31"/>
    </row>
    <row r="30162" spans="43:43" x14ac:dyDescent="0.2">
      <c r="AQ30162" s="31"/>
    </row>
    <row r="30163" spans="43:43" x14ac:dyDescent="0.2">
      <c r="AQ30163" s="31"/>
    </row>
    <row r="30164" spans="43:43" x14ac:dyDescent="0.2">
      <c r="AQ30164" s="31"/>
    </row>
    <row r="30165" spans="43:43" x14ac:dyDescent="0.2">
      <c r="AQ30165" s="31"/>
    </row>
    <row r="30166" spans="43:43" x14ac:dyDescent="0.2">
      <c r="AQ30166" s="31"/>
    </row>
    <row r="30167" spans="43:43" x14ac:dyDescent="0.2">
      <c r="AQ30167" s="31"/>
    </row>
    <row r="30168" spans="43:43" x14ac:dyDescent="0.2">
      <c r="AQ30168" s="31"/>
    </row>
    <row r="30169" spans="43:43" x14ac:dyDescent="0.2">
      <c r="AQ30169" s="31"/>
    </row>
    <row r="30170" spans="43:43" x14ac:dyDescent="0.2">
      <c r="AQ30170" s="31"/>
    </row>
    <row r="30171" spans="43:43" x14ac:dyDescent="0.2">
      <c r="AQ30171" s="31"/>
    </row>
    <row r="30172" spans="43:43" x14ac:dyDescent="0.2">
      <c r="AQ30172" s="31"/>
    </row>
    <row r="30173" spans="43:43" x14ac:dyDescent="0.2">
      <c r="AQ30173" s="31"/>
    </row>
    <row r="30174" spans="43:43" x14ac:dyDescent="0.2">
      <c r="AQ30174" s="31"/>
    </row>
    <row r="30175" spans="43:43" x14ac:dyDescent="0.2">
      <c r="AQ30175" s="31"/>
    </row>
    <row r="30176" spans="43:43" x14ac:dyDescent="0.2">
      <c r="AQ30176" s="31"/>
    </row>
    <row r="30177" spans="43:43" x14ac:dyDescent="0.2">
      <c r="AQ30177" s="31"/>
    </row>
    <row r="30178" spans="43:43" x14ac:dyDescent="0.2">
      <c r="AQ30178" s="31"/>
    </row>
    <row r="30179" spans="43:43" x14ac:dyDescent="0.2">
      <c r="AQ30179" s="31"/>
    </row>
    <row r="30180" spans="43:43" x14ac:dyDescent="0.2">
      <c r="AQ30180" s="31"/>
    </row>
    <row r="30181" spans="43:43" x14ac:dyDescent="0.2">
      <c r="AQ30181" s="31"/>
    </row>
    <row r="30182" spans="43:43" x14ac:dyDescent="0.2">
      <c r="AQ30182" s="31"/>
    </row>
    <row r="30183" spans="43:43" x14ac:dyDescent="0.2">
      <c r="AQ30183" s="31"/>
    </row>
    <row r="30184" spans="43:43" x14ac:dyDescent="0.2">
      <c r="AQ30184" s="31"/>
    </row>
    <row r="30185" spans="43:43" x14ac:dyDescent="0.2">
      <c r="AQ30185" s="31"/>
    </row>
    <row r="30186" spans="43:43" x14ac:dyDescent="0.2">
      <c r="AQ30186" s="31"/>
    </row>
    <row r="30187" spans="43:43" x14ac:dyDescent="0.2">
      <c r="AQ30187" s="31"/>
    </row>
    <row r="30188" spans="43:43" x14ac:dyDescent="0.2">
      <c r="AQ30188" s="31"/>
    </row>
    <row r="30189" spans="43:43" x14ac:dyDescent="0.2">
      <c r="AQ30189" s="31"/>
    </row>
    <row r="30190" spans="43:43" x14ac:dyDescent="0.2">
      <c r="AQ30190" s="31"/>
    </row>
    <row r="30191" spans="43:43" x14ac:dyDescent="0.2">
      <c r="AQ30191" s="31"/>
    </row>
    <row r="30192" spans="43:43" x14ac:dyDescent="0.2">
      <c r="AQ30192" s="31"/>
    </row>
    <row r="30193" spans="43:43" x14ac:dyDescent="0.2">
      <c r="AQ30193" s="31"/>
    </row>
    <row r="30194" spans="43:43" x14ac:dyDescent="0.2">
      <c r="AQ30194" s="31"/>
    </row>
    <row r="30195" spans="43:43" x14ac:dyDescent="0.2">
      <c r="AQ30195" s="31"/>
    </row>
    <row r="30196" spans="43:43" x14ac:dyDescent="0.2">
      <c r="AQ30196" s="31"/>
    </row>
    <row r="30197" spans="43:43" x14ac:dyDescent="0.2">
      <c r="AQ30197" s="31"/>
    </row>
    <row r="30198" spans="43:43" x14ac:dyDescent="0.2">
      <c r="AQ30198" s="31"/>
    </row>
    <row r="30199" spans="43:43" x14ac:dyDescent="0.2">
      <c r="AQ30199" s="31"/>
    </row>
    <row r="30200" spans="43:43" x14ac:dyDescent="0.2">
      <c r="AQ30200" s="31"/>
    </row>
    <row r="30201" spans="43:43" x14ac:dyDescent="0.2">
      <c r="AQ30201" s="31"/>
    </row>
    <row r="30202" spans="43:43" x14ac:dyDescent="0.2">
      <c r="AQ30202" s="31"/>
    </row>
    <row r="30203" spans="43:43" x14ac:dyDescent="0.2">
      <c r="AQ30203" s="31"/>
    </row>
    <row r="30204" spans="43:43" x14ac:dyDescent="0.2">
      <c r="AQ30204" s="31"/>
    </row>
    <row r="30205" spans="43:43" x14ac:dyDescent="0.2">
      <c r="AQ30205" s="31"/>
    </row>
    <row r="30206" spans="43:43" x14ac:dyDescent="0.2">
      <c r="AQ30206" s="31"/>
    </row>
    <row r="30207" spans="43:43" x14ac:dyDescent="0.2">
      <c r="AQ30207" s="31"/>
    </row>
    <row r="30208" spans="43:43" x14ac:dyDescent="0.2">
      <c r="AQ30208" s="31"/>
    </row>
    <row r="30209" spans="43:43" x14ac:dyDescent="0.2">
      <c r="AQ30209" s="31"/>
    </row>
    <row r="30210" spans="43:43" x14ac:dyDescent="0.2">
      <c r="AQ30210" s="31"/>
    </row>
    <row r="30211" spans="43:43" x14ac:dyDescent="0.2">
      <c r="AQ30211" s="31"/>
    </row>
    <row r="30212" spans="43:43" x14ac:dyDescent="0.2">
      <c r="AQ30212" s="31"/>
    </row>
    <row r="30213" spans="43:43" x14ac:dyDescent="0.2">
      <c r="AQ30213" s="31"/>
    </row>
    <row r="30214" spans="43:43" x14ac:dyDescent="0.2">
      <c r="AQ30214" s="31"/>
    </row>
    <row r="30215" spans="43:43" x14ac:dyDescent="0.2">
      <c r="AQ30215" s="31"/>
    </row>
    <row r="30216" spans="43:43" x14ac:dyDescent="0.2">
      <c r="AQ30216" s="31"/>
    </row>
    <row r="30217" spans="43:43" x14ac:dyDescent="0.2">
      <c r="AQ30217" s="31"/>
    </row>
    <row r="30218" spans="43:43" x14ac:dyDescent="0.2">
      <c r="AQ30218" s="31"/>
    </row>
    <row r="30219" spans="43:43" x14ac:dyDescent="0.2">
      <c r="AQ30219" s="31"/>
    </row>
    <row r="30220" spans="43:43" x14ac:dyDescent="0.2">
      <c r="AQ30220" s="31"/>
    </row>
    <row r="30221" spans="43:43" x14ac:dyDescent="0.2">
      <c r="AQ30221" s="31"/>
    </row>
    <row r="30222" spans="43:43" x14ac:dyDescent="0.2">
      <c r="AQ30222" s="31"/>
    </row>
    <row r="30223" spans="43:43" x14ac:dyDescent="0.2">
      <c r="AQ30223" s="31"/>
    </row>
    <row r="30224" spans="43:43" x14ac:dyDescent="0.2">
      <c r="AQ30224" s="31"/>
    </row>
    <row r="30225" spans="43:43" x14ac:dyDescent="0.2">
      <c r="AQ30225" s="31"/>
    </row>
    <row r="30226" spans="43:43" x14ac:dyDescent="0.2">
      <c r="AQ30226" s="31"/>
    </row>
    <row r="30227" spans="43:43" x14ac:dyDescent="0.2">
      <c r="AQ30227" s="31"/>
    </row>
    <row r="30228" spans="43:43" x14ac:dyDescent="0.2">
      <c r="AQ30228" s="31"/>
    </row>
    <row r="30229" spans="43:43" x14ac:dyDescent="0.2">
      <c r="AQ30229" s="31"/>
    </row>
    <row r="30230" spans="43:43" x14ac:dyDescent="0.2">
      <c r="AQ30230" s="31"/>
    </row>
    <row r="30231" spans="43:43" x14ac:dyDescent="0.2">
      <c r="AQ30231" s="31"/>
    </row>
    <row r="30232" spans="43:43" x14ac:dyDescent="0.2">
      <c r="AQ30232" s="31"/>
    </row>
    <row r="30233" spans="43:43" x14ac:dyDescent="0.2">
      <c r="AQ30233" s="31"/>
    </row>
    <row r="30234" spans="43:43" x14ac:dyDescent="0.2">
      <c r="AQ30234" s="31"/>
    </row>
    <row r="30235" spans="43:43" x14ac:dyDescent="0.2">
      <c r="AQ30235" s="31"/>
    </row>
    <row r="30236" spans="43:43" x14ac:dyDescent="0.2">
      <c r="AQ30236" s="31"/>
    </row>
    <row r="30237" spans="43:43" x14ac:dyDescent="0.2">
      <c r="AQ30237" s="31"/>
    </row>
    <row r="30238" spans="43:43" x14ac:dyDescent="0.2">
      <c r="AQ30238" s="31"/>
    </row>
    <row r="30239" spans="43:43" x14ac:dyDescent="0.2">
      <c r="AQ30239" s="31"/>
    </row>
    <row r="30240" spans="43:43" x14ac:dyDescent="0.2">
      <c r="AQ30240" s="31"/>
    </row>
    <row r="30241" spans="43:43" x14ac:dyDescent="0.2">
      <c r="AQ30241" s="31"/>
    </row>
    <row r="30242" spans="43:43" x14ac:dyDescent="0.2">
      <c r="AQ30242" s="31"/>
    </row>
    <row r="30243" spans="43:43" x14ac:dyDescent="0.2">
      <c r="AQ30243" s="31"/>
    </row>
    <row r="30244" spans="43:43" x14ac:dyDescent="0.2">
      <c r="AQ30244" s="31"/>
    </row>
    <row r="30245" spans="43:43" x14ac:dyDescent="0.2">
      <c r="AQ30245" s="31"/>
    </row>
    <row r="30246" spans="43:43" x14ac:dyDescent="0.2">
      <c r="AQ30246" s="31"/>
    </row>
    <row r="30247" spans="43:43" x14ac:dyDescent="0.2">
      <c r="AQ30247" s="31"/>
    </row>
    <row r="30248" spans="43:43" x14ac:dyDescent="0.2">
      <c r="AQ30248" s="31"/>
    </row>
    <row r="30249" spans="43:43" x14ac:dyDescent="0.2">
      <c r="AQ30249" s="31"/>
    </row>
    <row r="30250" spans="43:43" x14ac:dyDescent="0.2">
      <c r="AQ30250" s="31"/>
    </row>
    <row r="30251" spans="43:43" x14ac:dyDescent="0.2">
      <c r="AQ30251" s="31"/>
    </row>
    <row r="30252" spans="43:43" x14ac:dyDescent="0.2">
      <c r="AQ30252" s="31"/>
    </row>
    <row r="30253" spans="43:43" x14ac:dyDescent="0.2">
      <c r="AQ30253" s="31"/>
    </row>
    <row r="30254" spans="43:43" x14ac:dyDescent="0.2">
      <c r="AQ30254" s="31"/>
    </row>
    <row r="30255" spans="43:43" x14ac:dyDescent="0.2">
      <c r="AQ30255" s="31"/>
    </row>
    <row r="30256" spans="43:43" x14ac:dyDescent="0.2">
      <c r="AQ30256" s="31"/>
    </row>
    <row r="30257" spans="43:43" x14ac:dyDescent="0.2">
      <c r="AQ30257" s="31"/>
    </row>
    <row r="30258" spans="43:43" x14ac:dyDescent="0.2">
      <c r="AQ30258" s="31"/>
    </row>
    <row r="30259" spans="43:43" x14ac:dyDescent="0.2">
      <c r="AQ30259" s="31"/>
    </row>
    <row r="30260" spans="43:43" x14ac:dyDescent="0.2">
      <c r="AQ30260" s="31"/>
    </row>
    <row r="30261" spans="43:43" x14ac:dyDescent="0.2">
      <c r="AQ30261" s="31"/>
    </row>
    <row r="30262" spans="43:43" x14ac:dyDescent="0.2">
      <c r="AQ30262" s="31"/>
    </row>
    <row r="30263" spans="43:43" x14ac:dyDescent="0.2">
      <c r="AQ30263" s="31"/>
    </row>
    <row r="30264" spans="43:43" x14ac:dyDescent="0.2">
      <c r="AQ30264" s="31"/>
    </row>
    <row r="30265" spans="43:43" x14ac:dyDescent="0.2">
      <c r="AQ30265" s="31"/>
    </row>
    <row r="30266" spans="43:43" x14ac:dyDescent="0.2">
      <c r="AQ30266" s="31"/>
    </row>
    <row r="30267" spans="43:43" x14ac:dyDescent="0.2">
      <c r="AQ30267" s="31"/>
    </row>
    <row r="30268" spans="43:43" x14ac:dyDescent="0.2">
      <c r="AQ30268" s="31"/>
    </row>
    <row r="30269" spans="43:43" x14ac:dyDescent="0.2">
      <c r="AQ30269" s="31"/>
    </row>
    <row r="30270" spans="43:43" x14ac:dyDescent="0.2">
      <c r="AQ30270" s="31"/>
    </row>
    <row r="30271" spans="43:43" x14ac:dyDescent="0.2">
      <c r="AQ30271" s="31"/>
    </row>
    <row r="30272" spans="43:43" x14ac:dyDescent="0.2">
      <c r="AQ30272" s="31"/>
    </row>
    <row r="30273" spans="43:43" x14ac:dyDescent="0.2">
      <c r="AQ30273" s="31"/>
    </row>
    <row r="30274" spans="43:43" x14ac:dyDescent="0.2">
      <c r="AQ30274" s="31"/>
    </row>
    <row r="30275" spans="43:43" x14ac:dyDescent="0.2">
      <c r="AQ30275" s="31"/>
    </row>
    <row r="30276" spans="43:43" x14ac:dyDescent="0.2">
      <c r="AQ30276" s="31"/>
    </row>
    <row r="30277" spans="43:43" x14ac:dyDescent="0.2">
      <c r="AQ30277" s="31"/>
    </row>
    <row r="30278" spans="43:43" x14ac:dyDescent="0.2">
      <c r="AQ30278" s="31"/>
    </row>
    <row r="30279" spans="43:43" x14ac:dyDescent="0.2">
      <c r="AQ30279" s="31"/>
    </row>
    <row r="30280" spans="43:43" x14ac:dyDescent="0.2">
      <c r="AQ30280" s="31"/>
    </row>
    <row r="30281" spans="43:43" x14ac:dyDescent="0.2">
      <c r="AQ30281" s="31"/>
    </row>
    <row r="30282" spans="43:43" x14ac:dyDescent="0.2">
      <c r="AQ30282" s="31"/>
    </row>
    <row r="30283" spans="43:43" x14ac:dyDescent="0.2">
      <c r="AQ30283" s="31"/>
    </row>
    <row r="30284" spans="43:43" x14ac:dyDescent="0.2">
      <c r="AQ30284" s="31"/>
    </row>
    <row r="30285" spans="43:43" x14ac:dyDescent="0.2">
      <c r="AQ30285" s="31"/>
    </row>
    <row r="30286" spans="43:43" x14ac:dyDescent="0.2">
      <c r="AQ30286" s="31"/>
    </row>
    <row r="30287" spans="43:43" x14ac:dyDescent="0.2">
      <c r="AQ30287" s="31"/>
    </row>
    <row r="30288" spans="43:43" x14ac:dyDescent="0.2">
      <c r="AQ30288" s="31"/>
    </row>
    <row r="30289" spans="43:43" x14ac:dyDescent="0.2">
      <c r="AQ30289" s="31"/>
    </row>
    <row r="30290" spans="43:43" x14ac:dyDescent="0.2">
      <c r="AQ30290" s="31"/>
    </row>
    <row r="30291" spans="43:43" x14ac:dyDescent="0.2">
      <c r="AQ30291" s="31"/>
    </row>
    <row r="30292" spans="43:43" x14ac:dyDescent="0.2">
      <c r="AQ30292" s="31"/>
    </row>
    <row r="30293" spans="43:43" x14ac:dyDescent="0.2">
      <c r="AQ30293" s="31"/>
    </row>
    <row r="30294" spans="43:43" x14ac:dyDescent="0.2">
      <c r="AQ30294" s="31"/>
    </row>
    <row r="30295" spans="43:43" x14ac:dyDescent="0.2">
      <c r="AQ30295" s="31"/>
    </row>
    <row r="30296" spans="43:43" x14ac:dyDescent="0.2">
      <c r="AQ30296" s="31"/>
    </row>
    <row r="30297" spans="43:43" x14ac:dyDescent="0.2">
      <c r="AQ30297" s="31"/>
    </row>
    <row r="30298" spans="43:43" x14ac:dyDescent="0.2">
      <c r="AQ30298" s="31"/>
    </row>
    <row r="30299" spans="43:43" x14ac:dyDescent="0.2">
      <c r="AQ30299" s="31"/>
    </row>
    <row r="30300" spans="43:43" x14ac:dyDescent="0.2">
      <c r="AQ30300" s="31"/>
    </row>
    <row r="30301" spans="43:43" x14ac:dyDescent="0.2">
      <c r="AQ30301" s="31"/>
    </row>
    <row r="30302" spans="43:43" x14ac:dyDescent="0.2">
      <c r="AQ30302" s="31"/>
    </row>
    <row r="30303" spans="43:43" x14ac:dyDescent="0.2">
      <c r="AQ30303" s="31"/>
    </row>
    <row r="30304" spans="43:43" x14ac:dyDescent="0.2">
      <c r="AQ30304" s="31"/>
    </row>
    <row r="30305" spans="43:43" x14ac:dyDescent="0.2">
      <c r="AQ30305" s="31"/>
    </row>
    <row r="30306" spans="43:43" x14ac:dyDescent="0.2">
      <c r="AQ30306" s="31"/>
    </row>
    <row r="30307" spans="43:43" x14ac:dyDescent="0.2">
      <c r="AQ30307" s="31"/>
    </row>
    <row r="30308" spans="43:43" x14ac:dyDescent="0.2">
      <c r="AQ30308" s="31"/>
    </row>
    <row r="30309" spans="43:43" x14ac:dyDescent="0.2">
      <c r="AQ30309" s="31"/>
    </row>
    <row r="30310" spans="43:43" x14ac:dyDescent="0.2">
      <c r="AQ30310" s="31"/>
    </row>
    <row r="30311" spans="43:43" x14ac:dyDescent="0.2">
      <c r="AQ30311" s="31"/>
    </row>
    <row r="30312" spans="43:43" x14ac:dyDescent="0.2">
      <c r="AQ30312" s="31"/>
    </row>
    <row r="30313" spans="43:43" x14ac:dyDescent="0.2">
      <c r="AQ30313" s="31"/>
    </row>
    <row r="30314" spans="43:43" x14ac:dyDescent="0.2">
      <c r="AQ30314" s="31"/>
    </row>
    <row r="30315" spans="43:43" x14ac:dyDescent="0.2">
      <c r="AQ30315" s="31"/>
    </row>
    <row r="30316" spans="43:43" x14ac:dyDescent="0.2">
      <c r="AQ30316" s="31"/>
    </row>
    <row r="30317" spans="43:43" x14ac:dyDescent="0.2">
      <c r="AQ30317" s="31"/>
    </row>
    <row r="30318" spans="43:43" x14ac:dyDescent="0.2">
      <c r="AQ30318" s="31"/>
    </row>
    <row r="30319" spans="43:43" x14ac:dyDescent="0.2">
      <c r="AQ30319" s="31"/>
    </row>
    <row r="30320" spans="43:43" x14ac:dyDescent="0.2">
      <c r="AQ30320" s="31"/>
    </row>
    <row r="30321" spans="43:43" x14ac:dyDescent="0.2">
      <c r="AQ30321" s="31"/>
    </row>
    <row r="30322" spans="43:43" x14ac:dyDescent="0.2">
      <c r="AQ30322" s="31"/>
    </row>
    <row r="30323" spans="43:43" x14ac:dyDescent="0.2">
      <c r="AQ30323" s="31"/>
    </row>
    <row r="30324" spans="43:43" x14ac:dyDescent="0.2">
      <c r="AQ30324" s="31"/>
    </row>
    <row r="30325" spans="43:43" x14ac:dyDescent="0.2">
      <c r="AQ30325" s="31"/>
    </row>
    <row r="30326" spans="43:43" x14ac:dyDescent="0.2">
      <c r="AQ30326" s="31"/>
    </row>
    <row r="30327" spans="43:43" x14ac:dyDescent="0.2">
      <c r="AQ30327" s="31"/>
    </row>
    <row r="30328" spans="43:43" x14ac:dyDescent="0.2">
      <c r="AQ30328" s="31"/>
    </row>
    <row r="30329" spans="43:43" x14ac:dyDescent="0.2">
      <c r="AQ30329" s="31"/>
    </row>
    <row r="30330" spans="43:43" x14ac:dyDescent="0.2">
      <c r="AQ30330" s="31"/>
    </row>
    <row r="30331" spans="43:43" x14ac:dyDescent="0.2">
      <c r="AQ30331" s="31"/>
    </row>
    <row r="30332" spans="43:43" x14ac:dyDescent="0.2">
      <c r="AQ30332" s="31"/>
    </row>
    <row r="30333" spans="43:43" x14ac:dyDescent="0.2">
      <c r="AQ30333" s="31"/>
    </row>
    <row r="30334" spans="43:43" x14ac:dyDescent="0.2">
      <c r="AQ30334" s="31"/>
    </row>
    <row r="30335" spans="43:43" x14ac:dyDescent="0.2">
      <c r="AQ30335" s="31"/>
    </row>
    <row r="30336" spans="43:43" x14ac:dyDescent="0.2">
      <c r="AQ30336" s="31"/>
    </row>
    <row r="30337" spans="43:43" x14ac:dyDescent="0.2">
      <c r="AQ30337" s="31"/>
    </row>
    <row r="30338" spans="43:43" x14ac:dyDescent="0.2">
      <c r="AQ30338" s="31"/>
    </row>
    <row r="30339" spans="43:43" x14ac:dyDescent="0.2">
      <c r="AQ30339" s="31"/>
    </row>
    <row r="30340" spans="43:43" x14ac:dyDescent="0.2">
      <c r="AQ30340" s="31"/>
    </row>
    <row r="30341" spans="43:43" x14ac:dyDescent="0.2">
      <c r="AQ30341" s="31"/>
    </row>
    <row r="30342" spans="43:43" x14ac:dyDescent="0.2">
      <c r="AQ30342" s="31"/>
    </row>
    <row r="30343" spans="43:43" x14ac:dyDescent="0.2">
      <c r="AQ30343" s="31"/>
    </row>
    <row r="30344" spans="43:43" x14ac:dyDescent="0.2">
      <c r="AQ30344" s="31"/>
    </row>
    <row r="30345" spans="43:43" x14ac:dyDescent="0.2">
      <c r="AQ30345" s="31"/>
    </row>
    <row r="30346" spans="43:43" x14ac:dyDescent="0.2">
      <c r="AQ30346" s="31"/>
    </row>
    <row r="30347" spans="43:43" x14ac:dyDescent="0.2">
      <c r="AQ30347" s="31"/>
    </row>
    <row r="30348" spans="43:43" x14ac:dyDescent="0.2">
      <c r="AQ30348" s="31"/>
    </row>
    <row r="30349" spans="43:43" x14ac:dyDescent="0.2">
      <c r="AQ30349" s="31"/>
    </row>
    <row r="30350" spans="43:43" x14ac:dyDescent="0.2">
      <c r="AQ30350" s="31"/>
    </row>
    <row r="30351" spans="43:43" x14ac:dyDescent="0.2">
      <c r="AQ30351" s="31"/>
    </row>
    <row r="30352" spans="43:43" x14ac:dyDescent="0.2">
      <c r="AQ30352" s="31"/>
    </row>
    <row r="30353" spans="43:43" x14ac:dyDescent="0.2">
      <c r="AQ30353" s="31"/>
    </row>
    <row r="30354" spans="43:43" x14ac:dyDescent="0.2">
      <c r="AQ30354" s="31"/>
    </row>
    <row r="30355" spans="43:43" x14ac:dyDescent="0.2">
      <c r="AQ30355" s="31"/>
    </row>
    <row r="30356" spans="43:43" x14ac:dyDescent="0.2">
      <c r="AQ30356" s="31"/>
    </row>
    <row r="30357" spans="43:43" x14ac:dyDescent="0.2">
      <c r="AQ30357" s="31"/>
    </row>
    <row r="30358" spans="43:43" x14ac:dyDescent="0.2">
      <c r="AQ30358" s="31"/>
    </row>
    <row r="30359" spans="43:43" x14ac:dyDescent="0.2">
      <c r="AQ30359" s="31"/>
    </row>
    <row r="30360" spans="43:43" x14ac:dyDescent="0.2">
      <c r="AQ30360" s="31"/>
    </row>
    <row r="30361" spans="43:43" x14ac:dyDescent="0.2">
      <c r="AQ30361" s="31"/>
    </row>
    <row r="30362" spans="43:43" x14ac:dyDescent="0.2">
      <c r="AQ30362" s="31"/>
    </row>
    <row r="30363" spans="43:43" x14ac:dyDescent="0.2">
      <c r="AQ30363" s="31"/>
    </row>
    <row r="30364" spans="43:43" x14ac:dyDescent="0.2">
      <c r="AQ30364" s="31"/>
    </row>
    <row r="30365" spans="43:43" x14ac:dyDescent="0.2">
      <c r="AQ30365" s="31"/>
    </row>
    <row r="30366" spans="43:43" x14ac:dyDescent="0.2">
      <c r="AQ30366" s="31"/>
    </row>
    <row r="30367" spans="43:43" x14ac:dyDescent="0.2">
      <c r="AQ30367" s="31"/>
    </row>
    <row r="30368" spans="43:43" x14ac:dyDescent="0.2">
      <c r="AQ30368" s="31"/>
    </row>
    <row r="30369" spans="43:43" x14ac:dyDescent="0.2">
      <c r="AQ30369" s="31"/>
    </row>
    <row r="30370" spans="43:43" x14ac:dyDescent="0.2">
      <c r="AQ30370" s="31"/>
    </row>
    <row r="30371" spans="43:43" x14ac:dyDescent="0.2">
      <c r="AQ30371" s="31"/>
    </row>
    <row r="30372" spans="43:43" x14ac:dyDescent="0.2">
      <c r="AQ30372" s="31"/>
    </row>
    <row r="30373" spans="43:43" x14ac:dyDescent="0.2">
      <c r="AQ30373" s="31"/>
    </row>
    <row r="30374" spans="43:43" x14ac:dyDescent="0.2">
      <c r="AQ30374" s="31"/>
    </row>
    <row r="30375" spans="43:43" x14ac:dyDescent="0.2">
      <c r="AQ30375" s="31"/>
    </row>
    <row r="30376" spans="43:43" x14ac:dyDescent="0.2">
      <c r="AQ30376" s="31"/>
    </row>
    <row r="30377" spans="43:43" x14ac:dyDescent="0.2">
      <c r="AQ30377" s="31"/>
    </row>
    <row r="30378" spans="43:43" x14ac:dyDescent="0.2">
      <c r="AQ30378" s="31"/>
    </row>
    <row r="30379" spans="43:43" x14ac:dyDescent="0.2">
      <c r="AQ30379" s="31"/>
    </row>
    <row r="30380" spans="43:43" x14ac:dyDescent="0.2">
      <c r="AQ30380" s="31"/>
    </row>
    <row r="30381" spans="43:43" x14ac:dyDescent="0.2">
      <c r="AQ30381" s="31"/>
    </row>
    <row r="30382" spans="43:43" x14ac:dyDescent="0.2">
      <c r="AQ30382" s="31"/>
    </row>
    <row r="30383" spans="43:43" x14ac:dyDescent="0.2">
      <c r="AQ30383" s="31"/>
    </row>
    <row r="30384" spans="43:43" x14ac:dyDescent="0.2">
      <c r="AQ30384" s="31"/>
    </row>
    <row r="30385" spans="43:43" x14ac:dyDescent="0.2">
      <c r="AQ30385" s="31"/>
    </row>
    <row r="30386" spans="43:43" x14ac:dyDescent="0.2">
      <c r="AQ30386" s="31"/>
    </row>
    <row r="30387" spans="43:43" x14ac:dyDescent="0.2">
      <c r="AQ30387" s="31"/>
    </row>
    <row r="30388" spans="43:43" x14ac:dyDescent="0.2">
      <c r="AQ30388" s="31"/>
    </row>
    <row r="30389" spans="43:43" x14ac:dyDescent="0.2">
      <c r="AQ30389" s="31"/>
    </row>
    <row r="30390" spans="43:43" x14ac:dyDescent="0.2">
      <c r="AQ30390" s="31"/>
    </row>
    <row r="30391" spans="43:43" x14ac:dyDescent="0.2">
      <c r="AQ30391" s="31"/>
    </row>
    <row r="30392" spans="43:43" x14ac:dyDescent="0.2">
      <c r="AQ30392" s="31"/>
    </row>
    <row r="30393" spans="43:43" x14ac:dyDescent="0.2">
      <c r="AQ30393" s="31"/>
    </row>
    <row r="30394" spans="43:43" x14ac:dyDescent="0.2">
      <c r="AQ30394" s="31"/>
    </row>
    <row r="30395" spans="43:43" x14ac:dyDescent="0.2">
      <c r="AQ30395" s="31"/>
    </row>
    <row r="30396" spans="43:43" x14ac:dyDescent="0.2">
      <c r="AQ30396" s="31"/>
    </row>
    <row r="30397" spans="43:43" x14ac:dyDescent="0.2">
      <c r="AQ30397" s="31"/>
    </row>
    <row r="30398" spans="43:43" x14ac:dyDescent="0.2">
      <c r="AQ30398" s="31"/>
    </row>
    <row r="30399" spans="43:43" x14ac:dyDescent="0.2">
      <c r="AQ30399" s="31"/>
    </row>
    <row r="30400" spans="43:43" x14ac:dyDescent="0.2">
      <c r="AQ30400" s="31"/>
    </row>
    <row r="30401" spans="43:43" x14ac:dyDescent="0.2">
      <c r="AQ30401" s="31"/>
    </row>
    <row r="30402" spans="43:43" x14ac:dyDescent="0.2">
      <c r="AQ30402" s="31"/>
    </row>
    <row r="30403" spans="43:43" x14ac:dyDescent="0.2">
      <c r="AQ30403" s="31"/>
    </row>
    <row r="30404" spans="43:43" x14ac:dyDescent="0.2">
      <c r="AQ30404" s="31"/>
    </row>
    <row r="30405" spans="43:43" x14ac:dyDescent="0.2">
      <c r="AQ30405" s="31"/>
    </row>
    <row r="30406" spans="43:43" x14ac:dyDescent="0.2">
      <c r="AQ30406" s="31"/>
    </row>
    <row r="30407" spans="43:43" x14ac:dyDescent="0.2">
      <c r="AQ30407" s="31"/>
    </row>
    <row r="30408" spans="43:43" x14ac:dyDescent="0.2">
      <c r="AQ30408" s="31"/>
    </row>
    <row r="30409" spans="43:43" x14ac:dyDescent="0.2">
      <c r="AQ30409" s="31"/>
    </row>
    <row r="30410" spans="43:43" x14ac:dyDescent="0.2">
      <c r="AQ30410" s="31"/>
    </row>
    <row r="30411" spans="43:43" x14ac:dyDescent="0.2">
      <c r="AQ30411" s="31"/>
    </row>
    <row r="30412" spans="43:43" x14ac:dyDescent="0.2">
      <c r="AQ30412" s="31"/>
    </row>
    <row r="30413" spans="43:43" x14ac:dyDescent="0.2">
      <c r="AQ30413" s="31"/>
    </row>
    <row r="30414" spans="43:43" x14ac:dyDescent="0.2">
      <c r="AQ30414" s="31"/>
    </row>
    <row r="30415" spans="43:43" x14ac:dyDescent="0.2">
      <c r="AQ30415" s="31"/>
    </row>
    <row r="30416" spans="43:43" x14ac:dyDescent="0.2">
      <c r="AQ30416" s="31"/>
    </row>
    <row r="30417" spans="43:43" x14ac:dyDescent="0.2">
      <c r="AQ30417" s="31"/>
    </row>
    <row r="30418" spans="43:43" x14ac:dyDescent="0.2">
      <c r="AQ30418" s="31"/>
    </row>
    <row r="30419" spans="43:43" x14ac:dyDescent="0.2">
      <c r="AQ30419" s="31"/>
    </row>
    <row r="30420" spans="43:43" x14ac:dyDescent="0.2">
      <c r="AQ30420" s="31"/>
    </row>
    <row r="30421" spans="43:43" x14ac:dyDescent="0.2">
      <c r="AQ30421" s="31"/>
    </row>
    <row r="30422" spans="43:43" x14ac:dyDescent="0.2">
      <c r="AQ30422" s="31"/>
    </row>
    <row r="30423" spans="43:43" x14ac:dyDescent="0.2">
      <c r="AQ30423" s="31"/>
    </row>
    <row r="30424" spans="43:43" x14ac:dyDescent="0.2">
      <c r="AQ30424" s="31"/>
    </row>
    <row r="30425" spans="43:43" x14ac:dyDescent="0.2">
      <c r="AQ30425" s="31"/>
    </row>
    <row r="30426" spans="43:43" x14ac:dyDescent="0.2">
      <c r="AQ30426" s="31"/>
    </row>
    <row r="30427" spans="43:43" x14ac:dyDescent="0.2">
      <c r="AQ30427" s="31"/>
    </row>
    <row r="30428" spans="43:43" x14ac:dyDescent="0.2">
      <c r="AQ30428" s="31"/>
    </row>
    <row r="30429" spans="43:43" x14ac:dyDescent="0.2">
      <c r="AQ30429" s="31"/>
    </row>
    <row r="30430" spans="43:43" x14ac:dyDescent="0.2">
      <c r="AQ30430" s="31"/>
    </row>
    <row r="30431" spans="43:43" x14ac:dyDescent="0.2">
      <c r="AQ30431" s="31"/>
    </row>
    <row r="30432" spans="43:43" x14ac:dyDescent="0.2">
      <c r="AQ30432" s="31"/>
    </row>
    <row r="30433" spans="43:43" x14ac:dyDescent="0.2">
      <c r="AQ30433" s="31"/>
    </row>
    <row r="30434" spans="43:43" x14ac:dyDescent="0.2">
      <c r="AQ30434" s="31"/>
    </row>
    <row r="30435" spans="43:43" x14ac:dyDescent="0.2">
      <c r="AQ30435" s="31"/>
    </row>
    <row r="30436" spans="43:43" x14ac:dyDescent="0.2">
      <c r="AQ30436" s="31"/>
    </row>
    <row r="30437" spans="43:43" x14ac:dyDescent="0.2">
      <c r="AQ30437" s="31"/>
    </row>
    <row r="30438" spans="43:43" x14ac:dyDescent="0.2">
      <c r="AQ30438" s="31"/>
    </row>
    <row r="30439" spans="43:43" x14ac:dyDescent="0.2">
      <c r="AQ30439" s="31"/>
    </row>
    <row r="30440" spans="43:43" x14ac:dyDescent="0.2">
      <c r="AQ30440" s="31"/>
    </row>
    <row r="30441" spans="43:43" x14ac:dyDescent="0.2">
      <c r="AQ30441" s="31"/>
    </row>
    <row r="30442" spans="43:43" x14ac:dyDescent="0.2">
      <c r="AQ30442" s="31"/>
    </row>
    <row r="30443" spans="43:43" x14ac:dyDescent="0.2">
      <c r="AQ30443" s="31"/>
    </row>
    <row r="30444" spans="43:43" x14ac:dyDescent="0.2">
      <c r="AQ30444" s="31"/>
    </row>
    <row r="30445" spans="43:43" x14ac:dyDescent="0.2">
      <c r="AQ30445" s="31"/>
    </row>
    <row r="30446" spans="43:43" x14ac:dyDescent="0.2">
      <c r="AQ30446" s="31"/>
    </row>
    <row r="30447" spans="43:43" x14ac:dyDescent="0.2">
      <c r="AQ30447" s="31"/>
    </row>
    <row r="30448" spans="43:43" x14ac:dyDescent="0.2">
      <c r="AQ30448" s="31"/>
    </row>
    <row r="30449" spans="43:43" x14ac:dyDescent="0.2">
      <c r="AQ30449" s="31"/>
    </row>
    <row r="30450" spans="43:43" x14ac:dyDescent="0.2">
      <c r="AQ30450" s="31"/>
    </row>
    <row r="30451" spans="43:43" x14ac:dyDescent="0.2">
      <c r="AQ30451" s="31"/>
    </row>
    <row r="30452" spans="43:43" x14ac:dyDescent="0.2">
      <c r="AQ30452" s="31"/>
    </row>
    <row r="30453" spans="43:43" x14ac:dyDescent="0.2">
      <c r="AQ30453" s="31"/>
    </row>
    <row r="30454" spans="43:43" x14ac:dyDescent="0.2">
      <c r="AQ30454" s="31"/>
    </row>
    <row r="30455" spans="43:43" x14ac:dyDescent="0.2">
      <c r="AQ30455" s="31"/>
    </row>
    <row r="30456" spans="43:43" x14ac:dyDescent="0.2">
      <c r="AQ30456" s="31"/>
    </row>
    <row r="30457" spans="43:43" x14ac:dyDescent="0.2">
      <c r="AQ30457" s="31"/>
    </row>
    <row r="30458" spans="43:43" x14ac:dyDescent="0.2">
      <c r="AQ30458" s="31"/>
    </row>
    <row r="30459" spans="43:43" x14ac:dyDescent="0.2">
      <c r="AQ30459" s="31"/>
    </row>
    <row r="30460" spans="43:43" x14ac:dyDescent="0.2">
      <c r="AQ30460" s="31"/>
    </row>
    <row r="30461" spans="43:43" x14ac:dyDescent="0.2">
      <c r="AQ30461" s="31"/>
    </row>
    <row r="30462" spans="43:43" x14ac:dyDescent="0.2">
      <c r="AQ30462" s="31"/>
    </row>
    <row r="30463" spans="43:43" x14ac:dyDescent="0.2">
      <c r="AQ30463" s="31"/>
    </row>
    <row r="30464" spans="43:43" x14ac:dyDescent="0.2">
      <c r="AQ30464" s="31"/>
    </row>
    <row r="30465" spans="43:43" x14ac:dyDescent="0.2">
      <c r="AQ30465" s="31"/>
    </row>
    <row r="30466" spans="43:43" x14ac:dyDescent="0.2">
      <c r="AQ30466" s="31"/>
    </row>
    <row r="30467" spans="43:43" x14ac:dyDescent="0.2">
      <c r="AQ30467" s="31"/>
    </row>
    <row r="30468" spans="43:43" x14ac:dyDescent="0.2">
      <c r="AQ30468" s="31"/>
    </row>
    <row r="30469" spans="43:43" x14ac:dyDescent="0.2">
      <c r="AQ30469" s="31"/>
    </row>
    <row r="30470" spans="43:43" x14ac:dyDescent="0.2">
      <c r="AQ30470" s="31"/>
    </row>
    <row r="30471" spans="43:43" x14ac:dyDescent="0.2">
      <c r="AQ30471" s="31"/>
    </row>
    <row r="30472" spans="43:43" x14ac:dyDescent="0.2">
      <c r="AQ30472" s="31"/>
    </row>
    <row r="30473" spans="43:43" x14ac:dyDescent="0.2">
      <c r="AQ30473" s="31"/>
    </row>
    <row r="30474" spans="43:43" x14ac:dyDescent="0.2">
      <c r="AQ30474" s="31"/>
    </row>
    <row r="30475" spans="43:43" x14ac:dyDescent="0.2">
      <c r="AQ30475" s="31"/>
    </row>
    <row r="30476" spans="43:43" x14ac:dyDescent="0.2">
      <c r="AQ30476" s="31"/>
    </row>
    <row r="30477" spans="43:43" x14ac:dyDescent="0.2">
      <c r="AQ30477" s="31"/>
    </row>
    <row r="30478" spans="43:43" x14ac:dyDescent="0.2">
      <c r="AQ30478" s="31"/>
    </row>
    <row r="30479" spans="43:43" x14ac:dyDescent="0.2">
      <c r="AQ30479" s="31"/>
    </row>
    <row r="30480" spans="43:43" x14ac:dyDescent="0.2">
      <c r="AQ30480" s="31"/>
    </row>
    <row r="30481" spans="43:43" x14ac:dyDescent="0.2">
      <c r="AQ30481" s="31"/>
    </row>
    <row r="30482" spans="43:43" x14ac:dyDescent="0.2">
      <c r="AQ30482" s="31"/>
    </row>
    <row r="30483" spans="43:43" x14ac:dyDescent="0.2">
      <c r="AQ30483" s="31"/>
    </row>
    <row r="30484" spans="43:43" x14ac:dyDescent="0.2">
      <c r="AQ30484" s="31"/>
    </row>
    <row r="30485" spans="43:43" x14ac:dyDescent="0.2">
      <c r="AQ30485" s="31"/>
    </row>
    <row r="30486" spans="43:43" x14ac:dyDescent="0.2">
      <c r="AQ30486" s="31"/>
    </row>
    <row r="30487" spans="43:43" x14ac:dyDescent="0.2">
      <c r="AQ30487" s="31"/>
    </row>
    <row r="30488" spans="43:43" x14ac:dyDescent="0.2">
      <c r="AQ30488" s="31"/>
    </row>
    <row r="30489" spans="43:43" x14ac:dyDescent="0.2">
      <c r="AQ30489" s="31"/>
    </row>
    <row r="30490" spans="43:43" x14ac:dyDescent="0.2">
      <c r="AQ30490" s="31"/>
    </row>
    <row r="30491" spans="43:43" x14ac:dyDescent="0.2">
      <c r="AQ30491" s="31"/>
    </row>
    <row r="30492" spans="43:43" x14ac:dyDescent="0.2">
      <c r="AQ30492" s="31"/>
    </row>
    <row r="30493" spans="43:43" x14ac:dyDescent="0.2">
      <c r="AQ30493" s="31"/>
    </row>
    <row r="30494" spans="43:43" x14ac:dyDescent="0.2">
      <c r="AQ30494" s="31"/>
    </row>
    <row r="30495" spans="43:43" x14ac:dyDescent="0.2">
      <c r="AQ30495" s="31"/>
    </row>
    <row r="30496" spans="43:43" x14ac:dyDescent="0.2">
      <c r="AQ30496" s="31"/>
    </row>
    <row r="30497" spans="43:43" x14ac:dyDescent="0.2">
      <c r="AQ30497" s="31"/>
    </row>
    <row r="30498" spans="43:43" x14ac:dyDescent="0.2">
      <c r="AQ30498" s="31"/>
    </row>
    <row r="30499" spans="43:43" x14ac:dyDescent="0.2">
      <c r="AQ30499" s="31"/>
    </row>
    <row r="30500" spans="43:43" x14ac:dyDescent="0.2">
      <c r="AQ30500" s="31"/>
    </row>
    <row r="30501" spans="43:43" x14ac:dyDescent="0.2">
      <c r="AQ30501" s="31"/>
    </row>
    <row r="30502" spans="43:43" x14ac:dyDescent="0.2">
      <c r="AQ30502" s="31"/>
    </row>
    <row r="30503" spans="43:43" x14ac:dyDescent="0.2">
      <c r="AQ30503" s="31"/>
    </row>
    <row r="30504" spans="43:43" x14ac:dyDescent="0.2">
      <c r="AQ30504" s="31"/>
    </row>
    <row r="30505" spans="43:43" x14ac:dyDescent="0.2">
      <c r="AQ30505" s="31"/>
    </row>
    <row r="30506" spans="43:43" x14ac:dyDescent="0.2">
      <c r="AQ30506" s="31"/>
    </row>
    <row r="30507" spans="43:43" x14ac:dyDescent="0.2">
      <c r="AQ30507" s="31"/>
    </row>
    <row r="30508" spans="43:43" x14ac:dyDescent="0.2">
      <c r="AQ30508" s="31"/>
    </row>
    <row r="30509" spans="43:43" x14ac:dyDescent="0.2">
      <c r="AQ30509" s="31"/>
    </row>
    <row r="30510" spans="43:43" x14ac:dyDescent="0.2">
      <c r="AQ30510" s="31"/>
    </row>
    <row r="30511" spans="43:43" x14ac:dyDescent="0.2">
      <c r="AQ30511" s="31"/>
    </row>
    <row r="30512" spans="43:43" x14ac:dyDescent="0.2">
      <c r="AQ30512" s="31"/>
    </row>
    <row r="30513" spans="43:43" x14ac:dyDescent="0.2">
      <c r="AQ30513" s="31"/>
    </row>
    <row r="30514" spans="43:43" x14ac:dyDescent="0.2">
      <c r="AQ30514" s="31"/>
    </row>
    <row r="30515" spans="43:43" x14ac:dyDescent="0.2">
      <c r="AQ30515" s="31"/>
    </row>
    <row r="30516" spans="43:43" x14ac:dyDescent="0.2">
      <c r="AQ30516" s="31"/>
    </row>
    <row r="30517" spans="43:43" x14ac:dyDescent="0.2">
      <c r="AQ30517" s="31"/>
    </row>
    <row r="30518" spans="43:43" x14ac:dyDescent="0.2">
      <c r="AQ30518" s="31"/>
    </row>
    <row r="30519" spans="43:43" x14ac:dyDescent="0.2">
      <c r="AQ30519" s="31"/>
    </row>
    <row r="30520" spans="43:43" x14ac:dyDescent="0.2">
      <c r="AQ30520" s="31"/>
    </row>
    <row r="30521" spans="43:43" x14ac:dyDescent="0.2">
      <c r="AQ30521" s="31"/>
    </row>
    <row r="30522" spans="43:43" x14ac:dyDescent="0.2">
      <c r="AQ30522" s="31"/>
    </row>
    <row r="30523" spans="43:43" x14ac:dyDescent="0.2">
      <c r="AQ30523" s="31"/>
    </row>
    <row r="30524" spans="43:43" x14ac:dyDescent="0.2">
      <c r="AQ30524" s="31"/>
    </row>
    <row r="30525" spans="43:43" x14ac:dyDescent="0.2">
      <c r="AQ30525" s="31"/>
    </row>
    <row r="30526" spans="43:43" x14ac:dyDescent="0.2">
      <c r="AQ30526" s="31"/>
    </row>
    <row r="30527" spans="43:43" x14ac:dyDescent="0.2">
      <c r="AQ30527" s="31"/>
    </row>
    <row r="30528" spans="43:43" x14ac:dyDescent="0.2">
      <c r="AQ30528" s="31"/>
    </row>
    <row r="30529" spans="43:43" x14ac:dyDescent="0.2">
      <c r="AQ30529" s="31"/>
    </row>
    <row r="30530" spans="43:43" x14ac:dyDescent="0.2">
      <c r="AQ30530" s="31"/>
    </row>
    <row r="30531" spans="43:43" x14ac:dyDescent="0.2">
      <c r="AQ30531" s="31"/>
    </row>
    <row r="30532" spans="43:43" x14ac:dyDescent="0.2">
      <c r="AQ30532" s="31"/>
    </row>
    <row r="30533" spans="43:43" x14ac:dyDescent="0.2">
      <c r="AQ30533" s="31"/>
    </row>
    <row r="30534" spans="43:43" x14ac:dyDescent="0.2">
      <c r="AQ30534" s="31"/>
    </row>
    <row r="30535" spans="43:43" x14ac:dyDescent="0.2">
      <c r="AQ30535" s="31"/>
    </row>
    <row r="30536" spans="43:43" x14ac:dyDescent="0.2">
      <c r="AQ30536" s="31"/>
    </row>
    <row r="30537" spans="43:43" x14ac:dyDescent="0.2">
      <c r="AQ30537" s="31"/>
    </row>
    <row r="30538" spans="43:43" x14ac:dyDescent="0.2">
      <c r="AQ30538" s="31"/>
    </row>
    <row r="30539" spans="43:43" x14ac:dyDescent="0.2">
      <c r="AQ30539" s="31"/>
    </row>
    <row r="30540" spans="43:43" x14ac:dyDescent="0.2">
      <c r="AQ30540" s="31"/>
    </row>
    <row r="30541" spans="43:43" x14ac:dyDescent="0.2">
      <c r="AQ30541" s="31"/>
    </row>
    <row r="30542" spans="43:43" x14ac:dyDescent="0.2">
      <c r="AQ30542" s="31"/>
    </row>
    <row r="30543" spans="43:43" x14ac:dyDescent="0.2">
      <c r="AQ30543" s="31"/>
    </row>
    <row r="30544" spans="43:43" x14ac:dyDescent="0.2">
      <c r="AQ30544" s="31"/>
    </row>
    <row r="30545" spans="43:43" x14ac:dyDescent="0.2">
      <c r="AQ30545" s="31"/>
    </row>
    <row r="30546" spans="43:43" x14ac:dyDescent="0.2">
      <c r="AQ30546" s="31"/>
    </row>
    <row r="30547" spans="43:43" x14ac:dyDescent="0.2">
      <c r="AQ30547" s="31"/>
    </row>
    <row r="30548" spans="43:43" x14ac:dyDescent="0.2">
      <c r="AQ30548" s="31"/>
    </row>
    <row r="30549" spans="43:43" x14ac:dyDescent="0.2">
      <c r="AQ30549" s="31"/>
    </row>
    <row r="30550" spans="43:43" x14ac:dyDescent="0.2">
      <c r="AQ30550" s="31"/>
    </row>
    <row r="30551" spans="43:43" x14ac:dyDescent="0.2">
      <c r="AQ30551" s="31"/>
    </row>
    <row r="30552" spans="43:43" x14ac:dyDescent="0.2">
      <c r="AQ30552" s="31"/>
    </row>
    <row r="30553" spans="43:43" x14ac:dyDescent="0.2">
      <c r="AQ30553" s="31"/>
    </row>
    <row r="30554" spans="43:43" x14ac:dyDescent="0.2">
      <c r="AQ30554" s="31"/>
    </row>
    <row r="30555" spans="43:43" x14ac:dyDescent="0.2">
      <c r="AQ30555" s="31"/>
    </row>
    <row r="30556" spans="43:43" x14ac:dyDescent="0.2">
      <c r="AQ30556" s="31"/>
    </row>
    <row r="30557" spans="43:43" x14ac:dyDescent="0.2">
      <c r="AQ30557" s="31"/>
    </row>
    <row r="30558" spans="43:43" x14ac:dyDescent="0.2">
      <c r="AQ30558" s="31"/>
    </row>
    <row r="30559" spans="43:43" x14ac:dyDescent="0.2">
      <c r="AQ30559" s="31"/>
    </row>
    <row r="30560" spans="43:43" x14ac:dyDescent="0.2">
      <c r="AQ30560" s="31"/>
    </row>
    <row r="30561" spans="43:43" x14ac:dyDescent="0.2">
      <c r="AQ30561" s="31"/>
    </row>
    <row r="30562" spans="43:43" x14ac:dyDescent="0.2">
      <c r="AQ30562" s="31"/>
    </row>
    <row r="30563" spans="43:43" x14ac:dyDescent="0.2">
      <c r="AQ30563" s="31"/>
    </row>
    <row r="30564" spans="43:43" x14ac:dyDescent="0.2">
      <c r="AQ30564" s="31"/>
    </row>
    <row r="30565" spans="43:43" x14ac:dyDescent="0.2">
      <c r="AQ30565" s="31"/>
    </row>
    <row r="30566" spans="43:43" x14ac:dyDescent="0.2">
      <c r="AQ30566" s="31"/>
    </row>
    <row r="30567" spans="43:43" x14ac:dyDescent="0.2">
      <c r="AQ30567" s="31"/>
    </row>
    <row r="30568" spans="43:43" x14ac:dyDescent="0.2">
      <c r="AQ30568" s="31"/>
    </row>
    <row r="30569" spans="43:43" x14ac:dyDescent="0.2">
      <c r="AQ30569" s="31"/>
    </row>
    <row r="30570" spans="43:43" x14ac:dyDescent="0.2">
      <c r="AQ30570" s="31"/>
    </row>
    <row r="30571" spans="43:43" x14ac:dyDescent="0.2">
      <c r="AQ30571" s="31"/>
    </row>
    <row r="30572" spans="43:43" x14ac:dyDescent="0.2">
      <c r="AQ30572" s="31"/>
    </row>
    <row r="30573" spans="43:43" x14ac:dyDescent="0.2">
      <c r="AQ30573" s="31"/>
    </row>
    <row r="30574" spans="43:43" x14ac:dyDescent="0.2">
      <c r="AQ30574" s="31"/>
    </row>
    <row r="30575" spans="43:43" x14ac:dyDescent="0.2">
      <c r="AQ30575" s="31"/>
    </row>
    <row r="30576" spans="43:43" x14ac:dyDescent="0.2">
      <c r="AQ30576" s="31"/>
    </row>
    <row r="30577" spans="43:43" x14ac:dyDescent="0.2">
      <c r="AQ30577" s="31"/>
    </row>
    <row r="30578" spans="43:43" x14ac:dyDescent="0.2">
      <c r="AQ30578" s="31"/>
    </row>
    <row r="30579" spans="43:43" x14ac:dyDescent="0.2">
      <c r="AQ30579" s="31"/>
    </row>
    <row r="30580" spans="43:43" x14ac:dyDescent="0.2">
      <c r="AQ30580" s="31"/>
    </row>
    <row r="30581" spans="43:43" x14ac:dyDescent="0.2">
      <c r="AQ30581" s="31"/>
    </row>
    <row r="30582" spans="43:43" x14ac:dyDescent="0.2">
      <c r="AQ30582" s="31"/>
    </row>
    <row r="30583" spans="43:43" x14ac:dyDescent="0.2">
      <c r="AQ30583" s="31"/>
    </row>
    <row r="30584" spans="43:43" x14ac:dyDescent="0.2">
      <c r="AQ30584" s="31"/>
    </row>
    <row r="30585" spans="43:43" x14ac:dyDescent="0.2">
      <c r="AQ30585" s="31"/>
    </row>
    <row r="30586" spans="43:43" x14ac:dyDescent="0.2">
      <c r="AQ30586" s="31"/>
    </row>
    <row r="30587" spans="43:43" x14ac:dyDescent="0.2">
      <c r="AQ30587" s="31"/>
    </row>
    <row r="30588" spans="43:43" x14ac:dyDescent="0.2">
      <c r="AQ30588" s="31"/>
    </row>
    <row r="30589" spans="43:43" x14ac:dyDescent="0.2">
      <c r="AQ30589" s="31"/>
    </row>
    <row r="30590" spans="43:43" x14ac:dyDescent="0.2">
      <c r="AQ30590" s="31"/>
    </row>
    <row r="30591" spans="43:43" x14ac:dyDescent="0.2">
      <c r="AQ30591" s="31"/>
    </row>
    <row r="30592" spans="43:43" x14ac:dyDescent="0.2">
      <c r="AQ30592" s="31"/>
    </row>
    <row r="30593" spans="43:43" x14ac:dyDescent="0.2">
      <c r="AQ30593" s="31"/>
    </row>
    <row r="30594" spans="43:43" x14ac:dyDescent="0.2">
      <c r="AQ30594" s="31"/>
    </row>
    <row r="30595" spans="43:43" x14ac:dyDescent="0.2">
      <c r="AQ30595" s="31"/>
    </row>
    <row r="30596" spans="43:43" x14ac:dyDescent="0.2">
      <c r="AQ30596" s="31"/>
    </row>
    <row r="30597" spans="43:43" x14ac:dyDescent="0.2">
      <c r="AQ30597" s="31"/>
    </row>
    <row r="30598" spans="43:43" x14ac:dyDescent="0.2">
      <c r="AQ30598" s="31"/>
    </row>
    <row r="30599" spans="43:43" x14ac:dyDescent="0.2">
      <c r="AQ30599" s="31"/>
    </row>
    <row r="30600" spans="43:43" x14ac:dyDescent="0.2">
      <c r="AQ30600" s="31"/>
    </row>
    <row r="30601" spans="43:43" x14ac:dyDescent="0.2">
      <c r="AQ30601" s="31"/>
    </row>
    <row r="30602" spans="43:43" x14ac:dyDescent="0.2">
      <c r="AQ30602" s="31"/>
    </row>
    <row r="30603" spans="43:43" x14ac:dyDescent="0.2">
      <c r="AQ30603" s="31"/>
    </row>
    <row r="30604" spans="43:43" x14ac:dyDescent="0.2">
      <c r="AQ30604" s="31"/>
    </row>
    <row r="30605" spans="43:43" x14ac:dyDescent="0.2">
      <c r="AQ30605" s="31"/>
    </row>
    <row r="30606" spans="43:43" x14ac:dyDescent="0.2">
      <c r="AQ30606" s="31"/>
    </row>
    <row r="30607" spans="43:43" x14ac:dyDescent="0.2">
      <c r="AQ30607" s="31"/>
    </row>
    <row r="30608" spans="43:43" x14ac:dyDescent="0.2">
      <c r="AQ30608" s="31"/>
    </row>
    <row r="30609" spans="43:43" x14ac:dyDescent="0.2">
      <c r="AQ30609" s="31"/>
    </row>
    <row r="30610" spans="43:43" x14ac:dyDescent="0.2">
      <c r="AQ30610" s="31"/>
    </row>
    <row r="30611" spans="43:43" x14ac:dyDescent="0.2">
      <c r="AQ30611" s="31"/>
    </row>
    <row r="30612" spans="43:43" x14ac:dyDescent="0.2">
      <c r="AQ30612" s="31"/>
    </row>
    <row r="30613" spans="43:43" x14ac:dyDescent="0.2">
      <c r="AQ30613" s="31"/>
    </row>
    <row r="30614" spans="43:43" x14ac:dyDescent="0.2">
      <c r="AQ30614" s="31"/>
    </row>
    <row r="30615" spans="43:43" x14ac:dyDescent="0.2">
      <c r="AQ30615" s="31"/>
    </row>
    <row r="30616" spans="43:43" x14ac:dyDescent="0.2">
      <c r="AQ30616" s="31"/>
    </row>
    <row r="30617" spans="43:43" x14ac:dyDescent="0.2">
      <c r="AQ30617" s="31"/>
    </row>
    <row r="30618" spans="43:43" x14ac:dyDescent="0.2">
      <c r="AQ30618" s="31"/>
    </row>
    <row r="30619" spans="43:43" x14ac:dyDescent="0.2">
      <c r="AQ30619" s="31"/>
    </row>
    <row r="30620" spans="43:43" x14ac:dyDescent="0.2">
      <c r="AQ30620" s="31"/>
    </row>
    <row r="30621" spans="43:43" x14ac:dyDescent="0.2">
      <c r="AQ30621" s="31"/>
    </row>
    <row r="30622" spans="43:43" x14ac:dyDescent="0.2">
      <c r="AQ30622" s="31"/>
    </row>
    <row r="30623" spans="43:43" x14ac:dyDescent="0.2">
      <c r="AQ30623" s="31"/>
    </row>
    <row r="30624" spans="43:43" x14ac:dyDescent="0.2">
      <c r="AQ30624" s="31"/>
    </row>
    <row r="30625" spans="43:43" x14ac:dyDescent="0.2">
      <c r="AQ30625" s="31"/>
    </row>
    <row r="30626" spans="43:43" x14ac:dyDescent="0.2">
      <c r="AQ30626" s="31"/>
    </row>
    <row r="30627" spans="43:43" x14ac:dyDescent="0.2">
      <c r="AQ30627" s="31"/>
    </row>
    <row r="30628" spans="43:43" x14ac:dyDescent="0.2">
      <c r="AQ30628" s="31"/>
    </row>
    <row r="30629" spans="43:43" x14ac:dyDescent="0.2">
      <c r="AQ30629" s="31"/>
    </row>
    <row r="30630" spans="43:43" x14ac:dyDescent="0.2">
      <c r="AQ30630" s="31"/>
    </row>
    <row r="30631" spans="43:43" x14ac:dyDescent="0.2">
      <c r="AQ30631" s="31"/>
    </row>
    <row r="30632" spans="43:43" x14ac:dyDescent="0.2">
      <c r="AQ30632" s="31"/>
    </row>
    <row r="30633" spans="43:43" x14ac:dyDescent="0.2">
      <c r="AQ30633" s="31"/>
    </row>
    <row r="30634" spans="43:43" x14ac:dyDescent="0.2">
      <c r="AQ30634" s="31"/>
    </row>
    <row r="30635" spans="43:43" x14ac:dyDescent="0.2">
      <c r="AQ30635" s="31"/>
    </row>
    <row r="30636" spans="43:43" x14ac:dyDescent="0.2">
      <c r="AQ30636" s="31"/>
    </row>
    <row r="30637" spans="43:43" x14ac:dyDescent="0.2">
      <c r="AQ30637" s="31"/>
    </row>
    <row r="30638" spans="43:43" x14ac:dyDescent="0.2">
      <c r="AQ30638" s="31"/>
    </row>
    <row r="30639" spans="43:43" x14ac:dyDescent="0.2">
      <c r="AQ30639" s="31"/>
    </row>
    <row r="30640" spans="43:43" x14ac:dyDescent="0.2">
      <c r="AQ30640" s="31"/>
    </row>
    <row r="30641" spans="43:43" x14ac:dyDescent="0.2">
      <c r="AQ30641" s="31"/>
    </row>
    <row r="30642" spans="43:43" x14ac:dyDescent="0.2">
      <c r="AQ30642" s="31"/>
    </row>
    <row r="30643" spans="43:43" x14ac:dyDescent="0.2">
      <c r="AQ30643" s="31"/>
    </row>
    <row r="30644" spans="43:43" x14ac:dyDescent="0.2">
      <c r="AQ30644" s="31"/>
    </row>
    <row r="30645" spans="43:43" x14ac:dyDescent="0.2">
      <c r="AQ30645" s="31"/>
    </row>
    <row r="30646" spans="43:43" x14ac:dyDescent="0.2">
      <c r="AQ30646" s="31"/>
    </row>
    <row r="30647" spans="43:43" x14ac:dyDescent="0.2">
      <c r="AQ30647" s="31"/>
    </row>
    <row r="30648" spans="43:43" x14ac:dyDescent="0.2">
      <c r="AQ30648" s="31"/>
    </row>
    <row r="30649" spans="43:43" x14ac:dyDescent="0.2">
      <c r="AQ30649" s="31"/>
    </row>
    <row r="30650" spans="43:43" x14ac:dyDescent="0.2">
      <c r="AQ30650" s="31"/>
    </row>
    <row r="30651" spans="43:43" x14ac:dyDescent="0.2">
      <c r="AQ30651" s="31"/>
    </row>
    <row r="30652" spans="43:43" x14ac:dyDescent="0.2">
      <c r="AQ30652" s="31"/>
    </row>
    <row r="30653" spans="43:43" x14ac:dyDescent="0.2">
      <c r="AQ30653" s="31"/>
    </row>
    <row r="30654" spans="43:43" x14ac:dyDescent="0.2">
      <c r="AQ30654" s="31"/>
    </row>
    <row r="30655" spans="43:43" x14ac:dyDescent="0.2">
      <c r="AQ30655" s="31"/>
    </row>
    <row r="30656" spans="43:43" x14ac:dyDescent="0.2">
      <c r="AQ30656" s="31"/>
    </row>
    <row r="30657" spans="43:43" x14ac:dyDescent="0.2">
      <c r="AQ30657" s="31"/>
    </row>
    <row r="30658" spans="43:43" x14ac:dyDescent="0.2">
      <c r="AQ30658" s="31"/>
    </row>
    <row r="30659" spans="43:43" x14ac:dyDescent="0.2">
      <c r="AQ30659" s="31"/>
    </row>
    <row r="30660" spans="43:43" x14ac:dyDescent="0.2">
      <c r="AQ30660" s="31"/>
    </row>
    <row r="30661" spans="43:43" x14ac:dyDescent="0.2">
      <c r="AQ30661" s="31"/>
    </row>
    <row r="30662" spans="43:43" x14ac:dyDescent="0.2">
      <c r="AQ30662" s="31"/>
    </row>
    <row r="30663" spans="43:43" x14ac:dyDescent="0.2">
      <c r="AQ30663" s="31"/>
    </row>
    <row r="30664" spans="43:43" x14ac:dyDescent="0.2">
      <c r="AQ30664" s="31"/>
    </row>
    <row r="30665" spans="43:43" x14ac:dyDescent="0.2">
      <c r="AQ30665" s="31"/>
    </row>
    <row r="30666" spans="43:43" x14ac:dyDescent="0.2">
      <c r="AQ30666" s="31"/>
    </row>
    <row r="30667" spans="43:43" x14ac:dyDescent="0.2">
      <c r="AQ30667" s="31"/>
    </row>
    <row r="30668" spans="43:43" x14ac:dyDescent="0.2">
      <c r="AQ30668" s="31"/>
    </row>
    <row r="30669" spans="43:43" x14ac:dyDescent="0.2">
      <c r="AQ30669" s="31"/>
    </row>
    <row r="30670" spans="43:43" x14ac:dyDescent="0.2">
      <c r="AQ30670" s="31"/>
    </row>
    <row r="30671" spans="43:43" x14ac:dyDescent="0.2">
      <c r="AQ30671" s="31"/>
    </row>
    <row r="30672" spans="43:43" x14ac:dyDescent="0.2">
      <c r="AQ30672" s="31"/>
    </row>
    <row r="30673" spans="43:43" x14ac:dyDescent="0.2">
      <c r="AQ30673" s="31"/>
    </row>
    <row r="30674" spans="43:43" x14ac:dyDescent="0.2">
      <c r="AQ30674" s="31"/>
    </row>
    <row r="30675" spans="43:43" x14ac:dyDescent="0.2">
      <c r="AQ30675" s="31"/>
    </row>
    <row r="30676" spans="43:43" x14ac:dyDescent="0.2">
      <c r="AQ30676" s="31"/>
    </row>
    <row r="30677" spans="43:43" x14ac:dyDescent="0.2">
      <c r="AQ30677" s="31"/>
    </row>
    <row r="30678" spans="43:43" x14ac:dyDescent="0.2">
      <c r="AQ30678" s="31"/>
    </row>
    <row r="30679" spans="43:43" x14ac:dyDescent="0.2">
      <c r="AQ30679" s="31"/>
    </row>
    <row r="30680" spans="43:43" x14ac:dyDescent="0.2">
      <c r="AQ30680" s="31"/>
    </row>
    <row r="30681" spans="43:43" x14ac:dyDescent="0.2">
      <c r="AQ30681" s="31"/>
    </row>
    <row r="30682" spans="43:43" x14ac:dyDescent="0.2">
      <c r="AQ30682" s="31"/>
    </row>
    <row r="30683" spans="43:43" x14ac:dyDescent="0.2">
      <c r="AQ30683" s="31"/>
    </row>
    <row r="30684" spans="43:43" x14ac:dyDescent="0.2">
      <c r="AQ30684" s="31"/>
    </row>
    <row r="30685" spans="43:43" x14ac:dyDescent="0.2">
      <c r="AQ30685" s="31"/>
    </row>
    <row r="30686" spans="43:43" x14ac:dyDescent="0.2">
      <c r="AQ30686" s="31"/>
    </row>
    <row r="30687" spans="43:43" x14ac:dyDescent="0.2">
      <c r="AQ30687" s="31"/>
    </row>
    <row r="30688" spans="43:43" x14ac:dyDescent="0.2">
      <c r="AQ30688" s="31"/>
    </row>
    <row r="30689" spans="43:43" x14ac:dyDescent="0.2">
      <c r="AQ30689" s="31"/>
    </row>
    <row r="30690" spans="43:43" x14ac:dyDescent="0.2">
      <c r="AQ30690" s="31"/>
    </row>
    <row r="30691" spans="43:43" x14ac:dyDescent="0.2">
      <c r="AQ30691" s="31"/>
    </row>
    <row r="30692" spans="43:43" x14ac:dyDescent="0.2">
      <c r="AQ30692" s="31"/>
    </row>
    <row r="30693" spans="43:43" x14ac:dyDescent="0.2">
      <c r="AQ30693" s="31"/>
    </row>
    <row r="30694" spans="43:43" x14ac:dyDescent="0.2">
      <c r="AQ30694" s="31"/>
    </row>
    <row r="30695" spans="43:43" x14ac:dyDescent="0.2">
      <c r="AQ30695" s="31"/>
    </row>
    <row r="30696" spans="43:43" x14ac:dyDescent="0.2">
      <c r="AQ30696" s="31"/>
    </row>
    <row r="30697" spans="43:43" x14ac:dyDescent="0.2">
      <c r="AQ30697" s="31"/>
    </row>
    <row r="30698" spans="43:43" x14ac:dyDescent="0.2">
      <c r="AQ30698" s="31"/>
    </row>
    <row r="30699" spans="43:43" x14ac:dyDescent="0.2">
      <c r="AQ30699" s="31"/>
    </row>
    <row r="30700" spans="43:43" x14ac:dyDescent="0.2">
      <c r="AQ30700" s="31"/>
    </row>
    <row r="30701" spans="43:43" x14ac:dyDescent="0.2">
      <c r="AQ30701" s="31"/>
    </row>
    <row r="30702" spans="43:43" x14ac:dyDescent="0.2">
      <c r="AQ30702" s="31"/>
    </row>
    <row r="30703" spans="43:43" x14ac:dyDescent="0.2">
      <c r="AQ30703" s="31"/>
    </row>
    <row r="30704" spans="43:43" x14ac:dyDescent="0.2">
      <c r="AQ30704" s="31"/>
    </row>
    <row r="30705" spans="43:43" x14ac:dyDescent="0.2">
      <c r="AQ30705" s="31"/>
    </row>
    <row r="30706" spans="43:43" x14ac:dyDescent="0.2">
      <c r="AQ30706" s="31"/>
    </row>
    <row r="30707" spans="43:43" x14ac:dyDescent="0.2">
      <c r="AQ30707" s="31"/>
    </row>
    <row r="30708" spans="43:43" x14ac:dyDescent="0.2">
      <c r="AQ30708" s="31"/>
    </row>
    <row r="30709" spans="43:43" x14ac:dyDescent="0.2">
      <c r="AQ30709" s="31"/>
    </row>
    <row r="30710" spans="43:43" x14ac:dyDescent="0.2">
      <c r="AQ30710" s="31"/>
    </row>
    <row r="30711" spans="43:43" x14ac:dyDescent="0.2">
      <c r="AQ30711" s="31"/>
    </row>
    <row r="30712" spans="43:43" x14ac:dyDescent="0.2">
      <c r="AQ30712" s="31"/>
    </row>
    <row r="30713" spans="43:43" x14ac:dyDescent="0.2">
      <c r="AQ30713" s="31"/>
    </row>
    <row r="30714" spans="43:43" x14ac:dyDescent="0.2">
      <c r="AQ30714" s="31"/>
    </row>
    <row r="30715" spans="43:43" x14ac:dyDescent="0.2">
      <c r="AQ30715" s="31"/>
    </row>
    <row r="30716" spans="43:43" x14ac:dyDescent="0.2">
      <c r="AQ30716" s="31"/>
    </row>
    <row r="30717" spans="43:43" x14ac:dyDescent="0.2">
      <c r="AQ30717" s="31"/>
    </row>
    <row r="30718" spans="43:43" x14ac:dyDescent="0.2">
      <c r="AQ30718" s="31"/>
    </row>
    <row r="30719" spans="43:43" x14ac:dyDescent="0.2">
      <c r="AQ30719" s="31"/>
    </row>
    <row r="30720" spans="43:43" x14ac:dyDescent="0.2">
      <c r="AQ30720" s="31"/>
    </row>
    <row r="30721" spans="43:43" x14ac:dyDescent="0.2">
      <c r="AQ30721" s="31"/>
    </row>
    <row r="30722" spans="43:43" x14ac:dyDescent="0.2">
      <c r="AQ30722" s="31"/>
    </row>
    <row r="30723" spans="43:43" x14ac:dyDescent="0.2">
      <c r="AQ30723" s="31"/>
    </row>
    <row r="30724" spans="43:43" x14ac:dyDescent="0.2">
      <c r="AQ30724" s="31"/>
    </row>
    <row r="30725" spans="43:43" x14ac:dyDescent="0.2">
      <c r="AQ30725" s="31"/>
    </row>
    <row r="30726" spans="43:43" x14ac:dyDescent="0.2">
      <c r="AQ30726" s="31"/>
    </row>
    <row r="30727" spans="43:43" x14ac:dyDescent="0.2">
      <c r="AQ30727" s="31"/>
    </row>
    <row r="30728" spans="43:43" x14ac:dyDescent="0.2">
      <c r="AQ30728" s="31"/>
    </row>
    <row r="30729" spans="43:43" x14ac:dyDescent="0.2">
      <c r="AQ30729" s="31"/>
    </row>
    <row r="30730" spans="43:43" x14ac:dyDescent="0.2">
      <c r="AQ30730" s="31"/>
    </row>
    <row r="30731" spans="43:43" x14ac:dyDescent="0.2">
      <c r="AQ30731" s="31"/>
    </row>
    <row r="30732" spans="43:43" x14ac:dyDescent="0.2">
      <c r="AQ30732" s="31"/>
    </row>
    <row r="30733" spans="43:43" x14ac:dyDescent="0.2">
      <c r="AQ30733" s="31"/>
    </row>
    <row r="30734" spans="43:43" x14ac:dyDescent="0.2">
      <c r="AQ30734" s="31"/>
    </row>
    <row r="30735" spans="43:43" x14ac:dyDescent="0.2">
      <c r="AQ30735" s="31"/>
    </row>
    <row r="30736" spans="43:43" x14ac:dyDescent="0.2">
      <c r="AQ30736" s="31"/>
    </row>
    <row r="30737" spans="43:43" x14ac:dyDescent="0.2">
      <c r="AQ30737" s="31"/>
    </row>
    <row r="30738" spans="43:43" x14ac:dyDescent="0.2">
      <c r="AQ30738" s="31"/>
    </row>
    <row r="30739" spans="43:43" x14ac:dyDescent="0.2">
      <c r="AQ30739" s="31"/>
    </row>
    <row r="30740" spans="43:43" x14ac:dyDescent="0.2">
      <c r="AQ30740" s="31"/>
    </row>
    <row r="30741" spans="43:43" x14ac:dyDescent="0.2">
      <c r="AQ30741" s="31"/>
    </row>
    <row r="30742" spans="43:43" x14ac:dyDescent="0.2">
      <c r="AQ30742" s="31"/>
    </row>
    <row r="30743" spans="43:43" x14ac:dyDescent="0.2">
      <c r="AQ30743" s="31"/>
    </row>
    <row r="30744" spans="43:43" x14ac:dyDescent="0.2">
      <c r="AQ30744" s="31"/>
    </row>
    <row r="30745" spans="43:43" x14ac:dyDescent="0.2">
      <c r="AQ30745" s="31"/>
    </row>
    <row r="30746" spans="43:43" x14ac:dyDescent="0.2">
      <c r="AQ30746" s="31"/>
    </row>
    <row r="30747" spans="43:43" x14ac:dyDescent="0.2">
      <c r="AQ30747" s="31"/>
    </row>
    <row r="30748" spans="43:43" x14ac:dyDescent="0.2">
      <c r="AQ30748" s="31"/>
    </row>
    <row r="30749" spans="43:43" x14ac:dyDescent="0.2">
      <c r="AQ30749" s="31"/>
    </row>
    <row r="30750" spans="43:43" x14ac:dyDescent="0.2">
      <c r="AQ30750" s="31"/>
    </row>
    <row r="30751" spans="43:43" x14ac:dyDescent="0.2">
      <c r="AQ30751" s="31"/>
    </row>
    <row r="30752" spans="43:43" x14ac:dyDescent="0.2">
      <c r="AQ30752" s="31"/>
    </row>
    <row r="30753" spans="43:43" x14ac:dyDescent="0.2">
      <c r="AQ30753" s="31"/>
    </row>
    <row r="30754" spans="43:43" x14ac:dyDescent="0.2">
      <c r="AQ30754" s="31"/>
    </row>
    <row r="30755" spans="43:43" x14ac:dyDescent="0.2">
      <c r="AQ30755" s="31"/>
    </row>
    <row r="30756" spans="43:43" x14ac:dyDescent="0.2">
      <c r="AQ30756" s="31"/>
    </row>
    <row r="30757" spans="43:43" x14ac:dyDescent="0.2">
      <c r="AQ30757" s="31"/>
    </row>
    <row r="30758" spans="43:43" x14ac:dyDescent="0.2">
      <c r="AQ30758" s="31"/>
    </row>
    <row r="30759" spans="43:43" x14ac:dyDescent="0.2">
      <c r="AQ30759" s="31"/>
    </row>
    <row r="30760" spans="43:43" x14ac:dyDescent="0.2">
      <c r="AQ30760" s="31"/>
    </row>
    <row r="30761" spans="43:43" x14ac:dyDescent="0.2">
      <c r="AQ30761" s="31"/>
    </row>
    <row r="30762" spans="43:43" x14ac:dyDescent="0.2">
      <c r="AQ30762" s="31"/>
    </row>
    <row r="30763" spans="43:43" x14ac:dyDescent="0.2">
      <c r="AQ30763" s="31"/>
    </row>
    <row r="30764" spans="43:43" x14ac:dyDescent="0.2">
      <c r="AQ30764" s="31"/>
    </row>
    <row r="30765" spans="43:43" x14ac:dyDescent="0.2">
      <c r="AQ30765" s="31"/>
    </row>
    <row r="30766" spans="43:43" x14ac:dyDescent="0.2">
      <c r="AQ30766" s="31"/>
    </row>
    <row r="30767" spans="43:43" x14ac:dyDescent="0.2">
      <c r="AQ30767" s="31"/>
    </row>
    <row r="30768" spans="43:43" x14ac:dyDescent="0.2">
      <c r="AQ30768" s="31"/>
    </row>
    <row r="30769" spans="43:43" x14ac:dyDescent="0.2">
      <c r="AQ30769" s="31"/>
    </row>
    <row r="30770" spans="43:43" x14ac:dyDescent="0.2">
      <c r="AQ30770" s="31"/>
    </row>
    <row r="30771" spans="43:43" x14ac:dyDescent="0.2">
      <c r="AQ30771" s="31"/>
    </row>
    <row r="30772" spans="43:43" x14ac:dyDescent="0.2">
      <c r="AQ30772" s="31"/>
    </row>
    <row r="30773" spans="43:43" x14ac:dyDescent="0.2">
      <c r="AQ30773" s="31"/>
    </row>
    <row r="30774" spans="43:43" x14ac:dyDescent="0.2">
      <c r="AQ30774" s="31"/>
    </row>
    <row r="30775" spans="43:43" x14ac:dyDescent="0.2">
      <c r="AQ30775" s="31"/>
    </row>
    <row r="30776" spans="43:43" x14ac:dyDescent="0.2">
      <c r="AQ30776" s="31"/>
    </row>
    <row r="30777" spans="43:43" x14ac:dyDescent="0.2">
      <c r="AQ30777" s="31"/>
    </row>
    <row r="30778" spans="43:43" x14ac:dyDescent="0.2">
      <c r="AQ30778" s="31"/>
    </row>
    <row r="30779" spans="43:43" x14ac:dyDescent="0.2">
      <c r="AQ30779" s="31"/>
    </row>
    <row r="30780" spans="43:43" x14ac:dyDescent="0.2">
      <c r="AQ30780" s="31"/>
    </row>
    <row r="30781" spans="43:43" x14ac:dyDescent="0.2">
      <c r="AQ30781" s="31"/>
    </row>
    <row r="30782" spans="43:43" x14ac:dyDescent="0.2">
      <c r="AQ30782" s="31"/>
    </row>
    <row r="30783" spans="43:43" x14ac:dyDescent="0.2">
      <c r="AQ30783" s="31"/>
    </row>
    <row r="30784" spans="43:43" x14ac:dyDescent="0.2">
      <c r="AQ30784" s="31"/>
    </row>
    <row r="30785" spans="43:43" x14ac:dyDescent="0.2">
      <c r="AQ30785" s="31"/>
    </row>
    <row r="30786" spans="43:43" x14ac:dyDescent="0.2">
      <c r="AQ30786" s="31"/>
    </row>
    <row r="30787" spans="43:43" x14ac:dyDescent="0.2">
      <c r="AQ30787" s="31"/>
    </row>
    <row r="30788" spans="43:43" x14ac:dyDescent="0.2">
      <c r="AQ30788" s="31"/>
    </row>
    <row r="30789" spans="43:43" x14ac:dyDescent="0.2">
      <c r="AQ30789" s="31"/>
    </row>
    <row r="30790" spans="43:43" x14ac:dyDescent="0.2">
      <c r="AQ30790" s="31"/>
    </row>
    <row r="30791" spans="43:43" x14ac:dyDescent="0.2">
      <c r="AQ30791" s="31"/>
    </row>
    <row r="30792" spans="43:43" x14ac:dyDescent="0.2">
      <c r="AQ30792" s="31"/>
    </row>
    <row r="30793" spans="43:43" x14ac:dyDescent="0.2">
      <c r="AQ30793" s="31"/>
    </row>
    <row r="30794" spans="43:43" x14ac:dyDescent="0.2">
      <c r="AQ30794" s="31"/>
    </row>
    <row r="30795" spans="43:43" x14ac:dyDescent="0.2">
      <c r="AQ30795" s="31"/>
    </row>
    <row r="30796" spans="43:43" x14ac:dyDescent="0.2">
      <c r="AQ30796" s="31"/>
    </row>
    <row r="30797" spans="43:43" x14ac:dyDescent="0.2">
      <c r="AQ30797" s="31"/>
    </row>
    <row r="30798" spans="43:43" x14ac:dyDescent="0.2">
      <c r="AQ30798" s="31"/>
    </row>
    <row r="30799" spans="43:43" x14ac:dyDescent="0.2">
      <c r="AQ30799" s="31"/>
    </row>
    <row r="30800" spans="43:43" x14ac:dyDescent="0.2">
      <c r="AQ30800" s="31"/>
    </row>
    <row r="30801" spans="43:43" x14ac:dyDescent="0.2">
      <c r="AQ30801" s="31"/>
    </row>
    <row r="30802" spans="43:43" x14ac:dyDescent="0.2">
      <c r="AQ30802" s="31"/>
    </row>
    <row r="30803" spans="43:43" x14ac:dyDescent="0.2">
      <c r="AQ30803" s="31"/>
    </row>
    <row r="30804" spans="43:43" x14ac:dyDescent="0.2">
      <c r="AQ30804" s="31"/>
    </row>
    <row r="30805" spans="43:43" x14ac:dyDescent="0.2">
      <c r="AQ30805" s="31"/>
    </row>
    <row r="30806" spans="43:43" x14ac:dyDescent="0.2">
      <c r="AQ30806" s="31"/>
    </row>
    <row r="30807" spans="43:43" x14ac:dyDescent="0.2">
      <c r="AQ30807" s="31"/>
    </row>
    <row r="30808" spans="43:43" x14ac:dyDescent="0.2">
      <c r="AQ30808" s="31"/>
    </row>
    <row r="30809" spans="43:43" x14ac:dyDescent="0.2">
      <c r="AQ30809" s="31"/>
    </row>
    <row r="30810" spans="43:43" x14ac:dyDescent="0.2">
      <c r="AQ30810" s="31"/>
    </row>
    <row r="30811" spans="43:43" x14ac:dyDescent="0.2">
      <c r="AQ30811" s="31"/>
    </row>
    <row r="30812" spans="43:43" x14ac:dyDescent="0.2">
      <c r="AQ30812" s="31"/>
    </row>
    <row r="30813" spans="43:43" x14ac:dyDescent="0.2">
      <c r="AQ30813" s="31"/>
    </row>
    <row r="30814" spans="43:43" x14ac:dyDescent="0.2">
      <c r="AQ30814" s="31"/>
    </row>
    <row r="30815" spans="43:43" x14ac:dyDescent="0.2">
      <c r="AQ30815" s="31"/>
    </row>
    <row r="30816" spans="43:43" x14ac:dyDescent="0.2">
      <c r="AQ30816" s="31"/>
    </row>
    <row r="30817" spans="43:43" x14ac:dyDescent="0.2">
      <c r="AQ30817" s="31"/>
    </row>
    <row r="30818" spans="43:43" x14ac:dyDescent="0.2">
      <c r="AQ30818" s="31"/>
    </row>
    <row r="30819" spans="43:43" x14ac:dyDescent="0.2">
      <c r="AQ30819" s="31"/>
    </row>
    <row r="30820" spans="43:43" x14ac:dyDescent="0.2">
      <c r="AQ30820" s="31"/>
    </row>
    <row r="30821" spans="43:43" x14ac:dyDescent="0.2">
      <c r="AQ30821" s="31"/>
    </row>
    <row r="30822" spans="43:43" x14ac:dyDescent="0.2">
      <c r="AQ30822" s="31"/>
    </row>
    <row r="30823" spans="43:43" x14ac:dyDescent="0.2">
      <c r="AQ30823" s="31"/>
    </row>
    <row r="30824" spans="43:43" x14ac:dyDescent="0.2">
      <c r="AQ30824" s="31"/>
    </row>
    <row r="30825" spans="43:43" x14ac:dyDescent="0.2">
      <c r="AQ30825" s="31"/>
    </row>
    <row r="30826" spans="43:43" x14ac:dyDescent="0.2">
      <c r="AQ30826" s="31"/>
    </row>
    <row r="30827" spans="43:43" x14ac:dyDescent="0.2">
      <c r="AQ30827" s="31"/>
    </row>
    <row r="30828" spans="43:43" x14ac:dyDescent="0.2">
      <c r="AQ30828" s="31"/>
    </row>
    <row r="30829" spans="43:43" x14ac:dyDescent="0.2">
      <c r="AQ30829" s="31"/>
    </row>
    <row r="30830" spans="43:43" x14ac:dyDescent="0.2">
      <c r="AQ30830" s="31"/>
    </row>
    <row r="30831" spans="43:43" x14ac:dyDescent="0.2">
      <c r="AQ30831" s="31"/>
    </row>
    <row r="30832" spans="43:43" x14ac:dyDescent="0.2">
      <c r="AQ30832" s="31"/>
    </row>
    <row r="30833" spans="43:43" x14ac:dyDescent="0.2">
      <c r="AQ30833" s="31"/>
    </row>
    <row r="30834" spans="43:43" x14ac:dyDescent="0.2">
      <c r="AQ30834" s="31"/>
    </row>
    <row r="30835" spans="43:43" x14ac:dyDescent="0.2">
      <c r="AQ30835" s="31"/>
    </row>
    <row r="30836" spans="43:43" x14ac:dyDescent="0.2">
      <c r="AQ30836" s="31"/>
    </row>
    <row r="30837" spans="43:43" x14ac:dyDescent="0.2">
      <c r="AQ30837" s="31"/>
    </row>
    <row r="30838" spans="43:43" x14ac:dyDescent="0.2">
      <c r="AQ30838" s="31"/>
    </row>
    <row r="30839" spans="43:43" x14ac:dyDescent="0.2">
      <c r="AQ30839" s="31"/>
    </row>
    <row r="30840" spans="43:43" x14ac:dyDescent="0.2">
      <c r="AQ30840" s="31"/>
    </row>
    <row r="30841" spans="43:43" x14ac:dyDescent="0.2">
      <c r="AQ30841" s="31"/>
    </row>
    <row r="30842" spans="43:43" x14ac:dyDescent="0.2">
      <c r="AQ30842" s="31"/>
    </row>
    <row r="30843" spans="43:43" x14ac:dyDescent="0.2">
      <c r="AQ30843" s="31"/>
    </row>
    <row r="30844" spans="43:43" x14ac:dyDescent="0.2">
      <c r="AQ30844" s="31"/>
    </row>
    <row r="30845" spans="43:43" x14ac:dyDescent="0.2">
      <c r="AQ30845" s="31"/>
    </row>
    <row r="30846" spans="43:43" x14ac:dyDescent="0.2">
      <c r="AQ30846" s="31"/>
    </row>
    <row r="30847" spans="43:43" x14ac:dyDescent="0.2">
      <c r="AQ30847" s="31"/>
    </row>
    <row r="30848" spans="43:43" x14ac:dyDescent="0.2">
      <c r="AQ30848" s="31"/>
    </row>
    <row r="30849" spans="43:43" x14ac:dyDescent="0.2">
      <c r="AQ30849" s="31"/>
    </row>
    <row r="30850" spans="43:43" x14ac:dyDescent="0.2">
      <c r="AQ30850" s="31"/>
    </row>
    <row r="30851" spans="43:43" x14ac:dyDescent="0.2">
      <c r="AQ30851" s="31"/>
    </row>
    <row r="30852" spans="43:43" x14ac:dyDescent="0.2">
      <c r="AQ30852" s="31"/>
    </row>
    <row r="30853" spans="43:43" x14ac:dyDescent="0.2">
      <c r="AQ30853" s="31"/>
    </row>
    <row r="30854" spans="43:43" x14ac:dyDescent="0.2">
      <c r="AQ30854" s="31"/>
    </row>
    <row r="30855" spans="43:43" x14ac:dyDescent="0.2">
      <c r="AQ30855" s="31"/>
    </row>
    <row r="30856" spans="43:43" x14ac:dyDescent="0.2">
      <c r="AQ30856" s="31"/>
    </row>
    <row r="30857" spans="43:43" x14ac:dyDescent="0.2">
      <c r="AQ30857" s="31"/>
    </row>
    <row r="30858" spans="43:43" x14ac:dyDescent="0.2">
      <c r="AQ30858" s="31"/>
    </row>
    <row r="30859" spans="43:43" x14ac:dyDescent="0.2">
      <c r="AQ30859" s="31"/>
    </row>
    <row r="30860" spans="43:43" x14ac:dyDescent="0.2">
      <c r="AQ30860" s="31"/>
    </row>
    <row r="30861" spans="43:43" x14ac:dyDescent="0.2">
      <c r="AQ30861" s="31"/>
    </row>
    <row r="30862" spans="43:43" x14ac:dyDescent="0.2">
      <c r="AQ30862" s="31"/>
    </row>
    <row r="30863" spans="43:43" x14ac:dyDescent="0.2">
      <c r="AQ30863" s="31"/>
    </row>
    <row r="30864" spans="43:43" x14ac:dyDescent="0.2">
      <c r="AQ30864" s="31"/>
    </row>
    <row r="30865" spans="43:43" x14ac:dyDescent="0.2">
      <c r="AQ30865" s="31"/>
    </row>
    <row r="30866" spans="43:43" x14ac:dyDescent="0.2">
      <c r="AQ30866" s="31"/>
    </row>
    <row r="30867" spans="43:43" x14ac:dyDescent="0.2">
      <c r="AQ30867" s="31"/>
    </row>
    <row r="30868" spans="43:43" x14ac:dyDescent="0.2">
      <c r="AQ30868" s="31"/>
    </row>
    <row r="30869" spans="43:43" x14ac:dyDescent="0.2">
      <c r="AQ30869" s="31"/>
    </row>
    <row r="30870" spans="43:43" x14ac:dyDescent="0.2">
      <c r="AQ30870" s="31"/>
    </row>
    <row r="30871" spans="43:43" x14ac:dyDescent="0.2">
      <c r="AQ30871" s="31"/>
    </row>
    <row r="30872" spans="43:43" x14ac:dyDescent="0.2">
      <c r="AQ30872" s="31"/>
    </row>
    <row r="30873" spans="43:43" x14ac:dyDescent="0.2">
      <c r="AQ30873" s="31"/>
    </row>
    <row r="30874" spans="43:43" x14ac:dyDescent="0.2">
      <c r="AQ30874" s="31"/>
    </row>
    <row r="30875" spans="43:43" x14ac:dyDescent="0.2">
      <c r="AQ30875" s="31"/>
    </row>
    <row r="30876" spans="43:43" x14ac:dyDescent="0.2">
      <c r="AQ30876" s="31"/>
    </row>
    <row r="30877" spans="43:43" x14ac:dyDescent="0.2">
      <c r="AQ30877" s="31"/>
    </row>
    <row r="30878" spans="43:43" x14ac:dyDescent="0.2">
      <c r="AQ30878" s="31"/>
    </row>
    <row r="30879" spans="43:43" x14ac:dyDescent="0.2">
      <c r="AQ30879" s="31"/>
    </row>
    <row r="30880" spans="43:43" x14ac:dyDescent="0.2">
      <c r="AQ30880" s="31"/>
    </row>
    <row r="30881" spans="43:43" x14ac:dyDescent="0.2">
      <c r="AQ30881" s="31"/>
    </row>
    <row r="30882" spans="43:43" x14ac:dyDescent="0.2">
      <c r="AQ30882" s="31"/>
    </row>
    <row r="30883" spans="43:43" x14ac:dyDescent="0.2">
      <c r="AQ30883" s="31"/>
    </row>
    <row r="30884" spans="43:43" x14ac:dyDescent="0.2">
      <c r="AQ30884" s="31"/>
    </row>
    <row r="30885" spans="43:43" x14ac:dyDescent="0.2">
      <c r="AQ30885" s="31"/>
    </row>
    <row r="30886" spans="43:43" x14ac:dyDescent="0.2">
      <c r="AQ30886" s="31"/>
    </row>
    <row r="30887" spans="43:43" x14ac:dyDescent="0.2">
      <c r="AQ30887" s="31"/>
    </row>
    <row r="30888" spans="43:43" x14ac:dyDescent="0.2">
      <c r="AQ30888" s="31"/>
    </row>
    <row r="30889" spans="43:43" x14ac:dyDescent="0.2">
      <c r="AQ30889" s="31"/>
    </row>
    <row r="30890" spans="43:43" x14ac:dyDescent="0.2">
      <c r="AQ30890" s="31"/>
    </row>
    <row r="30891" spans="43:43" x14ac:dyDescent="0.2">
      <c r="AQ30891" s="31"/>
    </row>
    <row r="30892" spans="43:43" x14ac:dyDescent="0.2">
      <c r="AQ30892" s="31"/>
    </row>
    <row r="30893" spans="43:43" x14ac:dyDescent="0.2">
      <c r="AQ30893" s="31"/>
    </row>
    <row r="30894" spans="43:43" x14ac:dyDescent="0.2">
      <c r="AQ30894" s="31"/>
    </row>
    <row r="30895" spans="43:43" x14ac:dyDescent="0.2">
      <c r="AQ30895" s="31"/>
    </row>
    <row r="30896" spans="43:43" x14ac:dyDescent="0.2">
      <c r="AQ30896" s="31"/>
    </row>
    <row r="30897" spans="43:43" x14ac:dyDescent="0.2">
      <c r="AQ30897" s="31"/>
    </row>
    <row r="30898" spans="43:43" x14ac:dyDescent="0.2">
      <c r="AQ30898" s="31"/>
    </row>
    <row r="30899" spans="43:43" x14ac:dyDescent="0.2">
      <c r="AQ30899" s="31"/>
    </row>
    <row r="30900" spans="43:43" x14ac:dyDescent="0.2">
      <c r="AQ30900" s="31"/>
    </row>
    <row r="30901" spans="43:43" x14ac:dyDescent="0.2">
      <c r="AQ30901" s="31"/>
    </row>
    <row r="30902" spans="43:43" x14ac:dyDescent="0.2">
      <c r="AQ30902" s="31"/>
    </row>
    <row r="30903" spans="43:43" x14ac:dyDescent="0.2">
      <c r="AQ30903" s="31"/>
    </row>
    <row r="30904" spans="43:43" x14ac:dyDescent="0.2">
      <c r="AQ30904" s="31"/>
    </row>
    <row r="30905" spans="43:43" x14ac:dyDescent="0.2">
      <c r="AQ30905" s="31"/>
    </row>
    <row r="30906" spans="43:43" x14ac:dyDescent="0.2">
      <c r="AQ30906" s="31"/>
    </row>
    <row r="30907" spans="43:43" x14ac:dyDescent="0.2">
      <c r="AQ30907" s="31"/>
    </row>
    <row r="30908" spans="43:43" x14ac:dyDescent="0.2">
      <c r="AQ30908" s="31"/>
    </row>
    <row r="30909" spans="43:43" x14ac:dyDescent="0.2">
      <c r="AQ30909" s="31"/>
    </row>
    <row r="30910" spans="43:43" x14ac:dyDescent="0.2">
      <c r="AQ30910" s="31"/>
    </row>
    <row r="30911" spans="43:43" x14ac:dyDescent="0.2">
      <c r="AQ30911" s="31"/>
    </row>
    <row r="30912" spans="43:43" x14ac:dyDescent="0.2">
      <c r="AQ30912" s="31"/>
    </row>
    <row r="30913" spans="43:43" x14ac:dyDescent="0.2">
      <c r="AQ30913" s="31"/>
    </row>
    <row r="30914" spans="43:43" x14ac:dyDescent="0.2">
      <c r="AQ30914" s="31"/>
    </row>
    <row r="30915" spans="43:43" x14ac:dyDescent="0.2">
      <c r="AQ30915" s="31"/>
    </row>
    <row r="30916" spans="43:43" x14ac:dyDescent="0.2">
      <c r="AQ30916" s="31"/>
    </row>
    <row r="30917" spans="43:43" x14ac:dyDescent="0.2">
      <c r="AQ30917" s="31"/>
    </row>
    <row r="30918" spans="43:43" x14ac:dyDescent="0.2">
      <c r="AQ30918" s="31"/>
    </row>
    <row r="30919" spans="43:43" x14ac:dyDescent="0.2">
      <c r="AQ30919" s="31"/>
    </row>
    <row r="30920" spans="43:43" x14ac:dyDescent="0.2">
      <c r="AQ30920" s="31"/>
    </row>
    <row r="30921" spans="43:43" x14ac:dyDescent="0.2">
      <c r="AQ30921" s="31"/>
    </row>
    <row r="30922" spans="43:43" x14ac:dyDescent="0.2">
      <c r="AQ30922" s="31"/>
    </row>
    <row r="30923" spans="43:43" x14ac:dyDescent="0.2">
      <c r="AQ30923" s="31"/>
    </row>
    <row r="30924" spans="43:43" x14ac:dyDescent="0.2">
      <c r="AQ30924" s="31"/>
    </row>
    <row r="30925" spans="43:43" x14ac:dyDescent="0.2">
      <c r="AQ30925" s="31"/>
    </row>
    <row r="30926" spans="43:43" x14ac:dyDescent="0.2">
      <c r="AQ30926" s="31"/>
    </row>
    <row r="30927" spans="43:43" x14ac:dyDescent="0.2">
      <c r="AQ30927" s="31"/>
    </row>
    <row r="30928" spans="43:43" x14ac:dyDescent="0.2">
      <c r="AQ30928" s="31"/>
    </row>
    <row r="30929" spans="43:43" x14ac:dyDescent="0.2">
      <c r="AQ30929" s="31"/>
    </row>
    <row r="30930" spans="43:43" x14ac:dyDescent="0.2">
      <c r="AQ30930" s="31"/>
    </row>
    <row r="30931" spans="43:43" x14ac:dyDescent="0.2">
      <c r="AQ30931" s="31"/>
    </row>
    <row r="30932" spans="43:43" x14ac:dyDescent="0.2">
      <c r="AQ30932" s="31"/>
    </row>
    <row r="30933" spans="43:43" x14ac:dyDescent="0.2">
      <c r="AQ30933" s="31"/>
    </row>
    <row r="30934" spans="43:43" x14ac:dyDescent="0.2">
      <c r="AQ30934" s="31"/>
    </row>
    <row r="30935" spans="43:43" x14ac:dyDescent="0.2">
      <c r="AQ30935" s="31"/>
    </row>
    <row r="30936" spans="43:43" x14ac:dyDescent="0.2">
      <c r="AQ30936" s="31"/>
    </row>
    <row r="30937" spans="43:43" x14ac:dyDescent="0.2">
      <c r="AQ30937" s="31"/>
    </row>
    <row r="30938" spans="43:43" x14ac:dyDescent="0.2">
      <c r="AQ30938" s="31"/>
    </row>
    <row r="30939" spans="43:43" x14ac:dyDescent="0.2">
      <c r="AQ30939" s="31"/>
    </row>
    <row r="30940" spans="43:43" x14ac:dyDescent="0.2">
      <c r="AQ30940" s="31"/>
    </row>
    <row r="30941" spans="43:43" x14ac:dyDescent="0.2">
      <c r="AQ30941" s="31"/>
    </row>
    <row r="30942" spans="43:43" x14ac:dyDescent="0.2">
      <c r="AQ30942" s="31"/>
    </row>
    <row r="30943" spans="43:43" x14ac:dyDescent="0.2">
      <c r="AQ30943" s="31"/>
    </row>
    <row r="30944" spans="43:43" x14ac:dyDescent="0.2">
      <c r="AQ30944" s="31"/>
    </row>
    <row r="30945" spans="43:43" x14ac:dyDescent="0.2">
      <c r="AQ30945" s="31"/>
    </row>
    <row r="30946" spans="43:43" x14ac:dyDescent="0.2">
      <c r="AQ30946" s="31"/>
    </row>
    <row r="30947" spans="43:43" x14ac:dyDescent="0.2">
      <c r="AQ30947" s="31"/>
    </row>
    <row r="30948" spans="43:43" x14ac:dyDescent="0.2">
      <c r="AQ30948" s="31"/>
    </row>
    <row r="30949" spans="43:43" x14ac:dyDescent="0.2">
      <c r="AQ30949" s="31"/>
    </row>
    <row r="30950" spans="43:43" x14ac:dyDescent="0.2">
      <c r="AQ30950" s="31"/>
    </row>
    <row r="30951" spans="43:43" x14ac:dyDescent="0.2">
      <c r="AQ30951" s="31"/>
    </row>
    <row r="30952" spans="43:43" x14ac:dyDescent="0.2">
      <c r="AQ30952" s="31"/>
    </row>
    <row r="30953" spans="43:43" x14ac:dyDescent="0.2">
      <c r="AQ30953" s="31"/>
    </row>
    <row r="30954" spans="43:43" x14ac:dyDescent="0.2">
      <c r="AQ30954" s="31"/>
    </row>
    <row r="30955" spans="43:43" x14ac:dyDescent="0.2">
      <c r="AQ30955" s="31"/>
    </row>
    <row r="30956" spans="43:43" x14ac:dyDescent="0.2">
      <c r="AQ30956" s="31"/>
    </row>
    <row r="30957" spans="43:43" x14ac:dyDescent="0.2">
      <c r="AQ30957" s="31"/>
    </row>
    <row r="30958" spans="43:43" x14ac:dyDescent="0.2">
      <c r="AQ30958" s="31"/>
    </row>
    <row r="30959" spans="43:43" x14ac:dyDescent="0.2">
      <c r="AQ30959" s="31"/>
    </row>
    <row r="30960" spans="43:43" x14ac:dyDescent="0.2">
      <c r="AQ30960" s="31"/>
    </row>
    <row r="30961" spans="43:43" x14ac:dyDescent="0.2">
      <c r="AQ30961" s="31"/>
    </row>
    <row r="30962" spans="43:43" x14ac:dyDescent="0.2">
      <c r="AQ30962" s="31"/>
    </row>
    <row r="30963" spans="43:43" x14ac:dyDescent="0.2">
      <c r="AQ30963" s="31"/>
    </row>
    <row r="30964" spans="43:43" x14ac:dyDescent="0.2">
      <c r="AQ30964" s="31"/>
    </row>
    <row r="30965" spans="43:43" x14ac:dyDescent="0.2">
      <c r="AQ30965" s="31"/>
    </row>
    <row r="30966" spans="43:43" x14ac:dyDescent="0.2">
      <c r="AQ30966" s="31"/>
    </row>
    <row r="30967" spans="43:43" x14ac:dyDescent="0.2">
      <c r="AQ30967" s="31"/>
    </row>
    <row r="30968" spans="43:43" x14ac:dyDescent="0.2">
      <c r="AQ30968" s="31"/>
    </row>
    <row r="30969" spans="43:43" x14ac:dyDescent="0.2">
      <c r="AQ30969" s="31"/>
    </row>
    <row r="30970" spans="43:43" x14ac:dyDescent="0.2">
      <c r="AQ30970" s="31"/>
    </row>
    <row r="30971" spans="43:43" x14ac:dyDescent="0.2">
      <c r="AQ30971" s="31"/>
    </row>
    <row r="30972" spans="43:43" x14ac:dyDescent="0.2">
      <c r="AQ30972" s="31"/>
    </row>
    <row r="30973" spans="43:43" x14ac:dyDescent="0.2">
      <c r="AQ30973" s="31"/>
    </row>
    <row r="30974" spans="43:43" x14ac:dyDescent="0.2">
      <c r="AQ30974" s="31"/>
    </row>
    <row r="30975" spans="43:43" x14ac:dyDescent="0.2">
      <c r="AQ30975" s="31"/>
    </row>
    <row r="30976" spans="43:43" x14ac:dyDescent="0.2">
      <c r="AQ30976" s="31"/>
    </row>
    <row r="30977" spans="43:43" x14ac:dyDescent="0.2">
      <c r="AQ30977" s="31"/>
    </row>
    <row r="30978" spans="43:43" x14ac:dyDescent="0.2">
      <c r="AQ30978" s="31"/>
    </row>
    <row r="30979" spans="43:43" x14ac:dyDescent="0.2">
      <c r="AQ30979" s="31"/>
    </row>
    <row r="30980" spans="43:43" x14ac:dyDescent="0.2">
      <c r="AQ30980" s="31"/>
    </row>
    <row r="30981" spans="43:43" x14ac:dyDescent="0.2">
      <c r="AQ30981" s="31"/>
    </row>
    <row r="30982" spans="43:43" x14ac:dyDescent="0.2">
      <c r="AQ30982" s="31"/>
    </row>
    <row r="30983" spans="43:43" x14ac:dyDescent="0.2">
      <c r="AQ30983" s="31"/>
    </row>
    <row r="30984" spans="43:43" x14ac:dyDescent="0.2">
      <c r="AQ30984" s="31"/>
    </row>
    <row r="30985" spans="43:43" x14ac:dyDescent="0.2">
      <c r="AQ30985" s="31"/>
    </row>
    <row r="30986" spans="43:43" x14ac:dyDescent="0.2">
      <c r="AQ30986" s="31"/>
    </row>
    <row r="30987" spans="43:43" x14ac:dyDescent="0.2">
      <c r="AQ30987" s="31"/>
    </row>
    <row r="30988" spans="43:43" x14ac:dyDescent="0.2">
      <c r="AQ30988" s="31"/>
    </row>
    <row r="30989" spans="43:43" x14ac:dyDescent="0.2">
      <c r="AQ30989" s="31"/>
    </row>
    <row r="30990" spans="43:43" x14ac:dyDescent="0.2">
      <c r="AQ30990" s="31"/>
    </row>
    <row r="30991" spans="43:43" x14ac:dyDescent="0.2">
      <c r="AQ30991" s="31"/>
    </row>
    <row r="30992" spans="43:43" x14ac:dyDescent="0.2">
      <c r="AQ30992" s="31"/>
    </row>
    <row r="30993" spans="43:43" x14ac:dyDescent="0.2">
      <c r="AQ30993" s="31"/>
    </row>
    <row r="30994" spans="43:43" x14ac:dyDescent="0.2">
      <c r="AQ30994" s="31"/>
    </row>
    <row r="30995" spans="43:43" x14ac:dyDescent="0.2">
      <c r="AQ30995" s="31"/>
    </row>
    <row r="30996" spans="43:43" x14ac:dyDescent="0.2">
      <c r="AQ30996" s="31"/>
    </row>
    <row r="30997" spans="43:43" x14ac:dyDescent="0.2">
      <c r="AQ30997" s="31"/>
    </row>
    <row r="30998" spans="43:43" x14ac:dyDescent="0.2">
      <c r="AQ30998" s="31"/>
    </row>
    <row r="30999" spans="43:43" x14ac:dyDescent="0.2">
      <c r="AQ30999" s="31"/>
    </row>
    <row r="31000" spans="43:43" x14ac:dyDescent="0.2">
      <c r="AQ31000" s="31"/>
    </row>
    <row r="31001" spans="43:43" x14ac:dyDescent="0.2">
      <c r="AQ31001" s="31"/>
    </row>
    <row r="31002" spans="43:43" x14ac:dyDescent="0.2">
      <c r="AQ31002" s="31"/>
    </row>
    <row r="31003" spans="43:43" x14ac:dyDescent="0.2">
      <c r="AQ31003" s="31"/>
    </row>
    <row r="31004" spans="43:43" x14ac:dyDescent="0.2">
      <c r="AQ31004" s="31"/>
    </row>
    <row r="31005" spans="43:43" x14ac:dyDescent="0.2">
      <c r="AQ31005" s="31"/>
    </row>
    <row r="31006" spans="43:43" x14ac:dyDescent="0.2">
      <c r="AQ31006" s="31"/>
    </row>
    <row r="31007" spans="43:43" x14ac:dyDescent="0.2">
      <c r="AQ31007" s="31"/>
    </row>
    <row r="31008" spans="43:43" x14ac:dyDescent="0.2">
      <c r="AQ31008" s="31"/>
    </row>
    <row r="31009" spans="43:43" x14ac:dyDescent="0.2">
      <c r="AQ31009" s="31"/>
    </row>
    <row r="31010" spans="43:43" x14ac:dyDescent="0.2">
      <c r="AQ31010" s="31"/>
    </row>
    <row r="31011" spans="43:43" x14ac:dyDescent="0.2">
      <c r="AQ31011" s="31"/>
    </row>
    <row r="31012" spans="43:43" x14ac:dyDescent="0.2">
      <c r="AQ31012" s="31"/>
    </row>
    <row r="31013" spans="43:43" x14ac:dyDescent="0.2">
      <c r="AQ31013" s="31"/>
    </row>
    <row r="31014" spans="43:43" x14ac:dyDescent="0.2">
      <c r="AQ31014" s="31"/>
    </row>
    <row r="31015" spans="43:43" x14ac:dyDescent="0.2">
      <c r="AQ31015" s="31"/>
    </row>
    <row r="31016" spans="43:43" x14ac:dyDescent="0.2">
      <c r="AQ31016" s="31"/>
    </row>
    <row r="31017" spans="43:43" x14ac:dyDescent="0.2">
      <c r="AQ31017" s="31"/>
    </row>
    <row r="31018" spans="43:43" x14ac:dyDescent="0.2">
      <c r="AQ31018" s="31"/>
    </row>
    <row r="31019" spans="43:43" x14ac:dyDescent="0.2">
      <c r="AQ31019" s="31"/>
    </row>
    <row r="31020" spans="43:43" x14ac:dyDescent="0.2">
      <c r="AQ31020" s="31"/>
    </row>
    <row r="31021" spans="43:43" x14ac:dyDescent="0.2">
      <c r="AQ31021" s="31"/>
    </row>
    <row r="31022" spans="43:43" x14ac:dyDescent="0.2">
      <c r="AQ31022" s="31"/>
    </row>
    <row r="31023" spans="43:43" x14ac:dyDescent="0.2">
      <c r="AQ31023" s="31"/>
    </row>
    <row r="31024" spans="43:43" x14ac:dyDescent="0.2">
      <c r="AQ31024" s="31"/>
    </row>
    <row r="31025" spans="43:43" x14ac:dyDescent="0.2">
      <c r="AQ31025" s="31"/>
    </row>
    <row r="31026" spans="43:43" x14ac:dyDescent="0.2">
      <c r="AQ31026" s="31"/>
    </row>
    <row r="31027" spans="43:43" x14ac:dyDescent="0.2">
      <c r="AQ31027" s="31"/>
    </row>
    <row r="31028" spans="43:43" x14ac:dyDescent="0.2">
      <c r="AQ31028" s="31"/>
    </row>
    <row r="31029" spans="43:43" x14ac:dyDescent="0.2">
      <c r="AQ31029" s="31"/>
    </row>
    <row r="31030" spans="43:43" x14ac:dyDescent="0.2">
      <c r="AQ31030" s="31"/>
    </row>
    <row r="31031" spans="43:43" x14ac:dyDescent="0.2">
      <c r="AQ31031" s="31"/>
    </row>
    <row r="31032" spans="43:43" x14ac:dyDescent="0.2">
      <c r="AQ31032" s="31"/>
    </row>
    <row r="31033" spans="43:43" x14ac:dyDescent="0.2">
      <c r="AQ31033" s="31"/>
    </row>
    <row r="31034" spans="43:43" x14ac:dyDescent="0.2">
      <c r="AQ31034" s="31"/>
    </row>
    <row r="31035" spans="43:43" x14ac:dyDescent="0.2">
      <c r="AQ31035" s="31"/>
    </row>
    <row r="31036" spans="43:43" x14ac:dyDescent="0.2">
      <c r="AQ31036" s="31"/>
    </row>
    <row r="31037" spans="43:43" x14ac:dyDescent="0.2">
      <c r="AQ31037" s="31"/>
    </row>
    <row r="31038" spans="43:43" x14ac:dyDescent="0.2">
      <c r="AQ31038" s="31"/>
    </row>
    <row r="31039" spans="43:43" x14ac:dyDescent="0.2">
      <c r="AQ31039" s="31"/>
    </row>
    <row r="31040" spans="43:43" x14ac:dyDescent="0.2">
      <c r="AQ31040" s="31"/>
    </row>
    <row r="31041" spans="43:43" x14ac:dyDescent="0.2">
      <c r="AQ31041" s="31"/>
    </row>
    <row r="31042" spans="43:43" x14ac:dyDescent="0.2">
      <c r="AQ31042" s="31"/>
    </row>
    <row r="31043" spans="43:43" x14ac:dyDescent="0.2">
      <c r="AQ31043" s="31"/>
    </row>
    <row r="31044" spans="43:43" x14ac:dyDescent="0.2">
      <c r="AQ31044" s="31"/>
    </row>
    <row r="31045" spans="43:43" x14ac:dyDescent="0.2">
      <c r="AQ31045" s="31"/>
    </row>
    <row r="31046" spans="43:43" x14ac:dyDescent="0.2">
      <c r="AQ31046" s="31"/>
    </row>
    <row r="31047" spans="43:43" x14ac:dyDescent="0.2">
      <c r="AQ31047" s="31"/>
    </row>
    <row r="31048" spans="43:43" x14ac:dyDescent="0.2">
      <c r="AQ31048" s="31"/>
    </row>
    <row r="31049" spans="43:43" x14ac:dyDescent="0.2">
      <c r="AQ31049" s="31"/>
    </row>
    <row r="31050" spans="43:43" x14ac:dyDescent="0.2">
      <c r="AQ31050" s="31"/>
    </row>
    <row r="31051" spans="43:43" x14ac:dyDescent="0.2">
      <c r="AQ31051" s="31"/>
    </row>
    <row r="31052" spans="43:43" x14ac:dyDescent="0.2">
      <c r="AQ31052" s="31"/>
    </row>
    <row r="31053" spans="43:43" x14ac:dyDescent="0.2">
      <c r="AQ31053" s="31"/>
    </row>
    <row r="31054" spans="43:43" x14ac:dyDescent="0.2">
      <c r="AQ31054" s="31"/>
    </row>
    <row r="31055" spans="43:43" x14ac:dyDescent="0.2">
      <c r="AQ31055" s="31"/>
    </row>
    <row r="31056" spans="43:43" x14ac:dyDescent="0.2">
      <c r="AQ31056" s="31"/>
    </row>
    <row r="31057" spans="43:43" x14ac:dyDescent="0.2">
      <c r="AQ31057" s="31"/>
    </row>
    <row r="31058" spans="43:43" x14ac:dyDescent="0.2">
      <c r="AQ31058" s="31"/>
    </row>
    <row r="31059" spans="43:43" x14ac:dyDescent="0.2">
      <c r="AQ31059" s="31"/>
    </row>
    <row r="31060" spans="43:43" x14ac:dyDescent="0.2">
      <c r="AQ31060" s="31"/>
    </row>
    <row r="31061" spans="43:43" x14ac:dyDescent="0.2">
      <c r="AQ31061" s="31"/>
    </row>
    <row r="31062" spans="43:43" x14ac:dyDescent="0.2">
      <c r="AQ31062" s="31"/>
    </row>
    <row r="31063" spans="43:43" x14ac:dyDescent="0.2">
      <c r="AQ31063" s="31"/>
    </row>
    <row r="31064" spans="43:43" x14ac:dyDescent="0.2">
      <c r="AQ31064" s="31"/>
    </row>
    <row r="31065" spans="43:43" x14ac:dyDescent="0.2">
      <c r="AQ31065" s="31"/>
    </row>
    <row r="31066" spans="43:43" x14ac:dyDescent="0.2">
      <c r="AQ31066" s="31"/>
    </row>
    <row r="31067" spans="43:43" x14ac:dyDescent="0.2">
      <c r="AQ31067" s="31"/>
    </row>
    <row r="31068" spans="43:43" x14ac:dyDescent="0.2">
      <c r="AQ31068" s="31"/>
    </row>
    <row r="31069" spans="43:43" x14ac:dyDescent="0.2">
      <c r="AQ31069" s="31"/>
    </row>
    <row r="31070" spans="43:43" x14ac:dyDescent="0.2">
      <c r="AQ31070" s="31"/>
    </row>
    <row r="31071" spans="43:43" x14ac:dyDescent="0.2">
      <c r="AQ31071" s="31"/>
    </row>
    <row r="31072" spans="43:43" x14ac:dyDescent="0.2">
      <c r="AQ31072" s="31"/>
    </row>
    <row r="31073" spans="43:43" x14ac:dyDescent="0.2">
      <c r="AQ31073" s="31"/>
    </row>
    <row r="31074" spans="43:43" x14ac:dyDescent="0.2">
      <c r="AQ31074" s="31"/>
    </row>
    <row r="31075" spans="43:43" x14ac:dyDescent="0.2">
      <c r="AQ31075" s="31"/>
    </row>
    <row r="31076" spans="43:43" x14ac:dyDescent="0.2">
      <c r="AQ31076" s="31"/>
    </row>
    <row r="31077" spans="43:43" x14ac:dyDescent="0.2">
      <c r="AQ31077" s="31"/>
    </row>
    <row r="31078" spans="43:43" x14ac:dyDescent="0.2">
      <c r="AQ31078" s="31"/>
    </row>
    <row r="31079" spans="43:43" x14ac:dyDescent="0.2">
      <c r="AQ31079" s="31"/>
    </row>
    <row r="31080" spans="43:43" x14ac:dyDescent="0.2">
      <c r="AQ31080" s="31"/>
    </row>
    <row r="31081" spans="43:43" x14ac:dyDescent="0.2">
      <c r="AQ31081" s="31"/>
    </row>
    <row r="31082" spans="43:43" x14ac:dyDescent="0.2">
      <c r="AQ31082" s="31"/>
    </row>
    <row r="31083" spans="43:43" x14ac:dyDescent="0.2">
      <c r="AQ31083" s="31"/>
    </row>
    <row r="31084" spans="43:43" x14ac:dyDescent="0.2">
      <c r="AQ31084" s="31"/>
    </row>
    <row r="31085" spans="43:43" x14ac:dyDescent="0.2">
      <c r="AQ31085" s="31"/>
    </row>
    <row r="31086" spans="43:43" x14ac:dyDescent="0.2">
      <c r="AQ31086" s="31"/>
    </row>
    <row r="31087" spans="43:43" x14ac:dyDescent="0.2">
      <c r="AQ31087" s="31"/>
    </row>
    <row r="31088" spans="43:43" x14ac:dyDescent="0.2">
      <c r="AQ31088" s="31"/>
    </row>
    <row r="31089" spans="43:43" x14ac:dyDescent="0.2">
      <c r="AQ31089" s="31"/>
    </row>
    <row r="31090" spans="43:43" x14ac:dyDescent="0.2">
      <c r="AQ31090" s="31"/>
    </row>
    <row r="31091" spans="43:43" x14ac:dyDescent="0.2">
      <c r="AQ31091" s="31"/>
    </row>
    <row r="31092" spans="43:43" x14ac:dyDescent="0.2">
      <c r="AQ31092" s="31"/>
    </row>
    <row r="31093" spans="43:43" x14ac:dyDescent="0.2">
      <c r="AQ31093" s="31"/>
    </row>
    <row r="31094" spans="43:43" x14ac:dyDescent="0.2">
      <c r="AQ31094" s="31"/>
    </row>
    <row r="31095" spans="43:43" x14ac:dyDescent="0.2">
      <c r="AQ31095" s="31"/>
    </row>
    <row r="31096" spans="43:43" x14ac:dyDescent="0.2">
      <c r="AQ31096" s="31"/>
    </row>
    <row r="31097" spans="43:43" x14ac:dyDescent="0.2">
      <c r="AQ31097" s="31"/>
    </row>
    <row r="31098" spans="43:43" x14ac:dyDescent="0.2">
      <c r="AQ31098" s="31"/>
    </row>
    <row r="31099" spans="43:43" x14ac:dyDescent="0.2">
      <c r="AQ31099" s="31"/>
    </row>
    <row r="31100" spans="43:43" x14ac:dyDescent="0.2">
      <c r="AQ31100" s="31"/>
    </row>
    <row r="31101" spans="43:43" x14ac:dyDescent="0.2">
      <c r="AQ31101" s="31"/>
    </row>
    <row r="31102" spans="43:43" x14ac:dyDescent="0.2">
      <c r="AQ31102" s="31"/>
    </row>
    <row r="31103" spans="43:43" x14ac:dyDescent="0.2">
      <c r="AQ31103" s="31"/>
    </row>
    <row r="31104" spans="43:43" x14ac:dyDescent="0.2">
      <c r="AQ31104" s="31"/>
    </row>
    <row r="31105" spans="43:43" x14ac:dyDescent="0.2">
      <c r="AQ31105" s="31"/>
    </row>
    <row r="31106" spans="43:43" x14ac:dyDescent="0.2">
      <c r="AQ31106" s="31"/>
    </row>
    <row r="31107" spans="43:43" x14ac:dyDescent="0.2">
      <c r="AQ31107" s="31"/>
    </row>
    <row r="31108" spans="43:43" x14ac:dyDescent="0.2">
      <c r="AQ31108" s="31"/>
    </row>
    <row r="31109" spans="43:43" x14ac:dyDescent="0.2">
      <c r="AQ31109" s="31"/>
    </row>
    <row r="31110" spans="43:43" x14ac:dyDescent="0.2">
      <c r="AQ31110" s="31"/>
    </row>
    <row r="31111" spans="43:43" x14ac:dyDescent="0.2">
      <c r="AQ31111" s="31"/>
    </row>
    <row r="31112" spans="43:43" x14ac:dyDescent="0.2">
      <c r="AQ31112" s="31"/>
    </row>
    <row r="31113" spans="43:43" x14ac:dyDescent="0.2">
      <c r="AQ31113" s="31"/>
    </row>
    <row r="31114" spans="43:43" x14ac:dyDescent="0.2">
      <c r="AQ31114" s="31"/>
    </row>
    <row r="31115" spans="43:43" x14ac:dyDescent="0.2">
      <c r="AQ31115" s="31"/>
    </row>
    <row r="31116" spans="43:43" x14ac:dyDescent="0.2">
      <c r="AQ31116" s="31"/>
    </row>
    <row r="31117" spans="43:43" x14ac:dyDescent="0.2">
      <c r="AQ31117" s="31"/>
    </row>
    <row r="31118" spans="43:43" x14ac:dyDescent="0.2">
      <c r="AQ31118" s="31"/>
    </row>
    <row r="31119" spans="43:43" x14ac:dyDescent="0.2">
      <c r="AQ31119" s="31"/>
    </row>
    <row r="31120" spans="43:43" x14ac:dyDescent="0.2">
      <c r="AQ31120" s="31"/>
    </row>
    <row r="31121" spans="43:43" x14ac:dyDescent="0.2">
      <c r="AQ31121" s="31"/>
    </row>
    <row r="31122" spans="43:43" x14ac:dyDescent="0.2">
      <c r="AQ31122" s="31"/>
    </row>
    <row r="31123" spans="43:43" x14ac:dyDescent="0.2">
      <c r="AQ31123" s="31"/>
    </row>
    <row r="31124" spans="43:43" x14ac:dyDescent="0.2">
      <c r="AQ31124" s="31"/>
    </row>
    <row r="31125" spans="43:43" x14ac:dyDescent="0.2">
      <c r="AQ31125" s="31"/>
    </row>
    <row r="31126" spans="43:43" x14ac:dyDescent="0.2">
      <c r="AQ31126" s="31"/>
    </row>
    <row r="31127" spans="43:43" x14ac:dyDescent="0.2">
      <c r="AQ31127" s="31"/>
    </row>
    <row r="31128" spans="43:43" x14ac:dyDescent="0.2">
      <c r="AQ31128" s="31"/>
    </row>
    <row r="31129" spans="43:43" x14ac:dyDescent="0.2">
      <c r="AQ31129" s="31"/>
    </row>
    <row r="31130" spans="43:43" x14ac:dyDescent="0.2">
      <c r="AQ31130" s="31"/>
    </row>
    <row r="31131" spans="43:43" x14ac:dyDescent="0.2">
      <c r="AQ31131" s="31"/>
    </row>
    <row r="31132" spans="43:43" x14ac:dyDescent="0.2">
      <c r="AQ31132" s="31"/>
    </row>
    <row r="31133" spans="43:43" x14ac:dyDescent="0.2">
      <c r="AQ31133" s="31"/>
    </row>
    <row r="31134" spans="43:43" x14ac:dyDescent="0.2">
      <c r="AQ31134" s="31"/>
    </row>
    <row r="31135" spans="43:43" x14ac:dyDescent="0.2">
      <c r="AQ31135" s="31"/>
    </row>
    <row r="31136" spans="43:43" x14ac:dyDescent="0.2">
      <c r="AQ31136" s="31"/>
    </row>
    <row r="31137" spans="43:43" x14ac:dyDescent="0.2">
      <c r="AQ31137" s="31"/>
    </row>
    <row r="31138" spans="43:43" x14ac:dyDescent="0.2">
      <c r="AQ31138" s="31"/>
    </row>
    <row r="31139" spans="43:43" x14ac:dyDescent="0.2">
      <c r="AQ31139" s="31"/>
    </row>
    <row r="31140" spans="43:43" x14ac:dyDescent="0.2">
      <c r="AQ31140" s="31"/>
    </row>
    <row r="31141" spans="43:43" x14ac:dyDescent="0.2">
      <c r="AQ31141" s="31"/>
    </row>
    <row r="31142" spans="43:43" x14ac:dyDescent="0.2">
      <c r="AQ31142" s="31"/>
    </row>
    <row r="31143" spans="43:43" x14ac:dyDescent="0.2">
      <c r="AQ31143" s="31"/>
    </row>
    <row r="31144" spans="43:43" x14ac:dyDescent="0.2">
      <c r="AQ31144" s="31"/>
    </row>
    <row r="31145" spans="43:43" x14ac:dyDescent="0.2">
      <c r="AQ31145" s="31"/>
    </row>
    <row r="31146" spans="43:43" x14ac:dyDescent="0.2">
      <c r="AQ31146" s="31"/>
    </row>
    <row r="31147" spans="43:43" x14ac:dyDescent="0.2">
      <c r="AQ31147" s="31"/>
    </row>
    <row r="31148" spans="43:43" x14ac:dyDescent="0.2">
      <c r="AQ31148" s="31"/>
    </row>
    <row r="31149" spans="43:43" x14ac:dyDescent="0.2">
      <c r="AQ31149" s="31"/>
    </row>
    <row r="31150" spans="43:43" x14ac:dyDescent="0.2">
      <c r="AQ31150" s="31"/>
    </row>
    <row r="31151" spans="43:43" x14ac:dyDescent="0.2">
      <c r="AQ31151" s="31"/>
    </row>
    <row r="31152" spans="43:43" x14ac:dyDescent="0.2">
      <c r="AQ31152" s="31"/>
    </row>
    <row r="31153" spans="43:43" x14ac:dyDescent="0.2">
      <c r="AQ31153" s="31"/>
    </row>
    <row r="31154" spans="43:43" x14ac:dyDescent="0.2">
      <c r="AQ31154" s="31"/>
    </row>
    <row r="31155" spans="43:43" x14ac:dyDescent="0.2">
      <c r="AQ31155" s="31"/>
    </row>
    <row r="31156" spans="43:43" x14ac:dyDescent="0.2">
      <c r="AQ31156" s="31"/>
    </row>
    <row r="31157" spans="43:43" x14ac:dyDescent="0.2">
      <c r="AQ31157" s="31"/>
    </row>
    <row r="31158" spans="43:43" x14ac:dyDescent="0.2">
      <c r="AQ31158" s="31"/>
    </row>
    <row r="31159" spans="43:43" x14ac:dyDescent="0.2">
      <c r="AQ31159" s="31"/>
    </row>
    <row r="31160" spans="43:43" x14ac:dyDescent="0.2">
      <c r="AQ31160" s="31"/>
    </row>
    <row r="31161" spans="43:43" x14ac:dyDescent="0.2">
      <c r="AQ31161" s="31"/>
    </row>
    <row r="31162" spans="43:43" x14ac:dyDescent="0.2">
      <c r="AQ31162" s="31"/>
    </row>
    <row r="31163" spans="43:43" x14ac:dyDescent="0.2">
      <c r="AQ31163" s="31"/>
    </row>
    <row r="31164" spans="43:43" x14ac:dyDescent="0.2">
      <c r="AQ31164" s="31"/>
    </row>
    <row r="31165" spans="43:43" x14ac:dyDescent="0.2">
      <c r="AQ31165" s="31"/>
    </row>
    <row r="31166" spans="43:43" x14ac:dyDescent="0.2">
      <c r="AQ31166" s="31"/>
    </row>
    <row r="31167" spans="43:43" x14ac:dyDescent="0.2">
      <c r="AQ31167" s="31"/>
    </row>
    <row r="31168" spans="43:43" x14ac:dyDescent="0.2">
      <c r="AQ31168" s="31"/>
    </row>
    <row r="31169" spans="43:43" x14ac:dyDescent="0.2">
      <c r="AQ31169" s="31"/>
    </row>
    <row r="31170" spans="43:43" x14ac:dyDescent="0.2">
      <c r="AQ31170" s="31"/>
    </row>
    <row r="31171" spans="43:43" x14ac:dyDescent="0.2">
      <c r="AQ31171" s="31"/>
    </row>
    <row r="31172" spans="43:43" x14ac:dyDescent="0.2">
      <c r="AQ31172" s="31"/>
    </row>
    <row r="31173" spans="43:43" x14ac:dyDescent="0.2">
      <c r="AQ31173" s="31"/>
    </row>
    <row r="31174" spans="43:43" x14ac:dyDescent="0.2">
      <c r="AQ31174" s="31"/>
    </row>
    <row r="31175" spans="43:43" x14ac:dyDescent="0.2">
      <c r="AQ31175" s="31"/>
    </row>
    <row r="31176" spans="43:43" x14ac:dyDescent="0.2">
      <c r="AQ31176" s="31"/>
    </row>
    <row r="31177" spans="43:43" x14ac:dyDescent="0.2">
      <c r="AQ31177" s="31"/>
    </row>
    <row r="31178" spans="43:43" x14ac:dyDescent="0.2">
      <c r="AQ31178" s="31"/>
    </row>
    <row r="31179" spans="43:43" x14ac:dyDescent="0.2">
      <c r="AQ31179" s="31"/>
    </row>
    <row r="31180" spans="43:43" x14ac:dyDescent="0.2">
      <c r="AQ31180" s="31"/>
    </row>
    <row r="31181" spans="43:43" x14ac:dyDescent="0.2">
      <c r="AQ31181" s="31"/>
    </row>
    <row r="31182" spans="43:43" x14ac:dyDescent="0.2">
      <c r="AQ31182" s="31"/>
    </row>
    <row r="31183" spans="43:43" x14ac:dyDescent="0.2">
      <c r="AQ31183" s="31"/>
    </row>
    <row r="31184" spans="43:43" x14ac:dyDescent="0.2">
      <c r="AQ31184" s="31"/>
    </row>
    <row r="31185" spans="43:43" x14ac:dyDescent="0.2">
      <c r="AQ31185" s="31"/>
    </row>
    <row r="31186" spans="43:43" x14ac:dyDescent="0.2">
      <c r="AQ31186" s="31"/>
    </row>
    <row r="31187" spans="43:43" x14ac:dyDescent="0.2">
      <c r="AQ31187" s="31"/>
    </row>
    <row r="31188" spans="43:43" x14ac:dyDescent="0.2">
      <c r="AQ31188" s="31"/>
    </row>
    <row r="31189" spans="43:43" x14ac:dyDescent="0.2">
      <c r="AQ31189" s="31"/>
    </row>
    <row r="31190" spans="43:43" x14ac:dyDescent="0.2">
      <c r="AQ31190" s="31"/>
    </row>
    <row r="31191" spans="43:43" x14ac:dyDescent="0.2">
      <c r="AQ31191" s="31"/>
    </row>
    <row r="31192" spans="43:43" x14ac:dyDescent="0.2">
      <c r="AQ31192" s="31"/>
    </row>
    <row r="31193" spans="43:43" x14ac:dyDescent="0.2">
      <c r="AQ31193" s="31"/>
    </row>
    <row r="31194" spans="43:43" x14ac:dyDescent="0.2">
      <c r="AQ31194" s="31"/>
    </row>
    <row r="31195" spans="43:43" x14ac:dyDescent="0.2">
      <c r="AQ31195" s="31"/>
    </row>
    <row r="31196" spans="43:43" x14ac:dyDescent="0.2">
      <c r="AQ31196" s="31"/>
    </row>
    <row r="31197" spans="43:43" x14ac:dyDescent="0.2">
      <c r="AQ31197" s="31"/>
    </row>
    <row r="31198" spans="43:43" x14ac:dyDescent="0.2">
      <c r="AQ31198" s="31"/>
    </row>
    <row r="31199" spans="43:43" x14ac:dyDescent="0.2">
      <c r="AQ31199" s="31"/>
    </row>
    <row r="31200" spans="43:43" x14ac:dyDescent="0.2">
      <c r="AQ31200" s="31"/>
    </row>
    <row r="31201" spans="43:43" x14ac:dyDescent="0.2">
      <c r="AQ31201" s="31"/>
    </row>
    <row r="31202" spans="43:43" x14ac:dyDescent="0.2">
      <c r="AQ31202" s="31"/>
    </row>
    <row r="31203" spans="43:43" x14ac:dyDescent="0.2">
      <c r="AQ31203" s="31"/>
    </row>
    <row r="31204" spans="43:43" x14ac:dyDescent="0.2">
      <c r="AQ31204" s="31"/>
    </row>
    <row r="31205" spans="43:43" x14ac:dyDescent="0.2">
      <c r="AQ31205" s="31"/>
    </row>
    <row r="31206" spans="43:43" x14ac:dyDescent="0.2">
      <c r="AQ31206" s="31"/>
    </row>
    <row r="31207" spans="43:43" x14ac:dyDescent="0.2">
      <c r="AQ31207" s="31"/>
    </row>
    <row r="31208" spans="43:43" x14ac:dyDescent="0.2">
      <c r="AQ31208" s="31"/>
    </row>
    <row r="31209" spans="43:43" x14ac:dyDescent="0.2">
      <c r="AQ31209" s="31"/>
    </row>
    <row r="31210" spans="43:43" x14ac:dyDescent="0.2">
      <c r="AQ31210" s="31"/>
    </row>
    <row r="31211" spans="43:43" x14ac:dyDescent="0.2">
      <c r="AQ31211" s="31"/>
    </row>
    <row r="31212" spans="43:43" x14ac:dyDescent="0.2">
      <c r="AQ31212" s="31"/>
    </row>
    <row r="31213" spans="43:43" x14ac:dyDescent="0.2">
      <c r="AQ31213" s="31"/>
    </row>
    <row r="31214" spans="43:43" x14ac:dyDescent="0.2">
      <c r="AQ31214" s="31"/>
    </row>
    <row r="31215" spans="43:43" x14ac:dyDescent="0.2">
      <c r="AQ31215" s="31"/>
    </row>
    <row r="31216" spans="43:43" x14ac:dyDescent="0.2">
      <c r="AQ31216" s="31"/>
    </row>
    <row r="31217" spans="43:43" x14ac:dyDescent="0.2">
      <c r="AQ31217" s="31"/>
    </row>
    <row r="31218" spans="43:43" x14ac:dyDescent="0.2">
      <c r="AQ31218" s="31"/>
    </row>
    <row r="31219" spans="43:43" x14ac:dyDescent="0.2">
      <c r="AQ31219" s="31"/>
    </row>
    <row r="31220" spans="43:43" x14ac:dyDescent="0.2">
      <c r="AQ31220" s="31"/>
    </row>
    <row r="31221" spans="43:43" x14ac:dyDescent="0.2">
      <c r="AQ31221" s="31"/>
    </row>
    <row r="31222" spans="43:43" x14ac:dyDescent="0.2">
      <c r="AQ31222" s="31"/>
    </row>
    <row r="31223" spans="43:43" x14ac:dyDescent="0.2">
      <c r="AQ31223" s="31"/>
    </row>
    <row r="31224" spans="43:43" x14ac:dyDescent="0.2">
      <c r="AQ31224" s="31"/>
    </row>
    <row r="31225" spans="43:43" x14ac:dyDescent="0.2">
      <c r="AQ31225" s="31"/>
    </row>
    <row r="31226" spans="43:43" x14ac:dyDescent="0.2">
      <c r="AQ31226" s="31"/>
    </row>
    <row r="31227" spans="43:43" x14ac:dyDescent="0.2">
      <c r="AQ31227" s="31"/>
    </row>
    <row r="31228" spans="43:43" x14ac:dyDescent="0.2">
      <c r="AQ31228" s="31"/>
    </row>
    <row r="31229" spans="43:43" x14ac:dyDescent="0.2">
      <c r="AQ31229" s="31"/>
    </row>
    <row r="31230" spans="43:43" x14ac:dyDescent="0.2">
      <c r="AQ31230" s="31"/>
    </row>
    <row r="31231" spans="43:43" x14ac:dyDescent="0.2">
      <c r="AQ31231" s="31"/>
    </row>
    <row r="31232" spans="43:43" x14ac:dyDescent="0.2">
      <c r="AQ31232" s="31"/>
    </row>
    <row r="31233" spans="43:43" x14ac:dyDescent="0.2">
      <c r="AQ31233" s="31"/>
    </row>
    <row r="31234" spans="43:43" x14ac:dyDescent="0.2">
      <c r="AQ31234" s="31"/>
    </row>
    <row r="31235" spans="43:43" x14ac:dyDescent="0.2">
      <c r="AQ31235" s="31"/>
    </row>
    <row r="31236" spans="43:43" x14ac:dyDescent="0.2">
      <c r="AQ31236" s="31"/>
    </row>
    <row r="31237" spans="43:43" x14ac:dyDescent="0.2">
      <c r="AQ31237" s="31"/>
    </row>
    <row r="31238" spans="43:43" x14ac:dyDescent="0.2">
      <c r="AQ31238" s="31"/>
    </row>
    <row r="31239" spans="43:43" x14ac:dyDescent="0.2">
      <c r="AQ31239" s="31"/>
    </row>
    <row r="31240" spans="43:43" x14ac:dyDescent="0.2">
      <c r="AQ31240" s="31"/>
    </row>
    <row r="31241" spans="43:43" x14ac:dyDescent="0.2">
      <c r="AQ31241" s="31"/>
    </row>
    <row r="31242" spans="43:43" x14ac:dyDescent="0.2">
      <c r="AQ31242" s="31"/>
    </row>
    <row r="31243" spans="43:43" x14ac:dyDescent="0.2">
      <c r="AQ31243" s="31"/>
    </row>
    <row r="31244" spans="43:43" x14ac:dyDescent="0.2">
      <c r="AQ31244" s="31"/>
    </row>
    <row r="31245" spans="43:43" x14ac:dyDescent="0.2">
      <c r="AQ31245" s="31"/>
    </row>
    <row r="31246" spans="43:43" x14ac:dyDescent="0.2">
      <c r="AQ31246" s="31"/>
    </row>
    <row r="31247" spans="43:43" x14ac:dyDescent="0.2">
      <c r="AQ31247" s="31"/>
    </row>
    <row r="31248" spans="43:43" x14ac:dyDescent="0.2">
      <c r="AQ31248" s="31"/>
    </row>
    <row r="31249" spans="43:43" x14ac:dyDescent="0.2">
      <c r="AQ31249" s="31"/>
    </row>
    <row r="31250" spans="43:43" x14ac:dyDescent="0.2">
      <c r="AQ31250" s="31"/>
    </row>
    <row r="31251" spans="43:43" x14ac:dyDescent="0.2">
      <c r="AQ31251" s="31"/>
    </row>
    <row r="31252" spans="43:43" x14ac:dyDescent="0.2">
      <c r="AQ31252" s="31"/>
    </row>
    <row r="31253" spans="43:43" x14ac:dyDescent="0.2">
      <c r="AQ31253" s="31"/>
    </row>
    <row r="31254" spans="43:43" x14ac:dyDescent="0.2">
      <c r="AQ31254" s="31"/>
    </row>
    <row r="31255" spans="43:43" x14ac:dyDescent="0.2">
      <c r="AQ31255" s="31"/>
    </row>
    <row r="31256" spans="43:43" x14ac:dyDescent="0.2">
      <c r="AQ31256" s="31"/>
    </row>
    <row r="31257" spans="43:43" x14ac:dyDescent="0.2">
      <c r="AQ31257" s="31"/>
    </row>
    <row r="31258" spans="43:43" x14ac:dyDescent="0.2">
      <c r="AQ31258" s="31"/>
    </row>
    <row r="31259" spans="43:43" x14ac:dyDescent="0.2">
      <c r="AQ31259" s="31"/>
    </row>
    <row r="31260" spans="43:43" x14ac:dyDescent="0.2">
      <c r="AQ31260" s="31"/>
    </row>
    <row r="31261" spans="43:43" x14ac:dyDescent="0.2">
      <c r="AQ31261" s="31"/>
    </row>
    <row r="31262" spans="43:43" x14ac:dyDescent="0.2">
      <c r="AQ31262" s="31"/>
    </row>
    <row r="31263" spans="43:43" x14ac:dyDescent="0.2">
      <c r="AQ31263" s="31"/>
    </row>
    <row r="31264" spans="43:43" x14ac:dyDescent="0.2">
      <c r="AQ31264" s="31"/>
    </row>
    <row r="31265" spans="43:43" x14ac:dyDescent="0.2">
      <c r="AQ31265" s="31"/>
    </row>
    <row r="31266" spans="43:43" x14ac:dyDescent="0.2">
      <c r="AQ31266" s="31"/>
    </row>
    <row r="31267" spans="43:43" x14ac:dyDescent="0.2">
      <c r="AQ31267" s="31"/>
    </row>
    <row r="31268" spans="43:43" x14ac:dyDescent="0.2">
      <c r="AQ31268" s="31"/>
    </row>
    <row r="31269" spans="43:43" x14ac:dyDescent="0.2">
      <c r="AQ31269" s="31"/>
    </row>
    <row r="31270" spans="43:43" x14ac:dyDescent="0.2">
      <c r="AQ31270" s="31"/>
    </row>
    <row r="31271" spans="43:43" x14ac:dyDescent="0.2">
      <c r="AQ31271" s="31"/>
    </row>
    <row r="31272" spans="43:43" x14ac:dyDescent="0.2">
      <c r="AQ31272" s="31"/>
    </row>
    <row r="31273" spans="43:43" x14ac:dyDescent="0.2">
      <c r="AQ31273" s="31"/>
    </row>
    <row r="31274" spans="43:43" x14ac:dyDescent="0.2">
      <c r="AQ31274" s="31"/>
    </row>
    <row r="31275" spans="43:43" x14ac:dyDescent="0.2">
      <c r="AQ31275" s="31"/>
    </row>
    <row r="31276" spans="43:43" x14ac:dyDescent="0.2">
      <c r="AQ31276" s="31"/>
    </row>
    <row r="31277" spans="43:43" x14ac:dyDescent="0.2">
      <c r="AQ31277" s="31"/>
    </row>
    <row r="31278" spans="43:43" x14ac:dyDescent="0.2">
      <c r="AQ31278" s="31"/>
    </row>
    <row r="31279" spans="43:43" x14ac:dyDescent="0.2">
      <c r="AQ31279" s="31"/>
    </row>
    <row r="31280" spans="43:43" x14ac:dyDescent="0.2">
      <c r="AQ31280" s="31"/>
    </row>
    <row r="31281" spans="43:43" x14ac:dyDescent="0.2">
      <c r="AQ31281" s="31"/>
    </row>
    <row r="31282" spans="43:43" x14ac:dyDescent="0.2">
      <c r="AQ31282" s="31"/>
    </row>
    <row r="31283" spans="43:43" x14ac:dyDescent="0.2">
      <c r="AQ31283" s="31"/>
    </row>
    <row r="31284" spans="43:43" x14ac:dyDescent="0.2">
      <c r="AQ31284" s="31"/>
    </row>
    <row r="31285" spans="43:43" x14ac:dyDescent="0.2">
      <c r="AQ31285" s="31"/>
    </row>
    <row r="31286" spans="43:43" x14ac:dyDescent="0.2">
      <c r="AQ31286" s="31"/>
    </row>
    <row r="31287" spans="43:43" x14ac:dyDescent="0.2">
      <c r="AQ31287" s="31"/>
    </row>
    <row r="31288" spans="43:43" x14ac:dyDescent="0.2">
      <c r="AQ31288" s="31"/>
    </row>
    <row r="31289" spans="43:43" x14ac:dyDescent="0.2">
      <c r="AQ31289" s="31"/>
    </row>
    <row r="31290" spans="43:43" x14ac:dyDescent="0.2">
      <c r="AQ31290" s="31"/>
    </row>
    <row r="31291" spans="43:43" x14ac:dyDescent="0.2">
      <c r="AQ31291" s="31"/>
    </row>
    <row r="31292" spans="43:43" x14ac:dyDescent="0.2">
      <c r="AQ31292" s="31"/>
    </row>
    <row r="31293" spans="43:43" x14ac:dyDescent="0.2">
      <c r="AQ31293" s="31"/>
    </row>
    <row r="31294" spans="43:43" x14ac:dyDescent="0.2">
      <c r="AQ31294" s="31"/>
    </row>
    <row r="31295" spans="43:43" x14ac:dyDescent="0.2">
      <c r="AQ31295" s="31"/>
    </row>
    <row r="31296" spans="43:43" x14ac:dyDescent="0.2">
      <c r="AQ31296" s="31"/>
    </row>
    <row r="31297" spans="43:43" x14ac:dyDescent="0.2">
      <c r="AQ31297" s="31"/>
    </row>
    <row r="31298" spans="43:43" x14ac:dyDescent="0.2">
      <c r="AQ31298" s="31"/>
    </row>
    <row r="31299" spans="43:43" x14ac:dyDescent="0.2">
      <c r="AQ31299" s="31"/>
    </row>
    <row r="31300" spans="43:43" x14ac:dyDescent="0.2">
      <c r="AQ31300" s="31"/>
    </row>
    <row r="31301" spans="43:43" x14ac:dyDescent="0.2">
      <c r="AQ31301" s="31"/>
    </row>
    <row r="31302" spans="43:43" x14ac:dyDescent="0.2">
      <c r="AQ31302" s="31"/>
    </row>
    <row r="31303" spans="43:43" x14ac:dyDescent="0.2">
      <c r="AQ31303" s="31"/>
    </row>
    <row r="31304" spans="43:43" x14ac:dyDescent="0.2">
      <c r="AQ31304" s="31"/>
    </row>
    <row r="31305" spans="43:43" x14ac:dyDescent="0.2">
      <c r="AQ31305" s="31"/>
    </row>
    <row r="31306" spans="43:43" x14ac:dyDescent="0.2">
      <c r="AQ31306" s="31"/>
    </row>
    <row r="31307" spans="43:43" x14ac:dyDescent="0.2">
      <c r="AQ31307" s="31"/>
    </row>
    <row r="31308" spans="43:43" x14ac:dyDescent="0.2">
      <c r="AQ31308" s="31"/>
    </row>
    <row r="31309" spans="43:43" x14ac:dyDescent="0.2">
      <c r="AQ31309" s="31"/>
    </row>
    <row r="31310" spans="43:43" x14ac:dyDescent="0.2">
      <c r="AQ31310" s="31"/>
    </row>
    <row r="31311" spans="43:43" x14ac:dyDescent="0.2">
      <c r="AQ31311" s="31"/>
    </row>
    <row r="31312" spans="43:43" x14ac:dyDescent="0.2">
      <c r="AQ31312" s="31"/>
    </row>
    <row r="31313" spans="43:43" x14ac:dyDescent="0.2">
      <c r="AQ31313" s="31"/>
    </row>
    <row r="31314" spans="43:43" x14ac:dyDescent="0.2">
      <c r="AQ31314" s="31"/>
    </row>
    <row r="31315" spans="43:43" x14ac:dyDescent="0.2">
      <c r="AQ31315" s="31"/>
    </row>
    <row r="31316" spans="43:43" x14ac:dyDescent="0.2">
      <c r="AQ31316" s="31"/>
    </row>
    <row r="31317" spans="43:43" x14ac:dyDescent="0.2">
      <c r="AQ31317" s="31"/>
    </row>
    <row r="31318" spans="43:43" x14ac:dyDescent="0.2">
      <c r="AQ31318" s="31"/>
    </row>
    <row r="31319" spans="43:43" x14ac:dyDescent="0.2">
      <c r="AQ31319" s="31"/>
    </row>
    <row r="31320" spans="43:43" x14ac:dyDescent="0.2">
      <c r="AQ31320" s="31"/>
    </row>
    <row r="31321" spans="43:43" x14ac:dyDescent="0.2">
      <c r="AQ31321" s="31"/>
    </row>
    <row r="31322" spans="43:43" x14ac:dyDescent="0.2">
      <c r="AQ31322" s="31"/>
    </row>
    <row r="31323" spans="43:43" x14ac:dyDescent="0.2">
      <c r="AQ31323" s="31"/>
    </row>
    <row r="31324" spans="43:43" x14ac:dyDescent="0.2">
      <c r="AQ31324" s="31"/>
    </row>
    <row r="31325" spans="43:43" x14ac:dyDescent="0.2">
      <c r="AQ31325" s="31"/>
    </row>
    <row r="31326" spans="43:43" x14ac:dyDescent="0.2">
      <c r="AQ31326" s="31"/>
    </row>
    <row r="31327" spans="43:43" x14ac:dyDescent="0.2">
      <c r="AQ31327" s="31"/>
    </row>
    <row r="31328" spans="43:43" x14ac:dyDescent="0.2">
      <c r="AQ31328" s="31"/>
    </row>
    <row r="31329" spans="43:43" x14ac:dyDescent="0.2">
      <c r="AQ31329" s="31"/>
    </row>
    <row r="31330" spans="43:43" x14ac:dyDescent="0.2">
      <c r="AQ31330" s="31"/>
    </row>
    <row r="31331" spans="43:43" x14ac:dyDescent="0.2">
      <c r="AQ31331" s="31"/>
    </row>
    <row r="31332" spans="43:43" x14ac:dyDescent="0.2">
      <c r="AQ31332" s="31"/>
    </row>
    <row r="31333" spans="43:43" x14ac:dyDescent="0.2">
      <c r="AQ31333" s="31"/>
    </row>
    <row r="31334" spans="43:43" x14ac:dyDescent="0.2">
      <c r="AQ31334" s="31"/>
    </row>
    <row r="31335" spans="43:43" x14ac:dyDescent="0.2">
      <c r="AQ31335" s="31"/>
    </row>
    <row r="31336" spans="43:43" x14ac:dyDescent="0.2">
      <c r="AQ31336" s="31"/>
    </row>
    <row r="31337" spans="43:43" x14ac:dyDescent="0.2">
      <c r="AQ31337" s="31"/>
    </row>
    <row r="31338" spans="43:43" x14ac:dyDescent="0.2">
      <c r="AQ31338" s="31"/>
    </row>
    <row r="31339" spans="43:43" x14ac:dyDescent="0.2">
      <c r="AQ31339" s="31"/>
    </row>
    <row r="31340" spans="43:43" x14ac:dyDescent="0.2">
      <c r="AQ31340" s="31"/>
    </row>
    <row r="31341" spans="43:43" x14ac:dyDescent="0.2">
      <c r="AQ31341" s="31"/>
    </row>
    <row r="31342" spans="43:43" x14ac:dyDescent="0.2">
      <c r="AQ31342" s="31"/>
    </row>
    <row r="31343" spans="43:43" x14ac:dyDescent="0.2">
      <c r="AQ31343" s="31"/>
    </row>
    <row r="31344" spans="43:43" x14ac:dyDescent="0.2">
      <c r="AQ31344" s="31"/>
    </row>
    <row r="31345" spans="43:43" x14ac:dyDescent="0.2">
      <c r="AQ31345" s="31"/>
    </row>
    <row r="31346" spans="43:43" x14ac:dyDescent="0.2">
      <c r="AQ31346" s="31"/>
    </row>
    <row r="31347" spans="43:43" x14ac:dyDescent="0.2">
      <c r="AQ31347" s="31"/>
    </row>
    <row r="31348" spans="43:43" x14ac:dyDescent="0.2">
      <c r="AQ31348" s="31"/>
    </row>
    <row r="31349" spans="43:43" x14ac:dyDescent="0.2">
      <c r="AQ31349" s="31"/>
    </row>
    <row r="31350" spans="43:43" x14ac:dyDescent="0.2">
      <c r="AQ31350" s="31"/>
    </row>
    <row r="31351" spans="43:43" x14ac:dyDescent="0.2">
      <c r="AQ31351" s="31"/>
    </row>
    <row r="31352" spans="43:43" x14ac:dyDescent="0.2">
      <c r="AQ31352" s="31"/>
    </row>
    <row r="31353" spans="43:43" x14ac:dyDescent="0.2">
      <c r="AQ31353" s="31"/>
    </row>
    <row r="31354" spans="43:43" x14ac:dyDescent="0.2">
      <c r="AQ31354" s="31"/>
    </row>
    <row r="31355" spans="43:43" x14ac:dyDescent="0.2">
      <c r="AQ31355" s="31"/>
    </row>
    <row r="31356" spans="43:43" x14ac:dyDescent="0.2">
      <c r="AQ31356" s="31"/>
    </row>
    <row r="31357" spans="43:43" x14ac:dyDescent="0.2">
      <c r="AQ31357" s="31"/>
    </row>
    <row r="31358" spans="43:43" x14ac:dyDescent="0.2">
      <c r="AQ31358" s="31"/>
    </row>
    <row r="31359" spans="43:43" x14ac:dyDescent="0.2">
      <c r="AQ31359" s="31"/>
    </row>
    <row r="31360" spans="43:43" x14ac:dyDescent="0.2">
      <c r="AQ31360" s="31"/>
    </row>
    <row r="31361" spans="43:43" x14ac:dyDescent="0.2">
      <c r="AQ31361" s="31"/>
    </row>
    <row r="31362" spans="43:43" x14ac:dyDescent="0.2">
      <c r="AQ31362" s="31"/>
    </row>
    <row r="31363" spans="43:43" x14ac:dyDescent="0.2">
      <c r="AQ31363" s="31"/>
    </row>
    <row r="31364" spans="43:43" x14ac:dyDescent="0.2">
      <c r="AQ31364" s="31"/>
    </row>
    <row r="31365" spans="43:43" x14ac:dyDescent="0.2">
      <c r="AQ31365" s="31"/>
    </row>
    <row r="31366" spans="43:43" x14ac:dyDescent="0.2">
      <c r="AQ31366" s="31"/>
    </row>
    <row r="31367" spans="43:43" x14ac:dyDescent="0.2">
      <c r="AQ31367" s="31"/>
    </row>
    <row r="31368" spans="43:43" x14ac:dyDescent="0.2">
      <c r="AQ31368" s="31"/>
    </row>
    <row r="31369" spans="43:43" x14ac:dyDescent="0.2">
      <c r="AQ31369" s="31"/>
    </row>
    <row r="31370" spans="43:43" x14ac:dyDescent="0.2">
      <c r="AQ31370" s="31"/>
    </row>
    <row r="31371" spans="43:43" x14ac:dyDescent="0.2">
      <c r="AQ31371" s="31"/>
    </row>
    <row r="31372" spans="43:43" x14ac:dyDescent="0.2">
      <c r="AQ31372" s="31"/>
    </row>
    <row r="31373" spans="43:43" x14ac:dyDescent="0.2">
      <c r="AQ31373" s="31"/>
    </row>
    <row r="31374" spans="43:43" x14ac:dyDescent="0.2">
      <c r="AQ31374" s="31"/>
    </row>
    <row r="31375" spans="43:43" x14ac:dyDescent="0.2">
      <c r="AQ31375" s="31"/>
    </row>
    <row r="31376" spans="43:43" x14ac:dyDescent="0.2">
      <c r="AQ31376" s="31"/>
    </row>
    <row r="31377" spans="43:43" x14ac:dyDescent="0.2">
      <c r="AQ31377" s="31"/>
    </row>
    <row r="31378" spans="43:43" x14ac:dyDescent="0.2">
      <c r="AQ31378" s="31"/>
    </row>
    <row r="31379" spans="43:43" x14ac:dyDescent="0.2">
      <c r="AQ31379" s="31"/>
    </row>
    <row r="31380" spans="43:43" x14ac:dyDescent="0.2">
      <c r="AQ31380" s="31"/>
    </row>
    <row r="31381" spans="43:43" x14ac:dyDescent="0.2">
      <c r="AQ31381" s="31"/>
    </row>
    <row r="31382" spans="43:43" x14ac:dyDescent="0.2">
      <c r="AQ31382" s="31"/>
    </row>
    <row r="31383" spans="43:43" x14ac:dyDescent="0.2">
      <c r="AQ31383" s="31"/>
    </row>
    <row r="31384" spans="43:43" x14ac:dyDescent="0.2">
      <c r="AQ31384" s="31"/>
    </row>
    <row r="31385" spans="43:43" x14ac:dyDescent="0.2">
      <c r="AQ31385" s="31"/>
    </row>
    <row r="31386" spans="43:43" x14ac:dyDescent="0.2">
      <c r="AQ31386" s="31"/>
    </row>
    <row r="31387" spans="43:43" x14ac:dyDescent="0.2">
      <c r="AQ31387" s="31"/>
    </row>
    <row r="31388" spans="43:43" x14ac:dyDescent="0.2">
      <c r="AQ31388" s="31"/>
    </row>
    <row r="31389" spans="43:43" x14ac:dyDescent="0.2">
      <c r="AQ31389" s="31"/>
    </row>
    <row r="31390" spans="43:43" x14ac:dyDescent="0.2">
      <c r="AQ31390" s="31"/>
    </row>
    <row r="31391" spans="43:43" x14ac:dyDescent="0.2">
      <c r="AQ31391" s="31"/>
    </row>
    <row r="31392" spans="43:43" x14ac:dyDescent="0.2">
      <c r="AQ31392" s="31"/>
    </row>
    <row r="31393" spans="43:43" x14ac:dyDescent="0.2">
      <c r="AQ31393" s="31"/>
    </row>
    <row r="31394" spans="43:43" x14ac:dyDescent="0.2">
      <c r="AQ31394" s="31"/>
    </row>
    <row r="31395" spans="43:43" x14ac:dyDescent="0.2">
      <c r="AQ31395" s="31"/>
    </row>
    <row r="31396" spans="43:43" x14ac:dyDescent="0.2">
      <c r="AQ31396" s="31"/>
    </row>
    <row r="31397" spans="43:43" x14ac:dyDescent="0.2">
      <c r="AQ31397" s="31"/>
    </row>
    <row r="31398" spans="43:43" x14ac:dyDescent="0.2">
      <c r="AQ31398" s="31"/>
    </row>
    <row r="31399" spans="43:43" x14ac:dyDescent="0.2">
      <c r="AQ31399" s="31"/>
    </row>
    <row r="31400" spans="43:43" x14ac:dyDescent="0.2">
      <c r="AQ31400" s="31"/>
    </row>
    <row r="31401" spans="43:43" x14ac:dyDescent="0.2">
      <c r="AQ31401" s="31"/>
    </row>
    <row r="31402" spans="43:43" x14ac:dyDescent="0.2">
      <c r="AQ31402" s="31"/>
    </row>
    <row r="31403" spans="43:43" x14ac:dyDescent="0.2">
      <c r="AQ31403" s="31"/>
    </row>
    <row r="31404" spans="43:43" x14ac:dyDescent="0.2">
      <c r="AQ31404" s="31"/>
    </row>
    <row r="31405" spans="43:43" x14ac:dyDescent="0.2">
      <c r="AQ31405" s="31"/>
    </row>
    <row r="31406" spans="43:43" x14ac:dyDescent="0.2">
      <c r="AQ31406" s="31"/>
    </row>
    <row r="31407" spans="43:43" x14ac:dyDescent="0.2">
      <c r="AQ31407" s="31"/>
    </row>
    <row r="31408" spans="43:43" x14ac:dyDescent="0.2">
      <c r="AQ31408" s="31"/>
    </row>
    <row r="31409" spans="43:43" x14ac:dyDescent="0.2">
      <c r="AQ31409" s="31"/>
    </row>
    <row r="31410" spans="43:43" x14ac:dyDescent="0.2">
      <c r="AQ31410" s="31"/>
    </row>
    <row r="31411" spans="43:43" x14ac:dyDescent="0.2">
      <c r="AQ31411" s="31"/>
    </row>
    <row r="31412" spans="43:43" x14ac:dyDescent="0.2">
      <c r="AQ31412" s="31"/>
    </row>
    <row r="31413" spans="43:43" x14ac:dyDescent="0.2">
      <c r="AQ31413" s="31"/>
    </row>
    <row r="31414" spans="43:43" x14ac:dyDescent="0.2">
      <c r="AQ31414" s="31"/>
    </row>
    <row r="31415" spans="43:43" x14ac:dyDescent="0.2">
      <c r="AQ31415" s="31"/>
    </row>
    <row r="31416" spans="43:43" x14ac:dyDescent="0.2">
      <c r="AQ31416" s="31"/>
    </row>
    <row r="31417" spans="43:43" x14ac:dyDescent="0.2">
      <c r="AQ31417" s="31"/>
    </row>
    <row r="31418" spans="43:43" x14ac:dyDescent="0.2">
      <c r="AQ31418" s="31"/>
    </row>
    <row r="31419" spans="43:43" x14ac:dyDescent="0.2">
      <c r="AQ31419" s="31"/>
    </row>
    <row r="31420" spans="43:43" x14ac:dyDescent="0.2">
      <c r="AQ31420" s="31"/>
    </row>
    <row r="31421" spans="43:43" x14ac:dyDescent="0.2">
      <c r="AQ31421" s="31"/>
    </row>
    <row r="31422" spans="43:43" x14ac:dyDescent="0.2">
      <c r="AQ31422" s="31"/>
    </row>
    <row r="31423" spans="43:43" x14ac:dyDescent="0.2">
      <c r="AQ31423" s="31"/>
    </row>
    <row r="31424" spans="43:43" x14ac:dyDescent="0.2">
      <c r="AQ31424" s="31"/>
    </row>
    <row r="31425" spans="43:43" x14ac:dyDescent="0.2">
      <c r="AQ31425" s="31"/>
    </row>
    <row r="31426" spans="43:43" x14ac:dyDescent="0.2">
      <c r="AQ31426" s="31"/>
    </row>
    <row r="31427" spans="43:43" x14ac:dyDescent="0.2">
      <c r="AQ31427" s="31"/>
    </row>
    <row r="31428" spans="43:43" x14ac:dyDescent="0.2">
      <c r="AQ31428" s="31"/>
    </row>
    <row r="31429" spans="43:43" x14ac:dyDescent="0.2">
      <c r="AQ31429" s="31"/>
    </row>
    <row r="31430" spans="43:43" x14ac:dyDescent="0.2">
      <c r="AQ31430" s="31"/>
    </row>
    <row r="31431" spans="43:43" x14ac:dyDescent="0.2">
      <c r="AQ31431" s="31"/>
    </row>
    <row r="31432" spans="43:43" x14ac:dyDescent="0.2">
      <c r="AQ31432" s="31"/>
    </row>
    <row r="31433" spans="43:43" x14ac:dyDescent="0.2">
      <c r="AQ31433" s="31"/>
    </row>
    <row r="31434" spans="43:43" x14ac:dyDescent="0.2">
      <c r="AQ31434" s="31"/>
    </row>
    <row r="31435" spans="43:43" x14ac:dyDescent="0.2">
      <c r="AQ31435" s="31"/>
    </row>
    <row r="31436" spans="43:43" x14ac:dyDescent="0.2">
      <c r="AQ31436" s="31"/>
    </row>
    <row r="31437" spans="43:43" x14ac:dyDescent="0.2">
      <c r="AQ31437" s="31"/>
    </row>
    <row r="31438" spans="43:43" x14ac:dyDescent="0.2">
      <c r="AQ31438" s="31"/>
    </row>
    <row r="31439" spans="43:43" x14ac:dyDescent="0.2">
      <c r="AQ31439" s="31"/>
    </row>
    <row r="31440" spans="43:43" x14ac:dyDescent="0.2">
      <c r="AQ31440" s="31"/>
    </row>
    <row r="31441" spans="43:43" x14ac:dyDescent="0.2">
      <c r="AQ31441" s="31"/>
    </row>
    <row r="31442" spans="43:43" x14ac:dyDescent="0.2">
      <c r="AQ31442" s="31"/>
    </row>
    <row r="31443" spans="43:43" x14ac:dyDescent="0.2">
      <c r="AQ31443" s="31"/>
    </row>
    <row r="31444" spans="43:43" x14ac:dyDescent="0.2">
      <c r="AQ31444" s="31"/>
    </row>
    <row r="31445" spans="43:43" x14ac:dyDescent="0.2">
      <c r="AQ31445" s="31"/>
    </row>
    <row r="31446" spans="43:43" x14ac:dyDescent="0.2">
      <c r="AQ31446" s="31"/>
    </row>
    <row r="31447" spans="43:43" x14ac:dyDescent="0.2">
      <c r="AQ31447" s="31"/>
    </row>
    <row r="31448" spans="43:43" x14ac:dyDescent="0.2">
      <c r="AQ31448" s="31"/>
    </row>
    <row r="31449" spans="43:43" x14ac:dyDescent="0.2">
      <c r="AQ31449" s="31"/>
    </row>
    <row r="31450" spans="43:43" x14ac:dyDescent="0.2">
      <c r="AQ31450" s="31"/>
    </row>
    <row r="31451" spans="43:43" x14ac:dyDescent="0.2">
      <c r="AQ31451" s="31"/>
    </row>
    <row r="31452" spans="43:43" x14ac:dyDescent="0.2">
      <c r="AQ31452" s="31"/>
    </row>
    <row r="31453" spans="43:43" x14ac:dyDescent="0.2">
      <c r="AQ31453" s="31"/>
    </row>
    <row r="31454" spans="43:43" x14ac:dyDescent="0.2">
      <c r="AQ31454" s="31"/>
    </row>
    <row r="31455" spans="43:43" x14ac:dyDescent="0.2">
      <c r="AQ31455" s="31"/>
    </row>
    <row r="31456" spans="43:43" x14ac:dyDescent="0.2">
      <c r="AQ31456" s="31"/>
    </row>
    <row r="31457" spans="43:43" x14ac:dyDescent="0.2">
      <c r="AQ31457" s="31"/>
    </row>
    <row r="31458" spans="43:43" x14ac:dyDescent="0.2">
      <c r="AQ31458" s="31"/>
    </row>
    <row r="31459" spans="43:43" x14ac:dyDescent="0.2">
      <c r="AQ31459" s="31"/>
    </row>
    <row r="31460" spans="43:43" x14ac:dyDescent="0.2">
      <c r="AQ31460" s="31"/>
    </row>
    <row r="31461" spans="43:43" x14ac:dyDescent="0.2">
      <c r="AQ31461" s="31"/>
    </row>
    <row r="31462" spans="43:43" x14ac:dyDescent="0.2">
      <c r="AQ31462" s="31"/>
    </row>
    <row r="31463" spans="43:43" x14ac:dyDescent="0.2">
      <c r="AQ31463" s="31"/>
    </row>
    <row r="31464" spans="43:43" x14ac:dyDescent="0.2">
      <c r="AQ31464" s="31"/>
    </row>
    <row r="31465" spans="43:43" x14ac:dyDescent="0.2">
      <c r="AQ31465" s="31"/>
    </row>
    <row r="31466" spans="43:43" x14ac:dyDescent="0.2">
      <c r="AQ31466" s="31"/>
    </row>
    <row r="31467" spans="43:43" x14ac:dyDescent="0.2">
      <c r="AQ31467" s="31"/>
    </row>
    <row r="31468" spans="43:43" x14ac:dyDescent="0.2">
      <c r="AQ31468" s="31"/>
    </row>
    <row r="31469" spans="43:43" x14ac:dyDescent="0.2">
      <c r="AQ31469" s="31"/>
    </row>
    <row r="31470" spans="43:43" x14ac:dyDescent="0.2">
      <c r="AQ31470" s="31"/>
    </row>
    <row r="31471" spans="43:43" x14ac:dyDescent="0.2">
      <c r="AQ31471" s="31"/>
    </row>
    <row r="31472" spans="43:43" x14ac:dyDescent="0.2">
      <c r="AQ31472" s="31"/>
    </row>
    <row r="31473" spans="43:43" x14ac:dyDescent="0.2">
      <c r="AQ31473" s="31"/>
    </row>
    <row r="31474" spans="43:43" x14ac:dyDescent="0.2">
      <c r="AQ31474" s="31"/>
    </row>
    <row r="31475" spans="43:43" x14ac:dyDescent="0.2">
      <c r="AQ31475" s="31"/>
    </row>
    <row r="31476" spans="43:43" x14ac:dyDescent="0.2">
      <c r="AQ31476" s="31"/>
    </row>
    <row r="31477" spans="43:43" x14ac:dyDescent="0.2">
      <c r="AQ31477" s="31"/>
    </row>
    <row r="31478" spans="43:43" x14ac:dyDescent="0.2">
      <c r="AQ31478" s="31"/>
    </row>
    <row r="31479" spans="43:43" x14ac:dyDescent="0.2">
      <c r="AQ31479" s="31"/>
    </row>
    <row r="31480" spans="43:43" x14ac:dyDescent="0.2">
      <c r="AQ31480" s="31"/>
    </row>
    <row r="31481" spans="43:43" x14ac:dyDescent="0.2">
      <c r="AQ31481" s="31"/>
    </row>
    <row r="31482" spans="43:43" x14ac:dyDescent="0.2">
      <c r="AQ31482" s="31"/>
    </row>
    <row r="31483" spans="43:43" x14ac:dyDescent="0.2">
      <c r="AQ31483" s="31"/>
    </row>
    <row r="31484" spans="43:43" x14ac:dyDescent="0.2">
      <c r="AQ31484" s="31"/>
    </row>
    <row r="31485" spans="43:43" x14ac:dyDescent="0.2">
      <c r="AQ31485" s="31"/>
    </row>
    <row r="31486" spans="43:43" x14ac:dyDescent="0.2">
      <c r="AQ31486" s="31"/>
    </row>
    <row r="31487" spans="43:43" x14ac:dyDescent="0.2">
      <c r="AQ31487" s="31"/>
    </row>
    <row r="31488" spans="43:43" x14ac:dyDescent="0.2">
      <c r="AQ31488" s="31"/>
    </row>
    <row r="31489" spans="43:43" x14ac:dyDescent="0.2">
      <c r="AQ31489" s="31"/>
    </row>
    <row r="31490" spans="43:43" x14ac:dyDescent="0.2">
      <c r="AQ31490" s="31"/>
    </row>
    <row r="31491" spans="43:43" x14ac:dyDescent="0.2">
      <c r="AQ31491" s="31"/>
    </row>
    <row r="31492" spans="43:43" x14ac:dyDescent="0.2">
      <c r="AQ31492" s="31"/>
    </row>
    <row r="31493" spans="43:43" x14ac:dyDescent="0.2">
      <c r="AQ31493" s="31"/>
    </row>
    <row r="31494" spans="43:43" x14ac:dyDescent="0.2">
      <c r="AQ31494" s="31"/>
    </row>
    <row r="31495" spans="43:43" x14ac:dyDescent="0.2">
      <c r="AQ31495" s="31"/>
    </row>
    <row r="31496" spans="43:43" x14ac:dyDescent="0.2">
      <c r="AQ31496" s="31"/>
    </row>
    <row r="31497" spans="43:43" x14ac:dyDescent="0.2">
      <c r="AQ31497" s="31"/>
    </row>
    <row r="31498" spans="43:43" x14ac:dyDescent="0.2">
      <c r="AQ31498" s="31"/>
    </row>
    <row r="31499" spans="43:43" x14ac:dyDescent="0.2">
      <c r="AQ31499" s="31"/>
    </row>
    <row r="31500" spans="43:43" x14ac:dyDescent="0.2">
      <c r="AQ31500" s="31"/>
    </row>
    <row r="31501" spans="43:43" x14ac:dyDescent="0.2">
      <c r="AQ31501" s="31"/>
    </row>
    <row r="31502" spans="43:43" x14ac:dyDescent="0.2">
      <c r="AQ31502" s="31"/>
    </row>
    <row r="31503" spans="43:43" x14ac:dyDescent="0.2">
      <c r="AQ31503" s="31"/>
    </row>
    <row r="31504" spans="43:43" x14ac:dyDescent="0.2">
      <c r="AQ31504" s="31"/>
    </row>
    <row r="31505" spans="43:43" x14ac:dyDescent="0.2">
      <c r="AQ31505" s="31"/>
    </row>
    <row r="31506" spans="43:43" x14ac:dyDescent="0.2">
      <c r="AQ31506" s="31"/>
    </row>
    <row r="31507" spans="43:43" x14ac:dyDescent="0.2">
      <c r="AQ31507" s="31"/>
    </row>
    <row r="31508" spans="43:43" x14ac:dyDescent="0.2">
      <c r="AQ31508" s="31"/>
    </row>
    <row r="31509" spans="43:43" x14ac:dyDescent="0.2">
      <c r="AQ31509" s="31"/>
    </row>
    <row r="31510" spans="43:43" x14ac:dyDescent="0.2">
      <c r="AQ31510" s="31"/>
    </row>
    <row r="31511" spans="43:43" x14ac:dyDescent="0.2">
      <c r="AQ31511" s="31"/>
    </row>
    <row r="31512" spans="43:43" x14ac:dyDescent="0.2">
      <c r="AQ31512" s="31"/>
    </row>
    <row r="31513" spans="43:43" x14ac:dyDescent="0.2">
      <c r="AQ31513" s="31"/>
    </row>
    <row r="31514" spans="43:43" x14ac:dyDescent="0.2">
      <c r="AQ31514" s="31"/>
    </row>
    <row r="31515" spans="43:43" x14ac:dyDescent="0.2">
      <c r="AQ31515" s="31"/>
    </row>
    <row r="31516" spans="43:43" x14ac:dyDescent="0.2">
      <c r="AQ31516" s="31"/>
    </row>
    <row r="31517" spans="43:43" x14ac:dyDescent="0.2">
      <c r="AQ31517" s="31"/>
    </row>
    <row r="31518" spans="43:43" x14ac:dyDescent="0.2">
      <c r="AQ31518" s="31"/>
    </row>
    <row r="31519" spans="43:43" x14ac:dyDescent="0.2">
      <c r="AQ31519" s="31"/>
    </row>
    <row r="31520" spans="43:43" x14ac:dyDescent="0.2">
      <c r="AQ31520" s="31"/>
    </row>
    <row r="31521" spans="43:43" x14ac:dyDescent="0.2">
      <c r="AQ31521" s="31"/>
    </row>
    <row r="31522" spans="43:43" x14ac:dyDescent="0.2">
      <c r="AQ31522" s="31"/>
    </row>
    <row r="31523" spans="43:43" x14ac:dyDescent="0.2">
      <c r="AQ31523" s="31"/>
    </row>
    <row r="31524" spans="43:43" x14ac:dyDescent="0.2">
      <c r="AQ31524" s="31"/>
    </row>
    <row r="31525" spans="43:43" x14ac:dyDescent="0.2">
      <c r="AQ31525" s="31"/>
    </row>
    <row r="31526" spans="43:43" x14ac:dyDescent="0.2">
      <c r="AQ31526" s="31"/>
    </row>
    <row r="31527" spans="43:43" x14ac:dyDescent="0.2">
      <c r="AQ31527" s="31"/>
    </row>
    <row r="31528" spans="43:43" x14ac:dyDescent="0.2">
      <c r="AQ31528" s="31"/>
    </row>
    <row r="31529" spans="43:43" x14ac:dyDescent="0.2">
      <c r="AQ31529" s="31"/>
    </row>
    <row r="31530" spans="43:43" x14ac:dyDescent="0.2">
      <c r="AQ31530" s="31"/>
    </row>
    <row r="31531" spans="43:43" x14ac:dyDescent="0.2">
      <c r="AQ31531" s="31"/>
    </row>
    <row r="31532" spans="43:43" x14ac:dyDescent="0.2">
      <c r="AQ31532" s="31"/>
    </row>
    <row r="31533" spans="43:43" x14ac:dyDescent="0.2">
      <c r="AQ31533" s="31"/>
    </row>
    <row r="31534" spans="43:43" x14ac:dyDescent="0.2">
      <c r="AQ31534" s="31"/>
    </row>
    <row r="31535" spans="43:43" x14ac:dyDescent="0.2">
      <c r="AQ31535" s="31"/>
    </row>
    <row r="31536" spans="43:43" x14ac:dyDescent="0.2">
      <c r="AQ31536" s="31"/>
    </row>
    <row r="31537" spans="43:43" x14ac:dyDescent="0.2">
      <c r="AQ31537" s="31"/>
    </row>
    <row r="31538" spans="43:43" x14ac:dyDescent="0.2">
      <c r="AQ31538" s="31"/>
    </row>
    <row r="31539" spans="43:43" x14ac:dyDescent="0.2">
      <c r="AQ31539" s="31"/>
    </row>
    <row r="31540" spans="43:43" x14ac:dyDescent="0.2">
      <c r="AQ31540" s="31"/>
    </row>
    <row r="31541" spans="43:43" x14ac:dyDescent="0.2">
      <c r="AQ31541" s="31"/>
    </row>
    <row r="31542" spans="43:43" x14ac:dyDescent="0.2">
      <c r="AQ31542" s="31"/>
    </row>
    <row r="31543" spans="43:43" x14ac:dyDescent="0.2">
      <c r="AQ31543" s="31"/>
    </row>
    <row r="31544" spans="43:43" x14ac:dyDescent="0.2">
      <c r="AQ31544" s="31"/>
    </row>
    <row r="31545" spans="43:43" x14ac:dyDescent="0.2">
      <c r="AQ31545" s="31"/>
    </row>
    <row r="31546" spans="43:43" x14ac:dyDescent="0.2">
      <c r="AQ31546" s="31"/>
    </row>
    <row r="31547" spans="43:43" x14ac:dyDescent="0.2">
      <c r="AQ31547" s="31"/>
    </row>
    <row r="31548" spans="43:43" x14ac:dyDescent="0.2">
      <c r="AQ31548" s="31"/>
    </row>
    <row r="31549" spans="43:43" x14ac:dyDescent="0.2">
      <c r="AQ31549" s="31"/>
    </row>
    <row r="31550" spans="43:43" x14ac:dyDescent="0.2">
      <c r="AQ31550" s="31"/>
    </row>
    <row r="31551" spans="43:43" x14ac:dyDescent="0.2">
      <c r="AQ31551" s="31"/>
    </row>
    <row r="31552" spans="43:43" x14ac:dyDescent="0.2">
      <c r="AQ31552" s="31"/>
    </row>
    <row r="31553" spans="43:43" x14ac:dyDescent="0.2">
      <c r="AQ31553" s="31"/>
    </row>
    <row r="31554" spans="43:43" x14ac:dyDescent="0.2">
      <c r="AQ31554" s="31"/>
    </row>
    <row r="31555" spans="43:43" x14ac:dyDescent="0.2">
      <c r="AQ31555" s="31"/>
    </row>
    <row r="31556" spans="43:43" x14ac:dyDescent="0.2">
      <c r="AQ31556" s="31"/>
    </row>
    <row r="31557" spans="43:43" x14ac:dyDescent="0.2">
      <c r="AQ31557" s="31"/>
    </row>
    <row r="31558" spans="43:43" x14ac:dyDescent="0.2">
      <c r="AQ31558" s="31"/>
    </row>
    <row r="31559" spans="43:43" x14ac:dyDescent="0.2">
      <c r="AQ31559" s="31"/>
    </row>
    <row r="31560" spans="43:43" x14ac:dyDescent="0.2">
      <c r="AQ31560" s="31"/>
    </row>
    <row r="31561" spans="43:43" x14ac:dyDescent="0.2">
      <c r="AQ31561" s="31"/>
    </row>
    <row r="31562" spans="43:43" x14ac:dyDescent="0.2">
      <c r="AQ31562" s="31"/>
    </row>
    <row r="31563" spans="43:43" x14ac:dyDescent="0.2">
      <c r="AQ31563" s="31"/>
    </row>
    <row r="31564" spans="43:43" x14ac:dyDescent="0.2">
      <c r="AQ31564" s="31"/>
    </row>
    <row r="31565" spans="43:43" x14ac:dyDescent="0.2">
      <c r="AQ31565" s="31"/>
    </row>
    <row r="31566" spans="43:43" x14ac:dyDescent="0.2">
      <c r="AQ31566" s="31"/>
    </row>
    <row r="31567" spans="43:43" x14ac:dyDescent="0.2">
      <c r="AQ31567" s="31"/>
    </row>
    <row r="31568" spans="43:43" x14ac:dyDescent="0.2">
      <c r="AQ31568" s="31"/>
    </row>
    <row r="31569" spans="43:43" x14ac:dyDescent="0.2">
      <c r="AQ31569" s="31"/>
    </row>
    <row r="31570" spans="43:43" x14ac:dyDescent="0.2">
      <c r="AQ31570" s="31"/>
    </row>
    <row r="31571" spans="43:43" x14ac:dyDescent="0.2">
      <c r="AQ31571" s="31"/>
    </row>
    <row r="31572" spans="43:43" x14ac:dyDescent="0.2">
      <c r="AQ31572" s="31"/>
    </row>
    <row r="31573" spans="43:43" x14ac:dyDescent="0.2">
      <c r="AQ31573" s="31"/>
    </row>
    <row r="31574" spans="43:43" x14ac:dyDescent="0.2">
      <c r="AQ31574" s="31"/>
    </row>
    <row r="31575" spans="43:43" x14ac:dyDescent="0.2">
      <c r="AQ31575" s="31"/>
    </row>
    <row r="31576" spans="43:43" x14ac:dyDescent="0.2">
      <c r="AQ31576" s="31"/>
    </row>
    <row r="31577" spans="43:43" x14ac:dyDescent="0.2">
      <c r="AQ31577" s="31"/>
    </row>
    <row r="31578" spans="43:43" x14ac:dyDescent="0.2">
      <c r="AQ31578" s="31"/>
    </row>
    <row r="31579" spans="43:43" x14ac:dyDescent="0.2">
      <c r="AQ31579" s="31"/>
    </row>
    <row r="31580" spans="43:43" x14ac:dyDescent="0.2">
      <c r="AQ31580" s="31"/>
    </row>
    <row r="31581" spans="43:43" x14ac:dyDescent="0.2">
      <c r="AQ31581" s="31"/>
    </row>
    <row r="31582" spans="43:43" x14ac:dyDescent="0.2">
      <c r="AQ31582" s="31"/>
    </row>
    <row r="31583" spans="43:43" x14ac:dyDescent="0.2">
      <c r="AQ31583" s="31"/>
    </row>
    <row r="31584" spans="43:43" x14ac:dyDescent="0.2">
      <c r="AQ31584" s="31"/>
    </row>
    <row r="31585" spans="43:43" x14ac:dyDescent="0.2">
      <c r="AQ31585" s="31"/>
    </row>
    <row r="31586" spans="43:43" x14ac:dyDescent="0.2">
      <c r="AQ31586" s="31"/>
    </row>
    <row r="31587" spans="43:43" x14ac:dyDescent="0.2">
      <c r="AQ31587" s="31"/>
    </row>
    <row r="31588" spans="43:43" x14ac:dyDescent="0.2">
      <c r="AQ31588" s="31"/>
    </row>
    <row r="31589" spans="43:43" x14ac:dyDescent="0.2">
      <c r="AQ31589" s="31"/>
    </row>
    <row r="31590" spans="43:43" x14ac:dyDescent="0.2">
      <c r="AQ31590" s="31"/>
    </row>
    <row r="31591" spans="43:43" x14ac:dyDescent="0.2">
      <c r="AQ31591" s="31"/>
    </row>
    <row r="31592" spans="43:43" x14ac:dyDescent="0.2">
      <c r="AQ31592" s="31"/>
    </row>
    <row r="31593" spans="43:43" x14ac:dyDescent="0.2">
      <c r="AQ31593" s="31"/>
    </row>
    <row r="31594" spans="43:43" x14ac:dyDescent="0.2">
      <c r="AQ31594" s="31"/>
    </row>
    <row r="31595" spans="43:43" x14ac:dyDescent="0.2">
      <c r="AQ31595" s="31"/>
    </row>
    <row r="31596" spans="43:43" x14ac:dyDescent="0.2">
      <c r="AQ31596" s="31"/>
    </row>
    <row r="31597" spans="43:43" x14ac:dyDescent="0.2">
      <c r="AQ31597" s="31"/>
    </row>
    <row r="31598" spans="43:43" x14ac:dyDescent="0.2">
      <c r="AQ31598" s="31"/>
    </row>
    <row r="31599" spans="43:43" x14ac:dyDescent="0.2">
      <c r="AQ31599" s="31"/>
    </row>
    <row r="31600" spans="43:43" x14ac:dyDescent="0.2">
      <c r="AQ31600" s="31"/>
    </row>
    <row r="31601" spans="43:43" x14ac:dyDescent="0.2">
      <c r="AQ31601" s="31"/>
    </row>
    <row r="31602" spans="43:43" x14ac:dyDescent="0.2">
      <c r="AQ31602" s="31"/>
    </row>
    <row r="31603" spans="43:43" x14ac:dyDescent="0.2">
      <c r="AQ31603" s="31"/>
    </row>
    <row r="31604" spans="43:43" x14ac:dyDescent="0.2">
      <c r="AQ31604" s="31"/>
    </row>
    <row r="31605" spans="43:43" x14ac:dyDescent="0.2">
      <c r="AQ31605" s="31"/>
    </row>
    <row r="31606" spans="43:43" x14ac:dyDescent="0.2">
      <c r="AQ31606" s="31"/>
    </row>
    <row r="31607" spans="43:43" x14ac:dyDescent="0.2">
      <c r="AQ31607" s="31"/>
    </row>
    <row r="31608" spans="43:43" x14ac:dyDescent="0.2">
      <c r="AQ31608" s="31"/>
    </row>
    <row r="31609" spans="43:43" x14ac:dyDescent="0.2">
      <c r="AQ31609" s="31"/>
    </row>
    <row r="31610" spans="43:43" x14ac:dyDescent="0.2">
      <c r="AQ31610" s="31"/>
    </row>
    <row r="31611" spans="43:43" x14ac:dyDescent="0.2">
      <c r="AQ31611" s="31"/>
    </row>
    <row r="31612" spans="43:43" x14ac:dyDescent="0.2">
      <c r="AQ31612" s="31"/>
    </row>
    <row r="31613" spans="43:43" x14ac:dyDescent="0.2">
      <c r="AQ31613" s="31"/>
    </row>
    <row r="31614" spans="43:43" x14ac:dyDescent="0.2">
      <c r="AQ31614" s="31"/>
    </row>
    <row r="31615" spans="43:43" x14ac:dyDescent="0.2">
      <c r="AQ31615" s="31"/>
    </row>
    <row r="31616" spans="43:43" x14ac:dyDescent="0.2">
      <c r="AQ31616" s="31"/>
    </row>
    <row r="31617" spans="43:43" x14ac:dyDescent="0.2">
      <c r="AQ31617" s="31"/>
    </row>
    <row r="31618" spans="43:43" x14ac:dyDescent="0.2">
      <c r="AQ31618" s="31"/>
    </row>
    <row r="31619" spans="43:43" x14ac:dyDescent="0.2">
      <c r="AQ31619" s="31"/>
    </row>
    <row r="31620" spans="43:43" x14ac:dyDescent="0.2">
      <c r="AQ31620" s="31"/>
    </row>
    <row r="31621" spans="43:43" x14ac:dyDescent="0.2">
      <c r="AQ31621" s="31"/>
    </row>
    <row r="31622" spans="43:43" x14ac:dyDescent="0.2">
      <c r="AQ31622" s="31"/>
    </row>
    <row r="31623" spans="43:43" x14ac:dyDescent="0.2">
      <c r="AQ31623" s="31"/>
    </row>
    <row r="31624" spans="43:43" x14ac:dyDescent="0.2">
      <c r="AQ31624" s="31"/>
    </row>
    <row r="31625" spans="43:43" x14ac:dyDescent="0.2">
      <c r="AQ31625" s="31"/>
    </row>
    <row r="31626" spans="43:43" x14ac:dyDescent="0.2">
      <c r="AQ31626" s="31"/>
    </row>
    <row r="31627" spans="43:43" x14ac:dyDescent="0.2">
      <c r="AQ31627" s="31"/>
    </row>
    <row r="31628" spans="43:43" x14ac:dyDescent="0.2">
      <c r="AQ31628" s="31"/>
    </row>
    <row r="31629" spans="43:43" x14ac:dyDescent="0.2">
      <c r="AQ31629" s="31"/>
    </row>
    <row r="31630" spans="43:43" x14ac:dyDescent="0.2">
      <c r="AQ31630" s="31"/>
    </row>
    <row r="31631" spans="43:43" x14ac:dyDescent="0.2">
      <c r="AQ31631" s="31"/>
    </row>
    <row r="31632" spans="43:43" x14ac:dyDescent="0.2">
      <c r="AQ31632" s="31"/>
    </row>
    <row r="31633" spans="43:43" x14ac:dyDescent="0.2">
      <c r="AQ31633" s="31"/>
    </row>
    <row r="31634" spans="43:43" x14ac:dyDescent="0.2">
      <c r="AQ31634" s="31"/>
    </row>
    <row r="31635" spans="43:43" x14ac:dyDescent="0.2">
      <c r="AQ31635" s="31"/>
    </row>
    <row r="31636" spans="43:43" x14ac:dyDescent="0.2">
      <c r="AQ31636" s="31"/>
    </row>
    <row r="31637" spans="43:43" x14ac:dyDescent="0.2">
      <c r="AQ31637" s="31"/>
    </row>
    <row r="31638" spans="43:43" x14ac:dyDescent="0.2">
      <c r="AQ31638" s="31"/>
    </row>
    <row r="31639" spans="43:43" x14ac:dyDescent="0.2">
      <c r="AQ31639" s="31"/>
    </row>
    <row r="31640" spans="43:43" x14ac:dyDescent="0.2">
      <c r="AQ31640" s="31"/>
    </row>
    <row r="31641" spans="43:43" x14ac:dyDescent="0.2">
      <c r="AQ31641" s="31"/>
    </row>
    <row r="31642" spans="43:43" x14ac:dyDescent="0.2">
      <c r="AQ31642" s="31"/>
    </row>
    <row r="31643" spans="43:43" x14ac:dyDescent="0.2">
      <c r="AQ31643" s="31"/>
    </row>
    <row r="31644" spans="43:43" x14ac:dyDescent="0.2">
      <c r="AQ31644" s="31"/>
    </row>
    <row r="31645" spans="43:43" x14ac:dyDescent="0.2">
      <c r="AQ31645" s="31"/>
    </row>
    <row r="31646" spans="43:43" x14ac:dyDescent="0.2">
      <c r="AQ31646" s="31"/>
    </row>
    <row r="31647" spans="43:43" x14ac:dyDescent="0.2">
      <c r="AQ31647" s="31"/>
    </row>
    <row r="31648" spans="43:43" x14ac:dyDescent="0.2">
      <c r="AQ31648" s="31"/>
    </row>
    <row r="31649" spans="43:43" x14ac:dyDescent="0.2">
      <c r="AQ31649" s="31"/>
    </row>
    <row r="31650" spans="43:43" x14ac:dyDescent="0.2">
      <c r="AQ31650" s="31"/>
    </row>
    <row r="31651" spans="43:43" x14ac:dyDescent="0.2">
      <c r="AQ31651" s="31"/>
    </row>
    <row r="31652" spans="43:43" x14ac:dyDescent="0.2">
      <c r="AQ31652" s="31"/>
    </row>
    <row r="31653" spans="43:43" x14ac:dyDescent="0.2">
      <c r="AQ31653" s="31"/>
    </row>
    <row r="31654" spans="43:43" x14ac:dyDescent="0.2">
      <c r="AQ31654" s="31"/>
    </row>
    <row r="31655" spans="43:43" x14ac:dyDescent="0.2">
      <c r="AQ31655" s="31"/>
    </row>
    <row r="31656" spans="43:43" x14ac:dyDescent="0.2">
      <c r="AQ31656" s="31"/>
    </row>
    <row r="31657" spans="43:43" x14ac:dyDescent="0.2">
      <c r="AQ31657" s="31"/>
    </row>
    <row r="31658" spans="43:43" x14ac:dyDescent="0.2">
      <c r="AQ31658" s="31"/>
    </row>
    <row r="31659" spans="43:43" x14ac:dyDescent="0.2">
      <c r="AQ31659" s="31"/>
    </row>
    <row r="31660" spans="43:43" x14ac:dyDescent="0.2">
      <c r="AQ31660" s="31"/>
    </row>
    <row r="31661" spans="43:43" x14ac:dyDescent="0.2">
      <c r="AQ31661" s="31"/>
    </row>
    <row r="31662" spans="43:43" x14ac:dyDescent="0.2">
      <c r="AQ31662" s="31"/>
    </row>
    <row r="31663" spans="43:43" x14ac:dyDescent="0.2">
      <c r="AQ31663" s="31"/>
    </row>
    <row r="31664" spans="43:43" x14ac:dyDescent="0.2">
      <c r="AQ31664" s="31"/>
    </row>
    <row r="31665" spans="43:43" x14ac:dyDescent="0.2">
      <c r="AQ31665" s="31"/>
    </row>
    <row r="31666" spans="43:43" x14ac:dyDescent="0.2">
      <c r="AQ31666" s="31"/>
    </row>
    <row r="31667" spans="43:43" x14ac:dyDescent="0.2">
      <c r="AQ31667" s="31"/>
    </row>
    <row r="31668" spans="43:43" x14ac:dyDescent="0.2">
      <c r="AQ31668" s="31"/>
    </row>
    <row r="31669" spans="43:43" x14ac:dyDescent="0.2">
      <c r="AQ31669" s="31"/>
    </row>
    <row r="31670" spans="43:43" x14ac:dyDescent="0.2">
      <c r="AQ31670" s="31"/>
    </row>
    <row r="31671" spans="43:43" x14ac:dyDescent="0.2">
      <c r="AQ31671" s="31"/>
    </row>
    <row r="31672" spans="43:43" x14ac:dyDescent="0.2">
      <c r="AQ31672" s="31"/>
    </row>
    <row r="31673" spans="43:43" x14ac:dyDescent="0.2">
      <c r="AQ31673" s="31"/>
    </row>
    <row r="31674" spans="43:43" x14ac:dyDescent="0.2">
      <c r="AQ31674" s="31"/>
    </row>
    <row r="31675" spans="43:43" x14ac:dyDescent="0.2">
      <c r="AQ31675" s="31"/>
    </row>
    <row r="31676" spans="43:43" x14ac:dyDescent="0.2">
      <c r="AQ31676" s="31"/>
    </row>
    <row r="31677" spans="43:43" x14ac:dyDescent="0.2">
      <c r="AQ31677" s="31"/>
    </row>
    <row r="31678" spans="43:43" x14ac:dyDescent="0.2">
      <c r="AQ31678" s="31"/>
    </row>
    <row r="31679" spans="43:43" x14ac:dyDescent="0.2">
      <c r="AQ31679" s="31"/>
    </row>
    <row r="31680" spans="43:43" x14ac:dyDescent="0.2">
      <c r="AQ31680" s="31"/>
    </row>
    <row r="31681" spans="43:43" x14ac:dyDescent="0.2">
      <c r="AQ31681" s="31"/>
    </row>
    <row r="31682" spans="43:43" x14ac:dyDescent="0.2">
      <c r="AQ31682" s="31"/>
    </row>
    <row r="31683" spans="43:43" x14ac:dyDescent="0.2">
      <c r="AQ31683" s="31"/>
    </row>
    <row r="31684" spans="43:43" x14ac:dyDescent="0.2">
      <c r="AQ31684" s="31"/>
    </row>
    <row r="31685" spans="43:43" x14ac:dyDescent="0.2">
      <c r="AQ31685" s="31"/>
    </row>
    <row r="31686" spans="43:43" x14ac:dyDescent="0.2">
      <c r="AQ31686" s="31"/>
    </row>
    <row r="31687" spans="43:43" x14ac:dyDescent="0.2">
      <c r="AQ31687" s="31"/>
    </row>
    <row r="31688" spans="43:43" x14ac:dyDescent="0.2">
      <c r="AQ31688" s="31"/>
    </row>
    <row r="31689" spans="43:43" x14ac:dyDescent="0.2">
      <c r="AQ31689" s="31"/>
    </row>
    <row r="31690" spans="43:43" x14ac:dyDescent="0.2">
      <c r="AQ31690" s="31"/>
    </row>
    <row r="31691" spans="43:43" x14ac:dyDescent="0.2">
      <c r="AQ31691" s="31"/>
    </row>
    <row r="31692" spans="43:43" x14ac:dyDescent="0.2">
      <c r="AQ31692" s="31"/>
    </row>
    <row r="31693" spans="43:43" x14ac:dyDescent="0.2">
      <c r="AQ31693" s="31"/>
    </row>
    <row r="31694" spans="43:43" x14ac:dyDescent="0.2">
      <c r="AQ31694" s="31"/>
    </row>
    <row r="31695" spans="43:43" x14ac:dyDescent="0.2">
      <c r="AQ31695" s="31"/>
    </row>
    <row r="31696" spans="43:43" x14ac:dyDescent="0.2">
      <c r="AQ31696" s="31"/>
    </row>
    <row r="31697" spans="43:43" x14ac:dyDescent="0.2">
      <c r="AQ31697" s="31"/>
    </row>
    <row r="31698" spans="43:43" x14ac:dyDescent="0.2">
      <c r="AQ31698" s="31"/>
    </row>
    <row r="31699" spans="43:43" x14ac:dyDescent="0.2">
      <c r="AQ31699" s="31"/>
    </row>
    <row r="31700" spans="43:43" x14ac:dyDescent="0.2">
      <c r="AQ31700" s="31"/>
    </row>
    <row r="31701" spans="43:43" x14ac:dyDescent="0.2">
      <c r="AQ31701" s="31"/>
    </row>
    <row r="31702" spans="43:43" x14ac:dyDescent="0.2">
      <c r="AQ31702" s="31"/>
    </row>
    <row r="31703" spans="43:43" x14ac:dyDescent="0.2">
      <c r="AQ31703" s="31"/>
    </row>
    <row r="31704" spans="43:43" x14ac:dyDescent="0.2">
      <c r="AQ31704" s="31"/>
    </row>
    <row r="31705" spans="43:43" x14ac:dyDescent="0.2">
      <c r="AQ31705" s="31"/>
    </row>
    <row r="31706" spans="43:43" x14ac:dyDescent="0.2">
      <c r="AQ31706" s="31"/>
    </row>
    <row r="31707" spans="43:43" x14ac:dyDescent="0.2">
      <c r="AQ31707" s="31"/>
    </row>
    <row r="31708" spans="43:43" x14ac:dyDescent="0.2">
      <c r="AQ31708" s="31"/>
    </row>
    <row r="31709" spans="43:43" x14ac:dyDescent="0.2">
      <c r="AQ31709" s="31"/>
    </row>
    <row r="31710" spans="43:43" x14ac:dyDescent="0.2">
      <c r="AQ31710" s="31"/>
    </row>
    <row r="31711" spans="43:43" x14ac:dyDescent="0.2">
      <c r="AQ31711" s="31"/>
    </row>
    <row r="31712" spans="43:43" x14ac:dyDescent="0.2">
      <c r="AQ31712" s="31"/>
    </row>
    <row r="31713" spans="43:43" x14ac:dyDescent="0.2">
      <c r="AQ31713" s="31"/>
    </row>
    <row r="31714" spans="43:43" x14ac:dyDescent="0.2">
      <c r="AQ31714" s="31"/>
    </row>
    <row r="31715" spans="43:43" x14ac:dyDescent="0.2">
      <c r="AQ31715" s="31"/>
    </row>
    <row r="31716" spans="43:43" x14ac:dyDescent="0.2">
      <c r="AQ31716" s="31"/>
    </row>
    <row r="31717" spans="43:43" x14ac:dyDescent="0.2">
      <c r="AQ31717" s="31"/>
    </row>
    <row r="31718" spans="43:43" x14ac:dyDescent="0.2">
      <c r="AQ31718" s="31"/>
    </row>
    <row r="31719" spans="43:43" x14ac:dyDescent="0.2">
      <c r="AQ31719" s="31"/>
    </row>
    <row r="31720" spans="43:43" x14ac:dyDescent="0.2">
      <c r="AQ31720" s="31"/>
    </row>
    <row r="31721" spans="43:43" x14ac:dyDescent="0.2">
      <c r="AQ31721" s="31"/>
    </row>
    <row r="31722" spans="43:43" x14ac:dyDescent="0.2">
      <c r="AQ31722" s="31"/>
    </row>
    <row r="31723" spans="43:43" x14ac:dyDescent="0.2">
      <c r="AQ31723" s="31"/>
    </row>
    <row r="31724" spans="43:43" x14ac:dyDescent="0.2">
      <c r="AQ31724" s="31"/>
    </row>
    <row r="31725" spans="43:43" x14ac:dyDescent="0.2">
      <c r="AQ31725" s="31"/>
    </row>
    <row r="31726" spans="43:43" x14ac:dyDescent="0.2">
      <c r="AQ31726" s="31"/>
    </row>
    <row r="31727" spans="43:43" x14ac:dyDescent="0.2">
      <c r="AQ31727" s="31"/>
    </row>
    <row r="31728" spans="43:43" x14ac:dyDescent="0.2">
      <c r="AQ31728" s="31"/>
    </row>
    <row r="31729" spans="43:43" x14ac:dyDescent="0.2">
      <c r="AQ31729" s="31"/>
    </row>
    <row r="31730" spans="43:43" x14ac:dyDescent="0.2">
      <c r="AQ31730" s="31"/>
    </row>
    <row r="31731" spans="43:43" x14ac:dyDescent="0.2">
      <c r="AQ31731" s="31"/>
    </row>
    <row r="31732" spans="43:43" x14ac:dyDescent="0.2">
      <c r="AQ31732" s="31"/>
    </row>
    <row r="31733" spans="43:43" x14ac:dyDescent="0.2">
      <c r="AQ31733" s="31"/>
    </row>
    <row r="31734" spans="43:43" x14ac:dyDescent="0.2">
      <c r="AQ31734" s="31"/>
    </row>
    <row r="31735" spans="43:43" x14ac:dyDescent="0.2">
      <c r="AQ31735" s="31"/>
    </row>
    <row r="31736" spans="43:43" x14ac:dyDescent="0.2">
      <c r="AQ31736" s="31"/>
    </row>
    <row r="31737" spans="43:43" x14ac:dyDescent="0.2">
      <c r="AQ31737" s="31"/>
    </row>
    <row r="31738" spans="43:43" x14ac:dyDescent="0.2">
      <c r="AQ31738" s="31"/>
    </row>
    <row r="31739" spans="43:43" x14ac:dyDescent="0.2">
      <c r="AQ31739" s="31"/>
    </row>
    <row r="31740" spans="43:43" x14ac:dyDescent="0.2">
      <c r="AQ31740" s="31"/>
    </row>
    <row r="31741" spans="43:43" x14ac:dyDescent="0.2">
      <c r="AQ31741" s="31"/>
    </row>
    <row r="31742" spans="43:43" x14ac:dyDescent="0.2">
      <c r="AQ31742" s="31"/>
    </row>
    <row r="31743" spans="43:43" x14ac:dyDescent="0.2">
      <c r="AQ31743" s="31"/>
    </row>
    <row r="31744" spans="43:43" x14ac:dyDescent="0.2">
      <c r="AQ31744" s="31"/>
    </row>
    <row r="31745" spans="43:43" x14ac:dyDescent="0.2">
      <c r="AQ31745" s="31"/>
    </row>
    <row r="31746" spans="43:43" x14ac:dyDescent="0.2">
      <c r="AQ31746" s="31"/>
    </row>
    <row r="31747" spans="43:43" x14ac:dyDescent="0.2">
      <c r="AQ31747" s="31"/>
    </row>
    <row r="31748" spans="43:43" x14ac:dyDescent="0.2">
      <c r="AQ31748" s="31"/>
    </row>
    <row r="31749" spans="43:43" x14ac:dyDescent="0.2">
      <c r="AQ31749" s="31"/>
    </row>
    <row r="31750" spans="43:43" x14ac:dyDescent="0.2">
      <c r="AQ31750" s="31"/>
    </row>
    <row r="31751" spans="43:43" x14ac:dyDescent="0.2">
      <c r="AQ31751" s="31"/>
    </row>
    <row r="31752" spans="43:43" x14ac:dyDescent="0.2">
      <c r="AQ31752" s="31"/>
    </row>
    <row r="31753" spans="43:43" x14ac:dyDescent="0.2">
      <c r="AQ31753" s="31"/>
    </row>
    <row r="31754" spans="43:43" x14ac:dyDescent="0.2">
      <c r="AQ31754" s="31"/>
    </row>
    <row r="31755" spans="43:43" x14ac:dyDescent="0.2">
      <c r="AQ31755" s="31"/>
    </row>
    <row r="31756" spans="43:43" x14ac:dyDescent="0.2">
      <c r="AQ31756" s="31"/>
    </row>
    <row r="31757" spans="43:43" x14ac:dyDescent="0.2">
      <c r="AQ31757" s="31"/>
    </row>
    <row r="31758" spans="43:43" x14ac:dyDescent="0.2">
      <c r="AQ31758" s="31"/>
    </row>
    <row r="31759" spans="43:43" x14ac:dyDescent="0.2">
      <c r="AQ31759" s="31"/>
    </row>
    <row r="31760" spans="43:43" x14ac:dyDescent="0.2">
      <c r="AQ31760" s="31"/>
    </row>
    <row r="31761" spans="43:43" x14ac:dyDescent="0.2">
      <c r="AQ31761" s="31"/>
    </row>
    <row r="31762" spans="43:43" x14ac:dyDescent="0.2">
      <c r="AQ31762" s="31"/>
    </row>
    <row r="31763" spans="43:43" x14ac:dyDescent="0.2">
      <c r="AQ31763" s="31"/>
    </row>
    <row r="31764" spans="43:43" x14ac:dyDescent="0.2">
      <c r="AQ31764" s="31"/>
    </row>
    <row r="31765" spans="43:43" x14ac:dyDescent="0.2">
      <c r="AQ31765" s="31"/>
    </row>
    <row r="31766" spans="43:43" x14ac:dyDescent="0.2">
      <c r="AQ31766" s="31"/>
    </row>
    <row r="31767" spans="43:43" x14ac:dyDescent="0.2">
      <c r="AQ31767" s="31"/>
    </row>
    <row r="31768" spans="43:43" x14ac:dyDescent="0.2">
      <c r="AQ31768" s="31"/>
    </row>
    <row r="31769" spans="43:43" x14ac:dyDescent="0.2">
      <c r="AQ31769" s="31"/>
    </row>
    <row r="31770" spans="43:43" x14ac:dyDescent="0.2">
      <c r="AQ31770" s="31"/>
    </row>
    <row r="31771" spans="43:43" x14ac:dyDescent="0.2">
      <c r="AQ31771" s="31"/>
    </row>
    <row r="31772" spans="43:43" x14ac:dyDescent="0.2">
      <c r="AQ31772" s="31"/>
    </row>
    <row r="31773" spans="43:43" x14ac:dyDescent="0.2">
      <c r="AQ31773" s="31"/>
    </row>
    <row r="31774" spans="43:43" x14ac:dyDescent="0.2">
      <c r="AQ31774" s="31"/>
    </row>
    <row r="31775" spans="43:43" x14ac:dyDescent="0.2">
      <c r="AQ31775" s="31"/>
    </row>
    <row r="31776" spans="43:43" x14ac:dyDescent="0.2">
      <c r="AQ31776" s="31"/>
    </row>
    <row r="31777" spans="43:43" x14ac:dyDescent="0.2">
      <c r="AQ31777" s="31"/>
    </row>
    <row r="31778" spans="43:43" x14ac:dyDescent="0.2">
      <c r="AQ31778" s="31"/>
    </row>
    <row r="31779" spans="43:43" x14ac:dyDescent="0.2">
      <c r="AQ31779" s="31"/>
    </row>
    <row r="31780" spans="43:43" x14ac:dyDescent="0.2">
      <c r="AQ31780" s="31"/>
    </row>
    <row r="31781" spans="43:43" x14ac:dyDescent="0.2">
      <c r="AQ31781" s="31"/>
    </row>
    <row r="31782" spans="43:43" x14ac:dyDescent="0.2">
      <c r="AQ31782" s="31"/>
    </row>
    <row r="31783" spans="43:43" x14ac:dyDescent="0.2">
      <c r="AQ31783" s="31"/>
    </row>
    <row r="31784" spans="43:43" x14ac:dyDescent="0.2">
      <c r="AQ31784" s="31"/>
    </row>
    <row r="31785" spans="43:43" x14ac:dyDescent="0.2">
      <c r="AQ31785" s="31"/>
    </row>
    <row r="31786" spans="43:43" x14ac:dyDescent="0.2">
      <c r="AQ31786" s="31"/>
    </row>
    <row r="31787" spans="43:43" x14ac:dyDescent="0.2">
      <c r="AQ31787" s="31"/>
    </row>
    <row r="31788" spans="43:43" x14ac:dyDescent="0.2">
      <c r="AQ31788" s="31"/>
    </row>
    <row r="31789" spans="43:43" x14ac:dyDescent="0.2">
      <c r="AQ31789" s="31"/>
    </row>
    <row r="31790" spans="43:43" x14ac:dyDescent="0.2">
      <c r="AQ31790" s="31"/>
    </row>
    <row r="31791" spans="43:43" x14ac:dyDescent="0.2">
      <c r="AQ31791" s="31"/>
    </row>
    <row r="31792" spans="43:43" x14ac:dyDescent="0.2">
      <c r="AQ31792" s="31"/>
    </row>
    <row r="31793" spans="43:43" x14ac:dyDescent="0.2">
      <c r="AQ31793" s="31"/>
    </row>
    <row r="31794" spans="43:43" x14ac:dyDescent="0.2">
      <c r="AQ31794" s="31"/>
    </row>
    <row r="31795" spans="43:43" x14ac:dyDescent="0.2">
      <c r="AQ31795" s="31"/>
    </row>
    <row r="31796" spans="43:43" x14ac:dyDescent="0.2">
      <c r="AQ31796" s="31"/>
    </row>
    <row r="31797" spans="43:43" x14ac:dyDescent="0.2">
      <c r="AQ31797" s="31"/>
    </row>
    <row r="31798" spans="43:43" x14ac:dyDescent="0.2">
      <c r="AQ31798" s="31"/>
    </row>
    <row r="31799" spans="43:43" x14ac:dyDescent="0.2">
      <c r="AQ31799" s="31"/>
    </row>
    <row r="31800" spans="43:43" x14ac:dyDescent="0.2">
      <c r="AQ31800" s="31"/>
    </row>
    <row r="31801" spans="43:43" x14ac:dyDescent="0.2">
      <c r="AQ31801" s="31"/>
    </row>
    <row r="31802" spans="43:43" x14ac:dyDescent="0.2">
      <c r="AQ31802" s="31"/>
    </row>
    <row r="31803" spans="43:43" x14ac:dyDescent="0.2">
      <c r="AQ31803" s="31"/>
    </row>
    <row r="31804" spans="43:43" x14ac:dyDescent="0.2">
      <c r="AQ31804" s="31"/>
    </row>
    <row r="31805" spans="43:43" x14ac:dyDescent="0.2">
      <c r="AQ31805" s="31"/>
    </row>
    <row r="31806" spans="43:43" x14ac:dyDescent="0.2">
      <c r="AQ31806" s="31"/>
    </row>
    <row r="31807" spans="43:43" x14ac:dyDescent="0.2">
      <c r="AQ31807" s="31"/>
    </row>
    <row r="31808" spans="43:43" x14ac:dyDescent="0.2">
      <c r="AQ31808" s="31"/>
    </row>
    <row r="31809" spans="43:43" x14ac:dyDescent="0.2">
      <c r="AQ31809" s="31"/>
    </row>
    <row r="31810" spans="43:43" x14ac:dyDescent="0.2">
      <c r="AQ31810" s="31"/>
    </row>
    <row r="31811" spans="43:43" x14ac:dyDescent="0.2">
      <c r="AQ31811" s="31"/>
    </row>
    <row r="31812" spans="43:43" x14ac:dyDescent="0.2">
      <c r="AQ31812" s="31"/>
    </row>
    <row r="31813" spans="43:43" x14ac:dyDescent="0.2">
      <c r="AQ31813" s="31"/>
    </row>
    <row r="31814" spans="43:43" x14ac:dyDescent="0.2">
      <c r="AQ31814" s="31"/>
    </row>
    <row r="31815" spans="43:43" x14ac:dyDescent="0.2">
      <c r="AQ31815" s="31"/>
    </row>
    <row r="31816" spans="43:43" x14ac:dyDescent="0.2">
      <c r="AQ31816" s="31"/>
    </row>
    <row r="31817" spans="43:43" x14ac:dyDescent="0.2">
      <c r="AQ31817" s="31"/>
    </row>
    <row r="31818" spans="43:43" x14ac:dyDescent="0.2">
      <c r="AQ31818" s="31"/>
    </row>
    <row r="31819" spans="43:43" x14ac:dyDescent="0.2">
      <c r="AQ31819" s="31"/>
    </row>
    <row r="31820" spans="43:43" x14ac:dyDescent="0.2">
      <c r="AQ31820" s="31"/>
    </row>
    <row r="31821" spans="43:43" x14ac:dyDescent="0.2">
      <c r="AQ31821" s="31"/>
    </row>
    <row r="31822" spans="43:43" x14ac:dyDescent="0.2">
      <c r="AQ31822" s="31"/>
    </row>
    <row r="31823" spans="43:43" x14ac:dyDescent="0.2">
      <c r="AQ31823" s="31"/>
    </row>
    <row r="31824" spans="43:43" x14ac:dyDescent="0.2">
      <c r="AQ31824" s="31"/>
    </row>
    <row r="31825" spans="43:43" x14ac:dyDescent="0.2">
      <c r="AQ31825" s="31"/>
    </row>
    <row r="31826" spans="43:43" x14ac:dyDescent="0.2">
      <c r="AQ31826" s="31"/>
    </row>
    <row r="31827" spans="43:43" x14ac:dyDescent="0.2">
      <c r="AQ31827" s="31"/>
    </row>
    <row r="31828" spans="43:43" x14ac:dyDescent="0.2">
      <c r="AQ31828" s="31"/>
    </row>
    <row r="31829" spans="43:43" x14ac:dyDescent="0.2">
      <c r="AQ31829" s="31"/>
    </row>
    <row r="31830" spans="43:43" x14ac:dyDescent="0.2">
      <c r="AQ31830" s="31"/>
    </row>
    <row r="31831" spans="43:43" x14ac:dyDescent="0.2">
      <c r="AQ31831" s="31"/>
    </row>
    <row r="31832" spans="43:43" x14ac:dyDescent="0.2">
      <c r="AQ31832" s="31"/>
    </row>
    <row r="31833" spans="43:43" x14ac:dyDescent="0.2">
      <c r="AQ31833" s="31"/>
    </row>
    <row r="31834" spans="43:43" x14ac:dyDescent="0.2">
      <c r="AQ31834" s="31"/>
    </row>
    <row r="31835" spans="43:43" x14ac:dyDescent="0.2">
      <c r="AQ31835" s="31"/>
    </row>
    <row r="31836" spans="43:43" x14ac:dyDescent="0.2">
      <c r="AQ31836" s="31"/>
    </row>
    <row r="31837" spans="43:43" x14ac:dyDescent="0.2">
      <c r="AQ31837" s="31"/>
    </row>
    <row r="31838" spans="43:43" x14ac:dyDescent="0.2">
      <c r="AQ31838" s="31"/>
    </row>
    <row r="31839" spans="43:43" x14ac:dyDescent="0.2">
      <c r="AQ31839" s="31"/>
    </row>
    <row r="31840" spans="43:43" x14ac:dyDescent="0.2">
      <c r="AQ31840" s="31"/>
    </row>
    <row r="31841" spans="43:43" x14ac:dyDescent="0.2">
      <c r="AQ31841" s="31"/>
    </row>
    <row r="31842" spans="43:43" x14ac:dyDescent="0.2">
      <c r="AQ31842" s="31"/>
    </row>
    <row r="31843" spans="43:43" x14ac:dyDescent="0.2">
      <c r="AQ31843" s="31"/>
    </row>
    <row r="31844" spans="43:43" x14ac:dyDescent="0.2">
      <c r="AQ31844" s="31"/>
    </row>
    <row r="31845" spans="43:43" x14ac:dyDescent="0.2">
      <c r="AQ31845" s="31"/>
    </row>
    <row r="31846" spans="43:43" x14ac:dyDescent="0.2">
      <c r="AQ31846" s="31"/>
    </row>
    <row r="31847" spans="43:43" x14ac:dyDescent="0.2">
      <c r="AQ31847" s="31"/>
    </row>
    <row r="31848" spans="43:43" x14ac:dyDescent="0.2">
      <c r="AQ31848" s="31"/>
    </row>
    <row r="31849" spans="43:43" x14ac:dyDescent="0.2">
      <c r="AQ31849" s="31"/>
    </row>
    <row r="31850" spans="43:43" x14ac:dyDescent="0.2">
      <c r="AQ31850" s="31"/>
    </row>
    <row r="31851" spans="43:43" x14ac:dyDescent="0.2">
      <c r="AQ31851" s="31"/>
    </row>
    <row r="31852" spans="43:43" x14ac:dyDescent="0.2">
      <c r="AQ31852" s="31"/>
    </row>
    <row r="31853" spans="43:43" x14ac:dyDescent="0.2">
      <c r="AQ31853" s="31"/>
    </row>
    <row r="31854" spans="43:43" x14ac:dyDescent="0.2">
      <c r="AQ31854" s="31"/>
    </row>
    <row r="31855" spans="43:43" x14ac:dyDescent="0.2">
      <c r="AQ31855" s="31"/>
    </row>
    <row r="31856" spans="43:43" x14ac:dyDescent="0.2">
      <c r="AQ31856" s="31"/>
    </row>
    <row r="31857" spans="43:43" x14ac:dyDescent="0.2">
      <c r="AQ31857" s="31"/>
    </row>
    <row r="31858" spans="43:43" x14ac:dyDescent="0.2">
      <c r="AQ31858" s="31"/>
    </row>
    <row r="31859" spans="43:43" x14ac:dyDescent="0.2">
      <c r="AQ31859" s="31"/>
    </row>
    <row r="31860" spans="43:43" x14ac:dyDescent="0.2">
      <c r="AQ31860" s="31"/>
    </row>
    <row r="31861" spans="43:43" x14ac:dyDescent="0.2">
      <c r="AQ31861" s="31"/>
    </row>
    <row r="31862" spans="43:43" x14ac:dyDescent="0.2">
      <c r="AQ31862" s="31"/>
    </row>
    <row r="31863" spans="43:43" x14ac:dyDescent="0.2">
      <c r="AQ31863" s="31"/>
    </row>
    <row r="31864" spans="43:43" x14ac:dyDescent="0.2">
      <c r="AQ31864" s="31"/>
    </row>
    <row r="31865" spans="43:43" x14ac:dyDescent="0.2">
      <c r="AQ31865" s="31"/>
    </row>
    <row r="31866" spans="43:43" x14ac:dyDescent="0.2">
      <c r="AQ31866" s="31"/>
    </row>
    <row r="31867" spans="43:43" x14ac:dyDescent="0.2">
      <c r="AQ31867" s="31"/>
    </row>
    <row r="31868" spans="43:43" x14ac:dyDescent="0.2">
      <c r="AQ31868" s="31"/>
    </row>
    <row r="31869" spans="43:43" x14ac:dyDescent="0.2">
      <c r="AQ31869" s="31"/>
    </row>
    <row r="31870" spans="43:43" x14ac:dyDescent="0.2">
      <c r="AQ31870" s="31"/>
    </row>
    <row r="31871" spans="43:43" x14ac:dyDescent="0.2">
      <c r="AQ31871" s="31"/>
    </row>
    <row r="31872" spans="43:43" x14ac:dyDescent="0.2">
      <c r="AQ31872" s="31"/>
    </row>
    <row r="31873" spans="43:43" x14ac:dyDescent="0.2">
      <c r="AQ31873" s="31"/>
    </row>
    <row r="31874" spans="43:43" x14ac:dyDescent="0.2">
      <c r="AQ31874" s="31"/>
    </row>
    <row r="31875" spans="43:43" x14ac:dyDescent="0.2">
      <c r="AQ31875" s="31"/>
    </row>
    <row r="31876" spans="43:43" x14ac:dyDescent="0.2">
      <c r="AQ31876" s="31"/>
    </row>
    <row r="31877" spans="43:43" x14ac:dyDescent="0.2">
      <c r="AQ31877" s="31"/>
    </row>
    <row r="31878" spans="43:43" x14ac:dyDescent="0.2">
      <c r="AQ31878" s="31"/>
    </row>
    <row r="31879" spans="43:43" x14ac:dyDescent="0.2">
      <c r="AQ31879" s="31"/>
    </row>
    <row r="31880" spans="43:43" x14ac:dyDescent="0.2">
      <c r="AQ31880" s="31"/>
    </row>
    <row r="31881" spans="43:43" x14ac:dyDescent="0.2">
      <c r="AQ31881" s="31"/>
    </row>
    <row r="31882" spans="43:43" x14ac:dyDescent="0.2">
      <c r="AQ31882" s="31"/>
    </row>
    <row r="31883" spans="43:43" x14ac:dyDescent="0.2">
      <c r="AQ31883" s="31"/>
    </row>
    <row r="31884" spans="43:43" x14ac:dyDescent="0.2">
      <c r="AQ31884" s="31"/>
    </row>
    <row r="31885" spans="43:43" x14ac:dyDescent="0.2">
      <c r="AQ31885" s="31"/>
    </row>
    <row r="31886" spans="43:43" x14ac:dyDescent="0.2">
      <c r="AQ31886" s="31"/>
    </row>
    <row r="31887" spans="43:43" x14ac:dyDescent="0.2">
      <c r="AQ31887" s="31"/>
    </row>
    <row r="31888" spans="43:43" x14ac:dyDescent="0.2">
      <c r="AQ31888" s="31"/>
    </row>
    <row r="31889" spans="43:43" x14ac:dyDescent="0.2">
      <c r="AQ31889" s="31"/>
    </row>
    <row r="31890" spans="43:43" x14ac:dyDescent="0.2">
      <c r="AQ31890" s="31"/>
    </row>
    <row r="31891" spans="43:43" x14ac:dyDescent="0.2">
      <c r="AQ31891" s="31"/>
    </row>
    <row r="31892" spans="43:43" x14ac:dyDescent="0.2">
      <c r="AQ31892" s="31"/>
    </row>
    <row r="31893" spans="43:43" x14ac:dyDescent="0.2">
      <c r="AQ31893" s="31"/>
    </row>
    <row r="31894" spans="43:43" x14ac:dyDescent="0.2">
      <c r="AQ31894" s="31"/>
    </row>
    <row r="31895" spans="43:43" x14ac:dyDescent="0.2">
      <c r="AQ31895" s="31"/>
    </row>
    <row r="31896" spans="43:43" x14ac:dyDescent="0.2">
      <c r="AQ31896" s="31"/>
    </row>
    <row r="31897" spans="43:43" x14ac:dyDescent="0.2">
      <c r="AQ31897" s="31"/>
    </row>
    <row r="31898" spans="43:43" x14ac:dyDescent="0.2">
      <c r="AQ31898" s="31"/>
    </row>
    <row r="31899" spans="43:43" x14ac:dyDescent="0.2">
      <c r="AQ31899" s="31"/>
    </row>
    <row r="31900" spans="43:43" x14ac:dyDescent="0.2">
      <c r="AQ31900" s="31"/>
    </row>
    <row r="31901" spans="43:43" x14ac:dyDescent="0.2">
      <c r="AQ31901" s="31"/>
    </row>
    <row r="31902" spans="43:43" x14ac:dyDescent="0.2">
      <c r="AQ31902" s="31"/>
    </row>
    <row r="31903" spans="43:43" x14ac:dyDescent="0.2">
      <c r="AQ31903" s="31"/>
    </row>
    <row r="31904" spans="43:43" x14ac:dyDescent="0.2">
      <c r="AQ31904" s="31"/>
    </row>
    <row r="31905" spans="43:43" x14ac:dyDescent="0.2">
      <c r="AQ31905" s="31"/>
    </row>
    <row r="31906" spans="43:43" x14ac:dyDescent="0.2">
      <c r="AQ31906" s="31"/>
    </row>
    <row r="31907" spans="43:43" x14ac:dyDescent="0.2">
      <c r="AQ31907" s="31"/>
    </row>
    <row r="31908" spans="43:43" x14ac:dyDescent="0.2">
      <c r="AQ31908" s="31"/>
    </row>
    <row r="31909" spans="43:43" x14ac:dyDescent="0.2">
      <c r="AQ31909" s="31"/>
    </row>
    <row r="31910" spans="43:43" x14ac:dyDescent="0.2">
      <c r="AQ31910" s="31"/>
    </row>
    <row r="31911" spans="43:43" x14ac:dyDescent="0.2">
      <c r="AQ31911" s="31"/>
    </row>
    <row r="31912" spans="43:43" x14ac:dyDescent="0.2">
      <c r="AQ31912" s="31"/>
    </row>
    <row r="31913" spans="43:43" x14ac:dyDescent="0.2">
      <c r="AQ31913" s="31"/>
    </row>
    <row r="31914" spans="43:43" x14ac:dyDescent="0.2">
      <c r="AQ31914" s="31"/>
    </row>
    <row r="31915" spans="43:43" x14ac:dyDescent="0.2">
      <c r="AQ31915" s="31"/>
    </row>
    <row r="31916" spans="43:43" x14ac:dyDescent="0.2">
      <c r="AQ31916" s="31"/>
    </row>
    <row r="31917" spans="43:43" x14ac:dyDescent="0.2">
      <c r="AQ31917" s="31"/>
    </row>
    <row r="31918" spans="43:43" x14ac:dyDescent="0.2">
      <c r="AQ31918" s="31"/>
    </row>
    <row r="31919" spans="43:43" x14ac:dyDescent="0.2">
      <c r="AQ31919" s="31"/>
    </row>
    <row r="31920" spans="43:43" x14ac:dyDescent="0.2">
      <c r="AQ31920" s="31"/>
    </row>
    <row r="31921" spans="43:43" x14ac:dyDescent="0.2">
      <c r="AQ31921" s="31"/>
    </row>
    <row r="31922" spans="43:43" x14ac:dyDescent="0.2">
      <c r="AQ31922" s="31"/>
    </row>
    <row r="31923" spans="43:43" x14ac:dyDescent="0.2">
      <c r="AQ31923" s="31"/>
    </row>
    <row r="31924" spans="43:43" x14ac:dyDescent="0.2">
      <c r="AQ31924" s="31"/>
    </row>
    <row r="31925" spans="43:43" x14ac:dyDescent="0.2">
      <c r="AQ31925" s="31"/>
    </row>
    <row r="31926" spans="43:43" x14ac:dyDescent="0.2">
      <c r="AQ31926" s="31"/>
    </row>
    <row r="31927" spans="43:43" x14ac:dyDescent="0.2">
      <c r="AQ31927" s="31"/>
    </row>
    <row r="31928" spans="43:43" x14ac:dyDescent="0.2">
      <c r="AQ31928" s="31"/>
    </row>
    <row r="31929" spans="43:43" x14ac:dyDescent="0.2">
      <c r="AQ31929" s="31"/>
    </row>
    <row r="31930" spans="43:43" x14ac:dyDescent="0.2">
      <c r="AQ31930" s="31"/>
    </row>
    <row r="31931" spans="43:43" x14ac:dyDescent="0.2">
      <c r="AQ31931" s="31"/>
    </row>
    <row r="31932" spans="43:43" x14ac:dyDescent="0.2">
      <c r="AQ31932" s="31"/>
    </row>
    <row r="31933" spans="43:43" x14ac:dyDescent="0.2">
      <c r="AQ31933" s="31"/>
    </row>
    <row r="31934" spans="43:43" x14ac:dyDescent="0.2">
      <c r="AQ31934" s="31"/>
    </row>
    <row r="31935" spans="43:43" x14ac:dyDescent="0.2">
      <c r="AQ31935" s="31"/>
    </row>
    <row r="31936" spans="43:43" x14ac:dyDescent="0.2">
      <c r="AQ31936" s="31"/>
    </row>
    <row r="31937" spans="43:43" x14ac:dyDescent="0.2">
      <c r="AQ31937" s="31"/>
    </row>
    <row r="31938" spans="43:43" x14ac:dyDescent="0.2">
      <c r="AQ31938" s="31"/>
    </row>
    <row r="31939" spans="43:43" x14ac:dyDescent="0.2">
      <c r="AQ31939" s="31"/>
    </row>
    <row r="31940" spans="43:43" x14ac:dyDescent="0.2">
      <c r="AQ31940" s="31"/>
    </row>
    <row r="31941" spans="43:43" x14ac:dyDescent="0.2">
      <c r="AQ31941" s="31"/>
    </row>
    <row r="31942" spans="43:43" x14ac:dyDescent="0.2">
      <c r="AQ31942" s="31"/>
    </row>
    <row r="31943" spans="43:43" x14ac:dyDescent="0.2">
      <c r="AQ31943" s="31"/>
    </row>
    <row r="31944" spans="43:43" x14ac:dyDescent="0.2">
      <c r="AQ31944" s="31"/>
    </row>
    <row r="31945" spans="43:43" x14ac:dyDescent="0.2">
      <c r="AQ31945" s="31"/>
    </row>
    <row r="31946" spans="43:43" x14ac:dyDescent="0.2">
      <c r="AQ31946" s="31"/>
    </row>
    <row r="31947" spans="43:43" x14ac:dyDescent="0.2">
      <c r="AQ31947" s="31"/>
    </row>
    <row r="31948" spans="43:43" x14ac:dyDescent="0.2">
      <c r="AQ31948" s="31"/>
    </row>
    <row r="31949" spans="43:43" x14ac:dyDescent="0.2">
      <c r="AQ31949" s="31"/>
    </row>
    <row r="31950" spans="43:43" x14ac:dyDescent="0.2">
      <c r="AQ31950" s="31"/>
    </row>
    <row r="31951" spans="43:43" x14ac:dyDescent="0.2">
      <c r="AQ31951" s="31"/>
    </row>
    <row r="31952" spans="43:43" x14ac:dyDescent="0.2">
      <c r="AQ31952" s="31"/>
    </row>
    <row r="31953" spans="43:43" x14ac:dyDescent="0.2">
      <c r="AQ31953" s="31"/>
    </row>
    <row r="31954" spans="43:43" x14ac:dyDescent="0.2">
      <c r="AQ31954" s="31"/>
    </row>
    <row r="31955" spans="43:43" x14ac:dyDescent="0.2">
      <c r="AQ31955" s="31"/>
    </row>
    <row r="31956" spans="43:43" x14ac:dyDescent="0.2">
      <c r="AQ31956" s="31"/>
    </row>
    <row r="31957" spans="43:43" x14ac:dyDescent="0.2">
      <c r="AQ31957" s="31"/>
    </row>
    <row r="31958" spans="43:43" x14ac:dyDescent="0.2">
      <c r="AQ31958" s="31"/>
    </row>
    <row r="31959" spans="43:43" x14ac:dyDescent="0.2">
      <c r="AQ31959" s="31"/>
    </row>
    <row r="31960" spans="43:43" x14ac:dyDescent="0.2">
      <c r="AQ31960" s="31"/>
    </row>
    <row r="31961" spans="43:43" x14ac:dyDescent="0.2">
      <c r="AQ31961" s="31"/>
    </row>
    <row r="31962" spans="43:43" x14ac:dyDescent="0.2">
      <c r="AQ31962" s="31"/>
    </row>
    <row r="31963" spans="43:43" x14ac:dyDescent="0.2">
      <c r="AQ31963" s="31"/>
    </row>
    <row r="31964" spans="43:43" x14ac:dyDescent="0.2">
      <c r="AQ31964" s="31"/>
    </row>
    <row r="31965" spans="43:43" x14ac:dyDescent="0.2">
      <c r="AQ31965" s="31"/>
    </row>
    <row r="31966" spans="43:43" x14ac:dyDescent="0.2">
      <c r="AQ31966" s="31"/>
    </row>
    <row r="31967" spans="43:43" x14ac:dyDescent="0.2">
      <c r="AQ31967" s="31"/>
    </row>
    <row r="31968" spans="43:43" x14ac:dyDescent="0.2">
      <c r="AQ31968" s="31"/>
    </row>
    <row r="31969" spans="43:43" x14ac:dyDescent="0.2">
      <c r="AQ31969" s="31"/>
    </row>
    <row r="31970" spans="43:43" x14ac:dyDescent="0.2">
      <c r="AQ31970" s="31"/>
    </row>
    <row r="31971" spans="43:43" x14ac:dyDescent="0.2">
      <c r="AQ31971" s="31"/>
    </row>
    <row r="31972" spans="43:43" x14ac:dyDescent="0.2">
      <c r="AQ31972" s="31"/>
    </row>
    <row r="31973" spans="43:43" x14ac:dyDescent="0.2">
      <c r="AQ31973" s="31"/>
    </row>
    <row r="31974" spans="43:43" x14ac:dyDescent="0.2">
      <c r="AQ31974" s="31"/>
    </row>
    <row r="31975" spans="43:43" x14ac:dyDescent="0.2">
      <c r="AQ31975" s="31"/>
    </row>
    <row r="31976" spans="43:43" x14ac:dyDescent="0.2">
      <c r="AQ31976" s="31"/>
    </row>
    <row r="31977" spans="43:43" x14ac:dyDescent="0.2">
      <c r="AQ31977" s="31"/>
    </row>
    <row r="31978" spans="43:43" x14ac:dyDescent="0.2">
      <c r="AQ31978" s="31"/>
    </row>
    <row r="31979" spans="43:43" x14ac:dyDescent="0.2">
      <c r="AQ31979" s="31"/>
    </row>
    <row r="31980" spans="43:43" x14ac:dyDescent="0.2">
      <c r="AQ31980" s="31"/>
    </row>
    <row r="31981" spans="43:43" x14ac:dyDescent="0.2">
      <c r="AQ31981" s="31"/>
    </row>
    <row r="31982" spans="43:43" x14ac:dyDescent="0.2">
      <c r="AQ31982" s="31"/>
    </row>
    <row r="31983" spans="43:43" x14ac:dyDescent="0.2">
      <c r="AQ31983" s="31"/>
    </row>
    <row r="31984" spans="43:43" x14ac:dyDescent="0.2">
      <c r="AQ31984" s="31"/>
    </row>
    <row r="31985" spans="43:43" x14ac:dyDescent="0.2">
      <c r="AQ31985" s="31"/>
    </row>
    <row r="31986" spans="43:43" x14ac:dyDescent="0.2">
      <c r="AQ31986" s="31"/>
    </row>
    <row r="31987" spans="43:43" x14ac:dyDescent="0.2">
      <c r="AQ31987" s="31"/>
    </row>
    <row r="31988" spans="43:43" x14ac:dyDescent="0.2">
      <c r="AQ31988" s="31"/>
    </row>
    <row r="31989" spans="43:43" x14ac:dyDescent="0.2">
      <c r="AQ31989" s="31"/>
    </row>
    <row r="31990" spans="43:43" x14ac:dyDescent="0.2">
      <c r="AQ31990" s="31"/>
    </row>
    <row r="31991" spans="43:43" x14ac:dyDescent="0.2">
      <c r="AQ31991" s="31"/>
    </row>
    <row r="31992" spans="43:43" x14ac:dyDescent="0.2">
      <c r="AQ31992" s="31"/>
    </row>
    <row r="31993" spans="43:43" x14ac:dyDescent="0.2">
      <c r="AQ31993" s="31"/>
    </row>
    <row r="31994" spans="43:43" x14ac:dyDescent="0.2">
      <c r="AQ31994" s="31"/>
    </row>
    <row r="31995" spans="43:43" x14ac:dyDescent="0.2">
      <c r="AQ31995" s="31"/>
    </row>
    <row r="31996" spans="43:43" x14ac:dyDescent="0.2">
      <c r="AQ31996" s="31"/>
    </row>
    <row r="31997" spans="43:43" x14ac:dyDescent="0.2">
      <c r="AQ31997" s="31"/>
    </row>
    <row r="31998" spans="43:43" x14ac:dyDescent="0.2">
      <c r="AQ31998" s="31"/>
    </row>
    <row r="31999" spans="43:43" x14ac:dyDescent="0.2">
      <c r="AQ31999" s="31"/>
    </row>
    <row r="32000" spans="43:43" x14ac:dyDescent="0.2">
      <c r="AQ32000" s="31"/>
    </row>
    <row r="32001" spans="43:43" x14ac:dyDescent="0.2">
      <c r="AQ32001" s="31"/>
    </row>
    <row r="32002" spans="43:43" x14ac:dyDescent="0.2">
      <c r="AQ32002" s="31"/>
    </row>
    <row r="32003" spans="43:43" x14ac:dyDescent="0.2">
      <c r="AQ32003" s="31"/>
    </row>
    <row r="32004" spans="43:43" x14ac:dyDescent="0.2">
      <c r="AQ32004" s="31"/>
    </row>
    <row r="32005" spans="43:43" x14ac:dyDescent="0.2">
      <c r="AQ32005" s="31"/>
    </row>
    <row r="32006" spans="43:43" x14ac:dyDescent="0.2">
      <c r="AQ32006" s="31"/>
    </row>
    <row r="32007" spans="43:43" x14ac:dyDescent="0.2">
      <c r="AQ32007" s="31"/>
    </row>
    <row r="32008" spans="43:43" x14ac:dyDescent="0.2">
      <c r="AQ32008" s="31"/>
    </row>
    <row r="32009" spans="43:43" x14ac:dyDescent="0.2">
      <c r="AQ32009" s="31"/>
    </row>
    <row r="32010" spans="43:43" x14ac:dyDescent="0.2">
      <c r="AQ32010" s="31"/>
    </row>
    <row r="32011" spans="43:43" x14ac:dyDescent="0.2">
      <c r="AQ32011" s="31"/>
    </row>
    <row r="32012" spans="43:43" x14ac:dyDescent="0.2">
      <c r="AQ32012" s="31"/>
    </row>
    <row r="32013" spans="43:43" x14ac:dyDescent="0.2">
      <c r="AQ32013" s="31"/>
    </row>
    <row r="32014" spans="43:43" x14ac:dyDescent="0.2">
      <c r="AQ32014" s="31"/>
    </row>
    <row r="32015" spans="43:43" x14ac:dyDescent="0.2">
      <c r="AQ32015" s="31"/>
    </row>
    <row r="32016" spans="43:43" x14ac:dyDescent="0.2">
      <c r="AQ32016" s="31"/>
    </row>
    <row r="32017" spans="43:43" x14ac:dyDescent="0.2">
      <c r="AQ32017" s="31"/>
    </row>
    <row r="32018" spans="43:43" x14ac:dyDescent="0.2">
      <c r="AQ32018" s="31"/>
    </row>
    <row r="32019" spans="43:43" x14ac:dyDescent="0.2">
      <c r="AQ32019" s="31"/>
    </row>
    <row r="32020" spans="43:43" x14ac:dyDescent="0.2">
      <c r="AQ32020" s="31"/>
    </row>
    <row r="32021" spans="43:43" x14ac:dyDescent="0.2">
      <c r="AQ32021" s="31"/>
    </row>
    <row r="32022" spans="43:43" x14ac:dyDescent="0.2">
      <c r="AQ32022" s="31"/>
    </row>
    <row r="32023" spans="43:43" x14ac:dyDescent="0.2">
      <c r="AQ32023" s="31"/>
    </row>
    <row r="32024" spans="43:43" x14ac:dyDescent="0.2">
      <c r="AQ32024" s="31"/>
    </row>
    <row r="32025" spans="43:43" x14ac:dyDescent="0.2">
      <c r="AQ32025" s="31"/>
    </row>
    <row r="32026" spans="43:43" x14ac:dyDescent="0.2">
      <c r="AQ32026" s="31"/>
    </row>
    <row r="32027" spans="43:43" x14ac:dyDescent="0.2">
      <c r="AQ32027" s="31"/>
    </row>
    <row r="32028" spans="43:43" x14ac:dyDescent="0.2">
      <c r="AQ32028" s="31"/>
    </row>
    <row r="32029" spans="43:43" x14ac:dyDescent="0.2">
      <c r="AQ32029" s="31"/>
    </row>
    <row r="32030" spans="43:43" x14ac:dyDescent="0.2">
      <c r="AQ32030" s="31"/>
    </row>
    <row r="32031" spans="43:43" x14ac:dyDescent="0.2">
      <c r="AQ32031" s="31"/>
    </row>
    <row r="32032" spans="43:43" x14ac:dyDescent="0.2">
      <c r="AQ32032" s="31"/>
    </row>
    <row r="32033" spans="43:43" x14ac:dyDescent="0.2">
      <c r="AQ32033" s="31"/>
    </row>
    <row r="32034" spans="43:43" x14ac:dyDescent="0.2">
      <c r="AQ32034" s="31"/>
    </row>
    <row r="32035" spans="43:43" x14ac:dyDescent="0.2">
      <c r="AQ32035" s="31"/>
    </row>
    <row r="32036" spans="43:43" x14ac:dyDescent="0.2">
      <c r="AQ32036" s="31"/>
    </row>
    <row r="32037" spans="43:43" x14ac:dyDescent="0.2">
      <c r="AQ32037" s="31"/>
    </row>
    <row r="32038" spans="43:43" x14ac:dyDescent="0.2">
      <c r="AQ32038" s="31"/>
    </row>
    <row r="32039" spans="43:43" x14ac:dyDescent="0.2">
      <c r="AQ32039" s="31"/>
    </row>
    <row r="32040" spans="43:43" x14ac:dyDescent="0.2">
      <c r="AQ32040" s="31"/>
    </row>
    <row r="32041" spans="43:43" x14ac:dyDescent="0.2">
      <c r="AQ32041" s="31"/>
    </row>
    <row r="32042" spans="43:43" x14ac:dyDescent="0.2">
      <c r="AQ32042" s="31"/>
    </row>
    <row r="32043" spans="43:43" x14ac:dyDescent="0.2">
      <c r="AQ32043" s="31"/>
    </row>
    <row r="32044" spans="43:43" x14ac:dyDescent="0.2">
      <c r="AQ32044" s="31"/>
    </row>
    <row r="32045" spans="43:43" x14ac:dyDescent="0.2">
      <c r="AQ32045" s="31"/>
    </row>
    <row r="32046" spans="43:43" x14ac:dyDescent="0.2">
      <c r="AQ32046" s="31"/>
    </row>
    <row r="32047" spans="43:43" x14ac:dyDescent="0.2">
      <c r="AQ32047" s="31"/>
    </row>
    <row r="32048" spans="43:43" x14ac:dyDescent="0.2">
      <c r="AQ32048" s="31"/>
    </row>
    <row r="32049" spans="43:43" x14ac:dyDescent="0.2">
      <c r="AQ32049" s="31"/>
    </row>
    <row r="32050" spans="43:43" x14ac:dyDescent="0.2">
      <c r="AQ32050" s="31"/>
    </row>
    <row r="32051" spans="43:43" x14ac:dyDescent="0.2">
      <c r="AQ32051" s="31"/>
    </row>
    <row r="32052" spans="43:43" x14ac:dyDescent="0.2">
      <c r="AQ32052" s="31"/>
    </row>
    <row r="32053" spans="43:43" x14ac:dyDescent="0.2">
      <c r="AQ32053" s="31"/>
    </row>
    <row r="32054" spans="43:43" x14ac:dyDescent="0.2">
      <c r="AQ32054" s="31"/>
    </row>
    <row r="32055" spans="43:43" x14ac:dyDescent="0.2">
      <c r="AQ32055" s="31"/>
    </row>
    <row r="32056" spans="43:43" x14ac:dyDescent="0.2">
      <c r="AQ32056" s="31"/>
    </row>
    <row r="32057" spans="43:43" x14ac:dyDescent="0.2">
      <c r="AQ32057" s="31"/>
    </row>
    <row r="32058" spans="43:43" x14ac:dyDescent="0.2">
      <c r="AQ32058" s="31"/>
    </row>
    <row r="32059" spans="43:43" x14ac:dyDescent="0.2">
      <c r="AQ32059" s="31"/>
    </row>
    <row r="32060" spans="43:43" x14ac:dyDescent="0.2">
      <c r="AQ32060" s="31"/>
    </row>
    <row r="32061" spans="43:43" x14ac:dyDescent="0.2">
      <c r="AQ32061" s="31"/>
    </row>
    <row r="32062" spans="43:43" x14ac:dyDescent="0.2">
      <c r="AQ32062" s="31"/>
    </row>
    <row r="32063" spans="43:43" x14ac:dyDescent="0.2">
      <c r="AQ32063" s="31"/>
    </row>
    <row r="32064" spans="43:43" x14ac:dyDescent="0.2">
      <c r="AQ32064" s="31"/>
    </row>
    <row r="32065" spans="43:43" x14ac:dyDescent="0.2">
      <c r="AQ32065" s="31"/>
    </row>
    <row r="32066" spans="43:43" x14ac:dyDescent="0.2">
      <c r="AQ32066" s="31"/>
    </row>
    <row r="32067" spans="43:43" x14ac:dyDescent="0.2">
      <c r="AQ32067" s="31"/>
    </row>
    <row r="32068" spans="43:43" x14ac:dyDescent="0.2">
      <c r="AQ32068" s="31"/>
    </row>
    <row r="32069" spans="43:43" x14ac:dyDescent="0.2">
      <c r="AQ32069" s="31"/>
    </row>
    <row r="32070" spans="43:43" x14ac:dyDescent="0.2">
      <c r="AQ32070" s="31"/>
    </row>
    <row r="32071" spans="43:43" x14ac:dyDescent="0.2">
      <c r="AQ32071" s="31"/>
    </row>
    <row r="32072" spans="43:43" x14ac:dyDescent="0.2">
      <c r="AQ32072" s="31"/>
    </row>
    <row r="32073" spans="43:43" x14ac:dyDescent="0.2">
      <c r="AQ32073" s="31"/>
    </row>
    <row r="32074" spans="43:43" x14ac:dyDescent="0.2">
      <c r="AQ32074" s="31"/>
    </row>
    <row r="32075" spans="43:43" x14ac:dyDescent="0.2">
      <c r="AQ32075" s="31"/>
    </row>
    <row r="32076" spans="43:43" x14ac:dyDescent="0.2">
      <c r="AQ32076" s="31"/>
    </row>
    <row r="32077" spans="43:43" x14ac:dyDescent="0.2">
      <c r="AQ32077" s="31"/>
    </row>
    <row r="32078" spans="43:43" x14ac:dyDescent="0.2">
      <c r="AQ32078" s="31"/>
    </row>
    <row r="32079" spans="43:43" x14ac:dyDescent="0.2">
      <c r="AQ32079" s="31"/>
    </row>
    <row r="32080" spans="43:43" x14ac:dyDescent="0.2">
      <c r="AQ32080" s="31"/>
    </row>
    <row r="32081" spans="43:43" x14ac:dyDescent="0.2">
      <c r="AQ32081" s="31"/>
    </row>
    <row r="32082" spans="43:43" x14ac:dyDescent="0.2">
      <c r="AQ32082" s="31"/>
    </row>
    <row r="32083" spans="43:43" x14ac:dyDescent="0.2">
      <c r="AQ32083" s="31"/>
    </row>
    <row r="32084" spans="43:43" x14ac:dyDescent="0.2">
      <c r="AQ32084" s="31"/>
    </row>
    <row r="32085" spans="43:43" x14ac:dyDescent="0.2">
      <c r="AQ32085" s="31"/>
    </row>
    <row r="32086" spans="43:43" x14ac:dyDescent="0.2">
      <c r="AQ32086" s="31"/>
    </row>
    <row r="32087" spans="43:43" x14ac:dyDescent="0.2">
      <c r="AQ32087" s="31"/>
    </row>
    <row r="32088" spans="43:43" x14ac:dyDescent="0.2">
      <c r="AQ32088" s="31"/>
    </row>
    <row r="32089" spans="43:43" x14ac:dyDescent="0.2">
      <c r="AQ32089" s="31"/>
    </row>
    <row r="32090" spans="43:43" x14ac:dyDescent="0.2">
      <c r="AQ32090" s="31"/>
    </row>
    <row r="32091" spans="43:43" x14ac:dyDescent="0.2">
      <c r="AQ32091" s="31"/>
    </row>
    <row r="32092" spans="43:43" x14ac:dyDescent="0.2">
      <c r="AQ32092" s="31"/>
    </row>
    <row r="32093" spans="43:43" x14ac:dyDescent="0.2">
      <c r="AQ32093" s="31"/>
    </row>
    <row r="32094" spans="43:43" x14ac:dyDescent="0.2">
      <c r="AQ32094" s="31"/>
    </row>
    <row r="32095" spans="43:43" x14ac:dyDescent="0.2">
      <c r="AQ32095" s="31"/>
    </row>
    <row r="32096" spans="43:43" x14ac:dyDescent="0.2">
      <c r="AQ32096" s="31"/>
    </row>
    <row r="32097" spans="43:43" x14ac:dyDescent="0.2">
      <c r="AQ32097" s="31"/>
    </row>
    <row r="32098" spans="43:43" x14ac:dyDescent="0.2">
      <c r="AQ32098" s="31"/>
    </row>
    <row r="32099" spans="43:43" x14ac:dyDescent="0.2">
      <c r="AQ32099" s="31"/>
    </row>
    <row r="32100" spans="43:43" x14ac:dyDescent="0.2">
      <c r="AQ32100" s="31"/>
    </row>
    <row r="32101" spans="43:43" x14ac:dyDescent="0.2">
      <c r="AQ32101" s="31"/>
    </row>
    <row r="32102" spans="43:43" x14ac:dyDescent="0.2">
      <c r="AQ32102" s="31"/>
    </row>
    <row r="32103" spans="43:43" x14ac:dyDescent="0.2">
      <c r="AQ32103" s="31"/>
    </row>
    <row r="32104" spans="43:43" x14ac:dyDescent="0.2">
      <c r="AQ32104" s="31"/>
    </row>
    <row r="32105" spans="43:43" x14ac:dyDescent="0.2">
      <c r="AQ32105" s="31"/>
    </row>
    <row r="32106" spans="43:43" x14ac:dyDescent="0.2">
      <c r="AQ32106" s="31"/>
    </row>
    <row r="32107" spans="43:43" x14ac:dyDescent="0.2">
      <c r="AQ32107" s="31"/>
    </row>
    <row r="32108" spans="43:43" x14ac:dyDescent="0.2">
      <c r="AQ32108" s="31"/>
    </row>
    <row r="32109" spans="43:43" x14ac:dyDescent="0.2">
      <c r="AQ32109" s="31"/>
    </row>
    <row r="32110" spans="43:43" x14ac:dyDescent="0.2">
      <c r="AQ32110" s="31"/>
    </row>
    <row r="32111" spans="43:43" x14ac:dyDescent="0.2">
      <c r="AQ32111" s="31"/>
    </row>
    <row r="32112" spans="43:43" x14ac:dyDescent="0.2">
      <c r="AQ32112" s="31"/>
    </row>
    <row r="32113" spans="43:43" x14ac:dyDescent="0.2">
      <c r="AQ32113" s="31"/>
    </row>
    <row r="32114" spans="43:43" x14ac:dyDescent="0.2">
      <c r="AQ32114" s="31"/>
    </row>
    <row r="32115" spans="43:43" x14ac:dyDescent="0.2">
      <c r="AQ32115" s="31"/>
    </row>
    <row r="32116" spans="43:43" x14ac:dyDescent="0.2">
      <c r="AQ32116" s="31"/>
    </row>
    <row r="32117" spans="43:43" x14ac:dyDescent="0.2">
      <c r="AQ32117" s="31"/>
    </row>
    <row r="32118" spans="43:43" x14ac:dyDescent="0.2">
      <c r="AQ32118" s="31"/>
    </row>
    <row r="32119" spans="43:43" x14ac:dyDescent="0.2">
      <c r="AQ32119" s="31"/>
    </row>
    <row r="32120" spans="43:43" x14ac:dyDescent="0.2">
      <c r="AQ32120" s="31"/>
    </row>
    <row r="32121" spans="43:43" x14ac:dyDescent="0.2">
      <c r="AQ32121" s="31"/>
    </row>
    <row r="32122" spans="43:43" x14ac:dyDescent="0.2">
      <c r="AQ32122" s="31"/>
    </row>
    <row r="32123" spans="43:43" x14ac:dyDescent="0.2">
      <c r="AQ32123" s="31"/>
    </row>
    <row r="32124" spans="43:43" x14ac:dyDescent="0.2">
      <c r="AQ32124" s="31"/>
    </row>
    <row r="32125" spans="43:43" x14ac:dyDescent="0.2">
      <c r="AQ32125" s="31"/>
    </row>
    <row r="32126" spans="43:43" x14ac:dyDescent="0.2">
      <c r="AQ32126" s="31"/>
    </row>
    <row r="32127" spans="43:43" x14ac:dyDescent="0.2">
      <c r="AQ32127" s="31"/>
    </row>
    <row r="32128" spans="43:43" x14ac:dyDescent="0.2">
      <c r="AQ32128" s="31"/>
    </row>
    <row r="32129" spans="43:43" x14ac:dyDescent="0.2">
      <c r="AQ32129" s="31"/>
    </row>
    <row r="32130" spans="43:43" x14ac:dyDescent="0.2">
      <c r="AQ32130" s="31"/>
    </row>
    <row r="32131" spans="43:43" x14ac:dyDescent="0.2">
      <c r="AQ32131" s="31"/>
    </row>
    <row r="32132" spans="43:43" x14ac:dyDescent="0.2">
      <c r="AQ32132" s="31"/>
    </row>
    <row r="32133" spans="43:43" x14ac:dyDescent="0.2">
      <c r="AQ32133" s="31"/>
    </row>
    <row r="32134" spans="43:43" x14ac:dyDescent="0.2">
      <c r="AQ32134" s="31"/>
    </row>
    <row r="32135" spans="43:43" x14ac:dyDescent="0.2">
      <c r="AQ32135" s="31"/>
    </row>
    <row r="32136" spans="43:43" x14ac:dyDescent="0.2">
      <c r="AQ32136" s="31"/>
    </row>
    <row r="32137" spans="43:43" x14ac:dyDescent="0.2">
      <c r="AQ32137" s="31"/>
    </row>
    <row r="32138" spans="43:43" x14ac:dyDescent="0.2">
      <c r="AQ32138" s="31"/>
    </row>
    <row r="32139" spans="43:43" x14ac:dyDescent="0.2">
      <c r="AQ32139" s="31"/>
    </row>
    <row r="32140" spans="43:43" x14ac:dyDescent="0.2">
      <c r="AQ32140" s="31"/>
    </row>
    <row r="32141" spans="43:43" x14ac:dyDescent="0.2">
      <c r="AQ32141" s="31"/>
    </row>
    <row r="32142" spans="43:43" x14ac:dyDescent="0.2">
      <c r="AQ32142" s="31"/>
    </row>
    <row r="32143" spans="43:43" x14ac:dyDescent="0.2">
      <c r="AQ32143" s="31"/>
    </row>
    <row r="32144" spans="43:43" x14ac:dyDescent="0.2">
      <c r="AQ32144" s="31"/>
    </row>
    <row r="32145" spans="43:43" x14ac:dyDescent="0.2">
      <c r="AQ32145" s="31"/>
    </row>
    <row r="32146" spans="43:43" x14ac:dyDescent="0.2">
      <c r="AQ32146" s="31"/>
    </row>
    <row r="32147" spans="43:43" x14ac:dyDescent="0.2">
      <c r="AQ32147" s="31"/>
    </row>
    <row r="32148" spans="43:43" x14ac:dyDescent="0.2">
      <c r="AQ32148" s="31"/>
    </row>
    <row r="32149" spans="43:43" x14ac:dyDescent="0.2">
      <c r="AQ32149" s="31"/>
    </row>
    <row r="32150" spans="43:43" x14ac:dyDescent="0.2">
      <c r="AQ32150" s="31"/>
    </row>
    <row r="32151" spans="43:43" x14ac:dyDescent="0.2">
      <c r="AQ32151" s="31"/>
    </row>
    <row r="32152" spans="43:43" x14ac:dyDescent="0.2">
      <c r="AQ32152" s="31"/>
    </row>
    <row r="32153" spans="43:43" x14ac:dyDescent="0.2">
      <c r="AQ32153" s="31"/>
    </row>
    <row r="32154" spans="43:43" x14ac:dyDescent="0.2">
      <c r="AQ32154" s="31"/>
    </row>
    <row r="32155" spans="43:43" x14ac:dyDescent="0.2">
      <c r="AQ32155" s="31"/>
    </row>
    <row r="32156" spans="43:43" x14ac:dyDescent="0.2">
      <c r="AQ32156" s="31"/>
    </row>
    <row r="32157" spans="43:43" x14ac:dyDescent="0.2">
      <c r="AQ32157" s="31"/>
    </row>
    <row r="32158" spans="43:43" x14ac:dyDescent="0.2">
      <c r="AQ32158" s="31"/>
    </row>
    <row r="32159" spans="43:43" x14ac:dyDescent="0.2">
      <c r="AQ32159" s="31"/>
    </row>
    <row r="32160" spans="43:43" x14ac:dyDescent="0.2">
      <c r="AQ32160" s="31"/>
    </row>
    <row r="32161" spans="43:43" x14ac:dyDescent="0.2">
      <c r="AQ32161" s="31"/>
    </row>
    <row r="32162" spans="43:43" x14ac:dyDescent="0.2">
      <c r="AQ32162" s="31"/>
    </row>
    <row r="32163" spans="43:43" x14ac:dyDescent="0.2">
      <c r="AQ32163" s="31"/>
    </row>
    <row r="32164" spans="43:43" x14ac:dyDescent="0.2">
      <c r="AQ32164" s="31"/>
    </row>
    <row r="32165" spans="43:43" x14ac:dyDescent="0.2">
      <c r="AQ32165" s="31"/>
    </row>
    <row r="32166" spans="43:43" x14ac:dyDescent="0.2">
      <c r="AQ32166" s="31"/>
    </row>
    <row r="32167" spans="43:43" x14ac:dyDescent="0.2">
      <c r="AQ32167" s="31"/>
    </row>
    <row r="32168" spans="43:43" x14ac:dyDescent="0.2">
      <c r="AQ32168" s="31"/>
    </row>
    <row r="32169" spans="43:43" x14ac:dyDescent="0.2">
      <c r="AQ32169" s="31"/>
    </row>
    <row r="32170" spans="43:43" x14ac:dyDescent="0.2">
      <c r="AQ32170" s="31"/>
    </row>
    <row r="32171" spans="43:43" x14ac:dyDescent="0.2">
      <c r="AQ32171" s="31"/>
    </row>
    <row r="32172" spans="43:43" x14ac:dyDescent="0.2">
      <c r="AQ32172" s="31"/>
    </row>
    <row r="32173" spans="43:43" x14ac:dyDescent="0.2">
      <c r="AQ32173" s="31"/>
    </row>
    <row r="32174" spans="43:43" x14ac:dyDescent="0.2">
      <c r="AQ32174" s="31"/>
    </row>
    <row r="32175" spans="43:43" x14ac:dyDescent="0.2">
      <c r="AQ32175" s="31"/>
    </row>
    <row r="32176" spans="43:43" x14ac:dyDescent="0.2">
      <c r="AQ32176" s="31"/>
    </row>
    <row r="32177" spans="43:43" x14ac:dyDescent="0.2">
      <c r="AQ32177" s="31"/>
    </row>
    <row r="32178" spans="43:43" x14ac:dyDescent="0.2">
      <c r="AQ32178" s="31"/>
    </row>
    <row r="32179" spans="43:43" x14ac:dyDescent="0.2">
      <c r="AQ32179" s="31"/>
    </row>
    <row r="32180" spans="43:43" x14ac:dyDescent="0.2">
      <c r="AQ32180" s="31"/>
    </row>
    <row r="32181" spans="43:43" x14ac:dyDescent="0.2">
      <c r="AQ32181" s="31"/>
    </row>
    <row r="32182" spans="43:43" x14ac:dyDescent="0.2">
      <c r="AQ32182" s="31"/>
    </row>
    <row r="32183" spans="43:43" x14ac:dyDescent="0.2">
      <c r="AQ32183" s="31"/>
    </row>
    <row r="32184" spans="43:43" x14ac:dyDescent="0.2">
      <c r="AQ32184" s="31"/>
    </row>
    <row r="32185" spans="43:43" x14ac:dyDescent="0.2">
      <c r="AQ32185" s="31"/>
    </row>
    <row r="32186" spans="43:43" x14ac:dyDescent="0.2">
      <c r="AQ32186" s="31"/>
    </row>
    <row r="32187" spans="43:43" x14ac:dyDescent="0.2">
      <c r="AQ32187" s="31"/>
    </row>
    <row r="32188" spans="43:43" x14ac:dyDescent="0.2">
      <c r="AQ32188" s="31"/>
    </row>
    <row r="32189" spans="43:43" x14ac:dyDescent="0.2">
      <c r="AQ32189" s="31"/>
    </row>
    <row r="32190" spans="43:43" x14ac:dyDescent="0.2">
      <c r="AQ32190" s="31"/>
    </row>
    <row r="32191" spans="43:43" x14ac:dyDescent="0.2">
      <c r="AQ32191" s="31"/>
    </row>
    <row r="32192" spans="43:43" x14ac:dyDescent="0.2">
      <c r="AQ32192" s="31"/>
    </row>
    <row r="32193" spans="43:43" x14ac:dyDescent="0.2">
      <c r="AQ32193" s="31"/>
    </row>
    <row r="32194" spans="43:43" x14ac:dyDescent="0.2">
      <c r="AQ32194" s="31"/>
    </row>
    <row r="32195" spans="43:43" x14ac:dyDescent="0.2">
      <c r="AQ32195" s="31"/>
    </row>
    <row r="32196" spans="43:43" x14ac:dyDescent="0.2">
      <c r="AQ32196" s="31"/>
    </row>
    <row r="32197" spans="43:43" x14ac:dyDescent="0.2">
      <c r="AQ32197" s="31"/>
    </row>
    <row r="32198" spans="43:43" x14ac:dyDescent="0.2">
      <c r="AQ32198" s="31"/>
    </row>
    <row r="32199" spans="43:43" x14ac:dyDescent="0.2">
      <c r="AQ32199" s="31"/>
    </row>
    <row r="32200" spans="43:43" x14ac:dyDescent="0.2">
      <c r="AQ32200" s="31"/>
    </row>
    <row r="32201" spans="43:43" x14ac:dyDescent="0.2">
      <c r="AQ32201" s="31"/>
    </row>
    <row r="32202" spans="43:43" x14ac:dyDescent="0.2">
      <c r="AQ32202" s="31"/>
    </row>
    <row r="32203" spans="43:43" x14ac:dyDescent="0.2">
      <c r="AQ32203" s="31"/>
    </row>
    <row r="32204" spans="43:43" x14ac:dyDescent="0.2">
      <c r="AQ32204" s="31"/>
    </row>
    <row r="32205" spans="43:43" x14ac:dyDescent="0.2">
      <c r="AQ32205" s="31"/>
    </row>
    <row r="32206" spans="43:43" x14ac:dyDescent="0.2">
      <c r="AQ32206" s="31"/>
    </row>
    <row r="32207" spans="43:43" x14ac:dyDescent="0.2">
      <c r="AQ32207" s="31"/>
    </row>
    <row r="32208" spans="43:43" x14ac:dyDescent="0.2">
      <c r="AQ32208" s="31"/>
    </row>
    <row r="32209" spans="43:43" x14ac:dyDescent="0.2">
      <c r="AQ32209" s="31"/>
    </row>
    <row r="32210" spans="43:43" x14ac:dyDescent="0.2">
      <c r="AQ32210" s="31"/>
    </row>
    <row r="32211" spans="43:43" x14ac:dyDescent="0.2">
      <c r="AQ32211" s="31"/>
    </row>
    <row r="32212" spans="43:43" x14ac:dyDescent="0.2">
      <c r="AQ32212" s="31"/>
    </row>
    <row r="32213" spans="43:43" x14ac:dyDescent="0.2">
      <c r="AQ32213" s="31"/>
    </row>
    <row r="32214" spans="43:43" x14ac:dyDescent="0.2">
      <c r="AQ32214" s="31"/>
    </row>
    <row r="32215" spans="43:43" x14ac:dyDescent="0.2">
      <c r="AQ32215" s="31"/>
    </row>
    <row r="32216" spans="43:43" x14ac:dyDescent="0.2">
      <c r="AQ32216" s="31"/>
    </row>
    <row r="32217" spans="43:43" x14ac:dyDescent="0.2">
      <c r="AQ32217" s="31"/>
    </row>
    <row r="32218" spans="43:43" x14ac:dyDescent="0.2">
      <c r="AQ32218" s="31"/>
    </row>
    <row r="32219" spans="43:43" x14ac:dyDescent="0.2">
      <c r="AQ32219" s="31"/>
    </row>
    <row r="32220" spans="43:43" x14ac:dyDescent="0.2">
      <c r="AQ32220" s="31"/>
    </row>
    <row r="32221" spans="43:43" x14ac:dyDescent="0.2">
      <c r="AQ32221" s="31"/>
    </row>
    <row r="32222" spans="43:43" x14ac:dyDescent="0.2">
      <c r="AQ32222" s="31"/>
    </row>
    <row r="32223" spans="43:43" x14ac:dyDescent="0.2">
      <c r="AQ32223" s="31"/>
    </row>
    <row r="32224" spans="43:43" x14ac:dyDescent="0.2">
      <c r="AQ32224" s="31"/>
    </row>
    <row r="32225" spans="43:43" x14ac:dyDescent="0.2">
      <c r="AQ32225" s="31"/>
    </row>
    <row r="32226" spans="43:43" x14ac:dyDescent="0.2">
      <c r="AQ32226" s="31"/>
    </row>
    <row r="32227" spans="43:43" x14ac:dyDescent="0.2">
      <c r="AQ32227" s="31"/>
    </row>
    <row r="32228" spans="43:43" x14ac:dyDescent="0.2">
      <c r="AQ32228" s="31"/>
    </row>
    <row r="32229" spans="43:43" x14ac:dyDescent="0.2">
      <c r="AQ32229" s="31"/>
    </row>
    <row r="32230" spans="43:43" x14ac:dyDescent="0.2">
      <c r="AQ32230" s="31"/>
    </row>
    <row r="32231" spans="43:43" x14ac:dyDescent="0.2">
      <c r="AQ32231" s="31"/>
    </row>
    <row r="32232" spans="43:43" x14ac:dyDescent="0.2">
      <c r="AQ32232" s="31"/>
    </row>
    <row r="32233" spans="43:43" x14ac:dyDescent="0.2">
      <c r="AQ32233" s="31"/>
    </row>
    <row r="32234" spans="43:43" x14ac:dyDescent="0.2">
      <c r="AQ32234" s="31"/>
    </row>
    <row r="32235" spans="43:43" x14ac:dyDescent="0.2">
      <c r="AQ32235" s="31"/>
    </row>
    <row r="32236" spans="43:43" x14ac:dyDescent="0.2">
      <c r="AQ32236" s="31"/>
    </row>
    <row r="32237" spans="43:43" x14ac:dyDescent="0.2">
      <c r="AQ32237" s="31"/>
    </row>
    <row r="32238" spans="43:43" x14ac:dyDescent="0.2">
      <c r="AQ32238" s="31"/>
    </row>
    <row r="32239" spans="43:43" x14ac:dyDescent="0.2">
      <c r="AQ32239" s="31"/>
    </row>
    <row r="32240" spans="43:43" x14ac:dyDescent="0.2">
      <c r="AQ32240" s="31"/>
    </row>
    <row r="32241" spans="43:43" x14ac:dyDescent="0.2">
      <c r="AQ32241" s="31"/>
    </row>
    <row r="32242" spans="43:43" x14ac:dyDescent="0.2">
      <c r="AQ32242" s="31"/>
    </row>
    <row r="32243" spans="43:43" x14ac:dyDescent="0.2">
      <c r="AQ32243" s="31"/>
    </row>
    <row r="32244" spans="43:43" x14ac:dyDescent="0.2">
      <c r="AQ32244" s="31"/>
    </row>
    <row r="32245" spans="43:43" x14ac:dyDescent="0.2">
      <c r="AQ32245" s="31"/>
    </row>
    <row r="32246" spans="43:43" x14ac:dyDescent="0.2">
      <c r="AQ32246" s="31"/>
    </row>
    <row r="32247" spans="43:43" x14ac:dyDescent="0.2">
      <c r="AQ32247" s="31"/>
    </row>
    <row r="32248" spans="43:43" x14ac:dyDescent="0.2">
      <c r="AQ32248" s="31"/>
    </row>
    <row r="32249" spans="43:43" x14ac:dyDescent="0.2">
      <c r="AQ32249" s="31"/>
    </row>
    <row r="32250" spans="43:43" x14ac:dyDescent="0.2">
      <c r="AQ32250" s="31"/>
    </row>
    <row r="32251" spans="43:43" x14ac:dyDescent="0.2">
      <c r="AQ32251" s="31"/>
    </row>
    <row r="32252" spans="43:43" x14ac:dyDescent="0.2">
      <c r="AQ32252" s="31"/>
    </row>
    <row r="32253" spans="43:43" x14ac:dyDescent="0.2">
      <c r="AQ32253" s="31"/>
    </row>
    <row r="32254" spans="43:43" x14ac:dyDescent="0.2">
      <c r="AQ32254" s="31"/>
    </row>
    <row r="32255" spans="43:43" x14ac:dyDescent="0.2">
      <c r="AQ32255" s="31"/>
    </row>
    <row r="32256" spans="43:43" x14ac:dyDescent="0.2">
      <c r="AQ32256" s="31"/>
    </row>
    <row r="32257" spans="43:43" x14ac:dyDescent="0.2">
      <c r="AQ32257" s="31"/>
    </row>
    <row r="32258" spans="43:43" x14ac:dyDescent="0.2">
      <c r="AQ32258" s="31"/>
    </row>
    <row r="32259" spans="43:43" x14ac:dyDescent="0.2">
      <c r="AQ32259" s="31"/>
    </row>
    <row r="32260" spans="43:43" x14ac:dyDescent="0.2">
      <c r="AQ32260" s="31"/>
    </row>
    <row r="32261" spans="43:43" x14ac:dyDescent="0.2">
      <c r="AQ32261" s="31"/>
    </row>
    <row r="32262" spans="43:43" x14ac:dyDescent="0.2">
      <c r="AQ32262" s="31"/>
    </row>
    <row r="32263" spans="43:43" x14ac:dyDescent="0.2">
      <c r="AQ32263" s="31"/>
    </row>
    <row r="32264" spans="43:43" x14ac:dyDescent="0.2">
      <c r="AQ32264" s="31"/>
    </row>
    <row r="32265" spans="43:43" x14ac:dyDescent="0.2">
      <c r="AQ32265" s="31"/>
    </row>
    <row r="32266" spans="43:43" x14ac:dyDescent="0.2">
      <c r="AQ32266" s="31"/>
    </row>
    <row r="32267" spans="43:43" x14ac:dyDescent="0.2">
      <c r="AQ32267" s="31"/>
    </row>
    <row r="32268" spans="43:43" x14ac:dyDescent="0.2">
      <c r="AQ32268" s="31"/>
    </row>
    <row r="32269" spans="43:43" x14ac:dyDescent="0.2">
      <c r="AQ32269" s="31"/>
    </row>
    <row r="32270" spans="43:43" x14ac:dyDescent="0.2">
      <c r="AQ32270" s="31"/>
    </row>
    <row r="32271" spans="43:43" x14ac:dyDescent="0.2">
      <c r="AQ32271" s="31"/>
    </row>
    <row r="32272" spans="43:43" x14ac:dyDescent="0.2">
      <c r="AQ32272" s="31"/>
    </row>
    <row r="32273" spans="43:43" x14ac:dyDescent="0.2">
      <c r="AQ32273" s="31"/>
    </row>
    <row r="32274" spans="43:43" x14ac:dyDescent="0.2">
      <c r="AQ32274" s="31"/>
    </row>
    <row r="32275" spans="43:43" x14ac:dyDescent="0.2">
      <c r="AQ32275" s="31"/>
    </row>
    <row r="32276" spans="43:43" x14ac:dyDescent="0.2">
      <c r="AQ32276" s="31"/>
    </row>
    <row r="32277" spans="43:43" x14ac:dyDescent="0.2">
      <c r="AQ32277" s="31"/>
    </row>
    <row r="32278" spans="43:43" x14ac:dyDescent="0.2">
      <c r="AQ32278" s="31"/>
    </row>
    <row r="32279" spans="43:43" x14ac:dyDescent="0.2">
      <c r="AQ32279" s="31"/>
    </row>
    <row r="32280" spans="43:43" x14ac:dyDescent="0.2">
      <c r="AQ32280" s="31"/>
    </row>
    <row r="32281" spans="43:43" x14ac:dyDescent="0.2">
      <c r="AQ32281" s="31"/>
    </row>
    <row r="32282" spans="43:43" x14ac:dyDescent="0.2">
      <c r="AQ32282" s="31"/>
    </row>
    <row r="32283" spans="43:43" x14ac:dyDescent="0.2">
      <c r="AQ32283" s="31"/>
    </row>
    <row r="32284" spans="43:43" x14ac:dyDescent="0.2">
      <c r="AQ32284" s="31"/>
    </row>
    <row r="32285" spans="43:43" x14ac:dyDescent="0.2">
      <c r="AQ32285" s="31"/>
    </row>
    <row r="32286" spans="43:43" x14ac:dyDescent="0.2">
      <c r="AQ32286" s="31"/>
    </row>
    <row r="32287" spans="43:43" x14ac:dyDescent="0.2">
      <c r="AQ32287" s="31"/>
    </row>
    <row r="32288" spans="43:43" x14ac:dyDescent="0.2">
      <c r="AQ32288" s="31"/>
    </row>
    <row r="32289" spans="43:43" x14ac:dyDescent="0.2">
      <c r="AQ32289" s="31"/>
    </row>
    <row r="32290" spans="43:43" x14ac:dyDescent="0.2">
      <c r="AQ32290" s="31"/>
    </row>
    <row r="32291" spans="43:43" x14ac:dyDescent="0.2">
      <c r="AQ32291" s="31"/>
    </row>
    <row r="32292" spans="43:43" x14ac:dyDescent="0.2">
      <c r="AQ32292" s="31"/>
    </row>
    <row r="32293" spans="43:43" x14ac:dyDescent="0.2">
      <c r="AQ32293" s="31"/>
    </row>
    <row r="32294" spans="43:43" x14ac:dyDescent="0.2">
      <c r="AQ32294" s="31"/>
    </row>
    <row r="32295" spans="43:43" x14ac:dyDescent="0.2">
      <c r="AQ32295" s="31"/>
    </row>
    <row r="32296" spans="43:43" x14ac:dyDescent="0.2">
      <c r="AQ32296" s="31"/>
    </row>
    <row r="32297" spans="43:43" x14ac:dyDescent="0.2">
      <c r="AQ32297" s="31"/>
    </row>
    <row r="32298" spans="43:43" x14ac:dyDescent="0.2">
      <c r="AQ32298" s="31"/>
    </row>
    <row r="32299" spans="43:43" x14ac:dyDescent="0.2">
      <c r="AQ32299" s="31"/>
    </row>
    <row r="32300" spans="43:43" x14ac:dyDescent="0.2">
      <c r="AQ32300" s="31"/>
    </row>
    <row r="32301" spans="43:43" x14ac:dyDescent="0.2">
      <c r="AQ32301" s="31"/>
    </row>
    <row r="32302" spans="43:43" x14ac:dyDescent="0.2">
      <c r="AQ32302" s="31"/>
    </row>
    <row r="32303" spans="43:43" x14ac:dyDescent="0.2">
      <c r="AQ32303" s="31"/>
    </row>
    <row r="32304" spans="43:43" x14ac:dyDescent="0.2">
      <c r="AQ32304" s="31"/>
    </row>
    <row r="32305" spans="43:43" x14ac:dyDescent="0.2">
      <c r="AQ32305" s="31"/>
    </row>
    <row r="32306" spans="43:43" x14ac:dyDescent="0.2">
      <c r="AQ32306" s="31"/>
    </row>
    <row r="32307" spans="43:43" x14ac:dyDescent="0.2">
      <c r="AQ32307" s="31"/>
    </row>
    <row r="32308" spans="43:43" x14ac:dyDescent="0.2">
      <c r="AQ32308" s="31"/>
    </row>
    <row r="32309" spans="43:43" x14ac:dyDescent="0.2">
      <c r="AQ32309" s="31"/>
    </row>
    <row r="32310" spans="43:43" x14ac:dyDescent="0.2">
      <c r="AQ32310" s="31"/>
    </row>
    <row r="32311" spans="43:43" x14ac:dyDescent="0.2">
      <c r="AQ32311" s="31"/>
    </row>
    <row r="32312" spans="43:43" x14ac:dyDescent="0.2">
      <c r="AQ32312" s="31"/>
    </row>
    <row r="32313" spans="43:43" x14ac:dyDescent="0.2">
      <c r="AQ32313" s="31"/>
    </row>
    <row r="32314" spans="43:43" x14ac:dyDescent="0.2">
      <c r="AQ32314" s="31"/>
    </row>
    <row r="32315" spans="43:43" x14ac:dyDescent="0.2">
      <c r="AQ32315" s="31"/>
    </row>
    <row r="32316" spans="43:43" x14ac:dyDescent="0.2">
      <c r="AQ32316" s="31"/>
    </row>
    <row r="32317" spans="43:43" x14ac:dyDescent="0.2">
      <c r="AQ32317" s="31"/>
    </row>
    <row r="32318" spans="43:43" x14ac:dyDescent="0.2">
      <c r="AQ32318" s="31"/>
    </row>
    <row r="32319" spans="43:43" x14ac:dyDescent="0.2">
      <c r="AQ32319" s="31"/>
    </row>
    <row r="32320" spans="43:43" x14ac:dyDescent="0.2">
      <c r="AQ32320" s="31"/>
    </row>
    <row r="32321" spans="43:43" x14ac:dyDescent="0.2">
      <c r="AQ32321" s="31"/>
    </row>
    <row r="32322" spans="43:43" x14ac:dyDescent="0.2">
      <c r="AQ32322" s="31"/>
    </row>
    <row r="32323" spans="43:43" x14ac:dyDescent="0.2">
      <c r="AQ32323" s="31"/>
    </row>
    <row r="32324" spans="43:43" x14ac:dyDescent="0.2">
      <c r="AQ32324" s="31"/>
    </row>
    <row r="32325" spans="43:43" x14ac:dyDescent="0.2">
      <c r="AQ32325" s="31"/>
    </row>
    <row r="32326" spans="43:43" x14ac:dyDescent="0.2">
      <c r="AQ32326" s="31"/>
    </row>
    <row r="32327" spans="43:43" x14ac:dyDescent="0.2">
      <c r="AQ32327" s="31"/>
    </row>
    <row r="32328" spans="43:43" x14ac:dyDescent="0.2">
      <c r="AQ32328" s="31"/>
    </row>
    <row r="32329" spans="43:43" x14ac:dyDescent="0.2">
      <c r="AQ32329" s="31"/>
    </row>
    <row r="32330" spans="43:43" x14ac:dyDescent="0.2">
      <c r="AQ32330" s="31"/>
    </row>
    <row r="32331" spans="43:43" x14ac:dyDescent="0.2">
      <c r="AQ32331" s="31"/>
    </row>
    <row r="32332" spans="43:43" x14ac:dyDescent="0.2">
      <c r="AQ32332" s="31"/>
    </row>
    <row r="32333" spans="43:43" x14ac:dyDescent="0.2">
      <c r="AQ32333" s="31"/>
    </row>
    <row r="32334" spans="43:43" x14ac:dyDescent="0.2">
      <c r="AQ32334" s="31"/>
    </row>
    <row r="32335" spans="43:43" x14ac:dyDescent="0.2">
      <c r="AQ32335" s="31"/>
    </row>
    <row r="32336" spans="43:43" x14ac:dyDescent="0.2">
      <c r="AQ32336" s="31"/>
    </row>
    <row r="32337" spans="43:43" x14ac:dyDescent="0.2">
      <c r="AQ32337" s="31"/>
    </row>
    <row r="32338" spans="43:43" x14ac:dyDescent="0.2">
      <c r="AQ32338" s="31"/>
    </row>
    <row r="32339" spans="43:43" x14ac:dyDescent="0.2">
      <c r="AQ32339" s="31"/>
    </row>
    <row r="32340" spans="43:43" x14ac:dyDescent="0.2">
      <c r="AQ32340" s="31"/>
    </row>
    <row r="32341" spans="43:43" x14ac:dyDescent="0.2">
      <c r="AQ32341" s="31"/>
    </row>
    <row r="32342" spans="43:43" x14ac:dyDescent="0.2">
      <c r="AQ32342" s="31"/>
    </row>
    <row r="32343" spans="43:43" x14ac:dyDescent="0.2">
      <c r="AQ32343" s="31"/>
    </row>
    <row r="32344" spans="43:43" x14ac:dyDescent="0.2">
      <c r="AQ32344" s="31"/>
    </row>
    <row r="32345" spans="43:43" x14ac:dyDescent="0.2">
      <c r="AQ32345" s="31"/>
    </row>
    <row r="32346" spans="43:43" x14ac:dyDescent="0.2">
      <c r="AQ32346" s="31"/>
    </row>
    <row r="32347" spans="43:43" x14ac:dyDescent="0.2">
      <c r="AQ32347" s="31"/>
    </row>
    <row r="32348" spans="43:43" x14ac:dyDescent="0.2">
      <c r="AQ32348" s="31"/>
    </row>
    <row r="32349" spans="43:43" x14ac:dyDescent="0.2">
      <c r="AQ32349" s="31"/>
    </row>
    <row r="32350" spans="43:43" x14ac:dyDescent="0.2">
      <c r="AQ32350" s="31"/>
    </row>
    <row r="32351" spans="43:43" x14ac:dyDescent="0.2">
      <c r="AQ32351" s="31"/>
    </row>
    <row r="32352" spans="43:43" x14ac:dyDescent="0.2">
      <c r="AQ32352" s="31"/>
    </row>
    <row r="32353" spans="43:43" x14ac:dyDescent="0.2">
      <c r="AQ32353" s="31"/>
    </row>
    <row r="32354" spans="43:43" x14ac:dyDescent="0.2">
      <c r="AQ32354" s="31"/>
    </row>
    <row r="32355" spans="43:43" x14ac:dyDescent="0.2">
      <c r="AQ32355" s="31"/>
    </row>
    <row r="32356" spans="43:43" x14ac:dyDescent="0.2">
      <c r="AQ32356" s="31"/>
    </row>
    <row r="32357" spans="43:43" x14ac:dyDescent="0.2">
      <c r="AQ32357" s="31"/>
    </row>
    <row r="32358" spans="43:43" x14ac:dyDescent="0.2">
      <c r="AQ32358" s="31"/>
    </row>
    <row r="32359" spans="43:43" x14ac:dyDescent="0.2">
      <c r="AQ32359" s="31"/>
    </row>
    <row r="32360" spans="43:43" x14ac:dyDescent="0.2">
      <c r="AQ32360" s="31"/>
    </row>
    <row r="32361" spans="43:43" x14ac:dyDescent="0.2">
      <c r="AQ32361" s="31"/>
    </row>
    <row r="32362" spans="43:43" x14ac:dyDescent="0.2">
      <c r="AQ32362" s="31"/>
    </row>
    <row r="32363" spans="43:43" x14ac:dyDescent="0.2">
      <c r="AQ32363" s="31"/>
    </row>
    <row r="32364" spans="43:43" x14ac:dyDescent="0.2">
      <c r="AQ32364" s="31"/>
    </row>
    <row r="32365" spans="43:43" x14ac:dyDescent="0.2">
      <c r="AQ32365" s="31"/>
    </row>
    <row r="32366" spans="43:43" x14ac:dyDescent="0.2">
      <c r="AQ32366" s="31"/>
    </row>
    <row r="32367" spans="43:43" x14ac:dyDescent="0.2">
      <c r="AQ32367" s="31"/>
    </row>
    <row r="32368" spans="43:43" x14ac:dyDescent="0.2">
      <c r="AQ32368" s="31"/>
    </row>
    <row r="32369" spans="43:43" x14ac:dyDescent="0.2">
      <c r="AQ32369" s="31"/>
    </row>
    <row r="32370" spans="43:43" x14ac:dyDescent="0.2">
      <c r="AQ32370" s="31"/>
    </row>
    <row r="32371" spans="43:43" x14ac:dyDescent="0.2">
      <c r="AQ32371" s="31"/>
    </row>
    <row r="32372" spans="43:43" x14ac:dyDescent="0.2">
      <c r="AQ32372" s="31"/>
    </row>
    <row r="32373" spans="43:43" x14ac:dyDescent="0.2">
      <c r="AQ32373" s="31"/>
    </row>
    <row r="32374" spans="43:43" x14ac:dyDescent="0.2">
      <c r="AQ32374" s="31"/>
    </row>
    <row r="32375" spans="43:43" x14ac:dyDescent="0.2">
      <c r="AQ32375" s="31"/>
    </row>
    <row r="32376" spans="43:43" x14ac:dyDescent="0.2">
      <c r="AQ32376" s="31"/>
    </row>
    <row r="32377" spans="43:43" x14ac:dyDescent="0.2">
      <c r="AQ32377" s="31"/>
    </row>
    <row r="32378" spans="43:43" x14ac:dyDescent="0.2">
      <c r="AQ32378" s="31"/>
    </row>
    <row r="32379" spans="43:43" x14ac:dyDescent="0.2">
      <c r="AQ32379" s="31"/>
    </row>
    <row r="32380" spans="43:43" x14ac:dyDescent="0.2">
      <c r="AQ32380" s="31"/>
    </row>
    <row r="32381" spans="43:43" x14ac:dyDescent="0.2">
      <c r="AQ32381" s="31"/>
    </row>
    <row r="32382" spans="43:43" x14ac:dyDescent="0.2">
      <c r="AQ32382" s="31"/>
    </row>
    <row r="32383" spans="43:43" x14ac:dyDescent="0.2">
      <c r="AQ32383" s="31"/>
    </row>
    <row r="32384" spans="43:43" x14ac:dyDescent="0.2">
      <c r="AQ32384" s="31"/>
    </row>
    <row r="32385" spans="43:43" x14ac:dyDescent="0.2">
      <c r="AQ32385" s="31"/>
    </row>
    <row r="32386" spans="43:43" x14ac:dyDescent="0.2">
      <c r="AQ32386" s="31"/>
    </row>
    <row r="32387" spans="43:43" x14ac:dyDescent="0.2">
      <c r="AQ32387" s="31"/>
    </row>
    <row r="32388" spans="43:43" x14ac:dyDescent="0.2">
      <c r="AQ32388" s="31"/>
    </row>
    <row r="32389" spans="43:43" x14ac:dyDescent="0.2">
      <c r="AQ32389" s="31"/>
    </row>
    <row r="32390" spans="43:43" x14ac:dyDescent="0.2">
      <c r="AQ32390" s="31"/>
    </row>
    <row r="32391" spans="43:43" x14ac:dyDescent="0.2">
      <c r="AQ32391" s="31"/>
    </row>
    <row r="32392" spans="43:43" x14ac:dyDescent="0.2">
      <c r="AQ32392" s="31"/>
    </row>
    <row r="32393" spans="43:43" x14ac:dyDescent="0.2">
      <c r="AQ32393" s="31"/>
    </row>
    <row r="32394" spans="43:43" x14ac:dyDescent="0.2">
      <c r="AQ32394" s="31"/>
    </row>
    <row r="32395" spans="43:43" x14ac:dyDescent="0.2">
      <c r="AQ32395" s="31"/>
    </row>
    <row r="32396" spans="43:43" x14ac:dyDescent="0.2">
      <c r="AQ32396" s="31"/>
    </row>
    <row r="32397" spans="43:43" x14ac:dyDescent="0.2">
      <c r="AQ32397" s="31"/>
    </row>
    <row r="32398" spans="43:43" x14ac:dyDescent="0.2">
      <c r="AQ32398" s="31"/>
    </row>
    <row r="32399" spans="43:43" x14ac:dyDescent="0.2">
      <c r="AQ32399" s="31"/>
    </row>
    <row r="32400" spans="43:43" x14ac:dyDescent="0.2">
      <c r="AQ32400" s="31"/>
    </row>
    <row r="32401" spans="43:43" x14ac:dyDescent="0.2">
      <c r="AQ32401" s="31"/>
    </row>
    <row r="32402" spans="43:43" x14ac:dyDescent="0.2">
      <c r="AQ32402" s="31"/>
    </row>
    <row r="32403" spans="43:43" x14ac:dyDescent="0.2">
      <c r="AQ32403" s="31"/>
    </row>
    <row r="32404" spans="43:43" x14ac:dyDescent="0.2">
      <c r="AQ32404" s="31"/>
    </row>
    <row r="32405" spans="43:43" x14ac:dyDescent="0.2">
      <c r="AQ32405" s="31"/>
    </row>
    <row r="32406" spans="43:43" x14ac:dyDescent="0.2">
      <c r="AQ32406" s="31"/>
    </row>
    <row r="32407" spans="43:43" x14ac:dyDescent="0.2">
      <c r="AQ32407" s="31"/>
    </row>
    <row r="32408" spans="43:43" x14ac:dyDescent="0.2">
      <c r="AQ32408" s="31"/>
    </row>
    <row r="32409" spans="43:43" x14ac:dyDescent="0.2">
      <c r="AQ32409" s="31"/>
    </row>
    <row r="32410" spans="43:43" x14ac:dyDescent="0.2">
      <c r="AQ32410" s="31"/>
    </row>
    <row r="32411" spans="43:43" x14ac:dyDescent="0.2">
      <c r="AQ32411" s="31"/>
    </row>
    <row r="32412" spans="43:43" x14ac:dyDescent="0.2">
      <c r="AQ32412" s="31"/>
    </row>
    <row r="32413" spans="43:43" x14ac:dyDescent="0.2">
      <c r="AQ32413" s="31"/>
    </row>
    <row r="32414" spans="43:43" x14ac:dyDescent="0.2">
      <c r="AQ32414" s="31"/>
    </row>
    <row r="32415" spans="43:43" x14ac:dyDescent="0.2">
      <c r="AQ32415" s="31"/>
    </row>
    <row r="32416" spans="43:43" x14ac:dyDescent="0.2">
      <c r="AQ32416" s="31"/>
    </row>
    <row r="32417" spans="43:43" x14ac:dyDescent="0.2">
      <c r="AQ32417" s="31"/>
    </row>
    <row r="32418" spans="43:43" x14ac:dyDescent="0.2">
      <c r="AQ32418" s="31"/>
    </row>
    <row r="32419" spans="43:43" x14ac:dyDescent="0.2">
      <c r="AQ32419" s="31"/>
    </row>
    <row r="32420" spans="43:43" x14ac:dyDescent="0.2">
      <c r="AQ32420" s="31"/>
    </row>
    <row r="32421" spans="43:43" x14ac:dyDescent="0.2">
      <c r="AQ32421" s="31"/>
    </row>
    <row r="32422" spans="43:43" x14ac:dyDescent="0.2">
      <c r="AQ32422" s="31"/>
    </row>
    <row r="32423" spans="43:43" x14ac:dyDescent="0.2">
      <c r="AQ32423" s="31"/>
    </row>
    <row r="32424" spans="43:43" x14ac:dyDescent="0.2">
      <c r="AQ32424" s="31"/>
    </row>
    <row r="32425" spans="43:43" x14ac:dyDescent="0.2">
      <c r="AQ32425" s="31"/>
    </row>
    <row r="32426" spans="43:43" x14ac:dyDescent="0.2">
      <c r="AQ32426" s="31"/>
    </row>
    <row r="32427" spans="43:43" x14ac:dyDescent="0.2">
      <c r="AQ32427" s="31"/>
    </row>
    <row r="32428" spans="43:43" x14ac:dyDescent="0.2">
      <c r="AQ32428" s="31"/>
    </row>
    <row r="32429" spans="43:43" x14ac:dyDescent="0.2">
      <c r="AQ32429" s="31"/>
    </row>
    <row r="32430" spans="43:43" x14ac:dyDescent="0.2">
      <c r="AQ32430" s="31"/>
    </row>
    <row r="32431" spans="43:43" x14ac:dyDescent="0.2">
      <c r="AQ32431" s="31"/>
    </row>
    <row r="32432" spans="43:43" x14ac:dyDescent="0.2">
      <c r="AQ32432" s="31"/>
    </row>
    <row r="32433" spans="43:43" x14ac:dyDescent="0.2">
      <c r="AQ32433" s="31"/>
    </row>
    <row r="32434" spans="43:43" x14ac:dyDescent="0.2">
      <c r="AQ32434" s="31"/>
    </row>
    <row r="32435" spans="43:43" x14ac:dyDescent="0.2">
      <c r="AQ32435" s="31"/>
    </row>
    <row r="32436" spans="43:43" x14ac:dyDescent="0.2">
      <c r="AQ32436" s="31"/>
    </row>
    <row r="32437" spans="43:43" x14ac:dyDescent="0.2">
      <c r="AQ32437" s="31"/>
    </row>
    <row r="32438" spans="43:43" x14ac:dyDescent="0.2">
      <c r="AQ32438" s="31"/>
    </row>
    <row r="32439" spans="43:43" x14ac:dyDescent="0.2">
      <c r="AQ32439" s="31"/>
    </row>
    <row r="32440" spans="43:43" x14ac:dyDescent="0.2">
      <c r="AQ32440" s="31"/>
    </row>
    <row r="32441" spans="43:43" x14ac:dyDescent="0.2">
      <c r="AQ32441" s="31"/>
    </row>
    <row r="32442" spans="43:43" x14ac:dyDescent="0.2">
      <c r="AQ32442" s="31"/>
    </row>
    <row r="32443" spans="43:43" x14ac:dyDescent="0.2">
      <c r="AQ32443" s="31"/>
    </row>
    <row r="32444" spans="43:43" x14ac:dyDescent="0.2">
      <c r="AQ32444" s="31"/>
    </row>
    <row r="32445" spans="43:43" x14ac:dyDescent="0.2">
      <c r="AQ32445" s="31"/>
    </row>
    <row r="32446" spans="43:43" x14ac:dyDescent="0.2">
      <c r="AQ32446" s="31"/>
    </row>
    <row r="32447" spans="43:43" x14ac:dyDescent="0.2">
      <c r="AQ32447" s="31"/>
    </row>
    <row r="32448" spans="43:43" x14ac:dyDescent="0.2">
      <c r="AQ32448" s="31"/>
    </row>
    <row r="32449" spans="43:43" x14ac:dyDescent="0.2">
      <c r="AQ32449" s="31"/>
    </row>
    <row r="32450" spans="43:43" x14ac:dyDescent="0.2">
      <c r="AQ32450" s="31"/>
    </row>
    <row r="32451" spans="43:43" x14ac:dyDescent="0.2">
      <c r="AQ32451" s="31"/>
    </row>
    <row r="32452" spans="43:43" x14ac:dyDescent="0.2">
      <c r="AQ32452" s="31"/>
    </row>
    <row r="32453" spans="43:43" x14ac:dyDescent="0.2">
      <c r="AQ32453" s="31"/>
    </row>
    <row r="32454" spans="43:43" x14ac:dyDescent="0.2">
      <c r="AQ32454" s="31"/>
    </row>
    <row r="32455" spans="43:43" x14ac:dyDescent="0.2">
      <c r="AQ32455" s="31"/>
    </row>
    <row r="32456" spans="43:43" x14ac:dyDescent="0.2">
      <c r="AQ32456" s="31"/>
    </row>
    <row r="32457" spans="43:43" x14ac:dyDescent="0.2">
      <c r="AQ32457" s="31"/>
    </row>
    <row r="32458" spans="43:43" x14ac:dyDescent="0.2">
      <c r="AQ32458" s="31"/>
    </row>
    <row r="32459" spans="43:43" x14ac:dyDescent="0.2">
      <c r="AQ32459" s="31"/>
    </row>
    <row r="32460" spans="43:43" x14ac:dyDescent="0.2">
      <c r="AQ32460" s="31"/>
    </row>
    <row r="32461" spans="43:43" x14ac:dyDescent="0.2">
      <c r="AQ32461" s="31"/>
    </row>
    <row r="32462" spans="43:43" x14ac:dyDescent="0.2">
      <c r="AQ32462" s="31"/>
    </row>
    <row r="32463" spans="43:43" x14ac:dyDescent="0.2">
      <c r="AQ32463" s="31"/>
    </row>
    <row r="32464" spans="43:43" x14ac:dyDescent="0.2">
      <c r="AQ32464" s="31"/>
    </row>
    <row r="32465" spans="43:43" x14ac:dyDescent="0.2">
      <c r="AQ32465" s="31"/>
    </row>
    <row r="32466" spans="43:43" x14ac:dyDescent="0.2">
      <c r="AQ32466" s="31"/>
    </row>
    <row r="32467" spans="43:43" x14ac:dyDescent="0.2">
      <c r="AQ32467" s="31"/>
    </row>
    <row r="32468" spans="43:43" x14ac:dyDescent="0.2">
      <c r="AQ32468" s="31"/>
    </row>
    <row r="32469" spans="43:43" x14ac:dyDescent="0.2">
      <c r="AQ32469" s="31"/>
    </row>
    <row r="32470" spans="43:43" x14ac:dyDescent="0.2">
      <c r="AQ32470" s="31"/>
    </row>
    <row r="32471" spans="43:43" x14ac:dyDescent="0.2">
      <c r="AQ32471" s="31"/>
    </row>
    <row r="32472" spans="43:43" x14ac:dyDescent="0.2">
      <c r="AQ32472" s="31"/>
    </row>
    <row r="32473" spans="43:43" x14ac:dyDescent="0.2">
      <c r="AQ32473" s="31"/>
    </row>
    <row r="32474" spans="43:43" x14ac:dyDescent="0.2">
      <c r="AQ32474" s="31"/>
    </row>
    <row r="32475" spans="43:43" x14ac:dyDescent="0.2">
      <c r="AQ32475" s="31"/>
    </row>
    <row r="32476" spans="43:43" x14ac:dyDescent="0.2">
      <c r="AQ32476" s="31"/>
    </row>
    <row r="32477" spans="43:43" x14ac:dyDescent="0.2">
      <c r="AQ32477" s="31"/>
    </row>
    <row r="32478" spans="43:43" x14ac:dyDescent="0.2">
      <c r="AQ32478" s="31"/>
    </row>
    <row r="32479" spans="43:43" x14ac:dyDescent="0.2">
      <c r="AQ32479" s="31"/>
    </row>
    <row r="32480" spans="43:43" x14ac:dyDescent="0.2">
      <c r="AQ32480" s="31"/>
    </row>
    <row r="32481" spans="43:43" x14ac:dyDescent="0.2">
      <c r="AQ32481" s="31"/>
    </row>
    <row r="32482" spans="43:43" x14ac:dyDescent="0.2">
      <c r="AQ32482" s="31"/>
    </row>
    <row r="32483" spans="43:43" x14ac:dyDescent="0.2">
      <c r="AQ32483" s="31"/>
    </row>
    <row r="32484" spans="43:43" x14ac:dyDescent="0.2">
      <c r="AQ32484" s="31"/>
    </row>
    <row r="32485" spans="43:43" x14ac:dyDescent="0.2">
      <c r="AQ32485" s="31"/>
    </row>
    <row r="32486" spans="43:43" x14ac:dyDescent="0.2">
      <c r="AQ32486" s="31"/>
    </row>
    <row r="32487" spans="43:43" x14ac:dyDescent="0.2">
      <c r="AQ32487" s="31"/>
    </row>
    <row r="32488" spans="43:43" x14ac:dyDescent="0.2">
      <c r="AQ32488" s="31"/>
    </row>
    <row r="32489" spans="43:43" x14ac:dyDescent="0.2">
      <c r="AQ32489" s="31"/>
    </row>
    <row r="32490" spans="43:43" x14ac:dyDescent="0.2">
      <c r="AQ32490" s="31"/>
    </row>
    <row r="32491" spans="43:43" x14ac:dyDescent="0.2">
      <c r="AQ32491" s="31"/>
    </row>
    <row r="32492" spans="43:43" x14ac:dyDescent="0.2">
      <c r="AQ32492" s="31"/>
    </row>
    <row r="32493" spans="43:43" x14ac:dyDescent="0.2">
      <c r="AQ32493" s="31"/>
    </row>
    <row r="32494" spans="43:43" x14ac:dyDescent="0.2">
      <c r="AQ32494" s="31"/>
    </row>
    <row r="32495" spans="43:43" x14ac:dyDescent="0.2">
      <c r="AQ32495" s="31"/>
    </row>
    <row r="32496" spans="43:43" x14ac:dyDescent="0.2">
      <c r="AQ32496" s="31"/>
    </row>
    <row r="32497" spans="43:43" x14ac:dyDescent="0.2">
      <c r="AQ32497" s="31"/>
    </row>
    <row r="32498" spans="43:43" x14ac:dyDescent="0.2">
      <c r="AQ32498" s="31"/>
    </row>
    <row r="32499" spans="43:43" x14ac:dyDescent="0.2">
      <c r="AQ32499" s="31"/>
    </row>
    <row r="32500" spans="43:43" x14ac:dyDescent="0.2">
      <c r="AQ32500" s="31"/>
    </row>
    <row r="32501" spans="43:43" x14ac:dyDescent="0.2">
      <c r="AQ32501" s="31"/>
    </row>
    <row r="32502" spans="43:43" x14ac:dyDescent="0.2">
      <c r="AQ32502" s="31"/>
    </row>
    <row r="32503" spans="43:43" x14ac:dyDescent="0.2">
      <c r="AQ32503" s="31"/>
    </row>
    <row r="32504" spans="43:43" x14ac:dyDescent="0.2">
      <c r="AQ32504" s="31"/>
    </row>
    <row r="32505" spans="43:43" x14ac:dyDescent="0.2">
      <c r="AQ32505" s="31"/>
    </row>
    <row r="32506" spans="43:43" x14ac:dyDescent="0.2">
      <c r="AQ32506" s="31"/>
    </row>
    <row r="32507" spans="43:43" x14ac:dyDescent="0.2">
      <c r="AQ32507" s="31"/>
    </row>
    <row r="32508" spans="43:43" x14ac:dyDescent="0.2">
      <c r="AQ32508" s="31"/>
    </row>
    <row r="32509" spans="43:43" x14ac:dyDescent="0.2">
      <c r="AQ32509" s="31"/>
    </row>
    <row r="32510" spans="43:43" x14ac:dyDescent="0.2">
      <c r="AQ32510" s="31"/>
    </row>
    <row r="32511" spans="43:43" x14ac:dyDescent="0.2">
      <c r="AQ32511" s="31"/>
    </row>
    <row r="32512" spans="43:43" x14ac:dyDescent="0.2">
      <c r="AQ32512" s="31"/>
    </row>
    <row r="32513" spans="43:43" x14ac:dyDescent="0.2">
      <c r="AQ32513" s="31"/>
    </row>
    <row r="32514" spans="43:43" x14ac:dyDescent="0.2">
      <c r="AQ32514" s="31"/>
    </row>
    <row r="32515" spans="43:43" x14ac:dyDescent="0.2">
      <c r="AQ32515" s="31"/>
    </row>
    <row r="32516" spans="43:43" x14ac:dyDescent="0.2">
      <c r="AQ32516" s="31"/>
    </row>
    <row r="32517" spans="43:43" x14ac:dyDescent="0.2">
      <c r="AQ32517" s="31"/>
    </row>
    <row r="32518" spans="43:43" x14ac:dyDescent="0.2">
      <c r="AQ32518" s="31"/>
    </row>
    <row r="32519" spans="43:43" x14ac:dyDescent="0.2">
      <c r="AQ32519" s="31"/>
    </row>
    <row r="32520" spans="43:43" x14ac:dyDescent="0.2">
      <c r="AQ32520" s="31"/>
    </row>
    <row r="32521" spans="43:43" x14ac:dyDescent="0.2">
      <c r="AQ32521" s="31"/>
    </row>
    <row r="32522" spans="43:43" x14ac:dyDescent="0.2">
      <c r="AQ32522" s="31"/>
    </row>
    <row r="32523" spans="43:43" x14ac:dyDescent="0.2">
      <c r="AQ32523" s="31"/>
    </row>
    <row r="32524" spans="43:43" x14ac:dyDescent="0.2">
      <c r="AQ32524" s="31"/>
    </row>
    <row r="32525" spans="43:43" x14ac:dyDescent="0.2">
      <c r="AQ32525" s="31"/>
    </row>
    <row r="32526" spans="43:43" x14ac:dyDescent="0.2">
      <c r="AQ32526" s="31"/>
    </row>
    <row r="32527" spans="43:43" x14ac:dyDescent="0.2">
      <c r="AQ32527" s="31"/>
    </row>
    <row r="32528" spans="43:43" x14ac:dyDescent="0.2">
      <c r="AQ32528" s="31"/>
    </row>
    <row r="32529" spans="43:43" x14ac:dyDescent="0.2">
      <c r="AQ32529" s="31"/>
    </row>
    <row r="32530" spans="43:43" x14ac:dyDescent="0.2">
      <c r="AQ32530" s="31"/>
    </row>
    <row r="32531" spans="43:43" x14ac:dyDescent="0.2">
      <c r="AQ32531" s="31"/>
    </row>
    <row r="32532" spans="43:43" x14ac:dyDescent="0.2">
      <c r="AQ32532" s="31"/>
    </row>
    <row r="32533" spans="43:43" x14ac:dyDescent="0.2">
      <c r="AQ32533" s="31"/>
    </row>
    <row r="32534" spans="43:43" x14ac:dyDescent="0.2">
      <c r="AQ32534" s="31"/>
    </row>
    <row r="32535" spans="43:43" x14ac:dyDescent="0.2">
      <c r="AQ32535" s="31"/>
    </row>
    <row r="32536" spans="43:43" x14ac:dyDescent="0.2">
      <c r="AQ32536" s="31"/>
    </row>
    <row r="32537" spans="43:43" x14ac:dyDescent="0.2">
      <c r="AQ32537" s="31"/>
    </row>
    <row r="32538" spans="43:43" x14ac:dyDescent="0.2">
      <c r="AQ32538" s="31"/>
    </row>
    <row r="32539" spans="43:43" x14ac:dyDescent="0.2">
      <c r="AQ32539" s="31"/>
    </row>
    <row r="32540" spans="43:43" x14ac:dyDescent="0.2">
      <c r="AQ32540" s="31"/>
    </row>
    <row r="32541" spans="43:43" x14ac:dyDescent="0.2">
      <c r="AQ32541" s="31"/>
    </row>
    <row r="32542" spans="43:43" x14ac:dyDescent="0.2">
      <c r="AQ32542" s="31"/>
    </row>
    <row r="32543" spans="43:43" x14ac:dyDescent="0.2">
      <c r="AQ32543" s="31"/>
    </row>
    <row r="32544" spans="43:43" x14ac:dyDescent="0.2">
      <c r="AQ32544" s="31"/>
    </row>
    <row r="32545" spans="43:43" x14ac:dyDescent="0.2">
      <c r="AQ32545" s="31"/>
    </row>
    <row r="32546" spans="43:43" x14ac:dyDescent="0.2">
      <c r="AQ32546" s="31"/>
    </row>
    <row r="32547" spans="43:43" x14ac:dyDescent="0.2">
      <c r="AQ32547" s="31"/>
    </row>
    <row r="32548" spans="43:43" x14ac:dyDescent="0.2">
      <c r="AQ32548" s="31"/>
    </row>
    <row r="32549" spans="43:43" x14ac:dyDescent="0.2">
      <c r="AQ32549" s="31"/>
    </row>
    <row r="32550" spans="43:43" x14ac:dyDescent="0.2">
      <c r="AQ32550" s="31"/>
    </row>
    <row r="32551" spans="43:43" x14ac:dyDescent="0.2">
      <c r="AQ32551" s="31"/>
    </row>
    <row r="32552" spans="43:43" x14ac:dyDescent="0.2">
      <c r="AQ32552" s="31"/>
    </row>
    <row r="32553" spans="43:43" x14ac:dyDescent="0.2">
      <c r="AQ32553" s="31"/>
    </row>
    <row r="32554" spans="43:43" x14ac:dyDescent="0.2">
      <c r="AQ32554" s="31"/>
    </row>
    <row r="32555" spans="43:43" x14ac:dyDescent="0.2">
      <c r="AQ32555" s="31"/>
    </row>
    <row r="32556" spans="43:43" x14ac:dyDescent="0.2">
      <c r="AQ32556" s="31"/>
    </row>
    <row r="32557" spans="43:43" x14ac:dyDescent="0.2">
      <c r="AQ32557" s="31"/>
    </row>
    <row r="32558" spans="43:43" x14ac:dyDescent="0.2">
      <c r="AQ32558" s="31"/>
    </row>
    <row r="32559" spans="43:43" x14ac:dyDescent="0.2">
      <c r="AQ32559" s="31"/>
    </row>
    <row r="32560" spans="43:43" x14ac:dyDescent="0.2">
      <c r="AQ32560" s="31"/>
    </row>
    <row r="32561" spans="43:43" x14ac:dyDescent="0.2">
      <c r="AQ32561" s="31"/>
    </row>
    <row r="32562" spans="43:43" x14ac:dyDescent="0.2">
      <c r="AQ32562" s="31"/>
    </row>
    <row r="32563" spans="43:43" x14ac:dyDescent="0.2">
      <c r="AQ32563" s="31"/>
    </row>
    <row r="32564" spans="43:43" x14ac:dyDescent="0.2">
      <c r="AQ32564" s="31"/>
    </row>
    <row r="32565" spans="43:43" x14ac:dyDescent="0.2">
      <c r="AQ32565" s="31"/>
    </row>
    <row r="32566" spans="43:43" x14ac:dyDescent="0.2">
      <c r="AQ32566" s="31"/>
    </row>
    <row r="32567" spans="43:43" x14ac:dyDescent="0.2">
      <c r="AQ32567" s="31"/>
    </row>
    <row r="32568" spans="43:43" x14ac:dyDescent="0.2">
      <c r="AQ32568" s="31"/>
    </row>
    <row r="32569" spans="43:43" x14ac:dyDescent="0.2">
      <c r="AQ32569" s="31"/>
    </row>
    <row r="32570" spans="43:43" x14ac:dyDescent="0.2">
      <c r="AQ32570" s="31"/>
    </row>
    <row r="32571" spans="43:43" x14ac:dyDescent="0.2">
      <c r="AQ32571" s="31"/>
    </row>
    <row r="32572" spans="43:43" x14ac:dyDescent="0.2">
      <c r="AQ32572" s="31"/>
    </row>
    <row r="32573" spans="43:43" x14ac:dyDescent="0.2">
      <c r="AQ32573" s="31"/>
    </row>
    <row r="32574" spans="43:43" x14ac:dyDescent="0.2">
      <c r="AQ32574" s="31"/>
    </row>
    <row r="32575" spans="43:43" x14ac:dyDescent="0.2">
      <c r="AQ32575" s="31"/>
    </row>
    <row r="32576" spans="43:43" x14ac:dyDescent="0.2">
      <c r="AQ32576" s="31"/>
    </row>
    <row r="32577" spans="43:43" x14ac:dyDescent="0.2">
      <c r="AQ32577" s="31"/>
    </row>
    <row r="32578" spans="43:43" x14ac:dyDescent="0.2">
      <c r="AQ32578" s="31"/>
    </row>
    <row r="32579" spans="43:43" x14ac:dyDescent="0.2">
      <c r="AQ32579" s="31"/>
    </row>
    <row r="32580" spans="43:43" x14ac:dyDescent="0.2">
      <c r="AQ32580" s="31"/>
    </row>
    <row r="32581" spans="43:43" x14ac:dyDescent="0.2">
      <c r="AQ32581" s="31"/>
    </row>
    <row r="32582" spans="43:43" x14ac:dyDescent="0.2">
      <c r="AQ32582" s="31"/>
    </row>
    <row r="32583" spans="43:43" x14ac:dyDescent="0.2">
      <c r="AQ32583" s="31"/>
    </row>
    <row r="32584" spans="43:43" x14ac:dyDescent="0.2">
      <c r="AQ32584" s="31"/>
    </row>
    <row r="32585" spans="43:43" x14ac:dyDescent="0.2">
      <c r="AQ32585" s="31"/>
    </row>
    <row r="32586" spans="43:43" x14ac:dyDescent="0.2">
      <c r="AQ32586" s="31"/>
    </row>
    <row r="32587" spans="43:43" x14ac:dyDescent="0.2">
      <c r="AQ32587" s="31"/>
    </row>
    <row r="32588" spans="43:43" x14ac:dyDescent="0.2">
      <c r="AQ32588" s="31"/>
    </row>
    <row r="32589" spans="43:43" x14ac:dyDescent="0.2">
      <c r="AQ32589" s="31"/>
    </row>
    <row r="32590" spans="43:43" x14ac:dyDescent="0.2">
      <c r="AQ32590" s="31"/>
    </row>
    <row r="32591" spans="43:43" x14ac:dyDescent="0.2">
      <c r="AQ32591" s="31"/>
    </row>
    <row r="32592" spans="43:43" x14ac:dyDescent="0.2">
      <c r="AQ32592" s="31"/>
    </row>
    <row r="32593" spans="43:43" x14ac:dyDescent="0.2">
      <c r="AQ32593" s="31"/>
    </row>
    <row r="32594" spans="43:43" x14ac:dyDescent="0.2">
      <c r="AQ32594" s="31"/>
    </row>
    <row r="32595" spans="43:43" x14ac:dyDescent="0.2">
      <c r="AQ32595" s="31"/>
    </row>
    <row r="32596" spans="43:43" x14ac:dyDescent="0.2">
      <c r="AQ32596" s="31"/>
    </row>
    <row r="32597" spans="43:43" x14ac:dyDescent="0.2">
      <c r="AQ32597" s="31"/>
    </row>
    <row r="32598" spans="43:43" x14ac:dyDescent="0.2">
      <c r="AQ32598" s="31"/>
    </row>
    <row r="32599" spans="43:43" x14ac:dyDescent="0.2">
      <c r="AQ32599" s="31"/>
    </row>
    <row r="32600" spans="43:43" x14ac:dyDescent="0.2">
      <c r="AQ32600" s="31"/>
    </row>
    <row r="32601" spans="43:43" x14ac:dyDescent="0.2">
      <c r="AQ32601" s="31"/>
    </row>
    <row r="32602" spans="43:43" x14ac:dyDescent="0.2">
      <c r="AQ32602" s="31"/>
    </row>
    <row r="32603" spans="43:43" x14ac:dyDescent="0.2">
      <c r="AQ32603" s="31"/>
    </row>
    <row r="32604" spans="43:43" x14ac:dyDescent="0.2">
      <c r="AQ32604" s="31"/>
    </row>
    <row r="32605" spans="43:43" x14ac:dyDescent="0.2">
      <c r="AQ32605" s="31"/>
    </row>
    <row r="32606" spans="43:43" x14ac:dyDescent="0.2">
      <c r="AQ32606" s="31"/>
    </row>
    <row r="32607" spans="43:43" x14ac:dyDescent="0.2">
      <c r="AQ32607" s="31"/>
    </row>
    <row r="32608" spans="43:43" x14ac:dyDescent="0.2">
      <c r="AQ32608" s="31"/>
    </row>
    <row r="32609" spans="43:43" x14ac:dyDescent="0.2">
      <c r="AQ32609" s="31"/>
    </row>
    <row r="32610" spans="43:43" x14ac:dyDescent="0.2">
      <c r="AQ32610" s="31"/>
    </row>
    <row r="32611" spans="43:43" x14ac:dyDescent="0.2">
      <c r="AQ32611" s="31"/>
    </row>
    <row r="32612" spans="43:43" x14ac:dyDescent="0.2">
      <c r="AQ32612" s="31"/>
    </row>
    <row r="32613" spans="43:43" x14ac:dyDescent="0.2">
      <c r="AQ32613" s="31"/>
    </row>
    <row r="32614" spans="43:43" x14ac:dyDescent="0.2">
      <c r="AQ32614" s="31"/>
    </row>
    <row r="32615" spans="43:43" x14ac:dyDescent="0.2">
      <c r="AQ32615" s="31"/>
    </row>
    <row r="32616" spans="43:43" x14ac:dyDescent="0.2">
      <c r="AQ32616" s="31"/>
    </row>
    <row r="32617" spans="43:43" x14ac:dyDescent="0.2">
      <c r="AQ32617" s="31"/>
    </row>
    <row r="32618" spans="43:43" x14ac:dyDescent="0.2">
      <c r="AQ32618" s="31"/>
    </row>
    <row r="32619" spans="43:43" x14ac:dyDescent="0.2">
      <c r="AQ32619" s="31"/>
    </row>
    <row r="32620" spans="43:43" x14ac:dyDescent="0.2">
      <c r="AQ32620" s="31"/>
    </row>
    <row r="32621" spans="43:43" x14ac:dyDescent="0.2">
      <c r="AQ32621" s="31"/>
    </row>
    <row r="32622" spans="43:43" x14ac:dyDescent="0.2">
      <c r="AQ32622" s="31"/>
    </row>
    <row r="32623" spans="43:43" x14ac:dyDescent="0.2">
      <c r="AQ32623" s="31"/>
    </row>
    <row r="32624" spans="43:43" x14ac:dyDescent="0.2">
      <c r="AQ32624" s="31"/>
    </row>
    <row r="32625" spans="43:43" x14ac:dyDescent="0.2">
      <c r="AQ32625" s="31"/>
    </row>
    <row r="32626" spans="43:43" x14ac:dyDescent="0.2">
      <c r="AQ32626" s="31"/>
    </row>
    <row r="32627" spans="43:43" x14ac:dyDescent="0.2">
      <c r="AQ32627" s="31"/>
    </row>
    <row r="32628" spans="43:43" x14ac:dyDescent="0.2">
      <c r="AQ32628" s="31"/>
    </row>
    <row r="32629" spans="43:43" x14ac:dyDescent="0.2">
      <c r="AQ32629" s="31"/>
    </row>
    <row r="32630" spans="43:43" x14ac:dyDescent="0.2">
      <c r="AQ32630" s="31"/>
    </row>
    <row r="32631" spans="43:43" x14ac:dyDescent="0.2">
      <c r="AQ32631" s="31"/>
    </row>
    <row r="32632" spans="43:43" x14ac:dyDescent="0.2">
      <c r="AQ32632" s="31"/>
    </row>
    <row r="32633" spans="43:43" x14ac:dyDescent="0.2">
      <c r="AQ32633" s="31"/>
    </row>
    <row r="32634" spans="43:43" x14ac:dyDescent="0.2">
      <c r="AQ32634" s="31"/>
    </row>
    <row r="32635" spans="43:43" x14ac:dyDescent="0.2">
      <c r="AQ32635" s="31"/>
    </row>
    <row r="32636" spans="43:43" x14ac:dyDescent="0.2">
      <c r="AQ32636" s="31"/>
    </row>
    <row r="32637" spans="43:43" x14ac:dyDescent="0.2">
      <c r="AQ32637" s="31"/>
    </row>
    <row r="32638" spans="43:43" x14ac:dyDescent="0.2">
      <c r="AQ32638" s="31"/>
    </row>
    <row r="32639" spans="43:43" x14ac:dyDescent="0.2">
      <c r="AQ32639" s="31"/>
    </row>
    <row r="32640" spans="43:43" x14ac:dyDescent="0.2">
      <c r="AQ32640" s="31"/>
    </row>
    <row r="32641" spans="43:43" x14ac:dyDescent="0.2">
      <c r="AQ32641" s="31"/>
    </row>
    <row r="32642" spans="43:43" x14ac:dyDescent="0.2">
      <c r="AQ32642" s="31"/>
    </row>
    <row r="32643" spans="43:43" x14ac:dyDescent="0.2">
      <c r="AQ32643" s="31"/>
    </row>
    <row r="32644" spans="43:43" x14ac:dyDescent="0.2">
      <c r="AQ32644" s="31"/>
    </row>
    <row r="32645" spans="43:43" x14ac:dyDescent="0.2">
      <c r="AQ32645" s="31"/>
    </row>
    <row r="32646" spans="43:43" x14ac:dyDescent="0.2">
      <c r="AQ32646" s="31"/>
    </row>
    <row r="32647" spans="43:43" x14ac:dyDescent="0.2">
      <c r="AQ32647" s="31"/>
    </row>
    <row r="32648" spans="43:43" x14ac:dyDescent="0.2">
      <c r="AQ32648" s="31"/>
    </row>
    <row r="32649" spans="43:43" x14ac:dyDescent="0.2">
      <c r="AQ32649" s="31"/>
    </row>
    <row r="32650" spans="43:43" x14ac:dyDescent="0.2">
      <c r="AQ32650" s="31"/>
    </row>
    <row r="32651" spans="43:43" x14ac:dyDescent="0.2">
      <c r="AQ32651" s="31"/>
    </row>
    <row r="32652" spans="43:43" x14ac:dyDescent="0.2">
      <c r="AQ32652" s="31"/>
    </row>
    <row r="32653" spans="43:43" x14ac:dyDescent="0.2">
      <c r="AQ32653" s="31"/>
    </row>
    <row r="32654" spans="43:43" x14ac:dyDescent="0.2">
      <c r="AQ32654" s="31"/>
    </row>
    <row r="32655" spans="43:43" x14ac:dyDescent="0.2">
      <c r="AQ32655" s="31"/>
    </row>
    <row r="32656" spans="43:43" x14ac:dyDescent="0.2">
      <c r="AQ32656" s="31"/>
    </row>
    <row r="32657" spans="43:43" x14ac:dyDescent="0.2">
      <c r="AQ32657" s="31"/>
    </row>
    <row r="32658" spans="43:43" x14ac:dyDescent="0.2">
      <c r="AQ32658" s="31"/>
    </row>
    <row r="32659" spans="43:43" x14ac:dyDescent="0.2">
      <c r="AQ32659" s="31"/>
    </row>
    <row r="32660" spans="43:43" x14ac:dyDescent="0.2">
      <c r="AQ32660" s="31"/>
    </row>
    <row r="32661" spans="43:43" x14ac:dyDescent="0.2">
      <c r="AQ32661" s="31"/>
    </row>
    <row r="32662" spans="43:43" x14ac:dyDescent="0.2">
      <c r="AQ32662" s="31"/>
    </row>
    <row r="32663" spans="43:43" x14ac:dyDescent="0.2">
      <c r="AQ32663" s="31"/>
    </row>
    <row r="32664" spans="43:43" x14ac:dyDescent="0.2">
      <c r="AQ32664" s="31"/>
    </row>
    <row r="32665" spans="43:43" x14ac:dyDescent="0.2">
      <c r="AQ32665" s="31"/>
    </row>
    <row r="32666" spans="43:43" x14ac:dyDescent="0.2">
      <c r="AQ32666" s="31"/>
    </row>
    <row r="32667" spans="43:43" x14ac:dyDescent="0.2">
      <c r="AQ32667" s="31"/>
    </row>
    <row r="32668" spans="43:43" x14ac:dyDescent="0.2">
      <c r="AQ32668" s="31"/>
    </row>
    <row r="32669" spans="43:43" x14ac:dyDescent="0.2">
      <c r="AQ32669" s="31"/>
    </row>
    <row r="32670" spans="43:43" x14ac:dyDescent="0.2">
      <c r="AQ32670" s="31"/>
    </row>
    <row r="32671" spans="43:43" x14ac:dyDescent="0.2">
      <c r="AQ32671" s="31"/>
    </row>
    <row r="32672" spans="43:43" x14ac:dyDescent="0.2">
      <c r="AQ32672" s="31"/>
    </row>
    <row r="32673" spans="43:43" x14ac:dyDescent="0.2">
      <c r="AQ32673" s="31"/>
    </row>
    <row r="32674" spans="43:43" x14ac:dyDescent="0.2">
      <c r="AQ32674" s="31"/>
    </row>
    <row r="32675" spans="43:43" x14ac:dyDescent="0.2">
      <c r="AQ32675" s="31"/>
    </row>
    <row r="32676" spans="43:43" x14ac:dyDescent="0.2">
      <c r="AQ32676" s="31"/>
    </row>
    <row r="32677" spans="43:43" x14ac:dyDescent="0.2">
      <c r="AQ32677" s="31"/>
    </row>
    <row r="32678" spans="43:43" x14ac:dyDescent="0.2">
      <c r="AQ32678" s="31"/>
    </row>
    <row r="32679" spans="43:43" x14ac:dyDescent="0.2">
      <c r="AQ32679" s="31"/>
    </row>
    <row r="32680" spans="43:43" x14ac:dyDescent="0.2">
      <c r="AQ32680" s="31"/>
    </row>
    <row r="32681" spans="43:43" x14ac:dyDescent="0.2">
      <c r="AQ32681" s="31"/>
    </row>
    <row r="32682" spans="43:43" x14ac:dyDescent="0.2">
      <c r="AQ32682" s="31"/>
    </row>
    <row r="32683" spans="43:43" x14ac:dyDescent="0.2">
      <c r="AQ32683" s="31"/>
    </row>
    <row r="32684" spans="43:43" x14ac:dyDescent="0.2">
      <c r="AQ32684" s="31"/>
    </row>
    <row r="32685" spans="43:43" x14ac:dyDescent="0.2">
      <c r="AQ32685" s="31"/>
    </row>
    <row r="32686" spans="43:43" x14ac:dyDescent="0.2">
      <c r="AQ32686" s="31"/>
    </row>
    <row r="32687" spans="43:43" x14ac:dyDescent="0.2">
      <c r="AQ32687" s="31"/>
    </row>
    <row r="32688" spans="43:43" x14ac:dyDescent="0.2">
      <c r="AQ32688" s="31"/>
    </row>
    <row r="32689" spans="43:43" x14ac:dyDescent="0.2">
      <c r="AQ32689" s="31"/>
    </row>
    <row r="32690" spans="43:43" x14ac:dyDescent="0.2">
      <c r="AQ32690" s="31"/>
    </row>
    <row r="32691" spans="43:43" x14ac:dyDescent="0.2">
      <c r="AQ32691" s="31"/>
    </row>
    <row r="32692" spans="43:43" x14ac:dyDescent="0.2">
      <c r="AQ32692" s="31"/>
    </row>
    <row r="32693" spans="43:43" x14ac:dyDescent="0.2">
      <c r="AQ32693" s="31"/>
    </row>
    <row r="32694" spans="43:43" x14ac:dyDescent="0.2">
      <c r="AQ32694" s="31"/>
    </row>
    <row r="32695" spans="43:43" x14ac:dyDescent="0.2">
      <c r="AQ32695" s="31"/>
    </row>
    <row r="32696" spans="43:43" x14ac:dyDescent="0.2">
      <c r="AQ32696" s="31"/>
    </row>
    <row r="32697" spans="43:43" x14ac:dyDescent="0.2">
      <c r="AQ32697" s="31"/>
    </row>
    <row r="32698" spans="43:43" x14ac:dyDescent="0.2">
      <c r="AQ32698" s="31"/>
    </row>
    <row r="32699" spans="43:43" x14ac:dyDescent="0.2">
      <c r="AQ32699" s="31"/>
    </row>
    <row r="32700" spans="43:43" x14ac:dyDescent="0.2">
      <c r="AQ32700" s="31"/>
    </row>
    <row r="32701" spans="43:43" x14ac:dyDescent="0.2">
      <c r="AQ32701" s="31"/>
    </row>
    <row r="32702" spans="43:43" x14ac:dyDescent="0.2">
      <c r="AQ32702" s="31"/>
    </row>
    <row r="32703" spans="43:43" x14ac:dyDescent="0.2">
      <c r="AQ32703" s="31"/>
    </row>
    <row r="32704" spans="43:43" x14ac:dyDescent="0.2">
      <c r="AQ32704" s="31"/>
    </row>
    <row r="32705" spans="43:43" x14ac:dyDescent="0.2">
      <c r="AQ32705" s="31"/>
    </row>
    <row r="32706" spans="43:43" x14ac:dyDescent="0.2">
      <c r="AQ32706" s="31"/>
    </row>
    <row r="32707" spans="43:43" x14ac:dyDescent="0.2">
      <c r="AQ32707" s="31"/>
    </row>
    <row r="32708" spans="43:43" x14ac:dyDescent="0.2">
      <c r="AQ32708" s="31"/>
    </row>
    <row r="32709" spans="43:43" x14ac:dyDescent="0.2">
      <c r="AQ32709" s="31"/>
    </row>
    <row r="32710" spans="43:43" x14ac:dyDescent="0.2">
      <c r="AQ32710" s="31"/>
    </row>
    <row r="32711" spans="43:43" x14ac:dyDescent="0.2">
      <c r="AQ32711" s="31"/>
    </row>
    <row r="32712" spans="43:43" x14ac:dyDescent="0.2">
      <c r="AQ32712" s="31"/>
    </row>
    <row r="32713" spans="43:43" x14ac:dyDescent="0.2">
      <c r="AQ32713" s="31"/>
    </row>
    <row r="32714" spans="43:43" x14ac:dyDescent="0.2">
      <c r="AQ32714" s="31"/>
    </row>
    <row r="32715" spans="43:43" x14ac:dyDescent="0.2">
      <c r="AQ32715" s="31"/>
    </row>
    <row r="32716" spans="43:43" x14ac:dyDescent="0.2">
      <c r="AQ32716" s="31"/>
    </row>
    <row r="32717" spans="43:43" x14ac:dyDescent="0.2">
      <c r="AQ32717" s="31"/>
    </row>
    <row r="32718" spans="43:43" x14ac:dyDescent="0.2">
      <c r="AQ32718" s="31"/>
    </row>
    <row r="32719" spans="43:43" x14ac:dyDescent="0.2">
      <c r="AQ32719" s="31"/>
    </row>
    <row r="32720" spans="43:43" x14ac:dyDescent="0.2">
      <c r="AQ32720" s="31"/>
    </row>
    <row r="32721" spans="43:43" x14ac:dyDescent="0.2">
      <c r="AQ32721" s="31"/>
    </row>
    <row r="32722" spans="43:43" x14ac:dyDescent="0.2">
      <c r="AQ32722" s="31"/>
    </row>
    <row r="32723" spans="43:43" x14ac:dyDescent="0.2">
      <c r="AQ32723" s="31"/>
    </row>
    <row r="32724" spans="43:43" x14ac:dyDescent="0.2">
      <c r="AQ32724" s="31"/>
    </row>
    <row r="32725" spans="43:43" x14ac:dyDescent="0.2">
      <c r="AQ32725" s="31"/>
    </row>
    <row r="32726" spans="43:43" x14ac:dyDescent="0.2">
      <c r="AQ32726" s="31"/>
    </row>
    <row r="32727" spans="43:43" x14ac:dyDescent="0.2">
      <c r="AQ32727" s="31"/>
    </row>
    <row r="32728" spans="43:43" x14ac:dyDescent="0.2">
      <c r="AQ32728" s="31"/>
    </row>
    <row r="32729" spans="43:43" x14ac:dyDescent="0.2">
      <c r="AQ32729" s="31"/>
    </row>
    <row r="32730" spans="43:43" x14ac:dyDescent="0.2">
      <c r="AQ32730" s="31"/>
    </row>
    <row r="32731" spans="43:43" x14ac:dyDescent="0.2">
      <c r="AQ32731" s="31"/>
    </row>
    <row r="32732" spans="43:43" x14ac:dyDescent="0.2">
      <c r="AQ32732" s="31"/>
    </row>
    <row r="32733" spans="43:43" x14ac:dyDescent="0.2">
      <c r="AQ32733" s="31"/>
    </row>
    <row r="32734" spans="43:43" x14ac:dyDescent="0.2">
      <c r="AQ32734" s="31"/>
    </row>
    <row r="32735" spans="43:43" x14ac:dyDescent="0.2">
      <c r="AQ32735" s="31"/>
    </row>
    <row r="32736" spans="43:43" x14ac:dyDescent="0.2">
      <c r="AQ32736" s="31"/>
    </row>
    <row r="32737" spans="43:43" x14ac:dyDescent="0.2">
      <c r="AQ32737" s="31"/>
    </row>
    <row r="32738" spans="43:43" x14ac:dyDescent="0.2">
      <c r="AQ32738" s="31"/>
    </row>
    <row r="32739" spans="43:43" x14ac:dyDescent="0.2">
      <c r="AQ32739" s="31"/>
    </row>
    <row r="32740" spans="43:43" x14ac:dyDescent="0.2">
      <c r="AQ32740" s="31"/>
    </row>
    <row r="32741" spans="43:43" x14ac:dyDescent="0.2">
      <c r="AQ32741" s="31"/>
    </row>
    <row r="32742" spans="43:43" x14ac:dyDescent="0.2">
      <c r="AQ32742" s="31"/>
    </row>
    <row r="32743" spans="43:43" x14ac:dyDescent="0.2">
      <c r="AQ32743" s="31"/>
    </row>
    <row r="32744" spans="43:43" x14ac:dyDescent="0.2">
      <c r="AQ32744" s="31"/>
    </row>
    <row r="32745" spans="43:43" x14ac:dyDescent="0.2">
      <c r="AQ32745" s="31"/>
    </row>
    <row r="32746" spans="43:43" x14ac:dyDescent="0.2">
      <c r="AQ32746" s="31"/>
    </row>
    <row r="32747" spans="43:43" x14ac:dyDescent="0.2">
      <c r="AQ32747" s="31"/>
    </row>
    <row r="32748" spans="43:43" x14ac:dyDescent="0.2">
      <c r="AQ32748" s="31"/>
    </row>
    <row r="32749" spans="43:43" x14ac:dyDescent="0.2">
      <c r="AQ32749" s="31"/>
    </row>
    <row r="32750" spans="43:43" x14ac:dyDescent="0.2">
      <c r="AQ32750" s="31"/>
    </row>
    <row r="32751" spans="43:43" x14ac:dyDescent="0.2">
      <c r="AQ32751" s="31"/>
    </row>
    <row r="32752" spans="43:43" x14ac:dyDescent="0.2">
      <c r="AQ32752" s="31"/>
    </row>
    <row r="32753" spans="43:43" x14ac:dyDescent="0.2">
      <c r="AQ32753" s="31"/>
    </row>
    <row r="32754" spans="43:43" x14ac:dyDescent="0.2">
      <c r="AQ32754" s="31"/>
    </row>
    <row r="32755" spans="43:43" x14ac:dyDescent="0.2">
      <c r="AQ32755" s="31"/>
    </row>
    <row r="32756" spans="43:43" x14ac:dyDescent="0.2">
      <c r="AQ32756" s="31"/>
    </row>
    <row r="32757" spans="43:43" x14ac:dyDescent="0.2">
      <c r="AQ32757" s="31"/>
    </row>
    <row r="32758" spans="43:43" x14ac:dyDescent="0.2">
      <c r="AQ32758" s="31"/>
    </row>
    <row r="32759" spans="43:43" x14ac:dyDescent="0.2">
      <c r="AQ32759" s="31"/>
    </row>
    <row r="32760" spans="43:43" x14ac:dyDescent="0.2">
      <c r="AQ32760" s="31"/>
    </row>
    <row r="32761" spans="43:43" x14ac:dyDescent="0.2">
      <c r="AQ32761" s="31"/>
    </row>
    <row r="32762" spans="43:43" x14ac:dyDescent="0.2">
      <c r="AQ32762" s="31"/>
    </row>
    <row r="32763" spans="43:43" x14ac:dyDescent="0.2">
      <c r="AQ32763" s="31"/>
    </row>
    <row r="32764" spans="43:43" x14ac:dyDescent="0.2">
      <c r="AQ32764" s="31"/>
    </row>
    <row r="32765" spans="43:43" x14ac:dyDescent="0.2">
      <c r="AQ32765" s="31"/>
    </row>
    <row r="32766" spans="43:43" x14ac:dyDescent="0.2">
      <c r="AQ32766" s="31"/>
    </row>
    <row r="32767" spans="43:43" x14ac:dyDescent="0.2">
      <c r="AQ32767" s="31"/>
    </row>
    <row r="32768" spans="43:43" x14ac:dyDescent="0.2">
      <c r="AQ32768" s="31"/>
    </row>
    <row r="32769" spans="43:43" x14ac:dyDescent="0.2">
      <c r="AQ32769" s="31"/>
    </row>
    <row r="32770" spans="43:43" x14ac:dyDescent="0.2">
      <c r="AQ32770" s="31"/>
    </row>
    <row r="32771" spans="43:43" x14ac:dyDescent="0.2">
      <c r="AQ32771" s="31"/>
    </row>
    <row r="32772" spans="43:43" x14ac:dyDescent="0.2">
      <c r="AQ32772" s="31"/>
    </row>
    <row r="32773" spans="43:43" x14ac:dyDescent="0.2">
      <c r="AQ32773" s="31"/>
    </row>
    <row r="32774" spans="43:43" x14ac:dyDescent="0.2">
      <c r="AQ32774" s="31"/>
    </row>
    <row r="32775" spans="43:43" x14ac:dyDescent="0.2">
      <c r="AQ32775" s="31"/>
    </row>
    <row r="32776" spans="43:43" x14ac:dyDescent="0.2">
      <c r="AQ32776" s="31"/>
    </row>
    <row r="32777" spans="43:43" x14ac:dyDescent="0.2">
      <c r="AQ32777" s="31"/>
    </row>
    <row r="32778" spans="43:43" x14ac:dyDescent="0.2">
      <c r="AQ32778" s="31"/>
    </row>
    <row r="32779" spans="43:43" x14ac:dyDescent="0.2">
      <c r="AQ32779" s="31"/>
    </row>
    <row r="32780" spans="43:43" x14ac:dyDescent="0.2">
      <c r="AQ32780" s="31"/>
    </row>
    <row r="32781" spans="43:43" x14ac:dyDescent="0.2">
      <c r="AQ32781" s="31"/>
    </row>
    <row r="32782" spans="43:43" x14ac:dyDescent="0.2">
      <c r="AQ32782" s="31"/>
    </row>
    <row r="32783" spans="43:43" x14ac:dyDescent="0.2">
      <c r="AQ32783" s="31"/>
    </row>
    <row r="32784" spans="43:43" x14ac:dyDescent="0.2">
      <c r="AQ32784" s="31"/>
    </row>
    <row r="32785" spans="43:43" x14ac:dyDescent="0.2">
      <c r="AQ32785" s="31"/>
    </row>
    <row r="32786" spans="43:43" x14ac:dyDescent="0.2">
      <c r="AQ32786" s="31"/>
    </row>
    <row r="32787" spans="43:43" x14ac:dyDescent="0.2">
      <c r="AQ32787" s="31"/>
    </row>
    <row r="32788" spans="43:43" x14ac:dyDescent="0.2">
      <c r="AQ32788" s="31"/>
    </row>
    <row r="32789" spans="43:43" x14ac:dyDescent="0.2">
      <c r="AQ32789" s="31"/>
    </row>
    <row r="32790" spans="43:43" x14ac:dyDescent="0.2">
      <c r="AQ32790" s="31"/>
    </row>
    <row r="32791" spans="43:43" x14ac:dyDescent="0.2">
      <c r="AQ32791" s="31"/>
    </row>
    <row r="32792" spans="43:43" x14ac:dyDescent="0.2">
      <c r="AQ32792" s="31"/>
    </row>
    <row r="32793" spans="43:43" x14ac:dyDescent="0.2">
      <c r="AQ32793" s="31"/>
    </row>
    <row r="32794" spans="43:43" x14ac:dyDescent="0.2">
      <c r="AQ32794" s="31"/>
    </row>
    <row r="32795" spans="43:43" x14ac:dyDescent="0.2">
      <c r="AQ32795" s="31"/>
    </row>
    <row r="32796" spans="43:43" x14ac:dyDescent="0.2">
      <c r="AQ32796" s="31"/>
    </row>
    <row r="32797" spans="43:43" x14ac:dyDescent="0.2">
      <c r="AQ32797" s="31"/>
    </row>
    <row r="32798" spans="43:43" x14ac:dyDescent="0.2">
      <c r="AQ32798" s="31"/>
    </row>
    <row r="32799" spans="43:43" x14ac:dyDescent="0.2">
      <c r="AQ32799" s="31"/>
    </row>
    <row r="32800" spans="43:43" x14ac:dyDescent="0.2">
      <c r="AQ32800" s="31"/>
    </row>
    <row r="32801" spans="43:43" x14ac:dyDescent="0.2">
      <c r="AQ32801" s="31"/>
    </row>
    <row r="32802" spans="43:43" x14ac:dyDescent="0.2">
      <c r="AQ32802" s="31"/>
    </row>
    <row r="32803" spans="43:43" x14ac:dyDescent="0.2">
      <c r="AQ32803" s="31"/>
    </row>
    <row r="32804" spans="43:43" x14ac:dyDescent="0.2">
      <c r="AQ32804" s="31"/>
    </row>
    <row r="32805" spans="43:43" x14ac:dyDescent="0.2">
      <c r="AQ32805" s="31"/>
    </row>
    <row r="32806" spans="43:43" x14ac:dyDescent="0.2">
      <c r="AQ32806" s="31"/>
    </row>
    <row r="32807" spans="43:43" x14ac:dyDescent="0.2">
      <c r="AQ32807" s="31"/>
    </row>
    <row r="32808" spans="43:43" x14ac:dyDescent="0.2">
      <c r="AQ32808" s="31"/>
    </row>
    <row r="32809" spans="43:43" x14ac:dyDescent="0.2">
      <c r="AQ32809" s="31"/>
    </row>
    <row r="32810" spans="43:43" x14ac:dyDescent="0.2">
      <c r="AQ32810" s="31"/>
    </row>
    <row r="32811" spans="43:43" x14ac:dyDescent="0.2">
      <c r="AQ32811" s="31"/>
    </row>
    <row r="32812" spans="43:43" x14ac:dyDescent="0.2">
      <c r="AQ32812" s="31"/>
    </row>
    <row r="32813" spans="43:43" x14ac:dyDescent="0.2">
      <c r="AQ32813" s="31"/>
    </row>
    <row r="32814" spans="43:43" x14ac:dyDescent="0.2">
      <c r="AQ32814" s="31"/>
    </row>
    <row r="32815" spans="43:43" x14ac:dyDescent="0.2">
      <c r="AQ32815" s="31"/>
    </row>
    <row r="32816" spans="43:43" x14ac:dyDescent="0.2">
      <c r="AQ32816" s="31"/>
    </row>
    <row r="32817" spans="43:43" x14ac:dyDescent="0.2">
      <c r="AQ32817" s="31"/>
    </row>
    <row r="32818" spans="43:43" x14ac:dyDescent="0.2">
      <c r="AQ32818" s="31"/>
    </row>
    <row r="32819" spans="43:43" x14ac:dyDescent="0.2">
      <c r="AQ32819" s="31"/>
    </row>
    <row r="32820" spans="43:43" x14ac:dyDescent="0.2">
      <c r="AQ32820" s="31"/>
    </row>
    <row r="32821" spans="43:43" x14ac:dyDescent="0.2">
      <c r="AQ32821" s="31"/>
    </row>
    <row r="32822" spans="43:43" x14ac:dyDescent="0.2">
      <c r="AQ32822" s="31"/>
    </row>
    <row r="32823" spans="43:43" x14ac:dyDescent="0.2">
      <c r="AQ32823" s="31"/>
    </row>
    <row r="32824" spans="43:43" x14ac:dyDescent="0.2">
      <c r="AQ32824" s="31"/>
    </row>
    <row r="32825" spans="43:43" x14ac:dyDescent="0.2">
      <c r="AQ32825" s="31"/>
    </row>
    <row r="32826" spans="43:43" x14ac:dyDescent="0.2">
      <c r="AQ32826" s="31"/>
    </row>
    <row r="32827" spans="43:43" x14ac:dyDescent="0.2">
      <c r="AQ32827" s="31"/>
    </row>
    <row r="32828" spans="43:43" x14ac:dyDescent="0.2">
      <c r="AQ32828" s="31"/>
    </row>
    <row r="32829" spans="43:43" x14ac:dyDescent="0.2">
      <c r="AQ32829" s="31"/>
    </row>
    <row r="32830" spans="43:43" x14ac:dyDescent="0.2">
      <c r="AQ32830" s="31"/>
    </row>
    <row r="32831" spans="43:43" x14ac:dyDescent="0.2">
      <c r="AQ32831" s="31"/>
    </row>
    <row r="32832" spans="43:43" x14ac:dyDescent="0.2">
      <c r="AQ32832" s="31"/>
    </row>
    <row r="32833" spans="43:43" x14ac:dyDescent="0.2">
      <c r="AQ32833" s="31"/>
    </row>
    <row r="32834" spans="43:43" x14ac:dyDescent="0.2">
      <c r="AQ32834" s="31"/>
    </row>
    <row r="32835" spans="43:43" x14ac:dyDescent="0.2">
      <c r="AQ32835" s="31"/>
    </row>
    <row r="32836" spans="43:43" x14ac:dyDescent="0.2">
      <c r="AQ32836" s="31"/>
    </row>
    <row r="32837" spans="43:43" x14ac:dyDescent="0.2">
      <c r="AQ32837" s="31"/>
    </row>
    <row r="32838" spans="43:43" x14ac:dyDescent="0.2">
      <c r="AQ32838" s="31"/>
    </row>
    <row r="32839" spans="43:43" x14ac:dyDescent="0.2">
      <c r="AQ32839" s="31"/>
    </row>
    <row r="32840" spans="43:43" x14ac:dyDescent="0.2">
      <c r="AQ32840" s="31"/>
    </row>
    <row r="32841" spans="43:43" x14ac:dyDescent="0.2">
      <c r="AQ32841" s="31"/>
    </row>
    <row r="32842" spans="43:43" x14ac:dyDescent="0.2">
      <c r="AQ32842" s="31"/>
    </row>
    <row r="32843" spans="43:43" x14ac:dyDescent="0.2">
      <c r="AQ32843" s="31"/>
    </row>
    <row r="32844" spans="43:43" x14ac:dyDescent="0.2">
      <c r="AQ32844" s="31"/>
    </row>
    <row r="32845" spans="43:43" x14ac:dyDescent="0.2">
      <c r="AQ32845" s="31"/>
    </row>
    <row r="32846" spans="43:43" x14ac:dyDescent="0.2">
      <c r="AQ32846" s="31"/>
    </row>
    <row r="32847" spans="43:43" x14ac:dyDescent="0.2">
      <c r="AQ32847" s="31"/>
    </row>
    <row r="32848" spans="43:43" x14ac:dyDescent="0.2">
      <c r="AQ32848" s="31"/>
    </row>
    <row r="32849" spans="43:43" x14ac:dyDescent="0.2">
      <c r="AQ32849" s="31"/>
    </row>
    <row r="32850" spans="43:43" x14ac:dyDescent="0.2">
      <c r="AQ32850" s="31"/>
    </row>
    <row r="32851" spans="43:43" x14ac:dyDescent="0.2">
      <c r="AQ32851" s="31"/>
    </row>
    <row r="32852" spans="43:43" x14ac:dyDescent="0.2">
      <c r="AQ32852" s="31"/>
    </row>
    <row r="32853" spans="43:43" x14ac:dyDescent="0.2">
      <c r="AQ32853" s="31"/>
    </row>
    <row r="32854" spans="43:43" x14ac:dyDescent="0.2">
      <c r="AQ32854" s="31"/>
    </row>
    <row r="32855" spans="43:43" x14ac:dyDescent="0.2">
      <c r="AQ32855" s="31"/>
    </row>
    <row r="32856" spans="43:43" x14ac:dyDescent="0.2">
      <c r="AQ32856" s="31"/>
    </row>
    <row r="32857" spans="43:43" x14ac:dyDescent="0.2">
      <c r="AQ32857" s="31"/>
    </row>
    <row r="32858" spans="43:43" x14ac:dyDescent="0.2">
      <c r="AQ32858" s="31"/>
    </row>
    <row r="32859" spans="43:43" x14ac:dyDescent="0.2">
      <c r="AQ32859" s="31"/>
    </row>
    <row r="32860" spans="43:43" x14ac:dyDescent="0.2">
      <c r="AQ32860" s="31"/>
    </row>
    <row r="32861" spans="43:43" x14ac:dyDescent="0.2">
      <c r="AQ32861" s="31"/>
    </row>
    <row r="32862" spans="43:43" x14ac:dyDescent="0.2">
      <c r="AQ32862" s="31"/>
    </row>
    <row r="32863" spans="43:43" x14ac:dyDescent="0.2">
      <c r="AQ32863" s="31"/>
    </row>
    <row r="32864" spans="43:43" x14ac:dyDescent="0.2">
      <c r="AQ32864" s="31"/>
    </row>
    <row r="32865" spans="43:43" x14ac:dyDescent="0.2">
      <c r="AQ32865" s="31"/>
    </row>
    <row r="32866" spans="43:43" x14ac:dyDescent="0.2">
      <c r="AQ32866" s="31"/>
    </row>
    <row r="32867" spans="43:43" x14ac:dyDescent="0.2">
      <c r="AQ32867" s="31"/>
    </row>
    <row r="32868" spans="43:43" x14ac:dyDescent="0.2">
      <c r="AQ32868" s="31"/>
    </row>
    <row r="32869" spans="43:43" x14ac:dyDescent="0.2">
      <c r="AQ32869" s="31"/>
    </row>
    <row r="32870" spans="43:43" x14ac:dyDescent="0.2">
      <c r="AQ32870" s="31"/>
    </row>
    <row r="32871" spans="43:43" x14ac:dyDescent="0.2">
      <c r="AQ32871" s="31"/>
    </row>
    <row r="32872" spans="43:43" x14ac:dyDescent="0.2">
      <c r="AQ32872" s="31"/>
    </row>
    <row r="32873" spans="43:43" x14ac:dyDescent="0.2">
      <c r="AQ32873" s="31"/>
    </row>
    <row r="32874" spans="43:43" x14ac:dyDescent="0.2">
      <c r="AQ32874" s="31"/>
    </row>
    <row r="32875" spans="43:43" x14ac:dyDescent="0.2">
      <c r="AQ32875" s="31"/>
    </row>
    <row r="32876" spans="43:43" x14ac:dyDescent="0.2">
      <c r="AQ32876" s="31"/>
    </row>
    <row r="32877" spans="43:43" x14ac:dyDescent="0.2">
      <c r="AQ32877" s="31"/>
    </row>
    <row r="32878" spans="43:43" x14ac:dyDescent="0.2">
      <c r="AQ32878" s="31"/>
    </row>
    <row r="32879" spans="43:43" x14ac:dyDescent="0.2">
      <c r="AQ32879" s="31"/>
    </row>
    <row r="32880" spans="43:43" x14ac:dyDescent="0.2">
      <c r="AQ32880" s="31"/>
    </row>
    <row r="32881" spans="43:43" x14ac:dyDescent="0.2">
      <c r="AQ32881" s="31"/>
    </row>
    <row r="32882" spans="43:43" x14ac:dyDescent="0.2">
      <c r="AQ32882" s="31"/>
    </row>
    <row r="32883" spans="43:43" x14ac:dyDescent="0.2">
      <c r="AQ32883" s="31"/>
    </row>
    <row r="32884" spans="43:43" x14ac:dyDescent="0.2">
      <c r="AQ32884" s="31"/>
    </row>
    <row r="32885" spans="43:43" x14ac:dyDescent="0.2">
      <c r="AQ32885" s="31"/>
    </row>
    <row r="32886" spans="43:43" x14ac:dyDescent="0.2">
      <c r="AQ32886" s="31"/>
    </row>
    <row r="32887" spans="43:43" x14ac:dyDescent="0.2">
      <c r="AQ32887" s="31"/>
    </row>
    <row r="32888" spans="43:43" x14ac:dyDescent="0.2">
      <c r="AQ32888" s="31"/>
    </row>
    <row r="32889" spans="43:43" x14ac:dyDescent="0.2">
      <c r="AQ32889" s="31"/>
    </row>
    <row r="32890" spans="43:43" x14ac:dyDescent="0.2">
      <c r="AQ32890" s="31"/>
    </row>
    <row r="32891" spans="43:43" x14ac:dyDescent="0.2">
      <c r="AQ32891" s="31"/>
    </row>
    <row r="32892" spans="43:43" x14ac:dyDescent="0.2">
      <c r="AQ32892" s="31"/>
    </row>
    <row r="32893" spans="43:43" x14ac:dyDescent="0.2">
      <c r="AQ32893" s="31"/>
    </row>
    <row r="32894" spans="43:43" x14ac:dyDescent="0.2">
      <c r="AQ32894" s="31"/>
    </row>
    <row r="32895" spans="43:43" x14ac:dyDescent="0.2">
      <c r="AQ32895" s="31"/>
    </row>
    <row r="32896" spans="43:43" x14ac:dyDescent="0.2">
      <c r="AQ32896" s="31"/>
    </row>
    <row r="32897" spans="43:43" x14ac:dyDescent="0.2">
      <c r="AQ32897" s="31"/>
    </row>
    <row r="32898" spans="43:43" x14ac:dyDescent="0.2">
      <c r="AQ32898" s="31"/>
    </row>
    <row r="32899" spans="43:43" x14ac:dyDescent="0.2">
      <c r="AQ32899" s="31"/>
    </row>
    <row r="32900" spans="43:43" x14ac:dyDescent="0.2">
      <c r="AQ32900" s="31"/>
    </row>
    <row r="32901" spans="43:43" x14ac:dyDescent="0.2">
      <c r="AQ32901" s="31"/>
    </row>
    <row r="32902" spans="43:43" x14ac:dyDescent="0.2">
      <c r="AQ32902" s="31"/>
    </row>
    <row r="32903" spans="43:43" x14ac:dyDescent="0.2">
      <c r="AQ32903" s="31"/>
    </row>
    <row r="32904" spans="43:43" x14ac:dyDescent="0.2">
      <c r="AQ32904" s="31"/>
    </row>
    <row r="32905" spans="43:43" x14ac:dyDescent="0.2">
      <c r="AQ32905" s="31"/>
    </row>
    <row r="32906" spans="43:43" x14ac:dyDescent="0.2">
      <c r="AQ32906" s="31"/>
    </row>
    <row r="32907" spans="43:43" x14ac:dyDescent="0.2">
      <c r="AQ32907" s="31"/>
    </row>
    <row r="32908" spans="43:43" x14ac:dyDescent="0.2">
      <c r="AQ32908" s="31"/>
    </row>
    <row r="32909" spans="43:43" x14ac:dyDescent="0.2">
      <c r="AQ32909" s="31"/>
    </row>
    <row r="32910" spans="43:43" x14ac:dyDescent="0.2">
      <c r="AQ32910" s="31"/>
    </row>
    <row r="32911" spans="43:43" x14ac:dyDescent="0.2">
      <c r="AQ32911" s="31"/>
    </row>
    <row r="32912" spans="43:43" x14ac:dyDescent="0.2">
      <c r="AQ32912" s="31"/>
    </row>
    <row r="32913" spans="43:43" x14ac:dyDescent="0.2">
      <c r="AQ32913" s="31"/>
    </row>
    <row r="32914" spans="43:43" x14ac:dyDescent="0.2">
      <c r="AQ32914" s="31"/>
    </row>
    <row r="32915" spans="43:43" x14ac:dyDescent="0.2">
      <c r="AQ32915" s="31"/>
    </row>
    <row r="32916" spans="43:43" x14ac:dyDescent="0.2">
      <c r="AQ32916" s="31"/>
    </row>
    <row r="32917" spans="43:43" x14ac:dyDescent="0.2">
      <c r="AQ32917" s="31"/>
    </row>
    <row r="32918" spans="43:43" x14ac:dyDescent="0.2">
      <c r="AQ32918" s="31"/>
    </row>
    <row r="32919" spans="43:43" x14ac:dyDescent="0.2">
      <c r="AQ32919" s="31"/>
    </row>
    <row r="32920" spans="43:43" x14ac:dyDescent="0.2">
      <c r="AQ32920" s="31"/>
    </row>
    <row r="32921" spans="43:43" x14ac:dyDescent="0.2">
      <c r="AQ32921" s="31"/>
    </row>
    <row r="32922" spans="43:43" x14ac:dyDescent="0.2">
      <c r="AQ32922" s="31"/>
    </row>
    <row r="32923" spans="43:43" x14ac:dyDescent="0.2">
      <c r="AQ32923" s="31"/>
    </row>
    <row r="32924" spans="43:43" x14ac:dyDescent="0.2">
      <c r="AQ32924" s="31"/>
    </row>
    <row r="32925" spans="43:43" x14ac:dyDescent="0.2">
      <c r="AQ32925" s="31"/>
    </row>
    <row r="32926" spans="43:43" x14ac:dyDescent="0.2">
      <c r="AQ32926" s="31"/>
    </row>
    <row r="32927" spans="43:43" x14ac:dyDescent="0.2">
      <c r="AQ32927" s="31"/>
    </row>
    <row r="32928" spans="43:43" x14ac:dyDescent="0.2">
      <c r="AQ32928" s="31"/>
    </row>
    <row r="32929" spans="43:43" x14ac:dyDescent="0.2">
      <c r="AQ32929" s="31"/>
    </row>
    <row r="32930" spans="43:43" x14ac:dyDescent="0.2">
      <c r="AQ32930" s="31"/>
    </row>
    <row r="32931" spans="43:43" x14ac:dyDescent="0.2">
      <c r="AQ32931" s="31"/>
    </row>
    <row r="32932" spans="43:43" x14ac:dyDescent="0.2">
      <c r="AQ32932" s="31"/>
    </row>
    <row r="32933" spans="43:43" x14ac:dyDescent="0.2">
      <c r="AQ32933" s="31"/>
    </row>
    <row r="32934" spans="43:43" x14ac:dyDescent="0.2">
      <c r="AQ32934" s="31"/>
    </row>
    <row r="32935" spans="43:43" x14ac:dyDescent="0.2">
      <c r="AQ32935" s="31"/>
    </row>
    <row r="32936" spans="43:43" x14ac:dyDescent="0.2">
      <c r="AQ32936" s="31"/>
    </row>
    <row r="32937" spans="43:43" x14ac:dyDescent="0.2">
      <c r="AQ32937" s="31"/>
    </row>
    <row r="32938" spans="43:43" x14ac:dyDescent="0.2">
      <c r="AQ32938" s="31"/>
    </row>
    <row r="32939" spans="43:43" x14ac:dyDescent="0.2">
      <c r="AQ32939" s="31"/>
    </row>
    <row r="32940" spans="43:43" x14ac:dyDescent="0.2">
      <c r="AQ32940" s="31"/>
    </row>
    <row r="32941" spans="43:43" x14ac:dyDescent="0.2">
      <c r="AQ32941" s="31"/>
    </row>
    <row r="32942" spans="43:43" x14ac:dyDescent="0.2">
      <c r="AQ32942" s="31"/>
    </row>
    <row r="32943" spans="43:43" x14ac:dyDescent="0.2">
      <c r="AQ32943" s="31"/>
    </row>
    <row r="32944" spans="43:43" x14ac:dyDescent="0.2">
      <c r="AQ32944" s="31"/>
    </row>
    <row r="32945" spans="43:43" x14ac:dyDescent="0.2">
      <c r="AQ32945" s="31"/>
    </row>
    <row r="32946" spans="43:43" x14ac:dyDescent="0.2">
      <c r="AQ32946" s="31"/>
    </row>
    <row r="32947" spans="43:43" x14ac:dyDescent="0.2">
      <c r="AQ32947" s="31"/>
    </row>
    <row r="32948" spans="43:43" x14ac:dyDescent="0.2">
      <c r="AQ32948" s="31"/>
    </row>
    <row r="32949" spans="43:43" x14ac:dyDescent="0.2">
      <c r="AQ32949" s="31"/>
    </row>
    <row r="32950" spans="43:43" x14ac:dyDescent="0.2">
      <c r="AQ32950" s="31"/>
    </row>
    <row r="32951" spans="43:43" x14ac:dyDescent="0.2">
      <c r="AQ32951" s="31"/>
    </row>
    <row r="32952" spans="43:43" x14ac:dyDescent="0.2">
      <c r="AQ32952" s="31"/>
    </row>
    <row r="32953" spans="43:43" x14ac:dyDescent="0.2">
      <c r="AQ32953" s="31"/>
    </row>
    <row r="32954" spans="43:43" x14ac:dyDescent="0.2">
      <c r="AQ32954" s="31"/>
    </row>
    <row r="32955" spans="43:43" x14ac:dyDescent="0.2">
      <c r="AQ32955" s="31"/>
    </row>
    <row r="32956" spans="43:43" x14ac:dyDescent="0.2">
      <c r="AQ32956" s="31"/>
    </row>
    <row r="32957" spans="43:43" x14ac:dyDescent="0.2">
      <c r="AQ32957" s="31"/>
    </row>
    <row r="32958" spans="43:43" x14ac:dyDescent="0.2">
      <c r="AQ32958" s="31"/>
    </row>
    <row r="32959" spans="43:43" x14ac:dyDescent="0.2">
      <c r="AQ32959" s="31"/>
    </row>
    <row r="32960" spans="43:43" x14ac:dyDescent="0.2">
      <c r="AQ32960" s="31"/>
    </row>
    <row r="32961" spans="43:43" x14ac:dyDescent="0.2">
      <c r="AQ32961" s="31"/>
    </row>
    <row r="32962" spans="43:43" x14ac:dyDescent="0.2">
      <c r="AQ32962" s="31"/>
    </row>
    <row r="32963" spans="43:43" x14ac:dyDescent="0.2">
      <c r="AQ32963" s="31"/>
    </row>
    <row r="32964" spans="43:43" x14ac:dyDescent="0.2">
      <c r="AQ32964" s="31"/>
    </row>
    <row r="32965" spans="43:43" x14ac:dyDescent="0.2">
      <c r="AQ32965" s="31"/>
    </row>
    <row r="32966" spans="43:43" x14ac:dyDescent="0.2">
      <c r="AQ32966" s="31"/>
    </row>
    <row r="32967" spans="43:43" x14ac:dyDescent="0.2">
      <c r="AQ32967" s="31"/>
    </row>
    <row r="32968" spans="43:43" x14ac:dyDescent="0.2">
      <c r="AQ32968" s="31"/>
    </row>
    <row r="32969" spans="43:43" x14ac:dyDescent="0.2">
      <c r="AQ32969" s="31"/>
    </row>
    <row r="32970" spans="43:43" x14ac:dyDescent="0.2">
      <c r="AQ32970" s="31"/>
    </row>
    <row r="32971" spans="43:43" x14ac:dyDescent="0.2">
      <c r="AQ32971" s="31"/>
    </row>
    <row r="32972" spans="43:43" x14ac:dyDescent="0.2">
      <c r="AQ32972" s="31"/>
    </row>
    <row r="32973" spans="43:43" x14ac:dyDescent="0.2">
      <c r="AQ32973" s="31"/>
    </row>
    <row r="32974" spans="43:43" x14ac:dyDescent="0.2">
      <c r="AQ32974" s="31"/>
    </row>
    <row r="32975" spans="43:43" x14ac:dyDescent="0.2">
      <c r="AQ32975" s="31"/>
    </row>
    <row r="32976" spans="43:43" x14ac:dyDescent="0.2">
      <c r="AQ32976" s="31"/>
    </row>
    <row r="32977" spans="43:43" x14ac:dyDescent="0.2">
      <c r="AQ32977" s="31"/>
    </row>
    <row r="32978" spans="43:43" x14ac:dyDescent="0.2">
      <c r="AQ32978" s="31"/>
    </row>
    <row r="32979" spans="43:43" x14ac:dyDescent="0.2">
      <c r="AQ32979" s="31"/>
    </row>
    <row r="32980" spans="43:43" x14ac:dyDescent="0.2">
      <c r="AQ32980" s="31"/>
    </row>
    <row r="32981" spans="43:43" x14ac:dyDescent="0.2">
      <c r="AQ32981" s="31"/>
    </row>
    <row r="32982" spans="43:43" x14ac:dyDescent="0.2">
      <c r="AQ32982" s="31"/>
    </row>
    <row r="32983" spans="43:43" x14ac:dyDescent="0.2">
      <c r="AQ32983" s="31"/>
    </row>
    <row r="32984" spans="43:43" x14ac:dyDescent="0.2">
      <c r="AQ32984" s="31"/>
    </row>
    <row r="32985" spans="43:43" x14ac:dyDescent="0.2">
      <c r="AQ32985" s="31"/>
    </row>
    <row r="32986" spans="43:43" x14ac:dyDescent="0.2">
      <c r="AQ32986" s="31"/>
    </row>
    <row r="32987" spans="43:43" x14ac:dyDescent="0.2">
      <c r="AQ32987" s="31"/>
    </row>
    <row r="32988" spans="43:43" x14ac:dyDescent="0.2">
      <c r="AQ32988" s="31"/>
    </row>
    <row r="32989" spans="43:43" x14ac:dyDescent="0.2">
      <c r="AQ32989" s="31"/>
    </row>
    <row r="32990" spans="43:43" x14ac:dyDescent="0.2">
      <c r="AQ32990" s="31"/>
    </row>
    <row r="32991" spans="43:43" x14ac:dyDescent="0.2">
      <c r="AQ32991" s="31"/>
    </row>
    <row r="32992" spans="43:43" x14ac:dyDescent="0.2">
      <c r="AQ32992" s="31"/>
    </row>
    <row r="32993" spans="43:43" x14ac:dyDescent="0.2">
      <c r="AQ32993" s="31"/>
    </row>
    <row r="32994" spans="43:43" x14ac:dyDescent="0.2">
      <c r="AQ32994" s="31"/>
    </row>
    <row r="32995" spans="43:43" x14ac:dyDescent="0.2">
      <c r="AQ32995" s="31"/>
    </row>
    <row r="32996" spans="43:43" x14ac:dyDescent="0.2">
      <c r="AQ32996" s="31"/>
    </row>
    <row r="32997" spans="43:43" x14ac:dyDescent="0.2">
      <c r="AQ32997" s="31"/>
    </row>
    <row r="32998" spans="43:43" x14ac:dyDescent="0.2">
      <c r="AQ32998" s="31"/>
    </row>
    <row r="32999" spans="43:43" x14ac:dyDescent="0.2">
      <c r="AQ32999" s="31"/>
    </row>
    <row r="33000" spans="43:43" x14ac:dyDescent="0.2">
      <c r="AQ33000" s="31"/>
    </row>
    <row r="33001" spans="43:43" x14ac:dyDescent="0.2">
      <c r="AQ33001" s="31"/>
    </row>
    <row r="33002" spans="43:43" x14ac:dyDescent="0.2">
      <c r="AQ33002" s="31"/>
    </row>
    <row r="33003" spans="43:43" x14ac:dyDescent="0.2">
      <c r="AQ33003" s="31"/>
    </row>
    <row r="33004" spans="43:43" x14ac:dyDescent="0.2">
      <c r="AQ33004" s="31"/>
    </row>
    <row r="33005" spans="43:43" x14ac:dyDescent="0.2">
      <c r="AQ33005" s="31"/>
    </row>
    <row r="33006" spans="43:43" x14ac:dyDescent="0.2">
      <c r="AQ33006" s="31"/>
    </row>
    <row r="33007" spans="43:43" x14ac:dyDescent="0.2">
      <c r="AQ33007" s="31"/>
    </row>
    <row r="33008" spans="43:43" x14ac:dyDescent="0.2">
      <c r="AQ33008" s="31"/>
    </row>
    <row r="33009" spans="43:43" x14ac:dyDescent="0.2">
      <c r="AQ33009" s="31"/>
    </row>
    <row r="33010" spans="43:43" x14ac:dyDescent="0.2">
      <c r="AQ33010" s="31"/>
    </row>
    <row r="33011" spans="43:43" x14ac:dyDescent="0.2">
      <c r="AQ33011" s="31"/>
    </row>
    <row r="33012" spans="43:43" x14ac:dyDescent="0.2">
      <c r="AQ33012" s="31"/>
    </row>
    <row r="33013" spans="43:43" x14ac:dyDescent="0.2">
      <c r="AQ33013" s="31"/>
    </row>
    <row r="33014" spans="43:43" x14ac:dyDescent="0.2">
      <c r="AQ33014" s="31"/>
    </row>
    <row r="33015" spans="43:43" x14ac:dyDescent="0.2">
      <c r="AQ33015" s="31"/>
    </row>
    <row r="33016" spans="43:43" x14ac:dyDescent="0.2">
      <c r="AQ33016" s="31"/>
    </row>
    <row r="33017" spans="43:43" x14ac:dyDescent="0.2">
      <c r="AQ33017" s="31"/>
    </row>
    <row r="33018" spans="43:43" x14ac:dyDescent="0.2">
      <c r="AQ33018" s="31"/>
    </row>
    <row r="33019" spans="43:43" x14ac:dyDescent="0.2">
      <c r="AQ33019" s="31"/>
    </row>
    <row r="33020" spans="43:43" x14ac:dyDescent="0.2">
      <c r="AQ33020" s="31"/>
    </row>
    <row r="33021" spans="43:43" x14ac:dyDescent="0.2">
      <c r="AQ33021" s="31"/>
    </row>
    <row r="33022" spans="43:43" x14ac:dyDescent="0.2">
      <c r="AQ33022" s="31"/>
    </row>
    <row r="33023" spans="43:43" x14ac:dyDescent="0.2">
      <c r="AQ33023" s="31"/>
    </row>
    <row r="33024" spans="43:43" x14ac:dyDescent="0.2">
      <c r="AQ33024" s="31"/>
    </row>
    <row r="33025" spans="43:43" x14ac:dyDescent="0.2">
      <c r="AQ33025" s="31"/>
    </row>
    <row r="33026" spans="43:43" x14ac:dyDescent="0.2">
      <c r="AQ33026" s="31"/>
    </row>
    <row r="33027" spans="43:43" x14ac:dyDescent="0.2">
      <c r="AQ33027" s="31"/>
    </row>
    <row r="33028" spans="43:43" x14ac:dyDescent="0.2">
      <c r="AQ33028" s="31"/>
    </row>
    <row r="33029" spans="43:43" x14ac:dyDescent="0.2">
      <c r="AQ33029" s="31"/>
    </row>
    <row r="33030" spans="43:43" x14ac:dyDescent="0.2">
      <c r="AQ33030" s="31"/>
    </row>
    <row r="33031" spans="43:43" x14ac:dyDescent="0.2">
      <c r="AQ33031" s="31"/>
    </row>
    <row r="33032" spans="43:43" x14ac:dyDescent="0.2">
      <c r="AQ33032" s="31"/>
    </row>
    <row r="33033" spans="43:43" x14ac:dyDescent="0.2">
      <c r="AQ33033" s="31"/>
    </row>
    <row r="33034" spans="43:43" x14ac:dyDescent="0.2">
      <c r="AQ33034" s="31"/>
    </row>
    <row r="33035" spans="43:43" x14ac:dyDescent="0.2">
      <c r="AQ33035" s="31"/>
    </row>
    <row r="33036" spans="43:43" x14ac:dyDescent="0.2">
      <c r="AQ33036" s="31"/>
    </row>
    <row r="33037" spans="43:43" x14ac:dyDescent="0.2">
      <c r="AQ33037" s="31"/>
    </row>
    <row r="33038" spans="43:43" x14ac:dyDescent="0.2">
      <c r="AQ33038" s="31"/>
    </row>
    <row r="33039" spans="43:43" x14ac:dyDescent="0.2">
      <c r="AQ33039" s="31"/>
    </row>
    <row r="33040" spans="43:43" x14ac:dyDescent="0.2">
      <c r="AQ33040" s="31"/>
    </row>
    <row r="33041" spans="43:43" x14ac:dyDescent="0.2">
      <c r="AQ33041" s="31"/>
    </row>
    <row r="33042" spans="43:43" x14ac:dyDescent="0.2">
      <c r="AQ33042" s="31"/>
    </row>
    <row r="33043" spans="43:43" x14ac:dyDescent="0.2">
      <c r="AQ33043" s="31"/>
    </row>
    <row r="33044" spans="43:43" x14ac:dyDescent="0.2">
      <c r="AQ33044" s="31"/>
    </row>
    <row r="33045" spans="43:43" x14ac:dyDescent="0.2">
      <c r="AQ33045" s="31"/>
    </row>
    <row r="33046" spans="43:43" x14ac:dyDescent="0.2">
      <c r="AQ33046" s="31"/>
    </row>
    <row r="33047" spans="43:43" x14ac:dyDescent="0.2">
      <c r="AQ33047" s="31"/>
    </row>
    <row r="33048" spans="43:43" x14ac:dyDescent="0.2">
      <c r="AQ33048" s="31"/>
    </row>
    <row r="33049" spans="43:43" x14ac:dyDescent="0.2">
      <c r="AQ33049" s="31"/>
    </row>
    <row r="33050" spans="43:43" x14ac:dyDescent="0.2">
      <c r="AQ33050" s="31"/>
    </row>
    <row r="33051" spans="43:43" x14ac:dyDescent="0.2">
      <c r="AQ33051" s="31"/>
    </row>
    <row r="33052" spans="43:43" x14ac:dyDescent="0.2">
      <c r="AQ33052" s="31"/>
    </row>
    <row r="33053" spans="43:43" x14ac:dyDescent="0.2">
      <c r="AQ33053" s="31"/>
    </row>
    <row r="33054" spans="43:43" x14ac:dyDescent="0.2">
      <c r="AQ33054" s="31"/>
    </row>
    <row r="33055" spans="43:43" x14ac:dyDescent="0.2">
      <c r="AQ33055" s="31"/>
    </row>
    <row r="33056" spans="43:43" x14ac:dyDescent="0.2">
      <c r="AQ33056" s="31"/>
    </row>
    <row r="33057" spans="43:43" x14ac:dyDescent="0.2">
      <c r="AQ33057" s="31"/>
    </row>
    <row r="33058" spans="43:43" x14ac:dyDescent="0.2">
      <c r="AQ33058" s="31"/>
    </row>
    <row r="33059" spans="43:43" x14ac:dyDescent="0.2">
      <c r="AQ33059" s="31"/>
    </row>
    <row r="33060" spans="43:43" x14ac:dyDescent="0.2">
      <c r="AQ33060" s="31"/>
    </row>
    <row r="33061" spans="43:43" x14ac:dyDescent="0.2">
      <c r="AQ33061" s="31"/>
    </row>
    <row r="33062" spans="43:43" x14ac:dyDescent="0.2">
      <c r="AQ33062" s="31"/>
    </row>
    <row r="33063" spans="43:43" x14ac:dyDescent="0.2">
      <c r="AQ33063" s="31"/>
    </row>
    <row r="33064" spans="43:43" x14ac:dyDescent="0.2">
      <c r="AQ33064" s="31"/>
    </row>
    <row r="33065" spans="43:43" x14ac:dyDescent="0.2">
      <c r="AQ33065" s="31"/>
    </row>
    <row r="33066" spans="43:43" x14ac:dyDescent="0.2">
      <c r="AQ33066" s="31"/>
    </row>
    <row r="33067" spans="43:43" x14ac:dyDescent="0.2">
      <c r="AQ33067" s="31"/>
    </row>
    <row r="33068" spans="43:43" x14ac:dyDescent="0.2">
      <c r="AQ33068" s="31"/>
    </row>
    <row r="33069" spans="43:43" x14ac:dyDescent="0.2">
      <c r="AQ33069" s="31"/>
    </row>
    <row r="33070" spans="43:43" x14ac:dyDescent="0.2">
      <c r="AQ33070" s="31"/>
    </row>
    <row r="33071" spans="43:43" x14ac:dyDescent="0.2">
      <c r="AQ33071" s="31"/>
    </row>
    <row r="33072" spans="43:43" x14ac:dyDescent="0.2">
      <c r="AQ33072" s="31"/>
    </row>
    <row r="33073" spans="43:43" x14ac:dyDescent="0.2">
      <c r="AQ33073" s="31"/>
    </row>
    <row r="33074" spans="43:43" x14ac:dyDescent="0.2">
      <c r="AQ33074" s="31"/>
    </row>
    <row r="33075" spans="43:43" x14ac:dyDescent="0.2">
      <c r="AQ33075" s="31"/>
    </row>
    <row r="33076" spans="43:43" x14ac:dyDescent="0.2">
      <c r="AQ33076" s="31"/>
    </row>
    <row r="33077" spans="43:43" x14ac:dyDescent="0.2">
      <c r="AQ33077" s="31"/>
    </row>
    <row r="33078" spans="43:43" x14ac:dyDescent="0.2">
      <c r="AQ33078" s="31"/>
    </row>
    <row r="33079" spans="43:43" x14ac:dyDescent="0.2">
      <c r="AQ33079" s="31"/>
    </row>
    <row r="33080" spans="43:43" x14ac:dyDescent="0.2">
      <c r="AQ33080" s="31"/>
    </row>
    <row r="33081" spans="43:43" x14ac:dyDescent="0.2">
      <c r="AQ33081" s="31"/>
    </row>
    <row r="33082" spans="43:43" x14ac:dyDescent="0.2">
      <c r="AQ33082" s="31"/>
    </row>
    <row r="33083" spans="43:43" x14ac:dyDescent="0.2">
      <c r="AQ33083" s="31"/>
    </row>
    <row r="33084" spans="43:43" x14ac:dyDescent="0.2">
      <c r="AQ33084" s="31"/>
    </row>
    <row r="33085" spans="43:43" x14ac:dyDescent="0.2">
      <c r="AQ33085" s="31"/>
    </row>
    <row r="33086" spans="43:43" x14ac:dyDescent="0.2">
      <c r="AQ33086" s="31"/>
    </row>
    <row r="33087" spans="43:43" x14ac:dyDescent="0.2">
      <c r="AQ33087" s="31"/>
    </row>
    <row r="33088" spans="43:43" x14ac:dyDescent="0.2">
      <c r="AQ33088" s="31"/>
    </row>
    <row r="33089" spans="43:43" x14ac:dyDescent="0.2">
      <c r="AQ33089" s="31"/>
    </row>
    <row r="33090" spans="43:43" x14ac:dyDescent="0.2">
      <c r="AQ33090" s="31"/>
    </row>
    <row r="33091" spans="43:43" x14ac:dyDescent="0.2">
      <c r="AQ33091" s="31"/>
    </row>
    <row r="33092" spans="43:43" x14ac:dyDescent="0.2">
      <c r="AQ33092" s="31"/>
    </row>
    <row r="33093" spans="43:43" x14ac:dyDescent="0.2">
      <c r="AQ33093" s="31"/>
    </row>
    <row r="33094" spans="43:43" x14ac:dyDescent="0.2">
      <c r="AQ33094" s="31"/>
    </row>
    <row r="33095" spans="43:43" x14ac:dyDescent="0.2">
      <c r="AQ33095" s="31"/>
    </row>
    <row r="33096" spans="43:43" x14ac:dyDescent="0.2">
      <c r="AQ33096" s="31"/>
    </row>
    <row r="33097" spans="43:43" x14ac:dyDescent="0.2">
      <c r="AQ33097" s="31"/>
    </row>
    <row r="33098" spans="43:43" x14ac:dyDescent="0.2">
      <c r="AQ33098" s="31"/>
    </row>
    <row r="33099" spans="43:43" x14ac:dyDescent="0.2">
      <c r="AQ33099" s="31"/>
    </row>
    <row r="33100" spans="43:43" x14ac:dyDescent="0.2">
      <c r="AQ33100" s="31"/>
    </row>
    <row r="33101" spans="43:43" x14ac:dyDescent="0.2">
      <c r="AQ33101" s="31"/>
    </row>
    <row r="33102" spans="43:43" x14ac:dyDescent="0.2">
      <c r="AQ33102" s="31"/>
    </row>
    <row r="33103" spans="43:43" x14ac:dyDescent="0.2">
      <c r="AQ33103" s="31"/>
    </row>
    <row r="33104" spans="43:43" x14ac:dyDescent="0.2">
      <c r="AQ33104" s="31"/>
    </row>
    <row r="33105" spans="43:43" x14ac:dyDescent="0.2">
      <c r="AQ33105" s="31"/>
    </row>
    <row r="33106" spans="43:43" x14ac:dyDescent="0.2">
      <c r="AQ33106" s="31"/>
    </row>
    <row r="33107" spans="43:43" x14ac:dyDescent="0.2">
      <c r="AQ33107" s="31"/>
    </row>
    <row r="33108" spans="43:43" x14ac:dyDescent="0.2">
      <c r="AQ33108" s="31"/>
    </row>
    <row r="33109" spans="43:43" x14ac:dyDescent="0.2">
      <c r="AQ33109" s="31"/>
    </row>
    <row r="33110" spans="43:43" x14ac:dyDescent="0.2">
      <c r="AQ33110" s="31"/>
    </row>
    <row r="33111" spans="43:43" x14ac:dyDescent="0.2">
      <c r="AQ33111" s="31"/>
    </row>
    <row r="33112" spans="43:43" x14ac:dyDescent="0.2">
      <c r="AQ33112" s="31"/>
    </row>
    <row r="33113" spans="43:43" x14ac:dyDescent="0.2">
      <c r="AQ33113" s="31"/>
    </row>
    <row r="33114" spans="43:43" x14ac:dyDescent="0.2">
      <c r="AQ33114" s="31"/>
    </row>
    <row r="33115" spans="43:43" x14ac:dyDescent="0.2">
      <c r="AQ33115" s="31"/>
    </row>
    <row r="33116" spans="43:43" x14ac:dyDescent="0.2">
      <c r="AQ33116" s="31"/>
    </row>
    <row r="33117" spans="43:43" x14ac:dyDescent="0.2">
      <c r="AQ33117" s="31"/>
    </row>
    <row r="33118" spans="43:43" x14ac:dyDescent="0.2">
      <c r="AQ33118" s="31"/>
    </row>
    <row r="33119" spans="43:43" x14ac:dyDescent="0.2">
      <c r="AQ33119" s="31"/>
    </row>
    <row r="33120" spans="43:43" x14ac:dyDescent="0.2">
      <c r="AQ33120" s="31"/>
    </row>
    <row r="33121" spans="43:43" x14ac:dyDescent="0.2">
      <c r="AQ33121" s="31"/>
    </row>
    <row r="33122" spans="43:43" x14ac:dyDescent="0.2">
      <c r="AQ33122" s="31"/>
    </row>
    <row r="33123" spans="43:43" x14ac:dyDescent="0.2">
      <c r="AQ33123" s="31"/>
    </row>
    <row r="33124" spans="43:43" x14ac:dyDescent="0.2">
      <c r="AQ33124" s="31"/>
    </row>
    <row r="33125" spans="43:43" x14ac:dyDescent="0.2">
      <c r="AQ33125" s="31"/>
    </row>
    <row r="33126" spans="43:43" x14ac:dyDescent="0.2">
      <c r="AQ33126" s="31"/>
    </row>
    <row r="33127" spans="43:43" x14ac:dyDescent="0.2">
      <c r="AQ33127" s="31"/>
    </row>
    <row r="33128" spans="43:43" x14ac:dyDescent="0.2">
      <c r="AQ33128" s="31"/>
    </row>
    <row r="33129" spans="43:43" x14ac:dyDescent="0.2">
      <c r="AQ33129" s="31"/>
    </row>
    <row r="33130" spans="43:43" x14ac:dyDescent="0.2">
      <c r="AQ33130" s="31"/>
    </row>
    <row r="33131" spans="43:43" x14ac:dyDescent="0.2">
      <c r="AQ33131" s="31"/>
    </row>
    <row r="33132" spans="43:43" x14ac:dyDescent="0.2">
      <c r="AQ33132" s="31"/>
    </row>
    <row r="33133" spans="43:43" x14ac:dyDescent="0.2">
      <c r="AQ33133" s="31"/>
    </row>
    <row r="33134" spans="43:43" x14ac:dyDescent="0.2">
      <c r="AQ33134" s="31"/>
    </row>
    <row r="33135" spans="43:43" x14ac:dyDescent="0.2">
      <c r="AQ33135" s="31"/>
    </row>
    <row r="33136" spans="43:43" x14ac:dyDescent="0.2">
      <c r="AQ33136" s="31"/>
    </row>
    <row r="33137" spans="43:43" x14ac:dyDescent="0.2">
      <c r="AQ33137" s="31"/>
    </row>
    <row r="33138" spans="43:43" x14ac:dyDescent="0.2">
      <c r="AQ33138" s="31"/>
    </row>
    <row r="33139" spans="43:43" x14ac:dyDescent="0.2">
      <c r="AQ33139" s="31"/>
    </row>
    <row r="33140" spans="43:43" x14ac:dyDescent="0.2">
      <c r="AQ33140" s="31"/>
    </row>
    <row r="33141" spans="43:43" x14ac:dyDescent="0.2">
      <c r="AQ33141" s="31"/>
    </row>
    <row r="33142" spans="43:43" x14ac:dyDescent="0.2">
      <c r="AQ33142" s="31"/>
    </row>
    <row r="33143" spans="43:43" x14ac:dyDescent="0.2">
      <c r="AQ33143" s="31"/>
    </row>
    <row r="33144" spans="43:43" x14ac:dyDescent="0.2">
      <c r="AQ33144" s="31"/>
    </row>
    <row r="33145" spans="43:43" x14ac:dyDescent="0.2">
      <c r="AQ33145" s="31"/>
    </row>
    <row r="33146" spans="43:43" x14ac:dyDescent="0.2">
      <c r="AQ33146" s="31"/>
    </row>
    <row r="33147" spans="43:43" x14ac:dyDescent="0.2">
      <c r="AQ33147" s="31"/>
    </row>
    <row r="33148" spans="43:43" x14ac:dyDescent="0.2">
      <c r="AQ33148" s="31"/>
    </row>
    <row r="33149" spans="43:43" x14ac:dyDescent="0.2">
      <c r="AQ33149" s="31"/>
    </row>
    <row r="33150" spans="43:43" x14ac:dyDescent="0.2">
      <c r="AQ33150" s="31"/>
    </row>
    <row r="33151" spans="43:43" x14ac:dyDescent="0.2">
      <c r="AQ33151" s="31"/>
    </row>
    <row r="33152" spans="43:43" x14ac:dyDescent="0.2">
      <c r="AQ33152" s="31"/>
    </row>
    <row r="33153" spans="43:43" x14ac:dyDescent="0.2">
      <c r="AQ33153" s="31"/>
    </row>
    <row r="33154" spans="43:43" x14ac:dyDescent="0.2">
      <c r="AQ33154" s="31"/>
    </row>
    <row r="33155" spans="43:43" x14ac:dyDescent="0.2">
      <c r="AQ33155" s="31"/>
    </row>
    <row r="33156" spans="43:43" x14ac:dyDescent="0.2">
      <c r="AQ33156" s="31"/>
    </row>
    <row r="33157" spans="43:43" x14ac:dyDescent="0.2">
      <c r="AQ33157" s="31"/>
    </row>
    <row r="33158" spans="43:43" x14ac:dyDescent="0.2">
      <c r="AQ33158" s="31"/>
    </row>
    <row r="33159" spans="43:43" x14ac:dyDescent="0.2">
      <c r="AQ33159" s="31"/>
    </row>
    <row r="33160" spans="43:43" x14ac:dyDescent="0.2">
      <c r="AQ33160" s="31"/>
    </row>
    <row r="33161" spans="43:43" x14ac:dyDescent="0.2">
      <c r="AQ33161" s="31"/>
    </row>
    <row r="33162" spans="43:43" x14ac:dyDescent="0.2">
      <c r="AQ33162" s="31"/>
    </row>
    <row r="33163" spans="43:43" x14ac:dyDescent="0.2">
      <c r="AQ33163" s="31"/>
    </row>
    <row r="33164" spans="43:43" x14ac:dyDescent="0.2">
      <c r="AQ33164" s="31"/>
    </row>
    <row r="33165" spans="43:43" x14ac:dyDescent="0.2">
      <c r="AQ33165" s="31"/>
    </row>
    <row r="33166" spans="43:43" x14ac:dyDescent="0.2">
      <c r="AQ33166" s="31"/>
    </row>
    <row r="33167" spans="43:43" x14ac:dyDescent="0.2">
      <c r="AQ33167" s="31"/>
    </row>
    <row r="33168" spans="43:43" x14ac:dyDescent="0.2">
      <c r="AQ33168" s="31"/>
    </row>
    <row r="33169" spans="43:43" x14ac:dyDescent="0.2">
      <c r="AQ33169" s="31"/>
    </row>
    <row r="33170" spans="43:43" x14ac:dyDescent="0.2">
      <c r="AQ33170" s="31"/>
    </row>
    <row r="33171" spans="43:43" x14ac:dyDescent="0.2">
      <c r="AQ33171" s="31"/>
    </row>
    <row r="33172" spans="43:43" x14ac:dyDescent="0.2">
      <c r="AQ33172" s="31"/>
    </row>
    <row r="33173" spans="43:43" x14ac:dyDescent="0.2">
      <c r="AQ33173" s="31"/>
    </row>
    <row r="33174" spans="43:43" x14ac:dyDescent="0.2">
      <c r="AQ33174" s="31"/>
    </row>
    <row r="33175" spans="43:43" x14ac:dyDescent="0.2">
      <c r="AQ33175" s="31"/>
    </row>
    <row r="33176" spans="43:43" x14ac:dyDescent="0.2">
      <c r="AQ33176" s="31"/>
    </row>
    <row r="33177" spans="43:43" x14ac:dyDescent="0.2">
      <c r="AQ33177" s="31"/>
    </row>
    <row r="33178" spans="43:43" x14ac:dyDescent="0.2">
      <c r="AQ33178" s="31"/>
    </row>
    <row r="33179" spans="43:43" x14ac:dyDescent="0.2">
      <c r="AQ33179" s="31"/>
    </row>
    <row r="33180" spans="43:43" x14ac:dyDescent="0.2">
      <c r="AQ33180" s="31"/>
    </row>
    <row r="33181" spans="43:43" x14ac:dyDescent="0.2">
      <c r="AQ33181" s="31"/>
    </row>
    <row r="33182" spans="43:43" x14ac:dyDescent="0.2">
      <c r="AQ33182" s="31"/>
    </row>
    <row r="33183" spans="43:43" x14ac:dyDescent="0.2">
      <c r="AQ33183" s="31"/>
    </row>
    <row r="33184" spans="43:43" x14ac:dyDescent="0.2">
      <c r="AQ33184" s="31"/>
    </row>
    <row r="33185" spans="43:43" x14ac:dyDescent="0.2">
      <c r="AQ33185" s="31"/>
    </row>
    <row r="33186" spans="43:43" x14ac:dyDescent="0.2">
      <c r="AQ33186" s="31"/>
    </row>
    <row r="33187" spans="43:43" x14ac:dyDescent="0.2">
      <c r="AQ33187" s="31"/>
    </row>
    <row r="33188" spans="43:43" x14ac:dyDescent="0.2">
      <c r="AQ33188" s="31"/>
    </row>
    <row r="33189" spans="43:43" x14ac:dyDescent="0.2">
      <c r="AQ33189" s="31"/>
    </row>
    <row r="33190" spans="43:43" x14ac:dyDescent="0.2">
      <c r="AQ33190" s="31"/>
    </row>
    <row r="33191" spans="43:43" x14ac:dyDescent="0.2">
      <c r="AQ33191" s="31"/>
    </row>
    <row r="33192" spans="43:43" x14ac:dyDescent="0.2">
      <c r="AQ33192" s="31"/>
    </row>
    <row r="33193" spans="43:43" x14ac:dyDescent="0.2">
      <c r="AQ33193" s="31"/>
    </row>
    <row r="33194" spans="43:43" x14ac:dyDescent="0.2">
      <c r="AQ33194" s="31"/>
    </row>
    <row r="33195" spans="43:43" x14ac:dyDescent="0.2">
      <c r="AQ33195" s="31"/>
    </row>
    <row r="33196" spans="43:43" x14ac:dyDescent="0.2">
      <c r="AQ33196" s="31"/>
    </row>
    <row r="33197" spans="43:43" x14ac:dyDescent="0.2">
      <c r="AQ33197" s="31"/>
    </row>
    <row r="33198" spans="43:43" x14ac:dyDescent="0.2">
      <c r="AQ33198" s="31"/>
    </row>
    <row r="33199" spans="43:43" x14ac:dyDescent="0.2">
      <c r="AQ33199" s="31"/>
    </row>
    <row r="33200" spans="43:43" x14ac:dyDescent="0.2">
      <c r="AQ33200" s="31"/>
    </row>
    <row r="33201" spans="43:43" x14ac:dyDescent="0.2">
      <c r="AQ33201" s="31"/>
    </row>
    <row r="33202" spans="43:43" x14ac:dyDescent="0.2">
      <c r="AQ33202" s="31"/>
    </row>
    <row r="33203" spans="43:43" x14ac:dyDescent="0.2">
      <c r="AQ33203" s="31"/>
    </row>
    <row r="33204" spans="43:43" x14ac:dyDescent="0.2">
      <c r="AQ33204" s="31"/>
    </row>
    <row r="33205" spans="43:43" x14ac:dyDescent="0.2">
      <c r="AQ33205" s="31"/>
    </row>
    <row r="33206" spans="43:43" x14ac:dyDescent="0.2">
      <c r="AQ33206" s="31"/>
    </row>
    <row r="33207" spans="43:43" x14ac:dyDescent="0.2">
      <c r="AQ33207" s="31"/>
    </row>
    <row r="33208" spans="43:43" x14ac:dyDescent="0.2">
      <c r="AQ33208" s="31"/>
    </row>
    <row r="33209" spans="43:43" x14ac:dyDescent="0.2">
      <c r="AQ33209" s="31"/>
    </row>
    <row r="33210" spans="43:43" x14ac:dyDescent="0.2">
      <c r="AQ33210" s="31"/>
    </row>
    <row r="33211" spans="43:43" x14ac:dyDescent="0.2">
      <c r="AQ33211" s="31"/>
    </row>
    <row r="33212" spans="43:43" x14ac:dyDescent="0.2">
      <c r="AQ33212" s="31"/>
    </row>
    <row r="33213" spans="43:43" x14ac:dyDescent="0.2">
      <c r="AQ33213" s="31"/>
    </row>
    <row r="33214" spans="43:43" x14ac:dyDescent="0.2">
      <c r="AQ33214" s="31"/>
    </row>
    <row r="33215" spans="43:43" x14ac:dyDescent="0.2">
      <c r="AQ33215" s="31"/>
    </row>
    <row r="33216" spans="43:43" x14ac:dyDescent="0.2">
      <c r="AQ33216" s="31"/>
    </row>
    <row r="33217" spans="43:43" x14ac:dyDescent="0.2">
      <c r="AQ33217" s="31"/>
    </row>
    <row r="33218" spans="43:43" x14ac:dyDescent="0.2">
      <c r="AQ33218" s="31"/>
    </row>
    <row r="33219" spans="43:43" x14ac:dyDescent="0.2">
      <c r="AQ33219" s="31"/>
    </row>
    <row r="33220" spans="43:43" x14ac:dyDescent="0.2">
      <c r="AQ33220" s="31"/>
    </row>
    <row r="33221" spans="43:43" x14ac:dyDescent="0.2">
      <c r="AQ33221" s="31"/>
    </row>
    <row r="33222" spans="43:43" x14ac:dyDescent="0.2">
      <c r="AQ33222" s="31"/>
    </row>
    <row r="33223" spans="43:43" x14ac:dyDescent="0.2">
      <c r="AQ33223" s="31"/>
    </row>
    <row r="33224" spans="43:43" x14ac:dyDescent="0.2">
      <c r="AQ33224" s="31"/>
    </row>
    <row r="33225" spans="43:43" x14ac:dyDescent="0.2">
      <c r="AQ33225" s="31"/>
    </row>
    <row r="33226" spans="43:43" x14ac:dyDescent="0.2">
      <c r="AQ33226" s="31"/>
    </row>
    <row r="33227" spans="43:43" x14ac:dyDescent="0.2">
      <c r="AQ33227" s="31"/>
    </row>
    <row r="33228" spans="43:43" x14ac:dyDescent="0.2">
      <c r="AQ33228" s="31"/>
    </row>
    <row r="33229" spans="43:43" x14ac:dyDescent="0.2">
      <c r="AQ33229" s="31"/>
    </row>
    <row r="33230" spans="43:43" x14ac:dyDescent="0.2">
      <c r="AQ33230" s="31"/>
    </row>
    <row r="33231" spans="43:43" x14ac:dyDescent="0.2">
      <c r="AQ33231" s="31"/>
    </row>
    <row r="33232" spans="43:43" x14ac:dyDescent="0.2">
      <c r="AQ33232" s="31"/>
    </row>
    <row r="33233" spans="43:43" x14ac:dyDescent="0.2">
      <c r="AQ33233" s="31"/>
    </row>
    <row r="33234" spans="43:43" x14ac:dyDescent="0.2">
      <c r="AQ33234" s="31"/>
    </row>
    <row r="33235" spans="43:43" x14ac:dyDescent="0.2">
      <c r="AQ33235" s="31"/>
    </row>
    <row r="33236" spans="43:43" x14ac:dyDescent="0.2">
      <c r="AQ33236" s="31"/>
    </row>
    <row r="33237" spans="43:43" x14ac:dyDescent="0.2">
      <c r="AQ33237" s="31"/>
    </row>
    <row r="33238" spans="43:43" x14ac:dyDescent="0.2">
      <c r="AQ33238" s="31"/>
    </row>
    <row r="33239" spans="43:43" x14ac:dyDescent="0.2">
      <c r="AQ33239" s="31"/>
    </row>
    <row r="33240" spans="43:43" x14ac:dyDescent="0.2">
      <c r="AQ33240" s="31"/>
    </row>
    <row r="33241" spans="43:43" x14ac:dyDescent="0.2">
      <c r="AQ33241" s="31"/>
    </row>
    <row r="33242" spans="43:43" x14ac:dyDescent="0.2">
      <c r="AQ33242" s="31"/>
    </row>
    <row r="33243" spans="43:43" x14ac:dyDescent="0.2">
      <c r="AQ33243" s="31"/>
    </row>
    <row r="33244" spans="43:43" x14ac:dyDescent="0.2">
      <c r="AQ33244" s="31"/>
    </row>
    <row r="33245" spans="43:43" x14ac:dyDescent="0.2">
      <c r="AQ33245" s="31"/>
    </row>
    <row r="33246" spans="43:43" x14ac:dyDescent="0.2">
      <c r="AQ33246" s="31"/>
    </row>
    <row r="33247" spans="43:43" x14ac:dyDescent="0.2">
      <c r="AQ33247" s="31"/>
    </row>
    <row r="33248" spans="43:43" x14ac:dyDescent="0.2">
      <c r="AQ33248" s="31"/>
    </row>
    <row r="33249" spans="43:43" x14ac:dyDescent="0.2">
      <c r="AQ33249" s="31"/>
    </row>
    <row r="33250" spans="43:43" x14ac:dyDescent="0.2">
      <c r="AQ33250" s="31"/>
    </row>
    <row r="33251" spans="43:43" x14ac:dyDescent="0.2">
      <c r="AQ33251" s="31"/>
    </row>
    <row r="33252" spans="43:43" x14ac:dyDescent="0.2">
      <c r="AQ33252" s="31"/>
    </row>
    <row r="33253" spans="43:43" x14ac:dyDescent="0.2">
      <c r="AQ33253" s="31"/>
    </row>
    <row r="33254" spans="43:43" x14ac:dyDescent="0.2">
      <c r="AQ33254" s="31"/>
    </row>
    <row r="33255" spans="43:43" x14ac:dyDescent="0.2">
      <c r="AQ33255" s="31"/>
    </row>
    <row r="33256" spans="43:43" x14ac:dyDescent="0.2">
      <c r="AQ33256" s="31"/>
    </row>
    <row r="33257" spans="43:43" x14ac:dyDescent="0.2">
      <c r="AQ33257" s="31"/>
    </row>
    <row r="33258" spans="43:43" x14ac:dyDescent="0.2">
      <c r="AQ33258" s="31"/>
    </row>
    <row r="33259" spans="43:43" x14ac:dyDescent="0.2">
      <c r="AQ33259" s="31"/>
    </row>
    <row r="33260" spans="43:43" x14ac:dyDescent="0.2">
      <c r="AQ33260" s="31"/>
    </row>
    <row r="33261" spans="43:43" x14ac:dyDescent="0.2">
      <c r="AQ33261" s="31"/>
    </row>
    <row r="33262" spans="43:43" x14ac:dyDescent="0.2">
      <c r="AQ33262" s="31"/>
    </row>
    <row r="33263" spans="43:43" x14ac:dyDescent="0.2">
      <c r="AQ33263" s="31"/>
    </row>
    <row r="33264" spans="43:43" x14ac:dyDescent="0.2">
      <c r="AQ33264" s="31"/>
    </row>
    <row r="33265" spans="43:43" x14ac:dyDescent="0.2">
      <c r="AQ33265" s="31"/>
    </row>
    <row r="33266" spans="43:43" x14ac:dyDescent="0.2">
      <c r="AQ33266" s="31"/>
    </row>
    <row r="33267" spans="43:43" x14ac:dyDescent="0.2">
      <c r="AQ33267" s="31"/>
    </row>
    <row r="33268" spans="43:43" x14ac:dyDescent="0.2">
      <c r="AQ33268" s="31"/>
    </row>
    <row r="33269" spans="43:43" x14ac:dyDescent="0.2">
      <c r="AQ33269" s="31"/>
    </row>
    <row r="33270" spans="43:43" x14ac:dyDescent="0.2">
      <c r="AQ33270" s="31"/>
    </row>
    <row r="33271" spans="43:43" x14ac:dyDescent="0.2">
      <c r="AQ33271" s="31"/>
    </row>
    <row r="33272" spans="43:43" x14ac:dyDescent="0.2">
      <c r="AQ33272" s="31"/>
    </row>
    <row r="33273" spans="43:43" x14ac:dyDescent="0.2">
      <c r="AQ33273" s="31"/>
    </row>
    <row r="33274" spans="43:43" x14ac:dyDescent="0.2">
      <c r="AQ33274" s="31"/>
    </row>
    <row r="33275" spans="43:43" x14ac:dyDescent="0.2">
      <c r="AQ33275" s="31"/>
    </row>
    <row r="33276" spans="43:43" x14ac:dyDescent="0.2">
      <c r="AQ33276" s="31"/>
    </row>
    <row r="33277" spans="43:43" x14ac:dyDescent="0.2">
      <c r="AQ33277" s="31"/>
    </row>
    <row r="33278" spans="43:43" x14ac:dyDescent="0.2">
      <c r="AQ33278" s="31"/>
    </row>
    <row r="33279" spans="43:43" x14ac:dyDescent="0.2">
      <c r="AQ33279" s="31"/>
    </row>
    <row r="33280" spans="43:43" x14ac:dyDescent="0.2">
      <c r="AQ33280" s="31"/>
    </row>
    <row r="33281" spans="43:43" x14ac:dyDescent="0.2">
      <c r="AQ33281" s="31"/>
    </row>
    <row r="33282" spans="43:43" x14ac:dyDescent="0.2">
      <c r="AQ33282" s="31"/>
    </row>
    <row r="33283" spans="43:43" x14ac:dyDescent="0.2">
      <c r="AQ33283" s="31"/>
    </row>
    <row r="33284" spans="43:43" x14ac:dyDescent="0.2">
      <c r="AQ33284" s="31"/>
    </row>
    <row r="33285" spans="43:43" x14ac:dyDescent="0.2">
      <c r="AQ33285" s="31"/>
    </row>
    <row r="33286" spans="43:43" x14ac:dyDescent="0.2">
      <c r="AQ33286" s="31"/>
    </row>
    <row r="33287" spans="43:43" x14ac:dyDescent="0.2">
      <c r="AQ33287" s="31"/>
    </row>
    <row r="33288" spans="43:43" x14ac:dyDescent="0.2">
      <c r="AQ33288" s="31"/>
    </row>
    <row r="33289" spans="43:43" x14ac:dyDescent="0.2">
      <c r="AQ33289" s="31"/>
    </row>
    <row r="33290" spans="43:43" x14ac:dyDescent="0.2">
      <c r="AQ33290" s="31"/>
    </row>
    <row r="33291" spans="43:43" x14ac:dyDescent="0.2">
      <c r="AQ33291" s="31"/>
    </row>
    <row r="33292" spans="43:43" x14ac:dyDescent="0.2">
      <c r="AQ33292" s="31"/>
    </row>
    <row r="33293" spans="43:43" x14ac:dyDescent="0.2">
      <c r="AQ33293" s="31"/>
    </row>
    <row r="33294" spans="43:43" x14ac:dyDescent="0.2">
      <c r="AQ33294" s="31"/>
    </row>
    <row r="33295" spans="43:43" x14ac:dyDescent="0.2">
      <c r="AQ33295" s="31"/>
    </row>
    <row r="33296" spans="43:43" x14ac:dyDescent="0.2">
      <c r="AQ33296" s="31"/>
    </row>
    <row r="33297" spans="43:43" x14ac:dyDescent="0.2">
      <c r="AQ33297" s="31"/>
    </row>
    <row r="33298" spans="43:43" x14ac:dyDescent="0.2">
      <c r="AQ33298" s="31"/>
    </row>
    <row r="33299" spans="43:43" x14ac:dyDescent="0.2">
      <c r="AQ33299" s="31"/>
    </row>
    <row r="33300" spans="43:43" x14ac:dyDescent="0.2">
      <c r="AQ33300" s="31"/>
    </row>
    <row r="33301" spans="43:43" x14ac:dyDescent="0.2">
      <c r="AQ33301" s="31"/>
    </row>
    <row r="33302" spans="43:43" x14ac:dyDescent="0.2">
      <c r="AQ33302" s="31"/>
    </row>
    <row r="33303" spans="43:43" x14ac:dyDescent="0.2">
      <c r="AQ33303" s="31"/>
    </row>
    <row r="33304" spans="43:43" x14ac:dyDescent="0.2">
      <c r="AQ33304" s="31"/>
    </row>
    <row r="33305" spans="43:43" x14ac:dyDescent="0.2">
      <c r="AQ33305" s="31"/>
    </row>
    <row r="33306" spans="43:43" x14ac:dyDescent="0.2">
      <c r="AQ33306" s="31"/>
    </row>
    <row r="33307" spans="43:43" x14ac:dyDescent="0.2">
      <c r="AQ33307" s="31"/>
    </row>
    <row r="33308" spans="43:43" x14ac:dyDescent="0.2">
      <c r="AQ33308" s="31"/>
    </row>
    <row r="33309" spans="43:43" x14ac:dyDescent="0.2">
      <c r="AQ33309" s="31"/>
    </row>
    <row r="33310" spans="43:43" x14ac:dyDescent="0.2">
      <c r="AQ33310" s="31"/>
    </row>
    <row r="33311" spans="43:43" x14ac:dyDescent="0.2">
      <c r="AQ33311" s="31"/>
    </row>
    <row r="33312" spans="43:43" x14ac:dyDescent="0.2">
      <c r="AQ33312" s="31"/>
    </row>
    <row r="33313" spans="43:43" x14ac:dyDescent="0.2">
      <c r="AQ33313" s="31"/>
    </row>
    <row r="33314" spans="43:43" x14ac:dyDescent="0.2">
      <c r="AQ33314" s="31"/>
    </row>
    <row r="33315" spans="43:43" x14ac:dyDescent="0.2">
      <c r="AQ33315" s="31"/>
    </row>
    <row r="33316" spans="43:43" x14ac:dyDescent="0.2">
      <c r="AQ33316" s="31"/>
    </row>
    <row r="33317" spans="43:43" x14ac:dyDescent="0.2">
      <c r="AQ33317" s="31"/>
    </row>
    <row r="33318" spans="43:43" x14ac:dyDescent="0.2">
      <c r="AQ33318" s="31"/>
    </row>
    <row r="33319" spans="43:43" x14ac:dyDescent="0.2">
      <c r="AQ33319" s="31"/>
    </row>
    <row r="33320" spans="43:43" x14ac:dyDescent="0.2">
      <c r="AQ33320" s="31"/>
    </row>
    <row r="33321" spans="43:43" x14ac:dyDescent="0.2">
      <c r="AQ33321" s="31"/>
    </row>
    <row r="33322" spans="43:43" x14ac:dyDescent="0.2">
      <c r="AQ33322" s="31"/>
    </row>
    <row r="33323" spans="43:43" x14ac:dyDescent="0.2">
      <c r="AQ33323" s="31"/>
    </row>
    <row r="33324" spans="43:43" x14ac:dyDescent="0.2">
      <c r="AQ33324" s="31"/>
    </row>
    <row r="33325" spans="43:43" x14ac:dyDescent="0.2">
      <c r="AQ33325" s="31"/>
    </row>
    <row r="33326" spans="43:43" x14ac:dyDescent="0.2">
      <c r="AQ33326" s="31"/>
    </row>
    <row r="33327" spans="43:43" x14ac:dyDescent="0.2">
      <c r="AQ33327" s="31"/>
    </row>
    <row r="33328" spans="43:43" x14ac:dyDescent="0.2">
      <c r="AQ33328" s="31"/>
    </row>
    <row r="33329" spans="43:43" x14ac:dyDescent="0.2">
      <c r="AQ33329" s="31"/>
    </row>
    <row r="33330" spans="43:43" x14ac:dyDescent="0.2">
      <c r="AQ33330" s="31"/>
    </row>
    <row r="33331" spans="43:43" x14ac:dyDescent="0.2">
      <c r="AQ33331" s="31"/>
    </row>
    <row r="33332" spans="43:43" x14ac:dyDescent="0.2">
      <c r="AQ33332" s="31"/>
    </row>
    <row r="33333" spans="43:43" x14ac:dyDescent="0.2">
      <c r="AQ33333" s="31"/>
    </row>
    <row r="33334" spans="43:43" x14ac:dyDescent="0.2">
      <c r="AQ33334" s="31"/>
    </row>
    <row r="33335" spans="43:43" x14ac:dyDescent="0.2">
      <c r="AQ33335" s="31"/>
    </row>
    <row r="33336" spans="43:43" x14ac:dyDescent="0.2">
      <c r="AQ33336" s="31"/>
    </row>
    <row r="33337" spans="43:43" x14ac:dyDescent="0.2">
      <c r="AQ33337" s="31"/>
    </row>
    <row r="33338" spans="43:43" x14ac:dyDescent="0.2">
      <c r="AQ33338" s="31"/>
    </row>
    <row r="33339" spans="43:43" x14ac:dyDescent="0.2">
      <c r="AQ33339" s="31"/>
    </row>
    <row r="33340" spans="43:43" x14ac:dyDescent="0.2">
      <c r="AQ33340" s="31"/>
    </row>
    <row r="33341" spans="43:43" x14ac:dyDescent="0.2">
      <c r="AQ33341" s="31"/>
    </row>
    <row r="33342" spans="43:43" x14ac:dyDescent="0.2">
      <c r="AQ33342" s="31"/>
    </row>
    <row r="33343" spans="43:43" x14ac:dyDescent="0.2">
      <c r="AQ33343" s="31"/>
    </row>
    <row r="33344" spans="43:43" x14ac:dyDescent="0.2">
      <c r="AQ33344" s="31"/>
    </row>
    <row r="33345" spans="43:43" x14ac:dyDescent="0.2">
      <c r="AQ33345" s="31"/>
    </row>
    <row r="33346" spans="43:43" x14ac:dyDescent="0.2">
      <c r="AQ33346" s="31"/>
    </row>
    <row r="33347" spans="43:43" x14ac:dyDescent="0.2">
      <c r="AQ33347" s="31"/>
    </row>
    <row r="33348" spans="43:43" x14ac:dyDescent="0.2">
      <c r="AQ33348" s="31"/>
    </row>
    <row r="33349" spans="43:43" x14ac:dyDescent="0.2">
      <c r="AQ33349" s="31"/>
    </row>
    <row r="33350" spans="43:43" x14ac:dyDescent="0.2">
      <c r="AQ33350" s="31"/>
    </row>
    <row r="33351" spans="43:43" x14ac:dyDescent="0.2">
      <c r="AQ33351" s="31"/>
    </row>
    <row r="33352" spans="43:43" x14ac:dyDescent="0.2">
      <c r="AQ33352" s="31"/>
    </row>
    <row r="33353" spans="43:43" x14ac:dyDescent="0.2">
      <c r="AQ33353" s="31"/>
    </row>
    <row r="33354" spans="43:43" x14ac:dyDescent="0.2">
      <c r="AQ33354" s="31"/>
    </row>
    <row r="33355" spans="43:43" x14ac:dyDescent="0.2">
      <c r="AQ33355" s="31"/>
    </row>
    <row r="33356" spans="43:43" x14ac:dyDescent="0.2">
      <c r="AQ33356" s="31"/>
    </row>
    <row r="33357" spans="43:43" x14ac:dyDescent="0.2">
      <c r="AQ33357" s="31"/>
    </row>
    <row r="33358" spans="43:43" x14ac:dyDescent="0.2">
      <c r="AQ33358" s="31"/>
    </row>
    <row r="33359" spans="43:43" x14ac:dyDescent="0.2">
      <c r="AQ33359" s="31"/>
    </row>
    <row r="33360" spans="43:43" x14ac:dyDescent="0.2">
      <c r="AQ33360" s="31"/>
    </row>
    <row r="33361" spans="43:43" x14ac:dyDescent="0.2">
      <c r="AQ33361" s="31"/>
    </row>
    <row r="33362" spans="43:43" x14ac:dyDescent="0.2">
      <c r="AQ33362" s="31"/>
    </row>
    <row r="33363" spans="43:43" x14ac:dyDescent="0.2">
      <c r="AQ33363" s="31"/>
    </row>
    <row r="33364" spans="43:43" x14ac:dyDescent="0.2">
      <c r="AQ33364" s="31"/>
    </row>
    <row r="33365" spans="43:43" x14ac:dyDescent="0.2">
      <c r="AQ33365" s="31"/>
    </row>
    <row r="33366" spans="43:43" x14ac:dyDescent="0.2">
      <c r="AQ33366" s="31"/>
    </row>
    <row r="33367" spans="43:43" x14ac:dyDescent="0.2">
      <c r="AQ33367" s="31"/>
    </row>
    <row r="33368" spans="43:43" x14ac:dyDescent="0.2">
      <c r="AQ33368" s="31"/>
    </row>
    <row r="33369" spans="43:43" x14ac:dyDescent="0.2">
      <c r="AQ33369" s="31"/>
    </row>
    <row r="33370" spans="43:43" x14ac:dyDescent="0.2">
      <c r="AQ33370" s="31"/>
    </row>
    <row r="33371" spans="43:43" x14ac:dyDescent="0.2">
      <c r="AQ33371" s="31"/>
    </row>
    <row r="33372" spans="43:43" x14ac:dyDescent="0.2">
      <c r="AQ33372" s="31"/>
    </row>
    <row r="33373" spans="43:43" x14ac:dyDescent="0.2">
      <c r="AQ33373" s="31"/>
    </row>
    <row r="33374" spans="43:43" x14ac:dyDescent="0.2">
      <c r="AQ33374" s="31"/>
    </row>
    <row r="33375" spans="43:43" x14ac:dyDescent="0.2">
      <c r="AQ33375" s="31"/>
    </row>
    <row r="33376" spans="43:43" x14ac:dyDescent="0.2">
      <c r="AQ33376" s="31"/>
    </row>
    <row r="33377" spans="43:43" x14ac:dyDescent="0.2">
      <c r="AQ33377" s="31"/>
    </row>
    <row r="33378" spans="43:43" x14ac:dyDescent="0.2">
      <c r="AQ33378" s="31"/>
    </row>
    <row r="33379" spans="43:43" x14ac:dyDescent="0.2">
      <c r="AQ33379" s="31"/>
    </row>
    <row r="33380" spans="43:43" x14ac:dyDescent="0.2">
      <c r="AQ33380" s="31"/>
    </row>
    <row r="33381" spans="43:43" x14ac:dyDescent="0.2">
      <c r="AQ33381" s="31"/>
    </row>
    <row r="33382" spans="43:43" x14ac:dyDescent="0.2">
      <c r="AQ33382" s="31"/>
    </row>
    <row r="33383" spans="43:43" x14ac:dyDescent="0.2">
      <c r="AQ33383" s="31"/>
    </row>
    <row r="33384" spans="43:43" x14ac:dyDescent="0.2">
      <c r="AQ33384" s="31"/>
    </row>
    <row r="33385" spans="43:43" x14ac:dyDescent="0.2">
      <c r="AQ33385" s="31"/>
    </row>
    <row r="33386" spans="43:43" x14ac:dyDescent="0.2">
      <c r="AQ33386" s="31"/>
    </row>
    <row r="33387" spans="43:43" x14ac:dyDescent="0.2">
      <c r="AQ33387" s="31"/>
    </row>
    <row r="33388" spans="43:43" x14ac:dyDescent="0.2">
      <c r="AQ33388" s="31"/>
    </row>
    <row r="33389" spans="43:43" x14ac:dyDescent="0.2">
      <c r="AQ33389" s="31"/>
    </row>
    <row r="33390" spans="43:43" x14ac:dyDescent="0.2">
      <c r="AQ33390" s="31"/>
    </row>
    <row r="33391" spans="43:43" x14ac:dyDescent="0.2">
      <c r="AQ33391" s="31"/>
    </row>
    <row r="33392" spans="43:43" x14ac:dyDescent="0.2">
      <c r="AQ33392" s="31"/>
    </row>
    <row r="33393" spans="43:43" x14ac:dyDescent="0.2">
      <c r="AQ33393" s="31"/>
    </row>
    <row r="33394" spans="43:43" x14ac:dyDescent="0.2">
      <c r="AQ33394" s="31"/>
    </row>
    <row r="33395" spans="43:43" x14ac:dyDescent="0.2">
      <c r="AQ33395" s="31"/>
    </row>
    <row r="33396" spans="43:43" x14ac:dyDescent="0.2">
      <c r="AQ33396" s="31"/>
    </row>
    <row r="33397" spans="43:43" x14ac:dyDescent="0.2">
      <c r="AQ33397" s="31"/>
    </row>
    <row r="33398" spans="43:43" x14ac:dyDescent="0.2">
      <c r="AQ33398" s="31"/>
    </row>
    <row r="33399" spans="43:43" x14ac:dyDescent="0.2">
      <c r="AQ33399" s="31"/>
    </row>
    <row r="33400" spans="43:43" x14ac:dyDescent="0.2">
      <c r="AQ33400" s="31"/>
    </row>
    <row r="33401" spans="43:43" x14ac:dyDescent="0.2">
      <c r="AQ33401" s="31"/>
    </row>
    <row r="33402" spans="43:43" x14ac:dyDescent="0.2">
      <c r="AQ33402" s="31"/>
    </row>
    <row r="33403" spans="43:43" x14ac:dyDescent="0.2">
      <c r="AQ33403" s="31"/>
    </row>
    <row r="33404" spans="43:43" x14ac:dyDescent="0.2">
      <c r="AQ33404" s="31"/>
    </row>
    <row r="33405" spans="43:43" x14ac:dyDescent="0.2">
      <c r="AQ33405" s="31"/>
    </row>
    <row r="33406" spans="43:43" x14ac:dyDescent="0.2">
      <c r="AQ33406" s="31"/>
    </row>
    <row r="33407" spans="43:43" x14ac:dyDescent="0.2">
      <c r="AQ33407" s="31"/>
    </row>
    <row r="33408" spans="43:43" x14ac:dyDescent="0.2">
      <c r="AQ33408" s="31"/>
    </row>
    <row r="33409" spans="43:43" x14ac:dyDescent="0.2">
      <c r="AQ33409" s="31"/>
    </row>
    <row r="33410" spans="43:43" x14ac:dyDescent="0.2">
      <c r="AQ33410" s="31"/>
    </row>
    <row r="33411" spans="43:43" x14ac:dyDescent="0.2">
      <c r="AQ33411" s="31"/>
    </row>
    <row r="33412" spans="43:43" x14ac:dyDescent="0.2">
      <c r="AQ33412" s="31"/>
    </row>
    <row r="33413" spans="43:43" x14ac:dyDescent="0.2">
      <c r="AQ33413" s="31"/>
    </row>
    <row r="33414" spans="43:43" x14ac:dyDescent="0.2">
      <c r="AQ33414" s="31"/>
    </row>
    <row r="33415" spans="43:43" x14ac:dyDescent="0.2">
      <c r="AQ33415" s="31"/>
    </row>
    <row r="33416" spans="43:43" x14ac:dyDescent="0.2">
      <c r="AQ33416" s="31"/>
    </row>
    <row r="33417" spans="43:43" x14ac:dyDescent="0.2">
      <c r="AQ33417" s="31"/>
    </row>
    <row r="33418" spans="43:43" x14ac:dyDescent="0.2">
      <c r="AQ33418" s="31"/>
    </row>
    <row r="33419" spans="43:43" x14ac:dyDescent="0.2">
      <c r="AQ33419" s="31"/>
    </row>
    <row r="33420" spans="43:43" x14ac:dyDescent="0.2">
      <c r="AQ33420" s="31"/>
    </row>
    <row r="33421" spans="43:43" x14ac:dyDescent="0.2">
      <c r="AQ33421" s="31"/>
    </row>
    <row r="33422" spans="43:43" x14ac:dyDescent="0.2">
      <c r="AQ33422" s="31"/>
    </row>
    <row r="33423" spans="43:43" x14ac:dyDescent="0.2">
      <c r="AQ33423" s="31"/>
    </row>
    <row r="33424" spans="43:43" x14ac:dyDescent="0.2">
      <c r="AQ33424" s="31"/>
    </row>
    <row r="33425" spans="43:43" x14ac:dyDescent="0.2">
      <c r="AQ33425" s="31"/>
    </row>
    <row r="33426" spans="43:43" x14ac:dyDescent="0.2">
      <c r="AQ33426" s="31"/>
    </row>
    <row r="33427" spans="43:43" x14ac:dyDescent="0.2">
      <c r="AQ33427" s="31"/>
    </row>
    <row r="33428" spans="43:43" x14ac:dyDescent="0.2">
      <c r="AQ33428" s="31"/>
    </row>
    <row r="33429" spans="43:43" x14ac:dyDescent="0.2">
      <c r="AQ33429" s="31"/>
    </row>
    <row r="33430" spans="43:43" x14ac:dyDescent="0.2">
      <c r="AQ33430" s="31"/>
    </row>
    <row r="33431" spans="43:43" x14ac:dyDescent="0.2">
      <c r="AQ33431" s="31"/>
    </row>
    <row r="33432" spans="43:43" x14ac:dyDescent="0.2">
      <c r="AQ33432" s="31"/>
    </row>
    <row r="33433" spans="43:43" x14ac:dyDescent="0.2">
      <c r="AQ33433" s="31"/>
    </row>
    <row r="33434" spans="43:43" x14ac:dyDescent="0.2">
      <c r="AQ33434" s="31"/>
    </row>
    <row r="33435" spans="43:43" x14ac:dyDescent="0.2">
      <c r="AQ33435" s="31"/>
    </row>
    <row r="33436" spans="43:43" x14ac:dyDescent="0.2">
      <c r="AQ33436" s="31"/>
    </row>
    <row r="33437" spans="43:43" x14ac:dyDescent="0.2">
      <c r="AQ33437" s="31"/>
    </row>
    <row r="33438" spans="43:43" x14ac:dyDescent="0.2">
      <c r="AQ33438" s="31"/>
    </row>
    <row r="33439" spans="43:43" x14ac:dyDescent="0.2">
      <c r="AQ33439" s="31"/>
    </row>
    <row r="33440" spans="43:43" x14ac:dyDescent="0.2">
      <c r="AQ33440" s="31"/>
    </row>
    <row r="33441" spans="43:43" x14ac:dyDescent="0.2">
      <c r="AQ33441" s="31"/>
    </row>
    <row r="33442" spans="43:43" x14ac:dyDescent="0.2">
      <c r="AQ33442" s="31"/>
    </row>
    <row r="33443" spans="43:43" x14ac:dyDescent="0.2">
      <c r="AQ33443" s="31"/>
    </row>
    <row r="33444" spans="43:43" x14ac:dyDescent="0.2">
      <c r="AQ33444" s="31"/>
    </row>
    <row r="33445" spans="43:43" x14ac:dyDescent="0.2">
      <c r="AQ33445" s="31"/>
    </row>
    <row r="33446" spans="43:43" x14ac:dyDescent="0.2">
      <c r="AQ33446" s="31"/>
    </row>
    <row r="33447" spans="43:43" x14ac:dyDescent="0.2">
      <c r="AQ33447" s="31"/>
    </row>
    <row r="33448" spans="43:43" x14ac:dyDescent="0.2">
      <c r="AQ33448" s="31"/>
    </row>
    <row r="33449" spans="43:43" x14ac:dyDescent="0.2">
      <c r="AQ33449" s="31"/>
    </row>
    <row r="33450" spans="43:43" x14ac:dyDescent="0.2">
      <c r="AQ33450" s="31"/>
    </row>
    <row r="33451" spans="43:43" x14ac:dyDescent="0.2">
      <c r="AQ33451" s="31"/>
    </row>
    <row r="33452" spans="43:43" x14ac:dyDescent="0.2">
      <c r="AQ33452" s="31"/>
    </row>
    <row r="33453" spans="43:43" x14ac:dyDescent="0.2">
      <c r="AQ33453" s="31"/>
    </row>
    <row r="33454" spans="43:43" x14ac:dyDescent="0.2">
      <c r="AQ33454" s="31"/>
    </row>
    <row r="33455" spans="43:43" x14ac:dyDescent="0.2">
      <c r="AQ33455" s="31"/>
    </row>
    <row r="33456" spans="43:43" x14ac:dyDescent="0.2">
      <c r="AQ33456" s="31"/>
    </row>
    <row r="33457" spans="43:43" x14ac:dyDescent="0.2">
      <c r="AQ33457" s="31"/>
    </row>
    <row r="33458" spans="43:43" x14ac:dyDescent="0.2">
      <c r="AQ33458" s="31"/>
    </row>
    <row r="33459" spans="43:43" x14ac:dyDescent="0.2">
      <c r="AQ33459" s="31"/>
    </row>
    <row r="33460" spans="43:43" x14ac:dyDescent="0.2">
      <c r="AQ33460" s="31"/>
    </row>
    <row r="33461" spans="43:43" x14ac:dyDescent="0.2">
      <c r="AQ33461" s="31"/>
    </row>
    <row r="33462" spans="43:43" x14ac:dyDescent="0.2">
      <c r="AQ33462" s="31"/>
    </row>
    <row r="33463" spans="43:43" x14ac:dyDescent="0.2">
      <c r="AQ33463" s="31"/>
    </row>
    <row r="33464" spans="43:43" x14ac:dyDescent="0.2">
      <c r="AQ33464" s="31"/>
    </row>
    <row r="33465" spans="43:43" x14ac:dyDescent="0.2">
      <c r="AQ33465" s="31"/>
    </row>
    <row r="33466" spans="43:43" x14ac:dyDescent="0.2">
      <c r="AQ33466" s="31"/>
    </row>
    <row r="33467" spans="43:43" x14ac:dyDescent="0.2">
      <c r="AQ33467" s="31"/>
    </row>
    <row r="33468" spans="43:43" x14ac:dyDescent="0.2">
      <c r="AQ33468" s="31"/>
    </row>
    <row r="33469" spans="43:43" x14ac:dyDescent="0.2">
      <c r="AQ33469" s="31"/>
    </row>
    <row r="33470" spans="43:43" x14ac:dyDescent="0.2">
      <c r="AQ33470" s="31"/>
    </row>
    <row r="33471" spans="43:43" x14ac:dyDescent="0.2">
      <c r="AQ33471" s="31"/>
    </row>
    <row r="33472" spans="43:43" x14ac:dyDescent="0.2">
      <c r="AQ33472" s="31"/>
    </row>
    <row r="33473" spans="43:43" x14ac:dyDescent="0.2">
      <c r="AQ33473" s="31"/>
    </row>
    <row r="33474" spans="43:43" x14ac:dyDescent="0.2">
      <c r="AQ33474" s="31"/>
    </row>
    <row r="33475" spans="43:43" x14ac:dyDescent="0.2">
      <c r="AQ33475" s="31"/>
    </row>
    <row r="33476" spans="43:43" x14ac:dyDescent="0.2">
      <c r="AQ33476" s="31"/>
    </row>
    <row r="33477" spans="43:43" x14ac:dyDescent="0.2">
      <c r="AQ33477" s="31"/>
    </row>
    <row r="33478" spans="43:43" x14ac:dyDescent="0.2">
      <c r="AQ33478" s="31"/>
    </row>
    <row r="33479" spans="43:43" x14ac:dyDescent="0.2">
      <c r="AQ33479" s="31"/>
    </row>
    <row r="33480" spans="43:43" x14ac:dyDescent="0.2">
      <c r="AQ33480" s="31"/>
    </row>
    <row r="33481" spans="43:43" x14ac:dyDescent="0.2">
      <c r="AQ33481" s="31"/>
    </row>
    <row r="33482" spans="43:43" x14ac:dyDescent="0.2">
      <c r="AQ33482" s="31"/>
    </row>
    <row r="33483" spans="43:43" x14ac:dyDescent="0.2">
      <c r="AQ33483" s="31"/>
    </row>
    <row r="33484" spans="43:43" x14ac:dyDescent="0.2">
      <c r="AQ33484" s="31"/>
    </row>
    <row r="33485" spans="43:43" x14ac:dyDescent="0.2">
      <c r="AQ33485" s="31"/>
    </row>
    <row r="33486" spans="43:43" x14ac:dyDescent="0.2">
      <c r="AQ33486" s="31"/>
    </row>
    <row r="33487" spans="43:43" x14ac:dyDescent="0.2">
      <c r="AQ33487" s="31"/>
    </row>
    <row r="33488" spans="43:43" x14ac:dyDescent="0.2">
      <c r="AQ33488" s="31"/>
    </row>
    <row r="33489" spans="43:43" x14ac:dyDescent="0.2">
      <c r="AQ33489" s="31"/>
    </row>
    <row r="33490" spans="43:43" x14ac:dyDescent="0.2">
      <c r="AQ33490" s="31"/>
    </row>
    <row r="33491" spans="43:43" x14ac:dyDescent="0.2">
      <c r="AQ33491" s="31"/>
    </row>
    <row r="33492" spans="43:43" x14ac:dyDescent="0.2">
      <c r="AQ33492" s="31"/>
    </row>
    <row r="33493" spans="43:43" x14ac:dyDescent="0.2">
      <c r="AQ33493" s="31"/>
    </row>
    <row r="33494" spans="43:43" x14ac:dyDescent="0.2">
      <c r="AQ33494" s="31"/>
    </row>
    <row r="33495" spans="43:43" x14ac:dyDescent="0.2">
      <c r="AQ33495" s="31"/>
    </row>
    <row r="33496" spans="43:43" x14ac:dyDescent="0.2">
      <c r="AQ33496" s="31"/>
    </row>
    <row r="33497" spans="43:43" x14ac:dyDescent="0.2">
      <c r="AQ33497" s="31"/>
    </row>
    <row r="33498" spans="43:43" x14ac:dyDescent="0.2">
      <c r="AQ33498" s="31"/>
    </row>
    <row r="33499" spans="43:43" x14ac:dyDescent="0.2">
      <c r="AQ33499" s="31"/>
    </row>
    <row r="33500" spans="43:43" x14ac:dyDescent="0.2">
      <c r="AQ33500" s="31"/>
    </row>
    <row r="33501" spans="43:43" x14ac:dyDescent="0.2">
      <c r="AQ33501" s="31"/>
    </row>
    <row r="33502" spans="43:43" x14ac:dyDescent="0.2">
      <c r="AQ33502" s="31"/>
    </row>
    <row r="33503" spans="43:43" x14ac:dyDescent="0.2">
      <c r="AQ33503" s="31"/>
    </row>
    <row r="33504" spans="43:43" x14ac:dyDescent="0.2">
      <c r="AQ33504" s="31"/>
    </row>
    <row r="33505" spans="43:43" x14ac:dyDescent="0.2">
      <c r="AQ33505" s="31"/>
    </row>
    <row r="33506" spans="43:43" x14ac:dyDescent="0.2">
      <c r="AQ33506" s="31"/>
    </row>
    <row r="33507" spans="43:43" x14ac:dyDescent="0.2">
      <c r="AQ33507" s="31"/>
    </row>
    <row r="33508" spans="43:43" x14ac:dyDescent="0.2">
      <c r="AQ33508" s="31"/>
    </row>
    <row r="33509" spans="43:43" x14ac:dyDescent="0.2">
      <c r="AQ33509" s="31"/>
    </row>
    <row r="33510" spans="43:43" x14ac:dyDescent="0.2">
      <c r="AQ33510" s="31"/>
    </row>
    <row r="33511" spans="43:43" x14ac:dyDescent="0.2">
      <c r="AQ33511" s="31"/>
    </row>
    <row r="33512" spans="43:43" x14ac:dyDescent="0.2">
      <c r="AQ33512" s="31"/>
    </row>
    <row r="33513" spans="43:43" x14ac:dyDescent="0.2">
      <c r="AQ33513" s="31"/>
    </row>
    <row r="33514" spans="43:43" x14ac:dyDescent="0.2">
      <c r="AQ33514" s="31"/>
    </row>
    <row r="33515" spans="43:43" x14ac:dyDescent="0.2">
      <c r="AQ33515" s="31"/>
    </row>
    <row r="33516" spans="43:43" x14ac:dyDescent="0.2">
      <c r="AQ33516" s="31"/>
    </row>
    <row r="33517" spans="43:43" x14ac:dyDescent="0.2">
      <c r="AQ33517" s="31"/>
    </row>
    <row r="33518" spans="43:43" x14ac:dyDescent="0.2">
      <c r="AQ33518" s="31"/>
    </row>
    <row r="33519" spans="43:43" x14ac:dyDescent="0.2">
      <c r="AQ33519" s="31"/>
    </row>
    <row r="33520" spans="43:43" x14ac:dyDescent="0.2">
      <c r="AQ33520" s="31"/>
    </row>
    <row r="33521" spans="43:43" x14ac:dyDescent="0.2">
      <c r="AQ33521" s="31"/>
    </row>
    <row r="33522" spans="43:43" x14ac:dyDescent="0.2">
      <c r="AQ33522" s="31"/>
    </row>
    <row r="33523" spans="43:43" x14ac:dyDescent="0.2">
      <c r="AQ33523" s="31"/>
    </row>
    <row r="33524" spans="43:43" x14ac:dyDescent="0.2">
      <c r="AQ33524" s="31"/>
    </row>
    <row r="33525" spans="43:43" x14ac:dyDescent="0.2">
      <c r="AQ33525" s="31"/>
    </row>
    <row r="33526" spans="43:43" x14ac:dyDescent="0.2">
      <c r="AQ33526" s="31"/>
    </row>
    <row r="33527" spans="43:43" x14ac:dyDescent="0.2">
      <c r="AQ33527" s="31"/>
    </row>
    <row r="33528" spans="43:43" x14ac:dyDescent="0.2">
      <c r="AQ33528" s="31"/>
    </row>
    <row r="33529" spans="43:43" x14ac:dyDescent="0.2">
      <c r="AQ33529" s="31"/>
    </row>
    <row r="33530" spans="43:43" x14ac:dyDescent="0.2">
      <c r="AQ33530" s="31"/>
    </row>
    <row r="33531" spans="43:43" x14ac:dyDescent="0.2">
      <c r="AQ33531" s="31"/>
    </row>
    <row r="33532" spans="43:43" x14ac:dyDescent="0.2">
      <c r="AQ33532" s="31"/>
    </row>
    <row r="33533" spans="43:43" x14ac:dyDescent="0.2">
      <c r="AQ33533" s="31"/>
    </row>
    <row r="33534" spans="43:43" x14ac:dyDescent="0.2">
      <c r="AQ33534" s="31"/>
    </row>
    <row r="33535" spans="43:43" x14ac:dyDescent="0.2">
      <c r="AQ33535" s="31"/>
    </row>
    <row r="33536" spans="43:43" x14ac:dyDescent="0.2">
      <c r="AQ33536" s="31"/>
    </row>
    <row r="33537" spans="43:43" x14ac:dyDescent="0.2">
      <c r="AQ33537" s="31"/>
    </row>
    <row r="33538" spans="43:43" x14ac:dyDescent="0.2">
      <c r="AQ33538" s="31"/>
    </row>
    <row r="33539" spans="43:43" x14ac:dyDescent="0.2">
      <c r="AQ33539" s="31"/>
    </row>
    <row r="33540" spans="43:43" x14ac:dyDescent="0.2">
      <c r="AQ33540" s="31"/>
    </row>
    <row r="33541" spans="43:43" x14ac:dyDescent="0.2">
      <c r="AQ33541" s="31"/>
    </row>
    <row r="33542" spans="43:43" x14ac:dyDescent="0.2">
      <c r="AQ33542" s="31"/>
    </row>
    <row r="33543" spans="43:43" x14ac:dyDescent="0.2">
      <c r="AQ33543" s="31"/>
    </row>
    <row r="33544" spans="43:43" x14ac:dyDescent="0.2">
      <c r="AQ33544" s="31"/>
    </row>
    <row r="33545" spans="43:43" x14ac:dyDescent="0.2">
      <c r="AQ33545" s="31"/>
    </row>
    <row r="33546" spans="43:43" x14ac:dyDescent="0.2">
      <c r="AQ33546" s="31"/>
    </row>
    <row r="33547" spans="43:43" x14ac:dyDescent="0.2">
      <c r="AQ33547" s="31"/>
    </row>
    <row r="33548" spans="43:43" x14ac:dyDescent="0.2">
      <c r="AQ33548" s="31"/>
    </row>
    <row r="33549" spans="43:43" x14ac:dyDescent="0.2">
      <c r="AQ33549" s="31"/>
    </row>
    <row r="33550" spans="43:43" x14ac:dyDescent="0.2">
      <c r="AQ33550" s="31"/>
    </row>
    <row r="33551" spans="43:43" x14ac:dyDescent="0.2">
      <c r="AQ33551" s="31"/>
    </row>
    <row r="33552" spans="43:43" x14ac:dyDescent="0.2">
      <c r="AQ33552" s="31"/>
    </row>
    <row r="33553" spans="43:43" x14ac:dyDescent="0.2">
      <c r="AQ33553" s="31"/>
    </row>
    <row r="33554" spans="43:43" x14ac:dyDescent="0.2">
      <c r="AQ33554" s="31"/>
    </row>
    <row r="33555" spans="43:43" x14ac:dyDescent="0.2">
      <c r="AQ33555" s="31"/>
    </row>
    <row r="33556" spans="43:43" x14ac:dyDescent="0.2">
      <c r="AQ33556" s="31"/>
    </row>
    <row r="33557" spans="43:43" x14ac:dyDescent="0.2">
      <c r="AQ33557" s="31"/>
    </row>
    <row r="33558" spans="43:43" x14ac:dyDescent="0.2">
      <c r="AQ33558" s="31"/>
    </row>
    <row r="33559" spans="43:43" x14ac:dyDescent="0.2">
      <c r="AQ33559" s="31"/>
    </row>
    <row r="33560" spans="43:43" x14ac:dyDescent="0.2">
      <c r="AQ33560" s="31"/>
    </row>
    <row r="33561" spans="43:43" x14ac:dyDescent="0.2">
      <c r="AQ33561" s="31"/>
    </row>
    <row r="33562" spans="43:43" x14ac:dyDescent="0.2">
      <c r="AQ33562" s="31"/>
    </row>
    <row r="33563" spans="43:43" x14ac:dyDescent="0.2">
      <c r="AQ33563" s="31"/>
    </row>
    <row r="33564" spans="43:43" x14ac:dyDescent="0.2">
      <c r="AQ33564" s="31"/>
    </row>
    <row r="33565" spans="43:43" x14ac:dyDescent="0.2">
      <c r="AQ33565" s="31"/>
    </row>
    <row r="33566" spans="43:43" x14ac:dyDescent="0.2">
      <c r="AQ33566" s="31"/>
    </row>
    <row r="33567" spans="43:43" x14ac:dyDescent="0.2">
      <c r="AQ33567" s="31"/>
    </row>
    <row r="33568" spans="43:43" x14ac:dyDescent="0.2">
      <c r="AQ33568" s="31"/>
    </row>
    <row r="33569" spans="43:43" x14ac:dyDescent="0.2">
      <c r="AQ33569" s="31"/>
    </row>
    <row r="33570" spans="43:43" x14ac:dyDescent="0.2">
      <c r="AQ33570" s="31"/>
    </row>
    <row r="33571" spans="43:43" x14ac:dyDescent="0.2">
      <c r="AQ33571" s="31"/>
    </row>
    <row r="33572" spans="43:43" x14ac:dyDescent="0.2">
      <c r="AQ33572" s="31"/>
    </row>
    <row r="33573" spans="43:43" x14ac:dyDescent="0.2">
      <c r="AQ33573" s="31"/>
    </row>
    <row r="33574" spans="43:43" x14ac:dyDescent="0.2">
      <c r="AQ33574" s="31"/>
    </row>
    <row r="33575" spans="43:43" x14ac:dyDescent="0.2">
      <c r="AQ33575" s="31"/>
    </row>
    <row r="33576" spans="43:43" x14ac:dyDescent="0.2">
      <c r="AQ33576" s="31"/>
    </row>
    <row r="33577" spans="43:43" x14ac:dyDescent="0.2">
      <c r="AQ33577" s="31"/>
    </row>
    <row r="33578" spans="43:43" x14ac:dyDescent="0.2">
      <c r="AQ33578" s="31"/>
    </row>
    <row r="33579" spans="43:43" x14ac:dyDescent="0.2">
      <c r="AQ33579" s="31"/>
    </row>
    <row r="33580" spans="43:43" x14ac:dyDescent="0.2">
      <c r="AQ33580" s="31"/>
    </row>
    <row r="33581" spans="43:43" x14ac:dyDescent="0.2">
      <c r="AQ33581" s="31"/>
    </row>
    <row r="33582" spans="43:43" x14ac:dyDescent="0.2">
      <c r="AQ33582" s="31"/>
    </row>
    <row r="33583" spans="43:43" x14ac:dyDescent="0.2">
      <c r="AQ33583" s="31"/>
    </row>
    <row r="33584" spans="43:43" x14ac:dyDescent="0.2">
      <c r="AQ33584" s="31"/>
    </row>
    <row r="33585" spans="43:43" x14ac:dyDescent="0.2">
      <c r="AQ33585" s="31"/>
    </row>
    <row r="33586" spans="43:43" x14ac:dyDescent="0.2">
      <c r="AQ33586" s="31"/>
    </row>
    <row r="33587" spans="43:43" x14ac:dyDescent="0.2">
      <c r="AQ33587" s="31"/>
    </row>
    <row r="33588" spans="43:43" x14ac:dyDescent="0.2">
      <c r="AQ33588" s="31"/>
    </row>
    <row r="33589" spans="43:43" x14ac:dyDescent="0.2">
      <c r="AQ33589" s="31"/>
    </row>
    <row r="33590" spans="43:43" x14ac:dyDescent="0.2">
      <c r="AQ33590" s="31"/>
    </row>
    <row r="33591" spans="43:43" x14ac:dyDescent="0.2">
      <c r="AQ33591" s="31"/>
    </row>
    <row r="33592" spans="43:43" x14ac:dyDescent="0.2">
      <c r="AQ33592" s="31"/>
    </row>
    <row r="33593" spans="43:43" x14ac:dyDescent="0.2">
      <c r="AQ33593" s="31"/>
    </row>
    <row r="33594" spans="43:43" x14ac:dyDescent="0.2">
      <c r="AQ33594" s="31"/>
    </row>
    <row r="33595" spans="43:43" x14ac:dyDescent="0.2">
      <c r="AQ33595" s="31"/>
    </row>
    <row r="33596" spans="43:43" x14ac:dyDescent="0.2">
      <c r="AQ33596" s="31"/>
    </row>
    <row r="33597" spans="43:43" x14ac:dyDescent="0.2">
      <c r="AQ33597" s="31"/>
    </row>
    <row r="33598" spans="43:43" x14ac:dyDescent="0.2">
      <c r="AQ33598" s="31"/>
    </row>
    <row r="33599" spans="43:43" x14ac:dyDescent="0.2">
      <c r="AQ33599" s="31"/>
    </row>
    <row r="33600" spans="43:43" x14ac:dyDescent="0.2">
      <c r="AQ33600" s="31"/>
    </row>
    <row r="33601" spans="43:43" x14ac:dyDescent="0.2">
      <c r="AQ33601" s="31"/>
    </row>
    <row r="33602" spans="43:43" x14ac:dyDescent="0.2">
      <c r="AQ33602" s="31"/>
    </row>
    <row r="33603" spans="43:43" x14ac:dyDescent="0.2">
      <c r="AQ33603" s="31"/>
    </row>
    <row r="33604" spans="43:43" x14ac:dyDescent="0.2">
      <c r="AQ33604" s="31"/>
    </row>
    <row r="33605" spans="43:43" x14ac:dyDescent="0.2">
      <c r="AQ33605" s="31"/>
    </row>
    <row r="33606" spans="43:43" x14ac:dyDescent="0.2">
      <c r="AQ33606" s="31"/>
    </row>
    <row r="33607" spans="43:43" x14ac:dyDescent="0.2">
      <c r="AQ33607" s="31"/>
    </row>
    <row r="33608" spans="43:43" x14ac:dyDescent="0.2">
      <c r="AQ33608" s="31"/>
    </row>
    <row r="33609" spans="43:43" x14ac:dyDescent="0.2">
      <c r="AQ33609" s="31"/>
    </row>
    <row r="33610" spans="43:43" x14ac:dyDescent="0.2">
      <c r="AQ33610" s="31"/>
    </row>
    <row r="33611" spans="43:43" x14ac:dyDescent="0.2">
      <c r="AQ33611" s="31"/>
    </row>
    <row r="33612" spans="43:43" x14ac:dyDescent="0.2">
      <c r="AQ33612" s="31"/>
    </row>
    <row r="33613" spans="43:43" x14ac:dyDescent="0.2">
      <c r="AQ33613" s="31"/>
    </row>
    <row r="33614" spans="43:43" x14ac:dyDescent="0.2">
      <c r="AQ33614" s="31"/>
    </row>
    <row r="33615" spans="43:43" x14ac:dyDescent="0.2">
      <c r="AQ33615" s="31"/>
    </row>
    <row r="33616" spans="43:43" x14ac:dyDescent="0.2">
      <c r="AQ33616" s="31"/>
    </row>
    <row r="33617" spans="43:43" x14ac:dyDescent="0.2">
      <c r="AQ33617" s="31"/>
    </row>
    <row r="33618" spans="43:43" x14ac:dyDescent="0.2">
      <c r="AQ33618" s="31"/>
    </row>
    <row r="33619" spans="43:43" x14ac:dyDescent="0.2">
      <c r="AQ33619" s="31"/>
    </row>
    <row r="33620" spans="43:43" x14ac:dyDescent="0.2">
      <c r="AQ33620" s="31"/>
    </row>
    <row r="33621" spans="43:43" x14ac:dyDescent="0.2">
      <c r="AQ33621" s="31"/>
    </row>
    <row r="33622" spans="43:43" x14ac:dyDescent="0.2">
      <c r="AQ33622" s="31"/>
    </row>
    <row r="33623" spans="43:43" x14ac:dyDescent="0.2">
      <c r="AQ33623" s="31"/>
    </row>
    <row r="33624" spans="43:43" x14ac:dyDescent="0.2">
      <c r="AQ33624" s="31"/>
    </row>
    <row r="33625" spans="43:43" x14ac:dyDescent="0.2">
      <c r="AQ33625" s="31"/>
    </row>
    <row r="33626" spans="43:43" x14ac:dyDescent="0.2">
      <c r="AQ33626" s="31"/>
    </row>
    <row r="33627" spans="43:43" x14ac:dyDescent="0.2">
      <c r="AQ33627" s="31"/>
    </row>
    <row r="33628" spans="43:43" x14ac:dyDescent="0.2">
      <c r="AQ33628" s="31"/>
    </row>
    <row r="33629" spans="43:43" x14ac:dyDescent="0.2">
      <c r="AQ33629" s="31"/>
    </row>
    <row r="33630" spans="43:43" x14ac:dyDescent="0.2">
      <c r="AQ33630" s="31"/>
    </row>
    <row r="33631" spans="43:43" x14ac:dyDescent="0.2">
      <c r="AQ33631" s="31"/>
    </row>
    <row r="33632" spans="43:43" x14ac:dyDescent="0.2">
      <c r="AQ33632" s="31"/>
    </row>
    <row r="33633" spans="43:43" x14ac:dyDescent="0.2">
      <c r="AQ33633" s="31"/>
    </row>
    <row r="33634" spans="43:43" x14ac:dyDescent="0.2">
      <c r="AQ33634" s="31"/>
    </row>
    <row r="33635" spans="43:43" x14ac:dyDescent="0.2">
      <c r="AQ33635" s="31"/>
    </row>
    <row r="33636" spans="43:43" x14ac:dyDescent="0.2">
      <c r="AQ33636" s="31"/>
    </row>
    <row r="33637" spans="43:43" x14ac:dyDescent="0.2">
      <c r="AQ33637" s="31"/>
    </row>
    <row r="33638" spans="43:43" x14ac:dyDescent="0.2">
      <c r="AQ33638" s="31"/>
    </row>
    <row r="33639" spans="43:43" x14ac:dyDescent="0.2">
      <c r="AQ33639" s="31"/>
    </row>
    <row r="33640" spans="43:43" x14ac:dyDescent="0.2">
      <c r="AQ33640" s="31"/>
    </row>
    <row r="33641" spans="43:43" x14ac:dyDescent="0.2">
      <c r="AQ33641" s="31"/>
    </row>
    <row r="33642" spans="43:43" x14ac:dyDescent="0.2">
      <c r="AQ33642" s="31"/>
    </row>
    <row r="33643" spans="43:43" x14ac:dyDescent="0.2">
      <c r="AQ33643" s="31"/>
    </row>
    <row r="33644" spans="43:43" x14ac:dyDescent="0.2">
      <c r="AQ33644" s="31"/>
    </row>
    <row r="33645" spans="43:43" x14ac:dyDescent="0.2">
      <c r="AQ33645" s="31"/>
    </row>
    <row r="33646" spans="43:43" x14ac:dyDescent="0.2">
      <c r="AQ33646" s="31"/>
    </row>
    <row r="33647" spans="43:43" x14ac:dyDescent="0.2">
      <c r="AQ33647" s="31"/>
    </row>
    <row r="33648" spans="43:43" x14ac:dyDescent="0.2">
      <c r="AQ33648" s="31"/>
    </row>
    <row r="33649" spans="43:43" x14ac:dyDescent="0.2">
      <c r="AQ33649" s="31"/>
    </row>
    <row r="33650" spans="43:43" x14ac:dyDescent="0.2">
      <c r="AQ33650" s="31"/>
    </row>
    <row r="33651" spans="43:43" x14ac:dyDescent="0.2">
      <c r="AQ33651" s="31"/>
    </row>
    <row r="33652" spans="43:43" x14ac:dyDescent="0.2">
      <c r="AQ33652" s="31"/>
    </row>
    <row r="33653" spans="43:43" x14ac:dyDescent="0.2">
      <c r="AQ33653" s="31"/>
    </row>
    <row r="33654" spans="43:43" x14ac:dyDescent="0.2">
      <c r="AQ33654" s="31"/>
    </row>
    <row r="33655" spans="43:43" x14ac:dyDescent="0.2">
      <c r="AQ33655" s="31"/>
    </row>
    <row r="33656" spans="43:43" x14ac:dyDescent="0.2">
      <c r="AQ33656" s="31"/>
    </row>
    <row r="33657" spans="43:43" x14ac:dyDescent="0.2">
      <c r="AQ33657" s="31"/>
    </row>
    <row r="33658" spans="43:43" x14ac:dyDescent="0.2">
      <c r="AQ33658" s="31"/>
    </row>
    <row r="33659" spans="43:43" x14ac:dyDescent="0.2">
      <c r="AQ33659" s="31"/>
    </row>
    <row r="33660" spans="43:43" x14ac:dyDescent="0.2">
      <c r="AQ33660" s="31"/>
    </row>
    <row r="33661" spans="43:43" x14ac:dyDescent="0.2">
      <c r="AQ33661" s="31"/>
    </row>
    <row r="33662" spans="43:43" x14ac:dyDescent="0.2">
      <c r="AQ33662" s="31"/>
    </row>
    <row r="33663" spans="43:43" x14ac:dyDescent="0.2">
      <c r="AQ33663" s="31"/>
    </row>
    <row r="33664" spans="43:43" x14ac:dyDescent="0.2">
      <c r="AQ33664" s="31"/>
    </row>
    <row r="33665" spans="43:43" x14ac:dyDescent="0.2">
      <c r="AQ33665" s="31"/>
    </row>
    <row r="33666" spans="43:43" x14ac:dyDescent="0.2">
      <c r="AQ33666" s="31"/>
    </row>
    <row r="33667" spans="43:43" x14ac:dyDescent="0.2">
      <c r="AQ33667" s="31"/>
    </row>
    <row r="33668" spans="43:43" x14ac:dyDescent="0.2">
      <c r="AQ33668" s="31"/>
    </row>
    <row r="33669" spans="43:43" x14ac:dyDescent="0.2">
      <c r="AQ33669" s="31"/>
    </row>
    <row r="33670" spans="43:43" x14ac:dyDescent="0.2">
      <c r="AQ33670" s="31"/>
    </row>
    <row r="33671" spans="43:43" x14ac:dyDescent="0.2">
      <c r="AQ33671" s="31"/>
    </row>
    <row r="33672" spans="43:43" x14ac:dyDescent="0.2">
      <c r="AQ33672" s="31"/>
    </row>
    <row r="33673" spans="43:43" x14ac:dyDescent="0.2">
      <c r="AQ33673" s="31"/>
    </row>
    <row r="33674" spans="43:43" x14ac:dyDescent="0.2">
      <c r="AQ33674" s="31"/>
    </row>
    <row r="33675" spans="43:43" x14ac:dyDescent="0.2">
      <c r="AQ33675" s="31"/>
    </row>
    <row r="33676" spans="43:43" x14ac:dyDescent="0.2">
      <c r="AQ33676" s="31"/>
    </row>
    <row r="33677" spans="43:43" x14ac:dyDescent="0.2">
      <c r="AQ33677" s="31"/>
    </row>
    <row r="33678" spans="43:43" x14ac:dyDescent="0.2">
      <c r="AQ33678" s="31"/>
    </row>
    <row r="33679" spans="43:43" x14ac:dyDescent="0.2">
      <c r="AQ33679" s="31"/>
    </row>
    <row r="33680" spans="43:43" x14ac:dyDescent="0.2">
      <c r="AQ33680" s="31"/>
    </row>
    <row r="33681" spans="43:43" x14ac:dyDescent="0.2">
      <c r="AQ33681" s="31"/>
    </row>
    <row r="33682" spans="43:43" x14ac:dyDescent="0.2">
      <c r="AQ33682" s="31"/>
    </row>
    <row r="33683" spans="43:43" x14ac:dyDescent="0.2">
      <c r="AQ33683" s="31"/>
    </row>
    <row r="33684" spans="43:43" x14ac:dyDescent="0.2">
      <c r="AQ33684" s="31"/>
    </row>
    <row r="33685" spans="43:43" x14ac:dyDescent="0.2">
      <c r="AQ33685" s="31"/>
    </row>
    <row r="33686" spans="43:43" x14ac:dyDescent="0.2">
      <c r="AQ33686" s="31"/>
    </row>
    <row r="33687" spans="43:43" x14ac:dyDescent="0.2">
      <c r="AQ33687" s="31"/>
    </row>
    <row r="33688" spans="43:43" x14ac:dyDescent="0.2">
      <c r="AQ33688" s="31"/>
    </row>
    <row r="33689" spans="43:43" x14ac:dyDescent="0.2">
      <c r="AQ33689" s="31"/>
    </row>
    <row r="33690" spans="43:43" x14ac:dyDescent="0.2">
      <c r="AQ33690" s="31"/>
    </row>
    <row r="33691" spans="43:43" x14ac:dyDescent="0.2">
      <c r="AQ33691" s="31"/>
    </row>
    <row r="33692" spans="43:43" x14ac:dyDescent="0.2">
      <c r="AQ33692" s="31"/>
    </row>
    <row r="33693" spans="43:43" x14ac:dyDescent="0.2">
      <c r="AQ33693" s="31"/>
    </row>
    <row r="33694" spans="43:43" x14ac:dyDescent="0.2">
      <c r="AQ33694" s="31"/>
    </row>
    <row r="33695" spans="43:43" x14ac:dyDescent="0.2">
      <c r="AQ33695" s="31"/>
    </row>
    <row r="33696" spans="43:43" x14ac:dyDescent="0.2">
      <c r="AQ33696" s="31"/>
    </row>
    <row r="33697" spans="43:43" x14ac:dyDescent="0.2">
      <c r="AQ33697" s="31"/>
    </row>
    <row r="33698" spans="43:43" x14ac:dyDescent="0.2">
      <c r="AQ33698" s="31"/>
    </row>
    <row r="33699" spans="43:43" x14ac:dyDescent="0.2">
      <c r="AQ33699" s="31"/>
    </row>
    <row r="33700" spans="43:43" x14ac:dyDescent="0.2">
      <c r="AQ33700" s="31"/>
    </row>
    <row r="33701" spans="43:43" x14ac:dyDescent="0.2">
      <c r="AQ33701" s="31"/>
    </row>
    <row r="33702" spans="43:43" x14ac:dyDescent="0.2">
      <c r="AQ33702" s="31"/>
    </row>
    <row r="33703" spans="43:43" x14ac:dyDescent="0.2">
      <c r="AQ33703" s="31"/>
    </row>
    <row r="33704" spans="43:43" x14ac:dyDescent="0.2">
      <c r="AQ33704" s="31"/>
    </row>
    <row r="33705" spans="43:43" x14ac:dyDescent="0.2">
      <c r="AQ33705" s="31"/>
    </row>
    <row r="33706" spans="43:43" x14ac:dyDescent="0.2">
      <c r="AQ33706" s="31"/>
    </row>
    <row r="33707" spans="43:43" x14ac:dyDescent="0.2">
      <c r="AQ33707" s="31"/>
    </row>
    <row r="33708" spans="43:43" x14ac:dyDescent="0.2">
      <c r="AQ33708" s="31"/>
    </row>
    <row r="33709" spans="43:43" x14ac:dyDescent="0.2">
      <c r="AQ33709" s="31"/>
    </row>
    <row r="33710" spans="43:43" x14ac:dyDescent="0.2">
      <c r="AQ33710" s="31"/>
    </row>
    <row r="33711" spans="43:43" x14ac:dyDescent="0.2">
      <c r="AQ33711" s="31"/>
    </row>
    <row r="33712" spans="43:43" x14ac:dyDescent="0.2">
      <c r="AQ33712" s="31"/>
    </row>
    <row r="33713" spans="43:43" x14ac:dyDescent="0.2">
      <c r="AQ33713" s="31"/>
    </row>
    <row r="33714" spans="43:43" x14ac:dyDescent="0.2">
      <c r="AQ33714" s="31"/>
    </row>
    <row r="33715" spans="43:43" x14ac:dyDescent="0.2">
      <c r="AQ33715" s="31"/>
    </row>
    <row r="33716" spans="43:43" x14ac:dyDescent="0.2">
      <c r="AQ33716" s="31"/>
    </row>
    <row r="33717" spans="43:43" x14ac:dyDescent="0.2">
      <c r="AQ33717" s="31"/>
    </row>
    <row r="33718" spans="43:43" x14ac:dyDescent="0.2">
      <c r="AQ33718" s="31"/>
    </row>
    <row r="33719" spans="43:43" x14ac:dyDescent="0.2">
      <c r="AQ33719" s="31"/>
    </row>
    <row r="33720" spans="43:43" x14ac:dyDescent="0.2">
      <c r="AQ33720" s="31"/>
    </row>
    <row r="33721" spans="43:43" x14ac:dyDescent="0.2">
      <c r="AQ33721" s="31"/>
    </row>
    <row r="33722" spans="43:43" x14ac:dyDescent="0.2">
      <c r="AQ33722" s="31"/>
    </row>
    <row r="33723" spans="43:43" x14ac:dyDescent="0.2">
      <c r="AQ33723" s="31"/>
    </row>
    <row r="33724" spans="43:43" x14ac:dyDescent="0.2">
      <c r="AQ33724" s="31"/>
    </row>
    <row r="33725" spans="43:43" x14ac:dyDescent="0.2">
      <c r="AQ33725" s="31"/>
    </row>
    <row r="33726" spans="43:43" x14ac:dyDescent="0.2">
      <c r="AQ33726" s="31"/>
    </row>
    <row r="33727" spans="43:43" x14ac:dyDescent="0.2">
      <c r="AQ33727" s="31"/>
    </row>
    <row r="33728" spans="43:43" x14ac:dyDescent="0.2">
      <c r="AQ33728" s="31"/>
    </row>
    <row r="33729" spans="43:43" x14ac:dyDescent="0.2">
      <c r="AQ33729" s="31"/>
    </row>
    <row r="33730" spans="43:43" x14ac:dyDescent="0.2">
      <c r="AQ33730" s="31"/>
    </row>
    <row r="33731" spans="43:43" x14ac:dyDescent="0.2">
      <c r="AQ33731" s="31"/>
    </row>
    <row r="33732" spans="43:43" x14ac:dyDescent="0.2">
      <c r="AQ33732" s="31"/>
    </row>
    <row r="33733" spans="43:43" x14ac:dyDescent="0.2">
      <c r="AQ33733" s="31"/>
    </row>
    <row r="33734" spans="43:43" x14ac:dyDescent="0.2">
      <c r="AQ33734" s="31"/>
    </row>
    <row r="33735" spans="43:43" x14ac:dyDescent="0.2">
      <c r="AQ33735" s="31"/>
    </row>
    <row r="33736" spans="43:43" x14ac:dyDescent="0.2">
      <c r="AQ33736" s="31"/>
    </row>
    <row r="33737" spans="43:43" x14ac:dyDescent="0.2">
      <c r="AQ33737" s="31"/>
    </row>
    <row r="33738" spans="43:43" x14ac:dyDescent="0.2">
      <c r="AQ33738" s="31"/>
    </row>
    <row r="33739" spans="43:43" x14ac:dyDescent="0.2">
      <c r="AQ33739" s="31"/>
    </row>
    <row r="33740" spans="43:43" x14ac:dyDescent="0.2">
      <c r="AQ33740" s="31"/>
    </row>
    <row r="33741" spans="43:43" x14ac:dyDescent="0.2">
      <c r="AQ33741" s="31"/>
    </row>
    <row r="33742" spans="43:43" x14ac:dyDescent="0.2">
      <c r="AQ33742" s="31"/>
    </row>
    <row r="33743" spans="43:43" x14ac:dyDescent="0.2">
      <c r="AQ33743" s="31"/>
    </row>
    <row r="33744" spans="43:43" x14ac:dyDescent="0.2">
      <c r="AQ33744" s="31"/>
    </row>
    <row r="33745" spans="43:43" x14ac:dyDescent="0.2">
      <c r="AQ33745" s="31"/>
    </row>
    <row r="33746" spans="43:43" x14ac:dyDescent="0.2">
      <c r="AQ33746" s="31"/>
    </row>
    <row r="33747" spans="43:43" x14ac:dyDescent="0.2">
      <c r="AQ33747" s="31"/>
    </row>
    <row r="33748" spans="43:43" x14ac:dyDescent="0.2">
      <c r="AQ33748" s="31"/>
    </row>
    <row r="33749" spans="43:43" x14ac:dyDescent="0.2">
      <c r="AQ33749" s="31"/>
    </row>
    <row r="33750" spans="43:43" x14ac:dyDescent="0.2">
      <c r="AQ33750" s="31"/>
    </row>
    <row r="33751" spans="43:43" x14ac:dyDescent="0.2">
      <c r="AQ33751" s="31"/>
    </row>
    <row r="33752" spans="43:43" x14ac:dyDescent="0.2">
      <c r="AQ33752" s="31"/>
    </row>
    <row r="33753" spans="43:43" x14ac:dyDescent="0.2">
      <c r="AQ33753" s="31"/>
    </row>
    <row r="33754" spans="43:43" x14ac:dyDescent="0.2">
      <c r="AQ33754" s="31"/>
    </row>
    <row r="33755" spans="43:43" x14ac:dyDescent="0.2">
      <c r="AQ33755" s="31"/>
    </row>
    <row r="33756" spans="43:43" x14ac:dyDescent="0.2">
      <c r="AQ33756" s="31"/>
    </row>
    <row r="33757" spans="43:43" x14ac:dyDescent="0.2">
      <c r="AQ33757" s="31"/>
    </row>
    <row r="33758" spans="43:43" x14ac:dyDescent="0.2">
      <c r="AQ33758" s="31"/>
    </row>
    <row r="33759" spans="43:43" x14ac:dyDescent="0.2">
      <c r="AQ33759" s="31"/>
    </row>
    <row r="33760" spans="43:43" x14ac:dyDescent="0.2">
      <c r="AQ33760" s="31"/>
    </row>
    <row r="33761" spans="43:43" x14ac:dyDescent="0.2">
      <c r="AQ33761" s="31"/>
    </row>
    <row r="33762" spans="43:43" x14ac:dyDescent="0.2">
      <c r="AQ33762" s="31"/>
    </row>
    <row r="33763" spans="43:43" x14ac:dyDescent="0.2">
      <c r="AQ33763" s="31"/>
    </row>
    <row r="33764" spans="43:43" x14ac:dyDescent="0.2">
      <c r="AQ33764" s="31"/>
    </row>
    <row r="33765" spans="43:43" x14ac:dyDescent="0.2">
      <c r="AQ33765" s="31"/>
    </row>
    <row r="33766" spans="43:43" x14ac:dyDescent="0.2">
      <c r="AQ33766" s="31"/>
    </row>
    <row r="33767" spans="43:43" x14ac:dyDescent="0.2">
      <c r="AQ33767" s="31"/>
    </row>
    <row r="33768" spans="43:43" x14ac:dyDescent="0.2">
      <c r="AQ33768" s="31"/>
    </row>
    <row r="33769" spans="43:43" x14ac:dyDescent="0.2">
      <c r="AQ33769" s="31"/>
    </row>
    <row r="33770" spans="43:43" x14ac:dyDescent="0.2">
      <c r="AQ33770" s="31"/>
    </row>
    <row r="33771" spans="43:43" x14ac:dyDescent="0.2">
      <c r="AQ33771" s="31"/>
    </row>
    <row r="33772" spans="43:43" x14ac:dyDescent="0.2">
      <c r="AQ33772" s="31"/>
    </row>
    <row r="33773" spans="43:43" x14ac:dyDescent="0.2">
      <c r="AQ33773" s="31"/>
    </row>
    <row r="33774" spans="43:43" x14ac:dyDescent="0.2">
      <c r="AQ33774" s="31"/>
    </row>
    <row r="33775" spans="43:43" x14ac:dyDescent="0.2">
      <c r="AQ33775" s="31"/>
    </row>
    <row r="33776" spans="43:43" x14ac:dyDescent="0.2">
      <c r="AQ33776" s="31"/>
    </row>
    <row r="33777" spans="43:43" x14ac:dyDescent="0.2">
      <c r="AQ33777" s="31"/>
    </row>
    <row r="33778" spans="43:43" x14ac:dyDescent="0.2">
      <c r="AQ33778" s="31"/>
    </row>
    <row r="33779" spans="43:43" x14ac:dyDescent="0.2">
      <c r="AQ33779" s="31"/>
    </row>
    <row r="33780" spans="43:43" x14ac:dyDescent="0.2">
      <c r="AQ33780" s="31"/>
    </row>
    <row r="33781" spans="43:43" x14ac:dyDescent="0.2">
      <c r="AQ33781" s="31"/>
    </row>
    <row r="33782" spans="43:43" x14ac:dyDescent="0.2">
      <c r="AQ33782" s="31"/>
    </row>
    <row r="33783" spans="43:43" x14ac:dyDescent="0.2">
      <c r="AQ33783" s="31"/>
    </row>
    <row r="33784" spans="43:43" x14ac:dyDescent="0.2">
      <c r="AQ33784" s="31"/>
    </row>
    <row r="33785" spans="43:43" x14ac:dyDescent="0.2">
      <c r="AQ33785" s="31"/>
    </row>
    <row r="33786" spans="43:43" x14ac:dyDescent="0.2">
      <c r="AQ33786" s="31"/>
    </row>
    <row r="33787" spans="43:43" x14ac:dyDescent="0.2">
      <c r="AQ33787" s="31"/>
    </row>
    <row r="33788" spans="43:43" x14ac:dyDescent="0.2">
      <c r="AQ33788" s="31"/>
    </row>
    <row r="33789" spans="43:43" x14ac:dyDescent="0.2">
      <c r="AQ33789" s="31"/>
    </row>
    <row r="33790" spans="43:43" x14ac:dyDescent="0.2">
      <c r="AQ33790" s="31"/>
    </row>
    <row r="33791" spans="43:43" x14ac:dyDescent="0.2">
      <c r="AQ33791" s="31"/>
    </row>
    <row r="33792" spans="43:43" x14ac:dyDescent="0.2">
      <c r="AQ33792" s="31"/>
    </row>
    <row r="33793" spans="43:43" x14ac:dyDescent="0.2">
      <c r="AQ33793" s="31"/>
    </row>
    <row r="33794" spans="43:43" x14ac:dyDescent="0.2">
      <c r="AQ33794" s="31"/>
    </row>
    <row r="33795" spans="43:43" x14ac:dyDescent="0.2">
      <c r="AQ33795" s="31"/>
    </row>
    <row r="33796" spans="43:43" x14ac:dyDescent="0.2">
      <c r="AQ33796" s="31"/>
    </row>
    <row r="33797" spans="43:43" x14ac:dyDescent="0.2">
      <c r="AQ33797" s="31"/>
    </row>
    <row r="33798" spans="43:43" x14ac:dyDescent="0.2">
      <c r="AQ33798" s="31"/>
    </row>
    <row r="33799" spans="43:43" x14ac:dyDescent="0.2">
      <c r="AQ33799" s="31"/>
    </row>
    <row r="33800" spans="43:43" x14ac:dyDescent="0.2">
      <c r="AQ33800" s="31"/>
    </row>
    <row r="33801" spans="43:43" x14ac:dyDescent="0.2">
      <c r="AQ33801" s="31"/>
    </row>
    <row r="33802" spans="43:43" x14ac:dyDescent="0.2">
      <c r="AQ33802" s="31"/>
    </row>
    <row r="33803" spans="43:43" x14ac:dyDescent="0.2">
      <c r="AQ33803" s="31"/>
    </row>
    <row r="33804" spans="43:43" x14ac:dyDescent="0.2">
      <c r="AQ33804" s="31"/>
    </row>
    <row r="33805" spans="43:43" x14ac:dyDescent="0.2">
      <c r="AQ33805" s="31"/>
    </row>
    <row r="33806" spans="43:43" x14ac:dyDescent="0.2">
      <c r="AQ33806" s="31"/>
    </row>
    <row r="33807" spans="43:43" x14ac:dyDescent="0.2">
      <c r="AQ33807" s="31"/>
    </row>
    <row r="33808" spans="43:43" x14ac:dyDescent="0.2">
      <c r="AQ33808" s="31"/>
    </row>
    <row r="33809" spans="43:43" x14ac:dyDescent="0.2">
      <c r="AQ33809" s="31"/>
    </row>
    <row r="33810" spans="43:43" x14ac:dyDescent="0.2">
      <c r="AQ33810" s="31"/>
    </row>
    <row r="33811" spans="43:43" x14ac:dyDescent="0.2">
      <c r="AQ33811" s="31"/>
    </row>
    <row r="33812" spans="43:43" x14ac:dyDescent="0.2">
      <c r="AQ33812" s="31"/>
    </row>
    <row r="33813" spans="43:43" x14ac:dyDescent="0.2">
      <c r="AQ33813" s="31"/>
    </row>
    <row r="33814" spans="43:43" x14ac:dyDescent="0.2">
      <c r="AQ33814" s="31"/>
    </row>
    <row r="33815" spans="43:43" x14ac:dyDescent="0.2">
      <c r="AQ33815" s="31"/>
    </row>
    <row r="33816" spans="43:43" x14ac:dyDescent="0.2">
      <c r="AQ33816" s="31"/>
    </row>
    <row r="33817" spans="43:43" x14ac:dyDescent="0.2">
      <c r="AQ33817" s="31"/>
    </row>
    <row r="33818" spans="43:43" x14ac:dyDescent="0.2">
      <c r="AQ33818" s="31"/>
    </row>
    <row r="33819" spans="43:43" x14ac:dyDescent="0.2">
      <c r="AQ33819" s="31"/>
    </row>
    <row r="33820" spans="43:43" x14ac:dyDescent="0.2">
      <c r="AQ33820" s="31"/>
    </row>
    <row r="33821" spans="43:43" x14ac:dyDescent="0.2">
      <c r="AQ33821" s="31"/>
    </row>
    <row r="33822" spans="43:43" x14ac:dyDescent="0.2">
      <c r="AQ33822" s="31"/>
    </row>
    <row r="33823" spans="43:43" x14ac:dyDescent="0.2">
      <c r="AQ33823" s="31"/>
    </row>
    <row r="33824" spans="43:43" x14ac:dyDescent="0.2">
      <c r="AQ33824" s="31"/>
    </row>
    <row r="33825" spans="43:43" x14ac:dyDescent="0.2">
      <c r="AQ33825" s="31"/>
    </row>
    <row r="33826" spans="43:43" x14ac:dyDescent="0.2">
      <c r="AQ33826" s="31"/>
    </row>
    <row r="33827" spans="43:43" x14ac:dyDescent="0.2">
      <c r="AQ33827" s="31"/>
    </row>
    <row r="33828" spans="43:43" x14ac:dyDescent="0.2">
      <c r="AQ33828" s="31"/>
    </row>
    <row r="33829" spans="43:43" x14ac:dyDescent="0.2">
      <c r="AQ33829" s="31"/>
    </row>
    <row r="33830" spans="43:43" x14ac:dyDescent="0.2">
      <c r="AQ33830" s="31"/>
    </row>
    <row r="33831" spans="43:43" x14ac:dyDescent="0.2">
      <c r="AQ33831" s="31"/>
    </row>
    <row r="33832" spans="43:43" x14ac:dyDescent="0.2">
      <c r="AQ33832" s="31"/>
    </row>
    <row r="33833" spans="43:43" x14ac:dyDescent="0.2">
      <c r="AQ33833" s="31"/>
    </row>
    <row r="33834" spans="43:43" x14ac:dyDescent="0.2">
      <c r="AQ33834" s="31"/>
    </row>
    <row r="33835" spans="43:43" x14ac:dyDescent="0.2">
      <c r="AQ33835" s="31"/>
    </row>
    <row r="33836" spans="43:43" x14ac:dyDescent="0.2">
      <c r="AQ33836" s="31"/>
    </row>
    <row r="33837" spans="43:43" x14ac:dyDescent="0.2">
      <c r="AQ33837" s="31"/>
    </row>
    <row r="33838" spans="43:43" x14ac:dyDescent="0.2">
      <c r="AQ33838" s="31"/>
    </row>
    <row r="33839" spans="43:43" x14ac:dyDescent="0.2">
      <c r="AQ33839" s="31"/>
    </row>
    <row r="33840" spans="43:43" x14ac:dyDescent="0.2">
      <c r="AQ33840" s="31"/>
    </row>
    <row r="33841" spans="43:43" x14ac:dyDescent="0.2">
      <c r="AQ33841" s="31"/>
    </row>
    <row r="33842" spans="43:43" x14ac:dyDescent="0.2">
      <c r="AQ33842" s="31"/>
    </row>
    <row r="33843" spans="43:43" x14ac:dyDescent="0.2">
      <c r="AQ33843" s="31"/>
    </row>
    <row r="33844" spans="43:43" x14ac:dyDescent="0.2">
      <c r="AQ33844" s="31"/>
    </row>
    <row r="33845" spans="43:43" x14ac:dyDescent="0.2">
      <c r="AQ33845" s="31"/>
    </row>
    <row r="33846" spans="43:43" x14ac:dyDescent="0.2">
      <c r="AQ33846" s="31"/>
    </row>
    <row r="33847" spans="43:43" x14ac:dyDescent="0.2">
      <c r="AQ33847" s="31"/>
    </row>
    <row r="33848" spans="43:43" x14ac:dyDescent="0.2">
      <c r="AQ33848" s="31"/>
    </row>
    <row r="33849" spans="43:43" x14ac:dyDescent="0.2">
      <c r="AQ33849" s="31"/>
    </row>
    <row r="33850" spans="43:43" x14ac:dyDescent="0.2">
      <c r="AQ33850" s="31"/>
    </row>
    <row r="33851" spans="43:43" x14ac:dyDescent="0.2">
      <c r="AQ33851" s="31"/>
    </row>
    <row r="33852" spans="43:43" x14ac:dyDescent="0.2">
      <c r="AQ33852" s="31"/>
    </row>
    <row r="33853" spans="43:43" x14ac:dyDescent="0.2">
      <c r="AQ33853" s="31"/>
    </row>
    <row r="33854" spans="43:43" x14ac:dyDescent="0.2">
      <c r="AQ33854" s="31"/>
    </row>
    <row r="33855" spans="43:43" x14ac:dyDescent="0.2">
      <c r="AQ33855" s="31"/>
    </row>
    <row r="33856" spans="43:43" x14ac:dyDescent="0.2">
      <c r="AQ33856" s="31"/>
    </row>
    <row r="33857" spans="43:43" x14ac:dyDescent="0.2">
      <c r="AQ33857" s="31"/>
    </row>
    <row r="33858" spans="43:43" x14ac:dyDescent="0.2">
      <c r="AQ33858" s="31"/>
    </row>
    <row r="33859" spans="43:43" x14ac:dyDescent="0.2">
      <c r="AQ33859" s="31"/>
    </row>
    <row r="33860" spans="43:43" x14ac:dyDescent="0.2">
      <c r="AQ33860" s="31"/>
    </row>
    <row r="33861" spans="43:43" x14ac:dyDescent="0.2">
      <c r="AQ33861" s="31"/>
    </row>
    <row r="33862" spans="43:43" x14ac:dyDescent="0.2">
      <c r="AQ33862" s="31"/>
    </row>
    <row r="33863" spans="43:43" x14ac:dyDescent="0.2">
      <c r="AQ33863" s="31"/>
    </row>
    <row r="33864" spans="43:43" x14ac:dyDescent="0.2">
      <c r="AQ33864" s="31"/>
    </row>
    <row r="33865" spans="43:43" x14ac:dyDescent="0.2">
      <c r="AQ33865" s="31"/>
    </row>
    <row r="33866" spans="43:43" x14ac:dyDescent="0.2">
      <c r="AQ33866" s="31"/>
    </row>
    <row r="33867" spans="43:43" x14ac:dyDescent="0.2">
      <c r="AQ33867" s="31"/>
    </row>
    <row r="33868" spans="43:43" x14ac:dyDescent="0.2">
      <c r="AQ33868" s="31"/>
    </row>
    <row r="33869" spans="43:43" x14ac:dyDescent="0.2">
      <c r="AQ33869" s="31"/>
    </row>
    <row r="33870" spans="43:43" x14ac:dyDescent="0.2">
      <c r="AQ33870" s="31"/>
    </row>
    <row r="33871" spans="43:43" x14ac:dyDescent="0.2">
      <c r="AQ33871" s="31"/>
    </row>
    <row r="33872" spans="43:43" x14ac:dyDescent="0.2">
      <c r="AQ33872" s="31"/>
    </row>
    <row r="33873" spans="43:43" x14ac:dyDescent="0.2">
      <c r="AQ33873" s="31"/>
    </row>
    <row r="33874" spans="43:43" x14ac:dyDescent="0.2">
      <c r="AQ33874" s="31"/>
    </row>
    <row r="33875" spans="43:43" x14ac:dyDescent="0.2">
      <c r="AQ33875" s="31"/>
    </row>
    <row r="33876" spans="43:43" x14ac:dyDescent="0.2">
      <c r="AQ33876" s="31"/>
    </row>
    <row r="33877" spans="43:43" x14ac:dyDescent="0.2">
      <c r="AQ33877" s="31"/>
    </row>
    <row r="33878" spans="43:43" x14ac:dyDescent="0.2">
      <c r="AQ33878" s="31"/>
    </row>
    <row r="33879" spans="43:43" x14ac:dyDescent="0.2">
      <c r="AQ33879" s="31"/>
    </row>
    <row r="33880" spans="43:43" x14ac:dyDescent="0.2">
      <c r="AQ33880" s="31"/>
    </row>
    <row r="33881" spans="43:43" x14ac:dyDescent="0.2">
      <c r="AQ33881" s="31"/>
    </row>
    <row r="33882" spans="43:43" x14ac:dyDescent="0.2">
      <c r="AQ33882" s="31"/>
    </row>
    <row r="33883" spans="43:43" x14ac:dyDescent="0.2">
      <c r="AQ33883" s="31"/>
    </row>
    <row r="33884" spans="43:43" x14ac:dyDescent="0.2">
      <c r="AQ33884" s="31"/>
    </row>
    <row r="33885" spans="43:43" x14ac:dyDescent="0.2">
      <c r="AQ33885" s="31"/>
    </row>
    <row r="33886" spans="43:43" x14ac:dyDescent="0.2">
      <c r="AQ33886" s="31"/>
    </row>
    <row r="33887" spans="43:43" x14ac:dyDescent="0.2">
      <c r="AQ33887" s="31"/>
    </row>
    <row r="33888" spans="43:43" x14ac:dyDescent="0.2">
      <c r="AQ33888" s="31"/>
    </row>
    <row r="33889" spans="43:43" x14ac:dyDescent="0.2">
      <c r="AQ33889" s="31"/>
    </row>
    <row r="33890" spans="43:43" x14ac:dyDescent="0.2">
      <c r="AQ33890" s="31"/>
    </row>
    <row r="33891" spans="43:43" x14ac:dyDescent="0.2">
      <c r="AQ33891" s="31"/>
    </row>
    <row r="33892" spans="43:43" x14ac:dyDescent="0.2">
      <c r="AQ33892" s="31"/>
    </row>
    <row r="33893" spans="43:43" x14ac:dyDescent="0.2">
      <c r="AQ33893" s="31"/>
    </row>
    <row r="33894" spans="43:43" x14ac:dyDescent="0.2">
      <c r="AQ33894" s="31"/>
    </row>
    <row r="33895" spans="43:43" x14ac:dyDescent="0.2">
      <c r="AQ33895" s="31"/>
    </row>
    <row r="33896" spans="43:43" x14ac:dyDescent="0.2">
      <c r="AQ33896" s="31"/>
    </row>
    <row r="33897" spans="43:43" x14ac:dyDescent="0.2">
      <c r="AQ33897" s="31"/>
    </row>
    <row r="33898" spans="43:43" x14ac:dyDescent="0.2">
      <c r="AQ33898" s="31"/>
    </row>
    <row r="33899" spans="43:43" x14ac:dyDescent="0.2">
      <c r="AQ33899" s="31"/>
    </row>
    <row r="33900" spans="43:43" x14ac:dyDescent="0.2">
      <c r="AQ33900" s="31"/>
    </row>
    <row r="33901" spans="43:43" x14ac:dyDescent="0.2">
      <c r="AQ33901" s="31"/>
    </row>
    <row r="33902" spans="43:43" x14ac:dyDescent="0.2">
      <c r="AQ33902" s="31"/>
    </row>
    <row r="33903" spans="43:43" x14ac:dyDescent="0.2">
      <c r="AQ33903" s="31"/>
    </row>
    <row r="33904" spans="43:43" x14ac:dyDescent="0.2">
      <c r="AQ33904" s="31"/>
    </row>
    <row r="33905" spans="43:43" x14ac:dyDescent="0.2">
      <c r="AQ33905" s="31"/>
    </row>
    <row r="33906" spans="43:43" x14ac:dyDescent="0.2">
      <c r="AQ33906" s="31"/>
    </row>
    <row r="33907" spans="43:43" x14ac:dyDescent="0.2">
      <c r="AQ33907" s="31"/>
    </row>
    <row r="33908" spans="43:43" x14ac:dyDescent="0.2">
      <c r="AQ33908" s="31"/>
    </row>
    <row r="33909" spans="43:43" x14ac:dyDescent="0.2">
      <c r="AQ33909" s="31"/>
    </row>
    <row r="33910" spans="43:43" x14ac:dyDescent="0.2">
      <c r="AQ33910" s="31"/>
    </row>
    <row r="33911" spans="43:43" x14ac:dyDescent="0.2">
      <c r="AQ33911" s="31"/>
    </row>
    <row r="33912" spans="43:43" x14ac:dyDescent="0.2">
      <c r="AQ33912" s="31"/>
    </row>
    <row r="33913" spans="43:43" x14ac:dyDescent="0.2">
      <c r="AQ33913" s="31"/>
    </row>
    <row r="33914" spans="43:43" x14ac:dyDescent="0.2">
      <c r="AQ33914" s="31"/>
    </row>
    <row r="33915" spans="43:43" x14ac:dyDescent="0.2">
      <c r="AQ33915" s="31"/>
    </row>
    <row r="33916" spans="43:43" x14ac:dyDescent="0.2">
      <c r="AQ33916" s="31"/>
    </row>
    <row r="33917" spans="43:43" x14ac:dyDescent="0.2">
      <c r="AQ33917" s="31"/>
    </row>
    <row r="33918" spans="43:43" x14ac:dyDescent="0.2">
      <c r="AQ33918" s="31"/>
    </row>
    <row r="33919" spans="43:43" x14ac:dyDescent="0.2">
      <c r="AQ33919" s="31"/>
    </row>
    <row r="33920" spans="43:43" x14ac:dyDescent="0.2">
      <c r="AQ33920" s="31"/>
    </row>
    <row r="33921" spans="43:43" x14ac:dyDescent="0.2">
      <c r="AQ33921" s="31"/>
    </row>
    <row r="33922" spans="43:43" x14ac:dyDescent="0.2">
      <c r="AQ33922" s="31"/>
    </row>
    <row r="33923" spans="43:43" x14ac:dyDescent="0.2">
      <c r="AQ33923" s="31"/>
    </row>
    <row r="33924" spans="43:43" x14ac:dyDescent="0.2">
      <c r="AQ33924" s="31"/>
    </row>
    <row r="33925" spans="43:43" x14ac:dyDescent="0.2">
      <c r="AQ33925" s="31"/>
    </row>
    <row r="33926" spans="43:43" x14ac:dyDescent="0.2">
      <c r="AQ33926" s="31"/>
    </row>
    <row r="33927" spans="43:43" x14ac:dyDescent="0.2">
      <c r="AQ33927" s="31"/>
    </row>
    <row r="33928" spans="43:43" x14ac:dyDescent="0.2">
      <c r="AQ33928" s="31"/>
    </row>
    <row r="33929" spans="43:43" x14ac:dyDescent="0.2">
      <c r="AQ33929" s="31"/>
    </row>
    <row r="33930" spans="43:43" x14ac:dyDescent="0.2">
      <c r="AQ33930" s="31"/>
    </row>
    <row r="33931" spans="43:43" x14ac:dyDescent="0.2">
      <c r="AQ33931" s="31"/>
    </row>
    <row r="33932" spans="43:43" x14ac:dyDescent="0.2">
      <c r="AQ33932" s="31"/>
    </row>
    <row r="33933" spans="43:43" x14ac:dyDescent="0.2">
      <c r="AQ33933" s="31"/>
    </row>
    <row r="33934" spans="43:43" x14ac:dyDescent="0.2">
      <c r="AQ33934" s="31"/>
    </row>
    <row r="33935" spans="43:43" x14ac:dyDescent="0.2">
      <c r="AQ33935" s="31"/>
    </row>
    <row r="33936" spans="43:43" x14ac:dyDescent="0.2">
      <c r="AQ33936" s="31"/>
    </row>
    <row r="33937" spans="43:43" x14ac:dyDescent="0.2">
      <c r="AQ33937" s="31"/>
    </row>
    <row r="33938" spans="43:43" x14ac:dyDescent="0.2">
      <c r="AQ33938" s="31"/>
    </row>
    <row r="33939" spans="43:43" x14ac:dyDescent="0.2">
      <c r="AQ33939" s="31"/>
    </row>
    <row r="33940" spans="43:43" x14ac:dyDescent="0.2">
      <c r="AQ33940" s="31"/>
    </row>
    <row r="33941" spans="43:43" x14ac:dyDescent="0.2">
      <c r="AQ33941" s="31"/>
    </row>
    <row r="33942" spans="43:43" x14ac:dyDescent="0.2">
      <c r="AQ33942" s="31"/>
    </row>
    <row r="33943" spans="43:43" x14ac:dyDescent="0.2">
      <c r="AQ33943" s="31"/>
    </row>
    <row r="33944" spans="43:43" x14ac:dyDescent="0.2">
      <c r="AQ33944" s="31"/>
    </row>
    <row r="33945" spans="43:43" x14ac:dyDescent="0.2">
      <c r="AQ33945" s="31"/>
    </row>
    <row r="33946" spans="43:43" x14ac:dyDescent="0.2">
      <c r="AQ33946" s="31"/>
    </row>
    <row r="33947" spans="43:43" x14ac:dyDescent="0.2">
      <c r="AQ33947" s="31"/>
    </row>
    <row r="33948" spans="43:43" x14ac:dyDescent="0.2">
      <c r="AQ33948" s="31"/>
    </row>
    <row r="33949" spans="43:43" x14ac:dyDescent="0.2">
      <c r="AQ33949" s="31"/>
    </row>
    <row r="33950" spans="43:43" x14ac:dyDescent="0.2">
      <c r="AQ33950" s="31"/>
    </row>
    <row r="33951" spans="43:43" x14ac:dyDescent="0.2">
      <c r="AQ33951" s="31"/>
    </row>
    <row r="33952" spans="43:43" x14ac:dyDescent="0.2">
      <c r="AQ33952" s="31"/>
    </row>
    <row r="33953" spans="43:43" x14ac:dyDescent="0.2">
      <c r="AQ33953" s="31"/>
    </row>
    <row r="33954" spans="43:43" x14ac:dyDescent="0.2">
      <c r="AQ33954" s="31"/>
    </row>
    <row r="33955" spans="43:43" x14ac:dyDescent="0.2">
      <c r="AQ33955" s="31"/>
    </row>
    <row r="33956" spans="43:43" x14ac:dyDescent="0.2">
      <c r="AQ33956" s="31"/>
    </row>
    <row r="33957" spans="43:43" x14ac:dyDescent="0.2">
      <c r="AQ33957" s="31"/>
    </row>
    <row r="33958" spans="43:43" x14ac:dyDescent="0.2">
      <c r="AQ33958" s="31"/>
    </row>
    <row r="33959" spans="43:43" x14ac:dyDescent="0.2">
      <c r="AQ33959" s="31"/>
    </row>
    <row r="33960" spans="43:43" x14ac:dyDescent="0.2">
      <c r="AQ33960" s="31"/>
    </row>
    <row r="33961" spans="43:43" x14ac:dyDescent="0.2">
      <c r="AQ33961" s="31"/>
    </row>
    <row r="33962" spans="43:43" x14ac:dyDescent="0.2">
      <c r="AQ33962" s="31"/>
    </row>
    <row r="33963" spans="43:43" x14ac:dyDescent="0.2">
      <c r="AQ33963" s="31"/>
    </row>
    <row r="33964" spans="43:43" x14ac:dyDescent="0.2">
      <c r="AQ33964" s="31"/>
    </row>
    <row r="33965" spans="43:43" x14ac:dyDescent="0.2">
      <c r="AQ33965" s="31"/>
    </row>
    <row r="33966" spans="43:43" x14ac:dyDescent="0.2">
      <c r="AQ33966" s="31"/>
    </row>
    <row r="33967" spans="43:43" x14ac:dyDescent="0.2">
      <c r="AQ33967" s="31"/>
    </row>
    <row r="33968" spans="43:43" x14ac:dyDescent="0.2">
      <c r="AQ33968" s="31"/>
    </row>
    <row r="33969" spans="43:43" x14ac:dyDescent="0.2">
      <c r="AQ33969" s="31"/>
    </row>
    <row r="33970" spans="43:43" x14ac:dyDescent="0.2">
      <c r="AQ33970" s="31"/>
    </row>
    <row r="33971" spans="43:43" x14ac:dyDescent="0.2">
      <c r="AQ33971" s="31"/>
    </row>
    <row r="33972" spans="43:43" x14ac:dyDescent="0.2">
      <c r="AQ33972" s="31"/>
    </row>
    <row r="33973" spans="43:43" x14ac:dyDescent="0.2">
      <c r="AQ33973" s="31"/>
    </row>
    <row r="33974" spans="43:43" x14ac:dyDescent="0.2">
      <c r="AQ33974" s="31"/>
    </row>
    <row r="33975" spans="43:43" x14ac:dyDescent="0.2">
      <c r="AQ33975" s="31"/>
    </row>
    <row r="33976" spans="43:43" x14ac:dyDescent="0.2">
      <c r="AQ33976" s="31"/>
    </row>
    <row r="33977" spans="43:43" x14ac:dyDescent="0.2">
      <c r="AQ33977" s="31"/>
    </row>
    <row r="33978" spans="43:43" x14ac:dyDescent="0.2">
      <c r="AQ33978" s="31"/>
    </row>
    <row r="33979" spans="43:43" x14ac:dyDescent="0.2">
      <c r="AQ33979" s="31"/>
    </row>
    <row r="33980" spans="43:43" x14ac:dyDescent="0.2">
      <c r="AQ33980" s="31"/>
    </row>
    <row r="33981" spans="43:43" x14ac:dyDescent="0.2">
      <c r="AQ33981" s="31"/>
    </row>
    <row r="33982" spans="43:43" x14ac:dyDescent="0.2">
      <c r="AQ33982" s="31"/>
    </row>
    <row r="33983" spans="43:43" x14ac:dyDescent="0.2">
      <c r="AQ33983" s="31"/>
    </row>
    <row r="33984" spans="43:43" x14ac:dyDescent="0.2">
      <c r="AQ33984" s="31"/>
    </row>
    <row r="33985" spans="43:43" x14ac:dyDescent="0.2">
      <c r="AQ33985" s="31"/>
    </row>
    <row r="33986" spans="43:43" x14ac:dyDescent="0.2">
      <c r="AQ33986" s="31"/>
    </row>
    <row r="33987" spans="43:43" x14ac:dyDescent="0.2">
      <c r="AQ33987" s="31"/>
    </row>
    <row r="33988" spans="43:43" x14ac:dyDescent="0.2">
      <c r="AQ33988" s="31"/>
    </row>
    <row r="33989" spans="43:43" x14ac:dyDescent="0.2">
      <c r="AQ33989" s="31"/>
    </row>
    <row r="33990" spans="43:43" x14ac:dyDescent="0.2">
      <c r="AQ33990" s="31"/>
    </row>
    <row r="33991" spans="43:43" x14ac:dyDescent="0.2">
      <c r="AQ33991" s="31"/>
    </row>
    <row r="33992" spans="43:43" x14ac:dyDescent="0.2">
      <c r="AQ33992" s="31"/>
    </row>
    <row r="33993" spans="43:43" x14ac:dyDescent="0.2">
      <c r="AQ33993" s="31"/>
    </row>
    <row r="33994" spans="43:43" x14ac:dyDescent="0.2">
      <c r="AQ33994" s="31"/>
    </row>
    <row r="33995" spans="43:43" x14ac:dyDescent="0.2">
      <c r="AQ33995" s="31"/>
    </row>
    <row r="33996" spans="43:43" x14ac:dyDescent="0.2">
      <c r="AQ33996" s="31"/>
    </row>
    <row r="33997" spans="43:43" x14ac:dyDescent="0.2">
      <c r="AQ33997" s="31"/>
    </row>
    <row r="33998" spans="43:43" x14ac:dyDescent="0.2">
      <c r="AQ33998" s="31"/>
    </row>
    <row r="33999" spans="43:43" x14ac:dyDescent="0.2">
      <c r="AQ33999" s="31"/>
    </row>
    <row r="34000" spans="43:43" x14ac:dyDescent="0.2">
      <c r="AQ34000" s="31"/>
    </row>
    <row r="34001" spans="43:43" x14ac:dyDescent="0.2">
      <c r="AQ34001" s="31"/>
    </row>
    <row r="34002" spans="43:43" x14ac:dyDescent="0.2">
      <c r="AQ34002" s="31"/>
    </row>
    <row r="34003" spans="43:43" x14ac:dyDescent="0.2">
      <c r="AQ34003" s="31"/>
    </row>
    <row r="34004" spans="43:43" x14ac:dyDescent="0.2">
      <c r="AQ34004" s="31"/>
    </row>
    <row r="34005" spans="43:43" x14ac:dyDescent="0.2">
      <c r="AQ34005" s="31"/>
    </row>
    <row r="34006" spans="43:43" x14ac:dyDescent="0.2">
      <c r="AQ34006" s="31"/>
    </row>
    <row r="34007" spans="43:43" x14ac:dyDescent="0.2">
      <c r="AQ34007" s="31"/>
    </row>
    <row r="34008" spans="43:43" x14ac:dyDescent="0.2">
      <c r="AQ34008" s="31"/>
    </row>
    <row r="34009" spans="43:43" x14ac:dyDescent="0.2">
      <c r="AQ34009" s="31"/>
    </row>
    <row r="34010" spans="43:43" x14ac:dyDescent="0.2">
      <c r="AQ34010" s="31"/>
    </row>
    <row r="34011" spans="43:43" x14ac:dyDescent="0.2">
      <c r="AQ34011" s="31"/>
    </row>
    <row r="34012" spans="43:43" x14ac:dyDescent="0.2">
      <c r="AQ34012" s="31"/>
    </row>
    <row r="34013" spans="43:43" x14ac:dyDescent="0.2">
      <c r="AQ34013" s="31"/>
    </row>
    <row r="34014" spans="43:43" x14ac:dyDescent="0.2">
      <c r="AQ34014" s="31"/>
    </row>
    <row r="34015" spans="43:43" x14ac:dyDescent="0.2">
      <c r="AQ34015" s="31"/>
    </row>
    <row r="34016" spans="43:43" x14ac:dyDescent="0.2">
      <c r="AQ34016" s="31"/>
    </row>
    <row r="34017" spans="43:43" x14ac:dyDescent="0.2">
      <c r="AQ34017" s="31"/>
    </row>
    <row r="34018" spans="43:43" x14ac:dyDescent="0.2">
      <c r="AQ34018" s="31"/>
    </row>
    <row r="34019" spans="43:43" x14ac:dyDescent="0.2">
      <c r="AQ34019" s="31"/>
    </row>
    <row r="34020" spans="43:43" x14ac:dyDescent="0.2">
      <c r="AQ34020" s="31"/>
    </row>
    <row r="34021" spans="43:43" x14ac:dyDescent="0.2">
      <c r="AQ34021" s="31"/>
    </row>
    <row r="34022" spans="43:43" x14ac:dyDescent="0.2">
      <c r="AQ34022" s="31"/>
    </row>
    <row r="34023" spans="43:43" x14ac:dyDescent="0.2">
      <c r="AQ34023" s="31"/>
    </row>
    <row r="34024" spans="43:43" x14ac:dyDescent="0.2">
      <c r="AQ34024" s="31"/>
    </row>
    <row r="34025" spans="43:43" x14ac:dyDescent="0.2">
      <c r="AQ34025" s="31"/>
    </row>
    <row r="34026" spans="43:43" x14ac:dyDescent="0.2">
      <c r="AQ34026" s="31"/>
    </row>
    <row r="34027" spans="43:43" x14ac:dyDescent="0.2">
      <c r="AQ34027" s="31"/>
    </row>
    <row r="34028" spans="43:43" x14ac:dyDescent="0.2">
      <c r="AQ34028" s="31"/>
    </row>
    <row r="34029" spans="43:43" x14ac:dyDescent="0.2">
      <c r="AQ34029" s="31"/>
    </row>
    <row r="34030" spans="43:43" x14ac:dyDescent="0.2">
      <c r="AQ34030" s="31"/>
    </row>
    <row r="34031" spans="43:43" x14ac:dyDescent="0.2">
      <c r="AQ34031" s="31"/>
    </row>
    <row r="34032" spans="43:43" x14ac:dyDescent="0.2">
      <c r="AQ34032" s="31"/>
    </row>
    <row r="34033" spans="43:43" x14ac:dyDescent="0.2">
      <c r="AQ34033" s="31"/>
    </row>
    <row r="34034" spans="43:43" x14ac:dyDescent="0.2">
      <c r="AQ34034" s="31"/>
    </row>
    <row r="34035" spans="43:43" x14ac:dyDescent="0.2">
      <c r="AQ34035" s="31"/>
    </row>
    <row r="34036" spans="43:43" x14ac:dyDescent="0.2">
      <c r="AQ34036" s="31"/>
    </row>
    <row r="34037" spans="43:43" x14ac:dyDescent="0.2">
      <c r="AQ34037" s="31"/>
    </row>
    <row r="34038" spans="43:43" x14ac:dyDescent="0.2">
      <c r="AQ34038" s="31"/>
    </row>
    <row r="34039" spans="43:43" x14ac:dyDescent="0.2">
      <c r="AQ34039" s="31"/>
    </row>
    <row r="34040" spans="43:43" x14ac:dyDescent="0.2">
      <c r="AQ34040" s="31"/>
    </row>
    <row r="34041" spans="43:43" x14ac:dyDescent="0.2">
      <c r="AQ34041" s="31"/>
    </row>
    <row r="34042" spans="43:43" x14ac:dyDescent="0.2">
      <c r="AQ34042" s="31"/>
    </row>
    <row r="34043" spans="43:43" x14ac:dyDescent="0.2">
      <c r="AQ34043" s="31"/>
    </row>
    <row r="34044" spans="43:43" x14ac:dyDescent="0.2">
      <c r="AQ34044" s="31"/>
    </row>
    <row r="34045" spans="43:43" x14ac:dyDescent="0.2">
      <c r="AQ34045" s="31"/>
    </row>
    <row r="34046" spans="43:43" x14ac:dyDescent="0.2">
      <c r="AQ34046" s="31"/>
    </row>
    <row r="34047" spans="43:43" x14ac:dyDescent="0.2">
      <c r="AQ34047" s="31"/>
    </row>
    <row r="34048" spans="43:43" x14ac:dyDescent="0.2">
      <c r="AQ34048" s="31"/>
    </row>
    <row r="34049" spans="43:43" x14ac:dyDescent="0.2">
      <c r="AQ34049" s="31"/>
    </row>
    <row r="34050" spans="43:43" x14ac:dyDescent="0.2">
      <c r="AQ34050" s="31"/>
    </row>
    <row r="34051" spans="43:43" x14ac:dyDescent="0.2">
      <c r="AQ34051" s="31"/>
    </row>
    <row r="34052" spans="43:43" x14ac:dyDescent="0.2">
      <c r="AQ34052" s="31"/>
    </row>
    <row r="34053" spans="43:43" x14ac:dyDescent="0.2">
      <c r="AQ34053" s="31"/>
    </row>
    <row r="34054" spans="43:43" x14ac:dyDescent="0.2">
      <c r="AQ34054" s="31"/>
    </row>
    <row r="34055" spans="43:43" x14ac:dyDescent="0.2">
      <c r="AQ34055" s="31"/>
    </row>
    <row r="34056" spans="43:43" x14ac:dyDescent="0.2">
      <c r="AQ34056" s="31"/>
    </row>
    <row r="34057" spans="43:43" x14ac:dyDescent="0.2">
      <c r="AQ34057" s="31"/>
    </row>
    <row r="34058" spans="43:43" x14ac:dyDescent="0.2">
      <c r="AQ34058" s="31"/>
    </row>
    <row r="34059" spans="43:43" x14ac:dyDescent="0.2">
      <c r="AQ34059" s="31"/>
    </row>
    <row r="34060" spans="43:43" x14ac:dyDescent="0.2">
      <c r="AQ34060" s="31"/>
    </row>
    <row r="34061" spans="43:43" x14ac:dyDescent="0.2">
      <c r="AQ34061" s="31"/>
    </row>
    <row r="34062" spans="43:43" x14ac:dyDescent="0.2">
      <c r="AQ34062" s="31"/>
    </row>
    <row r="34063" spans="43:43" x14ac:dyDescent="0.2">
      <c r="AQ34063" s="31"/>
    </row>
    <row r="34064" spans="43:43" x14ac:dyDescent="0.2">
      <c r="AQ34064" s="31"/>
    </row>
    <row r="34065" spans="43:43" x14ac:dyDescent="0.2">
      <c r="AQ34065" s="31"/>
    </row>
    <row r="34066" spans="43:43" x14ac:dyDescent="0.2">
      <c r="AQ34066" s="31"/>
    </row>
    <row r="34067" spans="43:43" x14ac:dyDescent="0.2">
      <c r="AQ34067" s="31"/>
    </row>
    <row r="34068" spans="43:43" x14ac:dyDescent="0.2">
      <c r="AQ34068" s="31"/>
    </row>
    <row r="34069" spans="43:43" x14ac:dyDescent="0.2">
      <c r="AQ34069" s="31"/>
    </row>
    <row r="34070" spans="43:43" x14ac:dyDescent="0.2">
      <c r="AQ34070" s="31"/>
    </row>
    <row r="34071" spans="43:43" x14ac:dyDescent="0.2">
      <c r="AQ34071" s="31"/>
    </row>
    <row r="34072" spans="43:43" x14ac:dyDescent="0.2">
      <c r="AQ34072" s="31"/>
    </row>
    <row r="34073" spans="43:43" x14ac:dyDescent="0.2">
      <c r="AQ34073" s="31"/>
    </row>
    <row r="34074" spans="43:43" x14ac:dyDescent="0.2">
      <c r="AQ34074" s="31"/>
    </row>
    <row r="34075" spans="43:43" x14ac:dyDescent="0.2">
      <c r="AQ34075" s="31"/>
    </row>
    <row r="34076" spans="43:43" x14ac:dyDescent="0.2">
      <c r="AQ34076" s="31"/>
    </row>
    <row r="34077" spans="43:43" x14ac:dyDescent="0.2">
      <c r="AQ34077" s="31"/>
    </row>
    <row r="34078" spans="43:43" x14ac:dyDescent="0.2">
      <c r="AQ34078" s="31"/>
    </row>
    <row r="34079" spans="43:43" x14ac:dyDescent="0.2">
      <c r="AQ34079" s="31"/>
    </row>
    <row r="34080" spans="43:43" x14ac:dyDescent="0.2">
      <c r="AQ34080" s="31"/>
    </row>
    <row r="34081" spans="43:43" x14ac:dyDescent="0.2">
      <c r="AQ34081" s="31"/>
    </row>
    <row r="34082" spans="43:43" x14ac:dyDescent="0.2">
      <c r="AQ34082" s="31"/>
    </row>
    <row r="34083" spans="43:43" x14ac:dyDescent="0.2">
      <c r="AQ34083" s="31"/>
    </row>
    <row r="34084" spans="43:43" x14ac:dyDescent="0.2">
      <c r="AQ34084" s="31"/>
    </row>
    <row r="34085" spans="43:43" x14ac:dyDescent="0.2">
      <c r="AQ34085" s="31"/>
    </row>
    <row r="34086" spans="43:43" x14ac:dyDescent="0.2">
      <c r="AQ34086" s="31"/>
    </row>
    <row r="34087" spans="43:43" x14ac:dyDescent="0.2">
      <c r="AQ34087" s="31"/>
    </row>
    <row r="34088" spans="43:43" x14ac:dyDescent="0.2">
      <c r="AQ34088" s="31"/>
    </row>
    <row r="34089" spans="43:43" x14ac:dyDescent="0.2">
      <c r="AQ34089" s="31"/>
    </row>
    <row r="34090" spans="43:43" x14ac:dyDescent="0.2">
      <c r="AQ34090" s="31"/>
    </row>
    <row r="34091" spans="43:43" x14ac:dyDescent="0.2">
      <c r="AQ34091" s="31"/>
    </row>
    <row r="34092" spans="43:43" x14ac:dyDescent="0.2">
      <c r="AQ34092" s="31"/>
    </row>
    <row r="34093" spans="43:43" x14ac:dyDescent="0.2">
      <c r="AQ34093" s="31"/>
    </row>
    <row r="34094" spans="43:43" x14ac:dyDescent="0.2">
      <c r="AQ34094" s="31"/>
    </row>
    <row r="34095" spans="43:43" x14ac:dyDescent="0.2">
      <c r="AQ34095" s="31"/>
    </row>
    <row r="34096" spans="43:43" x14ac:dyDescent="0.2">
      <c r="AQ34096" s="31"/>
    </row>
    <row r="34097" spans="43:43" x14ac:dyDescent="0.2">
      <c r="AQ34097" s="31"/>
    </row>
    <row r="34098" spans="43:43" x14ac:dyDescent="0.2">
      <c r="AQ34098" s="31"/>
    </row>
    <row r="34099" spans="43:43" x14ac:dyDescent="0.2">
      <c r="AQ34099" s="31"/>
    </row>
    <row r="34100" spans="43:43" x14ac:dyDescent="0.2">
      <c r="AQ34100" s="31"/>
    </row>
    <row r="34101" spans="43:43" x14ac:dyDescent="0.2">
      <c r="AQ34101" s="31"/>
    </row>
    <row r="34102" spans="43:43" x14ac:dyDescent="0.2">
      <c r="AQ34102" s="31"/>
    </row>
    <row r="34103" spans="43:43" x14ac:dyDescent="0.2">
      <c r="AQ34103" s="31"/>
    </row>
    <row r="34104" spans="43:43" x14ac:dyDescent="0.2">
      <c r="AQ34104" s="31"/>
    </row>
    <row r="34105" spans="43:43" x14ac:dyDescent="0.2">
      <c r="AQ34105" s="31"/>
    </row>
    <row r="34106" spans="43:43" x14ac:dyDescent="0.2">
      <c r="AQ34106" s="31"/>
    </row>
    <row r="34107" spans="43:43" x14ac:dyDescent="0.2">
      <c r="AQ34107" s="31"/>
    </row>
    <row r="34108" spans="43:43" x14ac:dyDescent="0.2">
      <c r="AQ34108" s="31"/>
    </row>
    <row r="34109" spans="43:43" x14ac:dyDescent="0.2">
      <c r="AQ34109" s="31"/>
    </row>
    <row r="34110" spans="43:43" x14ac:dyDescent="0.2">
      <c r="AQ34110" s="31"/>
    </row>
    <row r="34111" spans="43:43" x14ac:dyDescent="0.2">
      <c r="AQ34111" s="31"/>
    </row>
    <row r="34112" spans="43:43" x14ac:dyDescent="0.2">
      <c r="AQ34112" s="31"/>
    </row>
    <row r="34113" spans="43:43" x14ac:dyDescent="0.2">
      <c r="AQ34113" s="31"/>
    </row>
    <row r="34114" spans="43:43" x14ac:dyDescent="0.2">
      <c r="AQ34114" s="31"/>
    </row>
    <row r="34115" spans="43:43" x14ac:dyDescent="0.2">
      <c r="AQ34115" s="31"/>
    </row>
    <row r="34116" spans="43:43" x14ac:dyDescent="0.2">
      <c r="AQ34116" s="31"/>
    </row>
    <row r="34117" spans="43:43" x14ac:dyDescent="0.2">
      <c r="AQ34117" s="31"/>
    </row>
    <row r="34118" spans="43:43" x14ac:dyDescent="0.2">
      <c r="AQ34118" s="31"/>
    </row>
    <row r="34119" spans="43:43" x14ac:dyDescent="0.2">
      <c r="AQ34119" s="31"/>
    </row>
    <row r="34120" spans="43:43" x14ac:dyDescent="0.2">
      <c r="AQ34120" s="31"/>
    </row>
    <row r="34121" spans="43:43" x14ac:dyDescent="0.2">
      <c r="AQ34121" s="31"/>
    </row>
    <row r="34122" spans="43:43" x14ac:dyDescent="0.2">
      <c r="AQ34122" s="31"/>
    </row>
    <row r="34123" spans="43:43" x14ac:dyDescent="0.2">
      <c r="AQ34123" s="31"/>
    </row>
    <row r="34124" spans="43:43" x14ac:dyDescent="0.2">
      <c r="AQ34124" s="31"/>
    </row>
    <row r="34125" spans="43:43" x14ac:dyDescent="0.2">
      <c r="AQ34125" s="31"/>
    </row>
    <row r="34126" spans="43:43" x14ac:dyDescent="0.2">
      <c r="AQ34126" s="31"/>
    </row>
    <row r="34127" spans="43:43" x14ac:dyDescent="0.2">
      <c r="AQ34127" s="31"/>
    </row>
    <row r="34128" spans="43:43" x14ac:dyDescent="0.2">
      <c r="AQ34128" s="31"/>
    </row>
    <row r="34129" spans="43:43" x14ac:dyDescent="0.2">
      <c r="AQ34129" s="31"/>
    </row>
    <row r="34130" spans="43:43" x14ac:dyDescent="0.2">
      <c r="AQ34130" s="31"/>
    </row>
    <row r="34131" spans="43:43" x14ac:dyDescent="0.2">
      <c r="AQ34131" s="31"/>
    </row>
    <row r="34132" spans="43:43" x14ac:dyDescent="0.2">
      <c r="AQ34132" s="31"/>
    </row>
    <row r="34133" spans="43:43" x14ac:dyDescent="0.2">
      <c r="AQ34133" s="31"/>
    </row>
    <row r="34134" spans="43:43" x14ac:dyDescent="0.2">
      <c r="AQ34134" s="31"/>
    </row>
    <row r="34135" spans="43:43" x14ac:dyDescent="0.2">
      <c r="AQ34135" s="31"/>
    </row>
    <row r="34136" spans="43:43" x14ac:dyDescent="0.2">
      <c r="AQ34136" s="31"/>
    </row>
    <row r="34137" spans="43:43" x14ac:dyDescent="0.2">
      <c r="AQ34137" s="31"/>
    </row>
    <row r="34138" spans="43:43" x14ac:dyDescent="0.2">
      <c r="AQ34138" s="31"/>
    </row>
    <row r="34139" spans="43:43" x14ac:dyDescent="0.2">
      <c r="AQ34139" s="31"/>
    </row>
    <row r="34140" spans="43:43" x14ac:dyDescent="0.2">
      <c r="AQ34140" s="31"/>
    </row>
    <row r="34141" spans="43:43" x14ac:dyDescent="0.2">
      <c r="AQ34141" s="31"/>
    </row>
    <row r="34142" spans="43:43" x14ac:dyDescent="0.2">
      <c r="AQ34142" s="31"/>
    </row>
    <row r="34143" spans="43:43" x14ac:dyDescent="0.2">
      <c r="AQ34143" s="31"/>
    </row>
    <row r="34144" spans="43:43" x14ac:dyDescent="0.2">
      <c r="AQ34144" s="31"/>
    </row>
    <row r="34145" spans="43:43" x14ac:dyDescent="0.2">
      <c r="AQ34145" s="31"/>
    </row>
    <row r="34146" spans="43:43" x14ac:dyDescent="0.2">
      <c r="AQ34146" s="31"/>
    </row>
    <row r="34147" spans="43:43" x14ac:dyDescent="0.2">
      <c r="AQ34147" s="31"/>
    </row>
    <row r="34148" spans="43:43" x14ac:dyDescent="0.2">
      <c r="AQ34148" s="31"/>
    </row>
    <row r="34149" spans="43:43" x14ac:dyDescent="0.2">
      <c r="AQ34149" s="31"/>
    </row>
    <row r="34150" spans="43:43" x14ac:dyDescent="0.2">
      <c r="AQ34150" s="31"/>
    </row>
    <row r="34151" spans="43:43" x14ac:dyDescent="0.2">
      <c r="AQ34151" s="31"/>
    </row>
    <row r="34152" spans="43:43" x14ac:dyDescent="0.2">
      <c r="AQ34152" s="31"/>
    </row>
    <row r="34153" spans="43:43" x14ac:dyDescent="0.2">
      <c r="AQ34153" s="31"/>
    </row>
    <row r="34154" spans="43:43" x14ac:dyDescent="0.2">
      <c r="AQ34154" s="31"/>
    </row>
    <row r="34155" spans="43:43" x14ac:dyDescent="0.2">
      <c r="AQ34155" s="31"/>
    </row>
    <row r="34156" spans="43:43" x14ac:dyDescent="0.2">
      <c r="AQ34156" s="31"/>
    </row>
    <row r="34157" spans="43:43" x14ac:dyDescent="0.2">
      <c r="AQ34157" s="31"/>
    </row>
    <row r="34158" spans="43:43" x14ac:dyDescent="0.2">
      <c r="AQ34158" s="31"/>
    </row>
    <row r="34159" spans="43:43" x14ac:dyDescent="0.2">
      <c r="AQ34159" s="31"/>
    </row>
    <row r="34160" spans="43:43" x14ac:dyDescent="0.2">
      <c r="AQ34160" s="31"/>
    </row>
    <row r="34161" spans="43:43" x14ac:dyDescent="0.2">
      <c r="AQ34161" s="31"/>
    </row>
    <row r="34162" spans="43:43" x14ac:dyDescent="0.2">
      <c r="AQ34162" s="31"/>
    </row>
    <row r="34163" spans="43:43" x14ac:dyDescent="0.2">
      <c r="AQ34163" s="31"/>
    </row>
    <row r="34164" spans="43:43" x14ac:dyDescent="0.2">
      <c r="AQ34164" s="31"/>
    </row>
    <row r="34165" spans="43:43" x14ac:dyDescent="0.2">
      <c r="AQ34165" s="31"/>
    </row>
    <row r="34166" spans="43:43" x14ac:dyDescent="0.2">
      <c r="AQ34166" s="31"/>
    </row>
    <row r="34167" spans="43:43" x14ac:dyDescent="0.2">
      <c r="AQ34167" s="31"/>
    </row>
    <row r="34168" spans="43:43" x14ac:dyDescent="0.2">
      <c r="AQ34168" s="31"/>
    </row>
    <row r="34169" spans="43:43" x14ac:dyDescent="0.2">
      <c r="AQ34169" s="31"/>
    </row>
    <row r="34170" spans="43:43" x14ac:dyDescent="0.2">
      <c r="AQ34170" s="31"/>
    </row>
    <row r="34171" spans="43:43" x14ac:dyDescent="0.2">
      <c r="AQ34171" s="31"/>
    </row>
    <row r="34172" spans="43:43" x14ac:dyDescent="0.2">
      <c r="AQ34172" s="31"/>
    </row>
    <row r="34173" spans="43:43" x14ac:dyDescent="0.2">
      <c r="AQ34173" s="31"/>
    </row>
    <row r="34174" spans="43:43" x14ac:dyDescent="0.2">
      <c r="AQ34174" s="31"/>
    </row>
    <row r="34175" spans="43:43" x14ac:dyDescent="0.2">
      <c r="AQ34175" s="31"/>
    </row>
    <row r="34176" spans="43:43" x14ac:dyDescent="0.2">
      <c r="AQ34176" s="31"/>
    </row>
    <row r="34177" spans="43:43" x14ac:dyDescent="0.2">
      <c r="AQ34177" s="31"/>
    </row>
    <row r="34178" spans="43:43" x14ac:dyDescent="0.2">
      <c r="AQ34178" s="31"/>
    </row>
    <row r="34179" spans="43:43" x14ac:dyDescent="0.2">
      <c r="AQ34179" s="31"/>
    </row>
    <row r="34180" spans="43:43" x14ac:dyDescent="0.2">
      <c r="AQ34180" s="31"/>
    </row>
    <row r="34181" spans="43:43" x14ac:dyDescent="0.2">
      <c r="AQ34181" s="31"/>
    </row>
    <row r="34182" spans="43:43" x14ac:dyDescent="0.2">
      <c r="AQ34182" s="31"/>
    </row>
    <row r="34183" spans="43:43" x14ac:dyDescent="0.2">
      <c r="AQ34183" s="31"/>
    </row>
    <row r="34184" spans="43:43" x14ac:dyDescent="0.2">
      <c r="AQ34184" s="31"/>
    </row>
    <row r="34185" spans="43:43" x14ac:dyDescent="0.2">
      <c r="AQ34185" s="31"/>
    </row>
    <row r="34186" spans="43:43" x14ac:dyDescent="0.2">
      <c r="AQ34186" s="31"/>
    </row>
    <row r="34187" spans="43:43" x14ac:dyDescent="0.2">
      <c r="AQ34187" s="31"/>
    </row>
    <row r="34188" spans="43:43" x14ac:dyDescent="0.2">
      <c r="AQ34188" s="31"/>
    </row>
    <row r="34189" spans="43:43" x14ac:dyDescent="0.2">
      <c r="AQ34189" s="31"/>
    </row>
    <row r="34190" spans="43:43" x14ac:dyDescent="0.2">
      <c r="AQ34190" s="31"/>
    </row>
    <row r="34191" spans="43:43" x14ac:dyDescent="0.2">
      <c r="AQ34191" s="31"/>
    </row>
    <row r="34192" spans="43:43" x14ac:dyDescent="0.2">
      <c r="AQ34192" s="31"/>
    </row>
    <row r="34193" spans="43:43" x14ac:dyDescent="0.2">
      <c r="AQ34193" s="31"/>
    </row>
    <row r="34194" spans="43:43" x14ac:dyDescent="0.2">
      <c r="AQ34194" s="31"/>
    </row>
    <row r="34195" spans="43:43" x14ac:dyDescent="0.2">
      <c r="AQ34195" s="31"/>
    </row>
    <row r="34196" spans="43:43" x14ac:dyDescent="0.2">
      <c r="AQ34196" s="31"/>
    </row>
    <row r="34197" spans="43:43" x14ac:dyDescent="0.2">
      <c r="AQ34197" s="31"/>
    </row>
    <row r="34198" spans="43:43" x14ac:dyDescent="0.2">
      <c r="AQ34198" s="31"/>
    </row>
    <row r="34199" spans="43:43" x14ac:dyDescent="0.2">
      <c r="AQ34199" s="31"/>
    </row>
    <row r="34200" spans="43:43" x14ac:dyDescent="0.2">
      <c r="AQ34200" s="31"/>
    </row>
    <row r="34201" spans="43:43" x14ac:dyDescent="0.2">
      <c r="AQ34201" s="31"/>
    </row>
    <row r="34202" spans="43:43" x14ac:dyDescent="0.2">
      <c r="AQ34202" s="31"/>
    </row>
    <row r="34203" spans="43:43" x14ac:dyDescent="0.2">
      <c r="AQ34203" s="31"/>
    </row>
    <row r="34204" spans="43:43" x14ac:dyDescent="0.2">
      <c r="AQ34204" s="31"/>
    </row>
    <row r="34205" spans="43:43" x14ac:dyDescent="0.2">
      <c r="AQ34205" s="31"/>
    </row>
    <row r="34206" spans="43:43" x14ac:dyDescent="0.2">
      <c r="AQ34206" s="31"/>
    </row>
    <row r="34207" spans="43:43" x14ac:dyDescent="0.2">
      <c r="AQ34207" s="31"/>
    </row>
    <row r="34208" spans="43:43" x14ac:dyDescent="0.2">
      <c r="AQ34208" s="31"/>
    </row>
    <row r="34209" spans="43:43" x14ac:dyDescent="0.2">
      <c r="AQ34209" s="31"/>
    </row>
    <row r="34210" spans="43:43" x14ac:dyDescent="0.2">
      <c r="AQ34210" s="31"/>
    </row>
    <row r="34211" spans="43:43" x14ac:dyDescent="0.2">
      <c r="AQ34211" s="31"/>
    </row>
    <row r="34212" spans="43:43" x14ac:dyDescent="0.2">
      <c r="AQ34212" s="31"/>
    </row>
    <row r="34213" spans="43:43" x14ac:dyDescent="0.2">
      <c r="AQ34213" s="31"/>
    </row>
    <row r="34214" spans="43:43" x14ac:dyDescent="0.2">
      <c r="AQ34214" s="31"/>
    </row>
    <row r="34215" spans="43:43" x14ac:dyDescent="0.2">
      <c r="AQ34215" s="31"/>
    </row>
    <row r="34216" spans="43:43" x14ac:dyDescent="0.2">
      <c r="AQ34216" s="31"/>
    </row>
    <row r="34217" spans="43:43" x14ac:dyDescent="0.2">
      <c r="AQ34217" s="31"/>
    </row>
    <row r="34218" spans="43:43" x14ac:dyDescent="0.2">
      <c r="AQ34218" s="31"/>
    </row>
    <row r="34219" spans="43:43" x14ac:dyDescent="0.2">
      <c r="AQ34219" s="31"/>
    </row>
    <row r="34220" spans="43:43" x14ac:dyDescent="0.2">
      <c r="AQ34220" s="31"/>
    </row>
    <row r="34221" spans="43:43" x14ac:dyDescent="0.2">
      <c r="AQ34221" s="31"/>
    </row>
    <row r="34222" spans="43:43" x14ac:dyDescent="0.2">
      <c r="AQ34222" s="31"/>
    </row>
    <row r="34223" spans="43:43" x14ac:dyDescent="0.2">
      <c r="AQ34223" s="31"/>
    </row>
    <row r="34224" spans="43:43" x14ac:dyDescent="0.2">
      <c r="AQ34224" s="31"/>
    </row>
    <row r="34225" spans="43:43" x14ac:dyDescent="0.2">
      <c r="AQ34225" s="31"/>
    </row>
    <row r="34226" spans="43:43" x14ac:dyDescent="0.2">
      <c r="AQ34226" s="31"/>
    </row>
    <row r="34227" spans="43:43" x14ac:dyDescent="0.2">
      <c r="AQ34227" s="31"/>
    </row>
    <row r="34228" spans="43:43" x14ac:dyDescent="0.2">
      <c r="AQ34228" s="31"/>
    </row>
    <row r="34229" spans="43:43" x14ac:dyDescent="0.2">
      <c r="AQ34229" s="31"/>
    </row>
    <row r="34230" spans="43:43" x14ac:dyDescent="0.2">
      <c r="AQ34230" s="31"/>
    </row>
    <row r="34231" spans="43:43" x14ac:dyDescent="0.2">
      <c r="AQ34231" s="31"/>
    </row>
    <row r="34232" spans="43:43" x14ac:dyDescent="0.2">
      <c r="AQ34232" s="31"/>
    </row>
    <row r="34233" spans="43:43" x14ac:dyDescent="0.2">
      <c r="AQ34233" s="31"/>
    </row>
    <row r="34234" spans="43:43" x14ac:dyDescent="0.2">
      <c r="AQ34234" s="31"/>
    </row>
    <row r="34235" spans="43:43" x14ac:dyDescent="0.2">
      <c r="AQ34235" s="31"/>
    </row>
    <row r="34236" spans="43:43" x14ac:dyDescent="0.2">
      <c r="AQ34236" s="31"/>
    </row>
    <row r="34237" spans="43:43" x14ac:dyDescent="0.2">
      <c r="AQ34237" s="31"/>
    </row>
    <row r="34238" spans="43:43" x14ac:dyDescent="0.2">
      <c r="AQ34238" s="31"/>
    </row>
    <row r="34239" spans="43:43" x14ac:dyDescent="0.2">
      <c r="AQ34239" s="31"/>
    </row>
    <row r="34240" spans="43:43" x14ac:dyDescent="0.2">
      <c r="AQ34240" s="31"/>
    </row>
    <row r="34241" spans="43:43" x14ac:dyDescent="0.2">
      <c r="AQ34241" s="31"/>
    </row>
    <row r="34242" spans="43:43" x14ac:dyDescent="0.2">
      <c r="AQ34242" s="31"/>
    </row>
    <row r="34243" spans="43:43" x14ac:dyDescent="0.2">
      <c r="AQ34243" s="31"/>
    </row>
    <row r="34244" spans="43:43" x14ac:dyDescent="0.2">
      <c r="AQ34244" s="31"/>
    </row>
    <row r="34245" spans="43:43" x14ac:dyDescent="0.2">
      <c r="AQ34245" s="31"/>
    </row>
    <row r="34246" spans="43:43" x14ac:dyDescent="0.2">
      <c r="AQ34246" s="31"/>
    </row>
    <row r="34247" spans="43:43" x14ac:dyDescent="0.2">
      <c r="AQ34247" s="31"/>
    </row>
    <row r="34248" spans="43:43" x14ac:dyDescent="0.2">
      <c r="AQ34248" s="31"/>
    </row>
    <row r="34249" spans="43:43" x14ac:dyDescent="0.2">
      <c r="AQ34249" s="31"/>
    </row>
    <row r="34250" spans="43:43" x14ac:dyDescent="0.2">
      <c r="AQ34250" s="31"/>
    </row>
    <row r="34251" spans="43:43" x14ac:dyDescent="0.2">
      <c r="AQ34251" s="31"/>
    </row>
    <row r="34252" spans="43:43" x14ac:dyDescent="0.2">
      <c r="AQ34252" s="31"/>
    </row>
    <row r="34253" spans="43:43" x14ac:dyDescent="0.2">
      <c r="AQ34253" s="31"/>
    </row>
    <row r="34254" spans="43:43" x14ac:dyDescent="0.2">
      <c r="AQ34254" s="31"/>
    </row>
    <row r="34255" spans="43:43" x14ac:dyDescent="0.2">
      <c r="AQ34255" s="31"/>
    </row>
    <row r="34256" spans="43:43" x14ac:dyDescent="0.2">
      <c r="AQ34256" s="31"/>
    </row>
    <row r="34257" spans="43:43" x14ac:dyDescent="0.2">
      <c r="AQ34257" s="31"/>
    </row>
    <row r="34258" spans="43:43" x14ac:dyDescent="0.2">
      <c r="AQ34258" s="31"/>
    </row>
    <row r="34259" spans="43:43" x14ac:dyDescent="0.2">
      <c r="AQ34259" s="31"/>
    </row>
    <row r="34260" spans="43:43" x14ac:dyDescent="0.2">
      <c r="AQ34260" s="31"/>
    </row>
    <row r="34261" spans="43:43" x14ac:dyDescent="0.2">
      <c r="AQ34261" s="31"/>
    </row>
    <row r="34262" spans="43:43" x14ac:dyDescent="0.2">
      <c r="AQ34262" s="31"/>
    </row>
    <row r="34263" spans="43:43" x14ac:dyDescent="0.2">
      <c r="AQ34263" s="31"/>
    </row>
    <row r="34264" spans="43:43" x14ac:dyDescent="0.2">
      <c r="AQ34264" s="31"/>
    </row>
    <row r="34265" spans="43:43" x14ac:dyDescent="0.2">
      <c r="AQ34265" s="31"/>
    </row>
    <row r="34266" spans="43:43" x14ac:dyDescent="0.2">
      <c r="AQ34266" s="31"/>
    </row>
    <row r="34267" spans="43:43" x14ac:dyDescent="0.2">
      <c r="AQ34267" s="31"/>
    </row>
    <row r="34268" spans="43:43" x14ac:dyDescent="0.2">
      <c r="AQ34268" s="31"/>
    </row>
    <row r="34269" spans="43:43" x14ac:dyDescent="0.2">
      <c r="AQ34269" s="31"/>
    </row>
    <row r="34270" spans="43:43" x14ac:dyDescent="0.2">
      <c r="AQ34270" s="31"/>
    </row>
    <row r="34271" spans="43:43" x14ac:dyDescent="0.2">
      <c r="AQ34271" s="31"/>
    </row>
    <row r="34272" spans="43:43" x14ac:dyDescent="0.2">
      <c r="AQ34272" s="31"/>
    </row>
    <row r="34273" spans="43:43" x14ac:dyDescent="0.2">
      <c r="AQ34273" s="31"/>
    </row>
    <row r="34274" spans="43:43" x14ac:dyDescent="0.2">
      <c r="AQ34274" s="31"/>
    </row>
    <row r="34275" spans="43:43" x14ac:dyDescent="0.2">
      <c r="AQ34275" s="31"/>
    </row>
    <row r="34276" spans="43:43" x14ac:dyDescent="0.2">
      <c r="AQ34276" s="31"/>
    </row>
    <row r="34277" spans="43:43" x14ac:dyDescent="0.2">
      <c r="AQ34277" s="31"/>
    </row>
    <row r="34278" spans="43:43" x14ac:dyDescent="0.2">
      <c r="AQ34278" s="31"/>
    </row>
    <row r="34279" spans="43:43" x14ac:dyDescent="0.2">
      <c r="AQ34279" s="31"/>
    </row>
    <row r="34280" spans="43:43" x14ac:dyDescent="0.2">
      <c r="AQ34280" s="31"/>
    </row>
    <row r="34281" spans="43:43" x14ac:dyDescent="0.2">
      <c r="AQ34281" s="31"/>
    </row>
    <row r="34282" spans="43:43" x14ac:dyDescent="0.2">
      <c r="AQ34282" s="31"/>
    </row>
    <row r="34283" spans="43:43" x14ac:dyDescent="0.2">
      <c r="AQ34283" s="31"/>
    </row>
    <row r="34284" spans="43:43" x14ac:dyDescent="0.2">
      <c r="AQ34284" s="31"/>
    </row>
    <row r="34285" spans="43:43" x14ac:dyDescent="0.2">
      <c r="AQ34285" s="31"/>
    </row>
    <row r="34286" spans="43:43" x14ac:dyDescent="0.2">
      <c r="AQ34286" s="31"/>
    </row>
    <row r="34287" spans="43:43" x14ac:dyDescent="0.2">
      <c r="AQ34287" s="31"/>
    </row>
    <row r="34288" spans="43:43" x14ac:dyDescent="0.2">
      <c r="AQ34288" s="31"/>
    </row>
    <row r="34289" spans="43:43" x14ac:dyDescent="0.2">
      <c r="AQ34289" s="31"/>
    </row>
    <row r="34290" spans="43:43" x14ac:dyDescent="0.2">
      <c r="AQ34290" s="31"/>
    </row>
    <row r="34291" spans="43:43" x14ac:dyDescent="0.2">
      <c r="AQ34291" s="31"/>
    </row>
    <row r="34292" spans="43:43" x14ac:dyDescent="0.2">
      <c r="AQ34292" s="31"/>
    </row>
    <row r="34293" spans="43:43" x14ac:dyDescent="0.2">
      <c r="AQ34293" s="31"/>
    </row>
    <row r="34294" spans="43:43" x14ac:dyDescent="0.2">
      <c r="AQ34294" s="31"/>
    </row>
    <row r="34295" spans="43:43" x14ac:dyDescent="0.2">
      <c r="AQ34295" s="31"/>
    </row>
    <row r="34296" spans="43:43" x14ac:dyDescent="0.2">
      <c r="AQ34296" s="31"/>
    </row>
    <row r="34297" spans="43:43" x14ac:dyDescent="0.2">
      <c r="AQ34297" s="31"/>
    </row>
    <row r="34298" spans="43:43" x14ac:dyDescent="0.2">
      <c r="AQ34298" s="31"/>
    </row>
    <row r="34299" spans="43:43" x14ac:dyDescent="0.2">
      <c r="AQ34299" s="31"/>
    </row>
    <row r="34300" spans="43:43" x14ac:dyDescent="0.2">
      <c r="AQ34300" s="31"/>
    </row>
    <row r="34301" spans="43:43" x14ac:dyDescent="0.2">
      <c r="AQ34301" s="31"/>
    </row>
    <row r="34302" spans="43:43" x14ac:dyDescent="0.2">
      <c r="AQ34302" s="31"/>
    </row>
    <row r="34303" spans="43:43" x14ac:dyDescent="0.2">
      <c r="AQ34303" s="31"/>
    </row>
    <row r="34304" spans="43:43" x14ac:dyDescent="0.2">
      <c r="AQ34304" s="31"/>
    </row>
    <row r="34305" spans="43:43" x14ac:dyDescent="0.2">
      <c r="AQ34305" s="31"/>
    </row>
    <row r="34306" spans="43:43" x14ac:dyDescent="0.2">
      <c r="AQ34306" s="31"/>
    </row>
    <row r="34307" spans="43:43" x14ac:dyDescent="0.2">
      <c r="AQ34307" s="31"/>
    </row>
    <row r="34308" spans="43:43" x14ac:dyDescent="0.2">
      <c r="AQ34308" s="31"/>
    </row>
    <row r="34309" spans="43:43" x14ac:dyDescent="0.2">
      <c r="AQ34309" s="31"/>
    </row>
    <row r="34310" spans="43:43" x14ac:dyDescent="0.2">
      <c r="AQ34310" s="31"/>
    </row>
    <row r="34311" spans="43:43" x14ac:dyDescent="0.2">
      <c r="AQ34311" s="31"/>
    </row>
    <row r="34312" spans="43:43" x14ac:dyDescent="0.2">
      <c r="AQ34312" s="31"/>
    </row>
    <row r="34313" spans="43:43" x14ac:dyDescent="0.2">
      <c r="AQ34313" s="31"/>
    </row>
    <row r="34314" spans="43:43" x14ac:dyDescent="0.2">
      <c r="AQ34314" s="31"/>
    </row>
    <row r="34315" spans="43:43" x14ac:dyDescent="0.2">
      <c r="AQ34315" s="31"/>
    </row>
    <row r="34316" spans="43:43" x14ac:dyDescent="0.2">
      <c r="AQ34316" s="31"/>
    </row>
    <row r="34317" spans="43:43" x14ac:dyDescent="0.2">
      <c r="AQ34317" s="31"/>
    </row>
    <row r="34318" spans="43:43" x14ac:dyDescent="0.2">
      <c r="AQ34318" s="31"/>
    </row>
    <row r="34319" spans="43:43" x14ac:dyDescent="0.2">
      <c r="AQ34319" s="31"/>
    </row>
    <row r="34320" spans="43:43" x14ac:dyDescent="0.2">
      <c r="AQ34320" s="31"/>
    </row>
    <row r="34321" spans="43:43" x14ac:dyDescent="0.2">
      <c r="AQ34321" s="31"/>
    </row>
    <row r="34322" spans="43:43" x14ac:dyDescent="0.2">
      <c r="AQ34322" s="31"/>
    </row>
    <row r="34323" spans="43:43" x14ac:dyDescent="0.2">
      <c r="AQ34323" s="31"/>
    </row>
    <row r="34324" spans="43:43" x14ac:dyDescent="0.2">
      <c r="AQ34324" s="31"/>
    </row>
    <row r="34325" spans="43:43" x14ac:dyDescent="0.2">
      <c r="AQ34325" s="31"/>
    </row>
    <row r="34326" spans="43:43" x14ac:dyDescent="0.2">
      <c r="AQ34326" s="31"/>
    </row>
    <row r="34327" spans="43:43" x14ac:dyDescent="0.2">
      <c r="AQ34327" s="31"/>
    </row>
    <row r="34328" spans="43:43" x14ac:dyDescent="0.2">
      <c r="AQ34328" s="31"/>
    </row>
    <row r="34329" spans="43:43" x14ac:dyDescent="0.2">
      <c r="AQ34329" s="31"/>
    </row>
    <row r="34330" spans="43:43" x14ac:dyDescent="0.2">
      <c r="AQ34330" s="31"/>
    </row>
    <row r="34331" spans="43:43" x14ac:dyDescent="0.2">
      <c r="AQ34331" s="31"/>
    </row>
    <row r="34332" spans="43:43" x14ac:dyDescent="0.2">
      <c r="AQ34332" s="31"/>
    </row>
    <row r="34333" spans="43:43" x14ac:dyDescent="0.2">
      <c r="AQ34333" s="31"/>
    </row>
    <row r="34334" spans="43:43" x14ac:dyDescent="0.2">
      <c r="AQ34334" s="31"/>
    </row>
    <row r="34335" spans="43:43" x14ac:dyDescent="0.2">
      <c r="AQ34335" s="31"/>
    </row>
    <row r="34336" spans="43:43" x14ac:dyDescent="0.2">
      <c r="AQ34336" s="31"/>
    </row>
    <row r="34337" spans="43:43" x14ac:dyDescent="0.2">
      <c r="AQ34337" s="31"/>
    </row>
    <row r="34338" spans="43:43" x14ac:dyDescent="0.2">
      <c r="AQ34338" s="31"/>
    </row>
    <row r="34339" spans="43:43" x14ac:dyDescent="0.2">
      <c r="AQ34339" s="31"/>
    </row>
    <row r="34340" spans="43:43" x14ac:dyDescent="0.2">
      <c r="AQ34340" s="31"/>
    </row>
    <row r="34341" spans="43:43" x14ac:dyDescent="0.2">
      <c r="AQ34341" s="31"/>
    </row>
    <row r="34342" spans="43:43" x14ac:dyDescent="0.2">
      <c r="AQ34342" s="31"/>
    </row>
    <row r="34343" spans="43:43" x14ac:dyDescent="0.2">
      <c r="AQ34343" s="31"/>
    </row>
    <row r="34344" spans="43:43" x14ac:dyDescent="0.2">
      <c r="AQ34344" s="31"/>
    </row>
    <row r="34345" spans="43:43" x14ac:dyDescent="0.2">
      <c r="AQ34345" s="31"/>
    </row>
    <row r="34346" spans="43:43" x14ac:dyDescent="0.2">
      <c r="AQ34346" s="31"/>
    </row>
    <row r="34347" spans="43:43" x14ac:dyDescent="0.2">
      <c r="AQ34347" s="31"/>
    </row>
    <row r="34348" spans="43:43" x14ac:dyDescent="0.2">
      <c r="AQ34348" s="31"/>
    </row>
    <row r="34349" spans="43:43" x14ac:dyDescent="0.2">
      <c r="AQ34349" s="31"/>
    </row>
    <row r="34350" spans="43:43" x14ac:dyDescent="0.2">
      <c r="AQ34350" s="31"/>
    </row>
    <row r="34351" spans="43:43" x14ac:dyDescent="0.2">
      <c r="AQ34351" s="31"/>
    </row>
    <row r="34352" spans="43:43" x14ac:dyDescent="0.2">
      <c r="AQ34352" s="31"/>
    </row>
    <row r="34353" spans="43:43" x14ac:dyDescent="0.2">
      <c r="AQ34353" s="31"/>
    </row>
    <row r="34354" spans="43:43" x14ac:dyDescent="0.2">
      <c r="AQ34354" s="31"/>
    </row>
    <row r="34355" spans="43:43" x14ac:dyDescent="0.2">
      <c r="AQ34355" s="31"/>
    </row>
    <row r="34356" spans="43:43" x14ac:dyDescent="0.2">
      <c r="AQ34356" s="31"/>
    </row>
    <row r="34357" spans="43:43" x14ac:dyDescent="0.2">
      <c r="AQ34357" s="31"/>
    </row>
    <row r="34358" spans="43:43" x14ac:dyDescent="0.2">
      <c r="AQ34358" s="31"/>
    </row>
    <row r="34359" spans="43:43" x14ac:dyDescent="0.2">
      <c r="AQ34359" s="31"/>
    </row>
    <row r="34360" spans="43:43" x14ac:dyDescent="0.2">
      <c r="AQ34360" s="31"/>
    </row>
    <row r="34361" spans="43:43" x14ac:dyDescent="0.2">
      <c r="AQ34361" s="31"/>
    </row>
    <row r="34362" spans="43:43" x14ac:dyDescent="0.2">
      <c r="AQ34362" s="31"/>
    </row>
    <row r="34363" spans="43:43" x14ac:dyDescent="0.2">
      <c r="AQ34363" s="31"/>
    </row>
    <row r="34364" spans="43:43" x14ac:dyDescent="0.2">
      <c r="AQ34364" s="31"/>
    </row>
    <row r="34365" spans="43:43" x14ac:dyDescent="0.2">
      <c r="AQ34365" s="31"/>
    </row>
    <row r="34366" spans="43:43" x14ac:dyDescent="0.2">
      <c r="AQ34366" s="31"/>
    </row>
    <row r="34367" spans="43:43" x14ac:dyDescent="0.2">
      <c r="AQ34367" s="31"/>
    </row>
    <row r="34368" spans="43:43" x14ac:dyDescent="0.2">
      <c r="AQ34368" s="31"/>
    </row>
    <row r="34369" spans="43:43" x14ac:dyDescent="0.2">
      <c r="AQ34369" s="31"/>
    </row>
    <row r="34370" spans="43:43" x14ac:dyDescent="0.2">
      <c r="AQ34370" s="31"/>
    </row>
    <row r="34371" spans="43:43" x14ac:dyDescent="0.2">
      <c r="AQ34371" s="31"/>
    </row>
    <row r="34372" spans="43:43" x14ac:dyDescent="0.2">
      <c r="AQ34372" s="31"/>
    </row>
    <row r="34373" spans="43:43" x14ac:dyDescent="0.2">
      <c r="AQ34373" s="31"/>
    </row>
    <row r="34374" spans="43:43" x14ac:dyDescent="0.2">
      <c r="AQ34374" s="31"/>
    </row>
    <row r="34375" spans="43:43" x14ac:dyDescent="0.2">
      <c r="AQ34375" s="31"/>
    </row>
    <row r="34376" spans="43:43" x14ac:dyDescent="0.2">
      <c r="AQ34376" s="31"/>
    </row>
    <row r="34377" spans="43:43" x14ac:dyDescent="0.2">
      <c r="AQ34377" s="31"/>
    </row>
    <row r="34378" spans="43:43" x14ac:dyDescent="0.2">
      <c r="AQ34378" s="31"/>
    </row>
    <row r="34379" spans="43:43" x14ac:dyDescent="0.2">
      <c r="AQ34379" s="31"/>
    </row>
    <row r="34380" spans="43:43" x14ac:dyDescent="0.2">
      <c r="AQ34380" s="31"/>
    </row>
    <row r="34381" spans="43:43" x14ac:dyDescent="0.2">
      <c r="AQ34381" s="31"/>
    </row>
    <row r="34382" spans="43:43" x14ac:dyDescent="0.2">
      <c r="AQ34382" s="31"/>
    </row>
    <row r="34383" spans="43:43" x14ac:dyDescent="0.2">
      <c r="AQ34383" s="31"/>
    </row>
    <row r="34384" spans="43:43" x14ac:dyDescent="0.2">
      <c r="AQ34384" s="31"/>
    </row>
    <row r="34385" spans="43:43" x14ac:dyDescent="0.2">
      <c r="AQ34385" s="31"/>
    </row>
    <row r="34386" spans="43:43" x14ac:dyDescent="0.2">
      <c r="AQ34386" s="31"/>
    </row>
    <row r="34387" spans="43:43" x14ac:dyDescent="0.2">
      <c r="AQ34387" s="31"/>
    </row>
    <row r="34388" spans="43:43" x14ac:dyDescent="0.2">
      <c r="AQ34388" s="31"/>
    </row>
    <row r="34389" spans="43:43" x14ac:dyDescent="0.2">
      <c r="AQ34389" s="31"/>
    </row>
    <row r="34390" spans="43:43" x14ac:dyDescent="0.2">
      <c r="AQ34390" s="31"/>
    </row>
    <row r="34391" spans="43:43" x14ac:dyDescent="0.2">
      <c r="AQ34391" s="31"/>
    </row>
    <row r="34392" spans="43:43" x14ac:dyDescent="0.2">
      <c r="AQ34392" s="31"/>
    </row>
    <row r="34393" spans="43:43" x14ac:dyDescent="0.2">
      <c r="AQ34393" s="31"/>
    </row>
    <row r="34394" spans="43:43" x14ac:dyDescent="0.2">
      <c r="AQ34394" s="31"/>
    </row>
    <row r="34395" spans="43:43" x14ac:dyDescent="0.2">
      <c r="AQ34395" s="31"/>
    </row>
    <row r="34396" spans="43:43" x14ac:dyDescent="0.2">
      <c r="AQ34396" s="31"/>
    </row>
    <row r="34397" spans="43:43" x14ac:dyDescent="0.2">
      <c r="AQ34397" s="31"/>
    </row>
    <row r="34398" spans="43:43" x14ac:dyDescent="0.2">
      <c r="AQ34398" s="31"/>
    </row>
    <row r="34399" spans="43:43" x14ac:dyDescent="0.2">
      <c r="AQ34399" s="31"/>
    </row>
    <row r="34400" spans="43:43" x14ac:dyDescent="0.2">
      <c r="AQ34400" s="31"/>
    </row>
    <row r="34401" spans="43:43" x14ac:dyDescent="0.2">
      <c r="AQ34401" s="31"/>
    </row>
    <row r="34402" spans="43:43" x14ac:dyDescent="0.2">
      <c r="AQ34402" s="31"/>
    </row>
    <row r="34403" spans="43:43" x14ac:dyDescent="0.2">
      <c r="AQ34403" s="31"/>
    </row>
    <row r="34404" spans="43:43" x14ac:dyDescent="0.2">
      <c r="AQ34404" s="31"/>
    </row>
    <row r="34405" spans="43:43" x14ac:dyDescent="0.2">
      <c r="AQ34405" s="31"/>
    </row>
    <row r="34406" spans="43:43" x14ac:dyDescent="0.2">
      <c r="AQ34406" s="31"/>
    </row>
    <row r="34407" spans="43:43" x14ac:dyDescent="0.2">
      <c r="AQ34407" s="31"/>
    </row>
    <row r="34408" spans="43:43" x14ac:dyDescent="0.2">
      <c r="AQ34408" s="31"/>
    </row>
    <row r="34409" spans="43:43" x14ac:dyDescent="0.2">
      <c r="AQ34409" s="31"/>
    </row>
    <row r="34410" spans="43:43" x14ac:dyDescent="0.2">
      <c r="AQ34410" s="31"/>
    </row>
    <row r="34411" spans="43:43" x14ac:dyDescent="0.2">
      <c r="AQ34411" s="31"/>
    </row>
    <row r="34412" spans="43:43" x14ac:dyDescent="0.2">
      <c r="AQ34412" s="31"/>
    </row>
    <row r="34413" spans="43:43" x14ac:dyDescent="0.2">
      <c r="AQ34413" s="31"/>
    </row>
    <row r="34414" spans="43:43" x14ac:dyDescent="0.2">
      <c r="AQ34414" s="31"/>
    </row>
    <row r="34415" spans="43:43" x14ac:dyDescent="0.2">
      <c r="AQ34415" s="31"/>
    </row>
    <row r="34416" spans="43:43" x14ac:dyDescent="0.2">
      <c r="AQ34416" s="31"/>
    </row>
    <row r="34417" spans="43:43" x14ac:dyDescent="0.2">
      <c r="AQ34417" s="31"/>
    </row>
    <row r="34418" spans="43:43" x14ac:dyDescent="0.2">
      <c r="AQ34418" s="31"/>
    </row>
    <row r="34419" spans="43:43" x14ac:dyDescent="0.2">
      <c r="AQ34419" s="31"/>
    </row>
    <row r="34420" spans="43:43" x14ac:dyDescent="0.2">
      <c r="AQ34420" s="31"/>
    </row>
    <row r="34421" spans="43:43" x14ac:dyDescent="0.2">
      <c r="AQ34421" s="31"/>
    </row>
    <row r="34422" spans="43:43" x14ac:dyDescent="0.2">
      <c r="AQ34422" s="31"/>
    </row>
    <row r="34423" spans="43:43" x14ac:dyDescent="0.2">
      <c r="AQ34423" s="31"/>
    </row>
    <row r="34424" spans="43:43" x14ac:dyDescent="0.2">
      <c r="AQ34424" s="31"/>
    </row>
    <row r="34425" spans="43:43" x14ac:dyDescent="0.2">
      <c r="AQ34425" s="31"/>
    </row>
    <row r="34426" spans="43:43" x14ac:dyDescent="0.2">
      <c r="AQ34426" s="31"/>
    </row>
    <row r="34427" spans="43:43" x14ac:dyDescent="0.2">
      <c r="AQ34427" s="31"/>
    </row>
    <row r="34428" spans="43:43" x14ac:dyDescent="0.2">
      <c r="AQ34428" s="31"/>
    </row>
    <row r="34429" spans="43:43" x14ac:dyDescent="0.2">
      <c r="AQ34429" s="31"/>
    </row>
    <row r="34430" spans="43:43" x14ac:dyDescent="0.2">
      <c r="AQ34430" s="31"/>
    </row>
    <row r="34431" spans="43:43" x14ac:dyDescent="0.2">
      <c r="AQ34431" s="31"/>
    </row>
    <row r="34432" spans="43:43" x14ac:dyDescent="0.2">
      <c r="AQ34432" s="31"/>
    </row>
    <row r="34433" spans="43:43" x14ac:dyDescent="0.2">
      <c r="AQ34433" s="31"/>
    </row>
    <row r="34434" spans="43:43" x14ac:dyDescent="0.2">
      <c r="AQ34434" s="31"/>
    </row>
    <row r="34435" spans="43:43" x14ac:dyDescent="0.2">
      <c r="AQ34435" s="31"/>
    </row>
    <row r="34436" spans="43:43" x14ac:dyDescent="0.2">
      <c r="AQ34436" s="31"/>
    </row>
    <row r="34437" spans="43:43" x14ac:dyDescent="0.2">
      <c r="AQ34437" s="31"/>
    </row>
    <row r="34438" spans="43:43" x14ac:dyDescent="0.2">
      <c r="AQ34438" s="31"/>
    </row>
    <row r="34439" spans="43:43" x14ac:dyDescent="0.2">
      <c r="AQ34439" s="31"/>
    </row>
    <row r="34440" spans="43:43" x14ac:dyDescent="0.2">
      <c r="AQ34440" s="31"/>
    </row>
    <row r="34441" spans="43:43" x14ac:dyDescent="0.2">
      <c r="AQ34441" s="31"/>
    </row>
    <row r="34442" spans="43:43" x14ac:dyDescent="0.2">
      <c r="AQ34442" s="31"/>
    </row>
    <row r="34443" spans="43:43" x14ac:dyDescent="0.2">
      <c r="AQ34443" s="31"/>
    </row>
    <row r="34444" spans="43:43" x14ac:dyDescent="0.2">
      <c r="AQ34444" s="31"/>
    </row>
    <row r="34445" spans="43:43" x14ac:dyDescent="0.2">
      <c r="AQ34445" s="31"/>
    </row>
    <row r="34446" spans="43:43" x14ac:dyDescent="0.2">
      <c r="AQ34446" s="31"/>
    </row>
    <row r="34447" spans="43:43" x14ac:dyDescent="0.2">
      <c r="AQ34447" s="31"/>
    </row>
    <row r="34448" spans="43:43" x14ac:dyDescent="0.2">
      <c r="AQ34448" s="31"/>
    </row>
    <row r="34449" spans="43:43" x14ac:dyDescent="0.2">
      <c r="AQ34449" s="31"/>
    </row>
    <row r="34450" spans="43:43" x14ac:dyDescent="0.2">
      <c r="AQ34450" s="31"/>
    </row>
    <row r="34451" spans="43:43" x14ac:dyDescent="0.2">
      <c r="AQ34451" s="31"/>
    </row>
    <row r="34452" spans="43:43" x14ac:dyDescent="0.2">
      <c r="AQ34452" s="31"/>
    </row>
    <row r="34453" spans="43:43" x14ac:dyDescent="0.2">
      <c r="AQ34453" s="31"/>
    </row>
    <row r="34454" spans="43:43" x14ac:dyDescent="0.2">
      <c r="AQ34454" s="31"/>
    </row>
    <row r="34455" spans="43:43" x14ac:dyDescent="0.2">
      <c r="AQ34455" s="31"/>
    </row>
    <row r="34456" spans="43:43" x14ac:dyDescent="0.2">
      <c r="AQ34456" s="31"/>
    </row>
    <row r="34457" spans="43:43" x14ac:dyDescent="0.2">
      <c r="AQ34457" s="31"/>
    </row>
    <row r="34458" spans="43:43" x14ac:dyDescent="0.2">
      <c r="AQ34458" s="31"/>
    </row>
    <row r="34459" spans="43:43" x14ac:dyDescent="0.2">
      <c r="AQ34459" s="31"/>
    </row>
    <row r="34460" spans="43:43" x14ac:dyDescent="0.2">
      <c r="AQ34460" s="31"/>
    </row>
    <row r="34461" spans="43:43" x14ac:dyDescent="0.2">
      <c r="AQ34461" s="31"/>
    </row>
    <row r="34462" spans="43:43" x14ac:dyDescent="0.2">
      <c r="AQ34462" s="31"/>
    </row>
    <row r="34463" spans="43:43" x14ac:dyDescent="0.2">
      <c r="AQ34463" s="31"/>
    </row>
    <row r="34464" spans="43:43" x14ac:dyDescent="0.2">
      <c r="AQ34464" s="31"/>
    </row>
    <row r="34465" spans="43:43" x14ac:dyDescent="0.2">
      <c r="AQ34465" s="31"/>
    </row>
    <row r="34466" spans="43:43" x14ac:dyDescent="0.2">
      <c r="AQ34466" s="31"/>
    </row>
    <row r="34467" spans="43:43" x14ac:dyDescent="0.2">
      <c r="AQ34467" s="31"/>
    </row>
    <row r="34468" spans="43:43" x14ac:dyDescent="0.2">
      <c r="AQ34468" s="31"/>
    </row>
    <row r="34469" spans="43:43" x14ac:dyDescent="0.2">
      <c r="AQ34469" s="31"/>
    </row>
    <row r="34470" spans="43:43" x14ac:dyDescent="0.2">
      <c r="AQ34470" s="31"/>
    </row>
    <row r="34471" spans="43:43" x14ac:dyDescent="0.2">
      <c r="AQ34471" s="31"/>
    </row>
    <row r="34472" spans="43:43" x14ac:dyDescent="0.2">
      <c r="AQ34472" s="31"/>
    </row>
    <row r="34473" spans="43:43" x14ac:dyDescent="0.2">
      <c r="AQ34473" s="31"/>
    </row>
    <row r="34474" spans="43:43" x14ac:dyDescent="0.2">
      <c r="AQ34474" s="31"/>
    </row>
    <row r="34475" spans="43:43" x14ac:dyDescent="0.2">
      <c r="AQ34475" s="31"/>
    </row>
    <row r="34476" spans="43:43" x14ac:dyDescent="0.2">
      <c r="AQ34476" s="31"/>
    </row>
    <row r="34477" spans="43:43" x14ac:dyDescent="0.2">
      <c r="AQ34477" s="31"/>
    </row>
    <row r="34478" spans="43:43" x14ac:dyDescent="0.2">
      <c r="AQ34478" s="31"/>
    </row>
    <row r="34479" spans="43:43" x14ac:dyDescent="0.2">
      <c r="AQ34479" s="31"/>
    </row>
    <row r="34480" spans="43:43" x14ac:dyDescent="0.2">
      <c r="AQ34480" s="31"/>
    </row>
    <row r="34481" spans="43:43" x14ac:dyDescent="0.2">
      <c r="AQ34481" s="31"/>
    </row>
    <row r="34482" spans="43:43" x14ac:dyDescent="0.2">
      <c r="AQ34482" s="31"/>
    </row>
    <row r="34483" spans="43:43" x14ac:dyDescent="0.2">
      <c r="AQ34483" s="31"/>
    </row>
    <row r="34484" spans="43:43" x14ac:dyDescent="0.2">
      <c r="AQ34484" s="31"/>
    </row>
    <row r="34485" spans="43:43" x14ac:dyDescent="0.2">
      <c r="AQ34485" s="31"/>
    </row>
    <row r="34486" spans="43:43" x14ac:dyDescent="0.2">
      <c r="AQ34486" s="31"/>
    </row>
    <row r="34487" spans="43:43" x14ac:dyDescent="0.2">
      <c r="AQ34487" s="31"/>
    </row>
    <row r="34488" spans="43:43" x14ac:dyDescent="0.2">
      <c r="AQ34488" s="31"/>
    </row>
    <row r="34489" spans="43:43" x14ac:dyDescent="0.2">
      <c r="AQ34489" s="31"/>
    </row>
    <row r="34490" spans="43:43" x14ac:dyDescent="0.2">
      <c r="AQ34490" s="31"/>
    </row>
    <row r="34491" spans="43:43" x14ac:dyDescent="0.2">
      <c r="AQ34491" s="31"/>
    </row>
    <row r="34492" spans="43:43" x14ac:dyDescent="0.2">
      <c r="AQ34492" s="31"/>
    </row>
    <row r="34493" spans="43:43" x14ac:dyDescent="0.2">
      <c r="AQ34493" s="31"/>
    </row>
    <row r="34494" spans="43:43" x14ac:dyDescent="0.2">
      <c r="AQ34494" s="31"/>
    </row>
    <row r="34495" spans="43:43" x14ac:dyDescent="0.2">
      <c r="AQ34495" s="31"/>
    </row>
    <row r="34496" spans="43:43" x14ac:dyDescent="0.2">
      <c r="AQ34496" s="31"/>
    </row>
    <row r="34497" spans="43:43" x14ac:dyDescent="0.2">
      <c r="AQ34497" s="31"/>
    </row>
    <row r="34498" spans="43:43" x14ac:dyDescent="0.2">
      <c r="AQ34498" s="31"/>
    </row>
    <row r="34499" spans="43:43" x14ac:dyDescent="0.2">
      <c r="AQ34499" s="31"/>
    </row>
    <row r="34500" spans="43:43" x14ac:dyDescent="0.2">
      <c r="AQ34500" s="31"/>
    </row>
    <row r="34501" spans="43:43" x14ac:dyDescent="0.2">
      <c r="AQ34501" s="31"/>
    </row>
    <row r="34502" spans="43:43" x14ac:dyDescent="0.2">
      <c r="AQ34502" s="31"/>
    </row>
    <row r="34503" spans="43:43" x14ac:dyDescent="0.2">
      <c r="AQ34503" s="31"/>
    </row>
    <row r="34504" spans="43:43" x14ac:dyDescent="0.2">
      <c r="AQ34504" s="31"/>
    </row>
    <row r="34505" spans="43:43" x14ac:dyDescent="0.2">
      <c r="AQ34505" s="31"/>
    </row>
    <row r="34506" spans="43:43" x14ac:dyDescent="0.2">
      <c r="AQ34506" s="31"/>
    </row>
    <row r="34507" spans="43:43" x14ac:dyDescent="0.2">
      <c r="AQ34507" s="31"/>
    </row>
    <row r="34508" spans="43:43" x14ac:dyDescent="0.2">
      <c r="AQ34508" s="31"/>
    </row>
    <row r="34509" spans="43:43" x14ac:dyDescent="0.2">
      <c r="AQ34509" s="31"/>
    </row>
    <row r="34510" spans="43:43" x14ac:dyDescent="0.2">
      <c r="AQ34510" s="31"/>
    </row>
    <row r="34511" spans="43:43" x14ac:dyDescent="0.2">
      <c r="AQ34511" s="31"/>
    </row>
    <row r="34512" spans="43:43" x14ac:dyDescent="0.2">
      <c r="AQ34512" s="31"/>
    </row>
    <row r="34513" spans="43:43" x14ac:dyDescent="0.2">
      <c r="AQ34513" s="31"/>
    </row>
    <row r="34514" spans="43:43" x14ac:dyDescent="0.2">
      <c r="AQ34514" s="31"/>
    </row>
    <row r="34515" spans="43:43" x14ac:dyDescent="0.2">
      <c r="AQ34515" s="31"/>
    </row>
    <row r="34516" spans="43:43" x14ac:dyDescent="0.2">
      <c r="AQ34516" s="31"/>
    </row>
    <row r="34517" spans="43:43" x14ac:dyDescent="0.2">
      <c r="AQ34517" s="31"/>
    </row>
    <row r="34518" spans="43:43" x14ac:dyDescent="0.2">
      <c r="AQ34518" s="31"/>
    </row>
    <row r="34519" spans="43:43" x14ac:dyDescent="0.2">
      <c r="AQ34519" s="31"/>
    </row>
    <row r="34520" spans="43:43" x14ac:dyDescent="0.2">
      <c r="AQ34520" s="31"/>
    </row>
    <row r="34521" spans="43:43" x14ac:dyDescent="0.2">
      <c r="AQ34521" s="31"/>
    </row>
    <row r="34522" spans="43:43" x14ac:dyDescent="0.2">
      <c r="AQ34522" s="31"/>
    </row>
    <row r="34523" spans="43:43" x14ac:dyDescent="0.2">
      <c r="AQ34523" s="31"/>
    </row>
    <row r="34524" spans="43:43" x14ac:dyDescent="0.2">
      <c r="AQ34524" s="31"/>
    </row>
    <row r="34525" spans="43:43" x14ac:dyDescent="0.2">
      <c r="AQ34525" s="31"/>
    </row>
    <row r="34526" spans="43:43" x14ac:dyDescent="0.2">
      <c r="AQ34526" s="31"/>
    </row>
    <row r="34527" spans="43:43" x14ac:dyDescent="0.2">
      <c r="AQ34527" s="31"/>
    </row>
    <row r="34528" spans="43:43" x14ac:dyDescent="0.2">
      <c r="AQ34528" s="31"/>
    </row>
    <row r="34529" spans="43:43" x14ac:dyDescent="0.2">
      <c r="AQ34529" s="31"/>
    </row>
    <row r="34530" spans="43:43" x14ac:dyDescent="0.2">
      <c r="AQ34530" s="31"/>
    </row>
    <row r="34531" spans="43:43" x14ac:dyDescent="0.2">
      <c r="AQ34531" s="31"/>
    </row>
    <row r="34532" spans="43:43" x14ac:dyDescent="0.2">
      <c r="AQ34532" s="31"/>
    </row>
    <row r="34533" spans="43:43" x14ac:dyDescent="0.2">
      <c r="AQ34533" s="31"/>
    </row>
    <row r="34534" spans="43:43" x14ac:dyDescent="0.2">
      <c r="AQ34534" s="31"/>
    </row>
    <row r="34535" spans="43:43" x14ac:dyDescent="0.2">
      <c r="AQ34535" s="31"/>
    </row>
    <row r="34536" spans="43:43" x14ac:dyDescent="0.2">
      <c r="AQ34536" s="31"/>
    </row>
    <row r="34537" spans="43:43" x14ac:dyDescent="0.2">
      <c r="AQ34537" s="31"/>
    </row>
    <row r="34538" spans="43:43" x14ac:dyDescent="0.2">
      <c r="AQ34538" s="31"/>
    </row>
    <row r="34539" spans="43:43" x14ac:dyDescent="0.2">
      <c r="AQ34539" s="31"/>
    </row>
    <row r="34540" spans="43:43" x14ac:dyDescent="0.2">
      <c r="AQ34540" s="31"/>
    </row>
    <row r="34541" spans="43:43" x14ac:dyDescent="0.2">
      <c r="AQ34541" s="31"/>
    </row>
    <row r="34542" spans="43:43" x14ac:dyDescent="0.2">
      <c r="AQ34542" s="31"/>
    </row>
    <row r="34543" spans="43:43" x14ac:dyDescent="0.2">
      <c r="AQ34543" s="31"/>
    </row>
    <row r="34544" spans="43:43" x14ac:dyDescent="0.2">
      <c r="AQ34544" s="31"/>
    </row>
    <row r="34545" spans="43:43" x14ac:dyDescent="0.2">
      <c r="AQ34545" s="31"/>
    </row>
    <row r="34546" spans="43:43" x14ac:dyDescent="0.2">
      <c r="AQ34546" s="31"/>
    </row>
    <row r="34547" spans="43:43" x14ac:dyDescent="0.2">
      <c r="AQ34547" s="31"/>
    </row>
    <row r="34548" spans="43:43" x14ac:dyDescent="0.2">
      <c r="AQ34548" s="31"/>
    </row>
    <row r="34549" spans="43:43" x14ac:dyDescent="0.2">
      <c r="AQ34549" s="31"/>
    </row>
    <row r="34550" spans="43:43" x14ac:dyDescent="0.2">
      <c r="AQ34550" s="31"/>
    </row>
    <row r="34551" spans="43:43" x14ac:dyDescent="0.2">
      <c r="AQ34551" s="31"/>
    </row>
    <row r="34552" spans="43:43" x14ac:dyDescent="0.2">
      <c r="AQ34552" s="31"/>
    </row>
    <row r="34553" spans="43:43" x14ac:dyDescent="0.2">
      <c r="AQ34553" s="31"/>
    </row>
    <row r="34554" spans="43:43" x14ac:dyDescent="0.2">
      <c r="AQ34554" s="31"/>
    </row>
    <row r="34555" spans="43:43" x14ac:dyDescent="0.2">
      <c r="AQ34555" s="31"/>
    </row>
    <row r="34556" spans="43:43" x14ac:dyDescent="0.2">
      <c r="AQ34556" s="31"/>
    </row>
    <row r="34557" spans="43:43" x14ac:dyDescent="0.2">
      <c r="AQ34557" s="31"/>
    </row>
    <row r="34558" spans="43:43" x14ac:dyDescent="0.2">
      <c r="AQ34558" s="31"/>
    </row>
    <row r="34559" spans="43:43" x14ac:dyDescent="0.2">
      <c r="AQ34559" s="31"/>
    </row>
    <row r="34560" spans="43:43" x14ac:dyDescent="0.2">
      <c r="AQ34560" s="31"/>
    </row>
    <row r="34561" spans="43:43" x14ac:dyDescent="0.2">
      <c r="AQ34561" s="31"/>
    </row>
    <row r="34562" spans="43:43" x14ac:dyDescent="0.2">
      <c r="AQ34562" s="31"/>
    </row>
    <row r="34563" spans="43:43" x14ac:dyDescent="0.2">
      <c r="AQ34563" s="31"/>
    </row>
    <row r="34564" spans="43:43" x14ac:dyDescent="0.2">
      <c r="AQ34564" s="31"/>
    </row>
    <row r="34565" spans="43:43" x14ac:dyDescent="0.2">
      <c r="AQ34565" s="31"/>
    </row>
    <row r="34566" spans="43:43" x14ac:dyDescent="0.2">
      <c r="AQ34566" s="31"/>
    </row>
    <row r="34567" spans="43:43" x14ac:dyDescent="0.2">
      <c r="AQ34567" s="31"/>
    </row>
    <row r="34568" spans="43:43" x14ac:dyDescent="0.2">
      <c r="AQ34568" s="31"/>
    </row>
    <row r="34569" spans="43:43" x14ac:dyDescent="0.2">
      <c r="AQ34569" s="31"/>
    </row>
    <row r="34570" spans="43:43" x14ac:dyDescent="0.2">
      <c r="AQ34570" s="31"/>
    </row>
    <row r="34571" spans="43:43" x14ac:dyDescent="0.2">
      <c r="AQ34571" s="31"/>
    </row>
    <row r="34572" spans="43:43" x14ac:dyDescent="0.2">
      <c r="AQ34572" s="31"/>
    </row>
    <row r="34573" spans="43:43" x14ac:dyDescent="0.2">
      <c r="AQ34573" s="31"/>
    </row>
    <row r="34574" spans="43:43" x14ac:dyDescent="0.2">
      <c r="AQ34574" s="31"/>
    </row>
    <row r="34575" spans="43:43" x14ac:dyDescent="0.2">
      <c r="AQ34575" s="31"/>
    </row>
    <row r="34576" spans="43:43" x14ac:dyDescent="0.2">
      <c r="AQ34576" s="31"/>
    </row>
    <row r="34577" spans="43:43" x14ac:dyDescent="0.2">
      <c r="AQ34577" s="31"/>
    </row>
    <row r="34578" spans="43:43" x14ac:dyDescent="0.2">
      <c r="AQ34578" s="31"/>
    </row>
    <row r="34579" spans="43:43" x14ac:dyDescent="0.2">
      <c r="AQ34579" s="31"/>
    </row>
    <row r="34580" spans="43:43" x14ac:dyDescent="0.2">
      <c r="AQ34580" s="31"/>
    </row>
    <row r="34581" spans="43:43" x14ac:dyDescent="0.2">
      <c r="AQ34581" s="31"/>
    </row>
    <row r="34582" spans="43:43" x14ac:dyDescent="0.2">
      <c r="AQ34582" s="31"/>
    </row>
    <row r="34583" spans="43:43" x14ac:dyDescent="0.2">
      <c r="AQ34583" s="31"/>
    </row>
    <row r="34584" spans="43:43" x14ac:dyDescent="0.2">
      <c r="AQ34584" s="31"/>
    </row>
    <row r="34585" spans="43:43" x14ac:dyDescent="0.2">
      <c r="AQ34585" s="31"/>
    </row>
    <row r="34586" spans="43:43" x14ac:dyDescent="0.2">
      <c r="AQ34586" s="31"/>
    </row>
    <row r="34587" spans="43:43" x14ac:dyDescent="0.2">
      <c r="AQ34587" s="31"/>
    </row>
    <row r="34588" spans="43:43" x14ac:dyDescent="0.2">
      <c r="AQ34588" s="31"/>
    </row>
    <row r="34589" spans="43:43" x14ac:dyDescent="0.2">
      <c r="AQ34589" s="31"/>
    </row>
    <row r="34590" spans="43:43" x14ac:dyDescent="0.2">
      <c r="AQ34590" s="31"/>
    </row>
    <row r="34591" spans="43:43" x14ac:dyDescent="0.2">
      <c r="AQ34591" s="31"/>
    </row>
    <row r="34592" spans="43:43" x14ac:dyDescent="0.2">
      <c r="AQ34592" s="31"/>
    </row>
    <row r="34593" spans="43:43" x14ac:dyDescent="0.2">
      <c r="AQ34593" s="31"/>
    </row>
    <row r="34594" spans="43:43" x14ac:dyDescent="0.2">
      <c r="AQ34594" s="31"/>
    </row>
    <row r="34595" spans="43:43" x14ac:dyDescent="0.2">
      <c r="AQ34595" s="31"/>
    </row>
    <row r="34596" spans="43:43" x14ac:dyDescent="0.2">
      <c r="AQ34596" s="31"/>
    </row>
    <row r="34597" spans="43:43" x14ac:dyDescent="0.2">
      <c r="AQ34597" s="31"/>
    </row>
    <row r="34598" spans="43:43" x14ac:dyDescent="0.2">
      <c r="AQ34598" s="31"/>
    </row>
    <row r="34599" spans="43:43" x14ac:dyDescent="0.2">
      <c r="AQ34599" s="31"/>
    </row>
    <row r="34600" spans="43:43" x14ac:dyDescent="0.2">
      <c r="AQ34600" s="31"/>
    </row>
    <row r="34601" spans="43:43" x14ac:dyDescent="0.2">
      <c r="AQ34601" s="31"/>
    </row>
    <row r="34602" spans="43:43" x14ac:dyDescent="0.2">
      <c r="AQ34602" s="31"/>
    </row>
    <row r="34603" spans="43:43" x14ac:dyDescent="0.2">
      <c r="AQ34603" s="31"/>
    </row>
    <row r="34604" spans="43:43" x14ac:dyDescent="0.2">
      <c r="AQ34604" s="31"/>
    </row>
    <row r="34605" spans="43:43" x14ac:dyDescent="0.2">
      <c r="AQ34605" s="31"/>
    </row>
    <row r="34606" spans="43:43" x14ac:dyDescent="0.2">
      <c r="AQ34606" s="31"/>
    </row>
    <row r="34607" spans="43:43" x14ac:dyDescent="0.2">
      <c r="AQ34607" s="31"/>
    </row>
    <row r="34608" spans="43:43" x14ac:dyDescent="0.2">
      <c r="AQ34608" s="31"/>
    </row>
    <row r="34609" spans="43:43" x14ac:dyDescent="0.2">
      <c r="AQ34609" s="31"/>
    </row>
    <row r="34610" spans="43:43" x14ac:dyDescent="0.2">
      <c r="AQ34610" s="31"/>
    </row>
    <row r="34611" spans="43:43" x14ac:dyDescent="0.2">
      <c r="AQ34611" s="31"/>
    </row>
    <row r="34612" spans="43:43" x14ac:dyDescent="0.2">
      <c r="AQ34612" s="31"/>
    </row>
    <row r="34613" spans="43:43" x14ac:dyDescent="0.2">
      <c r="AQ34613" s="31"/>
    </row>
    <row r="34614" spans="43:43" x14ac:dyDescent="0.2">
      <c r="AQ34614" s="31"/>
    </row>
    <row r="34615" spans="43:43" x14ac:dyDescent="0.2">
      <c r="AQ34615" s="31"/>
    </row>
    <row r="34616" spans="43:43" x14ac:dyDescent="0.2">
      <c r="AQ34616" s="31"/>
    </row>
    <row r="34617" spans="43:43" x14ac:dyDescent="0.2">
      <c r="AQ34617" s="31"/>
    </row>
    <row r="34618" spans="43:43" x14ac:dyDescent="0.2">
      <c r="AQ34618" s="31"/>
    </row>
    <row r="34619" spans="43:43" x14ac:dyDescent="0.2">
      <c r="AQ34619" s="31"/>
    </row>
    <row r="34620" spans="43:43" x14ac:dyDescent="0.2">
      <c r="AQ34620" s="31"/>
    </row>
    <row r="34621" spans="43:43" x14ac:dyDescent="0.2">
      <c r="AQ34621" s="31"/>
    </row>
    <row r="34622" spans="43:43" x14ac:dyDescent="0.2">
      <c r="AQ34622" s="31"/>
    </row>
    <row r="34623" spans="43:43" x14ac:dyDescent="0.2">
      <c r="AQ34623" s="31"/>
    </row>
    <row r="34624" spans="43:43" x14ac:dyDescent="0.2">
      <c r="AQ34624" s="31"/>
    </row>
    <row r="34625" spans="43:43" x14ac:dyDescent="0.2">
      <c r="AQ34625" s="31"/>
    </row>
    <row r="34626" spans="43:43" x14ac:dyDescent="0.2">
      <c r="AQ34626" s="31"/>
    </row>
    <row r="34627" spans="43:43" x14ac:dyDescent="0.2">
      <c r="AQ34627" s="31"/>
    </row>
    <row r="34628" spans="43:43" x14ac:dyDescent="0.2">
      <c r="AQ34628" s="31"/>
    </row>
    <row r="34629" spans="43:43" x14ac:dyDescent="0.2">
      <c r="AQ34629" s="31"/>
    </row>
    <row r="34630" spans="43:43" x14ac:dyDescent="0.2">
      <c r="AQ34630" s="31"/>
    </row>
    <row r="34631" spans="43:43" x14ac:dyDescent="0.2">
      <c r="AQ34631" s="31"/>
    </row>
    <row r="34632" spans="43:43" x14ac:dyDescent="0.2">
      <c r="AQ34632" s="31"/>
    </row>
    <row r="34633" spans="43:43" x14ac:dyDescent="0.2">
      <c r="AQ34633" s="31"/>
    </row>
    <row r="34634" spans="43:43" x14ac:dyDescent="0.2">
      <c r="AQ34634" s="31"/>
    </row>
    <row r="34635" spans="43:43" x14ac:dyDescent="0.2">
      <c r="AQ34635" s="31"/>
    </row>
    <row r="34636" spans="43:43" x14ac:dyDescent="0.2">
      <c r="AQ34636" s="31"/>
    </row>
    <row r="34637" spans="43:43" x14ac:dyDescent="0.2">
      <c r="AQ34637" s="31"/>
    </row>
    <row r="34638" spans="43:43" x14ac:dyDescent="0.2">
      <c r="AQ34638" s="31"/>
    </row>
    <row r="34639" spans="43:43" x14ac:dyDescent="0.2">
      <c r="AQ34639" s="31"/>
    </row>
    <row r="34640" spans="43:43" x14ac:dyDescent="0.2">
      <c r="AQ34640" s="31"/>
    </row>
    <row r="34641" spans="43:43" x14ac:dyDescent="0.2">
      <c r="AQ34641" s="31"/>
    </row>
    <row r="34642" spans="43:43" x14ac:dyDescent="0.2">
      <c r="AQ34642" s="31"/>
    </row>
    <row r="34643" spans="43:43" x14ac:dyDescent="0.2">
      <c r="AQ34643" s="31"/>
    </row>
    <row r="34644" spans="43:43" x14ac:dyDescent="0.2">
      <c r="AQ34644" s="31"/>
    </row>
    <row r="34645" spans="43:43" x14ac:dyDescent="0.2">
      <c r="AQ34645" s="31"/>
    </row>
    <row r="34646" spans="43:43" x14ac:dyDescent="0.2">
      <c r="AQ34646" s="31"/>
    </row>
    <row r="34647" spans="43:43" x14ac:dyDescent="0.2">
      <c r="AQ34647" s="31"/>
    </row>
    <row r="34648" spans="43:43" x14ac:dyDescent="0.2">
      <c r="AQ34648" s="31"/>
    </row>
    <row r="34649" spans="43:43" x14ac:dyDescent="0.2">
      <c r="AQ34649" s="31"/>
    </row>
    <row r="34650" spans="43:43" x14ac:dyDescent="0.2">
      <c r="AQ34650" s="31"/>
    </row>
    <row r="34651" spans="43:43" x14ac:dyDescent="0.2">
      <c r="AQ34651" s="31"/>
    </row>
    <row r="34652" spans="43:43" x14ac:dyDescent="0.2">
      <c r="AQ34652" s="31"/>
    </row>
    <row r="34653" spans="43:43" x14ac:dyDescent="0.2">
      <c r="AQ34653" s="31"/>
    </row>
    <row r="34654" spans="43:43" x14ac:dyDescent="0.2">
      <c r="AQ34654" s="31"/>
    </row>
    <row r="34655" spans="43:43" x14ac:dyDescent="0.2">
      <c r="AQ34655" s="31"/>
    </row>
    <row r="34656" spans="43:43" x14ac:dyDescent="0.2">
      <c r="AQ34656" s="31"/>
    </row>
    <row r="34657" spans="43:43" x14ac:dyDescent="0.2">
      <c r="AQ34657" s="31"/>
    </row>
    <row r="34658" spans="43:43" x14ac:dyDescent="0.2">
      <c r="AQ34658" s="31"/>
    </row>
    <row r="34659" spans="43:43" x14ac:dyDescent="0.2">
      <c r="AQ34659" s="31"/>
    </row>
    <row r="34660" spans="43:43" x14ac:dyDescent="0.2">
      <c r="AQ34660" s="31"/>
    </row>
    <row r="34661" spans="43:43" x14ac:dyDescent="0.2">
      <c r="AQ34661" s="31"/>
    </row>
    <row r="34662" spans="43:43" x14ac:dyDescent="0.2">
      <c r="AQ34662" s="31"/>
    </row>
    <row r="34663" spans="43:43" x14ac:dyDescent="0.2">
      <c r="AQ34663" s="31"/>
    </row>
    <row r="34664" spans="43:43" x14ac:dyDescent="0.2">
      <c r="AQ34664" s="31"/>
    </row>
    <row r="34665" spans="43:43" x14ac:dyDescent="0.2">
      <c r="AQ34665" s="31"/>
    </row>
    <row r="34666" spans="43:43" x14ac:dyDescent="0.2">
      <c r="AQ34666" s="31"/>
    </row>
    <row r="34667" spans="43:43" x14ac:dyDescent="0.2">
      <c r="AQ34667" s="31"/>
    </row>
    <row r="34668" spans="43:43" x14ac:dyDescent="0.2">
      <c r="AQ34668" s="31"/>
    </row>
    <row r="34669" spans="43:43" x14ac:dyDescent="0.2">
      <c r="AQ34669" s="31"/>
    </row>
    <row r="34670" spans="43:43" x14ac:dyDescent="0.2">
      <c r="AQ34670" s="31"/>
    </row>
    <row r="34671" spans="43:43" x14ac:dyDescent="0.2">
      <c r="AQ34671" s="31"/>
    </row>
    <row r="34672" spans="43:43" x14ac:dyDescent="0.2">
      <c r="AQ34672" s="31"/>
    </row>
    <row r="34673" spans="43:43" x14ac:dyDescent="0.2">
      <c r="AQ34673" s="31"/>
    </row>
    <row r="34674" spans="43:43" x14ac:dyDescent="0.2">
      <c r="AQ34674" s="31"/>
    </row>
    <row r="34675" spans="43:43" x14ac:dyDescent="0.2">
      <c r="AQ34675" s="31"/>
    </row>
    <row r="34676" spans="43:43" x14ac:dyDescent="0.2">
      <c r="AQ34676" s="31"/>
    </row>
    <row r="34677" spans="43:43" x14ac:dyDescent="0.2">
      <c r="AQ34677" s="31"/>
    </row>
    <row r="34678" spans="43:43" x14ac:dyDescent="0.2">
      <c r="AQ34678" s="31"/>
    </row>
    <row r="34679" spans="43:43" x14ac:dyDescent="0.2">
      <c r="AQ34679" s="31"/>
    </row>
    <row r="34680" spans="43:43" x14ac:dyDescent="0.2">
      <c r="AQ34680" s="31"/>
    </row>
    <row r="34681" spans="43:43" x14ac:dyDescent="0.2">
      <c r="AQ34681" s="31"/>
    </row>
    <row r="34682" spans="43:43" x14ac:dyDescent="0.2">
      <c r="AQ34682" s="31"/>
    </row>
    <row r="34683" spans="43:43" x14ac:dyDescent="0.2">
      <c r="AQ34683" s="31"/>
    </row>
    <row r="34684" spans="43:43" x14ac:dyDescent="0.2">
      <c r="AQ34684" s="31"/>
    </row>
    <row r="34685" spans="43:43" x14ac:dyDescent="0.2">
      <c r="AQ34685" s="31"/>
    </row>
    <row r="34686" spans="43:43" x14ac:dyDescent="0.2">
      <c r="AQ34686" s="31"/>
    </row>
    <row r="34687" spans="43:43" x14ac:dyDescent="0.2">
      <c r="AQ34687" s="31"/>
    </row>
    <row r="34688" spans="43:43" x14ac:dyDescent="0.2">
      <c r="AQ34688" s="31"/>
    </row>
    <row r="34689" spans="43:43" x14ac:dyDescent="0.2">
      <c r="AQ34689" s="31"/>
    </row>
    <row r="34690" spans="43:43" x14ac:dyDescent="0.2">
      <c r="AQ34690" s="31"/>
    </row>
    <row r="34691" spans="43:43" x14ac:dyDescent="0.2">
      <c r="AQ34691" s="31"/>
    </row>
    <row r="34692" spans="43:43" x14ac:dyDescent="0.2">
      <c r="AQ34692" s="31"/>
    </row>
    <row r="34693" spans="43:43" x14ac:dyDescent="0.2">
      <c r="AQ34693" s="31"/>
    </row>
    <row r="34694" spans="43:43" x14ac:dyDescent="0.2">
      <c r="AQ34694" s="31"/>
    </row>
    <row r="34695" spans="43:43" x14ac:dyDescent="0.2">
      <c r="AQ34695" s="31"/>
    </row>
    <row r="34696" spans="43:43" x14ac:dyDescent="0.2">
      <c r="AQ34696" s="31"/>
    </row>
    <row r="34697" spans="43:43" x14ac:dyDescent="0.2">
      <c r="AQ34697" s="31"/>
    </row>
    <row r="34698" spans="43:43" x14ac:dyDescent="0.2">
      <c r="AQ34698" s="31"/>
    </row>
    <row r="34699" spans="43:43" x14ac:dyDescent="0.2">
      <c r="AQ34699" s="31"/>
    </row>
    <row r="34700" spans="43:43" x14ac:dyDescent="0.2">
      <c r="AQ34700" s="31"/>
    </row>
    <row r="34701" spans="43:43" x14ac:dyDescent="0.2">
      <c r="AQ34701" s="31"/>
    </row>
    <row r="34702" spans="43:43" x14ac:dyDescent="0.2">
      <c r="AQ34702" s="31"/>
    </row>
    <row r="34703" spans="43:43" x14ac:dyDescent="0.2">
      <c r="AQ34703" s="31"/>
    </row>
    <row r="34704" spans="43:43" x14ac:dyDescent="0.2">
      <c r="AQ34704" s="31"/>
    </row>
    <row r="34705" spans="43:43" x14ac:dyDescent="0.2">
      <c r="AQ34705" s="31"/>
    </row>
    <row r="34706" spans="43:43" x14ac:dyDescent="0.2">
      <c r="AQ34706" s="31"/>
    </row>
    <row r="34707" spans="43:43" x14ac:dyDescent="0.2">
      <c r="AQ34707" s="31"/>
    </row>
    <row r="34708" spans="43:43" x14ac:dyDescent="0.2">
      <c r="AQ34708" s="31"/>
    </row>
    <row r="34709" spans="43:43" x14ac:dyDescent="0.2">
      <c r="AQ34709" s="31"/>
    </row>
    <row r="34710" spans="43:43" x14ac:dyDescent="0.2">
      <c r="AQ34710" s="31"/>
    </row>
    <row r="34711" spans="43:43" x14ac:dyDescent="0.2">
      <c r="AQ34711" s="31"/>
    </row>
    <row r="34712" spans="43:43" x14ac:dyDescent="0.2">
      <c r="AQ34712" s="31"/>
    </row>
    <row r="34713" spans="43:43" x14ac:dyDescent="0.2">
      <c r="AQ34713" s="31"/>
    </row>
    <row r="34714" spans="43:43" x14ac:dyDescent="0.2">
      <c r="AQ34714" s="31"/>
    </row>
    <row r="34715" spans="43:43" x14ac:dyDescent="0.2">
      <c r="AQ34715" s="31"/>
    </row>
    <row r="34716" spans="43:43" x14ac:dyDescent="0.2">
      <c r="AQ34716" s="31"/>
    </row>
    <row r="34717" spans="43:43" x14ac:dyDescent="0.2">
      <c r="AQ34717" s="31"/>
    </row>
    <row r="34718" spans="43:43" x14ac:dyDescent="0.2">
      <c r="AQ34718" s="31"/>
    </row>
    <row r="34719" spans="43:43" x14ac:dyDescent="0.2">
      <c r="AQ34719" s="31"/>
    </row>
    <row r="34720" spans="43:43" x14ac:dyDescent="0.2">
      <c r="AQ34720" s="31"/>
    </row>
    <row r="34721" spans="43:43" x14ac:dyDescent="0.2">
      <c r="AQ34721" s="31"/>
    </row>
    <row r="34722" spans="43:43" x14ac:dyDescent="0.2">
      <c r="AQ34722" s="31"/>
    </row>
    <row r="34723" spans="43:43" x14ac:dyDescent="0.2">
      <c r="AQ34723" s="31"/>
    </row>
    <row r="34724" spans="43:43" x14ac:dyDescent="0.2">
      <c r="AQ34724" s="31"/>
    </row>
    <row r="34725" spans="43:43" x14ac:dyDescent="0.2">
      <c r="AQ34725" s="31"/>
    </row>
    <row r="34726" spans="43:43" x14ac:dyDescent="0.2">
      <c r="AQ34726" s="31"/>
    </row>
    <row r="34727" spans="43:43" x14ac:dyDescent="0.2">
      <c r="AQ34727" s="31"/>
    </row>
    <row r="34728" spans="43:43" x14ac:dyDescent="0.2">
      <c r="AQ34728" s="31"/>
    </row>
    <row r="34729" spans="43:43" x14ac:dyDescent="0.2">
      <c r="AQ34729" s="31"/>
    </row>
    <row r="34730" spans="43:43" x14ac:dyDescent="0.2">
      <c r="AQ34730" s="31"/>
    </row>
    <row r="34731" spans="43:43" x14ac:dyDescent="0.2">
      <c r="AQ34731" s="31"/>
    </row>
    <row r="34732" spans="43:43" x14ac:dyDescent="0.2">
      <c r="AQ34732" s="31"/>
    </row>
    <row r="34733" spans="43:43" x14ac:dyDescent="0.2">
      <c r="AQ34733" s="31"/>
    </row>
    <row r="34734" spans="43:43" x14ac:dyDescent="0.2">
      <c r="AQ34734" s="31"/>
    </row>
    <row r="34735" spans="43:43" x14ac:dyDescent="0.2">
      <c r="AQ34735" s="31"/>
    </row>
    <row r="34736" spans="43:43" x14ac:dyDescent="0.2">
      <c r="AQ34736" s="31"/>
    </row>
    <row r="34737" spans="43:43" x14ac:dyDescent="0.2">
      <c r="AQ34737" s="31"/>
    </row>
    <row r="34738" spans="43:43" x14ac:dyDescent="0.2">
      <c r="AQ34738" s="31"/>
    </row>
    <row r="34739" spans="43:43" x14ac:dyDescent="0.2">
      <c r="AQ34739" s="31"/>
    </row>
    <row r="34740" spans="43:43" x14ac:dyDescent="0.2">
      <c r="AQ34740" s="31"/>
    </row>
    <row r="34741" spans="43:43" x14ac:dyDescent="0.2">
      <c r="AQ34741" s="31"/>
    </row>
    <row r="34742" spans="43:43" x14ac:dyDescent="0.2">
      <c r="AQ34742" s="31"/>
    </row>
    <row r="34743" spans="43:43" x14ac:dyDescent="0.2">
      <c r="AQ34743" s="31"/>
    </row>
    <row r="34744" spans="43:43" x14ac:dyDescent="0.2">
      <c r="AQ34744" s="31"/>
    </row>
    <row r="34745" spans="43:43" x14ac:dyDescent="0.2">
      <c r="AQ34745" s="31"/>
    </row>
    <row r="34746" spans="43:43" x14ac:dyDescent="0.2">
      <c r="AQ34746" s="31"/>
    </row>
    <row r="34747" spans="43:43" x14ac:dyDescent="0.2">
      <c r="AQ34747" s="31"/>
    </row>
    <row r="34748" spans="43:43" x14ac:dyDescent="0.2">
      <c r="AQ34748" s="31"/>
    </row>
    <row r="34749" spans="43:43" x14ac:dyDescent="0.2">
      <c r="AQ34749" s="31"/>
    </row>
    <row r="34750" spans="43:43" x14ac:dyDescent="0.2">
      <c r="AQ34750" s="31"/>
    </row>
    <row r="34751" spans="43:43" x14ac:dyDescent="0.2">
      <c r="AQ34751" s="31"/>
    </row>
    <row r="34752" spans="43:43" x14ac:dyDescent="0.2">
      <c r="AQ34752" s="31"/>
    </row>
    <row r="34753" spans="43:43" x14ac:dyDescent="0.2">
      <c r="AQ34753" s="31"/>
    </row>
    <row r="34754" spans="43:43" x14ac:dyDescent="0.2">
      <c r="AQ34754" s="31"/>
    </row>
    <row r="34755" spans="43:43" x14ac:dyDescent="0.2">
      <c r="AQ34755" s="31"/>
    </row>
    <row r="34756" spans="43:43" x14ac:dyDescent="0.2">
      <c r="AQ34756" s="31"/>
    </row>
    <row r="34757" spans="43:43" x14ac:dyDescent="0.2">
      <c r="AQ34757" s="31"/>
    </row>
    <row r="34758" spans="43:43" x14ac:dyDescent="0.2">
      <c r="AQ34758" s="31"/>
    </row>
    <row r="34759" spans="43:43" x14ac:dyDescent="0.2">
      <c r="AQ34759" s="31"/>
    </row>
    <row r="34760" spans="43:43" x14ac:dyDescent="0.2">
      <c r="AQ34760" s="31"/>
    </row>
    <row r="34761" spans="43:43" x14ac:dyDescent="0.2">
      <c r="AQ34761" s="31"/>
    </row>
    <row r="34762" spans="43:43" x14ac:dyDescent="0.2">
      <c r="AQ34762" s="31"/>
    </row>
    <row r="34763" spans="43:43" x14ac:dyDescent="0.2">
      <c r="AQ34763" s="31"/>
    </row>
    <row r="34764" spans="43:43" x14ac:dyDescent="0.2">
      <c r="AQ34764" s="31"/>
    </row>
    <row r="34765" spans="43:43" x14ac:dyDescent="0.2">
      <c r="AQ34765" s="31"/>
    </row>
    <row r="34766" spans="43:43" x14ac:dyDescent="0.2">
      <c r="AQ34766" s="31"/>
    </row>
    <row r="34767" spans="43:43" x14ac:dyDescent="0.2">
      <c r="AQ34767" s="31"/>
    </row>
    <row r="34768" spans="43:43" x14ac:dyDescent="0.2">
      <c r="AQ34768" s="31"/>
    </row>
    <row r="34769" spans="43:43" x14ac:dyDescent="0.2">
      <c r="AQ34769" s="31"/>
    </row>
    <row r="34770" spans="43:43" x14ac:dyDescent="0.2">
      <c r="AQ34770" s="31"/>
    </row>
    <row r="34771" spans="43:43" x14ac:dyDescent="0.2">
      <c r="AQ34771" s="31"/>
    </row>
    <row r="34772" spans="43:43" x14ac:dyDescent="0.2">
      <c r="AQ34772" s="31"/>
    </row>
    <row r="34773" spans="43:43" x14ac:dyDescent="0.2">
      <c r="AQ34773" s="31"/>
    </row>
    <row r="34774" spans="43:43" x14ac:dyDescent="0.2">
      <c r="AQ34774" s="31"/>
    </row>
    <row r="34775" spans="43:43" x14ac:dyDescent="0.2">
      <c r="AQ34775" s="31"/>
    </row>
    <row r="34776" spans="43:43" x14ac:dyDescent="0.2">
      <c r="AQ34776" s="31"/>
    </row>
    <row r="34777" spans="43:43" x14ac:dyDescent="0.2">
      <c r="AQ34777" s="31"/>
    </row>
    <row r="34778" spans="43:43" x14ac:dyDescent="0.2">
      <c r="AQ34778" s="31"/>
    </row>
    <row r="34779" spans="43:43" x14ac:dyDescent="0.2">
      <c r="AQ34779" s="31"/>
    </row>
    <row r="34780" spans="43:43" x14ac:dyDescent="0.2">
      <c r="AQ34780" s="31"/>
    </row>
    <row r="34781" spans="43:43" x14ac:dyDescent="0.2">
      <c r="AQ34781" s="31"/>
    </row>
    <row r="34782" spans="43:43" x14ac:dyDescent="0.2">
      <c r="AQ34782" s="31"/>
    </row>
    <row r="34783" spans="43:43" x14ac:dyDescent="0.2">
      <c r="AQ34783" s="31"/>
    </row>
    <row r="34784" spans="43:43" x14ac:dyDescent="0.2">
      <c r="AQ34784" s="31"/>
    </row>
    <row r="34785" spans="43:43" x14ac:dyDescent="0.2">
      <c r="AQ34785" s="31"/>
    </row>
    <row r="34786" spans="43:43" x14ac:dyDescent="0.2">
      <c r="AQ34786" s="31"/>
    </row>
    <row r="34787" spans="43:43" x14ac:dyDescent="0.2">
      <c r="AQ34787" s="31"/>
    </row>
    <row r="34788" spans="43:43" x14ac:dyDescent="0.2">
      <c r="AQ34788" s="31"/>
    </row>
    <row r="34789" spans="43:43" x14ac:dyDescent="0.2">
      <c r="AQ34789" s="31"/>
    </row>
    <row r="34790" spans="43:43" x14ac:dyDescent="0.2">
      <c r="AQ34790" s="31"/>
    </row>
    <row r="34791" spans="43:43" x14ac:dyDescent="0.2">
      <c r="AQ34791" s="31"/>
    </row>
    <row r="34792" spans="43:43" x14ac:dyDescent="0.2">
      <c r="AQ34792" s="31"/>
    </row>
    <row r="34793" spans="43:43" x14ac:dyDescent="0.2">
      <c r="AQ34793" s="31"/>
    </row>
    <row r="34794" spans="43:43" x14ac:dyDescent="0.2">
      <c r="AQ34794" s="31"/>
    </row>
    <row r="34795" spans="43:43" x14ac:dyDescent="0.2">
      <c r="AQ34795" s="31"/>
    </row>
    <row r="34796" spans="43:43" x14ac:dyDescent="0.2">
      <c r="AQ34796" s="31"/>
    </row>
    <row r="34797" spans="43:43" x14ac:dyDescent="0.2">
      <c r="AQ34797" s="31"/>
    </row>
    <row r="34798" spans="43:43" x14ac:dyDescent="0.2">
      <c r="AQ34798" s="31"/>
    </row>
    <row r="34799" spans="43:43" x14ac:dyDescent="0.2">
      <c r="AQ34799" s="31"/>
    </row>
    <row r="34800" spans="43:43" x14ac:dyDescent="0.2">
      <c r="AQ34800" s="31"/>
    </row>
    <row r="34801" spans="43:43" x14ac:dyDescent="0.2">
      <c r="AQ34801" s="31"/>
    </row>
    <row r="34802" spans="43:43" x14ac:dyDescent="0.2">
      <c r="AQ34802" s="31"/>
    </row>
    <row r="34803" spans="43:43" x14ac:dyDescent="0.2">
      <c r="AQ34803" s="31"/>
    </row>
    <row r="34804" spans="43:43" x14ac:dyDescent="0.2">
      <c r="AQ34804" s="31"/>
    </row>
    <row r="34805" spans="43:43" x14ac:dyDescent="0.2">
      <c r="AQ34805" s="31"/>
    </row>
    <row r="34806" spans="43:43" x14ac:dyDescent="0.2">
      <c r="AQ34806" s="31"/>
    </row>
    <row r="34807" spans="43:43" x14ac:dyDescent="0.2">
      <c r="AQ34807" s="31"/>
    </row>
    <row r="34808" spans="43:43" x14ac:dyDescent="0.2">
      <c r="AQ34808" s="31"/>
    </row>
    <row r="34809" spans="43:43" x14ac:dyDescent="0.2">
      <c r="AQ34809" s="31"/>
    </row>
    <row r="34810" spans="43:43" x14ac:dyDescent="0.2">
      <c r="AQ34810" s="31"/>
    </row>
    <row r="34811" spans="43:43" x14ac:dyDescent="0.2">
      <c r="AQ34811" s="31"/>
    </row>
    <row r="34812" spans="43:43" x14ac:dyDescent="0.2">
      <c r="AQ34812" s="31"/>
    </row>
    <row r="34813" spans="43:43" x14ac:dyDescent="0.2">
      <c r="AQ34813" s="31"/>
    </row>
    <row r="34814" spans="43:43" x14ac:dyDescent="0.2">
      <c r="AQ34814" s="31"/>
    </row>
    <row r="34815" spans="43:43" x14ac:dyDescent="0.2">
      <c r="AQ34815" s="31"/>
    </row>
    <row r="34816" spans="43:43" x14ac:dyDescent="0.2">
      <c r="AQ34816" s="31"/>
    </row>
    <row r="34817" spans="43:43" x14ac:dyDescent="0.2">
      <c r="AQ34817" s="31"/>
    </row>
    <row r="34818" spans="43:43" x14ac:dyDescent="0.2">
      <c r="AQ34818" s="31"/>
    </row>
    <row r="34819" spans="43:43" x14ac:dyDescent="0.2">
      <c r="AQ34819" s="31"/>
    </row>
    <row r="34820" spans="43:43" x14ac:dyDescent="0.2">
      <c r="AQ34820" s="31"/>
    </row>
    <row r="34821" spans="43:43" x14ac:dyDescent="0.2">
      <c r="AQ34821" s="31"/>
    </row>
    <row r="34822" spans="43:43" x14ac:dyDescent="0.2">
      <c r="AQ34822" s="31"/>
    </row>
    <row r="34823" spans="43:43" x14ac:dyDescent="0.2">
      <c r="AQ34823" s="31"/>
    </row>
    <row r="34824" spans="43:43" x14ac:dyDescent="0.2">
      <c r="AQ34824" s="31"/>
    </row>
    <row r="34825" spans="43:43" x14ac:dyDescent="0.2">
      <c r="AQ34825" s="31"/>
    </row>
    <row r="34826" spans="43:43" x14ac:dyDescent="0.2">
      <c r="AQ34826" s="31"/>
    </row>
    <row r="34827" spans="43:43" x14ac:dyDescent="0.2">
      <c r="AQ34827" s="31"/>
    </row>
    <row r="34828" spans="43:43" x14ac:dyDescent="0.2">
      <c r="AQ34828" s="31"/>
    </row>
    <row r="34829" spans="43:43" x14ac:dyDescent="0.2">
      <c r="AQ34829" s="31"/>
    </row>
    <row r="34830" spans="43:43" x14ac:dyDescent="0.2">
      <c r="AQ34830" s="31"/>
    </row>
    <row r="34831" spans="43:43" x14ac:dyDescent="0.2">
      <c r="AQ34831" s="31"/>
    </row>
    <row r="34832" spans="43:43" x14ac:dyDescent="0.2">
      <c r="AQ34832" s="31"/>
    </row>
    <row r="34833" spans="43:43" x14ac:dyDescent="0.2">
      <c r="AQ34833" s="31"/>
    </row>
    <row r="34834" spans="43:43" x14ac:dyDescent="0.2">
      <c r="AQ34834" s="31"/>
    </row>
    <row r="34835" spans="43:43" x14ac:dyDescent="0.2">
      <c r="AQ34835" s="31"/>
    </row>
    <row r="34836" spans="43:43" x14ac:dyDescent="0.2">
      <c r="AQ34836" s="31"/>
    </row>
    <row r="34837" spans="43:43" x14ac:dyDescent="0.2">
      <c r="AQ34837" s="31"/>
    </row>
    <row r="34838" spans="43:43" x14ac:dyDescent="0.2">
      <c r="AQ34838" s="31"/>
    </row>
    <row r="34839" spans="43:43" x14ac:dyDescent="0.2">
      <c r="AQ34839" s="31"/>
    </row>
    <row r="34840" spans="43:43" x14ac:dyDescent="0.2">
      <c r="AQ34840" s="31"/>
    </row>
    <row r="34841" spans="43:43" x14ac:dyDescent="0.2">
      <c r="AQ34841" s="31"/>
    </row>
    <row r="34842" spans="43:43" x14ac:dyDescent="0.2">
      <c r="AQ34842" s="31"/>
    </row>
    <row r="34843" spans="43:43" x14ac:dyDescent="0.2">
      <c r="AQ34843" s="31"/>
    </row>
    <row r="34844" spans="43:43" x14ac:dyDescent="0.2">
      <c r="AQ34844" s="31"/>
    </row>
    <row r="34845" spans="43:43" x14ac:dyDescent="0.2">
      <c r="AQ34845" s="31"/>
    </row>
    <row r="34846" spans="43:43" x14ac:dyDescent="0.2">
      <c r="AQ34846" s="31"/>
    </row>
    <row r="34847" spans="43:43" x14ac:dyDescent="0.2">
      <c r="AQ34847" s="31"/>
    </row>
    <row r="34848" spans="43:43" x14ac:dyDescent="0.2">
      <c r="AQ34848" s="31"/>
    </row>
    <row r="34849" spans="43:43" x14ac:dyDescent="0.2">
      <c r="AQ34849" s="31"/>
    </row>
    <row r="34850" spans="43:43" x14ac:dyDescent="0.2">
      <c r="AQ34850" s="31"/>
    </row>
    <row r="34851" spans="43:43" x14ac:dyDescent="0.2">
      <c r="AQ34851" s="31"/>
    </row>
    <row r="34852" spans="43:43" x14ac:dyDescent="0.2">
      <c r="AQ34852" s="31"/>
    </row>
    <row r="34853" spans="43:43" x14ac:dyDescent="0.2">
      <c r="AQ34853" s="31"/>
    </row>
    <row r="34854" spans="43:43" x14ac:dyDescent="0.2">
      <c r="AQ34854" s="31"/>
    </row>
    <row r="34855" spans="43:43" x14ac:dyDescent="0.2">
      <c r="AQ34855" s="31"/>
    </row>
    <row r="34856" spans="43:43" x14ac:dyDescent="0.2">
      <c r="AQ34856" s="31"/>
    </row>
    <row r="34857" spans="43:43" x14ac:dyDescent="0.2">
      <c r="AQ34857" s="31"/>
    </row>
    <row r="34858" spans="43:43" x14ac:dyDescent="0.2">
      <c r="AQ34858" s="31"/>
    </row>
    <row r="34859" spans="43:43" x14ac:dyDescent="0.2">
      <c r="AQ34859" s="31"/>
    </row>
    <row r="34860" spans="43:43" x14ac:dyDescent="0.2">
      <c r="AQ34860" s="31"/>
    </row>
    <row r="34861" spans="43:43" x14ac:dyDescent="0.2">
      <c r="AQ34861" s="31"/>
    </row>
    <row r="34862" spans="43:43" x14ac:dyDescent="0.2">
      <c r="AQ34862" s="31"/>
    </row>
    <row r="34863" spans="43:43" x14ac:dyDescent="0.2">
      <c r="AQ34863" s="31"/>
    </row>
    <row r="34864" spans="43:43" x14ac:dyDescent="0.2">
      <c r="AQ34864" s="31"/>
    </row>
    <row r="34865" spans="43:43" x14ac:dyDescent="0.2">
      <c r="AQ34865" s="31"/>
    </row>
    <row r="34866" spans="43:43" x14ac:dyDescent="0.2">
      <c r="AQ34866" s="31"/>
    </row>
    <row r="34867" spans="43:43" x14ac:dyDescent="0.2">
      <c r="AQ34867" s="31"/>
    </row>
    <row r="34868" spans="43:43" x14ac:dyDescent="0.2">
      <c r="AQ34868" s="31"/>
    </row>
    <row r="34869" spans="43:43" x14ac:dyDescent="0.2">
      <c r="AQ34869" s="31"/>
    </row>
    <row r="34870" spans="43:43" x14ac:dyDescent="0.2">
      <c r="AQ34870" s="31"/>
    </row>
    <row r="34871" spans="43:43" x14ac:dyDescent="0.2">
      <c r="AQ34871" s="31"/>
    </row>
    <row r="34872" spans="43:43" x14ac:dyDescent="0.2">
      <c r="AQ34872" s="31"/>
    </row>
    <row r="34873" spans="43:43" x14ac:dyDescent="0.2">
      <c r="AQ34873" s="31"/>
    </row>
    <row r="34874" spans="43:43" x14ac:dyDescent="0.2">
      <c r="AQ34874" s="31"/>
    </row>
    <row r="34875" spans="43:43" x14ac:dyDescent="0.2">
      <c r="AQ34875" s="31"/>
    </row>
    <row r="34876" spans="43:43" x14ac:dyDescent="0.2">
      <c r="AQ34876" s="31"/>
    </row>
    <row r="34877" spans="43:43" x14ac:dyDescent="0.2">
      <c r="AQ34877" s="31"/>
    </row>
    <row r="34878" spans="43:43" x14ac:dyDescent="0.2">
      <c r="AQ34878" s="31"/>
    </row>
    <row r="34879" spans="43:43" x14ac:dyDescent="0.2">
      <c r="AQ34879" s="31"/>
    </row>
    <row r="34880" spans="43:43" x14ac:dyDescent="0.2">
      <c r="AQ34880" s="31"/>
    </row>
    <row r="34881" spans="43:43" x14ac:dyDescent="0.2">
      <c r="AQ34881" s="31"/>
    </row>
    <row r="34882" spans="43:43" x14ac:dyDescent="0.2">
      <c r="AQ34882" s="31"/>
    </row>
    <row r="34883" spans="43:43" x14ac:dyDescent="0.2">
      <c r="AQ34883" s="31"/>
    </row>
    <row r="34884" spans="43:43" x14ac:dyDescent="0.2">
      <c r="AQ34884" s="31"/>
    </row>
    <row r="34885" spans="43:43" x14ac:dyDescent="0.2">
      <c r="AQ34885" s="31"/>
    </row>
    <row r="34886" spans="43:43" x14ac:dyDescent="0.2">
      <c r="AQ34886" s="31"/>
    </row>
    <row r="34887" spans="43:43" x14ac:dyDescent="0.2">
      <c r="AQ34887" s="31"/>
    </row>
    <row r="34888" spans="43:43" x14ac:dyDescent="0.2">
      <c r="AQ34888" s="31"/>
    </row>
    <row r="34889" spans="43:43" x14ac:dyDescent="0.2">
      <c r="AQ34889" s="31"/>
    </row>
    <row r="34890" spans="43:43" x14ac:dyDescent="0.2">
      <c r="AQ34890" s="31"/>
    </row>
    <row r="34891" spans="43:43" x14ac:dyDescent="0.2">
      <c r="AQ34891" s="31"/>
    </row>
    <row r="34892" spans="43:43" x14ac:dyDescent="0.2">
      <c r="AQ34892" s="31"/>
    </row>
    <row r="34893" spans="43:43" x14ac:dyDescent="0.2">
      <c r="AQ34893" s="31"/>
    </row>
    <row r="34894" spans="43:43" x14ac:dyDescent="0.2">
      <c r="AQ34894" s="31"/>
    </row>
    <row r="34895" spans="43:43" x14ac:dyDescent="0.2">
      <c r="AQ34895" s="31"/>
    </row>
    <row r="34896" spans="43:43" x14ac:dyDescent="0.2">
      <c r="AQ34896" s="31"/>
    </row>
    <row r="34897" spans="43:43" x14ac:dyDescent="0.2">
      <c r="AQ34897" s="31"/>
    </row>
    <row r="34898" spans="43:43" x14ac:dyDescent="0.2">
      <c r="AQ34898" s="31"/>
    </row>
    <row r="34899" spans="43:43" x14ac:dyDescent="0.2">
      <c r="AQ34899" s="31"/>
    </row>
    <row r="34900" spans="43:43" x14ac:dyDescent="0.2">
      <c r="AQ34900" s="31"/>
    </row>
    <row r="34901" spans="43:43" x14ac:dyDescent="0.2">
      <c r="AQ34901" s="31"/>
    </row>
    <row r="34902" spans="43:43" x14ac:dyDescent="0.2">
      <c r="AQ34902" s="31"/>
    </row>
    <row r="34903" spans="43:43" x14ac:dyDescent="0.2">
      <c r="AQ34903" s="31"/>
    </row>
    <row r="34904" spans="43:43" x14ac:dyDescent="0.2">
      <c r="AQ34904" s="31"/>
    </row>
    <row r="34905" spans="43:43" x14ac:dyDescent="0.2">
      <c r="AQ34905" s="31"/>
    </row>
    <row r="34906" spans="43:43" x14ac:dyDescent="0.2">
      <c r="AQ34906" s="31"/>
    </row>
    <row r="34907" spans="43:43" x14ac:dyDescent="0.2">
      <c r="AQ34907" s="31"/>
    </row>
    <row r="34908" spans="43:43" x14ac:dyDescent="0.2">
      <c r="AQ34908" s="31"/>
    </row>
    <row r="34909" spans="43:43" x14ac:dyDescent="0.2">
      <c r="AQ34909" s="31"/>
    </row>
    <row r="34910" spans="43:43" x14ac:dyDescent="0.2">
      <c r="AQ34910" s="31"/>
    </row>
    <row r="34911" spans="43:43" x14ac:dyDescent="0.2">
      <c r="AQ34911" s="31"/>
    </row>
    <row r="34912" spans="43:43" x14ac:dyDescent="0.2">
      <c r="AQ34912" s="31"/>
    </row>
    <row r="34913" spans="43:43" x14ac:dyDescent="0.2">
      <c r="AQ34913" s="31"/>
    </row>
    <row r="34914" spans="43:43" x14ac:dyDescent="0.2">
      <c r="AQ34914" s="31"/>
    </row>
    <row r="34915" spans="43:43" x14ac:dyDescent="0.2">
      <c r="AQ34915" s="31"/>
    </row>
    <row r="34916" spans="43:43" x14ac:dyDescent="0.2">
      <c r="AQ34916" s="31"/>
    </row>
    <row r="34917" spans="43:43" x14ac:dyDescent="0.2">
      <c r="AQ34917" s="31"/>
    </row>
    <row r="34918" spans="43:43" x14ac:dyDescent="0.2">
      <c r="AQ34918" s="31"/>
    </row>
    <row r="34919" spans="43:43" x14ac:dyDescent="0.2">
      <c r="AQ34919" s="31"/>
    </row>
    <row r="34920" spans="43:43" x14ac:dyDescent="0.2">
      <c r="AQ34920" s="31"/>
    </row>
    <row r="34921" spans="43:43" x14ac:dyDescent="0.2">
      <c r="AQ34921" s="31"/>
    </row>
    <row r="34922" spans="43:43" x14ac:dyDescent="0.2">
      <c r="AQ34922" s="31"/>
    </row>
    <row r="34923" spans="43:43" x14ac:dyDescent="0.2">
      <c r="AQ34923" s="31"/>
    </row>
    <row r="34924" spans="43:43" x14ac:dyDescent="0.2">
      <c r="AQ34924" s="31"/>
    </row>
    <row r="34925" spans="43:43" x14ac:dyDescent="0.2">
      <c r="AQ34925" s="31"/>
    </row>
    <row r="34926" spans="43:43" x14ac:dyDescent="0.2">
      <c r="AQ34926" s="31"/>
    </row>
    <row r="34927" spans="43:43" x14ac:dyDescent="0.2">
      <c r="AQ34927" s="31"/>
    </row>
    <row r="34928" spans="43:43" x14ac:dyDescent="0.2">
      <c r="AQ34928" s="31"/>
    </row>
    <row r="34929" spans="43:43" x14ac:dyDescent="0.2">
      <c r="AQ34929" s="31"/>
    </row>
    <row r="34930" spans="43:43" x14ac:dyDescent="0.2">
      <c r="AQ34930" s="31"/>
    </row>
    <row r="34931" spans="43:43" x14ac:dyDescent="0.2">
      <c r="AQ34931" s="31"/>
    </row>
    <row r="34932" spans="43:43" x14ac:dyDescent="0.2">
      <c r="AQ34932" s="31"/>
    </row>
    <row r="34933" spans="43:43" x14ac:dyDescent="0.2">
      <c r="AQ34933" s="31"/>
    </row>
    <row r="34934" spans="43:43" x14ac:dyDescent="0.2">
      <c r="AQ34934" s="31"/>
    </row>
    <row r="34935" spans="43:43" x14ac:dyDescent="0.2">
      <c r="AQ34935" s="31"/>
    </row>
    <row r="34936" spans="43:43" x14ac:dyDescent="0.2">
      <c r="AQ34936" s="31"/>
    </row>
    <row r="34937" spans="43:43" x14ac:dyDescent="0.2">
      <c r="AQ34937" s="31"/>
    </row>
    <row r="34938" spans="43:43" x14ac:dyDescent="0.2">
      <c r="AQ34938" s="31"/>
    </row>
    <row r="34939" spans="43:43" x14ac:dyDescent="0.2">
      <c r="AQ34939" s="31"/>
    </row>
    <row r="34940" spans="43:43" x14ac:dyDescent="0.2">
      <c r="AQ34940" s="31"/>
    </row>
    <row r="34941" spans="43:43" x14ac:dyDescent="0.2">
      <c r="AQ34941" s="31"/>
    </row>
    <row r="34942" spans="43:43" x14ac:dyDescent="0.2">
      <c r="AQ34942" s="31"/>
    </row>
    <row r="34943" spans="43:43" x14ac:dyDescent="0.2">
      <c r="AQ34943" s="31"/>
    </row>
    <row r="34944" spans="43:43" x14ac:dyDescent="0.2">
      <c r="AQ34944" s="31"/>
    </row>
    <row r="34945" spans="43:43" x14ac:dyDescent="0.2">
      <c r="AQ34945" s="31"/>
    </row>
    <row r="34946" spans="43:43" x14ac:dyDescent="0.2">
      <c r="AQ34946" s="31"/>
    </row>
    <row r="34947" spans="43:43" x14ac:dyDescent="0.2">
      <c r="AQ34947" s="31"/>
    </row>
    <row r="34948" spans="43:43" x14ac:dyDescent="0.2">
      <c r="AQ34948" s="31"/>
    </row>
    <row r="34949" spans="43:43" x14ac:dyDescent="0.2">
      <c r="AQ34949" s="31"/>
    </row>
    <row r="34950" spans="43:43" x14ac:dyDescent="0.2">
      <c r="AQ34950" s="31"/>
    </row>
    <row r="34951" spans="43:43" x14ac:dyDescent="0.2">
      <c r="AQ34951" s="31"/>
    </row>
    <row r="34952" spans="43:43" x14ac:dyDescent="0.2">
      <c r="AQ34952" s="31"/>
    </row>
    <row r="34953" spans="43:43" x14ac:dyDescent="0.2">
      <c r="AQ34953" s="31"/>
    </row>
    <row r="34954" spans="43:43" x14ac:dyDescent="0.2">
      <c r="AQ34954" s="31"/>
    </row>
    <row r="34955" spans="43:43" x14ac:dyDescent="0.2">
      <c r="AQ34955" s="31"/>
    </row>
    <row r="34956" spans="43:43" x14ac:dyDescent="0.2">
      <c r="AQ34956" s="31"/>
    </row>
    <row r="34957" spans="43:43" x14ac:dyDescent="0.2">
      <c r="AQ34957" s="31"/>
    </row>
    <row r="34958" spans="43:43" x14ac:dyDescent="0.2">
      <c r="AQ34958" s="31"/>
    </row>
    <row r="34959" spans="43:43" x14ac:dyDescent="0.2">
      <c r="AQ34959" s="31"/>
    </row>
    <row r="34960" spans="43:43" x14ac:dyDescent="0.2">
      <c r="AQ34960" s="31"/>
    </row>
    <row r="34961" spans="43:43" x14ac:dyDescent="0.2">
      <c r="AQ34961" s="31"/>
    </row>
    <row r="34962" spans="43:43" x14ac:dyDescent="0.2">
      <c r="AQ34962" s="31"/>
    </row>
    <row r="34963" spans="43:43" x14ac:dyDescent="0.2">
      <c r="AQ34963" s="31"/>
    </row>
    <row r="34964" spans="43:43" x14ac:dyDescent="0.2">
      <c r="AQ34964" s="31"/>
    </row>
    <row r="34965" spans="43:43" x14ac:dyDescent="0.2">
      <c r="AQ34965" s="31"/>
    </row>
    <row r="34966" spans="43:43" x14ac:dyDescent="0.2">
      <c r="AQ34966" s="31"/>
    </row>
    <row r="34967" spans="43:43" x14ac:dyDescent="0.2">
      <c r="AQ34967" s="31"/>
    </row>
    <row r="34968" spans="43:43" x14ac:dyDescent="0.2">
      <c r="AQ34968" s="31"/>
    </row>
    <row r="34969" spans="43:43" x14ac:dyDescent="0.2">
      <c r="AQ34969" s="31"/>
    </row>
    <row r="34970" spans="43:43" x14ac:dyDescent="0.2">
      <c r="AQ34970" s="31"/>
    </row>
    <row r="34971" spans="43:43" x14ac:dyDescent="0.2">
      <c r="AQ34971" s="31"/>
    </row>
    <row r="34972" spans="43:43" x14ac:dyDescent="0.2">
      <c r="AQ34972" s="31"/>
    </row>
    <row r="34973" spans="43:43" x14ac:dyDescent="0.2">
      <c r="AQ34973" s="31"/>
    </row>
    <row r="34974" spans="43:43" x14ac:dyDescent="0.2">
      <c r="AQ34974" s="31"/>
    </row>
    <row r="34975" spans="43:43" x14ac:dyDescent="0.2">
      <c r="AQ34975" s="31"/>
    </row>
    <row r="34976" spans="43:43" x14ac:dyDescent="0.2">
      <c r="AQ34976" s="31"/>
    </row>
    <row r="34977" spans="43:43" x14ac:dyDescent="0.2">
      <c r="AQ34977" s="31"/>
    </row>
    <row r="34978" spans="43:43" x14ac:dyDescent="0.2">
      <c r="AQ34978" s="31"/>
    </row>
    <row r="34979" spans="43:43" x14ac:dyDescent="0.2">
      <c r="AQ34979" s="31"/>
    </row>
    <row r="34980" spans="43:43" x14ac:dyDescent="0.2">
      <c r="AQ34980" s="31"/>
    </row>
    <row r="34981" spans="43:43" x14ac:dyDescent="0.2">
      <c r="AQ34981" s="31"/>
    </row>
    <row r="34982" spans="43:43" x14ac:dyDescent="0.2">
      <c r="AQ34982" s="31"/>
    </row>
    <row r="34983" spans="43:43" x14ac:dyDescent="0.2">
      <c r="AQ34983" s="31"/>
    </row>
    <row r="34984" spans="43:43" x14ac:dyDescent="0.2">
      <c r="AQ34984" s="31"/>
    </row>
    <row r="34985" spans="43:43" x14ac:dyDescent="0.2">
      <c r="AQ34985" s="31"/>
    </row>
    <row r="34986" spans="43:43" x14ac:dyDescent="0.2">
      <c r="AQ34986" s="31"/>
    </row>
    <row r="34987" spans="43:43" x14ac:dyDescent="0.2">
      <c r="AQ34987" s="31"/>
    </row>
    <row r="34988" spans="43:43" x14ac:dyDescent="0.2">
      <c r="AQ34988" s="31"/>
    </row>
    <row r="34989" spans="43:43" x14ac:dyDescent="0.2">
      <c r="AQ34989" s="31"/>
    </row>
    <row r="34990" spans="43:43" x14ac:dyDescent="0.2">
      <c r="AQ34990" s="31"/>
    </row>
    <row r="34991" spans="43:43" x14ac:dyDescent="0.2">
      <c r="AQ34991" s="31"/>
    </row>
    <row r="34992" spans="43:43" x14ac:dyDescent="0.2">
      <c r="AQ34992" s="31"/>
    </row>
    <row r="34993" spans="43:43" x14ac:dyDescent="0.2">
      <c r="AQ34993" s="31"/>
    </row>
    <row r="34994" spans="43:43" x14ac:dyDescent="0.2">
      <c r="AQ34994" s="31"/>
    </row>
    <row r="34995" spans="43:43" x14ac:dyDescent="0.2">
      <c r="AQ34995" s="31"/>
    </row>
    <row r="34996" spans="43:43" x14ac:dyDescent="0.2">
      <c r="AQ34996" s="31"/>
    </row>
    <row r="34997" spans="43:43" x14ac:dyDescent="0.2">
      <c r="AQ34997" s="31"/>
    </row>
    <row r="34998" spans="43:43" x14ac:dyDescent="0.2">
      <c r="AQ34998" s="31"/>
    </row>
    <row r="34999" spans="43:43" x14ac:dyDescent="0.2">
      <c r="AQ34999" s="31"/>
    </row>
    <row r="35000" spans="43:43" x14ac:dyDescent="0.2">
      <c r="AQ35000" s="31"/>
    </row>
    <row r="35001" spans="43:43" x14ac:dyDescent="0.2">
      <c r="AQ35001" s="31"/>
    </row>
    <row r="35002" spans="43:43" x14ac:dyDescent="0.2">
      <c r="AQ35002" s="31"/>
    </row>
    <row r="35003" spans="43:43" x14ac:dyDescent="0.2">
      <c r="AQ35003" s="31"/>
    </row>
    <row r="35004" spans="43:43" x14ac:dyDescent="0.2">
      <c r="AQ35004" s="31"/>
    </row>
    <row r="35005" spans="43:43" x14ac:dyDescent="0.2">
      <c r="AQ35005" s="31"/>
    </row>
    <row r="35006" spans="43:43" x14ac:dyDescent="0.2">
      <c r="AQ35006" s="31"/>
    </row>
    <row r="35007" spans="43:43" x14ac:dyDescent="0.2">
      <c r="AQ35007" s="31"/>
    </row>
    <row r="35008" spans="43:43" x14ac:dyDescent="0.2">
      <c r="AQ35008" s="31"/>
    </row>
    <row r="35009" spans="43:43" x14ac:dyDescent="0.2">
      <c r="AQ35009" s="31"/>
    </row>
    <row r="35010" spans="43:43" x14ac:dyDescent="0.2">
      <c r="AQ35010" s="31"/>
    </row>
    <row r="35011" spans="43:43" x14ac:dyDescent="0.2">
      <c r="AQ35011" s="31"/>
    </row>
    <row r="35012" spans="43:43" x14ac:dyDescent="0.2">
      <c r="AQ35012" s="31"/>
    </row>
    <row r="35013" spans="43:43" x14ac:dyDescent="0.2">
      <c r="AQ35013" s="31"/>
    </row>
    <row r="35014" spans="43:43" x14ac:dyDescent="0.2">
      <c r="AQ35014" s="31"/>
    </row>
    <row r="35015" spans="43:43" x14ac:dyDescent="0.2">
      <c r="AQ35015" s="31"/>
    </row>
    <row r="35016" spans="43:43" x14ac:dyDescent="0.2">
      <c r="AQ35016" s="31"/>
    </row>
    <row r="35017" spans="43:43" x14ac:dyDescent="0.2">
      <c r="AQ35017" s="31"/>
    </row>
    <row r="35018" spans="43:43" x14ac:dyDescent="0.2">
      <c r="AQ35018" s="31"/>
    </row>
    <row r="35019" spans="43:43" x14ac:dyDescent="0.2">
      <c r="AQ35019" s="31"/>
    </row>
    <row r="35020" spans="43:43" x14ac:dyDescent="0.2">
      <c r="AQ35020" s="31"/>
    </row>
    <row r="35021" spans="43:43" x14ac:dyDescent="0.2">
      <c r="AQ35021" s="31"/>
    </row>
    <row r="35022" spans="43:43" x14ac:dyDescent="0.2">
      <c r="AQ35022" s="31"/>
    </row>
    <row r="35023" spans="43:43" x14ac:dyDescent="0.2">
      <c r="AQ35023" s="31"/>
    </row>
    <row r="35024" spans="43:43" x14ac:dyDescent="0.2">
      <c r="AQ35024" s="31"/>
    </row>
    <row r="35025" spans="43:43" x14ac:dyDescent="0.2">
      <c r="AQ35025" s="31"/>
    </row>
    <row r="35026" spans="43:43" x14ac:dyDescent="0.2">
      <c r="AQ35026" s="31"/>
    </row>
    <row r="35027" spans="43:43" x14ac:dyDescent="0.2">
      <c r="AQ35027" s="31"/>
    </row>
    <row r="35028" spans="43:43" x14ac:dyDescent="0.2">
      <c r="AQ35028" s="31"/>
    </row>
    <row r="35029" spans="43:43" x14ac:dyDescent="0.2">
      <c r="AQ35029" s="31"/>
    </row>
    <row r="35030" spans="43:43" x14ac:dyDescent="0.2">
      <c r="AQ35030" s="31"/>
    </row>
    <row r="35031" spans="43:43" x14ac:dyDescent="0.2">
      <c r="AQ35031" s="31"/>
    </row>
    <row r="35032" spans="43:43" x14ac:dyDescent="0.2">
      <c r="AQ35032" s="31"/>
    </row>
    <row r="35033" spans="43:43" x14ac:dyDescent="0.2">
      <c r="AQ35033" s="31"/>
    </row>
    <row r="35034" spans="43:43" x14ac:dyDescent="0.2">
      <c r="AQ35034" s="31"/>
    </row>
    <row r="35035" spans="43:43" x14ac:dyDescent="0.2">
      <c r="AQ35035" s="31"/>
    </row>
    <row r="35036" spans="43:43" x14ac:dyDescent="0.2">
      <c r="AQ35036" s="31"/>
    </row>
    <row r="35037" spans="43:43" x14ac:dyDescent="0.2">
      <c r="AQ35037" s="31"/>
    </row>
    <row r="35038" spans="43:43" x14ac:dyDescent="0.2">
      <c r="AQ35038" s="31"/>
    </row>
    <row r="35039" spans="43:43" x14ac:dyDescent="0.2">
      <c r="AQ35039" s="31"/>
    </row>
    <row r="35040" spans="43:43" x14ac:dyDescent="0.2">
      <c r="AQ35040" s="31"/>
    </row>
    <row r="35041" spans="43:43" x14ac:dyDescent="0.2">
      <c r="AQ35041" s="31"/>
    </row>
    <row r="35042" spans="43:43" x14ac:dyDescent="0.2">
      <c r="AQ35042" s="31"/>
    </row>
    <row r="35043" spans="43:43" x14ac:dyDescent="0.2">
      <c r="AQ35043" s="31"/>
    </row>
    <row r="35044" spans="43:43" x14ac:dyDescent="0.2">
      <c r="AQ35044" s="31"/>
    </row>
    <row r="35045" spans="43:43" x14ac:dyDescent="0.2">
      <c r="AQ35045" s="31"/>
    </row>
    <row r="35046" spans="43:43" x14ac:dyDescent="0.2">
      <c r="AQ35046" s="31"/>
    </row>
    <row r="35047" spans="43:43" x14ac:dyDescent="0.2">
      <c r="AQ35047" s="31"/>
    </row>
    <row r="35048" spans="43:43" x14ac:dyDescent="0.2">
      <c r="AQ35048" s="31"/>
    </row>
    <row r="35049" spans="43:43" x14ac:dyDescent="0.2">
      <c r="AQ35049" s="31"/>
    </row>
    <row r="35050" spans="43:43" x14ac:dyDescent="0.2">
      <c r="AQ35050" s="31"/>
    </row>
    <row r="35051" spans="43:43" x14ac:dyDescent="0.2">
      <c r="AQ35051" s="31"/>
    </row>
    <row r="35052" spans="43:43" x14ac:dyDescent="0.2">
      <c r="AQ35052" s="31"/>
    </row>
    <row r="35053" spans="43:43" x14ac:dyDescent="0.2">
      <c r="AQ35053" s="31"/>
    </row>
    <row r="35054" spans="43:43" x14ac:dyDescent="0.2">
      <c r="AQ35054" s="31"/>
    </row>
    <row r="35055" spans="43:43" x14ac:dyDescent="0.2">
      <c r="AQ35055" s="31"/>
    </row>
    <row r="35056" spans="43:43" x14ac:dyDescent="0.2">
      <c r="AQ35056" s="31"/>
    </row>
    <row r="35057" spans="43:43" x14ac:dyDescent="0.2">
      <c r="AQ35057" s="31"/>
    </row>
    <row r="35058" spans="43:43" x14ac:dyDescent="0.2">
      <c r="AQ35058" s="31"/>
    </row>
    <row r="35059" spans="43:43" x14ac:dyDescent="0.2">
      <c r="AQ35059" s="31"/>
    </row>
    <row r="35060" spans="43:43" x14ac:dyDescent="0.2">
      <c r="AQ35060" s="31"/>
    </row>
    <row r="35061" spans="43:43" x14ac:dyDescent="0.2">
      <c r="AQ35061" s="31"/>
    </row>
    <row r="35062" spans="43:43" x14ac:dyDescent="0.2">
      <c r="AQ35062" s="31"/>
    </row>
    <row r="35063" spans="43:43" x14ac:dyDescent="0.2">
      <c r="AQ35063" s="31"/>
    </row>
    <row r="35064" spans="43:43" x14ac:dyDescent="0.2">
      <c r="AQ35064" s="31"/>
    </row>
    <row r="35065" spans="43:43" x14ac:dyDescent="0.2">
      <c r="AQ35065" s="31"/>
    </row>
    <row r="35066" spans="43:43" x14ac:dyDescent="0.2">
      <c r="AQ35066" s="31"/>
    </row>
    <row r="35067" spans="43:43" x14ac:dyDescent="0.2">
      <c r="AQ35067" s="31"/>
    </row>
    <row r="35068" spans="43:43" x14ac:dyDescent="0.2">
      <c r="AQ35068" s="31"/>
    </row>
    <row r="35069" spans="43:43" x14ac:dyDescent="0.2">
      <c r="AQ35069" s="31"/>
    </row>
    <row r="35070" spans="43:43" x14ac:dyDescent="0.2">
      <c r="AQ35070" s="31"/>
    </row>
    <row r="35071" spans="43:43" x14ac:dyDescent="0.2">
      <c r="AQ35071" s="31"/>
    </row>
    <row r="35072" spans="43:43" x14ac:dyDescent="0.2">
      <c r="AQ35072" s="31"/>
    </row>
    <row r="35073" spans="43:43" x14ac:dyDescent="0.2">
      <c r="AQ35073" s="31"/>
    </row>
    <row r="35074" spans="43:43" x14ac:dyDescent="0.2">
      <c r="AQ35074" s="31"/>
    </row>
    <row r="35075" spans="43:43" x14ac:dyDescent="0.2">
      <c r="AQ35075" s="31"/>
    </row>
    <row r="35076" spans="43:43" x14ac:dyDescent="0.2">
      <c r="AQ35076" s="31"/>
    </row>
    <row r="35077" spans="43:43" x14ac:dyDescent="0.2">
      <c r="AQ35077" s="31"/>
    </row>
    <row r="35078" spans="43:43" x14ac:dyDescent="0.2">
      <c r="AQ35078" s="31"/>
    </row>
    <row r="35079" spans="43:43" x14ac:dyDescent="0.2">
      <c r="AQ35079" s="31"/>
    </row>
    <row r="35080" spans="43:43" x14ac:dyDescent="0.2">
      <c r="AQ35080" s="31"/>
    </row>
    <row r="35081" spans="43:43" x14ac:dyDescent="0.2">
      <c r="AQ35081" s="31"/>
    </row>
    <row r="35082" spans="43:43" x14ac:dyDescent="0.2">
      <c r="AQ35082" s="31"/>
    </row>
    <row r="35083" spans="43:43" x14ac:dyDescent="0.2">
      <c r="AQ35083" s="31"/>
    </row>
    <row r="35084" spans="43:43" x14ac:dyDescent="0.2">
      <c r="AQ35084" s="31"/>
    </row>
    <row r="35085" spans="43:43" x14ac:dyDescent="0.2">
      <c r="AQ35085" s="31"/>
    </row>
    <row r="35086" spans="43:43" x14ac:dyDescent="0.2">
      <c r="AQ35086" s="31"/>
    </row>
    <row r="35087" spans="43:43" x14ac:dyDescent="0.2">
      <c r="AQ35087" s="31"/>
    </row>
    <row r="35088" spans="43:43" x14ac:dyDescent="0.2">
      <c r="AQ35088" s="31"/>
    </row>
    <row r="35089" spans="43:43" x14ac:dyDescent="0.2">
      <c r="AQ35089" s="31"/>
    </row>
    <row r="35090" spans="43:43" x14ac:dyDescent="0.2">
      <c r="AQ35090" s="31"/>
    </row>
    <row r="35091" spans="43:43" x14ac:dyDescent="0.2">
      <c r="AQ35091" s="31"/>
    </row>
    <row r="35092" spans="43:43" x14ac:dyDescent="0.2">
      <c r="AQ35092" s="31"/>
    </row>
    <row r="35093" spans="43:43" x14ac:dyDescent="0.2">
      <c r="AQ35093" s="31"/>
    </row>
    <row r="35094" spans="43:43" x14ac:dyDescent="0.2">
      <c r="AQ35094" s="31"/>
    </row>
    <row r="35095" spans="43:43" x14ac:dyDescent="0.2">
      <c r="AQ35095" s="31"/>
    </row>
    <row r="35096" spans="43:43" x14ac:dyDescent="0.2">
      <c r="AQ35096" s="31"/>
    </row>
    <row r="35097" spans="43:43" x14ac:dyDescent="0.2">
      <c r="AQ35097" s="31"/>
    </row>
    <row r="35098" spans="43:43" x14ac:dyDescent="0.2">
      <c r="AQ35098" s="31"/>
    </row>
    <row r="35099" spans="43:43" x14ac:dyDescent="0.2">
      <c r="AQ35099" s="31"/>
    </row>
    <row r="35100" spans="43:43" x14ac:dyDescent="0.2">
      <c r="AQ35100" s="31"/>
    </row>
    <row r="35101" spans="43:43" x14ac:dyDescent="0.2">
      <c r="AQ35101" s="31"/>
    </row>
    <row r="35102" spans="43:43" x14ac:dyDescent="0.2">
      <c r="AQ35102" s="31"/>
    </row>
    <row r="35103" spans="43:43" x14ac:dyDescent="0.2">
      <c r="AQ35103" s="31"/>
    </row>
    <row r="35104" spans="43:43" x14ac:dyDescent="0.2">
      <c r="AQ35104" s="31"/>
    </row>
    <row r="35105" spans="43:43" x14ac:dyDescent="0.2">
      <c r="AQ35105" s="31"/>
    </row>
    <row r="35106" spans="43:43" x14ac:dyDescent="0.2">
      <c r="AQ35106" s="31"/>
    </row>
    <row r="35107" spans="43:43" x14ac:dyDescent="0.2">
      <c r="AQ35107" s="31"/>
    </row>
    <row r="35108" spans="43:43" x14ac:dyDescent="0.2">
      <c r="AQ35108" s="31"/>
    </row>
    <row r="35109" spans="43:43" x14ac:dyDescent="0.2">
      <c r="AQ35109" s="31"/>
    </row>
    <row r="35110" spans="43:43" x14ac:dyDescent="0.2">
      <c r="AQ35110" s="31"/>
    </row>
    <row r="35111" spans="43:43" x14ac:dyDescent="0.2">
      <c r="AQ35111" s="31"/>
    </row>
    <row r="35112" spans="43:43" x14ac:dyDescent="0.2">
      <c r="AQ35112" s="31"/>
    </row>
    <row r="35113" spans="43:43" x14ac:dyDescent="0.2">
      <c r="AQ35113" s="31"/>
    </row>
    <row r="35114" spans="43:43" x14ac:dyDescent="0.2">
      <c r="AQ35114" s="31"/>
    </row>
    <row r="35115" spans="43:43" x14ac:dyDescent="0.2">
      <c r="AQ35115" s="31"/>
    </row>
    <row r="35116" spans="43:43" x14ac:dyDescent="0.2">
      <c r="AQ35116" s="31"/>
    </row>
    <row r="35117" spans="43:43" x14ac:dyDescent="0.2">
      <c r="AQ35117" s="31"/>
    </row>
    <row r="35118" spans="43:43" x14ac:dyDescent="0.2">
      <c r="AQ35118" s="31"/>
    </row>
    <row r="35119" spans="43:43" x14ac:dyDescent="0.2">
      <c r="AQ35119" s="31"/>
    </row>
    <row r="35120" spans="43:43" x14ac:dyDescent="0.2">
      <c r="AQ35120" s="31"/>
    </row>
    <row r="35121" spans="43:43" x14ac:dyDescent="0.2">
      <c r="AQ35121" s="31"/>
    </row>
    <row r="35122" spans="43:43" x14ac:dyDescent="0.2">
      <c r="AQ35122" s="31"/>
    </row>
    <row r="35123" spans="43:43" x14ac:dyDescent="0.2">
      <c r="AQ35123" s="31"/>
    </row>
    <row r="35124" spans="43:43" x14ac:dyDescent="0.2">
      <c r="AQ35124" s="31"/>
    </row>
    <row r="35125" spans="43:43" x14ac:dyDescent="0.2">
      <c r="AQ35125" s="31"/>
    </row>
    <row r="35126" spans="43:43" x14ac:dyDescent="0.2">
      <c r="AQ35126" s="31"/>
    </row>
    <row r="35127" spans="43:43" x14ac:dyDescent="0.2">
      <c r="AQ35127" s="31"/>
    </row>
    <row r="35128" spans="43:43" x14ac:dyDescent="0.2">
      <c r="AQ35128" s="31"/>
    </row>
    <row r="35129" spans="43:43" x14ac:dyDescent="0.2">
      <c r="AQ35129" s="31"/>
    </row>
    <row r="35130" spans="43:43" x14ac:dyDescent="0.2">
      <c r="AQ35130" s="31"/>
    </row>
    <row r="35131" spans="43:43" x14ac:dyDescent="0.2">
      <c r="AQ35131" s="31"/>
    </row>
    <row r="35132" spans="43:43" x14ac:dyDescent="0.2">
      <c r="AQ35132" s="31"/>
    </row>
    <row r="35133" spans="43:43" x14ac:dyDescent="0.2">
      <c r="AQ35133" s="31"/>
    </row>
    <row r="35134" spans="43:43" x14ac:dyDescent="0.2">
      <c r="AQ35134" s="31"/>
    </row>
    <row r="35135" spans="43:43" x14ac:dyDescent="0.2">
      <c r="AQ35135" s="31"/>
    </row>
    <row r="35136" spans="43:43" x14ac:dyDescent="0.2">
      <c r="AQ35136" s="31"/>
    </row>
    <row r="35137" spans="43:43" x14ac:dyDescent="0.2">
      <c r="AQ35137" s="31"/>
    </row>
    <row r="35138" spans="43:43" x14ac:dyDescent="0.2">
      <c r="AQ35138" s="31"/>
    </row>
    <row r="35139" spans="43:43" x14ac:dyDescent="0.2">
      <c r="AQ35139" s="31"/>
    </row>
    <row r="35140" spans="43:43" x14ac:dyDescent="0.2">
      <c r="AQ35140" s="31"/>
    </row>
    <row r="35141" spans="43:43" x14ac:dyDescent="0.2">
      <c r="AQ35141" s="31"/>
    </row>
    <row r="35142" spans="43:43" x14ac:dyDescent="0.2">
      <c r="AQ35142" s="31"/>
    </row>
    <row r="35143" spans="43:43" x14ac:dyDescent="0.2">
      <c r="AQ35143" s="31"/>
    </row>
    <row r="35144" spans="43:43" x14ac:dyDescent="0.2">
      <c r="AQ35144" s="31"/>
    </row>
    <row r="35145" spans="43:43" x14ac:dyDescent="0.2">
      <c r="AQ35145" s="31"/>
    </row>
    <row r="35146" spans="43:43" x14ac:dyDescent="0.2">
      <c r="AQ35146" s="31"/>
    </row>
    <row r="35147" spans="43:43" x14ac:dyDescent="0.2">
      <c r="AQ35147" s="31"/>
    </row>
    <row r="35148" spans="43:43" x14ac:dyDescent="0.2">
      <c r="AQ35148" s="31"/>
    </row>
    <row r="35149" spans="43:43" x14ac:dyDescent="0.2">
      <c r="AQ35149" s="31"/>
    </row>
    <row r="35150" spans="43:43" x14ac:dyDescent="0.2">
      <c r="AQ35150" s="31"/>
    </row>
    <row r="35151" spans="43:43" x14ac:dyDescent="0.2">
      <c r="AQ35151" s="31"/>
    </row>
    <row r="35152" spans="43:43" x14ac:dyDescent="0.2">
      <c r="AQ35152" s="31"/>
    </row>
    <row r="35153" spans="43:43" x14ac:dyDescent="0.2">
      <c r="AQ35153" s="31"/>
    </row>
    <row r="35154" spans="43:43" x14ac:dyDescent="0.2">
      <c r="AQ35154" s="31"/>
    </row>
    <row r="35155" spans="43:43" x14ac:dyDescent="0.2">
      <c r="AQ35155" s="31"/>
    </row>
    <row r="35156" spans="43:43" x14ac:dyDescent="0.2">
      <c r="AQ35156" s="31"/>
    </row>
    <row r="35157" spans="43:43" x14ac:dyDescent="0.2">
      <c r="AQ35157" s="31"/>
    </row>
    <row r="35158" spans="43:43" x14ac:dyDescent="0.2">
      <c r="AQ35158" s="31"/>
    </row>
    <row r="35159" spans="43:43" x14ac:dyDescent="0.2">
      <c r="AQ35159" s="31"/>
    </row>
    <row r="35160" spans="43:43" x14ac:dyDescent="0.2">
      <c r="AQ35160" s="31"/>
    </row>
    <row r="35161" spans="43:43" x14ac:dyDescent="0.2">
      <c r="AQ35161" s="31"/>
    </row>
    <row r="35162" spans="43:43" x14ac:dyDescent="0.2">
      <c r="AQ35162" s="31"/>
    </row>
    <row r="35163" spans="43:43" x14ac:dyDescent="0.2">
      <c r="AQ35163" s="31"/>
    </row>
    <row r="35164" spans="43:43" x14ac:dyDescent="0.2">
      <c r="AQ35164" s="31"/>
    </row>
    <row r="35165" spans="43:43" x14ac:dyDescent="0.2">
      <c r="AQ35165" s="31"/>
    </row>
    <row r="35166" spans="43:43" x14ac:dyDescent="0.2">
      <c r="AQ35166" s="31"/>
    </row>
    <row r="35167" spans="43:43" x14ac:dyDescent="0.2">
      <c r="AQ35167" s="31"/>
    </row>
    <row r="35168" spans="43:43" x14ac:dyDescent="0.2">
      <c r="AQ35168" s="31"/>
    </row>
    <row r="35169" spans="43:43" x14ac:dyDescent="0.2">
      <c r="AQ35169" s="31"/>
    </row>
    <row r="35170" spans="43:43" x14ac:dyDescent="0.2">
      <c r="AQ35170" s="31"/>
    </row>
    <row r="35171" spans="43:43" x14ac:dyDescent="0.2">
      <c r="AQ35171" s="31"/>
    </row>
    <row r="35172" spans="43:43" x14ac:dyDescent="0.2">
      <c r="AQ35172" s="31"/>
    </row>
    <row r="35173" spans="43:43" x14ac:dyDescent="0.2">
      <c r="AQ35173" s="31"/>
    </row>
    <row r="35174" spans="43:43" x14ac:dyDescent="0.2">
      <c r="AQ35174" s="31"/>
    </row>
    <row r="35175" spans="43:43" x14ac:dyDescent="0.2">
      <c r="AQ35175" s="31"/>
    </row>
    <row r="35176" spans="43:43" x14ac:dyDescent="0.2">
      <c r="AQ35176" s="31"/>
    </row>
    <row r="35177" spans="43:43" x14ac:dyDescent="0.2">
      <c r="AQ35177" s="31"/>
    </row>
    <row r="35178" spans="43:43" x14ac:dyDescent="0.2">
      <c r="AQ35178" s="31"/>
    </row>
    <row r="35179" spans="43:43" x14ac:dyDescent="0.2">
      <c r="AQ35179" s="31"/>
    </row>
    <row r="35180" spans="43:43" x14ac:dyDescent="0.2">
      <c r="AQ35180" s="31"/>
    </row>
    <row r="35181" spans="43:43" x14ac:dyDescent="0.2">
      <c r="AQ35181" s="31"/>
    </row>
    <row r="35182" spans="43:43" x14ac:dyDescent="0.2">
      <c r="AQ35182" s="31"/>
    </row>
    <row r="35183" spans="43:43" x14ac:dyDescent="0.2">
      <c r="AQ35183" s="31"/>
    </row>
    <row r="35184" spans="43:43" x14ac:dyDescent="0.2">
      <c r="AQ35184" s="31"/>
    </row>
    <row r="35185" spans="43:43" x14ac:dyDescent="0.2">
      <c r="AQ35185" s="31"/>
    </row>
    <row r="35186" spans="43:43" x14ac:dyDescent="0.2">
      <c r="AQ35186" s="31"/>
    </row>
    <row r="35187" spans="43:43" x14ac:dyDescent="0.2">
      <c r="AQ35187" s="31"/>
    </row>
    <row r="35188" spans="43:43" x14ac:dyDescent="0.2">
      <c r="AQ35188" s="31"/>
    </row>
    <row r="35189" spans="43:43" x14ac:dyDescent="0.2">
      <c r="AQ35189" s="31"/>
    </row>
    <row r="35190" spans="43:43" x14ac:dyDescent="0.2">
      <c r="AQ35190" s="31"/>
    </row>
    <row r="35191" spans="43:43" x14ac:dyDescent="0.2">
      <c r="AQ35191" s="31"/>
    </row>
    <row r="35192" spans="43:43" x14ac:dyDescent="0.2">
      <c r="AQ35192" s="31"/>
    </row>
    <row r="35193" spans="43:43" x14ac:dyDescent="0.2">
      <c r="AQ35193" s="31"/>
    </row>
    <row r="35194" spans="43:43" x14ac:dyDescent="0.2">
      <c r="AQ35194" s="31"/>
    </row>
    <row r="35195" spans="43:43" x14ac:dyDescent="0.2">
      <c r="AQ35195" s="31"/>
    </row>
    <row r="35196" spans="43:43" x14ac:dyDescent="0.2">
      <c r="AQ35196" s="31"/>
    </row>
    <row r="35197" spans="43:43" x14ac:dyDescent="0.2">
      <c r="AQ35197" s="31"/>
    </row>
    <row r="35198" spans="43:43" x14ac:dyDescent="0.2">
      <c r="AQ35198" s="31"/>
    </row>
    <row r="35199" spans="43:43" x14ac:dyDescent="0.2">
      <c r="AQ35199" s="31"/>
    </row>
    <row r="35200" spans="43:43" x14ac:dyDescent="0.2">
      <c r="AQ35200" s="31"/>
    </row>
    <row r="35201" spans="43:43" x14ac:dyDescent="0.2">
      <c r="AQ35201" s="31"/>
    </row>
    <row r="35202" spans="43:43" x14ac:dyDescent="0.2">
      <c r="AQ35202" s="31"/>
    </row>
    <row r="35203" spans="43:43" x14ac:dyDescent="0.2">
      <c r="AQ35203" s="31"/>
    </row>
    <row r="35204" spans="43:43" x14ac:dyDescent="0.2">
      <c r="AQ35204" s="31"/>
    </row>
    <row r="35205" spans="43:43" x14ac:dyDescent="0.2">
      <c r="AQ35205" s="31"/>
    </row>
    <row r="35206" spans="43:43" x14ac:dyDescent="0.2">
      <c r="AQ35206" s="31"/>
    </row>
    <row r="35207" spans="43:43" x14ac:dyDescent="0.2">
      <c r="AQ35207" s="31"/>
    </row>
    <row r="35208" spans="43:43" x14ac:dyDescent="0.2">
      <c r="AQ35208" s="31"/>
    </row>
    <row r="35209" spans="43:43" x14ac:dyDescent="0.2">
      <c r="AQ35209" s="31"/>
    </row>
    <row r="35210" spans="43:43" x14ac:dyDescent="0.2">
      <c r="AQ35210" s="31"/>
    </row>
    <row r="35211" spans="43:43" x14ac:dyDescent="0.2">
      <c r="AQ35211" s="31"/>
    </row>
    <row r="35212" spans="43:43" x14ac:dyDescent="0.2">
      <c r="AQ35212" s="31"/>
    </row>
    <row r="35213" spans="43:43" x14ac:dyDescent="0.2">
      <c r="AQ35213" s="31"/>
    </row>
    <row r="35214" spans="43:43" x14ac:dyDescent="0.2">
      <c r="AQ35214" s="31"/>
    </row>
    <row r="35215" spans="43:43" x14ac:dyDescent="0.2">
      <c r="AQ35215" s="31"/>
    </row>
    <row r="35216" spans="43:43" x14ac:dyDescent="0.2">
      <c r="AQ35216" s="31"/>
    </row>
    <row r="35217" spans="43:43" x14ac:dyDescent="0.2">
      <c r="AQ35217" s="31"/>
    </row>
    <row r="35218" spans="43:43" x14ac:dyDescent="0.2">
      <c r="AQ35218" s="31"/>
    </row>
    <row r="35219" spans="43:43" x14ac:dyDescent="0.2">
      <c r="AQ35219" s="31"/>
    </row>
    <row r="35220" spans="43:43" x14ac:dyDescent="0.2">
      <c r="AQ35220" s="31"/>
    </row>
    <row r="35221" spans="43:43" x14ac:dyDescent="0.2">
      <c r="AQ35221" s="31"/>
    </row>
    <row r="35222" spans="43:43" x14ac:dyDescent="0.2">
      <c r="AQ35222" s="31"/>
    </row>
    <row r="35223" spans="43:43" x14ac:dyDescent="0.2">
      <c r="AQ35223" s="31"/>
    </row>
    <row r="35224" spans="43:43" x14ac:dyDescent="0.2">
      <c r="AQ35224" s="31"/>
    </row>
    <row r="35225" spans="43:43" x14ac:dyDescent="0.2">
      <c r="AQ35225" s="31"/>
    </row>
    <row r="35226" spans="43:43" x14ac:dyDescent="0.2">
      <c r="AQ35226" s="31"/>
    </row>
    <row r="35227" spans="43:43" x14ac:dyDescent="0.2">
      <c r="AQ35227" s="31"/>
    </row>
    <row r="35228" spans="43:43" x14ac:dyDescent="0.2">
      <c r="AQ35228" s="31"/>
    </row>
    <row r="35229" spans="43:43" x14ac:dyDescent="0.2">
      <c r="AQ35229" s="31"/>
    </row>
    <row r="35230" spans="43:43" x14ac:dyDescent="0.2">
      <c r="AQ35230" s="31"/>
    </row>
    <row r="35231" spans="43:43" x14ac:dyDescent="0.2">
      <c r="AQ35231" s="31"/>
    </row>
    <row r="35232" spans="43:43" x14ac:dyDescent="0.2">
      <c r="AQ35232" s="31"/>
    </row>
    <row r="35233" spans="43:43" x14ac:dyDescent="0.2">
      <c r="AQ35233" s="31"/>
    </row>
    <row r="35234" spans="43:43" x14ac:dyDescent="0.2">
      <c r="AQ35234" s="31"/>
    </row>
    <row r="35235" spans="43:43" x14ac:dyDescent="0.2">
      <c r="AQ35235" s="31"/>
    </row>
    <row r="35236" spans="43:43" x14ac:dyDescent="0.2">
      <c r="AQ35236" s="31"/>
    </row>
    <row r="35237" spans="43:43" x14ac:dyDescent="0.2">
      <c r="AQ35237" s="31"/>
    </row>
    <row r="35238" spans="43:43" x14ac:dyDescent="0.2">
      <c r="AQ35238" s="31"/>
    </row>
    <row r="35239" spans="43:43" x14ac:dyDescent="0.2">
      <c r="AQ35239" s="31"/>
    </row>
    <row r="35240" spans="43:43" x14ac:dyDescent="0.2">
      <c r="AQ35240" s="31"/>
    </row>
    <row r="35241" spans="43:43" x14ac:dyDescent="0.2">
      <c r="AQ35241" s="31"/>
    </row>
    <row r="35242" spans="43:43" x14ac:dyDescent="0.2">
      <c r="AQ35242" s="31"/>
    </row>
    <row r="35243" spans="43:43" x14ac:dyDescent="0.2">
      <c r="AQ35243" s="31"/>
    </row>
    <row r="35244" spans="43:43" x14ac:dyDescent="0.2">
      <c r="AQ35244" s="31"/>
    </row>
    <row r="35245" spans="43:43" x14ac:dyDescent="0.2">
      <c r="AQ35245" s="31"/>
    </row>
    <row r="35246" spans="43:43" x14ac:dyDescent="0.2">
      <c r="AQ35246" s="31"/>
    </row>
    <row r="35247" spans="43:43" x14ac:dyDescent="0.2">
      <c r="AQ35247" s="31"/>
    </row>
    <row r="35248" spans="43:43" x14ac:dyDescent="0.2">
      <c r="AQ35248" s="31"/>
    </row>
    <row r="35249" spans="43:43" x14ac:dyDescent="0.2">
      <c r="AQ35249" s="31"/>
    </row>
    <row r="35250" spans="43:43" x14ac:dyDescent="0.2">
      <c r="AQ35250" s="31"/>
    </row>
    <row r="35251" spans="43:43" x14ac:dyDescent="0.2">
      <c r="AQ35251" s="31"/>
    </row>
    <row r="35252" spans="43:43" x14ac:dyDescent="0.2">
      <c r="AQ35252" s="31"/>
    </row>
    <row r="35253" spans="43:43" x14ac:dyDescent="0.2">
      <c r="AQ35253" s="31"/>
    </row>
    <row r="35254" spans="43:43" x14ac:dyDescent="0.2">
      <c r="AQ35254" s="31"/>
    </row>
    <row r="35255" spans="43:43" x14ac:dyDescent="0.2">
      <c r="AQ35255" s="31"/>
    </row>
    <row r="35256" spans="43:43" x14ac:dyDescent="0.2">
      <c r="AQ35256" s="31"/>
    </row>
    <row r="35257" spans="43:43" x14ac:dyDescent="0.2">
      <c r="AQ35257" s="31"/>
    </row>
    <row r="35258" spans="43:43" x14ac:dyDescent="0.2">
      <c r="AQ35258" s="31"/>
    </row>
    <row r="35259" spans="43:43" x14ac:dyDescent="0.2">
      <c r="AQ35259" s="31"/>
    </row>
    <row r="35260" spans="43:43" x14ac:dyDescent="0.2">
      <c r="AQ35260" s="31"/>
    </row>
    <row r="35261" spans="43:43" x14ac:dyDescent="0.2">
      <c r="AQ35261" s="31"/>
    </row>
    <row r="35262" spans="43:43" x14ac:dyDescent="0.2">
      <c r="AQ35262" s="31"/>
    </row>
    <row r="35263" spans="43:43" x14ac:dyDescent="0.2">
      <c r="AQ35263" s="31"/>
    </row>
    <row r="35264" spans="43:43" x14ac:dyDescent="0.2">
      <c r="AQ35264" s="31"/>
    </row>
    <row r="35265" spans="43:43" x14ac:dyDescent="0.2">
      <c r="AQ35265" s="31"/>
    </row>
    <row r="35266" spans="43:43" x14ac:dyDescent="0.2">
      <c r="AQ35266" s="31"/>
    </row>
    <row r="35267" spans="43:43" x14ac:dyDescent="0.2">
      <c r="AQ35267" s="31"/>
    </row>
    <row r="35268" spans="43:43" x14ac:dyDescent="0.2">
      <c r="AQ35268" s="31"/>
    </row>
    <row r="35269" spans="43:43" x14ac:dyDescent="0.2">
      <c r="AQ35269" s="31"/>
    </row>
    <row r="35270" spans="43:43" x14ac:dyDescent="0.2">
      <c r="AQ35270" s="31"/>
    </row>
    <row r="35271" spans="43:43" x14ac:dyDescent="0.2">
      <c r="AQ35271" s="31"/>
    </row>
    <row r="35272" spans="43:43" x14ac:dyDescent="0.2">
      <c r="AQ35272" s="31"/>
    </row>
    <row r="35273" spans="43:43" x14ac:dyDescent="0.2">
      <c r="AQ35273" s="31"/>
    </row>
    <row r="35274" spans="43:43" x14ac:dyDescent="0.2">
      <c r="AQ35274" s="31"/>
    </row>
    <row r="35275" spans="43:43" x14ac:dyDescent="0.2">
      <c r="AQ35275" s="31"/>
    </row>
    <row r="35276" spans="43:43" x14ac:dyDescent="0.2">
      <c r="AQ35276" s="31"/>
    </row>
    <row r="35277" spans="43:43" x14ac:dyDescent="0.2">
      <c r="AQ35277" s="31"/>
    </row>
    <row r="35278" spans="43:43" x14ac:dyDescent="0.2">
      <c r="AQ35278" s="31"/>
    </row>
    <row r="35279" spans="43:43" x14ac:dyDescent="0.2">
      <c r="AQ35279" s="31"/>
    </row>
    <row r="35280" spans="43:43" x14ac:dyDescent="0.2">
      <c r="AQ35280" s="31"/>
    </row>
    <row r="35281" spans="43:43" x14ac:dyDescent="0.2">
      <c r="AQ35281" s="31"/>
    </row>
    <row r="35282" spans="43:43" x14ac:dyDescent="0.2">
      <c r="AQ35282" s="31"/>
    </row>
    <row r="35283" spans="43:43" x14ac:dyDescent="0.2">
      <c r="AQ35283" s="31"/>
    </row>
    <row r="35284" spans="43:43" x14ac:dyDescent="0.2">
      <c r="AQ35284" s="31"/>
    </row>
    <row r="35285" spans="43:43" x14ac:dyDescent="0.2">
      <c r="AQ35285" s="31"/>
    </row>
    <row r="35286" spans="43:43" x14ac:dyDescent="0.2">
      <c r="AQ35286" s="31"/>
    </row>
    <row r="35287" spans="43:43" x14ac:dyDescent="0.2">
      <c r="AQ35287" s="31"/>
    </row>
    <row r="35288" spans="43:43" x14ac:dyDescent="0.2">
      <c r="AQ35288" s="31"/>
    </row>
    <row r="35289" spans="43:43" x14ac:dyDescent="0.2">
      <c r="AQ35289" s="31"/>
    </row>
    <row r="35290" spans="43:43" x14ac:dyDescent="0.2">
      <c r="AQ35290" s="31"/>
    </row>
    <row r="35291" spans="43:43" x14ac:dyDescent="0.2">
      <c r="AQ35291" s="31"/>
    </row>
    <row r="35292" spans="43:43" x14ac:dyDescent="0.2">
      <c r="AQ35292" s="31"/>
    </row>
    <row r="35293" spans="43:43" x14ac:dyDescent="0.2">
      <c r="AQ35293" s="31"/>
    </row>
    <row r="35294" spans="43:43" x14ac:dyDescent="0.2">
      <c r="AQ35294" s="31"/>
    </row>
    <row r="35295" spans="43:43" x14ac:dyDescent="0.2">
      <c r="AQ35295" s="31"/>
    </row>
    <row r="35296" spans="43:43" x14ac:dyDescent="0.2">
      <c r="AQ35296" s="31"/>
    </row>
    <row r="35297" spans="43:43" x14ac:dyDescent="0.2">
      <c r="AQ35297" s="31"/>
    </row>
    <row r="35298" spans="43:43" x14ac:dyDescent="0.2">
      <c r="AQ35298" s="31"/>
    </row>
    <row r="35299" spans="43:43" x14ac:dyDescent="0.2">
      <c r="AQ35299" s="31"/>
    </row>
    <row r="35300" spans="43:43" x14ac:dyDescent="0.2">
      <c r="AQ35300" s="31"/>
    </row>
    <row r="35301" spans="43:43" x14ac:dyDescent="0.2">
      <c r="AQ35301" s="31"/>
    </row>
    <row r="35302" spans="43:43" x14ac:dyDescent="0.2">
      <c r="AQ35302" s="31"/>
    </row>
    <row r="35303" spans="43:43" x14ac:dyDescent="0.2">
      <c r="AQ35303" s="31"/>
    </row>
    <row r="35304" spans="43:43" x14ac:dyDescent="0.2">
      <c r="AQ35304" s="31"/>
    </row>
    <row r="35305" spans="43:43" x14ac:dyDescent="0.2">
      <c r="AQ35305" s="31"/>
    </row>
    <row r="35306" spans="43:43" x14ac:dyDescent="0.2">
      <c r="AQ35306" s="31"/>
    </row>
    <row r="35307" spans="43:43" x14ac:dyDescent="0.2">
      <c r="AQ35307" s="31"/>
    </row>
    <row r="35308" spans="43:43" x14ac:dyDescent="0.2">
      <c r="AQ35308" s="31"/>
    </row>
    <row r="35309" spans="43:43" x14ac:dyDescent="0.2">
      <c r="AQ35309" s="31"/>
    </row>
    <row r="35310" spans="43:43" x14ac:dyDescent="0.2">
      <c r="AQ35310" s="31"/>
    </row>
    <row r="35311" spans="43:43" x14ac:dyDescent="0.2">
      <c r="AQ35311" s="31"/>
    </row>
    <row r="35312" spans="43:43" x14ac:dyDescent="0.2">
      <c r="AQ35312" s="31"/>
    </row>
    <row r="35313" spans="43:43" x14ac:dyDescent="0.2">
      <c r="AQ35313" s="31"/>
    </row>
    <row r="35314" spans="43:43" x14ac:dyDescent="0.2">
      <c r="AQ35314" s="31"/>
    </row>
    <row r="35315" spans="43:43" x14ac:dyDescent="0.2">
      <c r="AQ35315" s="31"/>
    </row>
    <row r="35316" spans="43:43" x14ac:dyDescent="0.2">
      <c r="AQ35316" s="31"/>
    </row>
    <row r="35317" spans="43:43" x14ac:dyDescent="0.2">
      <c r="AQ35317" s="31"/>
    </row>
    <row r="35318" spans="43:43" x14ac:dyDescent="0.2">
      <c r="AQ35318" s="31"/>
    </row>
    <row r="35319" spans="43:43" x14ac:dyDescent="0.2">
      <c r="AQ35319" s="31"/>
    </row>
    <row r="35320" spans="43:43" x14ac:dyDescent="0.2">
      <c r="AQ35320" s="31"/>
    </row>
    <row r="35321" spans="43:43" x14ac:dyDescent="0.2">
      <c r="AQ35321" s="31"/>
    </row>
    <row r="35322" spans="43:43" x14ac:dyDescent="0.2">
      <c r="AQ35322" s="31"/>
    </row>
    <row r="35323" spans="43:43" x14ac:dyDescent="0.2">
      <c r="AQ35323" s="31"/>
    </row>
    <row r="35324" spans="43:43" x14ac:dyDescent="0.2">
      <c r="AQ35324" s="31"/>
    </row>
    <row r="35325" spans="43:43" x14ac:dyDescent="0.2">
      <c r="AQ35325" s="31"/>
    </row>
    <row r="35326" spans="43:43" x14ac:dyDescent="0.2">
      <c r="AQ35326" s="31"/>
    </row>
    <row r="35327" spans="43:43" x14ac:dyDescent="0.2">
      <c r="AQ35327" s="31"/>
    </row>
    <row r="35328" spans="43:43" x14ac:dyDescent="0.2">
      <c r="AQ35328" s="31"/>
    </row>
    <row r="35329" spans="43:43" x14ac:dyDescent="0.2">
      <c r="AQ35329" s="31"/>
    </row>
    <row r="35330" spans="43:43" x14ac:dyDescent="0.2">
      <c r="AQ35330" s="31"/>
    </row>
    <row r="35331" spans="43:43" x14ac:dyDescent="0.2">
      <c r="AQ35331" s="31"/>
    </row>
    <row r="35332" spans="43:43" x14ac:dyDescent="0.2">
      <c r="AQ35332" s="31"/>
    </row>
    <row r="35333" spans="43:43" x14ac:dyDescent="0.2">
      <c r="AQ35333" s="31"/>
    </row>
    <row r="35334" spans="43:43" x14ac:dyDescent="0.2">
      <c r="AQ35334" s="31"/>
    </row>
    <row r="35335" spans="43:43" x14ac:dyDescent="0.2">
      <c r="AQ35335" s="31"/>
    </row>
    <row r="35336" spans="43:43" x14ac:dyDescent="0.2">
      <c r="AQ35336" s="31"/>
    </row>
    <row r="35337" spans="43:43" x14ac:dyDescent="0.2">
      <c r="AQ35337" s="31"/>
    </row>
    <row r="35338" spans="43:43" x14ac:dyDescent="0.2">
      <c r="AQ35338" s="31"/>
    </row>
    <row r="35339" spans="43:43" x14ac:dyDescent="0.2">
      <c r="AQ35339" s="31"/>
    </row>
    <row r="35340" spans="43:43" x14ac:dyDescent="0.2">
      <c r="AQ35340" s="31"/>
    </row>
    <row r="35341" spans="43:43" x14ac:dyDescent="0.2">
      <c r="AQ35341" s="31"/>
    </row>
    <row r="35342" spans="43:43" x14ac:dyDescent="0.2">
      <c r="AQ35342" s="31"/>
    </row>
    <row r="35343" spans="43:43" x14ac:dyDescent="0.2">
      <c r="AQ35343" s="31"/>
    </row>
    <row r="35344" spans="43:43" x14ac:dyDescent="0.2">
      <c r="AQ35344" s="31"/>
    </row>
    <row r="35345" spans="43:43" x14ac:dyDescent="0.2">
      <c r="AQ35345" s="31"/>
    </row>
    <row r="35346" spans="43:43" x14ac:dyDescent="0.2">
      <c r="AQ35346" s="31"/>
    </row>
    <row r="35347" spans="43:43" x14ac:dyDescent="0.2">
      <c r="AQ35347" s="31"/>
    </row>
    <row r="35348" spans="43:43" x14ac:dyDescent="0.2">
      <c r="AQ35348" s="31"/>
    </row>
    <row r="35349" spans="43:43" x14ac:dyDescent="0.2">
      <c r="AQ35349" s="31"/>
    </row>
    <row r="35350" spans="43:43" x14ac:dyDescent="0.2">
      <c r="AQ35350" s="31"/>
    </row>
    <row r="35351" spans="43:43" x14ac:dyDescent="0.2">
      <c r="AQ35351" s="31"/>
    </row>
    <row r="35352" spans="43:43" x14ac:dyDescent="0.2">
      <c r="AQ35352" s="31"/>
    </row>
    <row r="35353" spans="43:43" x14ac:dyDescent="0.2">
      <c r="AQ35353" s="31"/>
    </row>
    <row r="35354" spans="43:43" x14ac:dyDescent="0.2">
      <c r="AQ35354" s="31"/>
    </row>
    <row r="35355" spans="43:43" x14ac:dyDescent="0.2">
      <c r="AQ35355" s="31"/>
    </row>
    <row r="35356" spans="43:43" x14ac:dyDescent="0.2">
      <c r="AQ35356" s="31"/>
    </row>
    <row r="35357" spans="43:43" x14ac:dyDescent="0.2">
      <c r="AQ35357" s="31"/>
    </row>
    <row r="35358" spans="43:43" x14ac:dyDescent="0.2">
      <c r="AQ35358" s="31"/>
    </row>
    <row r="35359" spans="43:43" x14ac:dyDescent="0.2">
      <c r="AQ35359" s="31"/>
    </row>
    <row r="35360" spans="43:43" x14ac:dyDescent="0.2">
      <c r="AQ35360" s="31"/>
    </row>
    <row r="35361" spans="43:43" x14ac:dyDescent="0.2">
      <c r="AQ35361" s="31"/>
    </row>
    <row r="35362" spans="43:43" x14ac:dyDescent="0.2">
      <c r="AQ35362" s="31"/>
    </row>
    <row r="35363" spans="43:43" x14ac:dyDescent="0.2">
      <c r="AQ35363" s="31"/>
    </row>
    <row r="35364" spans="43:43" x14ac:dyDescent="0.2">
      <c r="AQ35364" s="31"/>
    </row>
    <row r="35365" spans="43:43" x14ac:dyDescent="0.2">
      <c r="AQ35365" s="31"/>
    </row>
    <row r="35366" spans="43:43" x14ac:dyDescent="0.2">
      <c r="AQ35366" s="31"/>
    </row>
    <row r="35367" spans="43:43" x14ac:dyDescent="0.2">
      <c r="AQ35367" s="31"/>
    </row>
    <row r="35368" spans="43:43" x14ac:dyDescent="0.2">
      <c r="AQ35368" s="31"/>
    </row>
    <row r="35369" spans="43:43" x14ac:dyDescent="0.2">
      <c r="AQ35369" s="31"/>
    </row>
    <row r="35370" spans="43:43" x14ac:dyDescent="0.2">
      <c r="AQ35370" s="31"/>
    </row>
    <row r="35371" spans="43:43" x14ac:dyDescent="0.2">
      <c r="AQ35371" s="31"/>
    </row>
    <row r="35372" spans="43:43" x14ac:dyDescent="0.2">
      <c r="AQ35372" s="31"/>
    </row>
    <row r="35373" spans="43:43" x14ac:dyDescent="0.2">
      <c r="AQ35373" s="31"/>
    </row>
    <row r="35374" spans="43:43" x14ac:dyDescent="0.2">
      <c r="AQ35374" s="31"/>
    </row>
    <row r="35375" spans="43:43" x14ac:dyDescent="0.2">
      <c r="AQ35375" s="31"/>
    </row>
    <row r="35376" spans="43:43" x14ac:dyDescent="0.2">
      <c r="AQ35376" s="31"/>
    </row>
    <row r="35377" spans="43:43" x14ac:dyDescent="0.2">
      <c r="AQ35377" s="31"/>
    </row>
    <row r="35378" spans="43:43" x14ac:dyDescent="0.2">
      <c r="AQ35378" s="31"/>
    </row>
    <row r="35379" spans="43:43" x14ac:dyDescent="0.2">
      <c r="AQ35379" s="31"/>
    </row>
    <row r="35380" spans="43:43" x14ac:dyDescent="0.2">
      <c r="AQ35380" s="31"/>
    </row>
    <row r="35381" spans="43:43" x14ac:dyDescent="0.2">
      <c r="AQ35381" s="31"/>
    </row>
    <row r="35382" spans="43:43" x14ac:dyDescent="0.2">
      <c r="AQ35382" s="31"/>
    </row>
    <row r="35383" spans="43:43" x14ac:dyDescent="0.2">
      <c r="AQ35383" s="31"/>
    </row>
    <row r="35384" spans="43:43" x14ac:dyDescent="0.2">
      <c r="AQ35384" s="31"/>
    </row>
    <row r="35385" spans="43:43" x14ac:dyDescent="0.2">
      <c r="AQ35385" s="31"/>
    </row>
    <row r="35386" spans="43:43" x14ac:dyDescent="0.2">
      <c r="AQ35386" s="31"/>
    </row>
    <row r="35387" spans="43:43" x14ac:dyDescent="0.2">
      <c r="AQ35387" s="31"/>
    </row>
    <row r="35388" spans="43:43" x14ac:dyDescent="0.2">
      <c r="AQ35388" s="31"/>
    </row>
    <row r="35389" spans="43:43" x14ac:dyDescent="0.2">
      <c r="AQ35389" s="31"/>
    </row>
    <row r="35390" spans="43:43" x14ac:dyDescent="0.2">
      <c r="AQ35390" s="31"/>
    </row>
    <row r="35391" spans="43:43" x14ac:dyDescent="0.2">
      <c r="AQ35391" s="31"/>
    </row>
    <row r="35392" spans="43:43" x14ac:dyDescent="0.2">
      <c r="AQ35392" s="31"/>
    </row>
    <row r="35393" spans="43:43" x14ac:dyDescent="0.2">
      <c r="AQ35393" s="31"/>
    </row>
    <row r="35394" spans="43:43" x14ac:dyDescent="0.2">
      <c r="AQ35394" s="31"/>
    </row>
    <row r="35395" spans="43:43" x14ac:dyDescent="0.2">
      <c r="AQ35395" s="31"/>
    </row>
    <row r="35396" spans="43:43" x14ac:dyDescent="0.2">
      <c r="AQ35396" s="31"/>
    </row>
    <row r="35397" spans="43:43" x14ac:dyDescent="0.2">
      <c r="AQ35397" s="31"/>
    </row>
    <row r="35398" spans="43:43" x14ac:dyDescent="0.2">
      <c r="AQ35398" s="31"/>
    </row>
    <row r="35399" spans="43:43" x14ac:dyDescent="0.2">
      <c r="AQ35399" s="31"/>
    </row>
    <row r="35400" spans="43:43" x14ac:dyDescent="0.2">
      <c r="AQ35400" s="31"/>
    </row>
    <row r="35401" spans="43:43" x14ac:dyDescent="0.2">
      <c r="AQ35401" s="31"/>
    </row>
    <row r="35402" spans="43:43" x14ac:dyDescent="0.2">
      <c r="AQ35402" s="31"/>
    </row>
    <row r="35403" spans="43:43" x14ac:dyDescent="0.2">
      <c r="AQ35403" s="31"/>
    </row>
    <row r="35404" spans="43:43" x14ac:dyDescent="0.2">
      <c r="AQ35404" s="31"/>
    </row>
    <row r="35405" spans="43:43" x14ac:dyDescent="0.2">
      <c r="AQ35405" s="31"/>
    </row>
    <row r="35406" spans="43:43" x14ac:dyDescent="0.2">
      <c r="AQ35406" s="31"/>
    </row>
    <row r="35407" spans="43:43" x14ac:dyDescent="0.2">
      <c r="AQ35407" s="31"/>
    </row>
    <row r="35408" spans="43:43" x14ac:dyDescent="0.2">
      <c r="AQ35408" s="31"/>
    </row>
    <row r="35409" spans="43:43" x14ac:dyDescent="0.2">
      <c r="AQ35409" s="31"/>
    </row>
    <row r="35410" spans="43:43" x14ac:dyDescent="0.2">
      <c r="AQ35410" s="31"/>
    </row>
    <row r="35411" spans="43:43" x14ac:dyDescent="0.2">
      <c r="AQ35411" s="31"/>
    </row>
    <row r="35412" spans="43:43" x14ac:dyDescent="0.2">
      <c r="AQ35412" s="31"/>
    </row>
    <row r="35413" spans="43:43" x14ac:dyDescent="0.2">
      <c r="AQ35413" s="31"/>
    </row>
    <row r="35414" spans="43:43" x14ac:dyDescent="0.2">
      <c r="AQ35414" s="31"/>
    </row>
    <row r="35415" spans="43:43" x14ac:dyDescent="0.2">
      <c r="AQ35415" s="31"/>
    </row>
    <row r="35416" spans="43:43" x14ac:dyDescent="0.2">
      <c r="AQ35416" s="31"/>
    </row>
    <row r="35417" spans="43:43" x14ac:dyDescent="0.2">
      <c r="AQ35417" s="31"/>
    </row>
    <row r="35418" spans="43:43" x14ac:dyDescent="0.2">
      <c r="AQ35418" s="31"/>
    </row>
    <row r="35419" spans="43:43" x14ac:dyDescent="0.2">
      <c r="AQ35419" s="31"/>
    </row>
    <row r="35420" spans="43:43" x14ac:dyDescent="0.2">
      <c r="AQ35420" s="31"/>
    </row>
    <row r="35421" spans="43:43" x14ac:dyDescent="0.2">
      <c r="AQ35421" s="31"/>
    </row>
    <row r="35422" spans="43:43" x14ac:dyDescent="0.2">
      <c r="AQ35422" s="31"/>
    </row>
    <row r="35423" spans="43:43" x14ac:dyDescent="0.2">
      <c r="AQ35423" s="31"/>
    </row>
    <row r="35424" spans="43:43" x14ac:dyDescent="0.2">
      <c r="AQ35424" s="31"/>
    </row>
    <row r="35425" spans="43:43" x14ac:dyDescent="0.2">
      <c r="AQ35425" s="31"/>
    </row>
    <row r="35426" spans="43:43" x14ac:dyDescent="0.2">
      <c r="AQ35426" s="31"/>
    </row>
    <row r="35427" spans="43:43" x14ac:dyDescent="0.2">
      <c r="AQ35427" s="31"/>
    </row>
    <row r="35428" spans="43:43" x14ac:dyDescent="0.2">
      <c r="AQ35428" s="31"/>
    </row>
    <row r="35429" spans="43:43" x14ac:dyDescent="0.2">
      <c r="AQ35429" s="31"/>
    </row>
    <row r="35430" spans="43:43" x14ac:dyDescent="0.2">
      <c r="AQ35430" s="31"/>
    </row>
    <row r="35431" spans="43:43" x14ac:dyDescent="0.2">
      <c r="AQ35431" s="31"/>
    </row>
    <row r="35432" spans="43:43" x14ac:dyDescent="0.2">
      <c r="AQ35432" s="31"/>
    </row>
    <row r="35433" spans="43:43" x14ac:dyDescent="0.2">
      <c r="AQ35433" s="31"/>
    </row>
    <row r="35434" spans="43:43" x14ac:dyDescent="0.2">
      <c r="AQ35434" s="31"/>
    </row>
    <row r="35435" spans="43:43" x14ac:dyDescent="0.2">
      <c r="AQ35435" s="31"/>
    </row>
    <row r="35436" spans="43:43" x14ac:dyDescent="0.2">
      <c r="AQ35436" s="31"/>
    </row>
    <row r="35437" spans="43:43" x14ac:dyDescent="0.2">
      <c r="AQ35437" s="31"/>
    </row>
    <row r="35438" spans="43:43" x14ac:dyDescent="0.2">
      <c r="AQ35438" s="31"/>
    </row>
    <row r="35439" spans="43:43" x14ac:dyDescent="0.2">
      <c r="AQ35439" s="31"/>
    </row>
    <row r="35440" spans="43:43" x14ac:dyDescent="0.2">
      <c r="AQ35440" s="31"/>
    </row>
    <row r="35441" spans="43:43" x14ac:dyDescent="0.2">
      <c r="AQ35441" s="31"/>
    </row>
    <row r="35442" spans="43:43" x14ac:dyDescent="0.2">
      <c r="AQ35442" s="31"/>
    </row>
    <row r="35443" spans="43:43" x14ac:dyDescent="0.2">
      <c r="AQ35443" s="31"/>
    </row>
    <row r="35444" spans="43:43" x14ac:dyDescent="0.2">
      <c r="AQ35444" s="31"/>
    </row>
    <row r="35445" spans="43:43" x14ac:dyDescent="0.2">
      <c r="AQ35445" s="31"/>
    </row>
    <row r="35446" spans="43:43" x14ac:dyDescent="0.2">
      <c r="AQ35446" s="31"/>
    </row>
    <row r="35447" spans="43:43" x14ac:dyDescent="0.2">
      <c r="AQ35447" s="31"/>
    </row>
    <row r="35448" spans="43:43" x14ac:dyDescent="0.2">
      <c r="AQ35448" s="31"/>
    </row>
    <row r="35449" spans="43:43" x14ac:dyDescent="0.2">
      <c r="AQ35449" s="31"/>
    </row>
    <row r="35450" spans="43:43" x14ac:dyDescent="0.2">
      <c r="AQ35450" s="31"/>
    </row>
    <row r="35451" spans="43:43" x14ac:dyDescent="0.2">
      <c r="AQ35451" s="31"/>
    </row>
    <row r="35452" spans="43:43" x14ac:dyDescent="0.2">
      <c r="AQ35452" s="31"/>
    </row>
    <row r="35453" spans="43:43" x14ac:dyDescent="0.2">
      <c r="AQ35453" s="31"/>
    </row>
    <row r="35454" spans="43:43" x14ac:dyDescent="0.2">
      <c r="AQ35454" s="31"/>
    </row>
    <row r="35455" spans="43:43" x14ac:dyDescent="0.2">
      <c r="AQ35455" s="31"/>
    </row>
    <row r="35456" spans="43:43" x14ac:dyDescent="0.2">
      <c r="AQ35456" s="31"/>
    </row>
    <row r="35457" spans="43:43" x14ac:dyDescent="0.2">
      <c r="AQ35457" s="31"/>
    </row>
    <row r="35458" spans="43:43" x14ac:dyDescent="0.2">
      <c r="AQ35458" s="31"/>
    </row>
    <row r="35459" spans="43:43" x14ac:dyDescent="0.2">
      <c r="AQ35459" s="31"/>
    </row>
    <row r="35460" spans="43:43" x14ac:dyDescent="0.2">
      <c r="AQ35460" s="31"/>
    </row>
    <row r="35461" spans="43:43" x14ac:dyDescent="0.2">
      <c r="AQ35461" s="31"/>
    </row>
    <row r="35462" spans="43:43" x14ac:dyDescent="0.2">
      <c r="AQ35462" s="31"/>
    </row>
    <row r="35463" spans="43:43" x14ac:dyDescent="0.2">
      <c r="AQ35463" s="31"/>
    </row>
    <row r="35464" spans="43:43" x14ac:dyDescent="0.2">
      <c r="AQ35464" s="31"/>
    </row>
    <row r="35465" spans="43:43" x14ac:dyDescent="0.2">
      <c r="AQ35465" s="31"/>
    </row>
    <row r="35466" spans="43:43" x14ac:dyDescent="0.2">
      <c r="AQ35466" s="31"/>
    </row>
    <row r="35467" spans="43:43" x14ac:dyDescent="0.2">
      <c r="AQ35467" s="31"/>
    </row>
    <row r="35468" spans="43:43" x14ac:dyDescent="0.2">
      <c r="AQ35468" s="31"/>
    </row>
    <row r="35469" spans="43:43" x14ac:dyDescent="0.2">
      <c r="AQ35469" s="31"/>
    </row>
    <row r="35470" spans="43:43" x14ac:dyDescent="0.2">
      <c r="AQ35470" s="31"/>
    </row>
    <row r="35471" spans="43:43" x14ac:dyDescent="0.2">
      <c r="AQ35471" s="31"/>
    </row>
    <row r="35472" spans="43:43" x14ac:dyDescent="0.2">
      <c r="AQ35472" s="31"/>
    </row>
    <row r="35473" spans="43:43" x14ac:dyDescent="0.2">
      <c r="AQ35473" s="31"/>
    </row>
    <row r="35474" spans="43:43" x14ac:dyDescent="0.2">
      <c r="AQ35474" s="31"/>
    </row>
    <row r="35475" spans="43:43" x14ac:dyDescent="0.2">
      <c r="AQ35475" s="31"/>
    </row>
    <row r="35476" spans="43:43" x14ac:dyDescent="0.2">
      <c r="AQ35476" s="31"/>
    </row>
    <row r="35477" spans="43:43" x14ac:dyDescent="0.2">
      <c r="AQ35477" s="31"/>
    </row>
    <row r="35478" spans="43:43" x14ac:dyDescent="0.2">
      <c r="AQ35478" s="31"/>
    </row>
    <row r="35479" spans="43:43" x14ac:dyDescent="0.2">
      <c r="AQ35479" s="31"/>
    </row>
    <row r="35480" spans="43:43" x14ac:dyDescent="0.2">
      <c r="AQ35480" s="31"/>
    </row>
    <row r="35481" spans="43:43" x14ac:dyDescent="0.2">
      <c r="AQ35481" s="31"/>
    </row>
    <row r="35482" spans="43:43" x14ac:dyDescent="0.2">
      <c r="AQ35482" s="31"/>
    </row>
    <row r="35483" spans="43:43" x14ac:dyDescent="0.2">
      <c r="AQ35483" s="31"/>
    </row>
    <row r="35484" spans="43:43" x14ac:dyDescent="0.2">
      <c r="AQ35484" s="31"/>
    </row>
    <row r="35485" spans="43:43" x14ac:dyDescent="0.2">
      <c r="AQ35485" s="31"/>
    </row>
    <row r="35486" spans="43:43" x14ac:dyDescent="0.2">
      <c r="AQ35486" s="31"/>
    </row>
    <row r="35487" spans="43:43" x14ac:dyDescent="0.2">
      <c r="AQ35487" s="31"/>
    </row>
    <row r="35488" spans="43:43" x14ac:dyDescent="0.2">
      <c r="AQ35488" s="31"/>
    </row>
    <row r="35489" spans="43:43" x14ac:dyDescent="0.2">
      <c r="AQ35489" s="31"/>
    </row>
    <row r="35490" spans="43:43" x14ac:dyDescent="0.2">
      <c r="AQ35490" s="31"/>
    </row>
    <row r="35491" spans="43:43" x14ac:dyDescent="0.2">
      <c r="AQ35491" s="31"/>
    </row>
    <row r="35492" spans="43:43" x14ac:dyDescent="0.2">
      <c r="AQ35492" s="31"/>
    </row>
    <row r="35493" spans="43:43" x14ac:dyDescent="0.2">
      <c r="AQ35493" s="31"/>
    </row>
    <row r="35494" spans="43:43" x14ac:dyDescent="0.2">
      <c r="AQ35494" s="31"/>
    </row>
    <row r="35495" spans="43:43" x14ac:dyDescent="0.2">
      <c r="AQ35495" s="31"/>
    </row>
    <row r="35496" spans="43:43" x14ac:dyDescent="0.2">
      <c r="AQ35496" s="31"/>
    </row>
    <row r="35497" spans="43:43" x14ac:dyDescent="0.2">
      <c r="AQ35497" s="31"/>
    </row>
    <row r="35498" spans="43:43" x14ac:dyDescent="0.2">
      <c r="AQ35498" s="31"/>
    </row>
    <row r="35499" spans="43:43" x14ac:dyDescent="0.2">
      <c r="AQ35499" s="31"/>
    </row>
    <row r="35500" spans="43:43" x14ac:dyDescent="0.2">
      <c r="AQ35500" s="31"/>
    </row>
    <row r="35501" spans="43:43" x14ac:dyDescent="0.2">
      <c r="AQ35501" s="31"/>
    </row>
    <row r="35502" spans="43:43" x14ac:dyDescent="0.2">
      <c r="AQ35502" s="31"/>
    </row>
    <row r="35503" spans="43:43" x14ac:dyDescent="0.2">
      <c r="AQ35503" s="31"/>
    </row>
    <row r="35504" spans="43:43" x14ac:dyDescent="0.2">
      <c r="AQ35504" s="31"/>
    </row>
    <row r="35505" spans="43:43" x14ac:dyDescent="0.2">
      <c r="AQ35505" s="31"/>
    </row>
    <row r="35506" spans="43:43" x14ac:dyDescent="0.2">
      <c r="AQ35506" s="31"/>
    </row>
    <row r="35507" spans="43:43" x14ac:dyDescent="0.2">
      <c r="AQ35507" s="31"/>
    </row>
    <row r="35508" spans="43:43" x14ac:dyDescent="0.2">
      <c r="AQ35508" s="31"/>
    </row>
    <row r="35509" spans="43:43" x14ac:dyDescent="0.2">
      <c r="AQ35509" s="31"/>
    </row>
    <row r="35510" spans="43:43" x14ac:dyDescent="0.2">
      <c r="AQ35510" s="31"/>
    </row>
    <row r="35511" spans="43:43" x14ac:dyDescent="0.2">
      <c r="AQ35511" s="31"/>
    </row>
    <row r="35512" spans="43:43" x14ac:dyDescent="0.2">
      <c r="AQ35512" s="31"/>
    </row>
    <row r="35513" spans="43:43" x14ac:dyDescent="0.2">
      <c r="AQ35513" s="31"/>
    </row>
    <row r="35514" spans="43:43" x14ac:dyDescent="0.2">
      <c r="AQ35514" s="31"/>
    </row>
    <row r="35515" spans="43:43" x14ac:dyDescent="0.2">
      <c r="AQ35515" s="31"/>
    </row>
    <row r="35516" spans="43:43" x14ac:dyDescent="0.2">
      <c r="AQ35516" s="31"/>
    </row>
    <row r="35517" spans="43:43" x14ac:dyDescent="0.2">
      <c r="AQ35517" s="31"/>
    </row>
    <row r="35518" spans="43:43" x14ac:dyDescent="0.2">
      <c r="AQ35518" s="31"/>
    </row>
    <row r="35519" spans="43:43" x14ac:dyDescent="0.2">
      <c r="AQ35519" s="31"/>
    </row>
    <row r="35520" spans="43:43" x14ac:dyDescent="0.2">
      <c r="AQ35520" s="31"/>
    </row>
    <row r="35521" spans="43:43" x14ac:dyDescent="0.2">
      <c r="AQ35521" s="31"/>
    </row>
    <row r="35522" spans="43:43" x14ac:dyDescent="0.2">
      <c r="AQ35522" s="31"/>
    </row>
    <row r="35523" spans="43:43" x14ac:dyDescent="0.2">
      <c r="AQ35523" s="31"/>
    </row>
    <row r="35524" spans="43:43" x14ac:dyDescent="0.2">
      <c r="AQ35524" s="31"/>
    </row>
    <row r="35525" spans="43:43" x14ac:dyDescent="0.2">
      <c r="AQ35525" s="31"/>
    </row>
    <row r="35526" spans="43:43" x14ac:dyDescent="0.2">
      <c r="AQ35526" s="31"/>
    </row>
    <row r="35527" spans="43:43" x14ac:dyDescent="0.2">
      <c r="AQ35527" s="31"/>
    </row>
    <row r="35528" spans="43:43" x14ac:dyDescent="0.2">
      <c r="AQ35528" s="31"/>
    </row>
    <row r="35529" spans="43:43" x14ac:dyDescent="0.2">
      <c r="AQ35529" s="31"/>
    </row>
    <row r="35530" spans="43:43" x14ac:dyDescent="0.2">
      <c r="AQ35530" s="31"/>
    </row>
    <row r="35531" spans="43:43" x14ac:dyDescent="0.2">
      <c r="AQ35531" s="31"/>
    </row>
    <row r="35532" spans="43:43" x14ac:dyDescent="0.2">
      <c r="AQ35532" s="31"/>
    </row>
    <row r="35533" spans="43:43" x14ac:dyDescent="0.2">
      <c r="AQ35533" s="31"/>
    </row>
    <row r="35534" spans="43:43" x14ac:dyDescent="0.2">
      <c r="AQ35534" s="31"/>
    </row>
    <row r="35535" spans="43:43" x14ac:dyDescent="0.2">
      <c r="AQ35535" s="31"/>
    </row>
    <row r="35536" spans="43:43" x14ac:dyDescent="0.2">
      <c r="AQ35536" s="31"/>
    </row>
    <row r="35537" spans="43:43" x14ac:dyDescent="0.2">
      <c r="AQ35537" s="31"/>
    </row>
    <row r="35538" spans="43:43" x14ac:dyDescent="0.2">
      <c r="AQ35538" s="31"/>
    </row>
    <row r="35539" spans="43:43" x14ac:dyDescent="0.2">
      <c r="AQ35539" s="31"/>
    </row>
    <row r="35540" spans="43:43" x14ac:dyDescent="0.2">
      <c r="AQ35540" s="31"/>
    </row>
    <row r="35541" spans="43:43" x14ac:dyDescent="0.2">
      <c r="AQ35541" s="31"/>
    </row>
    <row r="35542" spans="43:43" x14ac:dyDescent="0.2">
      <c r="AQ35542" s="31"/>
    </row>
    <row r="35543" spans="43:43" x14ac:dyDescent="0.2">
      <c r="AQ35543" s="31"/>
    </row>
    <row r="35544" spans="43:43" x14ac:dyDescent="0.2">
      <c r="AQ35544" s="31"/>
    </row>
    <row r="35545" spans="43:43" x14ac:dyDescent="0.2">
      <c r="AQ35545" s="31"/>
    </row>
    <row r="35546" spans="43:43" x14ac:dyDescent="0.2">
      <c r="AQ35546" s="31"/>
    </row>
    <row r="35547" spans="43:43" x14ac:dyDescent="0.2">
      <c r="AQ35547" s="31"/>
    </row>
    <row r="35548" spans="43:43" x14ac:dyDescent="0.2">
      <c r="AQ35548" s="31"/>
    </row>
    <row r="35549" spans="43:43" x14ac:dyDescent="0.2">
      <c r="AQ35549" s="31"/>
    </row>
    <row r="35550" spans="43:43" x14ac:dyDescent="0.2">
      <c r="AQ35550" s="31"/>
    </row>
    <row r="35551" spans="43:43" x14ac:dyDescent="0.2">
      <c r="AQ35551" s="31"/>
    </row>
    <row r="35552" spans="43:43" x14ac:dyDescent="0.2">
      <c r="AQ35552" s="31"/>
    </row>
    <row r="35553" spans="43:43" x14ac:dyDescent="0.2">
      <c r="AQ35553" s="31"/>
    </row>
    <row r="35554" spans="43:43" x14ac:dyDescent="0.2">
      <c r="AQ35554" s="31"/>
    </row>
    <row r="35555" spans="43:43" x14ac:dyDescent="0.2">
      <c r="AQ35555" s="31"/>
    </row>
    <row r="35556" spans="43:43" x14ac:dyDescent="0.2">
      <c r="AQ35556" s="31"/>
    </row>
    <row r="35557" spans="43:43" x14ac:dyDescent="0.2">
      <c r="AQ35557" s="31"/>
    </row>
    <row r="35558" spans="43:43" x14ac:dyDescent="0.2">
      <c r="AQ35558" s="31"/>
    </row>
    <row r="35559" spans="43:43" x14ac:dyDescent="0.2">
      <c r="AQ35559" s="31"/>
    </row>
    <row r="35560" spans="43:43" x14ac:dyDescent="0.2">
      <c r="AQ35560" s="31"/>
    </row>
    <row r="35561" spans="43:43" x14ac:dyDescent="0.2">
      <c r="AQ35561" s="31"/>
    </row>
    <row r="35562" spans="43:43" x14ac:dyDescent="0.2">
      <c r="AQ35562" s="31"/>
    </row>
    <row r="35563" spans="43:43" x14ac:dyDescent="0.2">
      <c r="AQ35563" s="31"/>
    </row>
    <row r="35564" spans="43:43" x14ac:dyDescent="0.2">
      <c r="AQ35564" s="31"/>
    </row>
    <row r="35565" spans="43:43" x14ac:dyDescent="0.2">
      <c r="AQ35565" s="31"/>
    </row>
    <row r="35566" spans="43:43" x14ac:dyDescent="0.2">
      <c r="AQ35566" s="31"/>
    </row>
    <row r="35567" spans="43:43" x14ac:dyDescent="0.2">
      <c r="AQ35567" s="31"/>
    </row>
    <row r="35568" spans="43:43" x14ac:dyDescent="0.2">
      <c r="AQ35568" s="31"/>
    </row>
    <row r="35569" spans="43:43" x14ac:dyDescent="0.2">
      <c r="AQ35569" s="31"/>
    </row>
    <row r="35570" spans="43:43" x14ac:dyDescent="0.2">
      <c r="AQ35570" s="31"/>
    </row>
    <row r="35571" spans="43:43" x14ac:dyDescent="0.2">
      <c r="AQ35571" s="31"/>
    </row>
    <row r="35572" spans="43:43" x14ac:dyDescent="0.2">
      <c r="AQ35572" s="31"/>
    </row>
    <row r="35573" spans="43:43" x14ac:dyDescent="0.2">
      <c r="AQ35573" s="31"/>
    </row>
    <row r="35574" spans="43:43" x14ac:dyDescent="0.2">
      <c r="AQ35574" s="31"/>
    </row>
    <row r="35575" spans="43:43" x14ac:dyDescent="0.2">
      <c r="AQ35575" s="31"/>
    </row>
    <row r="35576" spans="43:43" x14ac:dyDescent="0.2">
      <c r="AQ35576" s="31"/>
    </row>
    <row r="35577" spans="43:43" x14ac:dyDescent="0.2">
      <c r="AQ35577" s="31"/>
    </row>
    <row r="35578" spans="43:43" x14ac:dyDescent="0.2">
      <c r="AQ35578" s="31"/>
    </row>
    <row r="35579" spans="43:43" x14ac:dyDescent="0.2">
      <c r="AQ35579" s="31"/>
    </row>
    <row r="35580" spans="43:43" x14ac:dyDescent="0.2">
      <c r="AQ35580" s="31"/>
    </row>
    <row r="35581" spans="43:43" x14ac:dyDescent="0.2">
      <c r="AQ35581" s="31"/>
    </row>
    <row r="35582" spans="43:43" x14ac:dyDescent="0.2">
      <c r="AQ35582" s="31"/>
    </row>
    <row r="35583" spans="43:43" x14ac:dyDescent="0.2">
      <c r="AQ35583" s="31"/>
    </row>
    <row r="35584" spans="43:43" x14ac:dyDescent="0.2">
      <c r="AQ35584" s="31"/>
    </row>
    <row r="35585" spans="43:43" x14ac:dyDescent="0.2">
      <c r="AQ35585" s="31"/>
    </row>
    <row r="35586" spans="43:43" x14ac:dyDescent="0.2">
      <c r="AQ35586" s="31"/>
    </row>
    <row r="35587" spans="43:43" x14ac:dyDescent="0.2">
      <c r="AQ35587" s="31"/>
    </row>
    <row r="35588" spans="43:43" x14ac:dyDescent="0.2">
      <c r="AQ35588" s="31"/>
    </row>
    <row r="35589" spans="43:43" x14ac:dyDescent="0.2">
      <c r="AQ35589" s="31"/>
    </row>
    <row r="35590" spans="43:43" x14ac:dyDescent="0.2">
      <c r="AQ35590" s="31"/>
    </row>
    <row r="35591" spans="43:43" x14ac:dyDescent="0.2">
      <c r="AQ35591" s="31"/>
    </row>
    <row r="35592" spans="43:43" x14ac:dyDescent="0.2">
      <c r="AQ35592" s="31"/>
    </row>
    <row r="35593" spans="43:43" x14ac:dyDescent="0.2">
      <c r="AQ35593" s="31"/>
    </row>
    <row r="35594" spans="43:43" x14ac:dyDescent="0.2">
      <c r="AQ35594" s="31"/>
    </row>
    <row r="35595" spans="43:43" x14ac:dyDescent="0.2">
      <c r="AQ35595" s="31"/>
    </row>
    <row r="35596" spans="43:43" x14ac:dyDescent="0.2">
      <c r="AQ35596" s="31"/>
    </row>
    <row r="35597" spans="43:43" x14ac:dyDescent="0.2">
      <c r="AQ35597" s="31"/>
    </row>
    <row r="35598" spans="43:43" x14ac:dyDescent="0.2">
      <c r="AQ35598" s="31"/>
    </row>
    <row r="35599" spans="43:43" x14ac:dyDescent="0.2">
      <c r="AQ35599" s="31"/>
    </row>
    <row r="35600" spans="43:43" x14ac:dyDescent="0.2">
      <c r="AQ35600" s="31"/>
    </row>
    <row r="35601" spans="43:43" x14ac:dyDescent="0.2">
      <c r="AQ35601" s="31"/>
    </row>
    <row r="35602" spans="43:43" x14ac:dyDescent="0.2">
      <c r="AQ35602" s="31"/>
    </row>
    <row r="35603" spans="43:43" x14ac:dyDescent="0.2">
      <c r="AQ35603" s="31"/>
    </row>
    <row r="35604" spans="43:43" x14ac:dyDescent="0.2">
      <c r="AQ35604" s="31"/>
    </row>
    <row r="35605" spans="43:43" x14ac:dyDescent="0.2">
      <c r="AQ35605" s="31"/>
    </row>
    <row r="35606" spans="43:43" x14ac:dyDescent="0.2">
      <c r="AQ35606" s="31"/>
    </row>
    <row r="35607" spans="43:43" x14ac:dyDescent="0.2">
      <c r="AQ35607" s="31"/>
    </row>
    <row r="35608" spans="43:43" x14ac:dyDescent="0.2">
      <c r="AQ35608" s="31"/>
    </row>
    <row r="35609" spans="43:43" x14ac:dyDescent="0.2">
      <c r="AQ35609" s="31"/>
    </row>
    <row r="35610" spans="43:43" x14ac:dyDescent="0.2">
      <c r="AQ35610" s="31"/>
    </row>
    <row r="35611" spans="43:43" x14ac:dyDescent="0.2">
      <c r="AQ35611" s="31"/>
    </row>
    <row r="35612" spans="43:43" x14ac:dyDescent="0.2">
      <c r="AQ35612" s="31"/>
    </row>
    <row r="35613" spans="43:43" x14ac:dyDescent="0.2">
      <c r="AQ35613" s="31"/>
    </row>
    <row r="35614" spans="43:43" x14ac:dyDescent="0.2">
      <c r="AQ35614" s="31"/>
    </row>
    <row r="35615" spans="43:43" x14ac:dyDescent="0.2">
      <c r="AQ35615" s="31"/>
    </row>
    <row r="35616" spans="43:43" x14ac:dyDescent="0.2">
      <c r="AQ35616" s="31"/>
    </row>
    <row r="35617" spans="43:43" x14ac:dyDescent="0.2">
      <c r="AQ35617" s="31"/>
    </row>
    <row r="35618" spans="43:43" x14ac:dyDescent="0.2">
      <c r="AQ35618" s="31"/>
    </row>
    <row r="35619" spans="43:43" x14ac:dyDescent="0.2">
      <c r="AQ35619" s="31"/>
    </row>
    <row r="35620" spans="43:43" x14ac:dyDescent="0.2">
      <c r="AQ35620" s="31"/>
    </row>
    <row r="35621" spans="43:43" x14ac:dyDescent="0.2">
      <c r="AQ35621" s="31"/>
    </row>
    <row r="35622" spans="43:43" x14ac:dyDescent="0.2">
      <c r="AQ35622" s="31"/>
    </row>
    <row r="35623" spans="43:43" x14ac:dyDescent="0.2">
      <c r="AQ35623" s="31"/>
    </row>
    <row r="35624" spans="43:43" x14ac:dyDescent="0.2">
      <c r="AQ35624" s="31"/>
    </row>
    <row r="35625" spans="43:43" x14ac:dyDescent="0.2">
      <c r="AQ35625" s="31"/>
    </row>
    <row r="35626" spans="43:43" x14ac:dyDescent="0.2">
      <c r="AQ35626" s="31"/>
    </row>
    <row r="35627" spans="43:43" x14ac:dyDescent="0.2">
      <c r="AQ35627" s="31"/>
    </row>
    <row r="35628" spans="43:43" x14ac:dyDescent="0.2">
      <c r="AQ35628" s="31"/>
    </row>
    <row r="35629" spans="43:43" x14ac:dyDescent="0.2">
      <c r="AQ35629" s="31"/>
    </row>
    <row r="35630" spans="43:43" x14ac:dyDescent="0.2">
      <c r="AQ35630" s="31"/>
    </row>
    <row r="35631" spans="43:43" x14ac:dyDescent="0.2">
      <c r="AQ35631" s="31"/>
    </row>
    <row r="35632" spans="43:43" x14ac:dyDescent="0.2">
      <c r="AQ35632" s="31"/>
    </row>
    <row r="35633" spans="43:43" x14ac:dyDescent="0.2">
      <c r="AQ35633" s="31"/>
    </row>
    <row r="35634" spans="43:43" x14ac:dyDescent="0.2">
      <c r="AQ35634" s="31"/>
    </row>
    <row r="35635" spans="43:43" x14ac:dyDescent="0.2">
      <c r="AQ35635" s="31"/>
    </row>
    <row r="35636" spans="43:43" x14ac:dyDescent="0.2">
      <c r="AQ35636" s="31"/>
    </row>
    <row r="35637" spans="43:43" x14ac:dyDescent="0.2">
      <c r="AQ35637" s="31"/>
    </row>
    <row r="35638" spans="43:43" x14ac:dyDescent="0.2">
      <c r="AQ35638" s="31"/>
    </row>
    <row r="35639" spans="43:43" x14ac:dyDescent="0.2">
      <c r="AQ35639" s="31"/>
    </row>
    <row r="35640" spans="43:43" x14ac:dyDescent="0.2">
      <c r="AQ35640" s="31"/>
    </row>
    <row r="35641" spans="43:43" x14ac:dyDescent="0.2">
      <c r="AQ35641" s="31"/>
    </row>
    <row r="35642" spans="43:43" x14ac:dyDescent="0.2">
      <c r="AQ35642" s="31"/>
    </row>
    <row r="35643" spans="43:43" x14ac:dyDescent="0.2">
      <c r="AQ35643" s="31"/>
    </row>
    <row r="35644" spans="43:43" x14ac:dyDescent="0.2">
      <c r="AQ35644" s="31"/>
    </row>
    <row r="35645" spans="43:43" x14ac:dyDescent="0.2">
      <c r="AQ35645" s="31"/>
    </row>
    <row r="35646" spans="43:43" x14ac:dyDescent="0.2">
      <c r="AQ35646" s="31"/>
    </row>
    <row r="35647" spans="43:43" x14ac:dyDescent="0.2">
      <c r="AQ35647" s="31"/>
    </row>
    <row r="35648" spans="43:43" x14ac:dyDescent="0.2">
      <c r="AQ35648" s="31"/>
    </row>
    <row r="35649" spans="43:43" x14ac:dyDescent="0.2">
      <c r="AQ35649" s="31"/>
    </row>
    <row r="35650" spans="43:43" x14ac:dyDescent="0.2">
      <c r="AQ35650" s="31"/>
    </row>
    <row r="35651" spans="43:43" x14ac:dyDescent="0.2">
      <c r="AQ35651" s="31"/>
    </row>
    <row r="35652" spans="43:43" x14ac:dyDescent="0.2">
      <c r="AQ35652" s="31"/>
    </row>
    <row r="35653" spans="43:43" x14ac:dyDescent="0.2">
      <c r="AQ35653" s="31"/>
    </row>
    <row r="35654" spans="43:43" x14ac:dyDescent="0.2">
      <c r="AQ35654" s="31"/>
    </row>
    <row r="35655" spans="43:43" x14ac:dyDescent="0.2">
      <c r="AQ35655" s="31"/>
    </row>
    <row r="35656" spans="43:43" x14ac:dyDescent="0.2">
      <c r="AQ35656" s="31"/>
    </row>
    <row r="35657" spans="43:43" x14ac:dyDescent="0.2">
      <c r="AQ35657" s="31"/>
    </row>
    <row r="35658" spans="43:43" x14ac:dyDescent="0.2">
      <c r="AQ35658" s="31"/>
    </row>
    <row r="35659" spans="43:43" x14ac:dyDescent="0.2">
      <c r="AQ35659" s="31"/>
    </row>
    <row r="35660" spans="43:43" x14ac:dyDescent="0.2">
      <c r="AQ35660" s="31"/>
    </row>
    <row r="35661" spans="43:43" x14ac:dyDescent="0.2">
      <c r="AQ35661" s="31"/>
    </row>
    <row r="35662" spans="43:43" x14ac:dyDescent="0.2">
      <c r="AQ35662" s="31"/>
    </row>
    <row r="35663" spans="43:43" x14ac:dyDescent="0.2">
      <c r="AQ35663" s="31"/>
    </row>
    <row r="35664" spans="43:43" x14ac:dyDescent="0.2">
      <c r="AQ35664" s="31"/>
    </row>
    <row r="35665" spans="43:43" x14ac:dyDescent="0.2">
      <c r="AQ35665" s="31"/>
    </row>
    <row r="35666" spans="43:43" x14ac:dyDescent="0.2">
      <c r="AQ35666" s="31"/>
    </row>
    <row r="35667" spans="43:43" x14ac:dyDescent="0.2">
      <c r="AQ35667" s="31"/>
    </row>
    <row r="35668" spans="43:43" x14ac:dyDescent="0.2">
      <c r="AQ35668" s="31"/>
    </row>
    <row r="35669" spans="43:43" x14ac:dyDescent="0.2">
      <c r="AQ35669" s="31"/>
    </row>
    <row r="35670" spans="43:43" x14ac:dyDescent="0.2">
      <c r="AQ35670" s="31"/>
    </row>
    <row r="35671" spans="43:43" x14ac:dyDescent="0.2">
      <c r="AQ35671" s="31"/>
    </row>
    <row r="35672" spans="43:43" x14ac:dyDescent="0.2">
      <c r="AQ35672" s="31"/>
    </row>
    <row r="35673" spans="43:43" x14ac:dyDescent="0.2">
      <c r="AQ35673" s="31"/>
    </row>
    <row r="35674" spans="43:43" x14ac:dyDescent="0.2">
      <c r="AQ35674" s="31"/>
    </row>
    <row r="35675" spans="43:43" x14ac:dyDescent="0.2">
      <c r="AQ35675" s="31"/>
    </row>
    <row r="35676" spans="43:43" x14ac:dyDescent="0.2">
      <c r="AQ35676" s="31"/>
    </row>
    <row r="35677" spans="43:43" x14ac:dyDescent="0.2">
      <c r="AQ35677" s="31"/>
    </row>
    <row r="35678" spans="43:43" x14ac:dyDescent="0.2">
      <c r="AQ35678" s="31"/>
    </row>
    <row r="35679" spans="43:43" x14ac:dyDescent="0.2">
      <c r="AQ35679" s="31"/>
    </row>
    <row r="35680" spans="43:43" x14ac:dyDescent="0.2">
      <c r="AQ35680" s="31"/>
    </row>
    <row r="35681" spans="43:43" x14ac:dyDescent="0.2">
      <c r="AQ35681" s="31"/>
    </row>
    <row r="35682" spans="43:43" x14ac:dyDescent="0.2">
      <c r="AQ35682" s="31"/>
    </row>
    <row r="35683" spans="43:43" x14ac:dyDescent="0.2">
      <c r="AQ35683" s="31"/>
    </row>
    <row r="35684" spans="43:43" x14ac:dyDescent="0.2">
      <c r="AQ35684" s="31"/>
    </row>
    <row r="35685" spans="43:43" x14ac:dyDescent="0.2">
      <c r="AQ35685" s="31"/>
    </row>
    <row r="35686" spans="43:43" x14ac:dyDescent="0.2">
      <c r="AQ35686" s="31"/>
    </row>
    <row r="35687" spans="43:43" x14ac:dyDescent="0.2">
      <c r="AQ35687" s="31"/>
    </row>
    <row r="35688" spans="43:43" x14ac:dyDescent="0.2">
      <c r="AQ35688" s="31"/>
    </row>
    <row r="35689" spans="43:43" x14ac:dyDescent="0.2">
      <c r="AQ35689" s="31"/>
    </row>
    <row r="35690" spans="43:43" x14ac:dyDescent="0.2">
      <c r="AQ35690" s="31"/>
    </row>
    <row r="35691" spans="43:43" x14ac:dyDescent="0.2">
      <c r="AQ35691" s="31"/>
    </row>
    <row r="35692" spans="43:43" x14ac:dyDescent="0.2">
      <c r="AQ35692" s="31"/>
    </row>
    <row r="35693" spans="43:43" x14ac:dyDescent="0.2">
      <c r="AQ35693" s="31"/>
    </row>
    <row r="35694" spans="43:43" x14ac:dyDescent="0.2">
      <c r="AQ35694" s="31"/>
    </row>
    <row r="35695" spans="43:43" x14ac:dyDescent="0.2">
      <c r="AQ35695" s="31"/>
    </row>
    <row r="35696" spans="43:43" x14ac:dyDescent="0.2">
      <c r="AQ35696" s="31"/>
    </row>
    <row r="35697" spans="43:43" x14ac:dyDescent="0.2">
      <c r="AQ35697" s="31"/>
    </row>
    <row r="35698" spans="43:43" x14ac:dyDescent="0.2">
      <c r="AQ35698" s="31"/>
    </row>
    <row r="35699" spans="43:43" x14ac:dyDescent="0.2">
      <c r="AQ35699" s="31"/>
    </row>
    <row r="35700" spans="43:43" x14ac:dyDescent="0.2">
      <c r="AQ35700" s="31"/>
    </row>
    <row r="35701" spans="43:43" x14ac:dyDescent="0.2">
      <c r="AQ35701" s="31"/>
    </row>
    <row r="35702" spans="43:43" x14ac:dyDescent="0.2">
      <c r="AQ35702" s="31"/>
    </row>
    <row r="35703" spans="43:43" x14ac:dyDescent="0.2">
      <c r="AQ35703" s="31"/>
    </row>
    <row r="35704" spans="43:43" x14ac:dyDescent="0.2">
      <c r="AQ35704" s="31"/>
    </row>
    <row r="35705" spans="43:43" x14ac:dyDescent="0.2">
      <c r="AQ35705" s="31"/>
    </row>
    <row r="35706" spans="43:43" x14ac:dyDescent="0.2">
      <c r="AQ35706" s="31"/>
    </row>
    <row r="35707" spans="43:43" x14ac:dyDescent="0.2">
      <c r="AQ35707" s="31"/>
    </row>
    <row r="35708" spans="43:43" x14ac:dyDescent="0.2">
      <c r="AQ35708" s="31"/>
    </row>
    <row r="35709" spans="43:43" x14ac:dyDescent="0.2">
      <c r="AQ35709" s="31"/>
    </row>
    <row r="35710" spans="43:43" x14ac:dyDescent="0.2">
      <c r="AQ35710" s="31"/>
    </row>
    <row r="35711" spans="43:43" x14ac:dyDescent="0.2">
      <c r="AQ35711" s="31"/>
    </row>
    <row r="35712" spans="43:43" x14ac:dyDescent="0.2">
      <c r="AQ35712" s="31"/>
    </row>
    <row r="35713" spans="43:43" x14ac:dyDescent="0.2">
      <c r="AQ35713" s="31"/>
    </row>
    <row r="35714" spans="43:43" x14ac:dyDescent="0.2">
      <c r="AQ35714" s="31"/>
    </row>
    <row r="35715" spans="43:43" x14ac:dyDescent="0.2">
      <c r="AQ35715" s="31"/>
    </row>
    <row r="35716" spans="43:43" x14ac:dyDescent="0.2">
      <c r="AQ35716" s="31"/>
    </row>
    <row r="35717" spans="43:43" x14ac:dyDescent="0.2">
      <c r="AQ35717" s="31"/>
    </row>
    <row r="35718" spans="43:43" x14ac:dyDescent="0.2">
      <c r="AQ35718" s="31"/>
    </row>
    <row r="35719" spans="43:43" x14ac:dyDescent="0.2">
      <c r="AQ35719" s="31"/>
    </row>
    <row r="35720" spans="43:43" x14ac:dyDescent="0.2">
      <c r="AQ35720" s="31"/>
    </row>
    <row r="35721" spans="43:43" x14ac:dyDescent="0.2">
      <c r="AQ35721" s="31"/>
    </row>
    <row r="35722" spans="43:43" x14ac:dyDescent="0.2">
      <c r="AQ35722" s="31"/>
    </row>
    <row r="35723" spans="43:43" x14ac:dyDescent="0.2">
      <c r="AQ35723" s="31"/>
    </row>
    <row r="35724" spans="43:43" x14ac:dyDescent="0.2">
      <c r="AQ35724" s="31"/>
    </row>
    <row r="35725" spans="43:43" x14ac:dyDescent="0.2">
      <c r="AQ35725" s="31"/>
    </row>
    <row r="35726" spans="43:43" x14ac:dyDescent="0.2">
      <c r="AQ35726" s="31"/>
    </row>
    <row r="35727" spans="43:43" x14ac:dyDescent="0.2">
      <c r="AQ35727" s="31"/>
    </row>
    <row r="35728" spans="43:43" x14ac:dyDescent="0.2">
      <c r="AQ35728" s="31"/>
    </row>
    <row r="35729" spans="43:43" x14ac:dyDescent="0.2">
      <c r="AQ35729" s="31"/>
    </row>
    <row r="35730" spans="43:43" x14ac:dyDescent="0.2">
      <c r="AQ35730" s="31"/>
    </row>
    <row r="35731" spans="43:43" x14ac:dyDescent="0.2">
      <c r="AQ35731" s="31"/>
    </row>
    <row r="35732" spans="43:43" x14ac:dyDescent="0.2">
      <c r="AQ35732" s="31"/>
    </row>
    <row r="35733" spans="43:43" x14ac:dyDescent="0.2">
      <c r="AQ35733" s="31"/>
    </row>
    <row r="35734" spans="43:43" x14ac:dyDescent="0.2">
      <c r="AQ35734" s="31"/>
    </row>
    <row r="35735" spans="43:43" x14ac:dyDescent="0.2">
      <c r="AQ35735" s="31"/>
    </row>
    <row r="35736" spans="43:43" x14ac:dyDescent="0.2">
      <c r="AQ35736" s="31"/>
    </row>
    <row r="35737" spans="43:43" x14ac:dyDescent="0.2">
      <c r="AQ35737" s="31"/>
    </row>
    <row r="35738" spans="43:43" x14ac:dyDescent="0.2">
      <c r="AQ35738" s="31"/>
    </row>
    <row r="35739" spans="43:43" x14ac:dyDescent="0.2">
      <c r="AQ35739" s="31"/>
    </row>
    <row r="35740" spans="43:43" x14ac:dyDescent="0.2">
      <c r="AQ35740" s="31"/>
    </row>
    <row r="35741" spans="43:43" x14ac:dyDescent="0.2">
      <c r="AQ35741" s="31"/>
    </row>
    <row r="35742" spans="43:43" x14ac:dyDescent="0.2">
      <c r="AQ35742" s="31"/>
    </row>
    <row r="35743" spans="43:43" x14ac:dyDescent="0.2">
      <c r="AQ35743" s="31"/>
    </row>
    <row r="35744" spans="43:43" x14ac:dyDescent="0.2">
      <c r="AQ35744" s="31"/>
    </row>
    <row r="35745" spans="43:43" x14ac:dyDescent="0.2">
      <c r="AQ35745" s="31"/>
    </row>
    <row r="35746" spans="43:43" x14ac:dyDescent="0.2">
      <c r="AQ35746" s="31"/>
    </row>
    <row r="35747" spans="43:43" x14ac:dyDescent="0.2">
      <c r="AQ35747" s="31"/>
    </row>
    <row r="35748" spans="43:43" x14ac:dyDescent="0.2">
      <c r="AQ35748" s="31"/>
    </row>
    <row r="35749" spans="43:43" x14ac:dyDescent="0.2">
      <c r="AQ35749" s="31"/>
    </row>
    <row r="35750" spans="43:43" x14ac:dyDescent="0.2">
      <c r="AQ35750" s="31"/>
    </row>
    <row r="35751" spans="43:43" x14ac:dyDescent="0.2">
      <c r="AQ35751" s="31"/>
    </row>
    <row r="35752" spans="43:43" x14ac:dyDescent="0.2">
      <c r="AQ35752" s="31"/>
    </row>
    <row r="35753" spans="43:43" x14ac:dyDescent="0.2">
      <c r="AQ35753" s="31"/>
    </row>
    <row r="35754" spans="43:43" x14ac:dyDescent="0.2">
      <c r="AQ35754" s="31"/>
    </row>
    <row r="35755" spans="43:43" x14ac:dyDescent="0.2">
      <c r="AQ35755" s="31"/>
    </row>
    <row r="35756" spans="43:43" x14ac:dyDescent="0.2">
      <c r="AQ35756" s="31"/>
    </row>
    <row r="35757" spans="43:43" x14ac:dyDescent="0.2">
      <c r="AQ35757" s="31"/>
    </row>
    <row r="35758" spans="43:43" x14ac:dyDescent="0.2">
      <c r="AQ35758" s="31"/>
    </row>
    <row r="35759" spans="43:43" x14ac:dyDescent="0.2">
      <c r="AQ35759" s="31"/>
    </row>
    <row r="35760" spans="43:43" x14ac:dyDescent="0.2">
      <c r="AQ35760" s="31"/>
    </row>
    <row r="35761" spans="43:43" x14ac:dyDescent="0.2">
      <c r="AQ35761" s="31"/>
    </row>
    <row r="35762" spans="43:43" x14ac:dyDescent="0.2">
      <c r="AQ35762" s="31"/>
    </row>
    <row r="35763" spans="43:43" x14ac:dyDescent="0.2">
      <c r="AQ35763" s="31"/>
    </row>
    <row r="35764" spans="43:43" x14ac:dyDescent="0.2">
      <c r="AQ35764" s="31"/>
    </row>
    <row r="35765" spans="43:43" x14ac:dyDescent="0.2">
      <c r="AQ35765" s="31"/>
    </row>
    <row r="35766" spans="43:43" x14ac:dyDescent="0.2">
      <c r="AQ35766" s="31"/>
    </row>
    <row r="35767" spans="43:43" x14ac:dyDescent="0.2">
      <c r="AQ35767" s="31"/>
    </row>
    <row r="35768" spans="43:43" x14ac:dyDescent="0.2">
      <c r="AQ35768" s="31"/>
    </row>
    <row r="35769" spans="43:43" x14ac:dyDescent="0.2">
      <c r="AQ35769" s="31"/>
    </row>
    <row r="35770" spans="43:43" x14ac:dyDescent="0.2">
      <c r="AQ35770" s="31"/>
    </row>
    <row r="35771" spans="43:43" x14ac:dyDescent="0.2">
      <c r="AQ35771" s="31"/>
    </row>
    <row r="35772" spans="43:43" x14ac:dyDescent="0.2">
      <c r="AQ35772" s="31"/>
    </row>
    <row r="35773" spans="43:43" x14ac:dyDescent="0.2">
      <c r="AQ35773" s="31"/>
    </row>
    <row r="35774" spans="43:43" x14ac:dyDescent="0.2">
      <c r="AQ35774" s="31"/>
    </row>
    <row r="35775" spans="43:43" x14ac:dyDescent="0.2">
      <c r="AQ35775" s="31"/>
    </row>
    <row r="35776" spans="43:43" x14ac:dyDescent="0.2">
      <c r="AQ35776" s="31"/>
    </row>
    <row r="35777" spans="43:43" x14ac:dyDescent="0.2">
      <c r="AQ35777" s="31"/>
    </row>
    <row r="35778" spans="43:43" x14ac:dyDescent="0.2">
      <c r="AQ35778" s="31"/>
    </row>
    <row r="35779" spans="43:43" x14ac:dyDescent="0.2">
      <c r="AQ35779" s="31"/>
    </row>
    <row r="35780" spans="43:43" x14ac:dyDescent="0.2">
      <c r="AQ35780" s="31"/>
    </row>
    <row r="35781" spans="43:43" x14ac:dyDescent="0.2">
      <c r="AQ35781" s="31"/>
    </row>
    <row r="35782" spans="43:43" x14ac:dyDescent="0.2">
      <c r="AQ35782" s="31"/>
    </row>
    <row r="35783" spans="43:43" x14ac:dyDescent="0.2">
      <c r="AQ35783" s="31"/>
    </row>
    <row r="35784" spans="43:43" x14ac:dyDescent="0.2">
      <c r="AQ35784" s="31"/>
    </row>
    <row r="35785" spans="43:43" x14ac:dyDescent="0.2">
      <c r="AQ35785" s="31"/>
    </row>
    <row r="35786" spans="43:43" x14ac:dyDescent="0.2">
      <c r="AQ35786" s="31"/>
    </row>
    <row r="35787" spans="43:43" x14ac:dyDescent="0.2">
      <c r="AQ35787" s="31"/>
    </row>
    <row r="35788" spans="43:43" x14ac:dyDescent="0.2">
      <c r="AQ35788" s="31"/>
    </row>
    <row r="35789" spans="43:43" x14ac:dyDescent="0.2">
      <c r="AQ35789" s="31"/>
    </row>
    <row r="35790" spans="43:43" x14ac:dyDescent="0.2">
      <c r="AQ35790" s="31"/>
    </row>
    <row r="35791" spans="43:43" x14ac:dyDescent="0.2">
      <c r="AQ35791" s="31"/>
    </row>
    <row r="35792" spans="43:43" x14ac:dyDescent="0.2">
      <c r="AQ35792" s="31"/>
    </row>
    <row r="35793" spans="43:43" x14ac:dyDescent="0.2">
      <c r="AQ35793" s="31"/>
    </row>
    <row r="35794" spans="43:43" x14ac:dyDescent="0.2">
      <c r="AQ35794" s="31"/>
    </row>
    <row r="35795" spans="43:43" x14ac:dyDescent="0.2">
      <c r="AQ35795" s="31"/>
    </row>
    <row r="35796" spans="43:43" x14ac:dyDescent="0.2">
      <c r="AQ35796" s="31"/>
    </row>
    <row r="35797" spans="43:43" x14ac:dyDescent="0.2">
      <c r="AQ35797" s="31"/>
    </row>
    <row r="35798" spans="43:43" x14ac:dyDescent="0.2">
      <c r="AQ35798" s="31"/>
    </row>
    <row r="35799" spans="43:43" x14ac:dyDescent="0.2">
      <c r="AQ35799" s="31"/>
    </row>
    <row r="35800" spans="43:43" x14ac:dyDescent="0.2">
      <c r="AQ35800" s="31"/>
    </row>
    <row r="35801" spans="43:43" x14ac:dyDescent="0.2">
      <c r="AQ35801" s="31"/>
    </row>
    <row r="35802" spans="43:43" x14ac:dyDescent="0.2">
      <c r="AQ35802" s="31"/>
    </row>
    <row r="35803" spans="43:43" x14ac:dyDescent="0.2">
      <c r="AQ35803" s="31"/>
    </row>
    <row r="35804" spans="43:43" x14ac:dyDescent="0.2">
      <c r="AQ35804" s="31"/>
    </row>
    <row r="35805" spans="43:43" x14ac:dyDescent="0.2">
      <c r="AQ35805" s="31"/>
    </row>
    <row r="35806" spans="43:43" x14ac:dyDescent="0.2">
      <c r="AQ35806" s="31"/>
    </row>
    <row r="35807" spans="43:43" x14ac:dyDescent="0.2">
      <c r="AQ35807" s="31"/>
    </row>
    <row r="35808" spans="43:43" x14ac:dyDescent="0.2">
      <c r="AQ35808" s="31"/>
    </row>
    <row r="35809" spans="43:43" x14ac:dyDescent="0.2">
      <c r="AQ35809" s="31"/>
    </row>
    <row r="35810" spans="43:43" x14ac:dyDescent="0.2">
      <c r="AQ35810" s="31"/>
    </row>
    <row r="35811" spans="43:43" x14ac:dyDescent="0.2">
      <c r="AQ35811" s="31"/>
    </row>
    <row r="35812" spans="43:43" x14ac:dyDescent="0.2">
      <c r="AQ35812" s="31"/>
    </row>
    <row r="35813" spans="43:43" x14ac:dyDescent="0.2">
      <c r="AQ35813" s="31"/>
    </row>
    <row r="35814" spans="43:43" x14ac:dyDescent="0.2">
      <c r="AQ35814" s="31"/>
    </row>
    <row r="35815" spans="43:43" x14ac:dyDescent="0.2">
      <c r="AQ35815" s="31"/>
    </row>
    <row r="35816" spans="43:43" x14ac:dyDescent="0.2">
      <c r="AQ35816" s="31"/>
    </row>
    <row r="35817" spans="43:43" x14ac:dyDescent="0.2">
      <c r="AQ35817" s="31"/>
    </row>
    <row r="35818" spans="43:43" x14ac:dyDescent="0.2">
      <c r="AQ35818" s="31"/>
    </row>
    <row r="35819" spans="43:43" x14ac:dyDescent="0.2">
      <c r="AQ35819" s="31"/>
    </row>
    <row r="35820" spans="43:43" x14ac:dyDescent="0.2">
      <c r="AQ35820" s="31"/>
    </row>
    <row r="35821" spans="43:43" x14ac:dyDescent="0.2">
      <c r="AQ35821" s="31"/>
    </row>
    <row r="35822" spans="43:43" x14ac:dyDescent="0.2">
      <c r="AQ35822" s="31"/>
    </row>
    <row r="35823" spans="43:43" x14ac:dyDescent="0.2">
      <c r="AQ35823" s="31"/>
    </row>
    <row r="35824" spans="43:43" x14ac:dyDescent="0.2">
      <c r="AQ35824" s="31"/>
    </row>
    <row r="35825" spans="43:43" x14ac:dyDescent="0.2">
      <c r="AQ35825" s="31"/>
    </row>
    <row r="35826" spans="43:43" x14ac:dyDescent="0.2">
      <c r="AQ35826" s="31"/>
    </row>
    <row r="35827" spans="43:43" x14ac:dyDescent="0.2">
      <c r="AQ35827" s="31"/>
    </row>
    <row r="35828" spans="43:43" x14ac:dyDescent="0.2">
      <c r="AQ35828" s="31"/>
    </row>
    <row r="35829" spans="43:43" x14ac:dyDescent="0.2">
      <c r="AQ35829" s="31"/>
    </row>
    <row r="35830" spans="43:43" x14ac:dyDescent="0.2">
      <c r="AQ35830" s="31"/>
    </row>
    <row r="35831" spans="43:43" x14ac:dyDescent="0.2">
      <c r="AQ35831" s="31"/>
    </row>
    <row r="35832" spans="43:43" x14ac:dyDescent="0.2">
      <c r="AQ35832" s="31"/>
    </row>
    <row r="35833" spans="43:43" x14ac:dyDescent="0.2">
      <c r="AQ35833" s="31"/>
    </row>
    <row r="35834" spans="43:43" x14ac:dyDescent="0.2">
      <c r="AQ35834" s="31"/>
    </row>
    <row r="35835" spans="43:43" x14ac:dyDescent="0.2">
      <c r="AQ35835" s="31"/>
    </row>
    <row r="35836" spans="43:43" x14ac:dyDescent="0.2">
      <c r="AQ35836" s="31"/>
    </row>
    <row r="35837" spans="43:43" x14ac:dyDescent="0.2">
      <c r="AQ35837" s="31"/>
    </row>
    <row r="35838" spans="43:43" x14ac:dyDescent="0.2">
      <c r="AQ35838" s="31"/>
    </row>
    <row r="35839" spans="43:43" x14ac:dyDescent="0.2">
      <c r="AQ35839" s="31"/>
    </row>
    <row r="35840" spans="43:43" x14ac:dyDescent="0.2">
      <c r="AQ35840" s="31"/>
    </row>
    <row r="35841" spans="43:43" x14ac:dyDescent="0.2">
      <c r="AQ35841" s="31"/>
    </row>
    <row r="35842" spans="43:43" x14ac:dyDescent="0.2">
      <c r="AQ35842" s="31"/>
    </row>
    <row r="35843" spans="43:43" x14ac:dyDescent="0.2">
      <c r="AQ35843" s="31"/>
    </row>
    <row r="35844" spans="43:43" x14ac:dyDescent="0.2">
      <c r="AQ35844" s="31"/>
    </row>
    <row r="35845" spans="43:43" x14ac:dyDescent="0.2">
      <c r="AQ35845" s="31"/>
    </row>
    <row r="35846" spans="43:43" x14ac:dyDescent="0.2">
      <c r="AQ35846" s="31"/>
    </row>
    <row r="35847" spans="43:43" x14ac:dyDescent="0.2">
      <c r="AQ35847" s="31"/>
    </row>
    <row r="35848" spans="43:43" x14ac:dyDescent="0.2">
      <c r="AQ35848" s="31"/>
    </row>
    <row r="35849" spans="43:43" x14ac:dyDescent="0.2">
      <c r="AQ35849" s="31"/>
    </row>
    <row r="35850" spans="43:43" x14ac:dyDescent="0.2">
      <c r="AQ35850" s="31"/>
    </row>
    <row r="35851" spans="43:43" x14ac:dyDescent="0.2">
      <c r="AQ35851" s="31"/>
    </row>
    <row r="35852" spans="43:43" x14ac:dyDescent="0.2">
      <c r="AQ35852" s="31"/>
    </row>
    <row r="35853" spans="43:43" x14ac:dyDescent="0.2">
      <c r="AQ35853" s="31"/>
    </row>
    <row r="35854" spans="43:43" x14ac:dyDescent="0.2">
      <c r="AQ35854" s="31"/>
    </row>
    <row r="35855" spans="43:43" x14ac:dyDescent="0.2">
      <c r="AQ35855" s="31"/>
    </row>
    <row r="35856" spans="43:43" x14ac:dyDescent="0.2">
      <c r="AQ35856" s="31"/>
    </row>
    <row r="35857" spans="43:43" x14ac:dyDescent="0.2">
      <c r="AQ35857" s="31"/>
    </row>
    <row r="35858" spans="43:43" x14ac:dyDescent="0.2">
      <c r="AQ35858" s="31"/>
    </row>
    <row r="35859" spans="43:43" x14ac:dyDescent="0.2">
      <c r="AQ35859" s="31"/>
    </row>
    <row r="35860" spans="43:43" x14ac:dyDescent="0.2">
      <c r="AQ35860" s="31"/>
    </row>
    <row r="35861" spans="43:43" x14ac:dyDescent="0.2">
      <c r="AQ35861" s="31"/>
    </row>
    <row r="35862" spans="43:43" x14ac:dyDescent="0.2">
      <c r="AQ35862" s="31"/>
    </row>
    <row r="35863" spans="43:43" x14ac:dyDescent="0.2">
      <c r="AQ35863" s="31"/>
    </row>
    <row r="35864" spans="43:43" x14ac:dyDescent="0.2">
      <c r="AQ35864" s="31"/>
    </row>
    <row r="35865" spans="43:43" x14ac:dyDescent="0.2">
      <c r="AQ35865" s="31"/>
    </row>
    <row r="35866" spans="43:43" x14ac:dyDescent="0.2">
      <c r="AQ35866" s="31"/>
    </row>
    <row r="35867" spans="43:43" x14ac:dyDescent="0.2">
      <c r="AQ35867" s="31"/>
    </row>
    <row r="35868" spans="43:43" x14ac:dyDescent="0.2">
      <c r="AQ35868" s="31"/>
    </row>
    <row r="35869" spans="43:43" x14ac:dyDescent="0.2">
      <c r="AQ35869" s="31"/>
    </row>
    <row r="35870" spans="43:43" x14ac:dyDescent="0.2">
      <c r="AQ35870" s="31"/>
    </row>
    <row r="35871" spans="43:43" x14ac:dyDescent="0.2">
      <c r="AQ35871" s="31"/>
    </row>
    <row r="35872" spans="43:43" x14ac:dyDescent="0.2">
      <c r="AQ35872" s="31"/>
    </row>
    <row r="35873" spans="43:43" x14ac:dyDescent="0.2">
      <c r="AQ35873" s="31"/>
    </row>
    <row r="35874" spans="43:43" x14ac:dyDescent="0.2">
      <c r="AQ35874" s="31"/>
    </row>
    <row r="35875" spans="43:43" x14ac:dyDescent="0.2">
      <c r="AQ35875" s="31"/>
    </row>
    <row r="35876" spans="43:43" x14ac:dyDescent="0.2">
      <c r="AQ35876" s="31"/>
    </row>
    <row r="35877" spans="43:43" x14ac:dyDescent="0.2">
      <c r="AQ35877" s="31"/>
    </row>
    <row r="35878" spans="43:43" x14ac:dyDescent="0.2">
      <c r="AQ35878" s="31"/>
    </row>
    <row r="35879" spans="43:43" x14ac:dyDescent="0.2">
      <c r="AQ35879" s="31"/>
    </row>
    <row r="35880" spans="43:43" x14ac:dyDescent="0.2">
      <c r="AQ35880" s="31"/>
    </row>
    <row r="35881" spans="43:43" x14ac:dyDescent="0.2">
      <c r="AQ35881" s="31"/>
    </row>
    <row r="35882" spans="43:43" x14ac:dyDescent="0.2">
      <c r="AQ35882" s="31"/>
    </row>
    <row r="35883" spans="43:43" x14ac:dyDescent="0.2">
      <c r="AQ35883" s="31"/>
    </row>
    <row r="35884" spans="43:43" x14ac:dyDescent="0.2">
      <c r="AQ35884" s="31"/>
    </row>
    <row r="35885" spans="43:43" x14ac:dyDescent="0.2">
      <c r="AQ35885" s="31"/>
    </row>
    <row r="35886" spans="43:43" x14ac:dyDescent="0.2">
      <c r="AQ35886" s="31"/>
    </row>
    <row r="35887" spans="43:43" x14ac:dyDescent="0.2">
      <c r="AQ35887" s="31"/>
    </row>
    <row r="35888" spans="43:43" x14ac:dyDescent="0.2">
      <c r="AQ35888" s="31"/>
    </row>
    <row r="35889" spans="43:43" x14ac:dyDescent="0.2">
      <c r="AQ35889" s="31"/>
    </row>
    <row r="35890" spans="43:43" x14ac:dyDescent="0.2">
      <c r="AQ35890" s="31"/>
    </row>
    <row r="35891" spans="43:43" x14ac:dyDescent="0.2">
      <c r="AQ35891" s="31"/>
    </row>
    <row r="35892" spans="43:43" x14ac:dyDescent="0.2">
      <c r="AQ35892" s="31"/>
    </row>
    <row r="35893" spans="43:43" x14ac:dyDescent="0.2">
      <c r="AQ35893" s="31"/>
    </row>
    <row r="35894" spans="43:43" x14ac:dyDescent="0.2">
      <c r="AQ35894" s="31"/>
    </row>
    <row r="35895" spans="43:43" x14ac:dyDescent="0.2">
      <c r="AQ35895" s="31"/>
    </row>
    <row r="35896" spans="43:43" x14ac:dyDescent="0.2">
      <c r="AQ35896" s="31"/>
    </row>
    <row r="35897" spans="43:43" x14ac:dyDescent="0.2">
      <c r="AQ35897" s="31"/>
    </row>
    <row r="35898" spans="43:43" x14ac:dyDescent="0.2">
      <c r="AQ35898" s="31"/>
    </row>
    <row r="35899" spans="43:43" x14ac:dyDescent="0.2">
      <c r="AQ35899" s="31"/>
    </row>
    <row r="35900" spans="43:43" x14ac:dyDescent="0.2">
      <c r="AQ35900" s="31"/>
    </row>
    <row r="35901" spans="43:43" x14ac:dyDescent="0.2">
      <c r="AQ35901" s="31"/>
    </row>
    <row r="35902" spans="43:43" x14ac:dyDescent="0.2">
      <c r="AQ35902" s="31"/>
    </row>
    <row r="35903" spans="43:43" x14ac:dyDescent="0.2">
      <c r="AQ35903" s="31"/>
    </row>
    <row r="35904" spans="43:43" x14ac:dyDescent="0.2">
      <c r="AQ35904" s="31"/>
    </row>
    <row r="35905" spans="43:43" x14ac:dyDescent="0.2">
      <c r="AQ35905" s="31"/>
    </row>
    <row r="35906" spans="43:43" x14ac:dyDescent="0.2">
      <c r="AQ35906" s="31"/>
    </row>
    <row r="35907" spans="43:43" x14ac:dyDescent="0.2">
      <c r="AQ35907" s="31"/>
    </row>
    <row r="35908" spans="43:43" x14ac:dyDescent="0.2">
      <c r="AQ35908" s="31"/>
    </row>
    <row r="35909" spans="43:43" x14ac:dyDescent="0.2">
      <c r="AQ35909" s="31"/>
    </row>
    <row r="35910" spans="43:43" x14ac:dyDescent="0.2">
      <c r="AQ35910" s="31"/>
    </row>
    <row r="35911" spans="43:43" x14ac:dyDescent="0.2">
      <c r="AQ35911" s="31"/>
    </row>
    <row r="35912" spans="43:43" x14ac:dyDescent="0.2">
      <c r="AQ35912" s="31"/>
    </row>
    <row r="35913" spans="43:43" x14ac:dyDescent="0.2">
      <c r="AQ35913" s="31"/>
    </row>
    <row r="35914" spans="43:43" x14ac:dyDescent="0.2">
      <c r="AQ35914" s="31"/>
    </row>
    <row r="35915" spans="43:43" x14ac:dyDescent="0.2">
      <c r="AQ35915" s="31"/>
    </row>
    <row r="35916" spans="43:43" x14ac:dyDescent="0.2">
      <c r="AQ35916" s="31"/>
    </row>
    <row r="35917" spans="43:43" x14ac:dyDescent="0.2">
      <c r="AQ35917" s="31"/>
    </row>
    <row r="35918" spans="43:43" x14ac:dyDescent="0.2">
      <c r="AQ35918" s="31"/>
    </row>
    <row r="35919" spans="43:43" x14ac:dyDescent="0.2">
      <c r="AQ35919" s="31"/>
    </row>
    <row r="35920" spans="43:43" x14ac:dyDescent="0.2">
      <c r="AQ35920" s="31"/>
    </row>
    <row r="35921" spans="43:43" x14ac:dyDescent="0.2">
      <c r="AQ35921" s="31"/>
    </row>
    <row r="35922" spans="43:43" x14ac:dyDescent="0.2">
      <c r="AQ35922" s="31"/>
    </row>
    <row r="35923" spans="43:43" x14ac:dyDescent="0.2">
      <c r="AQ35923" s="31"/>
    </row>
    <row r="35924" spans="43:43" x14ac:dyDescent="0.2">
      <c r="AQ35924" s="31"/>
    </row>
    <row r="35925" spans="43:43" x14ac:dyDescent="0.2">
      <c r="AQ35925" s="31"/>
    </row>
    <row r="35926" spans="43:43" x14ac:dyDescent="0.2">
      <c r="AQ35926" s="31"/>
    </row>
    <row r="35927" spans="43:43" x14ac:dyDescent="0.2">
      <c r="AQ35927" s="31"/>
    </row>
    <row r="35928" spans="43:43" x14ac:dyDescent="0.2">
      <c r="AQ35928" s="31"/>
    </row>
    <row r="35929" spans="43:43" x14ac:dyDescent="0.2">
      <c r="AQ35929" s="31"/>
    </row>
    <row r="35930" spans="43:43" x14ac:dyDescent="0.2">
      <c r="AQ35930" s="31"/>
    </row>
    <row r="35931" spans="43:43" x14ac:dyDescent="0.2">
      <c r="AQ35931" s="31"/>
    </row>
    <row r="35932" spans="43:43" x14ac:dyDescent="0.2">
      <c r="AQ35932" s="31"/>
    </row>
    <row r="35933" spans="43:43" x14ac:dyDescent="0.2">
      <c r="AQ35933" s="31"/>
    </row>
    <row r="35934" spans="43:43" x14ac:dyDescent="0.2">
      <c r="AQ35934" s="31"/>
    </row>
    <row r="35935" spans="43:43" x14ac:dyDescent="0.2">
      <c r="AQ35935" s="31"/>
    </row>
    <row r="35936" spans="43:43" x14ac:dyDescent="0.2">
      <c r="AQ35936" s="31"/>
    </row>
    <row r="35937" spans="43:43" x14ac:dyDescent="0.2">
      <c r="AQ35937" s="31"/>
    </row>
    <row r="35938" spans="43:43" x14ac:dyDescent="0.2">
      <c r="AQ35938" s="31"/>
    </row>
    <row r="35939" spans="43:43" x14ac:dyDescent="0.2">
      <c r="AQ35939" s="31"/>
    </row>
    <row r="35940" spans="43:43" x14ac:dyDescent="0.2">
      <c r="AQ35940" s="31"/>
    </row>
    <row r="35941" spans="43:43" x14ac:dyDescent="0.2">
      <c r="AQ35941" s="31"/>
    </row>
    <row r="35942" spans="43:43" x14ac:dyDescent="0.2">
      <c r="AQ35942" s="31"/>
    </row>
    <row r="35943" spans="43:43" x14ac:dyDescent="0.2">
      <c r="AQ35943" s="31"/>
    </row>
    <row r="35944" spans="43:43" x14ac:dyDescent="0.2">
      <c r="AQ35944" s="31"/>
    </row>
    <row r="35945" spans="43:43" x14ac:dyDescent="0.2">
      <c r="AQ35945" s="31"/>
    </row>
    <row r="35946" spans="43:43" x14ac:dyDescent="0.2">
      <c r="AQ35946" s="31"/>
    </row>
    <row r="35947" spans="43:43" x14ac:dyDescent="0.2">
      <c r="AQ35947" s="31"/>
    </row>
    <row r="35948" spans="43:43" x14ac:dyDescent="0.2">
      <c r="AQ35948" s="31"/>
    </row>
    <row r="35949" spans="43:43" x14ac:dyDescent="0.2">
      <c r="AQ35949" s="31"/>
    </row>
    <row r="35950" spans="43:43" x14ac:dyDescent="0.2">
      <c r="AQ35950" s="31"/>
    </row>
    <row r="35951" spans="43:43" x14ac:dyDescent="0.2">
      <c r="AQ35951" s="31"/>
    </row>
    <row r="35952" spans="43:43" x14ac:dyDescent="0.2">
      <c r="AQ35952" s="31"/>
    </row>
    <row r="35953" spans="43:43" x14ac:dyDescent="0.2">
      <c r="AQ35953" s="31"/>
    </row>
    <row r="35954" spans="43:43" x14ac:dyDescent="0.2">
      <c r="AQ35954" s="31"/>
    </row>
    <row r="35955" spans="43:43" x14ac:dyDescent="0.2">
      <c r="AQ35955" s="31"/>
    </row>
    <row r="35956" spans="43:43" x14ac:dyDescent="0.2">
      <c r="AQ35956" s="31"/>
    </row>
    <row r="35957" spans="43:43" x14ac:dyDescent="0.2">
      <c r="AQ35957" s="31"/>
    </row>
    <row r="35958" spans="43:43" x14ac:dyDescent="0.2">
      <c r="AQ35958" s="31"/>
    </row>
    <row r="35959" spans="43:43" x14ac:dyDescent="0.2">
      <c r="AQ35959" s="31"/>
    </row>
    <row r="35960" spans="43:43" x14ac:dyDescent="0.2">
      <c r="AQ35960" s="31"/>
    </row>
    <row r="35961" spans="43:43" x14ac:dyDescent="0.2">
      <c r="AQ35961" s="31"/>
    </row>
    <row r="35962" spans="43:43" x14ac:dyDescent="0.2">
      <c r="AQ35962" s="31"/>
    </row>
    <row r="35963" spans="43:43" x14ac:dyDescent="0.2">
      <c r="AQ35963" s="31"/>
    </row>
    <row r="35964" spans="43:43" x14ac:dyDescent="0.2">
      <c r="AQ35964" s="31"/>
    </row>
    <row r="35965" spans="43:43" x14ac:dyDescent="0.2">
      <c r="AQ35965" s="31"/>
    </row>
    <row r="35966" spans="43:43" x14ac:dyDescent="0.2">
      <c r="AQ35966" s="31"/>
    </row>
    <row r="35967" spans="43:43" x14ac:dyDescent="0.2">
      <c r="AQ35967" s="31"/>
    </row>
    <row r="35968" spans="43:43" x14ac:dyDescent="0.2">
      <c r="AQ35968" s="31"/>
    </row>
    <row r="35969" spans="43:43" x14ac:dyDescent="0.2">
      <c r="AQ35969" s="31"/>
    </row>
    <row r="35970" spans="43:43" x14ac:dyDescent="0.2">
      <c r="AQ35970" s="31"/>
    </row>
    <row r="35971" spans="43:43" x14ac:dyDescent="0.2">
      <c r="AQ35971" s="31"/>
    </row>
    <row r="35972" spans="43:43" x14ac:dyDescent="0.2">
      <c r="AQ35972" s="31"/>
    </row>
    <row r="35973" spans="43:43" x14ac:dyDescent="0.2">
      <c r="AQ35973" s="31"/>
    </row>
    <row r="35974" spans="43:43" x14ac:dyDescent="0.2">
      <c r="AQ35974" s="31"/>
    </row>
    <row r="35975" spans="43:43" x14ac:dyDescent="0.2">
      <c r="AQ35975" s="31"/>
    </row>
    <row r="35976" spans="43:43" x14ac:dyDescent="0.2">
      <c r="AQ35976" s="31"/>
    </row>
    <row r="35977" spans="43:43" x14ac:dyDescent="0.2">
      <c r="AQ35977" s="31"/>
    </row>
    <row r="35978" spans="43:43" x14ac:dyDescent="0.2">
      <c r="AQ35978" s="31"/>
    </row>
    <row r="35979" spans="43:43" x14ac:dyDescent="0.2">
      <c r="AQ35979" s="31"/>
    </row>
    <row r="35980" spans="43:43" x14ac:dyDescent="0.2">
      <c r="AQ35980" s="31"/>
    </row>
    <row r="35981" spans="43:43" x14ac:dyDescent="0.2">
      <c r="AQ35981" s="31"/>
    </row>
    <row r="35982" spans="43:43" x14ac:dyDescent="0.2">
      <c r="AQ35982" s="31"/>
    </row>
    <row r="35983" spans="43:43" x14ac:dyDescent="0.2">
      <c r="AQ35983" s="31"/>
    </row>
    <row r="35984" spans="43:43" x14ac:dyDescent="0.2">
      <c r="AQ35984" s="31"/>
    </row>
    <row r="35985" spans="43:43" x14ac:dyDescent="0.2">
      <c r="AQ35985" s="31"/>
    </row>
    <row r="35986" spans="43:43" x14ac:dyDescent="0.2">
      <c r="AQ35986" s="31"/>
    </row>
    <row r="35987" spans="43:43" x14ac:dyDescent="0.2">
      <c r="AQ35987" s="31"/>
    </row>
    <row r="35988" spans="43:43" x14ac:dyDescent="0.2">
      <c r="AQ35988" s="31"/>
    </row>
    <row r="35989" spans="43:43" x14ac:dyDescent="0.2">
      <c r="AQ35989" s="31"/>
    </row>
    <row r="35990" spans="43:43" x14ac:dyDescent="0.2">
      <c r="AQ35990" s="31"/>
    </row>
    <row r="35991" spans="43:43" x14ac:dyDescent="0.2">
      <c r="AQ35991" s="31"/>
    </row>
    <row r="35992" spans="43:43" x14ac:dyDescent="0.2">
      <c r="AQ35992" s="31"/>
    </row>
    <row r="35993" spans="43:43" x14ac:dyDescent="0.2">
      <c r="AQ35993" s="31"/>
    </row>
    <row r="35994" spans="43:43" x14ac:dyDescent="0.2">
      <c r="AQ35994" s="31"/>
    </row>
    <row r="35995" spans="43:43" x14ac:dyDescent="0.2">
      <c r="AQ35995" s="31"/>
    </row>
    <row r="35996" spans="43:43" x14ac:dyDescent="0.2">
      <c r="AQ35996" s="31"/>
    </row>
    <row r="35997" spans="43:43" x14ac:dyDescent="0.2">
      <c r="AQ35997" s="31"/>
    </row>
    <row r="35998" spans="43:43" x14ac:dyDescent="0.2">
      <c r="AQ35998" s="31"/>
    </row>
    <row r="35999" spans="43:43" x14ac:dyDescent="0.2">
      <c r="AQ35999" s="31"/>
    </row>
    <row r="36000" spans="43:43" x14ac:dyDescent="0.2">
      <c r="AQ36000" s="31"/>
    </row>
    <row r="36001" spans="43:43" x14ac:dyDescent="0.2">
      <c r="AQ36001" s="31"/>
    </row>
    <row r="36002" spans="43:43" x14ac:dyDescent="0.2">
      <c r="AQ36002" s="31"/>
    </row>
    <row r="36003" spans="43:43" x14ac:dyDescent="0.2">
      <c r="AQ36003" s="31"/>
    </row>
    <row r="36004" spans="43:43" x14ac:dyDescent="0.2">
      <c r="AQ36004" s="31"/>
    </row>
    <row r="36005" spans="43:43" x14ac:dyDescent="0.2">
      <c r="AQ36005" s="31"/>
    </row>
    <row r="36006" spans="43:43" x14ac:dyDescent="0.2">
      <c r="AQ36006" s="31"/>
    </row>
    <row r="36007" spans="43:43" x14ac:dyDescent="0.2">
      <c r="AQ36007" s="31"/>
    </row>
    <row r="36008" spans="43:43" x14ac:dyDescent="0.2">
      <c r="AQ36008" s="31"/>
    </row>
    <row r="36009" spans="43:43" x14ac:dyDescent="0.2">
      <c r="AQ36009" s="31"/>
    </row>
    <row r="36010" spans="43:43" x14ac:dyDescent="0.2">
      <c r="AQ36010" s="31"/>
    </row>
    <row r="36011" spans="43:43" x14ac:dyDescent="0.2">
      <c r="AQ36011" s="31"/>
    </row>
    <row r="36012" spans="43:43" x14ac:dyDescent="0.2">
      <c r="AQ36012" s="31"/>
    </row>
    <row r="36013" spans="43:43" x14ac:dyDescent="0.2">
      <c r="AQ36013" s="31"/>
    </row>
    <row r="36014" spans="43:43" x14ac:dyDescent="0.2">
      <c r="AQ36014" s="31"/>
    </row>
    <row r="36015" spans="43:43" x14ac:dyDescent="0.2">
      <c r="AQ36015" s="31"/>
    </row>
    <row r="36016" spans="43:43" x14ac:dyDescent="0.2">
      <c r="AQ36016" s="31"/>
    </row>
    <row r="36017" spans="43:43" x14ac:dyDescent="0.2">
      <c r="AQ36017" s="31"/>
    </row>
    <row r="36018" spans="43:43" x14ac:dyDescent="0.2">
      <c r="AQ36018" s="31"/>
    </row>
    <row r="36019" spans="43:43" x14ac:dyDescent="0.2">
      <c r="AQ36019" s="31"/>
    </row>
    <row r="36020" spans="43:43" x14ac:dyDescent="0.2">
      <c r="AQ36020" s="31"/>
    </row>
    <row r="36021" spans="43:43" x14ac:dyDescent="0.2">
      <c r="AQ36021" s="31"/>
    </row>
    <row r="36022" spans="43:43" x14ac:dyDescent="0.2">
      <c r="AQ36022" s="31"/>
    </row>
    <row r="36023" spans="43:43" x14ac:dyDescent="0.2">
      <c r="AQ36023" s="31"/>
    </row>
    <row r="36024" spans="43:43" x14ac:dyDescent="0.2">
      <c r="AQ36024" s="31"/>
    </row>
    <row r="36025" spans="43:43" x14ac:dyDescent="0.2">
      <c r="AQ36025" s="31"/>
    </row>
    <row r="36026" spans="43:43" x14ac:dyDescent="0.2">
      <c r="AQ36026" s="31"/>
    </row>
    <row r="36027" spans="43:43" x14ac:dyDescent="0.2">
      <c r="AQ36027" s="31"/>
    </row>
    <row r="36028" spans="43:43" x14ac:dyDescent="0.2">
      <c r="AQ36028" s="31"/>
    </row>
    <row r="36029" spans="43:43" x14ac:dyDescent="0.2">
      <c r="AQ36029" s="31"/>
    </row>
    <row r="36030" spans="43:43" x14ac:dyDescent="0.2">
      <c r="AQ36030" s="31"/>
    </row>
    <row r="36031" spans="43:43" x14ac:dyDescent="0.2">
      <c r="AQ36031" s="31"/>
    </row>
    <row r="36032" spans="43:43" x14ac:dyDescent="0.2">
      <c r="AQ36032" s="31"/>
    </row>
    <row r="36033" spans="43:43" x14ac:dyDescent="0.2">
      <c r="AQ36033" s="31"/>
    </row>
    <row r="36034" spans="43:43" x14ac:dyDescent="0.2">
      <c r="AQ36034" s="31"/>
    </row>
    <row r="36035" spans="43:43" x14ac:dyDescent="0.2">
      <c r="AQ36035" s="31"/>
    </row>
    <row r="36036" spans="43:43" x14ac:dyDescent="0.2">
      <c r="AQ36036" s="31"/>
    </row>
    <row r="36037" spans="43:43" x14ac:dyDescent="0.2">
      <c r="AQ36037" s="31"/>
    </row>
    <row r="36038" spans="43:43" x14ac:dyDescent="0.2">
      <c r="AQ36038" s="31"/>
    </row>
    <row r="36039" spans="43:43" x14ac:dyDescent="0.2">
      <c r="AQ36039" s="31"/>
    </row>
    <row r="36040" spans="43:43" x14ac:dyDescent="0.2">
      <c r="AQ36040" s="31"/>
    </row>
    <row r="36041" spans="43:43" x14ac:dyDescent="0.2">
      <c r="AQ36041" s="31"/>
    </row>
    <row r="36042" spans="43:43" x14ac:dyDescent="0.2">
      <c r="AQ36042" s="31"/>
    </row>
    <row r="36043" spans="43:43" x14ac:dyDescent="0.2">
      <c r="AQ36043" s="31"/>
    </row>
    <row r="36044" spans="43:43" x14ac:dyDescent="0.2">
      <c r="AQ36044" s="31"/>
    </row>
    <row r="36045" spans="43:43" x14ac:dyDescent="0.2">
      <c r="AQ36045" s="31"/>
    </row>
    <row r="36046" spans="43:43" x14ac:dyDescent="0.2">
      <c r="AQ36046" s="31"/>
    </row>
    <row r="36047" spans="43:43" x14ac:dyDescent="0.2">
      <c r="AQ36047" s="31"/>
    </row>
    <row r="36048" spans="43:43" x14ac:dyDescent="0.2">
      <c r="AQ36048" s="31"/>
    </row>
    <row r="36049" spans="43:43" x14ac:dyDescent="0.2">
      <c r="AQ36049" s="31"/>
    </row>
    <row r="36050" spans="43:43" x14ac:dyDescent="0.2">
      <c r="AQ36050" s="31"/>
    </row>
    <row r="36051" spans="43:43" x14ac:dyDescent="0.2">
      <c r="AQ36051" s="31"/>
    </row>
    <row r="36052" spans="43:43" x14ac:dyDescent="0.2">
      <c r="AQ36052" s="31"/>
    </row>
    <row r="36053" spans="43:43" x14ac:dyDescent="0.2">
      <c r="AQ36053" s="31"/>
    </row>
    <row r="36054" spans="43:43" x14ac:dyDescent="0.2">
      <c r="AQ36054" s="31"/>
    </row>
    <row r="36055" spans="43:43" x14ac:dyDescent="0.2">
      <c r="AQ36055" s="31"/>
    </row>
    <row r="36056" spans="43:43" x14ac:dyDescent="0.2">
      <c r="AQ36056" s="31"/>
    </row>
    <row r="36057" spans="43:43" x14ac:dyDescent="0.2">
      <c r="AQ36057" s="31"/>
    </row>
    <row r="36058" spans="43:43" x14ac:dyDescent="0.2">
      <c r="AQ36058" s="31"/>
    </row>
    <row r="36059" spans="43:43" x14ac:dyDescent="0.2">
      <c r="AQ36059" s="31"/>
    </row>
    <row r="36060" spans="43:43" x14ac:dyDescent="0.2">
      <c r="AQ36060" s="31"/>
    </row>
    <row r="36061" spans="43:43" x14ac:dyDescent="0.2">
      <c r="AQ36061" s="31"/>
    </row>
    <row r="36062" spans="43:43" x14ac:dyDescent="0.2">
      <c r="AQ36062" s="31"/>
    </row>
    <row r="36063" spans="43:43" x14ac:dyDescent="0.2">
      <c r="AQ36063" s="31"/>
    </row>
    <row r="36064" spans="43:43" x14ac:dyDescent="0.2">
      <c r="AQ36064" s="31"/>
    </row>
    <row r="36065" spans="43:43" x14ac:dyDescent="0.2">
      <c r="AQ36065" s="31"/>
    </row>
    <row r="36066" spans="43:43" x14ac:dyDescent="0.2">
      <c r="AQ36066" s="31"/>
    </row>
    <row r="36067" spans="43:43" x14ac:dyDescent="0.2">
      <c r="AQ36067" s="31"/>
    </row>
    <row r="36068" spans="43:43" x14ac:dyDescent="0.2">
      <c r="AQ36068" s="31"/>
    </row>
    <row r="36069" spans="43:43" x14ac:dyDescent="0.2">
      <c r="AQ36069" s="31"/>
    </row>
    <row r="36070" spans="43:43" x14ac:dyDescent="0.2">
      <c r="AQ36070" s="31"/>
    </row>
    <row r="36071" spans="43:43" x14ac:dyDescent="0.2">
      <c r="AQ36071" s="31"/>
    </row>
    <row r="36072" spans="43:43" x14ac:dyDescent="0.2">
      <c r="AQ36072" s="31"/>
    </row>
    <row r="36073" spans="43:43" x14ac:dyDescent="0.2">
      <c r="AQ36073" s="31"/>
    </row>
    <row r="36074" spans="43:43" x14ac:dyDescent="0.2">
      <c r="AQ36074" s="31"/>
    </row>
    <row r="36075" spans="43:43" x14ac:dyDescent="0.2">
      <c r="AQ36075" s="31"/>
    </row>
    <row r="36076" spans="43:43" x14ac:dyDescent="0.2">
      <c r="AQ36076" s="31"/>
    </row>
    <row r="36077" spans="43:43" x14ac:dyDescent="0.2">
      <c r="AQ36077" s="31"/>
    </row>
    <row r="36078" spans="43:43" x14ac:dyDescent="0.2">
      <c r="AQ36078" s="31"/>
    </row>
    <row r="36079" spans="43:43" x14ac:dyDescent="0.2">
      <c r="AQ36079" s="31"/>
    </row>
    <row r="36080" spans="43:43" x14ac:dyDescent="0.2">
      <c r="AQ36080" s="31"/>
    </row>
    <row r="36081" spans="43:43" x14ac:dyDescent="0.2">
      <c r="AQ36081" s="31"/>
    </row>
    <row r="36082" spans="43:43" x14ac:dyDescent="0.2">
      <c r="AQ36082" s="31"/>
    </row>
    <row r="36083" spans="43:43" x14ac:dyDescent="0.2">
      <c r="AQ36083" s="31"/>
    </row>
    <row r="36084" spans="43:43" x14ac:dyDescent="0.2">
      <c r="AQ36084" s="31"/>
    </row>
    <row r="36085" spans="43:43" x14ac:dyDescent="0.2">
      <c r="AQ36085" s="31"/>
    </row>
    <row r="36086" spans="43:43" x14ac:dyDescent="0.2">
      <c r="AQ36086" s="31"/>
    </row>
    <row r="36087" spans="43:43" x14ac:dyDescent="0.2">
      <c r="AQ36087" s="31"/>
    </row>
    <row r="36088" spans="43:43" x14ac:dyDescent="0.2">
      <c r="AQ36088" s="31"/>
    </row>
    <row r="36089" spans="43:43" x14ac:dyDescent="0.2">
      <c r="AQ36089" s="31"/>
    </row>
    <row r="36090" spans="43:43" x14ac:dyDescent="0.2">
      <c r="AQ36090" s="31"/>
    </row>
    <row r="36091" spans="43:43" x14ac:dyDescent="0.2">
      <c r="AQ36091" s="31"/>
    </row>
    <row r="36092" spans="43:43" x14ac:dyDescent="0.2">
      <c r="AQ36092" s="31"/>
    </row>
    <row r="36093" spans="43:43" x14ac:dyDescent="0.2">
      <c r="AQ36093" s="31"/>
    </row>
    <row r="36094" spans="43:43" x14ac:dyDescent="0.2">
      <c r="AQ36094" s="31"/>
    </row>
    <row r="36095" spans="43:43" x14ac:dyDescent="0.2">
      <c r="AQ36095" s="31"/>
    </row>
    <row r="36096" spans="43:43" x14ac:dyDescent="0.2">
      <c r="AQ36096" s="31"/>
    </row>
    <row r="36097" spans="43:43" x14ac:dyDescent="0.2">
      <c r="AQ36097" s="31"/>
    </row>
    <row r="36098" spans="43:43" x14ac:dyDescent="0.2">
      <c r="AQ36098" s="31"/>
    </row>
    <row r="36099" spans="43:43" x14ac:dyDescent="0.2">
      <c r="AQ36099" s="31"/>
    </row>
    <row r="36100" spans="43:43" x14ac:dyDescent="0.2">
      <c r="AQ36100" s="31"/>
    </row>
    <row r="36101" spans="43:43" x14ac:dyDescent="0.2">
      <c r="AQ36101" s="31"/>
    </row>
    <row r="36102" spans="43:43" x14ac:dyDescent="0.2">
      <c r="AQ36102" s="31"/>
    </row>
    <row r="36103" spans="43:43" x14ac:dyDescent="0.2">
      <c r="AQ36103" s="31"/>
    </row>
    <row r="36104" spans="43:43" x14ac:dyDescent="0.2">
      <c r="AQ36104" s="31"/>
    </row>
    <row r="36105" spans="43:43" x14ac:dyDescent="0.2">
      <c r="AQ36105" s="31"/>
    </row>
    <row r="36106" spans="43:43" x14ac:dyDescent="0.2">
      <c r="AQ36106" s="31"/>
    </row>
    <row r="36107" spans="43:43" x14ac:dyDescent="0.2">
      <c r="AQ36107" s="31"/>
    </row>
    <row r="36108" spans="43:43" x14ac:dyDescent="0.2">
      <c r="AQ36108" s="31"/>
    </row>
    <row r="36109" spans="43:43" x14ac:dyDescent="0.2">
      <c r="AQ36109" s="31"/>
    </row>
    <row r="36110" spans="43:43" x14ac:dyDescent="0.2">
      <c r="AQ36110" s="31"/>
    </row>
    <row r="36111" spans="43:43" x14ac:dyDescent="0.2">
      <c r="AQ36111" s="31"/>
    </row>
    <row r="36112" spans="43:43" x14ac:dyDescent="0.2">
      <c r="AQ36112" s="31"/>
    </row>
    <row r="36113" spans="43:43" x14ac:dyDescent="0.2">
      <c r="AQ36113" s="31"/>
    </row>
    <row r="36114" spans="43:43" x14ac:dyDescent="0.2">
      <c r="AQ36114" s="31"/>
    </row>
    <row r="36115" spans="43:43" x14ac:dyDescent="0.2">
      <c r="AQ36115" s="31"/>
    </row>
    <row r="36116" spans="43:43" x14ac:dyDescent="0.2">
      <c r="AQ36116" s="31"/>
    </row>
    <row r="36117" spans="43:43" x14ac:dyDescent="0.2">
      <c r="AQ36117" s="31"/>
    </row>
    <row r="36118" spans="43:43" x14ac:dyDescent="0.2">
      <c r="AQ36118" s="31"/>
    </row>
    <row r="36119" spans="43:43" x14ac:dyDescent="0.2">
      <c r="AQ36119" s="31"/>
    </row>
    <row r="36120" spans="43:43" x14ac:dyDescent="0.2">
      <c r="AQ36120" s="31"/>
    </row>
    <row r="36121" spans="43:43" x14ac:dyDescent="0.2">
      <c r="AQ36121" s="31"/>
    </row>
    <row r="36122" spans="43:43" x14ac:dyDescent="0.2">
      <c r="AQ36122" s="31"/>
    </row>
    <row r="36123" spans="43:43" x14ac:dyDescent="0.2">
      <c r="AQ36123" s="31"/>
    </row>
    <row r="36124" spans="43:43" x14ac:dyDescent="0.2">
      <c r="AQ36124" s="31"/>
    </row>
    <row r="36125" spans="43:43" x14ac:dyDescent="0.2">
      <c r="AQ36125" s="31"/>
    </row>
    <row r="36126" spans="43:43" x14ac:dyDescent="0.2">
      <c r="AQ36126" s="31"/>
    </row>
    <row r="36127" spans="43:43" x14ac:dyDescent="0.2">
      <c r="AQ36127" s="31"/>
    </row>
    <row r="36128" spans="43:43" x14ac:dyDescent="0.2">
      <c r="AQ36128" s="31"/>
    </row>
    <row r="36129" spans="43:43" x14ac:dyDescent="0.2">
      <c r="AQ36129" s="31"/>
    </row>
    <row r="36130" spans="43:43" x14ac:dyDescent="0.2">
      <c r="AQ36130" s="31"/>
    </row>
    <row r="36131" spans="43:43" x14ac:dyDescent="0.2">
      <c r="AQ36131" s="31"/>
    </row>
    <row r="36132" spans="43:43" x14ac:dyDescent="0.2">
      <c r="AQ36132" s="31"/>
    </row>
    <row r="36133" spans="43:43" x14ac:dyDescent="0.2">
      <c r="AQ36133" s="31"/>
    </row>
    <row r="36134" spans="43:43" x14ac:dyDescent="0.2">
      <c r="AQ36134" s="31"/>
    </row>
    <row r="36135" spans="43:43" x14ac:dyDescent="0.2">
      <c r="AQ36135" s="31"/>
    </row>
    <row r="36136" spans="43:43" x14ac:dyDescent="0.2">
      <c r="AQ36136" s="31"/>
    </row>
    <row r="36137" spans="43:43" x14ac:dyDescent="0.2">
      <c r="AQ36137" s="31"/>
    </row>
    <row r="36138" spans="43:43" x14ac:dyDescent="0.2">
      <c r="AQ36138" s="31"/>
    </row>
    <row r="36139" spans="43:43" x14ac:dyDescent="0.2">
      <c r="AQ36139" s="31"/>
    </row>
    <row r="36140" spans="43:43" x14ac:dyDescent="0.2">
      <c r="AQ36140" s="31"/>
    </row>
    <row r="36141" spans="43:43" x14ac:dyDescent="0.2">
      <c r="AQ36141" s="31"/>
    </row>
    <row r="36142" spans="43:43" x14ac:dyDescent="0.2">
      <c r="AQ36142" s="31"/>
    </row>
    <row r="36143" spans="43:43" x14ac:dyDescent="0.2">
      <c r="AQ36143" s="31"/>
    </row>
    <row r="36144" spans="43:43" x14ac:dyDescent="0.2">
      <c r="AQ36144" s="31"/>
    </row>
    <row r="36145" spans="43:43" x14ac:dyDescent="0.2">
      <c r="AQ36145" s="31"/>
    </row>
    <row r="36146" spans="43:43" x14ac:dyDescent="0.2">
      <c r="AQ36146" s="31"/>
    </row>
    <row r="36147" spans="43:43" x14ac:dyDescent="0.2">
      <c r="AQ36147" s="31"/>
    </row>
    <row r="36148" spans="43:43" x14ac:dyDescent="0.2">
      <c r="AQ36148" s="31"/>
    </row>
    <row r="36149" spans="43:43" x14ac:dyDescent="0.2">
      <c r="AQ36149" s="31"/>
    </row>
    <row r="36150" spans="43:43" x14ac:dyDescent="0.2">
      <c r="AQ36150" s="31"/>
    </row>
    <row r="36151" spans="43:43" x14ac:dyDescent="0.2">
      <c r="AQ36151" s="31"/>
    </row>
    <row r="36152" spans="43:43" x14ac:dyDescent="0.2">
      <c r="AQ36152" s="31"/>
    </row>
    <row r="36153" spans="43:43" x14ac:dyDescent="0.2">
      <c r="AQ36153" s="31"/>
    </row>
    <row r="36154" spans="43:43" x14ac:dyDescent="0.2">
      <c r="AQ36154" s="31"/>
    </row>
    <row r="36155" spans="43:43" x14ac:dyDescent="0.2">
      <c r="AQ36155" s="31"/>
    </row>
    <row r="36156" spans="43:43" x14ac:dyDescent="0.2">
      <c r="AQ36156" s="31"/>
    </row>
    <row r="36157" spans="43:43" x14ac:dyDescent="0.2">
      <c r="AQ36157" s="31"/>
    </row>
    <row r="36158" spans="43:43" x14ac:dyDescent="0.2">
      <c r="AQ36158" s="31"/>
    </row>
    <row r="36159" spans="43:43" x14ac:dyDescent="0.2">
      <c r="AQ36159" s="31"/>
    </row>
    <row r="36160" spans="43:43" x14ac:dyDescent="0.2">
      <c r="AQ36160" s="31"/>
    </row>
    <row r="36161" spans="43:43" x14ac:dyDescent="0.2">
      <c r="AQ36161" s="31"/>
    </row>
    <row r="36162" spans="43:43" x14ac:dyDescent="0.2">
      <c r="AQ36162" s="31"/>
    </row>
    <row r="36163" spans="43:43" x14ac:dyDescent="0.2">
      <c r="AQ36163" s="31"/>
    </row>
    <row r="36164" spans="43:43" x14ac:dyDescent="0.2">
      <c r="AQ36164" s="31"/>
    </row>
    <row r="36165" spans="43:43" x14ac:dyDescent="0.2">
      <c r="AQ36165" s="31"/>
    </row>
    <row r="36166" spans="43:43" x14ac:dyDescent="0.2">
      <c r="AQ36166" s="31"/>
    </row>
    <row r="36167" spans="43:43" x14ac:dyDescent="0.2">
      <c r="AQ36167" s="31"/>
    </row>
    <row r="36168" spans="43:43" x14ac:dyDescent="0.2">
      <c r="AQ36168" s="31"/>
    </row>
    <row r="36169" spans="43:43" x14ac:dyDescent="0.2">
      <c r="AQ36169" s="31"/>
    </row>
    <row r="36170" spans="43:43" x14ac:dyDescent="0.2">
      <c r="AQ36170" s="31"/>
    </row>
    <row r="36171" spans="43:43" x14ac:dyDescent="0.2">
      <c r="AQ36171" s="31"/>
    </row>
    <row r="36172" spans="43:43" x14ac:dyDescent="0.2">
      <c r="AQ36172" s="31"/>
    </row>
    <row r="36173" spans="43:43" x14ac:dyDescent="0.2">
      <c r="AQ36173" s="31"/>
    </row>
    <row r="36174" spans="43:43" x14ac:dyDescent="0.2">
      <c r="AQ36174" s="31"/>
    </row>
    <row r="36175" spans="43:43" x14ac:dyDescent="0.2">
      <c r="AQ36175" s="31"/>
    </row>
    <row r="36176" spans="43:43" x14ac:dyDescent="0.2">
      <c r="AQ36176" s="31"/>
    </row>
    <row r="36177" spans="43:43" x14ac:dyDescent="0.2">
      <c r="AQ36177" s="31"/>
    </row>
    <row r="36178" spans="43:43" x14ac:dyDescent="0.2">
      <c r="AQ36178" s="31"/>
    </row>
    <row r="36179" spans="43:43" x14ac:dyDescent="0.2">
      <c r="AQ36179" s="31"/>
    </row>
    <row r="36180" spans="43:43" x14ac:dyDescent="0.2">
      <c r="AQ36180" s="31"/>
    </row>
    <row r="36181" spans="43:43" x14ac:dyDescent="0.2">
      <c r="AQ36181" s="31"/>
    </row>
    <row r="36182" spans="43:43" x14ac:dyDescent="0.2">
      <c r="AQ36182" s="31"/>
    </row>
    <row r="36183" spans="43:43" x14ac:dyDescent="0.2">
      <c r="AQ36183" s="31"/>
    </row>
    <row r="36184" spans="43:43" x14ac:dyDescent="0.2">
      <c r="AQ36184" s="31"/>
    </row>
    <row r="36185" spans="43:43" x14ac:dyDescent="0.2">
      <c r="AQ36185" s="31"/>
    </row>
    <row r="36186" spans="43:43" x14ac:dyDescent="0.2">
      <c r="AQ36186" s="31"/>
    </row>
    <row r="36187" spans="43:43" x14ac:dyDescent="0.2">
      <c r="AQ36187" s="31"/>
    </row>
    <row r="36188" spans="43:43" x14ac:dyDescent="0.2">
      <c r="AQ36188" s="31"/>
    </row>
    <row r="36189" spans="43:43" x14ac:dyDescent="0.2">
      <c r="AQ36189" s="31"/>
    </row>
    <row r="36190" spans="43:43" x14ac:dyDescent="0.2">
      <c r="AQ36190" s="31"/>
    </row>
    <row r="36191" spans="43:43" x14ac:dyDescent="0.2">
      <c r="AQ36191" s="31"/>
    </row>
    <row r="36192" spans="43:43" x14ac:dyDescent="0.2">
      <c r="AQ36192" s="31"/>
    </row>
    <row r="36193" spans="43:43" x14ac:dyDescent="0.2">
      <c r="AQ36193" s="31"/>
    </row>
    <row r="36194" spans="43:43" x14ac:dyDescent="0.2">
      <c r="AQ36194" s="31"/>
    </row>
    <row r="36195" spans="43:43" x14ac:dyDescent="0.2">
      <c r="AQ36195" s="31"/>
    </row>
    <row r="36196" spans="43:43" x14ac:dyDescent="0.2">
      <c r="AQ36196" s="31"/>
    </row>
    <row r="36197" spans="43:43" x14ac:dyDescent="0.2">
      <c r="AQ36197" s="31"/>
    </row>
    <row r="36198" spans="43:43" x14ac:dyDescent="0.2">
      <c r="AQ36198" s="31"/>
    </row>
    <row r="36199" spans="43:43" x14ac:dyDescent="0.2">
      <c r="AQ36199" s="31"/>
    </row>
    <row r="36200" spans="43:43" x14ac:dyDescent="0.2">
      <c r="AQ36200" s="31"/>
    </row>
    <row r="36201" spans="43:43" x14ac:dyDescent="0.2">
      <c r="AQ36201" s="31"/>
    </row>
    <row r="36202" spans="43:43" x14ac:dyDescent="0.2">
      <c r="AQ36202" s="31"/>
    </row>
    <row r="36203" spans="43:43" x14ac:dyDescent="0.2">
      <c r="AQ36203" s="31"/>
    </row>
    <row r="36204" spans="43:43" x14ac:dyDescent="0.2">
      <c r="AQ36204" s="31"/>
    </row>
    <row r="36205" spans="43:43" x14ac:dyDescent="0.2">
      <c r="AQ36205" s="31"/>
    </row>
    <row r="36206" spans="43:43" x14ac:dyDescent="0.2">
      <c r="AQ36206" s="31"/>
    </row>
    <row r="36207" spans="43:43" x14ac:dyDescent="0.2">
      <c r="AQ36207" s="31"/>
    </row>
    <row r="36208" spans="43:43" x14ac:dyDescent="0.2">
      <c r="AQ36208" s="31"/>
    </row>
    <row r="36209" spans="43:43" x14ac:dyDescent="0.2">
      <c r="AQ36209" s="31"/>
    </row>
    <row r="36210" spans="43:43" x14ac:dyDescent="0.2">
      <c r="AQ36210" s="31"/>
    </row>
    <row r="36211" spans="43:43" x14ac:dyDescent="0.2">
      <c r="AQ36211" s="31"/>
    </row>
    <row r="36212" spans="43:43" x14ac:dyDescent="0.2">
      <c r="AQ36212" s="31"/>
    </row>
    <row r="36213" spans="43:43" x14ac:dyDescent="0.2">
      <c r="AQ36213" s="31"/>
    </row>
    <row r="36214" spans="43:43" x14ac:dyDescent="0.2">
      <c r="AQ36214" s="31"/>
    </row>
    <row r="36215" spans="43:43" x14ac:dyDescent="0.2">
      <c r="AQ36215" s="31"/>
    </row>
    <row r="36216" spans="43:43" x14ac:dyDescent="0.2">
      <c r="AQ36216" s="31"/>
    </row>
    <row r="36217" spans="43:43" x14ac:dyDescent="0.2">
      <c r="AQ36217" s="31"/>
    </row>
    <row r="36218" spans="43:43" x14ac:dyDescent="0.2">
      <c r="AQ36218" s="31"/>
    </row>
    <row r="36219" spans="43:43" x14ac:dyDescent="0.2">
      <c r="AQ36219" s="31"/>
    </row>
    <row r="36220" spans="43:43" x14ac:dyDescent="0.2">
      <c r="AQ36220" s="31"/>
    </row>
    <row r="36221" spans="43:43" x14ac:dyDescent="0.2">
      <c r="AQ36221" s="31"/>
    </row>
    <row r="36222" spans="43:43" x14ac:dyDescent="0.2">
      <c r="AQ36222" s="31"/>
    </row>
    <row r="36223" spans="43:43" x14ac:dyDescent="0.2">
      <c r="AQ36223" s="31"/>
    </row>
    <row r="36224" spans="43:43" x14ac:dyDescent="0.2">
      <c r="AQ36224" s="31"/>
    </row>
    <row r="36225" spans="43:43" x14ac:dyDescent="0.2">
      <c r="AQ36225" s="31"/>
    </row>
    <row r="36226" spans="43:43" x14ac:dyDescent="0.2">
      <c r="AQ36226" s="31"/>
    </row>
    <row r="36227" spans="43:43" x14ac:dyDescent="0.2">
      <c r="AQ36227" s="31"/>
    </row>
    <row r="36228" spans="43:43" x14ac:dyDescent="0.2">
      <c r="AQ36228" s="31"/>
    </row>
    <row r="36229" spans="43:43" x14ac:dyDescent="0.2">
      <c r="AQ36229" s="31"/>
    </row>
    <row r="36230" spans="43:43" x14ac:dyDescent="0.2">
      <c r="AQ36230" s="31"/>
    </row>
    <row r="36231" spans="43:43" x14ac:dyDescent="0.2">
      <c r="AQ36231" s="31"/>
    </row>
    <row r="36232" spans="43:43" x14ac:dyDescent="0.2">
      <c r="AQ36232" s="31"/>
    </row>
    <row r="36233" spans="43:43" x14ac:dyDescent="0.2">
      <c r="AQ36233" s="31"/>
    </row>
    <row r="36234" spans="43:43" x14ac:dyDescent="0.2">
      <c r="AQ36234" s="31"/>
    </row>
    <row r="36235" spans="43:43" x14ac:dyDescent="0.2">
      <c r="AQ36235" s="31"/>
    </row>
    <row r="36236" spans="43:43" x14ac:dyDescent="0.2">
      <c r="AQ36236" s="31"/>
    </row>
    <row r="36237" spans="43:43" x14ac:dyDescent="0.2">
      <c r="AQ36237" s="31"/>
    </row>
    <row r="36238" spans="43:43" x14ac:dyDescent="0.2">
      <c r="AQ36238" s="31"/>
    </row>
    <row r="36239" spans="43:43" x14ac:dyDescent="0.2">
      <c r="AQ36239" s="31"/>
    </row>
    <row r="36240" spans="43:43" x14ac:dyDescent="0.2">
      <c r="AQ36240" s="31"/>
    </row>
    <row r="36241" spans="43:43" x14ac:dyDescent="0.2">
      <c r="AQ36241" s="31"/>
    </row>
    <row r="36242" spans="43:43" x14ac:dyDescent="0.2">
      <c r="AQ36242" s="31"/>
    </row>
    <row r="36243" spans="43:43" x14ac:dyDescent="0.2">
      <c r="AQ36243" s="31"/>
    </row>
    <row r="36244" spans="43:43" x14ac:dyDescent="0.2">
      <c r="AQ36244" s="31"/>
    </row>
    <row r="36245" spans="43:43" x14ac:dyDescent="0.2">
      <c r="AQ36245" s="31"/>
    </row>
    <row r="36246" spans="43:43" x14ac:dyDescent="0.2">
      <c r="AQ36246" s="31"/>
    </row>
    <row r="36247" spans="43:43" x14ac:dyDescent="0.2">
      <c r="AQ36247" s="31"/>
    </row>
    <row r="36248" spans="43:43" x14ac:dyDescent="0.2">
      <c r="AQ36248" s="31"/>
    </row>
    <row r="36249" spans="43:43" x14ac:dyDescent="0.2">
      <c r="AQ36249" s="31"/>
    </row>
    <row r="36250" spans="43:43" x14ac:dyDescent="0.2">
      <c r="AQ36250" s="31"/>
    </row>
    <row r="36251" spans="43:43" x14ac:dyDescent="0.2">
      <c r="AQ36251" s="31"/>
    </row>
    <row r="36252" spans="43:43" x14ac:dyDescent="0.2">
      <c r="AQ36252" s="31"/>
    </row>
    <row r="36253" spans="43:43" x14ac:dyDescent="0.2">
      <c r="AQ36253" s="31"/>
    </row>
    <row r="36254" spans="43:43" x14ac:dyDescent="0.2">
      <c r="AQ36254" s="31"/>
    </row>
    <row r="36255" spans="43:43" x14ac:dyDescent="0.2">
      <c r="AQ36255" s="31"/>
    </row>
    <row r="36256" spans="43:43" x14ac:dyDescent="0.2">
      <c r="AQ36256" s="31"/>
    </row>
    <row r="36257" spans="43:43" x14ac:dyDescent="0.2">
      <c r="AQ36257" s="31"/>
    </row>
    <row r="36258" spans="43:43" x14ac:dyDescent="0.2">
      <c r="AQ36258" s="31"/>
    </row>
    <row r="36259" spans="43:43" x14ac:dyDescent="0.2">
      <c r="AQ36259" s="31"/>
    </row>
    <row r="36260" spans="43:43" x14ac:dyDescent="0.2">
      <c r="AQ36260" s="31"/>
    </row>
    <row r="36261" spans="43:43" x14ac:dyDescent="0.2">
      <c r="AQ36261" s="31"/>
    </row>
    <row r="36262" spans="43:43" x14ac:dyDescent="0.2">
      <c r="AQ36262" s="31"/>
    </row>
    <row r="36263" spans="43:43" x14ac:dyDescent="0.2">
      <c r="AQ36263" s="31"/>
    </row>
    <row r="36264" spans="43:43" x14ac:dyDescent="0.2">
      <c r="AQ36264" s="31"/>
    </row>
    <row r="36265" spans="43:43" x14ac:dyDescent="0.2">
      <c r="AQ36265" s="31"/>
    </row>
    <row r="36266" spans="43:43" x14ac:dyDescent="0.2">
      <c r="AQ36266" s="31"/>
    </row>
    <row r="36267" spans="43:43" x14ac:dyDescent="0.2">
      <c r="AQ36267" s="31"/>
    </row>
    <row r="36268" spans="43:43" x14ac:dyDescent="0.2">
      <c r="AQ36268" s="31"/>
    </row>
    <row r="36269" spans="43:43" x14ac:dyDescent="0.2">
      <c r="AQ36269" s="31"/>
    </row>
    <row r="36270" spans="43:43" x14ac:dyDescent="0.2">
      <c r="AQ36270" s="31"/>
    </row>
    <row r="36271" spans="43:43" x14ac:dyDescent="0.2">
      <c r="AQ36271" s="31"/>
    </row>
    <row r="36272" spans="43:43" x14ac:dyDescent="0.2">
      <c r="AQ36272" s="31"/>
    </row>
    <row r="36273" spans="43:43" x14ac:dyDescent="0.2">
      <c r="AQ36273" s="31"/>
    </row>
    <row r="36274" spans="43:43" x14ac:dyDescent="0.2">
      <c r="AQ36274" s="31"/>
    </row>
    <row r="36275" spans="43:43" x14ac:dyDescent="0.2">
      <c r="AQ36275" s="31"/>
    </row>
    <row r="36276" spans="43:43" x14ac:dyDescent="0.2">
      <c r="AQ36276" s="31"/>
    </row>
    <row r="36277" spans="43:43" x14ac:dyDescent="0.2">
      <c r="AQ36277" s="31"/>
    </row>
    <row r="36278" spans="43:43" x14ac:dyDescent="0.2">
      <c r="AQ36278" s="31"/>
    </row>
    <row r="36279" spans="43:43" x14ac:dyDescent="0.2">
      <c r="AQ36279" s="31"/>
    </row>
    <row r="36280" spans="43:43" x14ac:dyDescent="0.2">
      <c r="AQ36280" s="31"/>
    </row>
    <row r="36281" spans="43:43" x14ac:dyDescent="0.2">
      <c r="AQ36281" s="31"/>
    </row>
    <row r="36282" spans="43:43" x14ac:dyDescent="0.2">
      <c r="AQ36282" s="31"/>
    </row>
    <row r="36283" spans="43:43" x14ac:dyDescent="0.2">
      <c r="AQ36283" s="31"/>
    </row>
    <row r="36284" spans="43:43" x14ac:dyDescent="0.2">
      <c r="AQ36284" s="31"/>
    </row>
    <row r="36285" spans="43:43" x14ac:dyDescent="0.2">
      <c r="AQ36285" s="31"/>
    </row>
    <row r="36286" spans="43:43" x14ac:dyDescent="0.2">
      <c r="AQ36286" s="31"/>
    </row>
    <row r="36287" spans="43:43" x14ac:dyDescent="0.2">
      <c r="AQ36287" s="31"/>
    </row>
    <row r="36288" spans="43:43" x14ac:dyDescent="0.2">
      <c r="AQ36288" s="31"/>
    </row>
    <row r="36289" spans="43:43" x14ac:dyDescent="0.2">
      <c r="AQ36289" s="31"/>
    </row>
    <row r="36290" spans="43:43" x14ac:dyDescent="0.2">
      <c r="AQ36290" s="31"/>
    </row>
    <row r="36291" spans="43:43" x14ac:dyDescent="0.2">
      <c r="AQ36291" s="31"/>
    </row>
    <row r="36292" spans="43:43" x14ac:dyDescent="0.2">
      <c r="AQ36292" s="31"/>
    </row>
    <row r="36293" spans="43:43" x14ac:dyDescent="0.2">
      <c r="AQ36293" s="31"/>
    </row>
    <row r="36294" spans="43:43" x14ac:dyDescent="0.2">
      <c r="AQ36294" s="31"/>
    </row>
    <row r="36295" spans="43:43" x14ac:dyDescent="0.2">
      <c r="AQ36295" s="31"/>
    </row>
    <row r="36296" spans="43:43" x14ac:dyDescent="0.2">
      <c r="AQ36296" s="31"/>
    </row>
    <row r="36297" spans="43:43" x14ac:dyDescent="0.2">
      <c r="AQ36297" s="31"/>
    </row>
    <row r="36298" spans="43:43" x14ac:dyDescent="0.2">
      <c r="AQ36298" s="31"/>
    </row>
    <row r="36299" spans="43:43" x14ac:dyDescent="0.2">
      <c r="AQ36299" s="31"/>
    </row>
    <row r="36300" spans="43:43" x14ac:dyDescent="0.2">
      <c r="AQ36300" s="31"/>
    </row>
    <row r="36301" spans="43:43" x14ac:dyDescent="0.2">
      <c r="AQ36301" s="31"/>
    </row>
    <row r="36302" spans="43:43" x14ac:dyDescent="0.2">
      <c r="AQ36302" s="31"/>
    </row>
    <row r="36303" spans="43:43" x14ac:dyDescent="0.2">
      <c r="AQ36303" s="31"/>
    </row>
    <row r="36304" spans="43:43" x14ac:dyDescent="0.2">
      <c r="AQ36304" s="31"/>
    </row>
    <row r="36305" spans="43:43" x14ac:dyDescent="0.2">
      <c r="AQ36305" s="31"/>
    </row>
    <row r="36306" spans="43:43" x14ac:dyDescent="0.2">
      <c r="AQ36306" s="31"/>
    </row>
    <row r="36307" spans="43:43" x14ac:dyDescent="0.2">
      <c r="AQ36307" s="31"/>
    </row>
    <row r="36308" spans="43:43" x14ac:dyDescent="0.2">
      <c r="AQ36308" s="31"/>
    </row>
    <row r="36309" spans="43:43" x14ac:dyDescent="0.2">
      <c r="AQ36309" s="31"/>
    </row>
    <row r="36310" spans="43:43" x14ac:dyDescent="0.2">
      <c r="AQ36310" s="31"/>
    </row>
    <row r="36311" spans="43:43" x14ac:dyDescent="0.2">
      <c r="AQ36311" s="31"/>
    </row>
    <row r="36312" spans="43:43" x14ac:dyDescent="0.2">
      <c r="AQ36312" s="31"/>
    </row>
    <row r="36313" spans="43:43" x14ac:dyDescent="0.2">
      <c r="AQ36313" s="31"/>
    </row>
    <row r="36314" spans="43:43" x14ac:dyDescent="0.2">
      <c r="AQ36314" s="31"/>
    </row>
    <row r="36315" spans="43:43" x14ac:dyDescent="0.2">
      <c r="AQ36315" s="31"/>
    </row>
    <row r="36316" spans="43:43" x14ac:dyDescent="0.2">
      <c r="AQ36316" s="31"/>
    </row>
    <row r="36317" spans="43:43" x14ac:dyDescent="0.2">
      <c r="AQ36317" s="31"/>
    </row>
    <row r="36318" spans="43:43" x14ac:dyDescent="0.2">
      <c r="AQ36318" s="31"/>
    </row>
    <row r="36319" spans="43:43" x14ac:dyDescent="0.2">
      <c r="AQ36319" s="31"/>
    </row>
    <row r="36320" spans="43:43" x14ac:dyDescent="0.2">
      <c r="AQ36320" s="31"/>
    </row>
    <row r="36321" spans="43:43" x14ac:dyDescent="0.2">
      <c r="AQ36321" s="31"/>
    </row>
    <row r="36322" spans="43:43" x14ac:dyDescent="0.2">
      <c r="AQ36322" s="31"/>
    </row>
    <row r="36323" spans="43:43" x14ac:dyDescent="0.2">
      <c r="AQ36323" s="31"/>
    </row>
    <row r="36324" spans="43:43" x14ac:dyDescent="0.2">
      <c r="AQ36324" s="31"/>
    </row>
    <row r="36325" spans="43:43" x14ac:dyDescent="0.2">
      <c r="AQ36325" s="31"/>
    </row>
    <row r="36326" spans="43:43" x14ac:dyDescent="0.2">
      <c r="AQ36326" s="31"/>
    </row>
    <row r="36327" spans="43:43" x14ac:dyDescent="0.2">
      <c r="AQ36327" s="31"/>
    </row>
    <row r="36328" spans="43:43" x14ac:dyDescent="0.2">
      <c r="AQ36328" s="31"/>
    </row>
    <row r="36329" spans="43:43" x14ac:dyDescent="0.2">
      <c r="AQ36329" s="31"/>
    </row>
    <row r="36330" spans="43:43" x14ac:dyDescent="0.2">
      <c r="AQ36330" s="31"/>
    </row>
    <row r="36331" spans="43:43" x14ac:dyDescent="0.2">
      <c r="AQ36331" s="31"/>
    </row>
    <row r="36332" spans="43:43" x14ac:dyDescent="0.2">
      <c r="AQ36332" s="31"/>
    </row>
    <row r="36333" spans="43:43" x14ac:dyDescent="0.2">
      <c r="AQ36333" s="31"/>
    </row>
    <row r="36334" spans="43:43" x14ac:dyDescent="0.2">
      <c r="AQ36334" s="31"/>
    </row>
    <row r="36335" spans="43:43" x14ac:dyDescent="0.2">
      <c r="AQ36335" s="31"/>
    </row>
    <row r="36336" spans="43:43" x14ac:dyDescent="0.2">
      <c r="AQ36336" s="31"/>
    </row>
    <row r="36337" spans="43:43" x14ac:dyDescent="0.2">
      <c r="AQ36337" s="31"/>
    </row>
    <row r="36338" spans="43:43" x14ac:dyDescent="0.2">
      <c r="AQ36338" s="31"/>
    </row>
    <row r="36339" spans="43:43" x14ac:dyDescent="0.2">
      <c r="AQ36339" s="31"/>
    </row>
    <row r="36340" spans="43:43" x14ac:dyDescent="0.2">
      <c r="AQ36340" s="31"/>
    </row>
    <row r="36341" spans="43:43" x14ac:dyDescent="0.2">
      <c r="AQ36341" s="31"/>
    </row>
    <row r="36342" spans="43:43" x14ac:dyDescent="0.2">
      <c r="AQ36342" s="31"/>
    </row>
    <row r="36343" spans="43:43" x14ac:dyDescent="0.2">
      <c r="AQ36343" s="31"/>
    </row>
    <row r="36344" spans="43:43" x14ac:dyDescent="0.2">
      <c r="AQ36344" s="31"/>
    </row>
    <row r="36345" spans="43:43" x14ac:dyDescent="0.2">
      <c r="AQ36345" s="31"/>
    </row>
    <row r="36346" spans="43:43" x14ac:dyDescent="0.2">
      <c r="AQ36346" s="31"/>
    </row>
    <row r="36347" spans="43:43" x14ac:dyDescent="0.2">
      <c r="AQ36347" s="31"/>
    </row>
    <row r="36348" spans="43:43" x14ac:dyDescent="0.2">
      <c r="AQ36348" s="31"/>
    </row>
    <row r="36349" spans="43:43" x14ac:dyDescent="0.2">
      <c r="AQ36349" s="31"/>
    </row>
    <row r="36350" spans="43:43" x14ac:dyDescent="0.2">
      <c r="AQ36350" s="31"/>
    </row>
    <row r="36351" spans="43:43" x14ac:dyDescent="0.2">
      <c r="AQ36351" s="31"/>
    </row>
    <row r="36352" spans="43:43" x14ac:dyDescent="0.2">
      <c r="AQ36352" s="31"/>
    </row>
    <row r="36353" spans="43:43" x14ac:dyDescent="0.2">
      <c r="AQ36353" s="31"/>
    </row>
    <row r="36354" spans="43:43" x14ac:dyDescent="0.2">
      <c r="AQ36354" s="31"/>
    </row>
    <row r="36355" spans="43:43" x14ac:dyDescent="0.2">
      <c r="AQ36355" s="31"/>
    </row>
    <row r="36356" spans="43:43" x14ac:dyDescent="0.2">
      <c r="AQ36356" s="31"/>
    </row>
    <row r="36357" spans="43:43" x14ac:dyDescent="0.2">
      <c r="AQ36357" s="31"/>
    </row>
    <row r="36358" spans="43:43" x14ac:dyDescent="0.2">
      <c r="AQ36358" s="31"/>
    </row>
    <row r="36359" spans="43:43" x14ac:dyDescent="0.2">
      <c r="AQ36359" s="31"/>
    </row>
    <row r="36360" spans="43:43" x14ac:dyDescent="0.2">
      <c r="AQ36360" s="31"/>
    </row>
    <row r="36361" spans="43:43" x14ac:dyDescent="0.2">
      <c r="AQ36361" s="31"/>
    </row>
    <row r="36362" spans="43:43" x14ac:dyDescent="0.2">
      <c r="AQ36362" s="31"/>
    </row>
    <row r="36363" spans="43:43" x14ac:dyDescent="0.2">
      <c r="AQ36363" s="31"/>
    </row>
    <row r="36364" spans="43:43" x14ac:dyDescent="0.2">
      <c r="AQ36364" s="31"/>
    </row>
    <row r="36365" spans="43:43" x14ac:dyDescent="0.2">
      <c r="AQ36365" s="31"/>
    </row>
    <row r="36366" spans="43:43" x14ac:dyDescent="0.2">
      <c r="AQ36366" s="31"/>
    </row>
    <row r="36367" spans="43:43" x14ac:dyDescent="0.2">
      <c r="AQ36367" s="31"/>
    </row>
    <row r="36368" spans="43:43" x14ac:dyDescent="0.2">
      <c r="AQ36368" s="31"/>
    </row>
    <row r="36369" spans="43:43" x14ac:dyDescent="0.2">
      <c r="AQ36369" s="31"/>
    </row>
    <row r="36370" spans="43:43" x14ac:dyDescent="0.2">
      <c r="AQ36370" s="31"/>
    </row>
    <row r="36371" spans="43:43" x14ac:dyDescent="0.2">
      <c r="AQ36371" s="31"/>
    </row>
    <row r="36372" spans="43:43" x14ac:dyDescent="0.2">
      <c r="AQ36372" s="31"/>
    </row>
    <row r="36373" spans="43:43" x14ac:dyDescent="0.2">
      <c r="AQ36373" s="31"/>
    </row>
    <row r="36374" spans="43:43" x14ac:dyDescent="0.2">
      <c r="AQ36374" s="31"/>
    </row>
    <row r="36375" spans="43:43" x14ac:dyDescent="0.2">
      <c r="AQ36375" s="31"/>
    </row>
    <row r="36376" spans="43:43" x14ac:dyDescent="0.2">
      <c r="AQ36376" s="31"/>
    </row>
    <row r="36377" spans="43:43" x14ac:dyDescent="0.2">
      <c r="AQ36377" s="31"/>
    </row>
    <row r="36378" spans="43:43" x14ac:dyDescent="0.2">
      <c r="AQ36378" s="31"/>
    </row>
    <row r="36379" spans="43:43" x14ac:dyDescent="0.2">
      <c r="AQ36379" s="31"/>
    </row>
    <row r="36380" spans="43:43" x14ac:dyDescent="0.2">
      <c r="AQ36380" s="31"/>
    </row>
    <row r="36381" spans="43:43" x14ac:dyDescent="0.2">
      <c r="AQ36381" s="31"/>
    </row>
    <row r="36382" spans="43:43" x14ac:dyDescent="0.2">
      <c r="AQ36382" s="31"/>
    </row>
    <row r="36383" spans="43:43" x14ac:dyDescent="0.2">
      <c r="AQ36383" s="31"/>
    </row>
    <row r="36384" spans="43:43" x14ac:dyDescent="0.2">
      <c r="AQ36384" s="31"/>
    </row>
    <row r="36385" spans="43:43" x14ac:dyDescent="0.2">
      <c r="AQ36385" s="31"/>
    </row>
    <row r="36386" spans="43:43" x14ac:dyDescent="0.2">
      <c r="AQ36386" s="31"/>
    </row>
    <row r="36387" spans="43:43" x14ac:dyDescent="0.2">
      <c r="AQ36387" s="31"/>
    </row>
    <row r="36388" spans="43:43" x14ac:dyDescent="0.2">
      <c r="AQ36388" s="31"/>
    </row>
    <row r="36389" spans="43:43" x14ac:dyDescent="0.2">
      <c r="AQ36389" s="31"/>
    </row>
    <row r="36390" spans="43:43" x14ac:dyDescent="0.2">
      <c r="AQ36390" s="31"/>
    </row>
    <row r="36391" spans="43:43" x14ac:dyDescent="0.2">
      <c r="AQ36391" s="31"/>
    </row>
    <row r="36392" spans="43:43" x14ac:dyDescent="0.2">
      <c r="AQ36392" s="31"/>
    </row>
    <row r="36393" spans="43:43" x14ac:dyDescent="0.2">
      <c r="AQ36393" s="31"/>
    </row>
    <row r="36394" spans="43:43" x14ac:dyDescent="0.2">
      <c r="AQ36394" s="31"/>
    </row>
    <row r="36395" spans="43:43" x14ac:dyDescent="0.2">
      <c r="AQ36395" s="31"/>
    </row>
    <row r="36396" spans="43:43" x14ac:dyDescent="0.2">
      <c r="AQ36396" s="31"/>
    </row>
    <row r="36397" spans="43:43" x14ac:dyDescent="0.2">
      <c r="AQ36397" s="31"/>
    </row>
    <row r="36398" spans="43:43" x14ac:dyDescent="0.2">
      <c r="AQ36398" s="31"/>
    </row>
    <row r="36399" spans="43:43" x14ac:dyDescent="0.2">
      <c r="AQ36399" s="31"/>
    </row>
    <row r="36400" spans="43:43" x14ac:dyDescent="0.2">
      <c r="AQ36400" s="31"/>
    </row>
    <row r="36401" spans="43:43" x14ac:dyDescent="0.2">
      <c r="AQ36401" s="31"/>
    </row>
    <row r="36402" spans="43:43" x14ac:dyDescent="0.2">
      <c r="AQ36402" s="31"/>
    </row>
    <row r="36403" spans="43:43" x14ac:dyDescent="0.2">
      <c r="AQ36403" s="31"/>
    </row>
    <row r="36404" spans="43:43" x14ac:dyDescent="0.2">
      <c r="AQ36404" s="31"/>
    </row>
    <row r="36405" spans="43:43" x14ac:dyDescent="0.2">
      <c r="AQ36405" s="31"/>
    </row>
    <row r="36406" spans="43:43" x14ac:dyDescent="0.2">
      <c r="AQ36406" s="31"/>
    </row>
    <row r="36407" spans="43:43" x14ac:dyDescent="0.2">
      <c r="AQ36407" s="31"/>
    </row>
    <row r="36408" spans="43:43" x14ac:dyDescent="0.2">
      <c r="AQ36408" s="31"/>
    </row>
    <row r="36409" spans="43:43" x14ac:dyDescent="0.2">
      <c r="AQ36409" s="31"/>
    </row>
    <row r="36410" spans="43:43" x14ac:dyDescent="0.2">
      <c r="AQ36410" s="31"/>
    </row>
    <row r="36411" spans="43:43" x14ac:dyDescent="0.2">
      <c r="AQ36411" s="31"/>
    </row>
    <row r="36412" spans="43:43" x14ac:dyDescent="0.2">
      <c r="AQ36412" s="31"/>
    </row>
    <row r="36413" spans="43:43" x14ac:dyDescent="0.2">
      <c r="AQ36413" s="31"/>
    </row>
    <row r="36414" spans="43:43" x14ac:dyDescent="0.2">
      <c r="AQ36414" s="31"/>
    </row>
    <row r="36415" spans="43:43" x14ac:dyDescent="0.2">
      <c r="AQ36415" s="31"/>
    </row>
    <row r="36416" spans="43:43" x14ac:dyDescent="0.2">
      <c r="AQ36416" s="31"/>
    </row>
    <row r="36417" spans="43:43" x14ac:dyDescent="0.2">
      <c r="AQ36417" s="31"/>
    </row>
    <row r="36418" spans="43:43" x14ac:dyDescent="0.2">
      <c r="AQ36418" s="31"/>
    </row>
    <row r="36419" spans="43:43" x14ac:dyDescent="0.2">
      <c r="AQ36419" s="31"/>
    </row>
    <row r="36420" spans="43:43" x14ac:dyDescent="0.2">
      <c r="AQ36420" s="31"/>
    </row>
    <row r="36421" spans="43:43" x14ac:dyDescent="0.2">
      <c r="AQ36421" s="31"/>
    </row>
    <row r="36422" spans="43:43" x14ac:dyDescent="0.2">
      <c r="AQ36422" s="31"/>
    </row>
    <row r="36423" spans="43:43" x14ac:dyDescent="0.2">
      <c r="AQ36423" s="31"/>
    </row>
    <row r="36424" spans="43:43" x14ac:dyDescent="0.2">
      <c r="AQ36424" s="31"/>
    </row>
    <row r="36425" spans="43:43" x14ac:dyDescent="0.2">
      <c r="AQ36425" s="31"/>
    </row>
    <row r="36426" spans="43:43" x14ac:dyDescent="0.2">
      <c r="AQ36426" s="31"/>
    </row>
    <row r="36427" spans="43:43" x14ac:dyDescent="0.2">
      <c r="AQ36427" s="31"/>
    </row>
    <row r="36428" spans="43:43" x14ac:dyDescent="0.2">
      <c r="AQ36428" s="31"/>
    </row>
    <row r="36429" spans="43:43" x14ac:dyDescent="0.2">
      <c r="AQ36429" s="31"/>
    </row>
    <row r="36430" spans="43:43" x14ac:dyDescent="0.2">
      <c r="AQ36430" s="31"/>
    </row>
    <row r="36431" spans="43:43" x14ac:dyDescent="0.2">
      <c r="AQ36431" s="31"/>
    </row>
    <row r="36432" spans="43:43" x14ac:dyDescent="0.2">
      <c r="AQ36432" s="31"/>
    </row>
    <row r="36433" spans="43:43" x14ac:dyDescent="0.2">
      <c r="AQ36433" s="31"/>
    </row>
    <row r="36434" spans="43:43" x14ac:dyDescent="0.2">
      <c r="AQ36434" s="31"/>
    </row>
    <row r="36435" spans="43:43" x14ac:dyDescent="0.2">
      <c r="AQ36435" s="31"/>
    </row>
    <row r="36436" spans="43:43" x14ac:dyDescent="0.2">
      <c r="AQ36436" s="31"/>
    </row>
    <row r="36437" spans="43:43" x14ac:dyDescent="0.2">
      <c r="AQ36437" s="31"/>
    </row>
    <row r="36438" spans="43:43" x14ac:dyDescent="0.2">
      <c r="AQ36438" s="31"/>
    </row>
    <row r="36439" spans="43:43" x14ac:dyDescent="0.2">
      <c r="AQ36439" s="31"/>
    </row>
    <row r="36440" spans="43:43" x14ac:dyDescent="0.2">
      <c r="AQ36440" s="31"/>
    </row>
    <row r="36441" spans="43:43" x14ac:dyDescent="0.2">
      <c r="AQ36441" s="31"/>
    </row>
    <row r="36442" spans="43:43" x14ac:dyDescent="0.2">
      <c r="AQ36442" s="31"/>
    </row>
    <row r="36443" spans="43:43" x14ac:dyDescent="0.2">
      <c r="AQ36443" s="31"/>
    </row>
    <row r="36444" spans="43:43" x14ac:dyDescent="0.2">
      <c r="AQ36444" s="31"/>
    </row>
    <row r="36445" spans="43:43" x14ac:dyDescent="0.2">
      <c r="AQ36445" s="31"/>
    </row>
    <row r="36446" spans="43:43" x14ac:dyDescent="0.2">
      <c r="AQ36446" s="31"/>
    </row>
    <row r="36447" spans="43:43" x14ac:dyDescent="0.2">
      <c r="AQ36447" s="31"/>
    </row>
    <row r="36448" spans="43:43" x14ac:dyDescent="0.2">
      <c r="AQ36448" s="31"/>
    </row>
    <row r="36449" spans="43:43" x14ac:dyDescent="0.2">
      <c r="AQ36449" s="31"/>
    </row>
    <row r="36450" spans="43:43" x14ac:dyDescent="0.2">
      <c r="AQ36450" s="31"/>
    </row>
    <row r="36451" spans="43:43" x14ac:dyDescent="0.2">
      <c r="AQ36451" s="31"/>
    </row>
    <row r="36452" spans="43:43" x14ac:dyDescent="0.2">
      <c r="AQ36452" s="31"/>
    </row>
    <row r="36453" spans="43:43" x14ac:dyDescent="0.2">
      <c r="AQ36453" s="31"/>
    </row>
    <row r="36454" spans="43:43" x14ac:dyDescent="0.2">
      <c r="AQ36454" s="31"/>
    </row>
    <row r="36455" spans="43:43" x14ac:dyDescent="0.2">
      <c r="AQ36455" s="31"/>
    </row>
    <row r="36456" spans="43:43" x14ac:dyDescent="0.2">
      <c r="AQ36456" s="31"/>
    </row>
    <row r="36457" spans="43:43" x14ac:dyDescent="0.2">
      <c r="AQ36457" s="31"/>
    </row>
    <row r="36458" spans="43:43" x14ac:dyDescent="0.2">
      <c r="AQ36458" s="31"/>
    </row>
    <row r="36459" spans="43:43" x14ac:dyDescent="0.2">
      <c r="AQ36459" s="31"/>
    </row>
    <row r="36460" spans="43:43" x14ac:dyDescent="0.2">
      <c r="AQ36460" s="31"/>
    </row>
    <row r="36461" spans="43:43" x14ac:dyDescent="0.2">
      <c r="AQ36461" s="31"/>
    </row>
    <row r="36462" spans="43:43" x14ac:dyDescent="0.2">
      <c r="AQ36462" s="31"/>
    </row>
    <row r="36463" spans="43:43" x14ac:dyDescent="0.2">
      <c r="AQ36463" s="31"/>
    </row>
    <row r="36464" spans="43:43" x14ac:dyDescent="0.2">
      <c r="AQ36464" s="31"/>
    </row>
    <row r="36465" spans="43:43" x14ac:dyDescent="0.2">
      <c r="AQ36465" s="31"/>
    </row>
    <row r="36466" spans="43:43" x14ac:dyDescent="0.2">
      <c r="AQ36466" s="31"/>
    </row>
    <row r="36467" spans="43:43" x14ac:dyDescent="0.2">
      <c r="AQ36467" s="31"/>
    </row>
    <row r="36468" spans="43:43" x14ac:dyDescent="0.2">
      <c r="AQ36468" s="31"/>
    </row>
    <row r="36469" spans="43:43" x14ac:dyDescent="0.2">
      <c r="AQ36469" s="31"/>
    </row>
    <row r="36470" spans="43:43" x14ac:dyDescent="0.2">
      <c r="AQ36470" s="31"/>
    </row>
    <row r="36471" spans="43:43" x14ac:dyDescent="0.2">
      <c r="AQ36471" s="31"/>
    </row>
    <row r="36472" spans="43:43" x14ac:dyDescent="0.2">
      <c r="AQ36472" s="31"/>
    </row>
    <row r="36473" spans="43:43" x14ac:dyDescent="0.2">
      <c r="AQ36473" s="31"/>
    </row>
    <row r="36474" spans="43:43" x14ac:dyDescent="0.2">
      <c r="AQ36474" s="31"/>
    </row>
    <row r="36475" spans="43:43" x14ac:dyDescent="0.2">
      <c r="AQ36475" s="31"/>
    </row>
    <row r="36476" spans="43:43" x14ac:dyDescent="0.2">
      <c r="AQ36476" s="31"/>
    </row>
    <row r="36477" spans="43:43" x14ac:dyDescent="0.2">
      <c r="AQ36477" s="31"/>
    </row>
    <row r="36478" spans="43:43" x14ac:dyDescent="0.2">
      <c r="AQ36478" s="31"/>
    </row>
    <row r="36479" spans="43:43" x14ac:dyDescent="0.2">
      <c r="AQ36479" s="31"/>
    </row>
    <row r="36480" spans="43:43" x14ac:dyDescent="0.2">
      <c r="AQ36480" s="31"/>
    </row>
    <row r="36481" spans="43:43" x14ac:dyDescent="0.2">
      <c r="AQ36481" s="31"/>
    </row>
    <row r="36482" spans="43:43" x14ac:dyDescent="0.2">
      <c r="AQ36482" s="31"/>
    </row>
    <row r="36483" spans="43:43" x14ac:dyDescent="0.2">
      <c r="AQ36483" s="31"/>
    </row>
    <row r="36484" spans="43:43" x14ac:dyDescent="0.2">
      <c r="AQ36484" s="31"/>
    </row>
    <row r="36485" spans="43:43" x14ac:dyDescent="0.2">
      <c r="AQ36485" s="31"/>
    </row>
    <row r="36486" spans="43:43" x14ac:dyDescent="0.2">
      <c r="AQ36486" s="31"/>
    </row>
    <row r="36487" spans="43:43" x14ac:dyDescent="0.2">
      <c r="AQ36487" s="31"/>
    </row>
    <row r="36488" spans="43:43" x14ac:dyDescent="0.2">
      <c r="AQ36488" s="31"/>
    </row>
    <row r="36489" spans="43:43" x14ac:dyDescent="0.2">
      <c r="AQ36489" s="31"/>
    </row>
    <row r="36490" spans="43:43" x14ac:dyDescent="0.2">
      <c r="AQ36490" s="31"/>
    </row>
    <row r="36491" spans="43:43" x14ac:dyDescent="0.2">
      <c r="AQ36491" s="31"/>
    </row>
    <row r="36492" spans="43:43" x14ac:dyDescent="0.2">
      <c r="AQ36492" s="31"/>
    </row>
    <row r="36493" spans="43:43" x14ac:dyDescent="0.2">
      <c r="AQ36493" s="31"/>
    </row>
    <row r="36494" spans="43:43" x14ac:dyDescent="0.2">
      <c r="AQ36494" s="31"/>
    </row>
    <row r="36495" spans="43:43" x14ac:dyDescent="0.2">
      <c r="AQ36495" s="31"/>
    </row>
    <row r="36496" spans="43:43" x14ac:dyDescent="0.2">
      <c r="AQ36496" s="31"/>
    </row>
    <row r="36497" spans="43:43" x14ac:dyDescent="0.2">
      <c r="AQ36497" s="31"/>
    </row>
    <row r="36498" spans="43:43" x14ac:dyDescent="0.2">
      <c r="AQ36498" s="31"/>
    </row>
    <row r="36499" spans="43:43" x14ac:dyDescent="0.2">
      <c r="AQ36499" s="31"/>
    </row>
    <row r="36500" spans="43:43" x14ac:dyDescent="0.2">
      <c r="AQ36500" s="31"/>
    </row>
    <row r="36501" spans="43:43" x14ac:dyDescent="0.2">
      <c r="AQ36501" s="31"/>
    </row>
    <row r="36502" spans="43:43" x14ac:dyDescent="0.2">
      <c r="AQ36502" s="31"/>
    </row>
    <row r="36503" spans="43:43" x14ac:dyDescent="0.2">
      <c r="AQ36503" s="31"/>
    </row>
    <row r="36504" spans="43:43" x14ac:dyDescent="0.2">
      <c r="AQ36504" s="31"/>
    </row>
    <row r="36505" spans="43:43" x14ac:dyDescent="0.2">
      <c r="AQ36505" s="31"/>
    </row>
    <row r="36506" spans="43:43" x14ac:dyDescent="0.2">
      <c r="AQ36506" s="31"/>
    </row>
    <row r="36507" spans="43:43" x14ac:dyDescent="0.2">
      <c r="AQ36507" s="31"/>
    </row>
    <row r="36508" spans="43:43" x14ac:dyDescent="0.2">
      <c r="AQ36508" s="31"/>
    </row>
    <row r="36509" spans="43:43" x14ac:dyDescent="0.2">
      <c r="AQ36509" s="31"/>
    </row>
    <row r="36510" spans="43:43" x14ac:dyDescent="0.2">
      <c r="AQ36510" s="31"/>
    </row>
    <row r="36511" spans="43:43" x14ac:dyDescent="0.2">
      <c r="AQ36511" s="31"/>
    </row>
    <row r="36512" spans="43:43" x14ac:dyDescent="0.2">
      <c r="AQ36512" s="31"/>
    </row>
    <row r="36513" spans="43:43" x14ac:dyDescent="0.2">
      <c r="AQ36513" s="31"/>
    </row>
    <row r="36514" spans="43:43" x14ac:dyDescent="0.2">
      <c r="AQ36514" s="31"/>
    </row>
    <row r="36515" spans="43:43" x14ac:dyDescent="0.2">
      <c r="AQ36515" s="31"/>
    </row>
    <row r="36516" spans="43:43" x14ac:dyDescent="0.2">
      <c r="AQ36516" s="31"/>
    </row>
    <row r="36517" spans="43:43" x14ac:dyDescent="0.2">
      <c r="AQ36517" s="31"/>
    </row>
    <row r="36518" spans="43:43" x14ac:dyDescent="0.2">
      <c r="AQ36518" s="31"/>
    </row>
    <row r="36519" spans="43:43" x14ac:dyDescent="0.2">
      <c r="AQ36519" s="31"/>
    </row>
    <row r="36520" spans="43:43" x14ac:dyDescent="0.2">
      <c r="AQ36520" s="31"/>
    </row>
    <row r="36521" spans="43:43" x14ac:dyDescent="0.2">
      <c r="AQ36521" s="31"/>
    </row>
    <row r="36522" spans="43:43" x14ac:dyDescent="0.2">
      <c r="AQ36522" s="31"/>
    </row>
    <row r="36523" spans="43:43" x14ac:dyDescent="0.2">
      <c r="AQ36523" s="31"/>
    </row>
    <row r="36524" spans="43:43" x14ac:dyDescent="0.2">
      <c r="AQ36524" s="31"/>
    </row>
    <row r="36525" spans="43:43" x14ac:dyDescent="0.2">
      <c r="AQ36525" s="31"/>
    </row>
    <row r="36526" spans="43:43" x14ac:dyDescent="0.2">
      <c r="AQ36526" s="31"/>
    </row>
    <row r="36527" spans="43:43" x14ac:dyDescent="0.2">
      <c r="AQ36527" s="31"/>
    </row>
    <row r="36528" spans="43:43" x14ac:dyDescent="0.2">
      <c r="AQ36528" s="31"/>
    </row>
    <row r="36529" spans="43:43" x14ac:dyDescent="0.2">
      <c r="AQ36529" s="31"/>
    </row>
    <row r="36530" spans="43:43" x14ac:dyDescent="0.2">
      <c r="AQ36530" s="31"/>
    </row>
    <row r="36531" spans="43:43" x14ac:dyDescent="0.2">
      <c r="AQ36531" s="31"/>
    </row>
    <row r="36532" spans="43:43" x14ac:dyDescent="0.2">
      <c r="AQ36532" s="31"/>
    </row>
    <row r="36533" spans="43:43" x14ac:dyDescent="0.2">
      <c r="AQ36533" s="31"/>
    </row>
    <row r="36534" spans="43:43" x14ac:dyDescent="0.2">
      <c r="AQ36534" s="31"/>
    </row>
    <row r="36535" spans="43:43" x14ac:dyDescent="0.2">
      <c r="AQ36535" s="31"/>
    </row>
    <row r="36536" spans="43:43" x14ac:dyDescent="0.2">
      <c r="AQ36536" s="31"/>
    </row>
    <row r="36537" spans="43:43" x14ac:dyDescent="0.2">
      <c r="AQ36537" s="31"/>
    </row>
    <row r="36538" spans="43:43" x14ac:dyDescent="0.2">
      <c r="AQ36538" s="31"/>
    </row>
    <row r="36539" spans="43:43" x14ac:dyDescent="0.2">
      <c r="AQ36539" s="31"/>
    </row>
    <row r="36540" spans="43:43" x14ac:dyDescent="0.2">
      <c r="AQ36540" s="31"/>
    </row>
    <row r="36541" spans="43:43" x14ac:dyDescent="0.2">
      <c r="AQ36541" s="31"/>
    </row>
    <row r="36542" spans="43:43" x14ac:dyDescent="0.2">
      <c r="AQ36542" s="31"/>
    </row>
    <row r="36543" spans="43:43" x14ac:dyDescent="0.2">
      <c r="AQ36543" s="31"/>
    </row>
    <row r="36544" spans="43:43" x14ac:dyDescent="0.2">
      <c r="AQ36544" s="31"/>
    </row>
    <row r="36545" spans="43:43" x14ac:dyDescent="0.2">
      <c r="AQ36545" s="31"/>
    </row>
    <row r="36546" spans="43:43" x14ac:dyDescent="0.2">
      <c r="AQ36546" s="31"/>
    </row>
    <row r="36547" spans="43:43" x14ac:dyDescent="0.2">
      <c r="AQ36547" s="31"/>
    </row>
    <row r="36548" spans="43:43" x14ac:dyDescent="0.2">
      <c r="AQ36548" s="31"/>
    </row>
    <row r="36549" spans="43:43" x14ac:dyDescent="0.2">
      <c r="AQ36549" s="31"/>
    </row>
    <row r="36550" spans="43:43" x14ac:dyDescent="0.2">
      <c r="AQ36550" s="31"/>
    </row>
    <row r="36551" spans="43:43" x14ac:dyDescent="0.2">
      <c r="AQ36551" s="31"/>
    </row>
    <row r="36552" spans="43:43" x14ac:dyDescent="0.2">
      <c r="AQ36552" s="31"/>
    </row>
    <row r="36553" spans="43:43" x14ac:dyDescent="0.2">
      <c r="AQ36553" s="31"/>
    </row>
    <row r="36554" spans="43:43" x14ac:dyDescent="0.2">
      <c r="AQ36554" s="31"/>
    </row>
    <row r="36555" spans="43:43" x14ac:dyDescent="0.2">
      <c r="AQ36555" s="31"/>
    </row>
    <row r="36556" spans="43:43" x14ac:dyDescent="0.2">
      <c r="AQ36556" s="31"/>
    </row>
    <row r="36557" spans="43:43" x14ac:dyDescent="0.2">
      <c r="AQ36557" s="31"/>
    </row>
    <row r="36558" spans="43:43" x14ac:dyDescent="0.2">
      <c r="AQ36558" s="31"/>
    </row>
    <row r="36559" spans="43:43" x14ac:dyDescent="0.2">
      <c r="AQ36559" s="31"/>
    </row>
    <row r="36560" spans="43:43" x14ac:dyDescent="0.2">
      <c r="AQ36560" s="31"/>
    </row>
    <row r="36561" spans="43:43" x14ac:dyDescent="0.2">
      <c r="AQ36561" s="31"/>
    </row>
    <row r="36562" spans="43:43" x14ac:dyDescent="0.2">
      <c r="AQ36562" s="31"/>
    </row>
    <row r="36563" spans="43:43" x14ac:dyDescent="0.2">
      <c r="AQ36563" s="31"/>
    </row>
    <row r="36564" spans="43:43" x14ac:dyDescent="0.2">
      <c r="AQ36564" s="31"/>
    </row>
    <row r="36565" spans="43:43" x14ac:dyDescent="0.2">
      <c r="AQ36565" s="31"/>
    </row>
    <row r="36566" spans="43:43" x14ac:dyDescent="0.2">
      <c r="AQ36566" s="31"/>
    </row>
    <row r="36567" spans="43:43" x14ac:dyDescent="0.2">
      <c r="AQ36567" s="31"/>
    </row>
    <row r="36568" spans="43:43" x14ac:dyDescent="0.2">
      <c r="AQ36568" s="31"/>
    </row>
    <row r="36569" spans="43:43" x14ac:dyDescent="0.2">
      <c r="AQ36569" s="31"/>
    </row>
    <row r="36570" spans="43:43" x14ac:dyDescent="0.2">
      <c r="AQ36570" s="31"/>
    </row>
    <row r="36571" spans="43:43" x14ac:dyDescent="0.2">
      <c r="AQ36571" s="31"/>
    </row>
    <row r="36572" spans="43:43" x14ac:dyDescent="0.2">
      <c r="AQ36572" s="31"/>
    </row>
    <row r="36573" spans="43:43" x14ac:dyDescent="0.2">
      <c r="AQ36573" s="31"/>
    </row>
    <row r="36574" spans="43:43" x14ac:dyDescent="0.2">
      <c r="AQ36574" s="31"/>
    </row>
    <row r="36575" spans="43:43" x14ac:dyDescent="0.2">
      <c r="AQ36575" s="31"/>
    </row>
    <row r="36576" spans="43:43" x14ac:dyDescent="0.2">
      <c r="AQ36576" s="31"/>
    </row>
    <row r="36577" spans="43:43" x14ac:dyDescent="0.2">
      <c r="AQ36577" s="31"/>
    </row>
    <row r="36578" spans="43:43" x14ac:dyDescent="0.2">
      <c r="AQ36578" s="31"/>
    </row>
    <row r="36579" spans="43:43" x14ac:dyDescent="0.2">
      <c r="AQ36579" s="31"/>
    </row>
    <row r="36580" spans="43:43" x14ac:dyDescent="0.2">
      <c r="AQ36580" s="31"/>
    </row>
    <row r="36581" spans="43:43" x14ac:dyDescent="0.2">
      <c r="AQ36581" s="31"/>
    </row>
    <row r="36582" spans="43:43" x14ac:dyDescent="0.2">
      <c r="AQ36582" s="31"/>
    </row>
    <row r="36583" spans="43:43" x14ac:dyDescent="0.2">
      <c r="AQ36583" s="31"/>
    </row>
    <row r="36584" spans="43:43" x14ac:dyDescent="0.2">
      <c r="AQ36584" s="31"/>
    </row>
    <row r="36585" spans="43:43" x14ac:dyDescent="0.2">
      <c r="AQ36585" s="31"/>
    </row>
    <row r="36586" spans="43:43" x14ac:dyDescent="0.2">
      <c r="AQ36586" s="31"/>
    </row>
    <row r="36587" spans="43:43" x14ac:dyDescent="0.2">
      <c r="AQ36587" s="31"/>
    </row>
    <row r="36588" spans="43:43" x14ac:dyDescent="0.2">
      <c r="AQ36588" s="31"/>
    </row>
    <row r="36589" spans="43:43" x14ac:dyDescent="0.2">
      <c r="AQ36589" s="31"/>
    </row>
    <row r="36590" spans="43:43" x14ac:dyDescent="0.2">
      <c r="AQ36590" s="31"/>
    </row>
    <row r="36591" spans="43:43" x14ac:dyDescent="0.2">
      <c r="AQ36591" s="31"/>
    </row>
    <row r="36592" spans="43:43" x14ac:dyDescent="0.2">
      <c r="AQ36592" s="31"/>
    </row>
    <row r="36593" spans="43:43" x14ac:dyDescent="0.2">
      <c r="AQ36593" s="31"/>
    </row>
    <row r="36594" spans="43:43" x14ac:dyDescent="0.2">
      <c r="AQ36594" s="31"/>
    </row>
    <row r="36595" spans="43:43" x14ac:dyDescent="0.2">
      <c r="AQ36595" s="31"/>
    </row>
    <row r="36596" spans="43:43" x14ac:dyDescent="0.2">
      <c r="AQ36596" s="31"/>
    </row>
    <row r="36597" spans="43:43" x14ac:dyDescent="0.2">
      <c r="AQ36597" s="31"/>
    </row>
    <row r="36598" spans="43:43" x14ac:dyDescent="0.2">
      <c r="AQ36598" s="31"/>
    </row>
    <row r="36599" spans="43:43" x14ac:dyDescent="0.2">
      <c r="AQ36599" s="31"/>
    </row>
    <row r="36600" spans="43:43" x14ac:dyDescent="0.2">
      <c r="AQ36600" s="31"/>
    </row>
    <row r="36601" spans="43:43" x14ac:dyDescent="0.2">
      <c r="AQ36601" s="31"/>
    </row>
    <row r="36602" spans="43:43" x14ac:dyDescent="0.2">
      <c r="AQ36602" s="31"/>
    </row>
    <row r="36603" spans="43:43" x14ac:dyDescent="0.2">
      <c r="AQ36603" s="31"/>
    </row>
    <row r="36604" spans="43:43" x14ac:dyDescent="0.2">
      <c r="AQ36604" s="31"/>
    </row>
    <row r="36605" spans="43:43" x14ac:dyDescent="0.2">
      <c r="AQ36605" s="31"/>
    </row>
    <row r="36606" spans="43:43" x14ac:dyDescent="0.2">
      <c r="AQ36606" s="31"/>
    </row>
    <row r="36607" spans="43:43" x14ac:dyDescent="0.2">
      <c r="AQ36607" s="31"/>
    </row>
    <row r="36608" spans="43:43" x14ac:dyDescent="0.2">
      <c r="AQ36608" s="31"/>
    </row>
    <row r="36609" spans="43:43" x14ac:dyDescent="0.2">
      <c r="AQ36609" s="31"/>
    </row>
    <row r="36610" spans="43:43" x14ac:dyDescent="0.2">
      <c r="AQ36610" s="31"/>
    </row>
    <row r="36611" spans="43:43" x14ac:dyDescent="0.2">
      <c r="AQ36611" s="31"/>
    </row>
    <row r="36612" spans="43:43" x14ac:dyDescent="0.2">
      <c r="AQ36612" s="31"/>
    </row>
    <row r="36613" spans="43:43" x14ac:dyDescent="0.2">
      <c r="AQ36613" s="31"/>
    </row>
    <row r="36614" spans="43:43" x14ac:dyDescent="0.2">
      <c r="AQ36614" s="31"/>
    </row>
    <row r="36615" spans="43:43" x14ac:dyDescent="0.2">
      <c r="AQ36615" s="31"/>
    </row>
    <row r="36616" spans="43:43" x14ac:dyDescent="0.2">
      <c r="AQ36616" s="31"/>
    </row>
    <row r="36617" spans="43:43" x14ac:dyDescent="0.2">
      <c r="AQ36617" s="31"/>
    </row>
    <row r="36618" spans="43:43" x14ac:dyDescent="0.2">
      <c r="AQ36618" s="31"/>
    </row>
    <row r="36619" spans="43:43" x14ac:dyDescent="0.2">
      <c r="AQ36619" s="31"/>
    </row>
    <row r="36620" spans="43:43" x14ac:dyDescent="0.2">
      <c r="AQ36620" s="31"/>
    </row>
    <row r="36621" spans="43:43" x14ac:dyDescent="0.2">
      <c r="AQ36621" s="31"/>
    </row>
    <row r="36622" spans="43:43" x14ac:dyDescent="0.2">
      <c r="AQ36622" s="31"/>
    </row>
    <row r="36623" spans="43:43" x14ac:dyDescent="0.2">
      <c r="AQ36623" s="31"/>
    </row>
    <row r="36624" spans="43:43" x14ac:dyDescent="0.2">
      <c r="AQ36624" s="31"/>
    </row>
    <row r="36625" spans="43:43" x14ac:dyDescent="0.2">
      <c r="AQ36625" s="31"/>
    </row>
    <row r="36626" spans="43:43" x14ac:dyDescent="0.2">
      <c r="AQ36626" s="31"/>
    </row>
    <row r="36627" spans="43:43" x14ac:dyDescent="0.2">
      <c r="AQ36627" s="31"/>
    </row>
    <row r="36628" spans="43:43" x14ac:dyDescent="0.2">
      <c r="AQ36628" s="31"/>
    </row>
    <row r="36629" spans="43:43" x14ac:dyDescent="0.2">
      <c r="AQ36629" s="31"/>
    </row>
    <row r="36630" spans="43:43" x14ac:dyDescent="0.2">
      <c r="AQ36630" s="31"/>
    </row>
    <row r="36631" spans="43:43" x14ac:dyDescent="0.2">
      <c r="AQ36631" s="31"/>
    </row>
    <row r="36632" spans="43:43" x14ac:dyDescent="0.2">
      <c r="AQ36632" s="31"/>
    </row>
    <row r="36633" spans="43:43" x14ac:dyDescent="0.2">
      <c r="AQ36633" s="31"/>
    </row>
    <row r="36634" spans="43:43" x14ac:dyDescent="0.2">
      <c r="AQ36634" s="31"/>
    </row>
    <row r="36635" spans="43:43" x14ac:dyDescent="0.2">
      <c r="AQ36635" s="31"/>
    </row>
    <row r="36636" spans="43:43" x14ac:dyDescent="0.2">
      <c r="AQ36636" s="31"/>
    </row>
    <row r="36637" spans="43:43" x14ac:dyDescent="0.2">
      <c r="AQ36637" s="31"/>
    </row>
    <row r="36638" spans="43:43" x14ac:dyDescent="0.2">
      <c r="AQ36638" s="31"/>
    </row>
    <row r="36639" spans="43:43" x14ac:dyDescent="0.2">
      <c r="AQ36639" s="31"/>
    </row>
    <row r="36640" spans="43:43" x14ac:dyDescent="0.2">
      <c r="AQ36640" s="31"/>
    </row>
    <row r="36641" spans="43:43" x14ac:dyDescent="0.2">
      <c r="AQ36641" s="31"/>
    </row>
    <row r="36642" spans="43:43" x14ac:dyDescent="0.2">
      <c r="AQ36642" s="31"/>
    </row>
    <row r="36643" spans="43:43" x14ac:dyDescent="0.2">
      <c r="AQ36643" s="31"/>
    </row>
    <row r="36644" spans="43:43" x14ac:dyDescent="0.2">
      <c r="AQ36644" s="31"/>
    </row>
    <row r="36645" spans="43:43" x14ac:dyDescent="0.2">
      <c r="AQ36645" s="31"/>
    </row>
    <row r="36646" spans="43:43" x14ac:dyDescent="0.2">
      <c r="AQ36646" s="31"/>
    </row>
    <row r="36647" spans="43:43" x14ac:dyDescent="0.2">
      <c r="AQ36647" s="31"/>
    </row>
    <row r="36648" spans="43:43" x14ac:dyDescent="0.2">
      <c r="AQ36648" s="31"/>
    </row>
    <row r="36649" spans="43:43" x14ac:dyDescent="0.2">
      <c r="AQ36649" s="31"/>
    </row>
    <row r="36650" spans="43:43" x14ac:dyDescent="0.2">
      <c r="AQ36650" s="31"/>
    </row>
    <row r="36651" spans="43:43" x14ac:dyDescent="0.2">
      <c r="AQ36651" s="31"/>
    </row>
    <row r="36652" spans="43:43" x14ac:dyDescent="0.2">
      <c r="AQ36652" s="31"/>
    </row>
    <row r="36653" spans="43:43" x14ac:dyDescent="0.2">
      <c r="AQ36653" s="31"/>
    </row>
    <row r="36654" spans="43:43" x14ac:dyDescent="0.2">
      <c r="AQ36654" s="31"/>
    </row>
    <row r="36655" spans="43:43" x14ac:dyDescent="0.2">
      <c r="AQ36655" s="31"/>
    </row>
    <row r="36656" spans="43:43" x14ac:dyDescent="0.2">
      <c r="AQ36656" s="31"/>
    </row>
    <row r="36657" spans="43:43" x14ac:dyDescent="0.2">
      <c r="AQ36657" s="31"/>
    </row>
    <row r="36658" spans="43:43" x14ac:dyDescent="0.2">
      <c r="AQ36658" s="31"/>
    </row>
    <row r="36659" spans="43:43" x14ac:dyDescent="0.2">
      <c r="AQ36659" s="31"/>
    </row>
    <row r="36660" spans="43:43" x14ac:dyDescent="0.2">
      <c r="AQ36660" s="31"/>
    </row>
    <row r="36661" spans="43:43" x14ac:dyDescent="0.2">
      <c r="AQ36661" s="31"/>
    </row>
    <row r="36662" spans="43:43" x14ac:dyDescent="0.2">
      <c r="AQ36662" s="31"/>
    </row>
    <row r="36663" spans="43:43" x14ac:dyDescent="0.2">
      <c r="AQ36663" s="31"/>
    </row>
    <row r="36664" spans="43:43" x14ac:dyDescent="0.2">
      <c r="AQ36664" s="31"/>
    </row>
    <row r="36665" spans="43:43" x14ac:dyDescent="0.2">
      <c r="AQ36665" s="31"/>
    </row>
    <row r="36666" spans="43:43" x14ac:dyDescent="0.2">
      <c r="AQ36666" s="31"/>
    </row>
    <row r="36667" spans="43:43" x14ac:dyDescent="0.2">
      <c r="AQ36667" s="31"/>
    </row>
    <row r="36668" spans="43:43" x14ac:dyDescent="0.2">
      <c r="AQ36668" s="31"/>
    </row>
    <row r="36669" spans="43:43" x14ac:dyDescent="0.2">
      <c r="AQ36669" s="31"/>
    </row>
    <row r="36670" spans="43:43" x14ac:dyDescent="0.2">
      <c r="AQ36670" s="31"/>
    </row>
    <row r="36671" spans="43:43" x14ac:dyDescent="0.2">
      <c r="AQ36671" s="31"/>
    </row>
    <row r="36672" spans="43:43" x14ac:dyDescent="0.2">
      <c r="AQ36672" s="31"/>
    </row>
    <row r="36673" spans="43:43" x14ac:dyDescent="0.2">
      <c r="AQ36673" s="31"/>
    </row>
    <row r="36674" spans="43:43" x14ac:dyDescent="0.2">
      <c r="AQ36674" s="31"/>
    </row>
    <row r="36675" spans="43:43" x14ac:dyDescent="0.2">
      <c r="AQ36675" s="31"/>
    </row>
    <row r="36676" spans="43:43" x14ac:dyDescent="0.2">
      <c r="AQ36676" s="31"/>
    </row>
    <row r="36677" spans="43:43" x14ac:dyDescent="0.2">
      <c r="AQ36677" s="31"/>
    </row>
    <row r="36678" spans="43:43" x14ac:dyDescent="0.2">
      <c r="AQ36678" s="31"/>
    </row>
    <row r="36679" spans="43:43" x14ac:dyDescent="0.2">
      <c r="AQ36679" s="31"/>
    </row>
    <row r="36680" spans="43:43" x14ac:dyDescent="0.2">
      <c r="AQ36680" s="31"/>
    </row>
    <row r="36681" spans="43:43" x14ac:dyDescent="0.2">
      <c r="AQ36681" s="31"/>
    </row>
    <row r="36682" spans="43:43" x14ac:dyDescent="0.2">
      <c r="AQ36682" s="31"/>
    </row>
    <row r="36683" spans="43:43" x14ac:dyDescent="0.2">
      <c r="AQ36683" s="31"/>
    </row>
    <row r="36684" spans="43:43" x14ac:dyDescent="0.2">
      <c r="AQ36684" s="31"/>
    </row>
    <row r="36685" spans="43:43" x14ac:dyDescent="0.2">
      <c r="AQ36685" s="31"/>
    </row>
    <row r="36686" spans="43:43" x14ac:dyDescent="0.2">
      <c r="AQ36686" s="31"/>
    </row>
    <row r="36687" spans="43:43" x14ac:dyDescent="0.2">
      <c r="AQ36687" s="31"/>
    </row>
    <row r="36688" spans="43:43" x14ac:dyDescent="0.2">
      <c r="AQ36688" s="31"/>
    </row>
    <row r="36689" spans="43:43" x14ac:dyDescent="0.2">
      <c r="AQ36689" s="31"/>
    </row>
    <row r="36690" spans="43:43" x14ac:dyDescent="0.2">
      <c r="AQ36690" s="31"/>
    </row>
    <row r="36691" spans="43:43" x14ac:dyDescent="0.2">
      <c r="AQ36691" s="31"/>
    </row>
    <row r="36692" spans="43:43" x14ac:dyDescent="0.2">
      <c r="AQ36692" s="31"/>
    </row>
    <row r="36693" spans="43:43" x14ac:dyDescent="0.2">
      <c r="AQ36693" s="31"/>
    </row>
    <row r="36694" spans="43:43" x14ac:dyDescent="0.2">
      <c r="AQ36694" s="31"/>
    </row>
    <row r="36695" spans="43:43" x14ac:dyDescent="0.2">
      <c r="AQ36695" s="31"/>
    </row>
    <row r="36696" spans="43:43" x14ac:dyDescent="0.2">
      <c r="AQ36696" s="31"/>
    </row>
    <row r="36697" spans="43:43" x14ac:dyDescent="0.2">
      <c r="AQ36697" s="31"/>
    </row>
    <row r="36698" spans="43:43" x14ac:dyDescent="0.2">
      <c r="AQ36698" s="31"/>
    </row>
    <row r="36699" spans="43:43" x14ac:dyDescent="0.2">
      <c r="AQ36699" s="31"/>
    </row>
    <row r="36700" spans="43:43" x14ac:dyDescent="0.2">
      <c r="AQ36700" s="31"/>
    </row>
    <row r="36701" spans="43:43" x14ac:dyDescent="0.2">
      <c r="AQ36701" s="31"/>
    </row>
    <row r="36702" spans="43:43" x14ac:dyDescent="0.2">
      <c r="AQ36702" s="31"/>
    </row>
    <row r="36703" spans="43:43" x14ac:dyDescent="0.2">
      <c r="AQ36703" s="31"/>
    </row>
    <row r="36704" spans="43:43" x14ac:dyDescent="0.2">
      <c r="AQ36704" s="31"/>
    </row>
    <row r="36705" spans="43:43" x14ac:dyDescent="0.2">
      <c r="AQ36705" s="31"/>
    </row>
    <row r="36706" spans="43:43" x14ac:dyDescent="0.2">
      <c r="AQ36706" s="31"/>
    </row>
    <row r="36707" spans="43:43" x14ac:dyDescent="0.2">
      <c r="AQ36707" s="31"/>
    </row>
    <row r="36708" spans="43:43" x14ac:dyDescent="0.2">
      <c r="AQ36708" s="31"/>
    </row>
    <row r="36709" spans="43:43" x14ac:dyDescent="0.2">
      <c r="AQ36709" s="31"/>
    </row>
    <row r="36710" spans="43:43" x14ac:dyDescent="0.2">
      <c r="AQ36710" s="31"/>
    </row>
    <row r="36711" spans="43:43" x14ac:dyDescent="0.2">
      <c r="AQ36711" s="31"/>
    </row>
    <row r="36712" spans="43:43" x14ac:dyDescent="0.2">
      <c r="AQ36712" s="31"/>
    </row>
    <row r="36713" spans="43:43" x14ac:dyDescent="0.2">
      <c r="AQ36713" s="31"/>
    </row>
    <row r="36714" spans="43:43" x14ac:dyDescent="0.2">
      <c r="AQ36714" s="31"/>
    </row>
    <row r="36715" spans="43:43" x14ac:dyDescent="0.2">
      <c r="AQ36715" s="31"/>
    </row>
    <row r="36716" spans="43:43" x14ac:dyDescent="0.2">
      <c r="AQ36716" s="31"/>
    </row>
    <row r="36717" spans="43:43" x14ac:dyDescent="0.2">
      <c r="AQ36717" s="31"/>
    </row>
    <row r="36718" spans="43:43" x14ac:dyDescent="0.2">
      <c r="AQ36718" s="31"/>
    </row>
    <row r="36719" spans="43:43" x14ac:dyDescent="0.2">
      <c r="AQ36719" s="31"/>
    </row>
    <row r="36720" spans="43:43" x14ac:dyDescent="0.2">
      <c r="AQ36720" s="31"/>
    </row>
    <row r="36721" spans="43:43" x14ac:dyDescent="0.2">
      <c r="AQ36721" s="31"/>
    </row>
    <row r="36722" spans="43:43" x14ac:dyDescent="0.2">
      <c r="AQ36722" s="31"/>
    </row>
    <row r="36723" spans="43:43" x14ac:dyDescent="0.2">
      <c r="AQ36723" s="31"/>
    </row>
    <row r="36724" spans="43:43" x14ac:dyDescent="0.2">
      <c r="AQ36724" s="31"/>
    </row>
    <row r="36725" spans="43:43" x14ac:dyDescent="0.2">
      <c r="AQ36725" s="31"/>
    </row>
    <row r="36726" spans="43:43" x14ac:dyDescent="0.2">
      <c r="AQ36726" s="31"/>
    </row>
    <row r="36727" spans="43:43" x14ac:dyDescent="0.2">
      <c r="AQ36727" s="31"/>
    </row>
    <row r="36728" spans="43:43" x14ac:dyDescent="0.2">
      <c r="AQ36728" s="31"/>
    </row>
    <row r="36729" spans="43:43" x14ac:dyDescent="0.2">
      <c r="AQ36729" s="31"/>
    </row>
    <row r="36730" spans="43:43" x14ac:dyDescent="0.2">
      <c r="AQ36730" s="31"/>
    </row>
    <row r="36731" spans="43:43" x14ac:dyDescent="0.2">
      <c r="AQ36731" s="31"/>
    </row>
    <row r="36732" spans="43:43" x14ac:dyDescent="0.2">
      <c r="AQ36732" s="31"/>
    </row>
    <row r="36733" spans="43:43" x14ac:dyDescent="0.2">
      <c r="AQ36733" s="31"/>
    </row>
    <row r="36734" spans="43:43" x14ac:dyDescent="0.2">
      <c r="AQ36734" s="31"/>
    </row>
    <row r="36735" spans="43:43" x14ac:dyDescent="0.2">
      <c r="AQ36735" s="31"/>
    </row>
    <row r="36736" spans="43:43" x14ac:dyDescent="0.2">
      <c r="AQ36736" s="31"/>
    </row>
    <row r="36737" spans="43:43" x14ac:dyDescent="0.2">
      <c r="AQ36737" s="31"/>
    </row>
    <row r="36738" spans="43:43" x14ac:dyDescent="0.2">
      <c r="AQ36738" s="31"/>
    </row>
    <row r="36739" spans="43:43" x14ac:dyDescent="0.2">
      <c r="AQ36739" s="31"/>
    </row>
    <row r="36740" spans="43:43" x14ac:dyDescent="0.2">
      <c r="AQ36740" s="31"/>
    </row>
    <row r="36741" spans="43:43" x14ac:dyDescent="0.2">
      <c r="AQ36741" s="31"/>
    </row>
    <row r="36742" spans="43:43" x14ac:dyDescent="0.2">
      <c r="AQ36742" s="31"/>
    </row>
    <row r="36743" spans="43:43" x14ac:dyDescent="0.2">
      <c r="AQ36743" s="31"/>
    </row>
    <row r="36744" spans="43:43" x14ac:dyDescent="0.2">
      <c r="AQ36744" s="31"/>
    </row>
    <row r="36745" spans="43:43" x14ac:dyDescent="0.2">
      <c r="AQ36745" s="31"/>
    </row>
    <row r="36746" spans="43:43" x14ac:dyDescent="0.2">
      <c r="AQ36746" s="31"/>
    </row>
    <row r="36747" spans="43:43" x14ac:dyDescent="0.2">
      <c r="AQ36747" s="31"/>
    </row>
    <row r="36748" spans="43:43" x14ac:dyDescent="0.2">
      <c r="AQ36748" s="31"/>
    </row>
    <row r="36749" spans="43:43" x14ac:dyDescent="0.2">
      <c r="AQ36749" s="31"/>
    </row>
    <row r="36750" spans="43:43" x14ac:dyDescent="0.2">
      <c r="AQ36750" s="31"/>
    </row>
    <row r="36751" spans="43:43" x14ac:dyDescent="0.2">
      <c r="AQ36751" s="31"/>
    </row>
    <row r="36752" spans="43:43" x14ac:dyDescent="0.2">
      <c r="AQ36752" s="31"/>
    </row>
    <row r="36753" spans="43:43" x14ac:dyDescent="0.2">
      <c r="AQ36753" s="31"/>
    </row>
    <row r="36754" spans="43:43" x14ac:dyDescent="0.2">
      <c r="AQ36754" s="31"/>
    </row>
    <row r="36755" spans="43:43" x14ac:dyDescent="0.2">
      <c r="AQ36755" s="31"/>
    </row>
    <row r="36756" spans="43:43" x14ac:dyDescent="0.2">
      <c r="AQ36756" s="31"/>
    </row>
    <row r="36757" spans="43:43" x14ac:dyDescent="0.2">
      <c r="AQ36757" s="31"/>
    </row>
    <row r="36758" spans="43:43" x14ac:dyDescent="0.2">
      <c r="AQ36758" s="31"/>
    </row>
    <row r="36759" spans="43:43" x14ac:dyDescent="0.2">
      <c r="AQ36759" s="31"/>
    </row>
    <row r="36760" spans="43:43" x14ac:dyDescent="0.2">
      <c r="AQ36760" s="31"/>
    </row>
    <row r="36761" spans="43:43" x14ac:dyDescent="0.2">
      <c r="AQ36761" s="31"/>
    </row>
    <row r="36762" spans="43:43" x14ac:dyDescent="0.2">
      <c r="AQ36762" s="31"/>
    </row>
    <row r="36763" spans="43:43" x14ac:dyDescent="0.2">
      <c r="AQ36763" s="31"/>
    </row>
    <row r="36764" spans="43:43" x14ac:dyDescent="0.2">
      <c r="AQ36764" s="31"/>
    </row>
    <row r="36765" spans="43:43" x14ac:dyDescent="0.2">
      <c r="AQ36765" s="31"/>
    </row>
    <row r="36766" spans="43:43" x14ac:dyDescent="0.2">
      <c r="AQ36766" s="31"/>
    </row>
    <row r="36767" spans="43:43" x14ac:dyDescent="0.2">
      <c r="AQ36767" s="31"/>
    </row>
    <row r="36768" spans="43:43" x14ac:dyDescent="0.2">
      <c r="AQ36768" s="31"/>
    </row>
    <row r="36769" spans="43:43" x14ac:dyDescent="0.2">
      <c r="AQ36769" s="31"/>
    </row>
    <row r="36770" spans="43:43" x14ac:dyDescent="0.2">
      <c r="AQ36770" s="31"/>
    </row>
    <row r="36771" spans="43:43" x14ac:dyDescent="0.2">
      <c r="AQ36771" s="31"/>
    </row>
    <row r="36772" spans="43:43" x14ac:dyDescent="0.2">
      <c r="AQ36772" s="31"/>
    </row>
    <row r="36773" spans="43:43" x14ac:dyDescent="0.2">
      <c r="AQ36773" s="31"/>
    </row>
    <row r="36774" spans="43:43" x14ac:dyDescent="0.2">
      <c r="AQ36774" s="31"/>
    </row>
    <row r="36775" spans="43:43" x14ac:dyDescent="0.2">
      <c r="AQ36775" s="31"/>
    </row>
    <row r="36776" spans="43:43" x14ac:dyDescent="0.2">
      <c r="AQ36776" s="31"/>
    </row>
    <row r="36777" spans="43:43" x14ac:dyDescent="0.2">
      <c r="AQ36777" s="31"/>
    </row>
    <row r="36778" spans="43:43" x14ac:dyDescent="0.2">
      <c r="AQ36778" s="31"/>
    </row>
    <row r="36779" spans="43:43" x14ac:dyDescent="0.2">
      <c r="AQ36779" s="31"/>
    </row>
    <row r="36780" spans="43:43" x14ac:dyDescent="0.2">
      <c r="AQ36780" s="31"/>
    </row>
    <row r="36781" spans="43:43" x14ac:dyDescent="0.2">
      <c r="AQ36781" s="31"/>
    </row>
    <row r="36782" spans="43:43" x14ac:dyDescent="0.2">
      <c r="AQ36782" s="31"/>
    </row>
    <row r="36783" spans="43:43" x14ac:dyDescent="0.2">
      <c r="AQ36783" s="31"/>
    </row>
    <row r="36784" spans="43:43" x14ac:dyDescent="0.2">
      <c r="AQ36784" s="31"/>
    </row>
    <row r="36785" spans="43:43" x14ac:dyDescent="0.2">
      <c r="AQ36785" s="31"/>
    </row>
    <row r="36786" spans="43:43" x14ac:dyDescent="0.2">
      <c r="AQ36786" s="31"/>
    </row>
    <row r="36787" spans="43:43" x14ac:dyDescent="0.2">
      <c r="AQ36787" s="31"/>
    </row>
    <row r="36788" spans="43:43" x14ac:dyDescent="0.2">
      <c r="AQ36788" s="31"/>
    </row>
    <row r="36789" spans="43:43" x14ac:dyDescent="0.2">
      <c r="AQ36789" s="31"/>
    </row>
    <row r="36790" spans="43:43" x14ac:dyDescent="0.2">
      <c r="AQ36790" s="31"/>
    </row>
    <row r="36791" spans="43:43" x14ac:dyDescent="0.2">
      <c r="AQ36791" s="31"/>
    </row>
    <row r="36792" spans="43:43" x14ac:dyDescent="0.2">
      <c r="AQ36792" s="31"/>
    </row>
    <row r="36793" spans="43:43" x14ac:dyDescent="0.2">
      <c r="AQ36793" s="31"/>
    </row>
    <row r="36794" spans="43:43" x14ac:dyDescent="0.2">
      <c r="AQ36794" s="31"/>
    </row>
    <row r="36795" spans="43:43" x14ac:dyDescent="0.2">
      <c r="AQ36795" s="31"/>
    </row>
    <row r="36796" spans="43:43" x14ac:dyDescent="0.2">
      <c r="AQ36796" s="31"/>
    </row>
    <row r="36797" spans="43:43" x14ac:dyDescent="0.2">
      <c r="AQ36797" s="31"/>
    </row>
    <row r="36798" spans="43:43" x14ac:dyDescent="0.2">
      <c r="AQ36798" s="31"/>
    </row>
    <row r="36799" spans="43:43" x14ac:dyDescent="0.2">
      <c r="AQ36799" s="31"/>
    </row>
    <row r="36800" spans="43:43" x14ac:dyDescent="0.2">
      <c r="AQ36800" s="31"/>
    </row>
    <row r="36801" spans="43:43" x14ac:dyDescent="0.2">
      <c r="AQ36801" s="31"/>
    </row>
    <row r="36802" spans="43:43" x14ac:dyDescent="0.2">
      <c r="AQ36802" s="31"/>
    </row>
    <row r="36803" spans="43:43" x14ac:dyDescent="0.2">
      <c r="AQ36803" s="31"/>
    </row>
    <row r="36804" spans="43:43" x14ac:dyDescent="0.2">
      <c r="AQ36804" s="31"/>
    </row>
    <row r="36805" spans="43:43" x14ac:dyDescent="0.2">
      <c r="AQ36805" s="31"/>
    </row>
    <row r="36806" spans="43:43" x14ac:dyDescent="0.2">
      <c r="AQ36806" s="31"/>
    </row>
    <row r="36807" spans="43:43" x14ac:dyDescent="0.2">
      <c r="AQ36807" s="31"/>
    </row>
    <row r="36808" spans="43:43" x14ac:dyDescent="0.2">
      <c r="AQ36808" s="31"/>
    </row>
    <row r="36809" spans="43:43" x14ac:dyDescent="0.2">
      <c r="AQ36809" s="31"/>
    </row>
    <row r="36810" spans="43:43" x14ac:dyDescent="0.2">
      <c r="AQ36810" s="31"/>
    </row>
    <row r="36811" spans="43:43" x14ac:dyDescent="0.2">
      <c r="AQ36811" s="31"/>
    </row>
    <row r="36812" spans="43:43" x14ac:dyDescent="0.2">
      <c r="AQ36812" s="31"/>
    </row>
    <row r="36813" spans="43:43" x14ac:dyDescent="0.2">
      <c r="AQ36813" s="31"/>
    </row>
    <row r="36814" spans="43:43" x14ac:dyDescent="0.2">
      <c r="AQ36814" s="31"/>
    </row>
    <row r="36815" spans="43:43" x14ac:dyDescent="0.2">
      <c r="AQ36815" s="31"/>
    </row>
    <row r="36816" spans="43:43" x14ac:dyDescent="0.2">
      <c r="AQ36816" s="31"/>
    </row>
    <row r="36817" spans="43:43" x14ac:dyDescent="0.2">
      <c r="AQ36817" s="31"/>
    </row>
    <row r="36818" spans="43:43" x14ac:dyDescent="0.2">
      <c r="AQ36818" s="31"/>
    </row>
    <row r="36819" spans="43:43" x14ac:dyDescent="0.2">
      <c r="AQ36819" s="31"/>
    </row>
    <row r="36820" spans="43:43" x14ac:dyDescent="0.2">
      <c r="AQ36820" s="31"/>
    </row>
    <row r="36821" spans="43:43" x14ac:dyDescent="0.2">
      <c r="AQ36821" s="31"/>
    </row>
    <row r="36822" spans="43:43" x14ac:dyDescent="0.2">
      <c r="AQ36822" s="31"/>
    </row>
    <row r="36823" spans="43:43" x14ac:dyDescent="0.2">
      <c r="AQ36823" s="31"/>
    </row>
    <row r="36824" spans="43:43" x14ac:dyDescent="0.2">
      <c r="AQ36824" s="31"/>
    </row>
    <row r="36825" spans="43:43" x14ac:dyDescent="0.2">
      <c r="AQ36825" s="31"/>
    </row>
    <row r="36826" spans="43:43" x14ac:dyDescent="0.2">
      <c r="AQ36826" s="31"/>
    </row>
    <row r="36827" spans="43:43" x14ac:dyDescent="0.2">
      <c r="AQ36827" s="31"/>
    </row>
    <row r="36828" spans="43:43" x14ac:dyDescent="0.2">
      <c r="AQ36828" s="31"/>
    </row>
    <row r="36829" spans="43:43" x14ac:dyDescent="0.2">
      <c r="AQ36829" s="31"/>
    </row>
    <row r="36830" spans="43:43" x14ac:dyDescent="0.2">
      <c r="AQ36830" s="31"/>
    </row>
    <row r="36831" spans="43:43" x14ac:dyDescent="0.2">
      <c r="AQ36831" s="31"/>
    </row>
    <row r="36832" spans="43:43" x14ac:dyDescent="0.2">
      <c r="AQ36832" s="31"/>
    </row>
    <row r="36833" spans="43:43" x14ac:dyDescent="0.2">
      <c r="AQ36833" s="31"/>
    </row>
    <row r="36834" spans="43:43" x14ac:dyDescent="0.2">
      <c r="AQ36834" s="31"/>
    </row>
    <row r="36835" spans="43:43" x14ac:dyDescent="0.2">
      <c r="AQ36835" s="31"/>
    </row>
    <row r="36836" spans="43:43" x14ac:dyDescent="0.2">
      <c r="AQ36836" s="31"/>
    </row>
    <row r="36837" spans="43:43" x14ac:dyDescent="0.2">
      <c r="AQ36837" s="31"/>
    </row>
    <row r="36838" spans="43:43" x14ac:dyDescent="0.2">
      <c r="AQ36838" s="31"/>
    </row>
    <row r="36839" spans="43:43" x14ac:dyDescent="0.2">
      <c r="AQ36839" s="31"/>
    </row>
    <row r="36840" spans="43:43" x14ac:dyDescent="0.2">
      <c r="AQ36840" s="31"/>
    </row>
    <row r="36841" spans="43:43" x14ac:dyDescent="0.2">
      <c r="AQ36841" s="31"/>
    </row>
    <row r="36842" spans="43:43" x14ac:dyDescent="0.2">
      <c r="AQ36842" s="31"/>
    </row>
    <row r="36843" spans="43:43" x14ac:dyDescent="0.2">
      <c r="AQ36843" s="31"/>
    </row>
    <row r="36844" spans="43:43" x14ac:dyDescent="0.2">
      <c r="AQ36844" s="31"/>
    </row>
    <row r="36845" spans="43:43" x14ac:dyDescent="0.2">
      <c r="AQ36845" s="31"/>
    </row>
    <row r="36846" spans="43:43" x14ac:dyDescent="0.2">
      <c r="AQ36846" s="31"/>
    </row>
    <row r="36847" spans="43:43" x14ac:dyDescent="0.2">
      <c r="AQ36847" s="31"/>
    </row>
    <row r="36848" spans="43:43" x14ac:dyDescent="0.2">
      <c r="AQ36848" s="31"/>
    </row>
    <row r="36849" spans="43:43" x14ac:dyDescent="0.2">
      <c r="AQ36849" s="31"/>
    </row>
    <row r="36850" spans="43:43" x14ac:dyDescent="0.2">
      <c r="AQ36850" s="31"/>
    </row>
    <row r="36851" spans="43:43" x14ac:dyDescent="0.2">
      <c r="AQ36851" s="31"/>
    </row>
    <row r="36852" spans="43:43" x14ac:dyDescent="0.2">
      <c r="AQ36852" s="31"/>
    </row>
    <row r="36853" spans="43:43" x14ac:dyDescent="0.2">
      <c r="AQ36853" s="31"/>
    </row>
    <row r="36854" spans="43:43" x14ac:dyDescent="0.2">
      <c r="AQ36854" s="31"/>
    </row>
    <row r="36855" spans="43:43" x14ac:dyDescent="0.2">
      <c r="AQ36855" s="31"/>
    </row>
    <row r="36856" spans="43:43" x14ac:dyDescent="0.2">
      <c r="AQ36856" s="31"/>
    </row>
    <row r="36857" spans="43:43" x14ac:dyDescent="0.2">
      <c r="AQ36857" s="31"/>
    </row>
    <row r="36858" spans="43:43" x14ac:dyDescent="0.2">
      <c r="AQ36858" s="31"/>
    </row>
    <row r="36859" spans="43:43" x14ac:dyDescent="0.2">
      <c r="AQ36859" s="31"/>
    </row>
    <row r="36860" spans="43:43" x14ac:dyDescent="0.2">
      <c r="AQ36860" s="31"/>
    </row>
    <row r="36861" spans="43:43" x14ac:dyDescent="0.2">
      <c r="AQ36861" s="31"/>
    </row>
    <row r="36862" spans="43:43" x14ac:dyDescent="0.2">
      <c r="AQ36862" s="31"/>
    </row>
    <row r="36863" spans="43:43" x14ac:dyDescent="0.2">
      <c r="AQ36863" s="31"/>
    </row>
    <row r="36864" spans="43:43" x14ac:dyDescent="0.2">
      <c r="AQ36864" s="31"/>
    </row>
    <row r="36865" spans="43:43" x14ac:dyDescent="0.2">
      <c r="AQ36865" s="31"/>
    </row>
    <row r="36866" spans="43:43" x14ac:dyDescent="0.2">
      <c r="AQ36866" s="31"/>
    </row>
    <row r="36867" spans="43:43" x14ac:dyDescent="0.2">
      <c r="AQ36867" s="31"/>
    </row>
    <row r="36868" spans="43:43" x14ac:dyDescent="0.2">
      <c r="AQ36868" s="31"/>
    </row>
    <row r="36869" spans="43:43" x14ac:dyDescent="0.2">
      <c r="AQ36869" s="31"/>
    </row>
    <row r="36870" spans="43:43" x14ac:dyDescent="0.2">
      <c r="AQ36870" s="31"/>
    </row>
    <row r="36871" spans="43:43" x14ac:dyDescent="0.2">
      <c r="AQ36871" s="31"/>
    </row>
    <row r="36872" spans="43:43" x14ac:dyDescent="0.2">
      <c r="AQ36872" s="31"/>
    </row>
    <row r="36873" spans="43:43" x14ac:dyDescent="0.2">
      <c r="AQ36873" s="31"/>
    </row>
    <row r="36874" spans="43:43" x14ac:dyDescent="0.2">
      <c r="AQ36874" s="31"/>
    </row>
    <row r="36875" spans="43:43" x14ac:dyDescent="0.2">
      <c r="AQ36875" s="31"/>
    </row>
    <row r="36876" spans="43:43" x14ac:dyDescent="0.2">
      <c r="AQ36876" s="31"/>
    </row>
    <row r="36877" spans="43:43" x14ac:dyDescent="0.2">
      <c r="AQ36877" s="31"/>
    </row>
    <row r="36878" spans="43:43" x14ac:dyDescent="0.2">
      <c r="AQ36878" s="31"/>
    </row>
    <row r="36879" spans="43:43" x14ac:dyDescent="0.2">
      <c r="AQ36879" s="31"/>
    </row>
    <row r="36880" spans="43:43" x14ac:dyDescent="0.2">
      <c r="AQ36880" s="31"/>
    </row>
    <row r="36881" spans="43:43" x14ac:dyDescent="0.2">
      <c r="AQ36881" s="31"/>
    </row>
    <row r="36882" spans="43:43" x14ac:dyDescent="0.2">
      <c r="AQ36882" s="31"/>
    </row>
    <row r="36883" spans="43:43" x14ac:dyDescent="0.2">
      <c r="AQ36883" s="31"/>
    </row>
    <row r="36884" spans="43:43" x14ac:dyDescent="0.2">
      <c r="AQ36884" s="31"/>
    </row>
    <row r="36885" spans="43:43" x14ac:dyDescent="0.2">
      <c r="AQ36885" s="31"/>
    </row>
    <row r="36886" spans="43:43" x14ac:dyDescent="0.2">
      <c r="AQ36886" s="31"/>
    </row>
    <row r="36887" spans="43:43" x14ac:dyDescent="0.2">
      <c r="AQ36887" s="31"/>
    </row>
    <row r="36888" spans="43:43" x14ac:dyDescent="0.2">
      <c r="AQ36888" s="31"/>
    </row>
    <row r="36889" spans="43:43" x14ac:dyDescent="0.2">
      <c r="AQ36889" s="31"/>
    </row>
    <row r="36890" spans="43:43" x14ac:dyDescent="0.2">
      <c r="AQ36890" s="31"/>
    </row>
    <row r="36891" spans="43:43" x14ac:dyDescent="0.2">
      <c r="AQ36891" s="31"/>
    </row>
    <row r="36892" spans="43:43" x14ac:dyDescent="0.2">
      <c r="AQ36892" s="31"/>
    </row>
    <row r="36893" spans="43:43" x14ac:dyDescent="0.2">
      <c r="AQ36893" s="31"/>
    </row>
    <row r="36894" spans="43:43" x14ac:dyDescent="0.2">
      <c r="AQ36894" s="31"/>
    </row>
    <row r="36895" spans="43:43" x14ac:dyDescent="0.2">
      <c r="AQ36895" s="31"/>
    </row>
    <row r="36896" spans="43:43" x14ac:dyDescent="0.2">
      <c r="AQ36896" s="31"/>
    </row>
    <row r="36897" spans="43:43" x14ac:dyDescent="0.2">
      <c r="AQ36897" s="31"/>
    </row>
    <row r="36898" spans="43:43" x14ac:dyDescent="0.2">
      <c r="AQ36898" s="31"/>
    </row>
    <row r="36899" spans="43:43" x14ac:dyDescent="0.2">
      <c r="AQ36899" s="31"/>
    </row>
    <row r="36900" spans="43:43" x14ac:dyDescent="0.2">
      <c r="AQ36900" s="31"/>
    </row>
    <row r="36901" spans="43:43" x14ac:dyDescent="0.2">
      <c r="AQ36901" s="31"/>
    </row>
    <row r="36902" spans="43:43" x14ac:dyDescent="0.2">
      <c r="AQ36902" s="31"/>
    </row>
    <row r="36903" spans="43:43" x14ac:dyDescent="0.2">
      <c r="AQ36903" s="31"/>
    </row>
    <row r="36904" spans="43:43" x14ac:dyDescent="0.2">
      <c r="AQ36904" s="31"/>
    </row>
    <row r="36905" spans="43:43" x14ac:dyDescent="0.2">
      <c r="AQ36905" s="31"/>
    </row>
    <row r="36906" spans="43:43" x14ac:dyDescent="0.2">
      <c r="AQ36906" s="31"/>
    </row>
    <row r="36907" spans="43:43" x14ac:dyDescent="0.2">
      <c r="AQ36907" s="31"/>
    </row>
    <row r="36908" spans="43:43" x14ac:dyDescent="0.2">
      <c r="AQ36908" s="31"/>
    </row>
    <row r="36909" spans="43:43" x14ac:dyDescent="0.2">
      <c r="AQ36909" s="31"/>
    </row>
    <row r="36910" spans="43:43" x14ac:dyDescent="0.2">
      <c r="AQ36910" s="31"/>
    </row>
    <row r="36911" spans="43:43" x14ac:dyDescent="0.2">
      <c r="AQ36911" s="31"/>
    </row>
    <row r="36912" spans="43:43" x14ac:dyDescent="0.2">
      <c r="AQ36912" s="31"/>
    </row>
    <row r="36913" spans="43:43" x14ac:dyDescent="0.2">
      <c r="AQ36913" s="31"/>
    </row>
    <row r="36914" spans="43:43" x14ac:dyDescent="0.2">
      <c r="AQ36914" s="31"/>
    </row>
    <row r="36915" spans="43:43" x14ac:dyDescent="0.2">
      <c r="AQ36915" s="31"/>
    </row>
    <row r="36916" spans="43:43" x14ac:dyDescent="0.2">
      <c r="AQ36916" s="31"/>
    </row>
    <row r="36917" spans="43:43" x14ac:dyDescent="0.2">
      <c r="AQ36917" s="31"/>
    </row>
    <row r="36918" spans="43:43" x14ac:dyDescent="0.2">
      <c r="AQ36918" s="31"/>
    </row>
    <row r="36919" spans="43:43" x14ac:dyDescent="0.2">
      <c r="AQ36919" s="31"/>
    </row>
    <row r="36920" spans="43:43" x14ac:dyDescent="0.2">
      <c r="AQ36920" s="31"/>
    </row>
    <row r="36921" spans="43:43" x14ac:dyDescent="0.2">
      <c r="AQ36921" s="31"/>
    </row>
    <row r="36922" spans="43:43" x14ac:dyDescent="0.2">
      <c r="AQ36922" s="31"/>
    </row>
    <row r="36923" spans="43:43" x14ac:dyDescent="0.2">
      <c r="AQ36923" s="31"/>
    </row>
    <row r="36924" spans="43:43" x14ac:dyDescent="0.2">
      <c r="AQ36924" s="31"/>
    </row>
    <row r="36925" spans="43:43" x14ac:dyDescent="0.2">
      <c r="AQ36925" s="31"/>
    </row>
    <row r="36926" spans="43:43" x14ac:dyDescent="0.2">
      <c r="AQ36926" s="31"/>
    </row>
    <row r="36927" spans="43:43" x14ac:dyDescent="0.2">
      <c r="AQ36927" s="31"/>
    </row>
    <row r="36928" spans="43:43" x14ac:dyDescent="0.2">
      <c r="AQ36928" s="31"/>
    </row>
    <row r="36929" spans="43:43" x14ac:dyDescent="0.2">
      <c r="AQ36929" s="31"/>
    </row>
    <row r="36930" spans="43:43" x14ac:dyDescent="0.2">
      <c r="AQ36930" s="31"/>
    </row>
    <row r="36931" spans="43:43" x14ac:dyDescent="0.2">
      <c r="AQ36931" s="31"/>
    </row>
    <row r="36932" spans="43:43" x14ac:dyDescent="0.2">
      <c r="AQ36932" s="31"/>
    </row>
    <row r="36933" spans="43:43" x14ac:dyDescent="0.2">
      <c r="AQ36933" s="31"/>
    </row>
    <row r="36934" spans="43:43" x14ac:dyDescent="0.2">
      <c r="AQ36934" s="31"/>
    </row>
    <row r="36935" spans="43:43" x14ac:dyDescent="0.2">
      <c r="AQ36935" s="31"/>
    </row>
    <row r="36936" spans="43:43" x14ac:dyDescent="0.2">
      <c r="AQ36936" s="31"/>
    </row>
    <row r="36937" spans="43:43" x14ac:dyDescent="0.2">
      <c r="AQ36937" s="31"/>
    </row>
    <row r="36938" spans="43:43" x14ac:dyDescent="0.2">
      <c r="AQ36938" s="31"/>
    </row>
    <row r="36939" spans="43:43" x14ac:dyDescent="0.2">
      <c r="AQ36939" s="31"/>
    </row>
    <row r="36940" spans="43:43" x14ac:dyDescent="0.2">
      <c r="AQ36940" s="31"/>
    </row>
    <row r="36941" spans="43:43" x14ac:dyDescent="0.2">
      <c r="AQ36941" s="31"/>
    </row>
    <row r="36942" spans="43:43" x14ac:dyDescent="0.2">
      <c r="AQ36942" s="31"/>
    </row>
    <row r="36943" spans="43:43" x14ac:dyDescent="0.2">
      <c r="AQ36943" s="31"/>
    </row>
    <row r="36944" spans="43:43" x14ac:dyDescent="0.2">
      <c r="AQ36944" s="31"/>
    </row>
    <row r="36945" spans="43:43" x14ac:dyDescent="0.2">
      <c r="AQ36945" s="31"/>
    </row>
    <row r="36946" spans="43:43" x14ac:dyDescent="0.2">
      <c r="AQ36946" s="31"/>
    </row>
    <row r="36947" spans="43:43" x14ac:dyDescent="0.2">
      <c r="AQ36947" s="31"/>
    </row>
    <row r="36948" spans="43:43" x14ac:dyDescent="0.2">
      <c r="AQ36948" s="31"/>
    </row>
    <row r="36949" spans="43:43" x14ac:dyDescent="0.2">
      <c r="AQ36949" s="31"/>
    </row>
    <row r="36950" spans="43:43" x14ac:dyDescent="0.2">
      <c r="AQ36950" s="31"/>
    </row>
    <row r="36951" spans="43:43" x14ac:dyDescent="0.2">
      <c r="AQ36951" s="31"/>
    </row>
    <row r="36952" spans="43:43" x14ac:dyDescent="0.2">
      <c r="AQ36952" s="31"/>
    </row>
    <row r="36953" spans="43:43" x14ac:dyDescent="0.2">
      <c r="AQ36953" s="31"/>
    </row>
    <row r="36954" spans="43:43" x14ac:dyDescent="0.2">
      <c r="AQ36954" s="31"/>
    </row>
    <row r="36955" spans="43:43" x14ac:dyDescent="0.2">
      <c r="AQ36955" s="31"/>
    </row>
    <row r="36956" spans="43:43" x14ac:dyDescent="0.2">
      <c r="AQ36956" s="31"/>
    </row>
    <row r="36957" spans="43:43" x14ac:dyDescent="0.2">
      <c r="AQ36957" s="31"/>
    </row>
    <row r="36958" spans="43:43" x14ac:dyDescent="0.2">
      <c r="AQ36958" s="31"/>
    </row>
    <row r="36959" spans="43:43" x14ac:dyDescent="0.2">
      <c r="AQ36959" s="31"/>
    </row>
    <row r="36960" spans="43:43" x14ac:dyDescent="0.2">
      <c r="AQ36960" s="31"/>
    </row>
    <row r="36961" spans="43:43" x14ac:dyDescent="0.2">
      <c r="AQ36961" s="31"/>
    </row>
    <row r="36962" spans="43:43" x14ac:dyDescent="0.2">
      <c r="AQ36962" s="31"/>
    </row>
    <row r="36963" spans="43:43" x14ac:dyDescent="0.2">
      <c r="AQ36963" s="31"/>
    </row>
    <row r="36964" spans="43:43" x14ac:dyDescent="0.2">
      <c r="AQ36964" s="31"/>
    </row>
    <row r="36965" spans="43:43" x14ac:dyDescent="0.2">
      <c r="AQ36965" s="31"/>
    </row>
    <row r="36966" spans="43:43" x14ac:dyDescent="0.2">
      <c r="AQ36966" s="31"/>
    </row>
    <row r="36967" spans="43:43" x14ac:dyDescent="0.2">
      <c r="AQ36967" s="31"/>
    </row>
    <row r="36968" spans="43:43" x14ac:dyDescent="0.2">
      <c r="AQ36968" s="31"/>
    </row>
    <row r="36969" spans="43:43" x14ac:dyDescent="0.2">
      <c r="AQ36969" s="31"/>
    </row>
    <row r="36970" spans="43:43" x14ac:dyDescent="0.2">
      <c r="AQ36970" s="31"/>
    </row>
    <row r="36971" spans="43:43" x14ac:dyDescent="0.2">
      <c r="AQ36971" s="31"/>
    </row>
    <row r="36972" spans="43:43" x14ac:dyDescent="0.2">
      <c r="AQ36972" s="31"/>
    </row>
    <row r="36973" spans="43:43" x14ac:dyDescent="0.2">
      <c r="AQ36973" s="31"/>
    </row>
    <row r="36974" spans="43:43" x14ac:dyDescent="0.2">
      <c r="AQ36974" s="31"/>
    </row>
    <row r="36975" spans="43:43" x14ac:dyDescent="0.2">
      <c r="AQ36975" s="31"/>
    </row>
    <row r="36976" spans="43:43" x14ac:dyDescent="0.2">
      <c r="AQ36976" s="31"/>
    </row>
    <row r="36977" spans="43:43" x14ac:dyDescent="0.2">
      <c r="AQ36977" s="31"/>
    </row>
    <row r="36978" spans="43:43" x14ac:dyDescent="0.2">
      <c r="AQ36978" s="31"/>
    </row>
    <row r="36979" spans="43:43" x14ac:dyDescent="0.2">
      <c r="AQ36979" s="31"/>
    </row>
    <row r="36980" spans="43:43" x14ac:dyDescent="0.2">
      <c r="AQ36980" s="31"/>
    </row>
    <row r="36981" spans="43:43" x14ac:dyDescent="0.2">
      <c r="AQ36981" s="31"/>
    </row>
    <row r="36982" spans="43:43" x14ac:dyDescent="0.2">
      <c r="AQ36982" s="31"/>
    </row>
    <row r="36983" spans="43:43" x14ac:dyDescent="0.2">
      <c r="AQ36983" s="31"/>
    </row>
    <row r="36984" spans="43:43" x14ac:dyDescent="0.2">
      <c r="AQ36984" s="31"/>
    </row>
    <row r="36985" spans="43:43" x14ac:dyDescent="0.2">
      <c r="AQ36985" s="31"/>
    </row>
    <row r="36986" spans="43:43" x14ac:dyDescent="0.2">
      <c r="AQ36986" s="31"/>
    </row>
    <row r="36987" spans="43:43" x14ac:dyDescent="0.2">
      <c r="AQ36987" s="31"/>
    </row>
    <row r="36988" spans="43:43" x14ac:dyDescent="0.2">
      <c r="AQ36988" s="31"/>
    </row>
    <row r="36989" spans="43:43" x14ac:dyDescent="0.2">
      <c r="AQ36989" s="31"/>
    </row>
    <row r="36990" spans="43:43" x14ac:dyDescent="0.2">
      <c r="AQ36990" s="31"/>
    </row>
    <row r="36991" spans="43:43" x14ac:dyDescent="0.2">
      <c r="AQ36991" s="31"/>
    </row>
    <row r="36992" spans="43:43" x14ac:dyDescent="0.2">
      <c r="AQ36992" s="31"/>
    </row>
    <row r="36993" spans="43:43" x14ac:dyDescent="0.2">
      <c r="AQ36993" s="31"/>
    </row>
    <row r="36994" spans="43:43" x14ac:dyDescent="0.2">
      <c r="AQ36994" s="31"/>
    </row>
    <row r="36995" spans="43:43" x14ac:dyDescent="0.2">
      <c r="AQ36995" s="31"/>
    </row>
    <row r="36996" spans="43:43" x14ac:dyDescent="0.2">
      <c r="AQ36996" s="31"/>
    </row>
    <row r="36997" spans="43:43" x14ac:dyDescent="0.2">
      <c r="AQ36997" s="31"/>
    </row>
    <row r="36998" spans="43:43" x14ac:dyDescent="0.2">
      <c r="AQ36998" s="31"/>
    </row>
    <row r="36999" spans="43:43" x14ac:dyDescent="0.2">
      <c r="AQ36999" s="31"/>
    </row>
    <row r="37000" spans="43:43" x14ac:dyDescent="0.2">
      <c r="AQ37000" s="31"/>
    </row>
    <row r="37001" spans="43:43" x14ac:dyDescent="0.2">
      <c r="AQ37001" s="31"/>
    </row>
    <row r="37002" spans="43:43" x14ac:dyDescent="0.2">
      <c r="AQ37002" s="31"/>
    </row>
    <row r="37003" spans="43:43" x14ac:dyDescent="0.2">
      <c r="AQ37003" s="31"/>
    </row>
    <row r="37004" spans="43:43" x14ac:dyDescent="0.2">
      <c r="AQ37004" s="31"/>
    </row>
    <row r="37005" spans="43:43" x14ac:dyDescent="0.2">
      <c r="AQ37005" s="31"/>
    </row>
    <row r="37006" spans="43:43" x14ac:dyDescent="0.2">
      <c r="AQ37006" s="31"/>
    </row>
    <row r="37007" spans="43:43" x14ac:dyDescent="0.2">
      <c r="AQ37007" s="31"/>
    </row>
    <row r="37008" spans="43:43" x14ac:dyDescent="0.2">
      <c r="AQ37008" s="31"/>
    </row>
    <row r="37009" spans="43:43" x14ac:dyDescent="0.2">
      <c r="AQ37009" s="31"/>
    </row>
    <row r="37010" spans="43:43" x14ac:dyDescent="0.2">
      <c r="AQ37010" s="31"/>
    </row>
    <row r="37011" spans="43:43" x14ac:dyDescent="0.2">
      <c r="AQ37011" s="31"/>
    </row>
    <row r="37012" spans="43:43" x14ac:dyDescent="0.2">
      <c r="AQ37012" s="31"/>
    </row>
    <row r="37013" spans="43:43" x14ac:dyDescent="0.2">
      <c r="AQ37013" s="31"/>
    </row>
    <row r="37014" spans="43:43" x14ac:dyDescent="0.2">
      <c r="AQ37014" s="31"/>
    </row>
    <row r="37015" spans="43:43" x14ac:dyDescent="0.2">
      <c r="AQ37015" s="31"/>
    </row>
    <row r="37016" spans="43:43" x14ac:dyDescent="0.2">
      <c r="AQ37016" s="31"/>
    </row>
    <row r="37017" spans="43:43" x14ac:dyDescent="0.2">
      <c r="AQ37017" s="31"/>
    </row>
    <row r="37018" spans="43:43" x14ac:dyDescent="0.2">
      <c r="AQ37018" s="31"/>
    </row>
    <row r="37019" spans="43:43" x14ac:dyDescent="0.2">
      <c r="AQ37019" s="31"/>
    </row>
    <row r="37020" spans="43:43" x14ac:dyDescent="0.2">
      <c r="AQ37020" s="31"/>
    </row>
    <row r="37021" spans="43:43" x14ac:dyDescent="0.2">
      <c r="AQ37021" s="31"/>
    </row>
    <row r="37022" spans="43:43" x14ac:dyDescent="0.2">
      <c r="AQ37022" s="31"/>
    </row>
    <row r="37023" spans="43:43" x14ac:dyDescent="0.2">
      <c r="AQ37023" s="31"/>
    </row>
    <row r="37024" spans="43:43" x14ac:dyDescent="0.2">
      <c r="AQ37024" s="31"/>
    </row>
    <row r="37025" spans="43:43" x14ac:dyDescent="0.2">
      <c r="AQ37025" s="31"/>
    </row>
    <row r="37026" spans="43:43" x14ac:dyDescent="0.2">
      <c r="AQ37026" s="31"/>
    </row>
    <row r="37027" spans="43:43" x14ac:dyDescent="0.2">
      <c r="AQ37027" s="31"/>
    </row>
    <row r="37028" spans="43:43" x14ac:dyDescent="0.2">
      <c r="AQ37028" s="31"/>
    </row>
    <row r="37029" spans="43:43" x14ac:dyDescent="0.2">
      <c r="AQ37029" s="31"/>
    </row>
    <row r="37030" spans="43:43" x14ac:dyDescent="0.2">
      <c r="AQ37030" s="31"/>
    </row>
    <row r="37031" spans="43:43" x14ac:dyDescent="0.2">
      <c r="AQ37031" s="31"/>
    </row>
    <row r="37032" spans="43:43" x14ac:dyDescent="0.2">
      <c r="AQ37032" s="31"/>
    </row>
    <row r="37033" spans="43:43" x14ac:dyDescent="0.2">
      <c r="AQ37033" s="31"/>
    </row>
    <row r="37034" spans="43:43" x14ac:dyDescent="0.2">
      <c r="AQ37034" s="31"/>
    </row>
    <row r="37035" spans="43:43" x14ac:dyDescent="0.2">
      <c r="AQ37035" s="31"/>
    </row>
    <row r="37036" spans="43:43" x14ac:dyDescent="0.2">
      <c r="AQ37036" s="31"/>
    </row>
    <row r="37037" spans="43:43" x14ac:dyDescent="0.2">
      <c r="AQ37037" s="31"/>
    </row>
    <row r="37038" spans="43:43" x14ac:dyDescent="0.2">
      <c r="AQ37038" s="31"/>
    </row>
    <row r="37039" spans="43:43" x14ac:dyDescent="0.2">
      <c r="AQ37039" s="31"/>
    </row>
    <row r="37040" spans="43:43" x14ac:dyDescent="0.2">
      <c r="AQ37040" s="31"/>
    </row>
    <row r="37041" spans="43:43" x14ac:dyDescent="0.2">
      <c r="AQ37041" s="31"/>
    </row>
    <row r="37042" spans="43:43" x14ac:dyDescent="0.2">
      <c r="AQ37042" s="31"/>
    </row>
    <row r="37043" spans="43:43" x14ac:dyDescent="0.2">
      <c r="AQ37043" s="31"/>
    </row>
    <row r="37044" spans="43:43" x14ac:dyDescent="0.2">
      <c r="AQ37044" s="31"/>
    </row>
    <row r="37045" spans="43:43" x14ac:dyDescent="0.2">
      <c r="AQ37045" s="31"/>
    </row>
    <row r="37046" spans="43:43" x14ac:dyDescent="0.2">
      <c r="AQ37046" s="31"/>
    </row>
    <row r="37047" spans="43:43" x14ac:dyDescent="0.2">
      <c r="AQ37047" s="31"/>
    </row>
    <row r="37048" spans="43:43" x14ac:dyDescent="0.2">
      <c r="AQ37048" s="31"/>
    </row>
    <row r="37049" spans="43:43" x14ac:dyDescent="0.2">
      <c r="AQ37049" s="31"/>
    </row>
    <row r="37050" spans="43:43" x14ac:dyDescent="0.2">
      <c r="AQ37050" s="31"/>
    </row>
    <row r="37051" spans="43:43" x14ac:dyDescent="0.2">
      <c r="AQ37051" s="31"/>
    </row>
    <row r="37052" spans="43:43" x14ac:dyDescent="0.2">
      <c r="AQ37052" s="31"/>
    </row>
    <row r="37053" spans="43:43" x14ac:dyDescent="0.2">
      <c r="AQ37053" s="31"/>
    </row>
    <row r="37054" spans="43:43" x14ac:dyDescent="0.2">
      <c r="AQ37054" s="31"/>
    </row>
    <row r="37055" spans="43:43" x14ac:dyDescent="0.2">
      <c r="AQ37055" s="31"/>
    </row>
    <row r="37056" spans="43:43" x14ac:dyDescent="0.2">
      <c r="AQ37056" s="31"/>
    </row>
    <row r="37057" spans="43:43" x14ac:dyDescent="0.2">
      <c r="AQ37057" s="31"/>
    </row>
    <row r="37058" spans="43:43" x14ac:dyDescent="0.2">
      <c r="AQ37058" s="31"/>
    </row>
    <row r="37059" spans="43:43" x14ac:dyDescent="0.2">
      <c r="AQ37059" s="31"/>
    </row>
    <row r="37060" spans="43:43" x14ac:dyDescent="0.2">
      <c r="AQ37060" s="31"/>
    </row>
    <row r="37061" spans="43:43" x14ac:dyDescent="0.2">
      <c r="AQ37061" s="31"/>
    </row>
    <row r="37062" spans="43:43" x14ac:dyDescent="0.2">
      <c r="AQ37062" s="31"/>
    </row>
    <row r="37063" spans="43:43" x14ac:dyDescent="0.2">
      <c r="AQ37063" s="31"/>
    </row>
    <row r="37064" spans="43:43" x14ac:dyDescent="0.2">
      <c r="AQ37064" s="31"/>
    </row>
    <row r="37065" spans="43:43" x14ac:dyDescent="0.2">
      <c r="AQ37065" s="31"/>
    </row>
    <row r="37066" spans="43:43" x14ac:dyDescent="0.2">
      <c r="AQ37066" s="31"/>
    </row>
    <row r="37067" spans="43:43" x14ac:dyDescent="0.2">
      <c r="AQ37067" s="31"/>
    </row>
    <row r="37068" spans="43:43" x14ac:dyDescent="0.2">
      <c r="AQ37068" s="31"/>
    </row>
    <row r="37069" spans="43:43" x14ac:dyDescent="0.2">
      <c r="AQ37069" s="31"/>
    </row>
    <row r="37070" spans="43:43" x14ac:dyDescent="0.2">
      <c r="AQ37070" s="31"/>
    </row>
    <row r="37071" spans="43:43" x14ac:dyDescent="0.2">
      <c r="AQ37071" s="31"/>
    </row>
    <row r="37072" spans="43:43" x14ac:dyDescent="0.2">
      <c r="AQ37072" s="31"/>
    </row>
    <row r="37073" spans="43:43" x14ac:dyDescent="0.2">
      <c r="AQ37073" s="31"/>
    </row>
    <row r="37074" spans="43:43" x14ac:dyDescent="0.2">
      <c r="AQ37074" s="31"/>
    </row>
    <row r="37075" spans="43:43" x14ac:dyDescent="0.2">
      <c r="AQ37075" s="31"/>
    </row>
    <row r="37076" spans="43:43" x14ac:dyDescent="0.2">
      <c r="AQ37076" s="31"/>
    </row>
    <row r="37077" spans="43:43" x14ac:dyDescent="0.2">
      <c r="AQ37077" s="31"/>
    </row>
    <row r="37078" spans="43:43" x14ac:dyDescent="0.2">
      <c r="AQ37078" s="31"/>
    </row>
    <row r="37079" spans="43:43" x14ac:dyDescent="0.2">
      <c r="AQ37079" s="31"/>
    </row>
    <row r="37080" spans="43:43" x14ac:dyDescent="0.2">
      <c r="AQ37080" s="31"/>
    </row>
    <row r="37081" spans="43:43" x14ac:dyDescent="0.2">
      <c r="AQ37081" s="31"/>
    </row>
    <row r="37082" spans="43:43" x14ac:dyDescent="0.2">
      <c r="AQ37082" s="31"/>
    </row>
    <row r="37083" spans="43:43" x14ac:dyDescent="0.2">
      <c r="AQ37083" s="31"/>
    </row>
    <row r="37084" spans="43:43" x14ac:dyDescent="0.2">
      <c r="AQ37084" s="31"/>
    </row>
    <row r="37085" spans="43:43" x14ac:dyDescent="0.2">
      <c r="AQ37085" s="31"/>
    </row>
    <row r="37086" spans="43:43" x14ac:dyDescent="0.2">
      <c r="AQ37086" s="31"/>
    </row>
    <row r="37087" spans="43:43" x14ac:dyDescent="0.2">
      <c r="AQ37087" s="31"/>
    </row>
    <row r="37088" spans="43:43" x14ac:dyDescent="0.2">
      <c r="AQ37088" s="31"/>
    </row>
    <row r="37089" spans="43:43" x14ac:dyDescent="0.2">
      <c r="AQ37089" s="31"/>
    </row>
    <row r="37090" spans="43:43" x14ac:dyDescent="0.2">
      <c r="AQ37090" s="31"/>
    </row>
    <row r="37091" spans="43:43" x14ac:dyDescent="0.2">
      <c r="AQ37091" s="31"/>
    </row>
    <row r="37092" spans="43:43" x14ac:dyDescent="0.2">
      <c r="AQ37092" s="31"/>
    </row>
    <row r="37093" spans="43:43" x14ac:dyDescent="0.2">
      <c r="AQ37093" s="31"/>
    </row>
    <row r="37094" spans="43:43" x14ac:dyDescent="0.2">
      <c r="AQ37094" s="31"/>
    </row>
    <row r="37095" spans="43:43" x14ac:dyDescent="0.2">
      <c r="AQ37095" s="31"/>
    </row>
    <row r="37096" spans="43:43" x14ac:dyDescent="0.2">
      <c r="AQ37096" s="31"/>
    </row>
    <row r="37097" spans="43:43" x14ac:dyDescent="0.2">
      <c r="AQ37097" s="31"/>
    </row>
    <row r="37098" spans="43:43" x14ac:dyDescent="0.2">
      <c r="AQ37098" s="31"/>
    </row>
    <row r="37099" spans="43:43" x14ac:dyDescent="0.2">
      <c r="AQ37099" s="31"/>
    </row>
    <row r="37100" spans="43:43" x14ac:dyDescent="0.2">
      <c r="AQ37100" s="31"/>
    </row>
    <row r="37101" spans="43:43" x14ac:dyDescent="0.2">
      <c r="AQ37101" s="31"/>
    </row>
    <row r="37102" spans="43:43" x14ac:dyDescent="0.2">
      <c r="AQ37102" s="31"/>
    </row>
    <row r="37103" spans="43:43" x14ac:dyDescent="0.2">
      <c r="AQ37103" s="31"/>
    </row>
    <row r="37104" spans="43:43" x14ac:dyDescent="0.2">
      <c r="AQ37104" s="31"/>
    </row>
    <row r="37105" spans="43:43" x14ac:dyDescent="0.2">
      <c r="AQ37105" s="31"/>
    </row>
    <row r="37106" spans="43:43" x14ac:dyDescent="0.2">
      <c r="AQ37106" s="31"/>
    </row>
    <row r="37107" spans="43:43" x14ac:dyDescent="0.2">
      <c r="AQ37107" s="31"/>
    </row>
    <row r="37108" spans="43:43" x14ac:dyDescent="0.2">
      <c r="AQ37108" s="31"/>
    </row>
    <row r="37109" spans="43:43" x14ac:dyDescent="0.2">
      <c r="AQ37109" s="31"/>
    </row>
    <row r="37110" spans="43:43" x14ac:dyDescent="0.2">
      <c r="AQ37110" s="31"/>
    </row>
    <row r="37111" spans="43:43" x14ac:dyDescent="0.2">
      <c r="AQ37111" s="31"/>
    </row>
    <row r="37112" spans="43:43" x14ac:dyDescent="0.2">
      <c r="AQ37112" s="31"/>
    </row>
    <row r="37113" spans="43:43" x14ac:dyDescent="0.2">
      <c r="AQ37113" s="31"/>
    </row>
    <row r="37114" spans="43:43" x14ac:dyDescent="0.2">
      <c r="AQ37114" s="31"/>
    </row>
    <row r="37115" spans="43:43" x14ac:dyDescent="0.2">
      <c r="AQ37115" s="31"/>
    </row>
    <row r="37116" spans="43:43" x14ac:dyDescent="0.2">
      <c r="AQ37116" s="31"/>
    </row>
    <row r="37117" spans="43:43" x14ac:dyDescent="0.2">
      <c r="AQ37117" s="31"/>
    </row>
    <row r="37118" spans="43:43" x14ac:dyDescent="0.2">
      <c r="AQ37118" s="31"/>
    </row>
    <row r="37119" spans="43:43" x14ac:dyDescent="0.2">
      <c r="AQ37119" s="31"/>
    </row>
    <row r="37120" spans="43:43" x14ac:dyDescent="0.2">
      <c r="AQ37120" s="31"/>
    </row>
    <row r="37121" spans="43:43" x14ac:dyDescent="0.2">
      <c r="AQ37121" s="31"/>
    </row>
    <row r="37122" spans="43:43" x14ac:dyDescent="0.2">
      <c r="AQ37122" s="31"/>
    </row>
    <row r="37123" spans="43:43" x14ac:dyDescent="0.2">
      <c r="AQ37123" s="31"/>
    </row>
    <row r="37124" spans="43:43" x14ac:dyDescent="0.2">
      <c r="AQ37124" s="31"/>
    </row>
    <row r="37125" spans="43:43" x14ac:dyDescent="0.2">
      <c r="AQ37125" s="31"/>
    </row>
    <row r="37126" spans="43:43" x14ac:dyDescent="0.2">
      <c r="AQ37126" s="31"/>
    </row>
    <row r="37127" spans="43:43" x14ac:dyDescent="0.2">
      <c r="AQ37127" s="31"/>
    </row>
    <row r="37128" spans="43:43" x14ac:dyDescent="0.2">
      <c r="AQ37128" s="31"/>
    </row>
    <row r="37129" spans="43:43" x14ac:dyDescent="0.2">
      <c r="AQ37129" s="31"/>
    </row>
    <row r="37130" spans="43:43" x14ac:dyDescent="0.2">
      <c r="AQ37130" s="31"/>
    </row>
    <row r="37131" spans="43:43" x14ac:dyDescent="0.2">
      <c r="AQ37131" s="31"/>
    </row>
    <row r="37132" spans="43:43" x14ac:dyDescent="0.2">
      <c r="AQ37132" s="31"/>
    </row>
    <row r="37133" spans="43:43" x14ac:dyDescent="0.2">
      <c r="AQ37133" s="31"/>
    </row>
    <row r="37134" spans="43:43" x14ac:dyDescent="0.2">
      <c r="AQ37134" s="31"/>
    </row>
    <row r="37135" spans="43:43" x14ac:dyDescent="0.2">
      <c r="AQ37135" s="31"/>
    </row>
    <row r="37136" spans="43:43" x14ac:dyDescent="0.2">
      <c r="AQ37136" s="31"/>
    </row>
    <row r="37137" spans="43:43" x14ac:dyDescent="0.2">
      <c r="AQ37137" s="31"/>
    </row>
    <row r="37138" spans="43:43" x14ac:dyDescent="0.2">
      <c r="AQ37138" s="31"/>
    </row>
    <row r="37139" spans="43:43" x14ac:dyDescent="0.2">
      <c r="AQ37139" s="31"/>
    </row>
    <row r="37140" spans="43:43" x14ac:dyDescent="0.2">
      <c r="AQ37140" s="31"/>
    </row>
    <row r="37141" spans="43:43" x14ac:dyDescent="0.2">
      <c r="AQ37141" s="31"/>
    </row>
    <row r="37142" spans="43:43" x14ac:dyDescent="0.2">
      <c r="AQ37142" s="31"/>
    </row>
    <row r="37143" spans="43:43" x14ac:dyDescent="0.2">
      <c r="AQ37143" s="31"/>
    </row>
    <row r="37144" spans="43:43" x14ac:dyDescent="0.2">
      <c r="AQ37144" s="31"/>
    </row>
    <row r="37145" spans="43:43" x14ac:dyDescent="0.2">
      <c r="AQ37145" s="31"/>
    </row>
    <row r="37146" spans="43:43" x14ac:dyDescent="0.2">
      <c r="AQ37146" s="31"/>
    </row>
    <row r="37147" spans="43:43" x14ac:dyDescent="0.2">
      <c r="AQ37147" s="31"/>
    </row>
    <row r="37148" spans="43:43" x14ac:dyDescent="0.2">
      <c r="AQ37148" s="31"/>
    </row>
    <row r="37149" spans="43:43" x14ac:dyDescent="0.2">
      <c r="AQ37149" s="31"/>
    </row>
    <row r="37150" spans="43:43" x14ac:dyDescent="0.2">
      <c r="AQ37150" s="31"/>
    </row>
    <row r="37151" spans="43:43" x14ac:dyDescent="0.2">
      <c r="AQ37151" s="31"/>
    </row>
    <row r="37152" spans="43:43" x14ac:dyDescent="0.2">
      <c r="AQ37152" s="31"/>
    </row>
    <row r="37153" spans="43:43" x14ac:dyDescent="0.2">
      <c r="AQ37153" s="31"/>
    </row>
    <row r="37154" spans="43:43" x14ac:dyDescent="0.2">
      <c r="AQ37154" s="31"/>
    </row>
    <row r="37155" spans="43:43" x14ac:dyDescent="0.2">
      <c r="AQ37155" s="31"/>
    </row>
    <row r="37156" spans="43:43" x14ac:dyDescent="0.2">
      <c r="AQ37156" s="31"/>
    </row>
    <row r="37157" spans="43:43" x14ac:dyDescent="0.2">
      <c r="AQ37157" s="31"/>
    </row>
    <row r="37158" spans="43:43" x14ac:dyDescent="0.2">
      <c r="AQ37158" s="31"/>
    </row>
    <row r="37159" spans="43:43" x14ac:dyDescent="0.2">
      <c r="AQ37159" s="31"/>
    </row>
    <row r="37160" spans="43:43" x14ac:dyDescent="0.2">
      <c r="AQ37160" s="31"/>
    </row>
    <row r="37161" spans="43:43" x14ac:dyDescent="0.2">
      <c r="AQ37161" s="31"/>
    </row>
    <row r="37162" spans="43:43" x14ac:dyDescent="0.2">
      <c r="AQ37162" s="31"/>
    </row>
    <row r="37163" spans="43:43" x14ac:dyDescent="0.2">
      <c r="AQ37163" s="31"/>
    </row>
    <row r="37164" spans="43:43" x14ac:dyDescent="0.2">
      <c r="AQ37164" s="31"/>
    </row>
    <row r="37165" spans="43:43" x14ac:dyDescent="0.2">
      <c r="AQ37165" s="31"/>
    </row>
    <row r="37166" spans="43:43" x14ac:dyDescent="0.2">
      <c r="AQ37166" s="31"/>
    </row>
    <row r="37167" spans="43:43" x14ac:dyDescent="0.2">
      <c r="AQ37167" s="31"/>
    </row>
    <row r="37168" spans="43:43" x14ac:dyDescent="0.2">
      <c r="AQ37168" s="31"/>
    </row>
    <row r="37169" spans="43:43" x14ac:dyDescent="0.2">
      <c r="AQ37169" s="31"/>
    </row>
    <row r="37170" spans="43:43" x14ac:dyDescent="0.2">
      <c r="AQ37170" s="31"/>
    </row>
    <row r="37171" spans="43:43" x14ac:dyDescent="0.2">
      <c r="AQ37171" s="31"/>
    </row>
    <row r="37172" spans="43:43" x14ac:dyDescent="0.2">
      <c r="AQ37172" s="31"/>
    </row>
    <row r="37173" spans="43:43" x14ac:dyDescent="0.2">
      <c r="AQ37173" s="31"/>
    </row>
    <row r="37174" spans="43:43" x14ac:dyDescent="0.2">
      <c r="AQ37174" s="31"/>
    </row>
    <row r="37175" spans="43:43" x14ac:dyDescent="0.2">
      <c r="AQ37175" s="31"/>
    </row>
    <row r="37176" spans="43:43" x14ac:dyDescent="0.2">
      <c r="AQ37176" s="31"/>
    </row>
    <row r="37177" spans="43:43" x14ac:dyDescent="0.2">
      <c r="AQ37177" s="31"/>
    </row>
    <row r="37178" spans="43:43" x14ac:dyDescent="0.2">
      <c r="AQ37178" s="31"/>
    </row>
    <row r="37179" spans="43:43" x14ac:dyDescent="0.2">
      <c r="AQ37179" s="31"/>
    </row>
    <row r="37180" spans="43:43" x14ac:dyDescent="0.2">
      <c r="AQ37180" s="31"/>
    </row>
    <row r="37181" spans="43:43" x14ac:dyDescent="0.2">
      <c r="AQ37181" s="31"/>
    </row>
    <row r="37182" spans="43:43" x14ac:dyDescent="0.2">
      <c r="AQ37182" s="31"/>
    </row>
    <row r="37183" spans="43:43" x14ac:dyDescent="0.2">
      <c r="AQ37183" s="31"/>
    </row>
    <row r="37184" spans="43:43" x14ac:dyDescent="0.2">
      <c r="AQ37184" s="31"/>
    </row>
    <row r="37185" spans="43:43" x14ac:dyDescent="0.2">
      <c r="AQ37185" s="31"/>
    </row>
    <row r="37186" spans="43:43" x14ac:dyDescent="0.2">
      <c r="AQ37186" s="31"/>
    </row>
    <row r="37187" spans="43:43" x14ac:dyDescent="0.2">
      <c r="AQ37187" s="31"/>
    </row>
    <row r="37188" spans="43:43" x14ac:dyDescent="0.2">
      <c r="AQ37188" s="31"/>
    </row>
    <row r="37189" spans="43:43" x14ac:dyDescent="0.2">
      <c r="AQ37189" s="31"/>
    </row>
    <row r="37190" spans="43:43" x14ac:dyDescent="0.2">
      <c r="AQ37190" s="31"/>
    </row>
    <row r="37191" spans="43:43" x14ac:dyDescent="0.2">
      <c r="AQ37191" s="31"/>
    </row>
    <row r="37192" spans="43:43" x14ac:dyDescent="0.2">
      <c r="AQ37192" s="31"/>
    </row>
    <row r="37193" spans="43:43" x14ac:dyDescent="0.2">
      <c r="AQ37193" s="31"/>
    </row>
    <row r="37194" spans="43:43" x14ac:dyDescent="0.2">
      <c r="AQ37194" s="31"/>
    </row>
    <row r="37195" spans="43:43" x14ac:dyDescent="0.2">
      <c r="AQ37195" s="31"/>
    </row>
    <row r="37196" spans="43:43" x14ac:dyDescent="0.2">
      <c r="AQ37196" s="31"/>
    </row>
    <row r="37197" spans="43:43" x14ac:dyDescent="0.2">
      <c r="AQ37197" s="31"/>
    </row>
    <row r="37198" spans="43:43" x14ac:dyDescent="0.2">
      <c r="AQ37198" s="31"/>
    </row>
    <row r="37199" spans="43:43" x14ac:dyDescent="0.2">
      <c r="AQ37199" s="31"/>
    </row>
    <row r="37200" spans="43:43" x14ac:dyDescent="0.2">
      <c r="AQ37200" s="31"/>
    </row>
    <row r="37201" spans="43:43" x14ac:dyDescent="0.2">
      <c r="AQ37201" s="31"/>
    </row>
    <row r="37202" spans="43:43" x14ac:dyDescent="0.2">
      <c r="AQ37202" s="31"/>
    </row>
    <row r="37203" spans="43:43" x14ac:dyDescent="0.2">
      <c r="AQ37203" s="31"/>
    </row>
    <row r="37204" spans="43:43" x14ac:dyDescent="0.2">
      <c r="AQ37204" s="31"/>
    </row>
    <row r="37205" spans="43:43" x14ac:dyDescent="0.2">
      <c r="AQ37205" s="31"/>
    </row>
    <row r="37206" spans="43:43" x14ac:dyDescent="0.2">
      <c r="AQ37206" s="31"/>
    </row>
    <row r="37207" spans="43:43" x14ac:dyDescent="0.2">
      <c r="AQ37207" s="31"/>
    </row>
    <row r="37208" spans="43:43" x14ac:dyDescent="0.2">
      <c r="AQ37208" s="31"/>
    </row>
    <row r="37209" spans="43:43" x14ac:dyDescent="0.2">
      <c r="AQ37209" s="31"/>
    </row>
    <row r="37210" spans="43:43" x14ac:dyDescent="0.2">
      <c r="AQ37210" s="31"/>
    </row>
    <row r="37211" spans="43:43" x14ac:dyDescent="0.2">
      <c r="AQ37211" s="31"/>
    </row>
    <row r="37212" spans="43:43" x14ac:dyDescent="0.2">
      <c r="AQ37212" s="31"/>
    </row>
    <row r="37213" spans="43:43" x14ac:dyDescent="0.2">
      <c r="AQ37213" s="31"/>
    </row>
    <row r="37214" spans="43:43" x14ac:dyDescent="0.2">
      <c r="AQ37214" s="31"/>
    </row>
    <row r="37215" spans="43:43" x14ac:dyDescent="0.2">
      <c r="AQ37215" s="31"/>
    </row>
    <row r="37216" spans="43:43" x14ac:dyDescent="0.2">
      <c r="AQ37216" s="31"/>
    </row>
    <row r="37217" spans="43:43" x14ac:dyDescent="0.2">
      <c r="AQ37217" s="31"/>
    </row>
    <row r="37218" spans="43:43" x14ac:dyDescent="0.2">
      <c r="AQ37218" s="31"/>
    </row>
    <row r="37219" spans="43:43" x14ac:dyDescent="0.2">
      <c r="AQ37219" s="31"/>
    </row>
    <row r="37220" spans="43:43" x14ac:dyDescent="0.2">
      <c r="AQ37220" s="31"/>
    </row>
    <row r="37221" spans="43:43" x14ac:dyDescent="0.2">
      <c r="AQ37221" s="31"/>
    </row>
    <row r="37222" spans="43:43" x14ac:dyDescent="0.2">
      <c r="AQ37222" s="31"/>
    </row>
    <row r="37223" spans="43:43" x14ac:dyDescent="0.2">
      <c r="AQ37223" s="31"/>
    </row>
    <row r="37224" spans="43:43" x14ac:dyDescent="0.2">
      <c r="AQ37224" s="31"/>
    </row>
    <row r="37225" spans="43:43" x14ac:dyDescent="0.2">
      <c r="AQ37225" s="31"/>
    </row>
    <row r="37226" spans="43:43" x14ac:dyDescent="0.2">
      <c r="AQ37226" s="31"/>
    </row>
    <row r="37227" spans="43:43" x14ac:dyDescent="0.2">
      <c r="AQ37227" s="31"/>
    </row>
    <row r="37228" spans="43:43" x14ac:dyDescent="0.2">
      <c r="AQ37228" s="31"/>
    </row>
    <row r="37229" spans="43:43" x14ac:dyDescent="0.2">
      <c r="AQ37229" s="31"/>
    </row>
    <row r="37230" spans="43:43" x14ac:dyDescent="0.2">
      <c r="AQ37230" s="31"/>
    </row>
    <row r="37231" spans="43:43" x14ac:dyDescent="0.2">
      <c r="AQ37231" s="31"/>
    </row>
    <row r="37232" spans="43:43" x14ac:dyDescent="0.2">
      <c r="AQ37232" s="31"/>
    </row>
    <row r="37233" spans="43:43" x14ac:dyDescent="0.2">
      <c r="AQ37233" s="31"/>
    </row>
    <row r="37234" spans="43:43" x14ac:dyDescent="0.2">
      <c r="AQ37234" s="31"/>
    </row>
    <row r="37235" spans="43:43" x14ac:dyDescent="0.2">
      <c r="AQ37235" s="31"/>
    </row>
    <row r="37236" spans="43:43" x14ac:dyDescent="0.2">
      <c r="AQ37236" s="31"/>
    </row>
    <row r="37237" spans="43:43" x14ac:dyDescent="0.2">
      <c r="AQ37237" s="31"/>
    </row>
    <row r="37238" spans="43:43" x14ac:dyDescent="0.2">
      <c r="AQ37238" s="31"/>
    </row>
    <row r="37239" spans="43:43" x14ac:dyDescent="0.2">
      <c r="AQ37239" s="31"/>
    </row>
    <row r="37240" spans="43:43" x14ac:dyDescent="0.2">
      <c r="AQ37240" s="31"/>
    </row>
    <row r="37241" spans="43:43" x14ac:dyDescent="0.2">
      <c r="AQ37241" s="31"/>
    </row>
    <row r="37242" spans="43:43" x14ac:dyDescent="0.2">
      <c r="AQ37242" s="31"/>
    </row>
    <row r="37243" spans="43:43" x14ac:dyDescent="0.2">
      <c r="AQ37243" s="31"/>
    </row>
    <row r="37244" spans="43:43" x14ac:dyDescent="0.2">
      <c r="AQ37244" s="31"/>
    </row>
    <row r="37245" spans="43:43" x14ac:dyDescent="0.2">
      <c r="AQ37245" s="31"/>
    </row>
    <row r="37246" spans="43:43" x14ac:dyDescent="0.2">
      <c r="AQ37246" s="31"/>
    </row>
    <row r="37247" spans="43:43" x14ac:dyDescent="0.2">
      <c r="AQ37247" s="31"/>
    </row>
    <row r="37248" spans="43:43" x14ac:dyDescent="0.2">
      <c r="AQ37248" s="31"/>
    </row>
    <row r="37249" spans="43:43" x14ac:dyDescent="0.2">
      <c r="AQ37249" s="31"/>
    </row>
    <row r="37250" spans="43:43" x14ac:dyDescent="0.2">
      <c r="AQ37250" s="31"/>
    </row>
    <row r="37251" spans="43:43" x14ac:dyDescent="0.2">
      <c r="AQ37251" s="31"/>
    </row>
    <row r="37252" spans="43:43" x14ac:dyDescent="0.2">
      <c r="AQ37252" s="31"/>
    </row>
    <row r="37253" spans="43:43" x14ac:dyDescent="0.2">
      <c r="AQ37253" s="31"/>
    </row>
    <row r="37254" spans="43:43" x14ac:dyDescent="0.2">
      <c r="AQ37254" s="31"/>
    </row>
    <row r="37255" spans="43:43" x14ac:dyDescent="0.2">
      <c r="AQ37255" s="31"/>
    </row>
    <row r="37256" spans="43:43" x14ac:dyDescent="0.2">
      <c r="AQ37256" s="31"/>
    </row>
    <row r="37257" spans="43:43" x14ac:dyDescent="0.2">
      <c r="AQ37257" s="31"/>
    </row>
    <row r="37258" spans="43:43" x14ac:dyDescent="0.2">
      <c r="AQ37258" s="31"/>
    </row>
    <row r="37259" spans="43:43" x14ac:dyDescent="0.2">
      <c r="AQ37259" s="31"/>
    </row>
    <row r="37260" spans="43:43" x14ac:dyDescent="0.2">
      <c r="AQ37260" s="31"/>
    </row>
    <row r="37261" spans="43:43" x14ac:dyDescent="0.2">
      <c r="AQ37261" s="31"/>
    </row>
    <row r="37262" spans="43:43" x14ac:dyDescent="0.2">
      <c r="AQ37262" s="31"/>
    </row>
    <row r="37263" spans="43:43" x14ac:dyDescent="0.2">
      <c r="AQ37263" s="31"/>
    </row>
    <row r="37264" spans="43:43" x14ac:dyDescent="0.2">
      <c r="AQ37264" s="31"/>
    </row>
    <row r="37265" spans="43:43" x14ac:dyDescent="0.2">
      <c r="AQ37265" s="31"/>
    </row>
    <row r="37266" spans="43:43" x14ac:dyDescent="0.2">
      <c r="AQ37266" s="31"/>
    </row>
    <row r="37267" spans="43:43" x14ac:dyDescent="0.2">
      <c r="AQ37267" s="31"/>
    </row>
    <row r="37268" spans="43:43" x14ac:dyDescent="0.2">
      <c r="AQ37268" s="31"/>
    </row>
    <row r="37269" spans="43:43" x14ac:dyDescent="0.2">
      <c r="AQ37269" s="31"/>
    </row>
    <row r="37270" spans="43:43" x14ac:dyDescent="0.2">
      <c r="AQ37270" s="31"/>
    </row>
    <row r="37271" spans="43:43" x14ac:dyDescent="0.2">
      <c r="AQ37271" s="31"/>
    </row>
    <row r="37272" spans="43:43" x14ac:dyDescent="0.2">
      <c r="AQ37272" s="31"/>
    </row>
    <row r="37273" spans="43:43" x14ac:dyDescent="0.2">
      <c r="AQ37273" s="31"/>
    </row>
    <row r="37274" spans="43:43" x14ac:dyDescent="0.2">
      <c r="AQ37274" s="31"/>
    </row>
    <row r="37275" spans="43:43" x14ac:dyDescent="0.2">
      <c r="AQ37275" s="31"/>
    </row>
    <row r="37276" spans="43:43" x14ac:dyDescent="0.2">
      <c r="AQ37276" s="31"/>
    </row>
    <row r="37277" spans="43:43" x14ac:dyDescent="0.2">
      <c r="AQ37277" s="31"/>
    </row>
    <row r="37278" spans="43:43" x14ac:dyDescent="0.2">
      <c r="AQ37278" s="31"/>
    </row>
    <row r="37279" spans="43:43" x14ac:dyDescent="0.2">
      <c r="AQ37279" s="31"/>
    </row>
    <row r="37280" spans="43:43" x14ac:dyDescent="0.2">
      <c r="AQ37280" s="31"/>
    </row>
    <row r="37281" spans="43:43" x14ac:dyDescent="0.2">
      <c r="AQ37281" s="31"/>
    </row>
    <row r="37282" spans="43:43" x14ac:dyDescent="0.2">
      <c r="AQ37282" s="31"/>
    </row>
    <row r="37283" spans="43:43" x14ac:dyDescent="0.2">
      <c r="AQ37283" s="31"/>
    </row>
    <row r="37284" spans="43:43" x14ac:dyDescent="0.2">
      <c r="AQ37284" s="31"/>
    </row>
    <row r="37285" spans="43:43" x14ac:dyDescent="0.2">
      <c r="AQ37285" s="31"/>
    </row>
    <row r="37286" spans="43:43" x14ac:dyDescent="0.2">
      <c r="AQ37286" s="31"/>
    </row>
    <row r="37287" spans="43:43" x14ac:dyDescent="0.2">
      <c r="AQ37287" s="31"/>
    </row>
    <row r="37288" spans="43:43" x14ac:dyDescent="0.2">
      <c r="AQ37288" s="31"/>
    </row>
    <row r="37289" spans="43:43" x14ac:dyDescent="0.2">
      <c r="AQ37289" s="31"/>
    </row>
    <row r="37290" spans="43:43" x14ac:dyDescent="0.2">
      <c r="AQ37290" s="31"/>
    </row>
    <row r="37291" spans="43:43" x14ac:dyDescent="0.2">
      <c r="AQ37291" s="31"/>
    </row>
    <row r="37292" spans="43:43" x14ac:dyDescent="0.2">
      <c r="AQ37292" s="31"/>
    </row>
    <row r="37293" spans="43:43" x14ac:dyDescent="0.2">
      <c r="AQ37293" s="31"/>
    </row>
    <row r="37294" spans="43:43" x14ac:dyDescent="0.2">
      <c r="AQ37294" s="31"/>
    </row>
    <row r="37295" spans="43:43" x14ac:dyDescent="0.2">
      <c r="AQ37295" s="31"/>
    </row>
    <row r="37296" spans="43:43" x14ac:dyDescent="0.2">
      <c r="AQ37296" s="31"/>
    </row>
    <row r="37297" spans="43:43" x14ac:dyDescent="0.2">
      <c r="AQ37297" s="31"/>
    </row>
    <row r="37298" spans="43:43" x14ac:dyDescent="0.2">
      <c r="AQ37298" s="31"/>
    </row>
    <row r="37299" spans="43:43" x14ac:dyDescent="0.2">
      <c r="AQ37299" s="31"/>
    </row>
    <row r="37300" spans="43:43" x14ac:dyDescent="0.2">
      <c r="AQ37300" s="31"/>
    </row>
    <row r="37301" spans="43:43" x14ac:dyDescent="0.2">
      <c r="AQ37301" s="31"/>
    </row>
    <row r="37302" spans="43:43" x14ac:dyDescent="0.2">
      <c r="AQ37302" s="31"/>
    </row>
    <row r="37303" spans="43:43" x14ac:dyDescent="0.2">
      <c r="AQ37303" s="31"/>
    </row>
    <row r="37304" spans="43:43" x14ac:dyDescent="0.2">
      <c r="AQ37304" s="31"/>
    </row>
    <row r="37305" spans="43:43" x14ac:dyDescent="0.2">
      <c r="AQ37305" s="31"/>
    </row>
    <row r="37306" spans="43:43" x14ac:dyDescent="0.2">
      <c r="AQ37306" s="31"/>
    </row>
    <row r="37307" spans="43:43" x14ac:dyDescent="0.2">
      <c r="AQ37307" s="31"/>
    </row>
    <row r="37308" spans="43:43" x14ac:dyDescent="0.2">
      <c r="AQ37308" s="31"/>
    </row>
    <row r="37309" spans="43:43" x14ac:dyDescent="0.2">
      <c r="AQ37309" s="31"/>
    </row>
    <row r="37310" spans="43:43" x14ac:dyDescent="0.2">
      <c r="AQ37310" s="31"/>
    </row>
    <row r="37311" spans="43:43" x14ac:dyDescent="0.2">
      <c r="AQ37311" s="31"/>
    </row>
    <row r="37312" spans="43:43" x14ac:dyDescent="0.2">
      <c r="AQ37312" s="31"/>
    </row>
    <row r="37313" spans="43:43" x14ac:dyDescent="0.2">
      <c r="AQ37313" s="31"/>
    </row>
    <row r="37314" spans="43:43" x14ac:dyDescent="0.2">
      <c r="AQ37314" s="31"/>
    </row>
    <row r="37315" spans="43:43" x14ac:dyDescent="0.2">
      <c r="AQ37315" s="31"/>
    </row>
    <row r="37316" spans="43:43" x14ac:dyDescent="0.2">
      <c r="AQ37316" s="31"/>
    </row>
    <row r="37317" spans="43:43" x14ac:dyDescent="0.2">
      <c r="AQ37317" s="31"/>
    </row>
    <row r="37318" spans="43:43" x14ac:dyDescent="0.2">
      <c r="AQ37318" s="31"/>
    </row>
    <row r="37319" spans="43:43" x14ac:dyDescent="0.2">
      <c r="AQ37319" s="31"/>
    </row>
    <row r="37320" spans="43:43" x14ac:dyDescent="0.2">
      <c r="AQ37320" s="31"/>
    </row>
    <row r="37321" spans="43:43" x14ac:dyDescent="0.2">
      <c r="AQ37321" s="31"/>
    </row>
    <row r="37322" spans="43:43" x14ac:dyDescent="0.2">
      <c r="AQ37322" s="31"/>
    </row>
    <row r="37323" spans="43:43" x14ac:dyDescent="0.2">
      <c r="AQ37323" s="31"/>
    </row>
    <row r="37324" spans="43:43" x14ac:dyDescent="0.2">
      <c r="AQ37324" s="31"/>
    </row>
    <row r="37325" spans="43:43" x14ac:dyDescent="0.2">
      <c r="AQ37325" s="31"/>
    </row>
    <row r="37326" spans="43:43" x14ac:dyDescent="0.2">
      <c r="AQ37326" s="31"/>
    </row>
    <row r="37327" spans="43:43" x14ac:dyDescent="0.2">
      <c r="AQ37327" s="31"/>
    </row>
    <row r="37328" spans="43:43" x14ac:dyDescent="0.2">
      <c r="AQ37328" s="31"/>
    </row>
    <row r="37329" spans="43:43" x14ac:dyDescent="0.2">
      <c r="AQ37329" s="31"/>
    </row>
    <row r="37330" spans="43:43" x14ac:dyDescent="0.2">
      <c r="AQ37330" s="31"/>
    </row>
    <row r="37331" spans="43:43" x14ac:dyDescent="0.2">
      <c r="AQ37331" s="31"/>
    </row>
    <row r="37332" spans="43:43" x14ac:dyDescent="0.2">
      <c r="AQ37332" s="31"/>
    </row>
    <row r="37333" spans="43:43" x14ac:dyDescent="0.2">
      <c r="AQ37333" s="31"/>
    </row>
    <row r="37334" spans="43:43" x14ac:dyDescent="0.2">
      <c r="AQ37334" s="31"/>
    </row>
    <row r="37335" spans="43:43" x14ac:dyDescent="0.2">
      <c r="AQ37335" s="31"/>
    </row>
    <row r="37336" spans="43:43" x14ac:dyDescent="0.2">
      <c r="AQ37336" s="31"/>
    </row>
    <row r="37337" spans="43:43" x14ac:dyDescent="0.2">
      <c r="AQ37337" s="31"/>
    </row>
    <row r="37338" spans="43:43" x14ac:dyDescent="0.2">
      <c r="AQ37338" s="31"/>
    </row>
    <row r="37339" spans="43:43" x14ac:dyDescent="0.2">
      <c r="AQ37339" s="31"/>
    </row>
    <row r="37340" spans="43:43" x14ac:dyDescent="0.2">
      <c r="AQ37340" s="31"/>
    </row>
    <row r="37341" spans="43:43" x14ac:dyDescent="0.2">
      <c r="AQ37341" s="31"/>
    </row>
    <row r="37342" spans="43:43" x14ac:dyDescent="0.2">
      <c r="AQ37342" s="31"/>
    </row>
    <row r="37343" spans="43:43" x14ac:dyDescent="0.2">
      <c r="AQ37343" s="31"/>
    </row>
    <row r="37344" spans="43:43" x14ac:dyDescent="0.2">
      <c r="AQ37344" s="31"/>
    </row>
    <row r="37345" spans="43:43" x14ac:dyDescent="0.2">
      <c r="AQ37345" s="31"/>
    </row>
    <row r="37346" spans="43:43" x14ac:dyDescent="0.2">
      <c r="AQ37346" s="31"/>
    </row>
    <row r="37347" spans="43:43" x14ac:dyDescent="0.2">
      <c r="AQ37347" s="31"/>
    </row>
    <row r="37348" spans="43:43" x14ac:dyDescent="0.2">
      <c r="AQ37348" s="31"/>
    </row>
    <row r="37349" spans="43:43" x14ac:dyDescent="0.2">
      <c r="AQ37349" s="31"/>
    </row>
    <row r="37350" spans="43:43" x14ac:dyDescent="0.2">
      <c r="AQ37350" s="31"/>
    </row>
    <row r="37351" spans="43:43" x14ac:dyDescent="0.2">
      <c r="AQ37351" s="31"/>
    </row>
    <row r="37352" spans="43:43" x14ac:dyDescent="0.2">
      <c r="AQ37352" s="31"/>
    </row>
    <row r="37353" spans="43:43" x14ac:dyDescent="0.2">
      <c r="AQ37353" s="31"/>
    </row>
    <row r="37354" spans="43:43" x14ac:dyDescent="0.2">
      <c r="AQ37354" s="31"/>
    </row>
    <row r="37355" spans="43:43" x14ac:dyDescent="0.2">
      <c r="AQ37355" s="31"/>
    </row>
    <row r="37356" spans="43:43" x14ac:dyDescent="0.2">
      <c r="AQ37356" s="31"/>
    </row>
    <row r="37357" spans="43:43" x14ac:dyDescent="0.2">
      <c r="AQ37357" s="31"/>
    </row>
    <row r="37358" spans="43:43" x14ac:dyDescent="0.2">
      <c r="AQ37358" s="31"/>
    </row>
    <row r="37359" spans="43:43" x14ac:dyDescent="0.2">
      <c r="AQ37359" s="31"/>
    </row>
    <row r="37360" spans="43:43" x14ac:dyDescent="0.2">
      <c r="AQ37360" s="31"/>
    </row>
    <row r="37361" spans="43:43" x14ac:dyDescent="0.2">
      <c r="AQ37361" s="31"/>
    </row>
    <row r="37362" spans="43:43" x14ac:dyDescent="0.2">
      <c r="AQ37362" s="31"/>
    </row>
    <row r="37363" spans="43:43" x14ac:dyDescent="0.2">
      <c r="AQ37363" s="31"/>
    </row>
    <row r="37364" spans="43:43" x14ac:dyDescent="0.2">
      <c r="AQ37364" s="31"/>
    </row>
    <row r="37365" spans="43:43" x14ac:dyDescent="0.2">
      <c r="AQ37365" s="31"/>
    </row>
    <row r="37366" spans="43:43" x14ac:dyDescent="0.2">
      <c r="AQ37366" s="31"/>
    </row>
    <row r="37367" spans="43:43" x14ac:dyDescent="0.2">
      <c r="AQ37367" s="31"/>
    </row>
    <row r="37368" spans="43:43" x14ac:dyDescent="0.2">
      <c r="AQ37368" s="31"/>
    </row>
    <row r="37369" spans="43:43" x14ac:dyDescent="0.2">
      <c r="AQ37369" s="31"/>
    </row>
    <row r="37370" spans="43:43" x14ac:dyDescent="0.2">
      <c r="AQ37370" s="31"/>
    </row>
    <row r="37371" spans="43:43" x14ac:dyDescent="0.2">
      <c r="AQ37371" s="31"/>
    </row>
    <row r="37372" spans="43:43" x14ac:dyDescent="0.2">
      <c r="AQ37372" s="31"/>
    </row>
    <row r="37373" spans="43:43" x14ac:dyDescent="0.2">
      <c r="AQ37373" s="31"/>
    </row>
    <row r="37374" spans="43:43" x14ac:dyDescent="0.2">
      <c r="AQ37374" s="31"/>
    </row>
    <row r="37375" spans="43:43" x14ac:dyDescent="0.2">
      <c r="AQ37375" s="31"/>
    </row>
    <row r="37376" spans="43:43" x14ac:dyDescent="0.2">
      <c r="AQ37376" s="31"/>
    </row>
    <row r="37377" spans="43:43" x14ac:dyDescent="0.2">
      <c r="AQ37377" s="31"/>
    </row>
    <row r="37378" spans="43:43" x14ac:dyDescent="0.2">
      <c r="AQ37378" s="31"/>
    </row>
    <row r="37379" spans="43:43" x14ac:dyDescent="0.2">
      <c r="AQ37379" s="31"/>
    </row>
    <row r="37380" spans="43:43" x14ac:dyDescent="0.2">
      <c r="AQ37380" s="31"/>
    </row>
    <row r="37381" spans="43:43" x14ac:dyDescent="0.2">
      <c r="AQ37381" s="31"/>
    </row>
    <row r="37382" spans="43:43" x14ac:dyDescent="0.2">
      <c r="AQ37382" s="31"/>
    </row>
    <row r="37383" spans="43:43" x14ac:dyDescent="0.2">
      <c r="AQ37383" s="31"/>
    </row>
    <row r="37384" spans="43:43" x14ac:dyDescent="0.2">
      <c r="AQ37384" s="31"/>
    </row>
    <row r="37385" spans="43:43" x14ac:dyDescent="0.2">
      <c r="AQ37385" s="31"/>
    </row>
    <row r="37386" spans="43:43" x14ac:dyDescent="0.2">
      <c r="AQ37386" s="31"/>
    </row>
    <row r="37387" spans="43:43" x14ac:dyDescent="0.2">
      <c r="AQ37387" s="31"/>
    </row>
    <row r="37388" spans="43:43" x14ac:dyDescent="0.2">
      <c r="AQ37388" s="31"/>
    </row>
    <row r="37389" spans="43:43" x14ac:dyDescent="0.2">
      <c r="AQ37389" s="31"/>
    </row>
    <row r="37390" spans="43:43" x14ac:dyDescent="0.2">
      <c r="AQ37390" s="31"/>
    </row>
    <row r="37391" spans="43:43" x14ac:dyDescent="0.2">
      <c r="AQ37391" s="31"/>
    </row>
    <row r="37392" spans="43:43" x14ac:dyDescent="0.2">
      <c r="AQ37392" s="31"/>
    </row>
    <row r="37393" spans="43:43" x14ac:dyDescent="0.2">
      <c r="AQ37393" s="31"/>
    </row>
    <row r="37394" spans="43:43" x14ac:dyDescent="0.2">
      <c r="AQ37394" s="31"/>
    </row>
    <row r="37395" spans="43:43" x14ac:dyDescent="0.2">
      <c r="AQ37395" s="31"/>
    </row>
    <row r="37396" spans="43:43" x14ac:dyDescent="0.2">
      <c r="AQ37396" s="31"/>
    </row>
    <row r="37397" spans="43:43" x14ac:dyDescent="0.2">
      <c r="AQ37397" s="31"/>
    </row>
    <row r="37398" spans="43:43" x14ac:dyDescent="0.2">
      <c r="AQ37398" s="31"/>
    </row>
    <row r="37399" spans="43:43" x14ac:dyDescent="0.2">
      <c r="AQ37399" s="31"/>
    </row>
    <row r="37400" spans="43:43" x14ac:dyDescent="0.2">
      <c r="AQ37400" s="31"/>
    </row>
    <row r="37401" spans="43:43" x14ac:dyDescent="0.2">
      <c r="AQ37401" s="31"/>
    </row>
    <row r="37402" spans="43:43" x14ac:dyDescent="0.2">
      <c r="AQ37402" s="31"/>
    </row>
    <row r="37403" spans="43:43" x14ac:dyDescent="0.2">
      <c r="AQ37403" s="31"/>
    </row>
    <row r="37404" spans="43:43" x14ac:dyDescent="0.2">
      <c r="AQ37404" s="31"/>
    </row>
    <row r="37405" spans="43:43" x14ac:dyDescent="0.2">
      <c r="AQ37405" s="31"/>
    </row>
    <row r="37406" spans="43:43" x14ac:dyDescent="0.2">
      <c r="AQ37406" s="31"/>
    </row>
    <row r="37407" spans="43:43" x14ac:dyDescent="0.2">
      <c r="AQ37407" s="31"/>
    </row>
    <row r="37408" spans="43:43" x14ac:dyDescent="0.2">
      <c r="AQ37408" s="31"/>
    </row>
    <row r="37409" spans="43:43" x14ac:dyDescent="0.2">
      <c r="AQ37409" s="31"/>
    </row>
    <row r="37410" spans="43:43" x14ac:dyDescent="0.2">
      <c r="AQ37410" s="31"/>
    </row>
    <row r="37411" spans="43:43" x14ac:dyDescent="0.2">
      <c r="AQ37411" s="31"/>
    </row>
    <row r="37412" spans="43:43" x14ac:dyDescent="0.2">
      <c r="AQ37412" s="31"/>
    </row>
    <row r="37413" spans="43:43" x14ac:dyDescent="0.2">
      <c r="AQ37413" s="31"/>
    </row>
    <row r="37414" spans="43:43" x14ac:dyDescent="0.2">
      <c r="AQ37414" s="31"/>
    </row>
    <row r="37415" spans="43:43" x14ac:dyDescent="0.2">
      <c r="AQ37415" s="31"/>
    </row>
    <row r="37416" spans="43:43" x14ac:dyDescent="0.2">
      <c r="AQ37416" s="31"/>
    </row>
    <row r="37417" spans="43:43" x14ac:dyDescent="0.2">
      <c r="AQ37417" s="31"/>
    </row>
    <row r="37418" spans="43:43" x14ac:dyDescent="0.2">
      <c r="AQ37418" s="31"/>
    </row>
    <row r="37419" spans="43:43" x14ac:dyDescent="0.2">
      <c r="AQ37419" s="31"/>
    </row>
    <row r="37420" spans="43:43" x14ac:dyDescent="0.2">
      <c r="AQ37420" s="31"/>
    </row>
    <row r="37421" spans="43:43" x14ac:dyDescent="0.2">
      <c r="AQ37421" s="31"/>
    </row>
    <row r="37422" spans="43:43" x14ac:dyDescent="0.2">
      <c r="AQ37422" s="31"/>
    </row>
    <row r="37423" spans="43:43" x14ac:dyDescent="0.2">
      <c r="AQ37423" s="31"/>
    </row>
    <row r="37424" spans="43:43" x14ac:dyDescent="0.2">
      <c r="AQ37424" s="31"/>
    </row>
    <row r="37425" spans="43:43" x14ac:dyDescent="0.2">
      <c r="AQ37425" s="31"/>
    </row>
    <row r="37426" spans="43:43" x14ac:dyDescent="0.2">
      <c r="AQ37426" s="31"/>
    </row>
    <row r="37427" spans="43:43" x14ac:dyDescent="0.2">
      <c r="AQ37427" s="31"/>
    </row>
    <row r="37428" spans="43:43" x14ac:dyDescent="0.2">
      <c r="AQ37428" s="31"/>
    </row>
    <row r="37429" spans="43:43" x14ac:dyDescent="0.2">
      <c r="AQ37429" s="31"/>
    </row>
    <row r="37430" spans="43:43" x14ac:dyDescent="0.2">
      <c r="AQ37430" s="31"/>
    </row>
    <row r="37431" spans="43:43" x14ac:dyDescent="0.2">
      <c r="AQ37431" s="31"/>
    </row>
    <row r="37432" spans="43:43" x14ac:dyDescent="0.2">
      <c r="AQ37432" s="31"/>
    </row>
    <row r="37433" spans="43:43" x14ac:dyDescent="0.2">
      <c r="AQ37433" s="31"/>
    </row>
    <row r="37434" spans="43:43" x14ac:dyDescent="0.2">
      <c r="AQ37434" s="31"/>
    </row>
    <row r="37435" spans="43:43" x14ac:dyDescent="0.2">
      <c r="AQ37435" s="31"/>
    </row>
    <row r="37436" spans="43:43" x14ac:dyDescent="0.2">
      <c r="AQ37436" s="31"/>
    </row>
    <row r="37437" spans="43:43" x14ac:dyDescent="0.2">
      <c r="AQ37437" s="31"/>
    </row>
    <row r="37438" spans="43:43" x14ac:dyDescent="0.2">
      <c r="AQ37438" s="31"/>
    </row>
    <row r="37439" spans="43:43" x14ac:dyDescent="0.2">
      <c r="AQ37439" s="31"/>
    </row>
    <row r="37440" spans="43:43" x14ac:dyDescent="0.2">
      <c r="AQ37440" s="31"/>
    </row>
    <row r="37441" spans="43:43" x14ac:dyDescent="0.2">
      <c r="AQ37441" s="31"/>
    </row>
    <row r="37442" spans="43:43" x14ac:dyDescent="0.2">
      <c r="AQ37442" s="31"/>
    </row>
    <row r="37443" spans="43:43" x14ac:dyDescent="0.2">
      <c r="AQ37443" s="31"/>
    </row>
    <row r="37444" spans="43:43" x14ac:dyDescent="0.2">
      <c r="AQ37444" s="31"/>
    </row>
    <row r="37445" spans="43:43" x14ac:dyDescent="0.2">
      <c r="AQ37445" s="31"/>
    </row>
    <row r="37446" spans="43:43" x14ac:dyDescent="0.2">
      <c r="AQ37446" s="31"/>
    </row>
    <row r="37447" spans="43:43" x14ac:dyDescent="0.2">
      <c r="AQ37447" s="31"/>
    </row>
    <row r="37448" spans="43:43" x14ac:dyDescent="0.2">
      <c r="AQ37448" s="31"/>
    </row>
    <row r="37449" spans="43:43" x14ac:dyDescent="0.2">
      <c r="AQ37449" s="31"/>
    </row>
    <row r="37450" spans="43:43" x14ac:dyDescent="0.2">
      <c r="AQ37450" s="31"/>
    </row>
    <row r="37451" spans="43:43" x14ac:dyDescent="0.2">
      <c r="AQ37451" s="31"/>
    </row>
    <row r="37452" spans="43:43" x14ac:dyDescent="0.2">
      <c r="AQ37452" s="31"/>
    </row>
    <row r="37453" spans="43:43" x14ac:dyDescent="0.2">
      <c r="AQ37453" s="31"/>
    </row>
    <row r="37454" spans="43:43" x14ac:dyDescent="0.2">
      <c r="AQ37454" s="31"/>
    </row>
    <row r="37455" spans="43:43" x14ac:dyDescent="0.2">
      <c r="AQ37455" s="31"/>
    </row>
    <row r="37456" spans="43:43" x14ac:dyDescent="0.2">
      <c r="AQ37456" s="31"/>
    </row>
    <row r="37457" spans="43:43" x14ac:dyDescent="0.2">
      <c r="AQ37457" s="31"/>
    </row>
    <row r="37458" spans="43:43" x14ac:dyDescent="0.2">
      <c r="AQ37458" s="31"/>
    </row>
    <row r="37459" spans="43:43" x14ac:dyDescent="0.2">
      <c r="AQ37459" s="31"/>
    </row>
    <row r="37460" spans="43:43" x14ac:dyDescent="0.2">
      <c r="AQ37460" s="31"/>
    </row>
    <row r="37461" spans="43:43" x14ac:dyDescent="0.2">
      <c r="AQ37461" s="31"/>
    </row>
    <row r="37462" spans="43:43" x14ac:dyDescent="0.2">
      <c r="AQ37462" s="31"/>
    </row>
    <row r="37463" spans="43:43" x14ac:dyDescent="0.2">
      <c r="AQ37463" s="31"/>
    </row>
    <row r="37464" spans="43:43" x14ac:dyDescent="0.2">
      <c r="AQ37464" s="31"/>
    </row>
    <row r="37465" spans="43:43" x14ac:dyDescent="0.2">
      <c r="AQ37465" s="31"/>
    </row>
    <row r="37466" spans="43:43" x14ac:dyDescent="0.2">
      <c r="AQ37466" s="31"/>
    </row>
    <row r="37467" spans="43:43" x14ac:dyDescent="0.2">
      <c r="AQ37467" s="31"/>
    </row>
    <row r="37468" spans="43:43" x14ac:dyDescent="0.2">
      <c r="AQ37468" s="31"/>
    </row>
    <row r="37469" spans="43:43" x14ac:dyDescent="0.2">
      <c r="AQ37469" s="31"/>
    </row>
    <row r="37470" spans="43:43" x14ac:dyDescent="0.2">
      <c r="AQ37470" s="31"/>
    </row>
    <row r="37471" spans="43:43" x14ac:dyDescent="0.2">
      <c r="AQ37471" s="31"/>
    </row>
    <row r="37472" spans="43:43" x14ac:dyDescent="0.2">
      <c r="AQ37472" s="31"/>
    </row>
    <row r="37473" spans="43:43" x14ac:dyDescent="0.2">
      <c r="AQ37473" s="31"/>
    </row>
    <row r="37474" spans="43:43" x14ac:dyDescent="0.2">
      <c r="AQ37474" s="31"/>
    </row>
    <row r="37475" spans="43:43" x14ac:dyDescent="0.2">
      <c r="AQ37475" s="31"/>
    </row>
    <row r="37476" spans="43:43" x14ac:dyDescent="0.2">
      <c r="AQ37476" s="31"/>
    </row>
    <row r="37477" spans="43:43" x14ac:dyDescent="0.2">
      <c r="AQ37477" s="31"/>
    </row>
    <row r="37478" spans="43:43" x14ac:dyDescent="0.2">
      <c r="AQ37478" s="31"/>
    </row>
    <row r="37479" spans="43:43" x14ac:dyDescent="0.2">
      <c r="AQ37479" s="31"/>
    </row>
    <row r="37480" spans="43:43" x14ac:dyDescent="0.2">
      <c r="AQ37480" s="31"/>
    </row>
    <row r="37481" spans="43:43" x14ac:dyDescent="0.2">
      <c r="AQ37481" s="31"/>
    </row>
    <row r="37482" spans="43:43" x14ac:dyDescent="0.2">
      <c r="AQ37482" s="31"/>
    </row>
    <row r="37483" spans="43:43" x14ac:dyDescent="0.2">
      <c r="AQ37483" s="31"/>
    </row>
    <row r="37484" spans="43:43" x14ac:dyDescent="0.2">
      <c r="AQ37484" s="31"/>
    </row>
    <row r="37485" spans="43:43" x14ac:dyDescent="0.2">
      <c r="AQ37485" s="31"/>
    </row>
    <row r="37486" spans="43:43" x14ac:dyDescent="0.2">
      <c r="AQ37486" s="31"/>
    </row>
    <row r="37487" spans="43:43" x14ac:dyDescent="0.2">
      <c r="AQ37487" s="31"/>
    </row>
    <row r="37488" spans="43:43" x14ac:dyDescent="0.2">
      <c r="AQ37488" s="31"/>
    </row>
    <row r="37489" spans="43:43" x14ac:dyDescent="0.2">
      <c r="AQ37489" s="31"/>
    </row>
    <row r="37490" spans="43:43" x14ac:dyDescent="0.2">
      <c r="AQ37490" s="31"/>
    </row>
    <row r="37491" spans="43:43" x14ac:dyDescent="0.2">
      <c r="AQ37491" s="31"/>
    </row>
    <row r="37492" spans="43:43" x14ac:dyDescent="0.2">
      <c r="AQ37492" s="31"/>
    </row>
    <row r="37493" spans="43:43" x14ac:dyDescent="0.2">
      <c r="AQ37493" s="31"/>
    </row>
    <row r="37494" spans="43:43" x14ac:dyDescent="0.2">
      <c r="AQ37494" s="31"/>
    </row>
    <row r="37495" spans="43:43" x14ac:dyDescent="0.2">
      <c r="AQ37495" s="31"/>
    </row>
    <row r="37496" spans="43:43" x14ac:dyDescent="0.2">
      <c r="AQ37496" s="31"/>
    </row>
    <row r="37497" spans="43:43" x14ac:dyDescent="0.2">
      <c r="AQ37497" s="31"/>
    </row>
    <row r="37498" spans="43:43" x14ac:dyDescent="0.2">
      <c r="AQ37498" s="31"/>
    </row>
    <row r="37499" spans="43:43" x14ac:dyDescent="0.2">
      <c r="AQ37499" s="31"/>
    </row>
    <row r="37500" spans="43:43" x14ac:dyDescent="0.2">
      <c r="AQ37500" s="31"/>
    </row>
    <row r="37501" spans="43:43" x14ac:dyDescent="0.2">
      <c r="AQ37501" s="31"/>
    </row>
    <row r="37502" spans="43:43" x14ac:dyDescent="0.2">
      <c r="AQ37502" s="31"/>
    </row>
    <row r="37503" spans="43:43" x14ac:dyDescent="0.2">
      <c r="AQ37503" s="31"/>
    </row>
    <row r="37504" spans="43:43" x14ac:dyDescent="0.2">
      <c r="AQ37504" s="31"/>
    </row>
    <row r="37505" spans="43:43" x14ac:dyDescent="0.2">
      <c r="AQ37505" s="31"/>
    </row>
    <row r="37506" spans="43:43" x14ac:dyDescent="0.2">
      <c r="AQ37506" s="31"/>
    </row>
    <row r="37507" spans="43:43" x14ac:dyDescent="0.2">
      <c r="AQ37507" s="31"/>
    </row>
    <row r="37508" spans="43:43" x14ac:dyDescent="0.2">
      <c r="AQ37508" s="31"/>
    </row>
    <row r="37509" spans="43:43" x14ac:dyDescent="0.2">
      <c r="AQ37509" s="31"/>
    </row>
    <row r="37510" spans="43:43" x14ac:dyDescent="0.2">
      <c r="AQ37510" s="31"/>
    </row>
    <row r="37511" spans="43:43" x14ac:dyDescent="0.2">
      <c r="AQ37511" s="31"/>
    </row>
    <row r="37512" spans="43:43" x14ac:dyDescent="0.2">
      <c r="AQ37512" s="31"/>
    </row>
    <row r="37513" spans="43:43" x14ac:dyDescent="0.2">
      <c r="AQ37513" s="31"/>
    </row>
    <row r="37514" spans="43:43" x14ac:dyDescent="0.2">
      <c r="AQ37514" s="31"/>
    </row>
    <row r="37515" spans="43:43" x14ac:dyDescent="0.2">
      <c r="AQ37515" s="31"/>
    </row>
    <row r="37516" spans="43:43" x14ac:dyDescent="0.2">
      <c r="AQ37516" s="31"/>
    </row>
    <row r="37517" spans="43:43" x14ac:dyDescent="0.2">
      <c r="AQ37517" s="31"/>
    </row>
    <row r="37518" spans="43:43" x14ac:dyDescent="0.2">
      <c r="AQ37518" s="31"/>
    </row>
    <row r="37519" spans="43:43" x14ac:dyDescent="0.2">
      <c r="AQ37519" s="31"/>
    </row>
    <row r="37520" spans="43:43" x14ac:dyDescent="0.2">
      <c r="AQ37520" s="31"/>
    </row>
    <row r="37521" spans="43:43" x14ac:dyDescent="0.2">
      <c r="AQ37521" s="31"/>
    </row>
    <row r="37522" spans="43:43" x14ac:dyDescent="0.2">
      <c r="AQ37522" s="31"/>
    </row>
    <row r="37523" spans="43:43" x14ac:dyDescent="0.2">
      <c r="AQ37523" s="31"/>
    </row>
    <row r="37524" spans="43:43" x14ac:dyDescent="0.2">
      <c r="AQ37524" s="31"/>
    </row>
    <row r="37525" spans="43:43" x14ac:dyDescent="0.2">
      <c r="AQ37525" s="31"/>
    </row>
    <row r="37526" spans="43:43" x14ac:dyDescent="0.2">
      <c r="AQ37526" s="31"/>
    </row>
    <row r="37527" spans="43:43" x14ac:dyDescent="0.2">
      <c r="AQ37527" s="31"/>
    </row>
    <row r="37528" spans="43:43" x14ac:dyDescent="0.2">
      <c r="AQ37528" s="31"/>
    </row>
    <row r="37529" spans="43:43" x14ac:dyDescent="0.2">
      <c r="AQ37529" s="31"/>
    </row>
    <row r="37530" spans="43:43" x14ac:dyDescent="0.2">
      <c r="AQ37530" s="31"/>
    </row>
    <row r="37531" spans="43:43" x14ac:dyDescent="0.2">
      <c r="AQ37531" s="31"/>
    </row>
    <row r="37532" spans="43:43" x14ac:dyDescent="0.2">
      <c r="AQ37532" s="31"/>
    </row>
    <row r="37533" spans="43:43" x14ac:dyDescent="0.2">
      <c r="AQ37533" s="31"/>
    </row>
    <row r="37534" spans="43:43" x14ac:dyDescent="0.2">
      <c r="AQ37534" s="31"/>
    </row>
    <row r="37535" spans="43:43" x14ac:dyDescent="0.2">
      <c r="AQ37535" s="31"/>
    </row>
    <row r="37536" spans="43:43" x14ac:dyDescent="0.2">
      <c r="AQ37536" s="31"/>
    </row>
    <row r="37537" spans="43:43" x14ac:dyDescent="0.2">
      <c r="AQ37537" s="31"/>
    </row>
    <row r="37538" spans="43:43" x14ac:dyDescent="0.2">
      <c r="AQ37538" s="31"/>
    </row>
    <row r="37539" spans="43:43" x14ac:dyDescent="0.2">
      <c r="AQ37539" s="31"/>
    </row>
    <row r="37540" spans="43:43" x14ac:dyDescent="0.2">
      <c r="AQ37540" s="31"/>
    </row>
    <row r="37541" spans="43:43" x14ac:dyDescent="0.2">
      <c r="AQ37541" s="31"/>
    </row>
    <row r="37542" spans="43:43" x14ac:dyDescent="0.2">
      <c r="AQ37542" s="31"/>
    </row>
    <row r="37543" spans="43:43" x14ac:dyDescent="0.2">
      <c r="AQ37543" s="31"/>
    </row>
    <row r="37544" spans="43:43" x14ac:dyDescent="0.2">
      <c r="AQ37544" s="31"/>
    </row>
    <row r="37545" spans="43:43" x14ac:dyDescent="0.2">
      <c r="AQ37545" s="31"/>
    </row>
    <row r="37546" spans="43:43" x14ac:dyDescent="0.2">
      <c r="AQ37546" s="31"/>
    </row>
    <row r="37547" spans="43:43" x14ac:dyDescent="0.2">
      <c r="AQ37547" s="31"/>
    </row>
    <row r="37548" spans="43:43" x14ac:dyDescent="0.2">
      <c r="AQ37548" s="31"/>
    </row>
    <row r="37549" spans="43:43" x14ac:dyDescent="0.2">
      <c r="AQ37549" s="31"/>
    </row>
    <row r="37550" spans="43:43" x14ac:dyDescent="0.2">
      <c r="AQ37550" s="31"/>
    </row>
    <row r="37551" spans="43:43" x14ac:dyDescent="0.2">
      <c r="AQ37551" s="31"/>
    </row>
    <row r="37552" spans="43:43" x14ac:dyDescent="0.2">
      <c r="AQ37552" s="31"/>
    </row>
    <row r="37553" spans="43:43" x14ac:dyDescent="0.2">
      <c r="AQ37553" s="31"/>
    </row>
    <row r="37554" spans="43:43" x14ac:dyDescent="0.2">
      <c r="AQ37554" s="31"/>
    </row>
    <row r="37555" spans="43:43" x14ac:dyDescent="0.2">
      <c r="AQ37555" s="31"/>
    </row>
    <row r="37556" spans="43:43" x14ac:dyDescent="0.2">
      <c r="AQ37556" s="31"/>
    </row>
    <row r="37557" spans="43:43" x14ac:dyDescent="0.2">
      <c r="AQ37557" s="31"/>
    </row>
    <row r="37558" spans="43:43" x14ac:dyDescent="0.2">
      <c r="AQ37558" s="31"/>
    </row>
    <row r="37559" spans="43:43" x14ac:dyDescent="0.2">
      <c r="AQ37559" s="31"/>
    </row>
    <row r="37560" spans="43:43" x14ac:dyDescent="0.2">
      <c r="AQ37560" s="31"/>
    </row>
    <row r="37561" spans="43:43" x14ac:dyDescent="0.2">
      <c r="AQ37561" s="31"/>
    </row>
    <row r="37562" spans="43:43" x14ac:dyDescent="0.2">
      <c r="AQ37562" s="31"/>
    </row>
    <row r="37563" spans="43:43" x14ac:dyDescent="0.2">
      <c r="AQ37563" s="31"/>
    </row>
    <row r="37564" spans="43:43" x14ac:dyDescent="0.2">
      <c r="AQ37564" s="31"/>
    </row>
    <row r="37565" spans="43:43" x14ac:dyDescent="0.2">
      <c r="AQ37565" s="31"/>
    </row>
    <row r="37566" spans="43:43" x14ac:dyDescent="0.2">
      <c r="AQ37566" s="31"/>
    </row>
    <row r="37567" spans="43:43" x14ac:dyDescent="0.2">
      <c r="AQ37567" s="31"/>
    </row>
    <row r="37568" spans="43:43" x14ac:dyDescent="0.2">
      <c r="AQ37568" s="31"/>
    </row>
    <row r="37569" spans="43:43" x14ac:dyDescent="0.2">
      <c r="AQ37569" s="31"/>
    </row>
    <row r="37570" spans="43:43" x14ac:dyDescent="0.2">
      <c r="AQ37570" s="31"/>
    </row>
    <row r="37571" spans="43:43" x14ac:dyDescent="0.2">
      <c r="AQ37571" s="31"/>
    </row>
    <row r="37572" spans="43:43" x14ac:dyDescent="0.2">
      <c r="AQ37572" s="31"/>
    </row>
    <row r="37573" spans="43:43" x14ac:dyDescent="0.2">
      <c r="AQ37573" s="31"/>
    </row>
    <row r="37574" spans="43:43" x14ac:dyDescent="0.2">
      <c r="AQ37574" s="31"/>
    </row>
    <row r="37575" spans="43:43" x14ac:dyDescent="0.2">
      <c r="AQ37575" s="31"/>
    </row>
    <row r="37576" spans="43:43" x14ac:dyDescent="0.2">
      <c r="AQ37576" s="31"/>
    </row>
    <row r="37577" spans="43:43" x14ac:dyDescent="0.2">
      <c r="AQ37577" s="31"/>
    </row>
    <row r="37578" spans="43:43" x14ac:dyDescent="0.2">
      <c r="AQ37578" s="31"/>
    </row>
    <row r="37579" spans="43:43" x14ac:dyDescent="0.2">
      <c r="AQ37579" s="31"/>
    </row>
    <row r="37580" spans="43:43" x14ac:dyDescent="0.2">
      <c r="AQ37580" s="31"/>
    </row>
    <row r="37581" spans="43:43" x14ac:dyDescent="0.2">
      <c r="AQ37581" s="31"/>
    </row>
    <row r="37582" spans="43:43" x14ac:dyDescent="0.2">
      <c r="AQ37582" s="31"/>
    </row>
    <row r="37583" spans="43:43" x14ac:dyDescent="0.2">
      <c r="AQ37583" s="31"/>
    </row>
    <row r="37584" spans="43:43" x14ac:dyDescent="0.2">
      <c r="AQ37584" s="31"/>
    </row>
    <row r="37585" spans="43:43" x14ac:dyDescent="0.2">
      <c r="AQ37585" s="31"/>
    </row>
    <row r="37586" spans="43:43" x14ac:dyDescent="0.2">
      <c r="AQ37586" s="31"/>
    </row>
    <row r="37587" spans="43:43" x14ac:dyDescent="0.2">
      <c r="AQ37587" s="31"/>
    </row>
    <row r="37588" spans="43:43" x14ac:dyDescent="0.2">
      <c r="AQ37588" s="31"/>
    </row>
    <row r="37589" spans="43:43" x14ac:dyDescent="0.2">
      <c r="AQ37589" s="31"/>
    </row>
    <row r="37590" spans="43:43" x14ac:dyDescent="0.2">
      <c r="AQ37590" s="31"/>
    </row>
    <row r="37591" spans="43:43" x14ac:dyDescent="0.2">
      <c r="AQ37591" s="31"/>
    </row>
    <row r="37592" spans="43:43" x14ac:dyDescent="0.2">
      <c r="AQ37592" s="31"/>
    </row>
    <row r="37593" spans="43:43" x14ac:dyDescent="0.2">
      <c r="AQ37593" s="31"/>
    </row>
    <row r="37594" spans="43:43" x14ac:dyDescent="0.2">
      <c r="AQ37594" s="31"/>
    </row>
    <row r="37595" spans="43:43" x14ac:dyDescent="0.2">
      <c r="AQ37595" s="31"/>
    </row>
    <row r="37596" spans="43:43" x14ac:dyDescent="0.2">
      <c r="AQ37596" s="31"/>
    </row>
    <row r="37597" spans="43:43" x14ac:dyDescent="0.2">
      <c r="AQ37597" s="31"/>
    </row>
    <row r="37598" spans="43:43" x14ac:dyDescent="0.2">
      <c r="AQ37598" s="31"/>
    </row>
    <row r="37599" spans="43:43" x14ac:dyDescent="0.2">
      <c r="AQ37599" s="31"/>
    </row>
    <row r="37600" spans="43:43" x14ac:dyDescent="0.2">
      <c r="AQ37600" s="31"/>
    </row>
    <row r="37601" spans="43:43" x14ac:dyDescent="0.2">
      <c r="AQ37601" s="31"/>
    </row>
    <row r="37602" spans="43:43" x14ac:dyDescent="0.2">
      <c r="AQ37602" s="31"/>
    </row>
    <row r="37603" spans="43:43" x14ac:dyDescent="0.2">
      <c r="AQ37603" s="31"/>
    </row>
    <row r="37604" spans="43:43" x14ac:dyDescent="0.2">
      <c r="AQ37604" s="31"/>
    </row>
    <row r="37605" spans="43:43" x14ac:dyDescent="0.2">
      <c r="AQ37605" s="31"/>
    </row>
    <row r="37606" spans="43:43" x14ac:dyDescent="0.2">
      <c r="AQ37606" s="31"/>
    </row>
    <row r="37607" spans="43:43" x14ac:dyDescent="0.2">
      <c r="AQ37607" s="31"/>
    </row>
    <row r="37608" spans="43:43" x14ac:dyDescent="0.2">
      <c r="AQ37608" s="31"/>
    </row>
    <row r="37609" spans="43:43" x14ac:dyDescent="0.2">
      <c r="AQ37609" s="31"/>
    </row>
    <row r="37610" spans="43:43" x14ac:dyDescent="0.2">
      <c r="AQ37610" s="31"/>
    </row>
    <row r="37611" spans="43:43" x14ac:dyDescent="0.2">
      <c r="AQ37611" s="31"/>
    </row>
    <row r="37612" spans="43:43" x14ac:dyDescent="0.2">
      <c r="AQ37612" s="31"/>
    </row>
    <row r="37613" spans="43:43" x14ac:dyDescent="0.2">
      <c r="AQ37613" s="31"/>
    </row>
    <row r="37614" spans="43:43" x14ac:dyDescent="0.2">
      <c r="AQ37614" s="31"/>
    </row>
    <row r="37615" spans="43:43" x14ac:dyDescent="0.2">
      <c r="AQ37615" s="31"/>
    </row>
    <row r="37616" spans="43:43" x14ac:dyDescent="0.2">
      <c r="AQ37616" s="31"/>
    </row>
    <row r="37617" spans="43:43" x14ac:dyDescent="0.2">
      <c r="AQ37617" s="31"/>
    </row>
    <row r="37618" spans="43:43" x14ac:dyDescent="0.2">
      <c r="AQ37618" s="31"/>
    </row>
    <row r="37619" spans="43:43" x14ac:dyDescent="0.2">
      <c r="AQ37619" s="31"/>
    </row>
    <row r="37620" spans="43:43" x14ac:dyDescent="0.2">
      <c r="AQ37620" s="31"/>
    </row>
    <row r="37621" spans="43:43" x14ac:dyDescent="0.2">
      <c r="AQ37621" s="31"/>
    </row>
    <row r="37622" spans="43:43" x14ac:dyDescent="0.2">
      <c r="AQ37622" s="31"/>
    </row>
    <row r="37623" spans="43:43" x14ac:dyDescent="0.2">
      <c r="AQ37623" s="31"/>
    </row>
    <row r="37624" spans="43:43" x14ac:dyDescent="0.2">
      <c r="AQ37624" s="31"/>
    </row>
    <row r="37625" spans="43:43" x14ac:dyDescent="0.2">
      <c r="AQ37625" s="31"/>
    </row>
    <row r="37626" spans="43:43" x14ac:dyDescent="0.2">
      <c r="AQ37626" s="31"/>
    </row>
    <row r="37627" spans="43:43" x14ac:dyDescent="0.2">
      <c r="AQ37627" s="31"/>
    </row>
    <row r="37628" spans="43:43" x14ac:dyDescent="0.2">
      <c r="AQ37628" s="31"/>
    </row>
    <row r="37629" spans="43:43" x14ac:dyDescent="0.2">
      <c r="AQ37629" s="31"/>
    </row>
    <row r="37630" spans="43:43" x14ac:dyDescent="0.2">
      <c r="AQ37630" s="31"/>
    </row>
    <row r="37631" spans="43:43" x14ac:dyDescent="0.2">
      <c r="AQ37631" s="31"/>
    </row>
    <row r="37632" spans="43:43" x14ac:dyDescent="0.2">
      <c r="AQ37632" s="31"/>
    </row>
    <row r="37633" spans="43:43" x14ac:dyDescent="0.2">
      <c r="AQ37633" s="31"/>
    </row>
    <row r="37634" spans="43:43" x14ac:dyDescent="0.2">
      <c r="AQ37634" s="31"/>
    </row>
    <row r="37635" spans="43:43" x14ac:dyDescent="0.2">
      <c r="AQ37635" s="31"/>
    </row>
    <row r="37636" spans="43:43" x14ac:dyDescent="0.2">
      <c r="AQ37636" s="31"/>
    </row>
    <row r="37637" spans="43:43" x14ac:dyDescent="0.2">
      <c r="AQ37637" s="31"/>
    </row>
    <row r="37638" spans="43:43" x14ac:dyDescent="0.2">
      <c r="AQ37638" s="31"/>
    </row>
    <row r="37639" spans="43:43" x14ac:dyDescent="0.2">
      <c r="AQ37639" s="31"/>
    </row>
    <row r="37640" spans="43:43" x14ac:dyDescent="0.2">
      <c r="AQ37640" s="31"/>
    </row>
    <row r="37641" spans="43:43" x14ac:dyDescent="0.2">
      <c r="AQ37641" s="31"/>
    </row>
    <row r="37642" spans="43:43" x14ac:dyDescent="0.2">
      <c r="AQ37642" s="31"/>
    </row>
    <row r="37643" spans="43:43" x14ac:dyDescent="0.2">
      <c r="AQ37643" s="31"/>
    </row>
    <row r="37644" spans="43:43" x14ac:dyDescent="0.2">
      <c r="AQ37644" s="31"/>
    </row>
    <row r="37645" spans="43:43" x14ac:dyDescent="0.2">
      <c r="AQ37645" s="31"/>
    </row>
    <row r="37646" spans="43:43" x14ac:dyDescent="0.2">
      <c r="AQ37646" s="31"/>
    </row>
    <row r="37647" spans="43:43" x14ac:dyDescent="0.2">
      <c r="AQ37647" s="31"/>
    </row>
    <row r="37648" spans="43:43" x14ac:dyDescent="0.2">
      <c r="AQ37648" s="31"/>
    </row>
    <row r="37649" spans="43:43" x14ac:dyDescent="0.2">
      <c r="AQ37649" s="31"/>
    </row>
    <row r="37650" spans="43:43" x14ac:dyDescent="0.2">
      <c r="AQ37650" s="31"/>
    </row>
    <row r="37651" spans="43:43" x14ac:dyDescent="0.2">
      <c r="AQ37651" s="31"/>
    </row>
    <row r="37652" spans="43:43" x14ac:dyDescent="0.2">
      <c r="AQ37652" s="31"/>
    </row>
    <row r="37653" spans="43:43" x14ac:dyDescent="0.2">
      <c r="AQ37653" s="31"/>
    </row>
    <row r="37654" spans="43:43" x14ac:dyDescent="0.2">
      <c r="AQ37654" s="31"/>
    </row>
    <row r="37655" spans="43:43" x14ac:dyDescent="0.2">
      <c r="AQ37655" s="31"/>
    </row>
    <row r="37656" spans="43:43" x14ac:dyDescent="0.2">
      <c r="AQ37656" s="31"/>
    </row>
    <row r="37657" spans="43:43" x14ac:dyDescent="0.2">
      <c r="AQ37657" s="31"/>
    </row>
    <row r="37658" spans="43:43" x14ac:dyDescent="0.2">
      <c r="AQ37658" s="31"/>
    </row>
    <row r="37659" spans="43:43" x14ac:dyDescent="0.2">
      <c r="AQ37659" s="31"/>
    </row>
    <row r="37660" spans="43:43" x14ac:dyDescent="0.2">
      <c r="AQ37660" s="31"/>
    </row>
    <row r="37661" spans="43:43" x14ac:dyDescent="0.2">
      <c r="AQ37661" s="31"/>
    </row>
    <row r="37662" spans="43:43" x14ac:dyDescent="0.2">
      <c r="AQ37662" s="31"/>
    </row>
    <row r="37663" spans="43:43" x14ac:dyDescent="0.2">
      <c r="AQ37663" s="31"/>
    </row>
    <row r="37664" spans="43:43" x14ac:dyDescent="0.2">
      <c r="AQ37664" s="31"/>
    </row>
    <row r="37665" spans="43:43" x14ac:dyDescent="0.2">
      <c r="AQ37665" s="31"/>
    </row>
    <row r="37666" spans="43:43" x14ac:dyDescent="0.2">
      <c r="AQ37666" s="31"/>
    </row>
    <row r="37667" spans="43:43" x14ac:dyDescent="0.2">
      <c r="AQ37667" s="31"/>
    </row>
    <row r="37668" spans="43:43" x14ac:dyDescent="0.2">
      <c r="AQ37668" s="31"/>
    </row>
    <row r="37669" spans="43:43" x14ac:dyDescent="0.2">
      <c r="AQ37669" s="31"/>
    </row>
    <row r="37670" spans="43:43" x14ac:dyDescent="0.2">
      <c r="AQ37670" s="31"/>
    </row>
    <row r="37671" spans="43:43" x14ac:dyDescent="0.2">
      <c r="AQ37671" s="31"/>
    </row>
    <row r="37672" spans="43:43" x14ac:dyDescent="0.2">
      <c r="AQ37672" s="31"/>
    </row>
    <row r="37673" spans="43:43" x14ac:dyDescent="0.2">
      <c r="AQ37673" s="31"/>
    </row>
    <row r="37674" spans="43:43" x14ac:dyDescent="0.2">
      <c r="AQ37674" s="31"/>
    </row>
    <row r="37675" spans="43:43" x14ac:dyDescent="0.2">
      <c r="AQ37675" s="31"/>
    </row>
    <row r="37676" spans="43:43" x14ac:dyDescent="0.2">
      <c r="AQ37676" s="31"/>
    </row>
    <row r="37677" spans="43:43" x14ac:dyDescent="0.2">
      <c r="AQ37677" s="31"/>
    </row>
    <row r="37678" spans="43:43" x14ac:dyDescent="0.2">
      <c r="AQ37678" s="31"/>
    </row>
    <row r="37679" spans="43:43" x14ac:dyDescent="0.2">
      <c r="AQ37679" s="31"/>
    </row>
    <row r="37680" spans="43:43" x14ac:dyDescent="0.2">
      <c r="AQ37680" s="31"/>
    </row>
    <row r="37681" spans="43:43" x14ac:dyDescent="0.2">
      <c r="AQ37681" s="31"/>
    </row>
    <row r="37682" spans="43:43" x14ac:dyDescent="0.2">
      <c r="AQ37682" s="31"/>
    </row>
    <row r="37683" spans="43:43" x14ac:dyDescent="0.2">
      <c r="AQ37683" s="31"/>
    </row>
    <row r="37684" spans="43:43" x14ac:dyDescent="0.2">
      <c r="AQ37684" s="31"/>
    </row>
    <row r="37685" spans="43:43" x14ac:dyDescent="0.2">
      <c r="AQ37685" s="31"/>
    </row>
    <row r="37686" spans="43:43" x14ac:dyDescent="0.2">
      <c r="AQ37686" s="31"/>
    </row>
    <row r="37687" spans="43:43" x14ac:dyDescent="0.2">
      <c r="AQ37687" s="31"/>
    </row>
    <row r="37688" spans="43:43" x14ac:dyDescent="0.2">
      <c r="AQ37688" s="31"/>
    </row>
    <row r="37689" spans="43:43" x14ac:dyDescent="0.2">
      <c r="AQ37689" s="31"/>
    </row>
    <row r="37690" spans="43:43" x14ac:dyDescent="0.2">
      <c r="AQ37690" s="31"/>
    </row>
    <row r="37691" spans="43:43" x14ac:dyDescent="0.2">
      <c r="AQ37691" s="31"/>
    </row>
    <row r="37692" spans="43:43" x14ac:dyDescent="0.2">
      <c r="AQ37692" s="31"/>
    </row>
    <row r="37693" spans="43:43" x14ac:dyDescent="0.2">
      <c r="AQ37693" s="31"/>
    </row>
    <row r="37694" spans="43:43" x14ac:dyDescent="0.2">
      <c r="AQ37694" s="31"/>
    </row>
    <row r="37695" spans="43:43" x14ac:dyDescent="0.2">
      <c r="AQ37695" s="31"/>
    </row>
    <row r="37696" spans="43:43" x14ac:dyDescent="0.2">
      <c r="AQ37696" s="31"/>
    </row>
    <row r="37697" spans="43:43" x14ac:dyDescent="0.2">
      <c r="AQ37697" s="31"/>
    </row>
    <row r="37698" spans="43:43" x14ac:dyDescent="0.2">
      <c r="AQ37698" s="31"/>
    </row>
    <row r="37699" spans="43:43" x14ac:dyDescent="0.2">
      <c r="AQ37699" s="31"/>
    </row>
    <row r="37700" spans="43:43" x14ac:dyDescent="0.2">
      <c r="AQ37700" s="31"/>
    </row>
    <row r="37701" spans="43:43" x14ac:dyDescent="0.2">
      <c r="AQ37701" s="31"/>
    </row>
    <row r="37702" spans="43:43" x14ac:dyDescent="0.2">
      <c r="AQ37702" s="31"/>
    </row>
    <row r="37703" spans="43:43" x14ac:dyDescent="0.2">
      <c r="AQ37703" s="31"/>
    </row>
    <row r="37704" spans="43:43" x14ac:dyDescent="0.2">
      <c r="AQ37704" s="31"/>
    </row>
    <row r="37705" spans="43:43" x14ac:dyDescent="0.2">
      <c r="AQ37705" s="31"/>
    </row>
    <row r="37706" spans="43:43" x14ac:dyDescent="0.2">
      <c r="AQ37706" s="31"/>
    </row>
    <row r="37707" spans="43:43" x14ac:dyDescent="0.2">
      <c r="AQ37707" s="31"/>
    </row>
    <row r="37708" spans="43:43" x14ac:dyDescent="0.2">
      <c r="AQ37708" s="31"/>
    </row>
    <row r="37709" spans="43:43" x14ac:dyDescent="0.2">
      <c r="AQ37709" s="31"/>
    </row>
    <row r="37710" spans="43:43" x14ac:dyDescent="0.2">
      <c r="AQ37710" s="31"/>
    </row>
    <row r="37711" spans="43:43" x14ac:dyDescent="0.2">
      <c r="AQ37711" s="31"/>
    </row>
    <row r="37712" spans="43:43" x14ac:dyDescent="0.2">
      <c r="AQ37712" s="31"/>
    </row>
    <row r="37713" spans="43:43" x14ac:dyDescent="0.2">
      <c r="AQ37713" s="31"/>
    </row>
    <row r="37714" spans="43:43" x14ac:dyDescent="0.2">
      <c r="AQ37714" s="31"/>
    </row>
    <row r="37715" spans="43:43" x14ac:dyDescent="0.2">
      <c r="AQ37715" s="31"/>
    </row>
    <row r="37716" spans="43:43" x14ac:dyDescent="0.2">
      <c r="AQ37716" s="31"/>
    </row>
    <row r="37717" spans="43:43" x14ac:dyDescent="0.2">
      <c r="AQ37717" s="31"/>
    </row>
    <row r="37718" spans="43:43" x14ac:dyDescent="0.2">
      <c r="AQ37718" s="31"/>
    </row>
    <row r="37719" spans="43:43" x14ac:dyDescent="0.2">
      <c r="AQ37719" s="31"/>
    </row>
    <row r="37720" spans="43:43" x14ac:dyDescent="0.2">
      <c r="AQ37720" s="31"/>
    </row>
    <row r="37721" spans="43:43" x14ac:dyDescent="0.2">
      <c r="AQ37721" s="31"/>
    </row>
    <row r="37722" spans="43:43" x14ac:dyDescent="0.2">
      <c r="AQ37722" s="31"/>
    </row>
    <row r="37723" spans="43:43" x14ac:dyDescent="0.2">
      <c r="AQ37723" s="31"/>
    </row>
    <row r="37724" spans="43:43" x14ac:dyDescent="0.2">
      <c r="AQ37724" s="31"/>
    </row>
    <row r="37725" spans="43:43" x14ac:dyDescent="0.2">
      <c r="AQ37725" s="31"/>
    </row>
    <row r="37726" spans="43:43" x14ac:dyDescent="0.2">
      <c r="AQ37726" s="31"/>
    </row>
    <row r="37727" spans="43:43" x14ac:dyDescent="0.2">
      <c r="AQ37727" s="31"/>
    </row>
    <row r="37728" spans="43:43" x14ac:dyDescent="0.2">
      <c r="AQ37728" s="31"/>
    </row>
    <row r="37729" spans="43:43" x14ac:dyDescent="0.2">
      <c r="AQ37729" s="31"/>
    </row>
    <row r="37730" spans="43:43" x14ac:dyDescent="0.2">
      <c r="AQ37730" s="31"/>
    </row>
    <row r="37731" spans="43:43" x14ac:dyDescent="0.2">
      <c r="AQ37731" s="31"/>
    </row>
    <row r="37732" spans="43:43" x14ac:dyDescent="0.2">
      <c r="AQ37732" s="31"/>
    </row>
    <row r="37733" spans="43:43" x14ac:dyDescent="0.2">
      <c r="AQ37733" s="31"/>
    </row>
    <row r="37734" spans="43:43" x14ac:dyDescent="0.2">
      <c r="AQ37734" s="31"/>
    </row>
    <row r="37735" spans="43:43" x14ac:dyDescent="0.2">
      <c r="AQ37735" s="31"/>
    </row>
    <row r="37736" spans="43:43" x14ac:dyDescent="0.2">
      <c r="AQ37736" s="31"/>
    </row>
    <row r="37737" spans="43:43" x14ac:dyDescent="0.2">
      <c r="AQ37737" s="31"/>
    </row>
    <row r="37738" spans="43:43" x14ac:dyDescent="0.2">
      <c r="AQ37738" s="31"/>
    </row>
    <row r="37739" spans="43:43" x14ac:dyDescent="0.2">
      <c r="AQ37739" s="31"/>
    </row>
    <row r="37740" spans="43:43" x14ac:dyDescent="0.2">
      <c r="AQ37740" s="31"/>
    </row>
    <row r="37741" spans="43:43" x14ac:dyDescent="0.2">
      <c r="AQ37741" s="31"/>
    </row>
    <row r="37742" spans="43:43" x14ac:dyDescent="0.2">
      <c r="AQ37742" s="31"/>
    </row>
    <row r="37743" spans="43:43" x14ac:dyDescent="0.2">
      <c r="AQ37743" s="31"/>
    </row>
    <row r="37744" spans="43:43" x14ac:dyDescent="0.2">
      <c r="AQ37744" s="31"/>
    </row>
    <row r="37745" spans="43:43" x14ac:dyDescent="0.2">
      <c r="AQ37745" s="31"/>
    </row>
    <row r="37746" spans="43:43" x14ac:dyDescent="0.2">
      <c r="AQ37746" s="31"/>
    </row>
    <row r="37747" spans="43:43" x14ac:dyDescent="0.2">
      <c r="AQ37747" s="31"/>
    </row>
    <row r="37748" spans="43:43" x14ac:dyDescent="0.2">
      <c r="AQ37748" s="31"/>
    </row>
    <row r="37749" spans="43:43" x14ac:dyDescent="0.2">
      <c r="AQ37749" s="31"/>
    </row>
    <row r="37750" spans="43:43" x14ac:dyDescent="0.2">
      <c r="AQ37750" s="31"/>
    </row>
    <row r="37751" spans="43:43" x14ac:dyDescent="0.2">
      <c r="AQ37751" s="31"/>
    </row>
    <row r="37752" spans="43:43" x14ac:dyDescent="0.2">
      <c r="AQ37752" s="31"/>
    </row>
    <row r="37753" spans="43:43" x14ac:dyDescent="0.2">
      <c r="AQ37753" s="31"/>
    </row>
    <row r="37754" spans="43:43" x14ac:dyDescent="0.2">
      <c r="AQ37754" s="31"/>
    </row>
    <row r="37755" spans="43:43" x14ac:dyDescent="0.2">
      <c r="AQ37755" s="31"/>
    </row>
    <row r="37756" spans="43:43" x14ac:dyDescent="0.2">
      <c r="AQ37756" s="31"/>
    </row>
    <row r="37757" spans="43:43" x14ac:dyDescent="0.2">
      <c r="AQ37757" s="31"/>
    </row>
    <row r="37758" spans="43:43" x14ac:dyDescent="0.2">
      <c r="AQ37758" s="31"/>
    </row>
    <row r="37759" spans="43:43" x14ac:dyDescent="0.2">
      <c r="AQ37759" s="31"/>
    </row>
    <row r="37760" spans="43:43" x14ac:dyDescent="0.2">
      <c r="AQ37760" s="31"/>
    </row>
    <row r="37761" spans="43:43" x14ac:dyDescent="0.2">
      <c r="AQ37761" s="31"/>
    </row>
    <row r="37762" spans="43:43" x14ac:dyDescent="0.2">
      <c r="AQ37762" s="31"/>
    </row>
    <row r="37763" spans="43:43" x14ac:dyDescent="0.2">
      <c r="AQ37763" s="31"/>
    </row>
    <row r="37764" spans="43:43" x14ac:dyDescent="0.2">
      <c r="AQ37764" s="31"/>
    </row>
    <row r="37765" spans="43:43" x14ac:dyDescent="0.2">
      <c r="AQ37765" s="31"/>
    </row>
    <row r="37766" spans="43:43" x14ac:dyDescent="0.2">
      <c r="AQ37766" s="31"/>
    </row>
    <row r="37767" spans="43:43" x14ac:dyDescent="0.2">
      <c r="AQ37767" s="31"/>
    </row>
    <row r="37768" spans="43:43" x14ac:dyDescent="0.2">
      <c r="AQ37768" s="31"/>
    </row>
    <row r="37769" spans="43:43" x14ac:dyDescent="0.2">
      <c r="AQ37769" s="31"/>
    </row>
    <row r="37770" spans="43:43" x14ac:dyDescent="0.2">
      <c r="AQ37770" s="31"/>
    </row>
    <row r="37771" spans="43:43" x14ac:dyDescent="0.2">
      <c r="AQ37771" s="31"/>
    </row>
    <row r="37772" spans="43:43" x14ac:dyDescent="0.2">
      <c r="AQ37772" s="31"/>
    </row>
    <row r="37773" spans="43:43" x14ac:dyDescent="0.2">
      <c r="AQ37773" s="31"/>
    </row>
    <row r="37774" spans="43:43" x14ac:dyDescent="0.2">
      <c r="AQ37774" s="31"/>
    </row>
    <row r="37775" spans="43:43" x14ac:dyDescent="0.2">
      <c r="AQ37775" s="31"/>
    </row>
    <row r="37776" spans="43:43" x14ac:dyDescent="0.2">
      <c r="AQ37776" s="31"/>
    </row>
    <row r="37777" spans="43:43" x14ac:dyDescent="0.2">
      <c r="AQ37777" s="31"/>
    </row>
    <row r="37778" spans="43:43" x14ac:dyDescent="0.2">
      <c r="AQ37778" s="31"/>
    </row>
    <row r="37779" spans="43:43" x14ac:dyDescent="0.2">
      <c r="AQ37779" s="31"/>
    </row>
    <row r="37780" spans="43:43" x14ac:dyDescent="0.2">
      <c r="AQ37780" s="31"/>
    </row>
    <row r="37781" spans="43:43" x14ac:dyDescent="0.2">
      <c r="AQ37781" s="31"/>
    </row>
    <row r="37782" spans="43:43" x14ac:dyDescent="0.2">
      <c r="AQ37782" s="31"/>
    </row>
    <row r="37783" spans="43:43" x14ac:dyDescent="0.2">
      <c r="AQ37783" s="31"/>
    </row>
    <row r="37784" spans="43:43" x14ac:dyDescent="0.2">
      <c r="AQ37784" s="31"/>
    </row>
    <row r="37785" spans="43:43" x14ac:dyDescent="0.2">
      <c r="AQ37785" s="31"/>
    </row>
    <row r="37786" spans="43:43" x14ac:dyDescent="0.2">
      <c r="AQ37786" s="31"/>
    </row>
    <row r="37787" spans="43:43" x14ac:dyDescent="0.2">
      <c r="AQ37787" s="31"/>
    </row>
    <row r="37788" spans="43:43" x14ac:dyDescent="0.2">
      <c r="AQ37788" s="31"/>
    </row>
    <row r="37789" spans="43:43" x14ac:dyDescent="0.2">
      <c r="AQ37789" s="31"/>
    </row>
    <row r="37790" spans="43:43" x14ac:dyDescent="0.2">
      <c r="AQ37790" s="31"/>
    </row>
    <row r="37791" spans="43:43" x14ac:dyDescent="0.2">
      <c r="AQ37791" s="31"/>
    </row>
    <row r="37792" spans="43:43" x14ac:dyDescent="0.2">
      <c r="AQ37792" s="31"/>
    </row>
    <row r="37793" spans="43:43" x14ac:dyDescent="0.2">
      <c r="AQ37793" s="31"/>
    </row>
    <row r="37794" spans="43:43" x14ac:dyDescent="0.2">
      <c r="AQ37794" s="31"/>
    </row>
    <row r="37795" spans="43:43" x14ac:dyDescent="0.2">
      <c r="AQ37795" s="31"/>
    </row>
    <row r="37796" spans="43:43" x14ac:dyDescent="0.2">
      <c r="AQ37796" s="31"/>
    </row>
    <row r="37797" spans="43:43" x14ac:dyDescent="0.2">
      <c r="AQ37797" s="31"/>
    </row>
    <row r="37798" spans="43:43" x14ac:dyDescent="0.2">
      <c r="AQ37798" s="31"/>
    </row>
    <row r="37799" spans="43:43" x14ac:dyDescent="0.2">
      <c r="AQ37799" s="31"/>
    </row>
    <row r="37800" spans="43:43" x14ac:dyDescent="0.2">
      <c r="AQ37800" s="31"/>
    </row>
    <row r="37801" spans="43:43" x14ac:dyDescent="0.2">
      <c r="AQ37801" s="31"/>
    </row>
    <row r="37802" spans="43:43" x14ac:dyDescent="0.2">
      <c r="AQ37802" s="31"/>
    </row>
    <row r="37803" spans="43:43" x14ac:dyDescent="0.2">
      <c r="AQ37803" s="31"/>
    </row>
    <row r="37804" spans="43:43" x14ac:dyDescent="0.2">
      <c r="AQ37804" s="31"/>
    </row>
    <row r="37805" spans="43:43" x14ac:dyDescent="0.2">
      <c r="AQ37805" s="31"/>
    </row>
    <row r="37806" spans="43:43" x14ac:dyDescent="0.2">
      <c r="AQ37806" s="31"/>
    </row>
    <row r="37807" spans="43:43" x14ac:dyDescent="0.2">
      <c r="AQ37807" s="31"/>
    </row>
    <row r="37808" spans="43:43" x14ac:dyDescent="0.2">
      <c r="AQ37808" s="31"/>
    </row>
    <row r="37809" spans="43:43" x14ac:dyDescent="0.2">
      <c r="AQ37809" s="31"/>
    </row>
    <row r="37810" spans="43:43" x14ac:dyDescent="0.2">
      <c r="AQ37810" s="31"/>
    </row>
    <row r="37811" spans="43:43" x14ac:dyDescent="0.2">
      <c r="AQ37811" s="31"/>
    </row>
    <row r="37812" spans="43:43" x14ac:dyDescent="0.2">
      <c r="AQ37812" s="31"/>
    </row>
    <row r="37813" spans="43:43" x14ac:dyDescent="0.2">
      <c r="AQ37813" s="31"/>
    </row>
    <row r="37814" spans="43:43" x14ac:dyDescent="0.2">
      <c r="AQ37814" s="31"/>
    </row>
    <row r="37815" spans="43:43" x14ac:dyDescent="0.2">
      <c r="AQ37815" s="31"/>
    </row>
    <row r="37816" spans="43:43" x14ac:dyDescent="0.2">
      <c r="AQ37816" s="31"/>
    </row>
    <row r="37817" spans="43:43" x14ac:dyDescent="0.2">
      <c r="AQ37817" s="31"/>
    </row>
    <row r="37818" spans="43:43" x14ac:dyDescent="0.2">
      <c r="AQ37818" s="31"/>
    </row>
    <row r="37819" spans="43:43" x14ac:dyDescent="0.2">
      <c r="AQ37819" s="31"/>
    </row>
    <row r="37820" spans="43:43" x14ac:dyDescent="0.2">
      <c r="AQ37820" s="31"/>
    </row>
    <row r="37821" spans="43:43" x14ac:dyDescent="0.2">
      <c r="AQ37821" s="31"/>
    </row>
    <row r="37822" spans="43:43" x14ac:dyDescent="0.2">
      <c r="AQ37822" s="31"/>
    </row>
    <row r="37823" spans="43:43" x14ac:dyDescent="0.2">
      <c r="AQ37823" s="31"/>
    </row>
    <row r="37824" spans="43:43" x14ac:dyDescent="0.2">
      <c r="AQ37824" s="31"/>
    </row>
    <row r="37825" spans="43:43" x14ac:dyDescent="0.2">
      <c r="AQ37825" s="31"/>
    </row>
    <row r="37826" spans="43:43" x14ac:dyDescent="0.2">
      <c r="AQ37826" s="31"/>
    </row>
    <row r="37827" spans="43:43" x14ac:dyDescent="0.2">
      <c r="AQ37827" s="31"/>
    </row>
    <row r="37828" spans="43:43" x14ac:dyDescent="0.2">
      <c r="AQ37828" s="31"/>
    </row>
    <row r="37829" spans="43:43" x14ac:dyDescent="0.2">
      <c r="AQ37829" s="31"/>
    </row>
    <row r="37830" spans="43:43" x14ac:dyDescent="0.2">
      <c r="AQ37830" s="31"/>
    </row>
    <row r="37831" spans="43:43" x14ac:dyDescent="0.2">
      <c r="AQ37831" s="31"/>
    </row>
    <row r="37832" spans="43:43" x14ac:dyDescent="0.2">
      <c r="AQ37832" s="31"/>
    </row>
    <row r="37833" spans="43:43" x14ac:dyDescent="0.2">
      <c r="AQ37833" s="31"/>
    </row>
    <row r="37834" spans="43:43" x14ac:dyDescent="0.2">
      <c r="AQ37834" s="31"/>
    </row>
    <row r="37835" spans="43:43" x14ac:dyDescent="0.2">
      <c r="AQ37835" s="31"/>
    </row>
    <row r="37836" spans="43:43" x14ac:dyDescent="0.2">
      <c r="AQ37836" s="31"/>
    </row>
    <row r="37837" spans="43:43" x14ac:dyDescent="0.2">
      <c r="AQ37837" s="31"/>
    </row>
    <row r="37838" spans="43:43" x14ac:dyDescent="0.2">
      <c r="AQ37838" s="31"/>
    </row>
    <row r="37839" spans="43:43" x14ac:dyDescent="0.2">
      <c r="AQ37839" s="31"/>
    </row>
    <row r="37840" spans="43:43" x14ac:dyDescent="0.2">
      <c r="AQ37840" s="31"/>
    </row>
    <row r="37841" spans="43:43" x14ac:dyDescent="0.2">
      <c r="AQ37841" s="31"/>
    </row>
    <row r="37842" spans="43:43" x14ac:dyDescent="0.2">
      <c r="AQ37842" s="31"/>
    </row>
    <row r="37843" spans="43:43" x14ac:dyDescent="0.2">
      <c r="AQ37843" s="31"/>
    </row>
    <row r="37844" spans="43:43" x14ac:dyDescent="0.2">
      <c r="AQ37844" s="31"/>
    </row>
    <row r="37845" spans="43:43" x14ac:dyDescent="0.2">
      <c r="AQ37845" s="31"/>
    </row>
    <row r="37846" spans="43:43" x14ac:dyDescent="0.2">
      <c r="AQ37846" s="31"/>
    </row>
    <row r="37847" spans="43:43" x14ac:dyDescent="0.2">
      <c r="AQ37847" s="31"/>
    </row>
    <row r="37848" spans="43:43" x14ac:dyDescent="0.2">
      <c r="AQ37848" s="31"/>
    </row>
    <row r="37849" spans="43:43" x14ac:dyDescent="0.2">
      <c r="AQ37849" s="31"/>
    </row>
    <row r="37850" spans="43:43" x14ac:dyDescent="0.2">
      <c r="AQ37850" s="31"/>
    </row>
    <row r="37851" spans="43:43" x14ac:dyDescent="0.2">
      <c r="AQ37851" s="31"/>
    </row>
    <row r="37852" spans="43:43" x14ac:dyDescent="0.2">
      <c r="AQ37852" s="31"/>
    </row>
    <row r="37853" spans="43:43" x14ac:dyDescent="0.2">
      <c r="AQ37853" s="31"/>
    </row>
    <row r="37854" spans="43:43" x14ac:dyDescent="0.2">
      <c r="AQ37854" s="31"/>
    </row>
    <row r="37855" spans="43:43" x14ac:dyDescent="0.2">
      <c r="AQ37855" s="31"/>
    </row>
    <row r="37856" spans="43:43" x14ac:dyDescent="0.2">
      <c r="AQ37856" s="31"/>
    </row>
    <row r="37857" spans="43:43" x14ac:dyDescent="0.2">
      <c r="AQ37857" s="31"/>
    </row>
    <row r="37858" spans="43:43" x14ac:dyDescent="0.2">
      <c r="AQ37858" s="31"/>
    </row>
    <row r="37859" spans="43:43" x14ac:dyDescent="0.2">
      <c r="AQ37859" s="31"/>
    </row>
    <row r="37860" spans="43:43" x14ac:dyDescent="0.2">
      <c r="AQ37860" s="31"/>
    </row>
    <row r="37861" spans="43:43" x14ac:dyDescent="0.2">
      <c r="AQ37861" s="31"/>
    </row>
    <row r="37862" spans="43:43" x14ac:dyDescent="0.2">
      <c r="AQ37862" s="31"/>
    </row>
    <row r="37863" spans="43:43" x14ac:dyDescent="0.2">
      <c r="AQ37863" s="31"/>
    </row>
    <row r="37864" spans="43:43" x14ac:dyDescent="0.2">
      <c r="AQ37864" s="31"/>
    </row>
    <row r="37865" spans="43:43" x14ac:dyDescent="0.2">
      <c r="AQ37865" s="31"/>
    </row>
    <row r="37866" spans="43:43" x14ac:dyDescent="0.2">
      <c r="AQ37866" s="31"/>
    </row>
    <row r="37867" spans="43:43" x14ac:dyDescent="0.2">
      <c r="AQ37867" s="31"/>
    </row>
    <row r="37868" spans="43:43" x14ac:dyDescent="0.2">
      <c r="AQ37868" s="31"/>
    </row>
    <row r="37869" spans="43:43" x14ac:dyDescent="0.2">
      <c r="AQ37869" s="31"/>
    </row>
    <row r="37870" spans="43:43" x14ac:dyDescent="0.2">
      <c r="AQ37870" s="31"/>
    </row>
    <row r="37871" spans="43:43" x14ac:dyDescent="0.2">
      <c r="AQ37871" s="31"/>
    </row>
    <row r="37872" spans="43:43" x14ac:dyDescent="0.2">
      <c r="AQ37872" s="31"/>
    </row>
    <row r="37873" spans="43:43" x14ac:dyDescent="0.2">
      <c r="AQ37873" s="31"/>
    </row>
    <row r="37874" spans="43:43" x14ac:dyDescent="0.2">
      <c r="AQ37874" s="31"/>
    </row>
    <row r="37875" spans="43:43" x14ac:dyDescent="0.2">
      <c r="AQ37875" s="31"/>
    </row>
    <row r="37876" spans="43:43" x14ac:dyDescent="0.2">
      <c r="AQ37876" s="31"/>
    </row>
    <row r="37877" spans="43:43" x14ac:dyDescent="0.2">
      <c r="AQ37877" s="31"/>
    </row>
    <row r="37878" spans="43:43" x14ac:dyDescent="0.2">
      <c r="AQ37878" s="31"/>
    </row>
    <row r="37879" spans="43:43" x14ac:dyDescent="0.2">
      <c r="AQ37879" s="31"/>
    </row>
    <row r="37880" spans="43:43" x14ac:dyDescent="0.2">
      <c r="AQ37880" s="31"/>
    </row>
    <row r="37881" spans="43:43" x14ac:dyDescent="0.2">
      <c r="AQ37881" s="31"/>
    </row>
    <row r="37882" spans="43:43" x14ac:dyDescent="0.2">
      <c r="AQ37882" s="31"/>
    </row>
    <row r="37883" spans="43:43" x14ac:dyDescent="0.2">
      <c r="AQ37883" s="31"/>
    </row>
    <row r="37884" spans="43:43" x14ac:dyDescent="0.2">
      <c r="AQ37884" s="31"/>
    </row>
    <row r="37885" spans="43:43" x14ac:dyDescent="0.2">
      <c r="AQ37885" s="31"/>
    </row>
    <row r="37886" spans="43:43" x14ac:dyDescent="0.2">
      <c r="AQ37886" s="31"/>
    </row>
    <row r="37887" spans="43:43" x14ac:dyDescent="0.2">
      <c r="AQ37887" s="31"/>
    </row>
    <row r="37888" spans="43:43" x14ac:dyDescent="0.2">
      <c r="AQ37888" s="31"/>
    </row>
    <row r="37889" spans="43:43" x14ac:dyDescent="0.2">
      <c r="AQ37889" s="31"/>
    </row>
    <row r="37890" spans="43:43" x14ac:dyDescent="0.2">
      <c r="AQ37890" s="31"/>
    </row>
    <row r="37891" spans="43:43" x14ac:dyDescent="0.2">
      <c r="AQ37891" s="31"/>
    </row>
    <row r="37892" spans="43:43" x14ac:dyDescent="0.2">
      <c r="AQ37892" s="31"/>
    </row>
    <row r="37893" spans="43:43" x14ac:dyDescent="0.2">
      <c r="AQ37893" s="31"/>
    </row>
    <row r="37894" spans="43:43" x14ac:dyDescent="0.2">
      <c r="AQ37894" s="31"/>
    </row>
    <row r="37895" spans="43:43" x14ac:dyDescent="0.2">
      <c r="AQ37895" s="31"/>
    </row>
    <row r="37896" spans="43:43" x14ac:dyDescent="0.2">
      <c r="AQ37896" s="31"/>
    </row>
    <row r="37897" spans="43:43" x14ac:dyDescent="0.2">
      <c r="AQ37897" s="31"/>
    </row>
    <row r="37898" spans="43:43" x14ac:dyDescent="0.2">
      <c r="AQ37898" s="31"/>
    </row>
    <row r="37899" spans="43:43" x14ac:dyDescent="0.2">
      <c r="AQ37899" s="31"/>
    </row>
    <row r="37900" spans="43:43" x14ac:dyDescent="0.2">
      <c r="AQ37900" s="31"/>
    </row>
    <row r="37901" spans="43:43" x14ac:dyDescent="0.2">
      <c r="AQ37901" s="31"/>
    </row>
    <row r="37902" spans="43:43" x14ac:dyDescent="0.2">
      <c r="AQ37902" s="31"/>
    </row>
    <row r="37903" spans="43:43" x14ac:dyDescent="0.2">
      <c r="AQ37903" s="31"/>
    </row>
    <row r="37904" spans="43:43" x14ac:dyDescent="0.2">
      <c r="AQ37904" s="31"/>
    </row>
    <row r="37905" spans="43:43" x14ac:dyDescent="0.2">
      <c r="AQ37905" s="31"/>
    </row>
    <row r="37906" spans="43:43" x14ac:dyDescent="0.2">
      <c r="AQ37906" s="31"/>
    </row>
    <row r="37907" spans="43:43" x14ac:dyDescent="0.2">
      <c r="AQ37907" s="31"/>
    </row>
    <row r="37908" spans="43:43" x14ac:dyDescent="0.2">
      <c r="AQ37908" s="31"/>
    </row>
    <row r="37909" spans="43:43" x14ac:dyDescent="0.2">
      <c r="AQ37909" s="31"/>
    </row>
    <row r="37910" spans="43:43" x14ac:dyDescent="0.2">
      <c r="AQ37910" s="31"/>
    </row>
    <row r="37911" spans="43:43" x14ac:dyDescent="0.2">
      <c r="AQ37911" s="31"/>
    </row>
    <row r="37912" spans="43:43" x14ac:dyDescent="0.2">
      <c r="AQ37912" s="31"/>
    </row>
    <row r="37913" spans="43:43" x14ac:dyDescent="0.2">
      <c r="AQ37913" s="31"/>
    </row>
    <row r="37914" spans="43:43" x14ac:dyDescent="0.2">
      <c r="AQ37914" s="31"/>
    </row>
    <row r="37915" spans="43:43" x14ac:dyDescent="0.2">
      <c r="AQ37915" s="31"/>
    </row>
    <row r="37916" spans="43:43" x14ac:dyDescent="0.2">
      <c r="AQ37916" s="31"/>
    </row>
    <row r="37917" spans="43:43" x14ac:dyDescent="0.2">
      <c r="AQ37917" s="31"/>
    </row>
    <row r="37918" spans="43:43" x14ac:dyDescent="0.2">
      <c r="AQ37918" s="31"/>
    </row>
    <row r="37919" spans="43:43" x14ac:dyDescent="0.2">
      <c r="AQ37919" s="31"/>
    </row>
    <row r="37920" spans="43:43" x14ac:dyDescent="0.2">
      <c r="AQ37920" s="31"/>
    </row>
    <row r="37921" spans="43:43" x14ac:dyDescent="0.2">
      <c r="AQ37921" s="31"/>
    </row>
    <row r="37922" spans="43:43" x14ac:dyDescent="0.2">
      <c r="AQ37922" s="31"/>
    </row>
    <row r="37923" spans="43:43" x14ac:dyDescent="0.2">
      <c r="AQ37923" s="31"/>
    </row>
    <row r="37924" spans="43:43" x14ac:dyDescent="0.2">
      <c r="AQ37924" s="31"/>
    </row>
    <row r="37925" spans="43:43" x14ac:dyDescent="0.2">
      <c r="AQ37925" s="31"/>
    </row>
    <row r="37926" spans="43:43" x14ac:dyDescent="0.2">
      <c r="AQ37926" s="31"/>
    </row>
    <row r="37927" spans="43:43" x14ac:dyDescent="0.2">
      <c r="AQ37927" s="31"/>
    </row>
    <row r="37928" spans="43:43" x14ac:dyDescent="0.2">
      <c r="AQ37928" s="31"/>
    </row>
    <row r="37929" spans="43:43" x14ac:dyDescent="0.2">
      <c r="AQ37929" s="31"/>
    </row>
    <row r="37930" spans="43:43" x14ac:dyDescent="0.2">
      <c r="AQ37930" s="31"/>
    </row>
    <row r="37931" spans="43:43" x14ac:dyDescent="0.2">
      <c r="AQ37931" s="31"/>
    </row>
    <row r="37932" spans="43:43" x14ac:dyDescent="0.2">
      <c r="AQ37932" s="31"/>
    </row>
    <row r="37933" spans="43:43" x14ac:dyDescent="0.2">
      <c r="AQ37933" s="31"/>
    </row>
    <row r="37934" spans="43:43" x14ac:dyDescent="0.2">
      <c r="AQ37934" s="31"/>
    </row>
    <row r="37935" spans="43:43" x14ac:dyDescent="0.2">
      <c r="AQ37935" s="31"/>
    </row>
    <row r="37936" spans="43:43" x14ac:dyDescent="0.2">
      <c r="AQ37936" s="31"/>
    </row>
    <row r="37937" spans="43:43" x14ac:dyDescent="0.2">
      <c r="AQ37937" s="31"/>
    </row>
    <row r="37938" spans="43:43" x14ac:dyDescent="0.2">
      <c r="AQ37938" s="31"/>
    </row>
    <row r="37939" spans="43:43" x14ac:dyDescent="0.2">
      <c r="AQ37939" s="31"/>
    </row>
    <row r="37940" spans="43:43" x14ac:dyDescent="0.2">
      <c r="AQ37940" s="31"/>
    </row>
    <row r="37941" spans="43:43" x14ac:dyDescent="0.2">
      <c r="AQ37941" s="31"/>
    </row>
    <row r="37942" spans="43:43" x14ac:dyDescent="0.2">
      <c r="AQ37942" s="31"/>
    </row>
    <row r="37943" spans="43:43" x14ac:dyDescent="0.2">
      <c r="AQ37943" s="31"/>
    </row>
    <row r="37944" spans="43:43" x14ac:dyDescent="0.2">
      <c r="AQ37944" s="31"/>
    </row>
    <row r="37945" spans="43:43" x14ac:dyDescent="0.2">
      <c r="AQ37945" s="31"/>
    </row>
    <row r="37946" spans="43:43" x14ac:dyDescent="0.2">
      <c r="AQ37946" s="31"/>
    </row>
    <row r="37947" spans="43:43" x14ac:dyDescent="0.2">
      <c r="AQ37947" s="31"/>
    </row>
    <row r="37948" spans="43:43" x14ac:dyDescent="0.2">
      <c r="AQ37948" s="31"/>
    </row>
    <row r="37949" spans="43:43" x14ac:dyDescent="0.2">
      <c r="AQ37949" s="31"/>
    </row>
    <row r="37950" spans="43:43" x14ac:dyDescent="0.2">
      <c r="AQ37950" s="31"/>
    </row>
    <row r="37951" spans="43:43" x14ac:dyDescent="0.2">
      <c r="AQ37951" s="31"/>
    </row>
    <row r="37952" spans="43:43" x14ac:dyDescent="0.2">
      <c r="AQ37952" s="31"/>
    </row>
    <row r="37953" spans="43:43" x14ac:dyDescent="0.2">
      <c r="AQ37953" s="31"/>
    </row>
    <row r="37954" spans="43:43" x14ac:dyDescent="0.2">
      <c r="AQ37954" s="31"/>
    </row>
    <row r="37955" spans="43:43" x14ac:dyDescent="0.2">
      <c r="AQ37955" s="31"/>
    </row>
    <row r="37956" spans="43:43" x14ac:dyDescent="0.2">
      <c r="AQ37956" s="31"/>
    </row>
    <row r="37957" spans="43:43" x14ac:dyDescent="0.2">
      <c r="AQ37957" s="31"/>
    </row>
    <row r="37958" spans="43:43" x14ac:dyDescent="0.2">
      <c r="AQ37958" s="31"/>
    </row>
    <row r="37959" spans="43:43" x14ac:dyDescent="0.2">
      <c r="AQ37959" s="31"/>
    </row>
    <row r="37960" spans="43:43" x14ac:dyDescent="0.2">
      <c r="AQ37960" s="31"/>
    </row>
    <row r="37961" spans="43:43" x14ac:dyDescent="0.2">
      <c r="AQ37961" s="31"/>
    </row>
    <row r="37962" spans="43:43" x14ac:dyDescent="0.2">
      <c r="AQ37962" s="31"/>
    </row>
    <row r="37963" spans="43:43" x14ac:dyDescent="0.2">
      <c r="AQ37963" s="31"/>
    </row>
    <row r="37964" spans="43:43" x14ac:dyDescent="0.2">
      <c r="AQ37964" s="31"/>
    </row>
    <row r="37965" spans="43:43" x14ac:dyDescent="0.2">
      <c r="AQ37965" s="31"/>
    </row>
    <row r="37966" spans="43:43" x14ac:dyDescent="0.2">
      <c r="AQ37966" s="31"/>
    </row>
    <row r="37967" spans="43:43" x14ac:dyDescent="0.2">
      <c r="AQ37967" s="31"/>
    </row>
    <row r="37968" spans="43:43" x14ac:dyDescent="0.2">
      <c r="AQ37968" s="31"/>
    </row>
    <row r="37969" spans="43:43" x14ac:dyDescent="0.2">
      <c r="AQ37969" s="31"/>
    </row>
    <row r="37970" spans="43:43" x14ac:dyDescent="0.2">
      <c r="AQ37970" s="31"/>
    </row>
    <row r="37971" spans="43:43" x14ac:dyDescent="0.2">
      <c r="AQ37971" s="31"/>
    </row>
    <row r="37972" spans="43:43" x14ac:dyDescent="0.2">
      <c r="AQ37972" s="31"/>
    </row>
    <row r="37973" spans="43:43" x14ac:dyDescent="0.2">
      <c r="AQ37973" s="31"/>
    </row>
    <row r="37974" spans="43:43" x14ac:dyDescent="0.2">
      <c r="AQ37974" s="31"/>
    </row>
    <row r="37975" spans="43:43" x14ac:dyDescent="0.2">
      <c r="AQ37975" s="31"/>
    </row>
    <row r="37976" spans="43:43" x14ac:dyDescent="0.2">
      <c r="AQ37976" s="31"/>
    </row>
    <row r="37977" spans="43:43" x14ac:dyDescent="0.2">
      <c r="AQ37977" s="31"/>
    </row>
    <row r="37978" spans="43:43" x14ac:dyDescent="0.2">
      <c r="AQ37978" s="31"/>
    </row>
    <row r="37979" spans="43:43" x14ac:dyDescent="0.2">
      <c r="AQ37979" s="31"/>
    </row>
    <row r="37980" spans="43:43" x14ac:dyDescent="0.2">
      <c r="AQ37980" s="31"/>
    </row>
    <row r="37981" spans="43:43" x14ac:dyDescent="0.2">
      <c r="AQ37981" s="31"/>
    </row>
    <row r="37982" spans="43:43" x14ac:dyDescent="0.2">
      <c r="AQ37982" s="31"/>
    </row>
    <row r="37983" spans="43:43" x14ac:dyDescent="0.2">
      <c r="AQ37983" s="31"/>
    </row>
    <row r="37984" spans="43:43" x14ac:dyDescent="0.2">
      <c r="AQ37984" s="31"/>
    </row>
    <row r="37985" spans="43:43" x14ac:dyDescent="0.2">
      <c r="AQ37985" s="31"/>
    </row>
    <row r="37986" spans="43:43" x14ac:dyDescent="0.2">
      <c r="AQ37986" s="31"/>
    </row>
    <row r="37987" spans="43:43" x14ac:dyDescent="0.2">
      <c r="AQ37987" s="31"/>
    </row>
    <row r="37988" spans="43:43" x14ac:dyDescent="0.2">
      <c r="AQ37988" s="31"/>
    </row>
    <row r="37989" spans="43:43" x14ac:dyDescent="0.2">
      <c r="AQ37989" s="31"/>
    </row>
    <row r="37990" spans="43:43" x14ac:dyDescent="0.2">
      <c r="AQ37990" s="31"/>
    </row>
    <row r="37991" spans="43:43" x14ac:dyDescent="0.2">
      <c r="AQ37991" s="31"/>
    </row>
    <row r="37992" spans="43:43" x14ac:dyDescent="0.2">
      <c r="AQ37992" s="31"/>
    </row>
    <row r="37993" spans="43:43" x14ac:dyDescent="0.2">
      <c r="AQ37993" s="31"/>
    </row>
    <row r="37994" spans="43:43" x14ac:dyDescent="0.2">
      <c r="AQ37994" s="31"/>
    </row>
    <row r="37995" spans="43:43" x14ac:dyDescent="0.2">
      <c r="AQ37995" s="31"/>
    </row>
    <row r="37996" spans="43:43" x14ac:dyDescent="0.2">
      <c r="AQ37996" s="31"/>
    </row>
    <row r="37997" spans="43:43" x14ac:dyDescent="0.2">
      <c r="AQ37997" s="31"/>
    </row>
    <row r="37998" spans="43:43" x14ac:dyDescent="0.2">
      <c r="AQ37998" s="31"/>
    </row>
    <row r="37999" spans="43:43" x14ac:dyDescent="0.2">
      <c r="AQ37999" s="31"/>
    </row>
    <row r="38000" spans="43:43" x14ac:dyDescent="0.2">
      <c r="AQ38000" s="31"/>
    </row>
    <row r="38001" spans="43:43" x14ac:dyDescent="0.2">
      <c r="AQ38001" s="31"/>
    </row>
    <row r="38002" spans="43:43" x14ac:dyDescent="0.2">
      <c r="AQ38002" s="31"/>
    </row>
    <row r="38003" spans="43:43" x14ac:dyDescent="0.2">
      <c r="AQ38003" s="31"/>
    </row>
    <row r="38004" spans="43:43" x14ac:dyDescent="0.2">
      <c r="AQ38004" s="31"/>
    </row>
    <row r="38005" spans="43:43" x14ac:dyDescent="0.2">
      <c r="AQ38005" s="31"/>
    </row>
    <row r="38006" spans="43:43" x14ac:dyDescent="0.2">
      <c r="AQ38006" s="31"/>
    </row>
    <row r="38007" spans="43:43" x14ac:dyDescent="0.2">
      <c r="AQ38007" s="31"/>
    </row>
    <row r="38008" spans="43:43" x14ac:dyDescent="0.2">
      <c r="AQ38008" s="31"/>
    </row>
    <row r="38009" spans="43:43" x14ac:dyDescent="0.2">
      <c r="AQ38009" s="31"/>
    </row>
    <row r="38010" spans="43:43" x14ac:dyDescent="0.2">
      <c r="AQ38010" s="31"/>
    </row>
    <row r="38011" spans="43:43" x14ac:dyDescent="0.2">
      <c r="AQ38011" s="31"/>
    </row>
    <row r="38012" spans="43:43" x14ac:dyDescent="0.2">
      <c r="AQ38012" s="31"/>
    </row>
    <row r="38013" spans="43:43" x14ac:dyDescent="0.2">
      <c r="AQ38013" s="31"/>
    </row>
    <row r="38014" spans="43:43" x14ac:dyDescent="0.2">
      <c r="AQ38014" s="31"/>
    </row>
    <row r="38015" spans="43:43" x14ac:dyDescent="0.2">
      <c r="AQ38015" s="31"/>
    </row>
    <row r="38016" spans="43:43" x14ac:dyDescent="0.2">
      <c r="AQ38016" s="31"/>
    </row>
    <row r="38017" spans="43:43" x14ac:dyDescent="0.2">
      <c r="AQ38017" s="31"/>
    </row>
    <row r="38018" spans="43:43" x14ac:dyDescent="0.2">
      <c r="AQ38018" s="31"/>
    </row>
    <row r="38019" spans="43:43" x14ac:dyDescent="0.2">
      <c r="AQ38019" s="31"/>
    </row>
    <row r="38020" spans="43:43" x14ac:dyDescent="0.2">
      <c r="AQ38020" s="31"/>
    </row>
    <row r="38021" spans="43:43" x14ac:dyDescent="0.2">
      <c r="AQ38021" s="31"/>
    </row>
    <row r="38022" spans="43:43" x14ac:dyDescent="0.2">
      <c r="AQ38022" s="31"/>
    </row>
    <row r="38023" spans="43:43" x14ac:dyDescent="0.2">
      <c r="AQ38023" s="31"/>
    </row>
    <row r="38024" spans="43:43" x14ac:dyDescent="0.2">
      <c r="AQ38024" s="31"/>
    </row>
    <row r="38025" spans="43:43" x14ac:dyDescent="0.2">
      <c r="AQ38025" s="31"/>
    </row>
    <row r="38026" spans="43:43" x14ac:dyDescent="0.2">
      <c r="AQ38026" s="31"/>
    </row>
    <row r="38027" spans="43:43" x14ac:dyDescent="0.2">
      <c r="AQ38027" s="31"/>
    </row>
    <row r="38028" spans="43:43" x14ac:dyDescent="0.2">
      <c r="AQ38028" s="31"/>
    </row>
    <row r="38029" spans="43:43" x14ac:dyDescent="0.2">
      <c r="AQ38029" s="31"/>
    </row>
    <row r="38030" spans="43:43" x14ac:dyDescent="0.2">
      <c r="AQ38030" s="31"/>
    </row>
    <row r="38031" spans="43:43" x14ac:dyDescent="0.2">
      <c r="AQ38031" s="31"/>
    </row>
    <row r="38032" spans="43:43" x14ac:dyDescent="0.2">
      <c r="AQ38032" s="31"/>
    </row>
    <row r="38033" spans="43:43" x14ac:dyDescent="0.2">
      <c r="AQ38033" s="31"/>
    </row>
    <row r="38034" spans="43:43" x14ac:dyDescent="0.2">
      <c r="AQ38034" s="31"/>
    </row>
    <row r="38035" spans="43:43" x14ac:dyDescent="0.2">
      <c r="AQ38035" s="31"/>
    </row>
    <row r="38036" spans="43:43" x14ac:dyDescent="0.2">
      <c r="AQ38036" s="31"/>
    </row>
    <row r="38037" spans="43:43" x14ac:dyDescent="0.2">
      <c r="AQ38037" s="31"/>
    </row>
    <row r="38038" spans="43:43" x14ac:dyDescent="0.2">
      <c r="AQ38038" s="31"/>
    </row>
    <row r="38039" spans="43:43" x14ac:dyDescent="0.2">
      <c r="AQ38039" s="31"/>
    </row>
    <row r="38040" spans="43:43" x14ac:dyDescent="0.2">
      <c r="AQ38040" s="31"/>
    </row>
    <row r="38041" spans="43:43" x14ac:dyDescent="0.2">
      <c r="AQ38041" s="31"/>
    </row>
    <row r="38042" spans="43:43" x14ac:dyDescent="0.2">
      <c r="AQ38042" s="31"/>
    </row>
    <row r="38043" spans="43:43" x14ac:dyDescent="0.2">
      <c r="AQ38043" s="31"/>
    </row>
    <row r="38044" spans="43:43" x14ac:dyDescent="0.2">
      <c r="AQ38044" s="31"/>
    </row>
    <row r="38045" spans="43:43" x14ac:dyDescent="0.2">
      <c r="AQ38045" s="31"/>
    </row>
    <row r="38046" spans="43:43" x14ac:dyDescent="0.2">
      <c r="AQ38046" s="31"/>
    </row>
    <row r="38047" spans="43:43" x14ac:dyDescent="0.2">
      <c r="AQ38047" s="31"/>
    </row>
    <row r="38048" spans="43:43" x14ac:dyDescent="0.2">
      <c r="AQ38048" s="31"/>
    </row>
    <row r="38049" spans="43:43" x14ac:dyDescent="0.2">
      <c r="AQ38049" s="31"/>
    </row>
    <row r="38050" spans="43:43" x14ac:dyDescent="0.2">
      <c r="AQ38050" s="31"/>
    </row>
    <row r="38051" spans="43:43" x14ac:dyDescent="0.2">
      <c r="AQ38051" s="31"/>
    </row>
    <row r="38052" spans="43:43" x14ac:dyDescent="0.2">
      <c r="AQ38052" s="31"/>
    </row>
    <row r="38053" spans="43:43" x14ac:dyDescent="0.2">
      <c r="AQ38053" s="31"/>
    </row>
    <row r="38054" spans="43:43" x14ac:dyDescent="0.2">
      <c r="AQ38054" s="31"/>
    </row>
    <row r="38055" spans="43:43" x14ac:dyDescent="0.2">
      <c r="AQ38055" s="31"/>
    </row>
    <row r="38056" spans="43:43" x14ac:dyDescent="0.2">
      <c r="AQ38056" s="31"/>
    </row>
    <row r="38057" spans="43:43" x14ac:dyDescent="0.2">
      <c r="AQ38057" s="31"/>
    </row>
    <row r="38058" spans="43:43" x14ac:dyDescent="0.2">
      <c r="AQ38058" s="31"/>
    </row>
    <row r="38059" spans="43:43" x14ac:dyDescent="0.2">
      <c r="AQ38059" s="31"/>
    </row>
    <row r="38060" spans="43:43" x14ac:dyDescent="0.2">
      <c r="AQ38060" s="31"/>
    </row>
    <row r="38061" spans="43:43" x14ac:dyDescent="0.2">
      <c r="AQ38061" s="31"/>
    </row>
    <row r="38062" spans="43:43" x14ac:dyDescent="0.2">
      <c r="AQ38062" s="31"/>
    </row>
    <row r="38063" spans="43:43" x14ac:dyDescent="0.2">
      <c r="AQ38063" s="31"/>
    </row>
    <row r="38064" spans="43:43" x14ac:dyDescent="0.2">
      <c r="AQ38064" s="31"/>
    </row>
    <row r="38065" spans="43:43" x14ac:dyDescent="0.2">
      <c r="AQ38065" s="31"/>
    </row>
    <row r="38066" spans="43:43" x14ac:dyDescent="0.2">
      <c r="AQ38066" s="31"/>
    </row>
    <row r="38067" spans="43:43" x14ac:dyDescent="0.2">
      <c r="AQ38067" s="31"/>
    </row>
    <row r="38068" spans="43:43" x14ac:dyDescent="0.2">
      <c r="AQ38068" s="31"/>
    </row>
    <row r="38069" spans="43:43" x14ac:dyDescent="0.2">
      <c r="AQ38069" s="31"/>
    </row>
    <row r="38070" spans="43:43" x14ac:dyDescent="0.2">
      <c r="AQ38070" s="31"/>
    </row>
    <row r="38071" spans="43:43" x14ac:dyDescent="0.2">
      <c r="AQ38071" s="31"/>
    </row>
    <row r="38072" spans="43:43" x14ac:dyDescent="0.2">
      <c r="AQ38072" s="31"/>
    </row>
    <row r="38073" spans="43:43" x14ac:dyDescent="0.2">
      <c r="AQ38073" s="31"/>
    </row>
    <row r="38074" spans="43:43" x14ac:dyDescent="0.2">
      <c r="AQ38074" s="31"/>
    </row>
    <row r="38075" spans="43:43" x14ac:dyDescent="0.2">
      <c r="AQ38075" s="31"/>
    </row>
    <row r="38076" spans="43:43" x14ac:dyDescent="0.2">
      <c r="AQ38076" s="31"/>
    </row>
    <row r="38077" spans="43:43" x14ac:dyDescent="0.2">
      <c r="AQ38077" s="31"/>
    </row>
    <row r="38078" spans="43:43" x14ac:dyDescent="0.2">
      <c r="AQ38078" s="31"/>
    </row>
    <row r="38079" spans="43:43" x14ac:dyDescent="0.2">
      <c r="AQ38079" s="31"/>
    </row>
    <row r="38080" spans="43:43" x14ac:dyDescent="0.2">
      <c r="AQ38080" s="31"/>
    </row>
    <row r="38081" spans="43:43" x14ac:dyDescent="0.2">
      <c r="AQ38081" s="31"/>
    </row>
    <row r="38082" spans="43:43" x14ac:dyDescent="0.2">
      <c r="AQ38082" s="31"/>
    </row>
    <row r="38083" spans="43:43" x14ac:dyDescent="0.2">
      <c r="AQ38083" s="31"/>
    </row>
    <row r="38084" spans="43:43" x14ac:dyDescent="0.2">
      <c r="AQ38084" s="31"/>
    </row>
    <row r="38085" spans="43:43" x14ac:dyDescent="0.2">
      <c r="AQ38085" s="31"/>
    </row>
    <row r="38086" spans="43:43" x14ac:dyDescent="0.2">
      <c r="AQ38086" s="31"/>
    </row>
    <row r="38087" spans="43:43" x14ac:dyDescent="0.2">
      <c r="AQ38087" s="31"/>
    </row>
    <row r="38088" spans="43:43" x14ac:dyDescent="0.2">
      <c r="AQ38088" s="31"/>
    </row>
    <row r="38089" spans="43:43" x14ac:dyDescent="0.2">
      <c r="AQ38089" s="31"/>
    </row>
    <row r="38090" spans="43:43" x14ac:dyDescent="0.2">
      <c r="AQ38090" s="31"/>
    </row>
    <row r="38091" spans="43:43" x14ac:dyDescent="0.2">
      <c r="AQ38091" s="31"/>
    </row>
    <row r="38092" spans="43:43" x14ac:dyDescent="0.2">
      <c r="AQ38092" s="31"/>
    </row>
    <row r="38093" spans="43:43" x14ac:dyDescent="0.2">
      <c r="AQ38093" s="31"/>
    </row>
    <row r="38094" spans="43:43" x14ac:dyDescent="0.2">
      <c r="AQ38094" s="31"/>
    </row>
    <row r="38095" spans="43:43" x14ac:dyDescent="0.2">
      <c r="AQ38095" s="31"/>
    </row>
    <row r="38096" spans="43:43" x14ac:dyDescent="0.2">
      <c r="AQ38096" s="31"/>
    </row>
    <row r="38097" spans="43:43" x14ac:dyDescent="0.2">
      <c r="AQ38097" s="31"/>
    </row>
    <row r="38098" spans="43:43" x14ac:dyDescent="0.2">
      <c r="AQ38098" s="31"/>
    </row>
    <row r="38099" spans="43:43" x14ac:dyDescent="0.2">
      <c r="AQ38099" s="31"/>
    </row>
    <row r="38100" spans="43:43" x14ac:dyDescent="0.2">
      <c r="AQ38100" s="31"/>
    </row>
    <row r="38101" spans="43:43" x14ac:dyDescent="0.2">
      <c r="AQ38101" s="31"/>
    </row>
    <row r="38102" spans="43:43" x14ac:dyDescent="0.2">
      <c r="AQ38102" s="31"/>
    </row>
    <row r="38103" spans="43:43" x14ac:dyDescent="0.2">
      <c r="AQ38103" s="31"/>
    </row>
    <row r="38104" spans="43:43" x14ac:dyDescent="0.2">
      <c r="AQ38104" s="31"/>
    </row>
    <row r="38105" spans="43:43" x14ac:dyDescent="0.2">
      <c r="AQ38105" s="31"/>
    </row>
    <row r="38106" spans="43:43" x14ac:dyDescent="0.2">
      <c r="AQ38106" s="31"/>
    </row>
    <row r="38107" spans="43:43" x14ac:dyDescent="0.2">
      <c r="AQ38107" s="31"/>
    </row>
    <row r="38108" spans="43:43" x14ac:dyDescent="0.2">
      <c r="AQ38108" s="31"/>
    </row>
    <row r="38109" spans="43:43" x14ac:dyDescent="0.2">
      <c r="AQ38109" s="31"/>
    </row>
    <row r="38110" spans="43:43" x14ac:dyDescent="0.2">
      <c r="AQ38110" s="31"/>
    </row>
    <row r="38111" spans="43:43" x14ac:dyDescent="0.2">
      <c r="AQ38111" s="31"/>
    </row>
    <row r="38112" spans="43:43" x14ac:dyDescent="0.2">
      <c r="AQ38112" s="31"/>
    </row>
    <row r="38113" spans="43:43" x14ac:dyDescent="0.2">
      <c r="AQ38113" s="31"/>
    </row>
    <row r="38114" spans="43:43" x14ac:dyDescent="0.2">
      <c r="AQ38114" s="31"/>
    </row>
    <row r="38115" spans="43:43" x14ac:dyDescent="0.2">
      <c r="AQ38115" s="31"/>
    </row>
    <row r="38116" spans="43:43" x14ac:dyDescent="0.2">
      <c r="AQ38116" s="31"/>
    </row>
    <row r="38117" spans="43:43" x14ac:dyDescent="0.2">
      <c r="AQ38117" s="31"/>
    </row>
    <row r="38118" spans="43:43" x14ac:dyDescent="0.2">
      <c r="AQ38118" s="31"/>
    </row>
    <row r="38119" spans="43:43" x14ac:dyDescent="0.2">
      <c r="AQ38119" s="31"/>
    </row>
    <row r="38120" spans="43:43" x14ac:dyDescent="0.2">
      <c r="AQ38120" s="31"/>
    </row>
    <row r="38121" spans="43:43" x14ac:dyDescent="0.2">
      <c r="AQ38121" s="31"/>
    </row>
    <row r="38122" spans="43:43" x14ac:dyDescent="0.2">
      <c r="AQ38122" s="31"/>
    </row>
    <row r="38123" spans="43:43" x14ac:dyDescent="0.2">
      <c r="AQ38123" s="31"/>
    </row>
    <row r="38124" spans="43:43" x14ac:dyDescent="0.2">
      <c r="AQ38124" s="31"/>
    </row>
    <row r="38125" spans="43:43" x14ac:dyDescent="0.2">
      <c r="AQ38125" s="31"/>
    </row>
    <row r="38126" spans="43:43" x14ac:dyDescent="0.2">
      <c r="AQ38126" s="31"/>
    </row>
    <row r="38127" spans="43:43" x14ac:dyDescent="0.2">
      <c r="AQ38127" s="31"/>
    </row>
    <row r="38128" spans="43:43" x14ac:dyDescent="0.2">
      <c r="AQ38128" s="31"/>
    </row>
    <row r="38129" spans="43:43" x14ac:dyDescent="0.2">
      <c r="AQ38129" s="31"/>
    </row>
    <row r="38130" spans="43:43" x14ac:dyDescent="0.2">
      <c r="AQ38130" s="31"/>
    </row>
    <row r="38131" spans="43:43" x14ac:dyDescent="0.2">
      <c r="AQ38131" s="31"/>
    </row>
    <row r="38132" spans="43:43" x14ac:dyDescent="0.2">
      <c r="AQ38132" s="31"/>
    </row>
    <row r="38133" spans="43:43" x14ac:dyDescent="0.2">
      <c r="AQ38133" s="31"/>
    </row>
    <row r="38134" spans="43:43" x14ac:dyDescent="0.2">
      <c r="AQ38134" s="31"/>
    </row>
    <row r="38135" spans="43:43" x14ac:dyDescent="0.2">
      <c r="AQ38135" s="31"/>
    </row>
    <row r="38136" spans="43:43" x14ac:dyDescent="0.2">
      <c r="AQ38136" s="31"/>
    </row>
    <row r="38137" spans="43:43" x14ac:dyDescent="0.2">
      <c r="AQ38137" s="31"/>
    </row>
    <row r="38138" spans="43:43" x14ac:dyDescent="0.2">
      <c r="AQ38138" s="31"/>
    </row>
    <row r="38139" spans="43:43" x14ac:dyDescent="0.2">
      <c r="AQ38139" s="31"/>
    </row>
    <row r="38140" spans="43:43" x14ac:dyDescent="0.2">
      <c r="AQ38140" s="31"/>
    </row>
    <row r="38141" spans="43:43" x14ac:dyDescent="0.2">
      <c r="AQ38141" s="31"/>
    </row>
    <row r="38142" spans="43:43" x14ac:dyDescent="0.2">
      <c r="AQ38142" s="31"/>
    </row>
    <row r="38143" spans="43:43" x14ac:dyDescent="0.2">
      <c r="AQ38143" s="31"/>
    </row>
    <row r="38144" spans="43:43" x14ac:dyDescent="0.2">
      <c r="AQ38144" s="31"/>
    </row>
    <row r="38145" spans="43:43" x14ac:dyDescent="0.2">
      <c r="AQ38145" s="31"/>
    </row>
    <row r="38146" spans="43:43" x14ac:dyDescent="0.2">
      <c r="AQ38146" s="31"/>
    </row>
    <row r="38147" spans="43:43" x14ac:dyDescent="0.2">
      <c r="AQ38147" s="31"/>
    </row>
    <row r="38148" spans="43:43" x14ac:dyDescent="0.2">
      <c r="AQ38148" s="31"/>
    </row>
    <row r="38149" spans="43:43" x14ac:dyDescent="0.2">
      <c r="AQ38149" s="31"/>
    </row>
    <row r="38150" spans="43:43" x14ac:dyDescent="0.2">
      <c r="AQ38150" s="31"/>
    </row>
    <row r="38151" spans="43:43" x14ac:dyDescent="0.2">
      <c r="AQ38151" s="31"/>
    </row>
    <row r="38152" spans="43:43" x14ac:dyDescent="0.2">
      <c r="AQ38152" s="31"/>
    </row>
    <row r="38153" spans="43:43" x14ac:dyDescent="0.2">
      <c r="AQ38153" s="31"/>
    </row>
    <row r="38154" spans="43:43" x14ac:dyDescent="0.2">
      <c r="AQ38154" s="31"/>
    </row>
    <row r="38155" spans="43:43" x14ac:dyDescent="0.2">
      <c r="AQ38155" s="31"/>
    </row>
    <row r="38156" spans="43:43" x14ac:dyDescent="0.2">
      <c r="AQ38156" s="31"/>
    </row>
    <row r="38157" spans="43:43" x14ac:dyDescent="0.2">
      <c r="AQ38157" s="31"/>
    </row>
    <row r="38158" spans="43:43" x14ac:dyDescent="0.2">
      <c r="AQ38158" s="31"/>
    </row>
    <row r="38159" spans="43:43" x14ac:dyDescent="0.2">
      <c r="AQ38159" s="31"/>
    </row>
    <row r="38160" spans="43:43" x14ac:dyDescent="0.2">
      <c r="AQ38160" s="31"/>
    </row>
    <row r="38161" spans="43:43" x14ac:dyDescent="0.2">
      <c r="AQ38161" s="31"/>
    </row>
    <row r="38162" spans="43:43" x14ac:dyDescent="0.2">
      <c r="AQ38162" s="31"/>
    </row>
    <row r="38163" spans="43:43" x14ac:dyDescent="0.2">
      <c r="AQ38163" s="31"/>
    </row>
    <row r="38164" spans="43:43" x14ac:dyDescent="0.2">
      <c r="AQ38164" s="31"/>
    </row>
    <row r="38165" spans="43:43" x14ac:dyDescent="0.2">
      <c r="AQ38165" s="31"/>
    </row>
    <row r="38166" spans="43:43" x14ac:dyDescent="0.2">
      <c r="AQ38166" s="31"/>
    </row>
    <row r="38167" spans="43:43" x14ac:dyDescent="0.2">
      <c r="AQ38167" s="31"/>
    </row>
    <row r="38168" spans="43:43" x14ac:dyDescent="0.2">
      <c r="AQ38168" s="31"/>
    </row>
    <row r="38169" spans="43:43" x14ac:dyDescent="0.2">
      <c r="AQ38169" s="31"/>
    </row>
    <row r="38170" spans="43:43" x14ac:dyDescent="0.2">
      <c r="AQ38170" s="31"/>
    </row>
    <row r="38171" spans="43:43" x14ac:dyDescent="0.2">
      <c r="AQ38171" s="31"/>
    </row>
    <row r="38172" spans="43:43" x14ac:dyDescent="0.2">
      <c r="AQ38172" s="31"/>
    </row>
    <row r="38173" spans="43:43" x14ac:dyDescent="0.2">
      <c r="AQ38173" s="31"/>
    </row>
    <row r="38174" spans="43:43" x14ac:dyDescent="0.2">
      <c r="AQ38174" s="31"/>
    </row>
    <row r="38175" spans="43:43" x14ac:dyDescent="0.2">
      <c r="AQ38175" s="31"/>
    </row>
    <row r="38176" spans="43:43" x14ac:dyDescent="0.2">
      <c r="AQ38176" s="31"/>
    </row>
    <row r="38177" spans="43:43" x14ac:dyDescent="0.2">
      <c r="AQ38177" s="31"/>
    </row>
    <row r="38178" spans="43:43" x14ac:dyDescent="0.2">
      <c r="AQ38178" s="31"/>
    </row>
    <row r="38179" spans="43:43" x14ac:dyDescent="0.2">
      <c r="AQ38179" s="31"/>
    </row>
    <row r="38180" spans="43:43" x14ac:dyDescent="0.2">
      <c r="AQ38180" s="31"/>
    </row>
    <row r="38181" spans="43:43" x14ac:dyDescent="0.2">
      <c r="AQ38181" s="31"/>
    </row>
    <row r="38182" spans="43:43" x14ac:dyDescent="0.2">
      <c r="AQ38182" s="31"/>
    </row>
    <row r="38183" spans="43:43" x14ac:dyDescent="0.2">
      <c r="AQ38183" s="31"/>
    </row>
    <row r="38184" spans="43:43" x14ac:dyDescent="0.2">
      <c r="AQ38184" s="31"/>
    </row>
    <row r="38185" spans="43:43" x14ac:dyDescent="0.2">
      <c r="AQ38185" s="31"/>
    </row>
    <row r="38186" spans="43:43" x14ac:dyDescent="0.2">
      <c r="AQ38186" s="31"/>
    </row>
    <row r="38187" spans="43:43" x14ac:dyDescent="0.2">
      <c r="AQ38187" s="31"/>
    </row>
    <row r="38188" spans="43:43" x14ac:dyDescent="0.2">
      <c r="AQ38188" s="31"/>
    </row>
    <row r="38189" spans="43:43" x14ac:dyDescent="0.2">
      <c r="AQ38189" s="31"/>
    </row>
    <row r="38190" spans="43:43" x14ac:dyDescent="0.2">
      <c r="AQ38190" s="31"/>
    </row>
    <row r="38191" spans="43:43" x14ac:dyDescent="0.2">
      <c r="AQ38191" s="31"/>
    </row>
    <row r="38192" spans="43:43" x14ac:dyDescent="0.2">
      <c r="AQ38192" s="31"/>
    </row>
    <row r="38193" spans="43:43" x14ac:dyDescent="0.2">
      <c r="AQ38193" s="31"/>
    </row>
    <row r="38194" spans="43:43" x14ac:dyDescent="0.2">
      <c r="AQ38194" s="31"/>
    </row>
    <row r="38195" spans="43:43" x14ac:dyDescent="0.2">
      <c r="AQ38195" s="31"/>
    </row>
    <row r="38196" spans="43:43" x14ac:dyDescent="0.2">
      <c r="AQ38196" s="31"/>
    </row>
    <row r="38197" spans="43:43" x14ac:dyDescent="0.2">
      <c r="AQ38197" s="31"/>
    </row>
    <row r="38198" spans="43:43" x14ac:dyDescent="0.2">
      <c r="AQ38198" s="31"/>
    </row>
    <row r="38199" spans="43:43" x14ac:dyDescent="0.2">
      <c r="AQ38199" s="31"/>
    </row>
    <row r="38200" spans="43:43" x14ac:dyDescent="0.2">
      <c r="AQ38200" s="31"/>
    </row>
    <row r="38201" spans="43:43" x14ac:dyDescent="0.2">
      <c r="AQ38201" s="31"/>
    </row>
    <row r="38202" spans="43:43" x14ac:dyDescent="0.2">
      <c r="AQ38202" s="31"/>
    </row>
    <row r="38203" spans="43:43" x14ac:dyDescent="0.2">
      <c r="AQ38203" s="31"/>
    </row>
    <row r="38204" spans="43:43" x14ac:dyDescent="0.2">
      <c r="AQ38204" s="31"/>
    </row>
    <row r="38205" spans="43:43" x14ac:dyDescent="0.2">
      <c r="AQ38205" s="31"/>
    </row>
    <row r="38206" spans="43:43" x14ac:dyDescent="0.2">
      <c r="AQ38206" s="31"/>
    </row>
    <row r="38207" spans="43:43" x14ac:dyDescent="0.2">
      <c r="AQ38207" s="31"/>
    </row>
    <row r="38208" spans="43:43" x14ac:dyDescent="0.2">
      <c r="AQ38208" s="31"/>
    </row>
    <row r="38209" spans="43:43" x14ac:dyDescent="0.2">
      <c r="AQ38209" s="31"/>
    </row>
    <row r="38210" spans="43:43" x14ac:dyDescent="0.2">
      <c r="AQ38210" s="31"/>
    </row>
    <row r="38211" spans="43:43" x14ac:dyDescent="0.2">
      <c r="AQ38211" s="31"/>
    </row>
    <row r="38212" spans="43:43" x14ac:dyDescent="0.2">
      <c r="AQ38212" s="31"/>
    </row>
    <row r="38213" spans="43:43" x14ac:dyDescent="0.2">
      <c r="AQ38213" s="31"/>
    </row>
    <row r="38214" spans="43:43" x14ac:dyDescent="0.2">
      <c r="AQ38214" s="31"/>
    </row>
    <row r="38215" spans="43:43" x14ac:dyDescent="0.2">
      <c r="AQ38215" s="31"/>
    </row>
    <row r="38216" spans="43:43" x14ac:dyDescent="0.2">
      <c r="AQ38216" s="31"/>
    </row>
    <row r="38217" spans="43:43" x14ac:dyDescent="0.2">
      <c r="AQ38217" s="31"/>
    </row>
    <row r="38218" spans="43:43" x14ac:dyDescent="0.2">
      <c r="AQ38218" s="31"/>
    </row>
    <row r="38219" spans="43:43" x14ac:dyDescent="0.2">
      <c r="AQ38219" s="31"/>
    </row>
    <row r="38220" spans="43:43" x14ac:dyDescent="0.2">
      <c r="AQ38220" s="31"/>
    </row>
    <row r="38221" spans="43:43" x14ac:dyDescent="0.2">
      <c r="AQ38221" s="31"/>
    </row>
    <row r="38222" spans="43:43" x14ac:dyDescent="0.2">
      <c r="AQ38222" s="31"/>
    </row>
    <row r="38223" spans="43:43" x14ac:dyDescent="0.2">
      <c r="AQ38223" s="31"/>
    </row>
    <row r="38224" spans="43:43" x14ac:dyDescent="0.2">
      <c r="AQ38224" s="31"/>
    </row>
    <row r="38225" spans="43:43" x14ac:dyDescent="0.2">
      <c r="AQ38225" s="31"/>
    </row>
    <row r="38226" spans="43:43" x14ac:dyDescent="0.2">
      <c r="AQ38226" s="31"/>
    </row>
    <row r="38227" spans="43:43" x14ac:dyDescent="0.2">
      <c r="AQ38227" s="31"/>
    </row>
    <row r="38228" spans="43:43" x14ac:dyDescent="0.2">
      <c r="AQ38228" s="31"/>
    </row>
    <row r="38229" spans="43:43" x14ac:dyDescent="0.2">
      <c r="AQ38229" s="31"/>
    </row>
    <row r="38230" spans="43:43" x14ac:dyDescent="0.2">
      <c r="AQ38230" s="31"/>
    </row>
    <row r="38231" spans="43:43" x14ac:dyDescent="0.2">
      <c r="AQ38231" s="31"/>
    </row>
    <row r="38232" spans="43:43" x14ac:dyDescent="0.2">
      <c r="AQ38232" s="31"/>
    </row>
    <row r="38233" spans="43:43" x14ac:dyDescent="0.2">
      <c r="AQ38233" s="31"/>
    </row>
    <row r="38234" spans="43:43" x14ac:dyDescent="0.2">
      <c r="AQ38234" s="31"/>
    </row>
    <row r="38235" spans="43:43" x14ac:dyDescent="0.2">
      <c r="AQ38235" s="31"/>
    </row>
    <row r="38236" spans="43:43" x14ac:dyDescent="0.2">
      <c r="AQ38236" s="31"/>
    </row>
    <row r="38237" spans="43:43" x14ac:dyDescent="0.2">
      <c r="AQ38237" s="31"/>
    </row>
    <row r="38238" spans="43:43" x14ac:dyDescent="0.2">
      <c r="AQ38238" s="31"/>
    </row>
    <row r="38239" spans="43:43" x14ac:dyDescent="0.2">
      <c r="AQ38239" s="31"/>
    </row>
    <row r="38240" spans="43:43" x14ac:dyDescent="0.2">
      <c r="AQ38240" s="31"/>
    </row>
    <row r="38241" spans="43:43" x14ac:dyDescent="0.2">
      <c r="AQ38241" s="31"/>
    </row>
    <row r="38242" spans="43:43" x14ac:dyDescent="0.2">
      <c r="AQ38242" s="31"/>
    </row>
    <row r="38243" spans="43:43" x14ac:dyDescent="0.2">
      <c r="AQ38243" s="31"/>
    </row>
    <row r="38244" spans="43:43" x14ac:dyDescent="0.2">
      <c r="AQ38244" s="31"/>
    </row>
    <row r="38245" spans="43:43" x14ac:dyDescent="0.2">
      <c r="AQ38245" s="31"/>
    </row>
    <row r="38246" spans="43:43" x14ac:dyDescent="0.2">
      <c r="AQ38246" s="31"/>
    </row>
    <row r="38247" spans="43:43" x14ac:dyDescent="0.2">
      <c r="AQ38247" s="31"/>
    </row>
    <row r="38248" spans="43:43" x14ac:dyDescent="0.2">
      <c r="AQ38248" s="31"/>
    </row>
    <row r="38249" spans="43:43" x14ac:dyDescent="0.2">
      <c r="AQ38249" s="31"/>
    </row>
    <row r="38250" spans="43:43" x14ac:dyDescent="0.2">
      <c r="AQ38250" s="31"/>
    </row>
    <row r="38251" spans="43:43" x14ac:dyDescent="0.2">
      <c r="AQ38251" s="31"/>
    </row>
    <row r="38252" spans="43:43" x14ac:dyDescent="0.2">
      <c r="AQ38252" s="31"/>
    </row>
    <row r="38253" spans="43:43" x14ac:dyDescent="0.2">
      <c r="AQ38253" s="31"/>
    </row>
    <row r="38254" spans="43:43" x14ac:dyDescent="0.2">
      <c r="AQ38254" s="31"/>
    </row>
    <row r="38255" spans="43:43" x14ac:dyDescent="0.2">
      <c r="AQ38255" s="31"/>
    </row>
    <row r="38256" spans="43:43" x14ac:dyDescent="0.2">
      <c r="AQ38256" s="31"/>
    </row>
    <row r="38257" spans="43:43" x14ac:dyDescent="0.2">
      <c r="AQ38257" s="31"/>
    </row>
    <row r="38258" spans="43:43" x14ac:dyDescent="0.2">
      <c r="AQ38258" s="31"/>
    </row>
    <row r="38259" spans="43:43" x14ac:dyDescent="0.2">
      <c r="AQ38259" s="31"/>
    </row>
    <row r="38260" spans="43:43" x14ac:dyDescent="0.2">
      <c r="AQ38260" s="31"/>
    </row>
    <row r="38261" spans="43:43" x14ac:dyDescent="0.2">
      <c r="AQ38261" s="31"/>
    </row>
    <row r="38262" spans="43:43" x14ac:dyDescent="0.2">
      <c r="AQ38262" s="31"/>
    </row>
    <row r="38263" spans="43:43" x14ac:dyDescent="0.2">
      <c r="AQ38263" s="31"/>
    </row>
    <row r="38264" spans="43:43" x14ac:dyDescent="0.2">
      <c r="AQ38264" s="31"/>
    </row>
    <row r="38265" spans="43:43" x14ac:dyDescent="0.2">
      <c r="AQ38265" s="31"/>
    </row>
    <row r="38266" spans="43:43" x14ac:dyDescent="0.2">
      <c r="AQ38266" s="31"/>
    </row>
    <row r="38267" spans="43:43" x14ac:dyDescent="0.2">
      <c r="AQ38267" s="31"/>
    </row>
    <row r="38268" spans="43:43" x14ac:dyDescent="0.2">
      <c r="AQ38268" s="31"/>
    </row>
    <row r="38269" spans="43:43" x14ac:dyDescent="0.2">
      <c r="AQ38269" s="31"/>
    </row>
    <row r="38270" spans="43:43" x14ac:dyDescent="0.2">
      <c r="AQ38270" s="31"/>
    </row>
    <row r="38271" spans="43:43" x14ac:dyDescent="0.2">
      <c r="AQ38271" s="31"/>
    </row>
    <row r="38272" spans="43:43" x14ac:dyDescent="0.2">
      <c r="AQ38272" s="31"/>
    </row>
    <row r="38273" spans="43:43" x14ac:dyDescent="0.2">
      <c r="AQ38273" s="31"/>
    </row>
    <row r="38274" spans="43:43" x14ac:dyDescent="0.2">
      <c r="AQ38274" s="31"/>
    </row>
    <row r="38275" spans="43:43" x14ac:dyDescent="0.2">
      <c r="AQ38275" s="31"/>
    </row>
    <row r="38276" spans="43:43" x14ac:dyDescent="0.2">
      <c r="AQ38276" s="31"/>
    </row>
    <row r="38277" spans="43:43" x14ac:dyDescent="0.2">
      <c r="AQ38277" s="31"/>
    </row>
    <row r="38278" spans="43:43" x14ac:dyDescent="0.2">
      <c r="AQ38278" s="31"/>
    </row>
    <row r="38279" spans="43:43" x14ac:dyDescent="0.2">
      <c r="AQ38279" s="31"/>
    </row>
    <row r="38280" spans="43:43" x14ac:dyDescent="0.2">
      <c r="AQ38280" s="31"/>
    </row>
    <row r="38281" spans="43:43" x14ac:dyDescent="0.2">
      <c r="AQ38281" s="31"/>
    </row>
    <row r="38282" spans="43:43" x14ac:dyDescent="0.2">
      <c r="AQ38282" s="31"/>
    </row>
    <row r="38283" spans="43:43" x14ac:dyDescent="0.2">
      <c r="AQ38283" s="31"/>
    </row>
    <row r="38284" spans="43:43" x14ac:dyDescent="0.2">
      <c r="AQ38284" s="31"/>
    </row>
    <row r="38285" spans="43:43" x14ac:dyDescent="0.2">
      <c r="AQ38285" s="31"/>
    </row>
    <row r="38286" spans="43:43" x14ac:dyDescent="0.2">
      <c r="AQ38286" s="31"/>
    </row>
    <row r="38287" spans="43:43" x14ac:dyDescent="0.2">
      <c r="AQ38287" s="31"/>
    </row>
    <row r="38288" spans="43:43" x14ac:dyDescent="0.2">
      <c r="AQ38288" s="31"/>
    </row>
    <row r="38289" spans="43:43" x14ac:dyDescent="0.2">
      <c r="AQ38289" s="31"/>
    </row>
    <row r="38290" spans="43:43" x14ac:dyDescent="0.2">
      <c r="AQ38290" s="31"/>
    </row>
    <row r="38291" spans="43:43" x14ac:dyDescent="0.2">
      <c r="AQ38291" s="31"/>
    </row>
    <row r="38292" spans="43:43" x14ac:dyDescent="0.2">
      <c r="AQ38292" s="31"/>
    </row>
    <row r="38293" spans="43:43" x14ac:dyDescent="0.2">
      <c r="AQ38293" s="31"/>
    </row>
    <row r="38294" spans="43:43" x14ac:dyDescent="0.2">
      <c r="AQ38294" s="31"/>
    </row>
    <row r="38295" spans="43:43" x14ac:dyDescent="0.2">
      <c r="AQ38295" s="31"/>
    </row>
    <row r="38296" spans="43:43" x14ac:dyDescent="0.2">
      <c r="AQ38296" s="31"/>
    </row>
    <row r="38297" spans="43:43" x14ac:dyDescent="0.2">
      <c r="AQ38297" s="31"/>
    </row>
    <row r="38298" spans="43:43" x14ac:dyDescent="0.2">
      <c r="AQ38298" s="31"/>
    </row>
    <row r="38299" spans="43:43" x14ac:dyDescent="0.2">
      <c r="AQ38299" s="31"/>
    </row>
    <row r="38300" spans="43:43" x14ac:dyDescent="0.2">
      <c r="AQ38300" s="31"/>
    </row>
    <row r="38301" spans="43:43" x14ac:dyDescent="0.2">
      <c r="AQ38301" s="31"/>
    </row>
    <row r="38302" spans="43:43" x14ac:dyDescent="0.2">
      <c r="AQ38302" s="31"/>
    </row>
    <row r="38303" spans="43:43" x14ac:dyDescent="0.2">
      <c r="AQ38303" s="31"/>
    </row>
    <row r="38304" spans="43:43" x14ac:dyDescent="0.2">
      <c r="AQ38304" s="31"/>
    </row>
    <row r="38305" spans="43:43" x14ac:dyDescent="0.2">
      <c r="AQ38305" s="31"/>
    </row>
    <row r="38306" spans="43:43" x14ac:dyDescent="0.2">
      <c r="AQ38306" s="31"/>
    </row>
    <row r="38307" spans="43:43" x14ac:dyDescent="0.2">
      <c r="AQ38307" s="31"/>
    </row>
    <row r="38308" spans="43:43" x14ac:dyDescent="0.2">
      <c r="AQ38308" s="31"/>
    </row>
    <row r="38309" spans="43:43" x14ac:dyDescent="0.2">
      <c r="AQ38309" s="31"/>
    </row>
    <row r="38310" spans="43:43" x14ac:dyDescent="0.2">
      <c r="AQ38310" s="31"/>
    </row>
    <row r="38311" spans="43:43" x14ac:dyDescent="0.2">
      <c r="AQ38311" s="31"/>
    </row>
    <row r="38312" spans="43:43" x14ac:dyDescent="0.2">
      <c r="AQ38312" s="31"/>
    </row>
    <row r="38313" spans="43:43" x14ac:dyDescent="0.2">
      <c r="AQ38313" s="31"/>
    </row>
    <row r="38314" spans="43:43" x14ac:dyDescent="0.2">
      <c r="AQ38314" s="31"/>
    </row>
    <row r="38315" spans="43:43" x14ac:dyDescent="0.2">
      <c r="AQ38315" s="31"/>
    </row>
    <row r="38316" spans="43:43" x14ac:dyDescent="0.2">
      <c r="AQ38316" s="31"/>
    </row>
    <row r="38317" spans="43:43" x14ac:dyDescent="0.2">
      <c r="AQ38317" s="31"/>
    </row>
    <row r="38318" spans="43:43" x14ac:dyDescent="0.2">
      <c r="AQ38318" s="31"/>
    </row>
    <row r="38319" spans="43:43" x14ac:dyDescent="0.2">
      <c r="AQ38319" s="31"/>
    </row>
    <row r="38320" spans="43:43" x14ac:dyDescent="0.2">
      <c r="AQ38320" s="31"/>
    </row>
    <row r="38321" spans="43:43" x14ac:dyDescent="0.2">
      <c r="AQ38321" s="31"/>
    </row>
    <row r="38322" spans="43:43" x14ac:dyDescent="0.2">
      <c r="AQ38322" s="31"/>
    </row>
    <row r="38323" spans="43:43" x14ac:dyDescent="0.2">
      <c r="AQ38323" s="31"/>
    </row>
    <row r="38324" spans="43:43" x14ac:dyDescent="0.2">
      <c r="AQ38324" s="31"/>
    </row>
    <row r="38325" spans="43:43" x14ac:dyDescent="0.2">
      <c r="AQ38325" s="31"/>
    </row>
    <row r="38326" spans="43:43" x14ac:dyDescent="0.2">
      <c r="AQ38326" s="31"/>
    </row>
    <row r="38327" spans="43:43" x14ac:dyDescent="0.2">
      <c r="AQ38327" s="31"/>
    </row>
    <row r="38328" spans="43:43" x14ac:dyDescent="0.2">
      <c r="AQ38328" s="31"/>
    </row>
    <row r="38329" spans="43:43" x14ac:dyDescent="0.2">
      <c r="AQ38329" s="31"/>
    </row>
    <row r="38330" spans="43:43" x14ac:dyDescent="0.2">
      <c r="AQ38330" s="31"/>
    </row>
    <row r="38331" spans="43:43" x14ac:dyDescent="0.2">
      <c r="AQ38331" s="31"/>
    </row>
    <row r="38332" spans="43:43" x14ac:dyDescent="0.2">
      <c r="AQ38332" s="31"/>
    </row>
    <row r="38333" spans="43:43" x14ac:dyDescent="0.2">
      <c r="AQ38333" s="31"/>
    </row>
    <row r="38334" spans="43:43" x14ac:dyDescent="0.2">
      <c r="AQ38334" s="31"/>
    </row>
    <row r="38335" spans="43:43" x14ac:dyDescent="0.2">
      <c r="AQ38335" s="31"/>
    </row>
    <row r="38336" spans="43:43" x14ac:dyDescent="0.2">
      <c r="AQ38336" s="31"/>
    </row>
    <row r="38337" spans="43:43" x14ac:dyDescent="0.2">
      <c r="AQ38337" s="31"/>
    </row>
    <row r="38338" spans="43:43" x14ac:dyDescent="0.2">
      <c r="AQ38338" s="31"/>
    </row>
    <row r="38339" spans="43:43" x14ac:dyDescent="0.2">
      <c r="AQ38339" s="31"/>
    </row>
    <row r="38340" spans="43:43" x14ac:dyDescent="0.2">
      <c r="AQ38340" s="31"/>
    </row>
    <row r="38341" spans="43:43" x14ac:dyDescent="0.2">
      <c r="AQ38341" s="31"/>
    </row>
    <row r="38342" spans="43:43" x14ac:dyDescent="0.2">
      <c r="AQ38342" s="31"/>
    </row>
    <row r="38343" spans="43:43" x14ac:dyDescent="0.2">
      <c r="AQ38343" s="31"/>
    </row>
    <row r="38344" spans="43:43" x14ac:dyDescent="0.2">
      <c r="AQ38344" s="31"/>
    </row>
    <row r="38345" spans="43:43" x14ac:dyDescent="0.2">
      <c r="AQ38345" s="31"/>
    </row>
    <row r="38346" spans="43:43" x14ac:dyDescent="0.2">
      <c r="AQ38346" s="31"/>
    </row>
    <row r="38347" spans="43:43" x14ac:dyDescent="0.2">
      <c r="AQ38347" s="31"/>
    </row>
    <row r="38348" spans="43:43" x14ac:dyDescent="0.2">
      <c r="AQ38348" s="31"/>
    </row>
    <row r="38349" spans="43:43" x14ac:dyDescent="0.2">
      <c r="AQ38349" s="31"/>
    </row>
    <row r="38350" spans="43:43" x14ac:dyDescent="0.2">
      <c r="AQ38350" s="31"/>
    </row>
    <row r="38351" spans="43:43" x14ac:dyDescent="0.2">
      <c r="AQ38351" s="31"/>
    </row>
    <row r="38352" spans="43:43" x14ac:dyDescent="0.2">
      <c r="AQ38352" s="31"/>
    </row>
    <row r="38353" spans="43:43" x14ac:dyDescent="0.2">
      <c r="AQ38353" s="31"/>
    </row>
    <row r="38354" spans="43:43" x14ac:dyDescent="0.2">
      <c r="AQ38354" s="31"/>
    </row>
    <row r="38355" spans="43:43" x14ac:dyDescent="0.2">
      <c r="AQ38355" s="31"/>
    </row>
    <row r="38356" spans="43:43" x14ac:dyDescent="0.2">
      <c r="AQ38356" s="31"/>
    </row>
    <row r="38357" spans="43:43" x14ac:dyDescent="0.2">
      <c r="AQ38357" s="31"/>
    </row>
    <row r="38358" spans="43:43" x14ac:dyDescent="0.2">
      <c r="AQ38358" s="31"/>
    </row>
    <row r="38359" spans="43:43" x14ac:dyDescent="0.2">
      <c r="AQ38359" s="31"/>
    </row>
    <row r="38360" spans="43:43" x14ac:dyDescent="0.2">
      <c r="AQ38360" s="31"/>
    </row>
    <row r="38361" spans="43:43" x14ac:dyDescent="0.2">
      <c r="AQ38361" s="31"/>
    </row>
    <row r="38362" spans="43:43" x14ac:dyDescent="0.2">
      <c r="AQ38362" s="31"/>
    </row>
    <row r="38363" spans="43:43" x14ac:dyDescent="0.2">
      <c r="AQ38363" s="31"/>
    </row>
    <row r="38364" spans="43:43" x14ac:dyDescent="0.2">
      <c r="AQ38364" s="31"/>
    </row>
    <row r="38365" spans="43:43" x14ac:dyDescent="0.2">
      <c r="AQ38365" s="31"/>
    </row>
    <row r="38366" spans="43:43" x14ac:dyDescent="0.2">
      <c r="AQ38366" s="31"/>
    </row>
    <row r="38367" spans="43:43" x14ac:dyDescent="0.2">
      <c r="AQ38367" s="31"/>
    </row>
    <row r="38368" spans="43:43" x14ac:dyDescent="0.2">
      <c r="AQ38368" s="31"/>
    </row>
    <row r="38369" spans="43:43" x14ac:dyDescent="0.2">
      <c r="AQ38369" s="31"/>
    </row>
    <row r="38370" spans="43:43" x14ac:dyDescent="0.2">
      <c r="AQ38370" s="31"/>
    </row>
    <row r="38371" spans="43:43" x14ac:dyDescent="0.2">
      <c r="AQ38371" s="31"/>
    </row>
    <row r="38372" spans="43:43" x14ac:dyDescent="0.2">
      <c r="AQ38372" s="31"/>
    </row>
    <row r="38373" spans="43:43" x14ac:dyDescent="0.2">
      <c r="AQ38373" s="31"/>
    </row>
    <row r="38374" spans="43:43" x14ac:dyDescent="0.2">
      <c r="AQ38374" s="31"/>
    </row>
    <row r="38375" spans="43:43" x14ac:dyDescent="0.2">
      <c r="AQ38375" s="31"/>
    </row>
    <row r="38376" spans="43:43" x14ac:dyDescent="0.2">
      <c r="AQ38376" s="31"/>
    </row>
    <row r="38377" spans="43:43" x14ac:dyDescent="0.2">
      <c r="AQ38377" s="31"/>
    </row>
    <row r="38378" spans="43:43" x14ac:dyDescent="0.2">
      <c r="AQ38378" s="31"/>
    </row>
    <row r="38379" spans="43:43" x14ac:dyDescent="0.2">
      <c r="AQ38379" s="31"/>
    </row>
    <row r="38380" spans="43:43" x14ac:dyDescent="0.2">
      <c r="AQ38380" s="31"/>
    </row>
    <row r="38381" spans="43:43" x14ac:dyDescent="0.2">
      <c r="AQ38381" s="31"/>
    </row>
    <row r="38382" spans="43:43" x14ac:dyDescent="0.2">
      <c r="AQ38382" s="31"/>
    </row>
    <row r="38383" spans="43:43" x14ac:dyDescent="0.2">
      <c r="AQ38383" s="31"/>
    </row>
    <row r="38384" spans="43:43" x14ac:dyDescent="0.2">
      <c r="AQ38384" s="31"/>
    </row>
    <row r="38385" spans="43:43" x14ac:dyDescent="0.2">
      <c r="AQ38385" s="31"/>
    </row>
    <row r="38386" spans="43:43" x14ac:dyDescent="0.2">
      <c r="AQ38386" s="31"/>
    </row>
    <row r="38387" spans="43:43" x14ac:dyDescent="0.2">
      <c r="AQ38387" s="31"/>
    </row>
    <row r="38388" spans="43:43" x14ac:dyDescent="0.2">
      <c r="AQ38388" s="31"/>
    </row>
    <row r="38389" spans="43:43" x14ac:dyDescent="0.2">
      <c r="AQ38389" s="31"/>
    </row>
    <row r="38390" spans="43:43" x14ac:dyDescent="0.2">
      <c r="AQ38390" s="31"/>
    </row>
    <row r="38391" spans="43:43" x14ac:dyDescent="0.2">
      <c r="AQ38391" s="31"/>
    </row>
    <row r="38392" spans="43:43" x14ac:dyDescent="0.2">
      <c r="AQ38392" s="31"/>
    </row>
    <row r="38393" spans="43:43" x14ac:dyDescent="0.2">
      <c r="AQ38393" s="31"/>
    </row>
    <row r="38394" spans="43:43" x14ac:dyDescent="0.2">
      <c r="AQ38394" s="31"/>
    </row>
    <row r="38395" spans="43:43" x14ac:dyDescent="0.2">
      <c r="AQ38395" s="31"/>
    </row>
    <row r="38396" spans="43:43" x14ac:dyDescent="0.2">
      <c r="AQ38396" s="31"/>
    </row>
    <row r="38397" spans="43:43" x14ac:dyDescent="0.2">
      <c r="AQ38397" s="31"/>
    </row>
    <row r="38398" spans="43:43" x14ac:dyDescent="0.2">
      <c r="AQ38398" s="31"/>
    </row>
    <row r="38399" spans="43:43" x14ac:dyDescent="0.2">
      <c r="AQ38399" s="31"/>
    </row>
    <row r="38400" spans="43:43" x14ac:dyDescent="0.2">
      <c r="AQ38400" s="31"/>
    </row>
    <row r="38401" spans="43:43" x14ac:dyDescent="0.2">
      <c r="AQ38401" s="31"/>
    </row>
    <row r="38402" spans="43:43" x14ac:dyDescent="0.2">
      <c r="AQ38402" s="31"/>
    </row>
    <row r="38403" spans="43:43" x14ac:dyDescent="0.2">
      <c r="AQ38403" s="31"/>
    </row>
    <row r="38404" spans="43:43" x14ac:dyDescent="0.2">
      <c r="AQ38404" s="31"/>
    </row>
    <row r="38405" spans="43:43" x14ac:dyDescent="0.2">
      <c r="AQ38405" s="31"/>
    </row>
    <row r="38406" spans="43:43" x14ac:dyDescent="0.2">
      <c r="AQ38406" s="31"/>
    </row>
    <row r="38407" spans="43:43" x14ac:dyDescent="0.2">
      <c r="AQ38407" s="31"/>
    </row>
    <row r="38408" spans="43:43" x14ac:dyDescent="0.2">
      <c r="AQ38408" s="31"/>
    </row>
    <row r="38409" spans="43:43" x14ac:dyDescent="0.2">
      <c r="AQ38409" s="31"/>
    </row>
    <row r="38410" spans="43:43" x14ac:dyDescent="0.2">
      <c r="AQ38410" s="31"/>
    </row>
    <row r="38411" spans="43:43" x14ac:dyDescent="0.2">
      <c r="AQ38411" s="31"/>
    </row>
    <row r="38412" spans="43:43" x14ac:dyDescent="0.2">
      <c r="AQ38412" s="31"/>
    </row>
    <row r="38413" spans="43:43" x14ac:dyDescent="0.2">
      <c r="AQ38413" s="31"/>
    </row>
    <row r="38414" spans="43:43" x14ac:dyDescent="0.2">
      <c r="AQ38414" s="31"/>
    </row>
    <row r="38415" spans="43:43" x14ac:dyDescent="0.2">
      <c r="AQ38415" s="31"/>
    </row>
    <row r="38416" spans="43:43" x14ac:dyDescent="0.2">
      <c r="AQ38416" s="31"/>
    </row>
    <row r="38417" spans="43:43" x14ac:dyDescent="0.2">
      <c r="AQ38417" s="31"/>
    </row>
    <row r="38418" spans="43:43" x14ac:dyDescent="0.2">
      <c r="AQ38418" s="31"/>
    </row>
    <row r="38419" spans="43:43" x14ac:dyDescent="0.2">
      <c r="AQ38419" s="31"/>
    </row>
    <row r="38420" spans="43:43" x14ac:dyDescent="0.2">
      <c r="AQ38420" s="31"/>
    </row>
    <row r="38421" spans="43:43" x14ac:dyDescent="0.2">
      <c r="AQ38421" s="31"/>
    </row>
    <row r="38422" spans="43:43" x14ac:dyDescent="0.2">
      <c r="AQ38422" s="31"/>
    </row>
    <row r="38423" spans="43:43" x14ac:dyDescent="0.2">
      <c r="AQ38423" s="31"/>
    </row>
    <row r="38424" spans="43:43" x14ac:dyDescent="0.2">
      <c r="AQ38424" s="31"/>
    </row>
    <row r="38425" spans="43:43" x14ac:dyDescent="0.2">
      <c r="AQ38425" s="31"/>
    </row>
    <row r="38426" spans="43:43" x14ac:dyDescent="0.2">
      <c r="AQ38426" s="31"/>
    </row>
    <row r="38427" spans="43:43" x14ac:dyDescent="0.2">
      <c r="AQ38427" s="31"/>
    </row>
    <row r="38428" spans="43:43" x14ac:dyDescent="0.2">
      <c r="AQ38428" s="31"/>
    </row>
    <row r="38429" spans="43:43" x14ac:dyDescent="0.2">
      <c r="AQ38429" s="31"/>
    </row>
    <row r="38430" spans="43:43" x14ac:dyDescent="0.2">
      <c r="AQ38430" s="31"/>
    </row>
    <row r="38431" spans="43:43" x14ac:dyDescent="0.2">
      <c r="AQ38431" s="31"/>
    </row>
    <row r="38432" spans="43:43" x14ac:dyDescent="0.2">
      <c r="AQ38432" s="31"/>
    </row>
    <row r="38433" spans="43:43" x14ac:dyDescent="0.2">
      <c r="AQ38433" s="31"/>
    </row>
    <row r="38434" spans="43:43" x14ac:dyDescent="0.2">
      <c r="AQ38434" s="31"/>
    </row>
    <row r="38435" spans="43:43" x14ac:dyDescent="0.2">
      <c r="AQ38435" s="31"/>
    </row>
    <row r="38436" spans="43:43" x14ac:dyDescent="0.2">
      <c r="AQ38436" s="31"/>
    </row>
    <row r="38437" spans="43:43" x14ac:dyDescent="0.2">
      <c r="AQ38437" s="31"/>
    </row>
    <row r="38438" spans="43:43" x14ac:dyDescent="0.2">
      <c r="AQ38438" s="31"/>
    </row>
    <row r="38439" spans="43:43" x14ac:dyDescent="0.2">
      <c r="AQ38439" s="31"/>
    </row>
    <row r="38440" spans="43:43" x14ac:dyDescent="0.2">
      <c r="AQ38440" s="31"/>
    </row>
    <row r="38441" spans="43:43" x14ac:dyDescent="0.2">
      <c r="AQ38441" s="31"/>
    </row>
    <row r="38442" spans="43:43" x14ac:dyDescent="0.2">
      <c r="AQ38442" s="31"/>
    </row>
    <row r="38443" spans="43:43" x14ac:dyDescent="0.2">
      <c r="AQ38443" s="31"/>
    </row>
    <row r="38444" spans="43:43" x14ac:dyDescent="0.2">
      <c r="AQ38444" s="31"/>
    </row>
    <row r="38445" spans="43:43" x14ac:dyDescent="0.2">
      <c r="AQ38445" s="31"/>
    </row>
    <row r="38446" spans="43:43" x14ac:dyDescent="0.2">
      <c r="AQ38446" s="31"/>
    </row>
    <row r="38447" spans="43:43" x14ac:dyDescent="0.2">
      <c r="AQ38447" s="31"/>
    </row>
    <row r="38448" spans="43:43" x14ac:dyDescent="0.2">
      <c r="AQ38448" s="31"/>
    </row>
    <row r="38449" spans="43:43" x14ac:dyDescent="0.2">
      <c r="AQ38449" s="31"/>
    </row>
    <row r="38450" spans="43:43" x14ac:dyDescent="0.2">
      <c r="AQ38450" s="31"/>
    </row>
    <row r="38451" spans="43:43" x14ac:dyDescent="0.2">
      <c r="AQ38451" s="31"/>
    </row>
    <row r="38452" spans="43:43" x14ac:dyDescent="0.2">
      <c r="AQ38452" s="31"/>
    </row>
    <row r="38453" spans="43:43" x14ac:dyDescent="0.2">
      <c r="AQ38453" s="31"/>
    </row>
    <row r="38454" spans="43:43" x14ac:dyDescent="0.2">
      <c r="AQ38454" s="31"/>
    </row>
    <row r="38455" spans="43:43" x14ac:dyDescent="0.2">
      <c r="AQ38455" s="31"/>
    </row>
    <row r="38456" spans="43:43" x14ac:dyDescent="0.2">
      <c r="AQ38456" s="31"/>
    </row>
    <row r="38457" spans="43:43" x14ac:dyDescent="0.2">
      <c r="AQ38457" s="31"/>
    </row>
    <row r="38458" spans="43:43" x14ac:dyDescent="0.2">
      <c r="AQ38458" s="31"/>
    </row>
    <row r="38459" spans="43:43" x14ac:dyDescent="0.2">
      <c r="AQ38459" s="31"/>
    </row>
    <row r="38460" spans="43:43" x14ac:dyDescent="0.2">
      <c r="AQ38460" s="31"/>
    </row>
    <row r="38461" spans="43:43" x14ac:dyDescent="0.2">
      <c r="AQ38461" s="31"/>
    </row>
    <row r="38462" spans="43:43" x14ac:dyDescent="0.2">
      <c r="AQ38462" s="31"/>
    </row>
    <row r="38463" spans="43:43" x14ac:dyDescent="0.2">
      <c r="AQ38463" s="31"/>
    </row>
    <row r="38464" spans="43:43" x14ac:dyDescent="0.2">
      <c r="AQ38464" s="31"/>
    </row>
    <row r="38465" spans="43:43" x14ac:dyDescent="0.2">
      <c r="AQ38465" s="31"/>
    </row>
    <row r="38466" spans="43:43" x14ac:dyDescent="0.2">
      <c r="AQ38466" s="31"/>
    </row>
    <row r="38467" spans="43:43" x14ac:dyDescent="0.2">
      <c r="AQ38467" s="31"/>
    </row>
    <row r="38468" spans="43:43" x14ac:dyDescent="0.2">
      <c r="AQ38468" s="31"/>
    </row>
    <row r="38469" spans="43:43" x14ac:dyDescent="0.2">
      <c r="AQ38469" s="31"/>
    </row>
    <row r="38470" spans="43:43" x14ac:dyDescent="0.2">
      <c r="AQ38470" s="31"/>
    </row>
    <row r="38471" spans="43:43" x14ac:dyDescent="0.2">
      <c r="AQ38471" s="31"/>
    </row>
    <row r="38472" spans="43:43" x14ac:dyDescent="0.2">
      <c r="AQ38472" s="31"/>
    </row>
    <row r="38473" spans="43:43" x14ac:dyDescent="0.2">
      <c r="AQ38473" s="31"/>
    </row>
    <row r="38474" spans="43:43" x14ac:dyDescent="0.2">
      <c r="AQ38474" s="31"/>
    </row>
    <row r="38475" spans="43:43" x14ac:dyDescent="0.2">
      <c r="AQ38475" s="31"/>
    </row>
    <row r="38476" spans="43:43" x14ac:dyDescent="0.2">
      <c r="AQ38476" s="31"/>
    </row>
    <row r="38477" spans="43:43" x14ac:dyDescent="0.2">
      <c r="AQ38477" s="31"/>
    </row>
    <row r="38478" spans="43:43" x14ac:dyDescent="0.2">
      <c r="AQ38478" s="31"/>
    </row>
    <row r="38479" spans="43:43" x14ac:dyDescent="0.2">
      <c r="AQ38479" s="31"/>
    </row>
    <row r="38480" spans="43:43" x14ac:dyDescent="0.2">
      <c r="AQ38480" s="31"/>
    </row>
    <row r="38481" spans="43:43" x14ac:dyDescent="0.2">
      <c r="AQ38481" s="31"/>
    </row>
    <row r="38482" spans="43:43" x14ac:dyDescent="0.2">
      <c r="AQ38482" s="31"/>
    </row>
    <row r="38483" spans="43:43" x14ac:dyDescent="0.2">
      <c r="AQ38483" s="31"/>
    </row>
    <row r="38484" spans="43:43" x14ac:dyDescent="0.2">
      <c r="AQ38484" s="31"/>
    </row>
    <row r="38485" spans="43:43" x14ac:dyDescent="0.2">
      <c r="AQ38485" s="31"/>
    </row>
    <row r="38486" spans="43:43" x14ac:dyDescent="0.2">
      <c r="AQ38486" s="31"/>
    </row>
    <row r="38487" spans="43:43" x14ac:dyDescent="0.2">
      <c r="AQ38487" s="31"/>
    </row>
    <row r="38488" spans="43:43" x14ac:dyDescent="0.2">
      <c r="AQ38488" s="31"/>
    </row>
    <row r="38489" spans="43:43" x14ac:dyDescent="0.2">
      <c r="AQ38489" s="31"/>
    </row>
    <row r="38490" spans="43:43" x14ac:dyDescent="0.2">
      <c r="AQ38490" s="31"/>
    </row>
    <row r="38491" spans="43:43" x14ac:dyDescent="0.2">
      <c r="AQ38491" s="31"/>
    </row>
    <row r="38492" spans="43:43" x14ac:dyDescent="0.2">
      <c r="AQ38492" s="31"/>
    </row>
    <row r="38493" spans="43:43" x14ac:dyDescent="0.2">
      <c r="AQ38493" s="31"/>
    </row>
    <row r="38494" spans="43:43" x14ac:dyDescent="0.2">
      <c r="AQ38494" s="31"/>
    </row>
    <row r="38495" spans="43:43" x14ac:dyDescent="0.2">
      <c r="AQ38495" s="31"/>
    </row>
    <row r="38496" spans="43:43" x14ac:dyDescent="0.2">
      <c r="AQ38496" s="31"/>
    </row>
    <row r="38497" spans="43:43" x14ac:dyDescent="0.2">
      <c r="AQ38497" s="31"/>
    </row>
    <row r="38498" spans="43:43" x14ac:dyDescent="0.2">
      <c r="AQ38498" s="31"/>
    </row>
    <row r="38499" spans="43:43" x14ac:dyDescent="0.2">
      <c r="AQ38499" s="31"/>
    </row>
    <row r="38500" spans="43:43" x14ac:dyDescent="0.2">
      <c r="AQ38500" s="31"/>
    </row>
    <row r="38501" spans="43:43" x14ac:dyDescent="0.2">
      <c r="AQ38501" s="31"/>
    </row>
    <row r="38502" spans="43:43" x14ac:dyDescent="0.2">
      <c r="AQ38502" s="31"/>
    </row>
    <row r="38503" spans="43:43" x14ac:dyDescent="0.2">
      <c r="AQ38503" s="31"/>
    </row>
    <row r="38504" spans="43:43" x14ac:dyDescent="0.2">
      <c r="AQ38504" s="31"/>
    </row>
    <row r="38505" spans="43:43" x14ac:dyDescent="0.2">
      <c r="AQ38505" s="31"/>
    </row>
    <row r="38506" spans="43:43" x14ac:dyDescent="0.2">
      <c r="AQ38506" s="31"/>
    </row>
    <row r="38507" spans="43:43" x14ac:dyDescent="0.2">
      <c r="AQ38507" s="31"/>
    </row>
    <row r="38508" spans="43:43" x14ac:dyDescent="0.2">
      <c r="AQ38508" s="31"/>
    </row>
    <row r="38509" spans="43:43" x14ac:dyDescent="0.2">
      <c r="AQ38509" s="31"/>
    </row>
    <row r="38510" spans="43:43" x14ac:dyDescent="0.2">
      <c r="AQ38510" s="31"/>
    </row>
    <row r="38511" spans="43:43" x14ac:dyDescent="0.2">
      <c r="AQ38511" s="31"/>
    </row>
    <row r="38512" spans="43:43" x14ac:dyDescent="0.2">
      <c r="AQ38512" s="31"/>
    </row>
    <row r="38513" spans="43:43" x14ac:dyDescent="0.2">
      <c r="AQ38513" s="31"/>
    </row>
    <row r="38514" spans="43:43" x14ac:dyDescent="0.2">
      <c r="AQ38514" s="31"/>
    </row>
    <row r="38515" spans="43:43" x14ac:dyDescent="0.2">
      <c r="AQ38515" s="31"/>
    </row>
    <row r="38516" spans="43:43" x14ac:dyDescent="0.2">
      <c r="AQ38516" s="31"/>
    </row>
    <row r="38517" spans="43:43" x14ac:dyDescent="0.2">
      <c r="AQ38517" s="31"/>
    </row>
    <row r="38518" spans="43:43" x14ac:dyDescent="0.2">
      <c r="AQ38518" s="31"/>
    </row>
    <row r="38519" spans="43:43" x14ac:dyDescent="0.2">
      <c r="AQ38519" s="31"/>
    </row>
    <row r="38520" spans="43:43" x14ac:dyDescent="0.2">
      <c r="AQ38520" s="31"/>
    </row>
    <row r="38521" spans="43:43" x14ac:dyDescent="0.2">
      <c r="AQ38521" s="31"/>
    </row>
    <row r="38522" spans="43:43" x14ac:dyDescent="0.2">
      <c r="AQ38522" s="31"/>
    </row>
    <row r="38523" spans="43:43" x14ac:dyDescent="0.2">
      <c r="AQ38523" s="31"/>
    </row>
    <row r="38524" spans="43:43" x14ac:dyDescent="0.2">
      <c r="AQ38524" s="31"/>
    </row>
    <row r="38525" spans="43:43" x14ac:dyDescent="0.2">
      <c r="AQ38525" s="31"/>
    </row>
    <row r="38526" spans="43:43" x14ac:dyDescent="0.2">
      <c r="AQ38526" s="31"/>
    </row>
    <row r="38527" spans="43:43" x14ac:dyDescent="0.2">
      <c r="AQ38527" s="31"/>
    </row>
    <row r="38528" spans="43:43" x14ac:dyDescent="0.2">
      <c r="AQ38528" s="31"/>
    </row>
    <row r="38529" spans="43:43" x14ac:dyDescent="0.2">
      <c r="AQ38529" s="31"/>
    </row>
    <row r="38530" spans="43:43" x14ac:dyDescent="0.2">
      <c r="AQ38530" s="31"/>
    </row>
    <row r="38531" spans="43:43" x14ac:dyDescent="0.2">
      <c r="AQ38531" s="31"/>
    </row>
    <row r="38532" spans="43:43" x14ac:dyDescent="0.2">
      <c r="AQ38532" s="31"/>
    </row>
    <row r="38533" spans="43:43" x14ac:dyDescent="0.2">
      <c r="AQ38533" s="31"/>
    </row>
    <row r="38534" spans="43:43" x14ac:dyDescent="0.2">
      <c r="AQ38534" s="31"/>
    </row>
    <row r="38535" spans="43:43" x14ac:dyDescent="0.2">
      <c r="AQ38535" s="31"/>
    </row>
    <row r="38536" spans="43:43" x14ac:dyDescent="0.2">
      <c r="AQ38536" s="31"/>
    </row>
    <row r="38537" spans="43:43" x14ac:dyDescent="0.2">
      <c r="AQ38537" s="31"/>
    </row>
    <row r="38538" spans="43:43" x14ac:dyDescent="0.2">
      <c r="AQ38538" s="31"/>
    </row>
    <row r="38539" spans="43:43" x14ac:dyDescent="0.2">
      <c r="AQ38539" s="31"/>
    </row>
    <row r="38540" spans="43:43" x14ac:dyDescent="0.2">
      <c r="AQ38540" s="31"/>
    </row>
    <row r="38541" spans="43:43" x14ac:dyDescent="0.2">
      <c r="AQ38541" s="31"/>
    </row>
    <row r="38542" spans="43:43" x14ac:dyDescent="0.2">
      <c r="AQ38542" s="31"/>
    </row>
    <row r="38543" spans="43:43" x14ac:dyDescent="0.2">
      <c r="AQ38543" s="31"/>
    </row>
    <row r="38544" spans="43:43" x14ac:dyDescent="0.2">
      <c r="AQ38544" s="31"/>
    </row>
    <row r="38545" spans="43:43" x14ac:dyDescent="0.2">
      <c r="AQ38545" s="31"/>
    </row>
    <row r="38546" spans="43:43" x14ac:dyDescent="0.2">
      <c r="AQ38546" s="31"/>
    </row>
    <row r="38547" spans="43:43" x14ac:dyDescent="0.2">
      <c r="AQ38547" s="31"/>
    </row>
    <row r="38548" spans="43:43" x14ac:dyDescent="0.2">
      <c r="AQ38548" s="31"/>
    </row>
    <row r="38549" spans="43:43" x14ac:dyDescent="0.2">
      <c r="AQ38549" s="31"/>
    </row>
    <row r="38550" spans="43:43" x14ac:dyDescent="0.2">
      <c r="AQ38550" s="31"/>
    </row>
    <row r="38551" spans="43:43" x14ac:dyDescent="0.2">
      <c r="AQ38551" s="31"/>
    </row>
    <row r="38552" spans="43:43" x14ac:dyDescent="0.2">
      <c r="AQ38552" s="31"/>
    </row>
    <row r="38553" spans="43:43" x14ac:dyDescent="0.2">
      <c r="AQ38553" s="31"/>
    </row>
    <row r="38554" spans="43:43" x14ac:dyDescent="0.2">
      <c r="AQ38554" s="31"/>
    </row>
    <row r="38555" spans="43:43" x14ac:dyDescent="0.2">
      <c r="AQ38555" s="31"/>
    </row>
    <row r="38556" spans="43:43" x14ac:dyDescent="0.2">
      <c r="AQ38556" s="31"/>
    </row>
    <row r="38557" spans="43:43" x14ac:dyDescent="0.2">
      <c r="AQ38557" s="31"/>
    </row>
    <row r="38558" spans="43:43" x14ac:dyDescent="0.2">
      <c r="AQ38558" s="31"/>
    </row>
    <row r="38559" spans="43:43" x14ac:dyDescent="0.2">
      <c r="AQ38559" s="31"/>
    </row>
    <row r="38560" spans="43:43" x14ac:dyDescent="0.2">
      <c r="AQ38560" s="31"/>
    </row>
    <row r="38561" spans="43:43" x14ac:dyDescent="0.2">
      <c r="AQ38561" s="31"/>
    </row>
    <row r="38562" spans="43:43" x14ac:dyDescent="0.2">
      <c r="AQ38562" s="31"/>
    </row>
    <row r="38563" spans="43:43" x14ac:dyDescent="0.2">
      <c r="AQ38563" s="31"/>
    </row>
    <row r="38564" spans="43:43" x14ac:dyDescent="0.2">
      <c r="AQ38564" s="31"/>
    </row>
    <row r="38565" spans="43:43" x14ac:dyDescent="0.2">
      <c r="AQ38565" s="31"/>
    </row>
    <row r="38566" spans="43:43" x14ac:dyDescent="0.2">
      <c r="AQ38566" s="31"/>
    </row>
    <row r="38567" spans="43:43" x14ac:dyDescent="0.2">
      <c r="AQ38567" s="31"/>
    </row>
    <row r="38568" spans="43:43" x14ac:dyDescent="0.2">
      <c r="AQ38568" s="31"/>
    </row>
    <row r="38569" spans="43:43" x14ac:dyDescent="0.2">
      <c r="AQ38569" s="31"/>
    </row>
    <row r="38570" spans="43:43" x14ac:dyDescent="0.2">
      <c r="AQ38570" s="31"/>
    </row>
    <row r="38571" spans="43:43" x14ac:dyDescent="0.2">
      <c r="AQ38571" s="31"/>
    </row>
    <row r="38572" spans="43:43" x14ac:dyDescent="0.2">
      <c r="AQ38572" s="31"/>
    </row>
    <row r="38573" spans="43:43" x14ac:dyDescent="0.2">
      <c r="AQ38573" s="31"/>
    </row>
    <row r="38574" spans="43:43" x14ac:dyDescent="0.2">
      <c r="AQ38574" s="31"/>
    </row>
    <row r="38575" spans="43:43" x14ac:dyDescent="0.2">
      <c r="AQ38575" s="31"/>
    </row>
    <row r="38576" spans="43:43" x14ac:dyDescent="0.2">
      <c r="AQ38576" s="31"/>
    </row>
    <row r="38577" spans="43:43" x14ac:dyDescent="0.2">
      <c r="AQ38577" s="31"/>
    </row>
    <row r="38578" spans="43:43" x14ac:dyDescent="0.2">
      <c r="AQ38578" s="31"/>
    </row>
    <row r="38579" spans="43:43" x14ac:dyDescent="0.2">
      <c r="AQ38579" s="31"/>
    </row>
    <row r="38580" spans="43:43" x14ac:dyDescent="0.2">
      <c r="AQ38580" s="31"/>
    </row>
    <row r="38581" spans="43:43" x14ac:dyDescent="0.2">
      <c r="AQ38581" s="31"/>
    </row>
    <row r="38582" spans="43:43" x14ac:dyDescent="0.2">
      <c r="AQ38582" s="31"/>
    </row>
    <row r="38583" spans="43:43" x14ac:dyDescent="0.2">
      <c r="AQ38583" s="31"/>
    </row>
    <row r="38584" spans="43:43" x14ac:dyDescent="0.2">
      <c r="AQ38584" s="31"/>
    </row>
    <row r="38585" spans="43:43" x14ac:dyDescent="0.2">
      <c r="AQ38585" s="31"/>
    </row>
    <row r="38586" spans="43:43" x14ac:dyDescent="0.2">
      <c r="AQ38586" s="31"/>
    </row>
    <row r="38587" spans="43:43" x14ac:dyDescent="0.2">
      <c r="AQ38587" s="31"/>
    </row>
    <row r="38588" spans="43:43" x14ac:dyDescent="0.2">
      <c r="AQ38588" s="31"/>
    </row>
    <row r="38589" spans="43:43" x14ac:dyDescent="0.2">
      <c r="AQ38589" s="31"/>
    </row>
    <row r="38590" spans="43:43" x14ac:dyDescent="0.2">
      <c r="AQ38590" s="31"/>
    </row>
    <row r="38591" spans="43:43" x14ac:dyDescent="0.2">
      <c r="AQ38591" s="31"/>
    </row>
    <row r="38592" spans="43:43" x14ac:dyDescent="0.2">
      <c r="AQ38592" s="31"/>
    </row>
    <row r="38593" spans="43:43" x14ac:dyDescent="0.2">
      <c r="AQ38593" s="31"/>
    </row>
    <row r="38594" spans="43:43" x14ac:dyDescent="0.2">
      <c r="AQ38594" s="31"/>
    </row>
    <row r="38595" spans="43:43" x14ac:dyDescent="0.2">
      <c r="AQ38595" s="31"/>
    </row>
    <row r="38596" spans="43:43" x14ac:dyDescent="0.2">
      <c r="AQ38596" s="31"/>
    </row>
    <row r="38597" spans="43:43" x14ac:dyDescent="0.2">
      <c r="AQ38597" s="31"/>
    </row>
    <row r="38598" spans="43:43" x14ac:dyDescent="0.2">
      <c r="AQ38598" s="31"/>
    </row>
    <row r="38599" spans="43:43" x14ac:dyDescent="0.2">
      <c r="AQ38599" s="31"/>
    </row>
    <row r="38600" spans="43:43" x14ac:dyDescent="0.2">
      <c r="AQ38600" s="31"/>
    </row>
    <row r="38601" spans="43:43" x14ac:dyDescent="0.2">
      <c r="AQ38601" s="31"/>
    </row>
    <row r="38602" spans="43:43" x14ac:dyDescent="0.2">
      <c r="AQ38602" s="31"/>
    </row>
    <row r="38603" spans="43:43" x14ac:dyDescent="0.2">
      <c r="AQ38603" s="31"/>
    </row>
    <row r="38604" spans="43:43" x14ac:dyDescent="0.2">
      <c r="AQ38604" s="31"/>
    </row>
    <row r="38605" spans="43:43" x14ac:dyDescent="0.2">
      <c r="AQ38605" s="31"/>
    </row>
    <row r="38606" spans="43:43" x14ac:dyDescent="0.2">
      <c r="AQ38606" s="31"/>
    </row>
    <row r="38607" spans="43:43" x14ac:dyDescent="0.2">
      <c r="AQ38607" s="31"/>
    </row>
    <row r="38608" spans="43:43" x14ac:dyDescent="0.2">
      <c r="AQ38608" s="31"/>
    </row>
    <row r="38609" spans="43:43" x14ac:dyDescent="0.2">
      <c r="AQ38609" s="31"/>
    </row>
    <row r="38610" spans="43:43" x14ac:dyDescent="0.2">
      <c r="AQ38610" s="31"/>
    </row>
    <row r="38611" spans="43:43" x14ac:dyDescent="0.2">
      <c r="AQ38611" s="31"/>
    </row>
    <row r="38612" spans="43:43" x14ac:dyDescent="0.2">
      <c r="AQ38612" s="31"/>
    </row>
    <row r="38613" spans="43:43" x14ac:dyDescent="0.2">
      <c r="AQ38613" s="31"/>
    </row>
    <row r="38614" spans="43:43" x14ac:dyDescent="0.2">
      <c r="AQ38614" s="31"/>
    </row>
    <row r="38615" spans="43:43" x14ac:dyDescent="0.2">
      <c r="AQ38615" s="31"/>
    </row>
    <row r="38616" spans="43:43" x14ac:dyDescent="0.2">
      <c r="AQ38616" s="31"/>
    </row>
    <row r="38617" spans="43:43" x14ac:dyDescent="0.2">
      <c r="AQ38617" s="31"/>
    </row>
    <row r="38618" spans="43:43" x14ac:dyDescent="0.2">
      <c r="AQ38618" s="31"/>
    </row>
    <row r="38619" spans="43:43" x14ac:dyDescent="0.2">
      <c r="AQ38619" s="31"/>
    </row>
    <row r="38620" spans="43:43" x14ac:dyDescent="0.2">
      <c r="AQ38620" s="31"/>
    </row>
    <row r="38621" spans="43:43" x14ac:dyDescent="0.2">
      <c r="AQ38621" s="31"/>
    </row>
    <row r="38622" spans="43:43" x14ac:dyDescent="0.2">
      <c r="AQ38622" s="31"/>
    </row>
    <row r="38623" spans="43:43" x14ac:dyDescent="0.2">
      <c r="AQ38623" s="31"/>
    </row>
    <row r="38624" spans="43:43" x14ac:dyDescent="0.2">
      <c r="AQ38624" s="31"/>
    </row>
    <row r="38625" spans="43:43" x14ac:dyDescent="0.2">
      <c r="AQ38625" s="31"/>
    </row>
    <row r="38626" spans="43:43" x14ac:dyDescent="0.2">
      <c r="AQ38626" s="31"/>
    </row>
    <row r="38627" spans="43:43" x14ac:dyDescent="0.2">
      <c r="AQ38627" s="31"/>
    </row>
    <row r="38628" spans="43:43" x14ac:dyDescent="0.2">
      <c r="AQ38628" s="31"/>
    </row>
    <row r="38629" spans="43:43" x14ac:dyDescent="0.2">
      <c r="AQ38629" s="31"/>
    </row>
    <row r="38630" spans="43:43" x14ac:dyDescent="0.2">
      <c r="AQ38630" s="31"/>
    </row>
    <row r="38631" spans="43:43" x14ac:dyDescent="0.2">
      <c r="AQ38631" s="31"/>
    </row>
    <row r="38632" spans="43:43" x14ac:dyDescent="0.2">
      <c r="AQ38632" s="31"/>
    </row>
    <row r="38633" spans="43:43" x14ac:dyDescent="0.2">
      <c r="AQ38633" s="31"/>
    </row>
    <row r="38634" spans="43:43" x14ac:dyDescent="0.2">
      <c r="AQ38634" s="31"/>
    </row>
    <row r="38635" spans="43:43" x14ac:dyDescent="0.2">
      <c r="AQ38635" s="31"/>
    </row>
    <row r="38636" spans="43:43" x14ac:dyDescent="0.2">
      <c r="AQ38636" s="31"/>
    </row>
    <row r="38637" spans="43:43" x14ac:dyDescent="0.2">
      <c r="AQ38637" s="31"/>
    </row>
    <row r="38638" spans="43:43" x14ac:dyDescent="0.2">
      <c r="AQ38638" s="31"/>
    </row>
    <row r="38639" spans="43:43" x14ac:dyDescent="0.2">
      <c r="AQ38639" s="31"/>
    </row>
    <row r="38640" spans="43:43" x14ac:dyDescent="0.2">
      <c r="AQ38640" s="31"/>
    </row>
    <row r="38641" spans="43:43" x14ac:dyDescent="0.2">
      <c r="AQ38641" s="31"/>
    </row>
    <row r="38642" spans="43:43" x14ac:dyDescent="0.2">
      <c r="AQ38642" s="31"/>
    </row>
    <row r="38643" spans="43:43" x14ac:dyDescent="0.2">
      <c r="AQ38643" s="31"/>
    </row>
    <row r="38644" spans="43:43" x14ac:dyDescent="0.2">
      <c r="AQ38644" s="31"/>
    </row>
    <row r="38645" spans="43:43" x14ac:dyDescent="0.2">
      <c r="AQ38645" s="31"/>
    </row>
    <row r="38646" spans="43:43" x14ac:dyDescent="0.2">
      <c r="AQ38646" s="31"/>
    </row>
    <row r="38647" spans="43:43" x14ac:dyDescent="0.2">
      <c r="AQ38647" s="31"/>
    </row>
    <row r="38648" spans="43:43" x14ac:dyDescent="0.2">
      <c r="AQ38648" s="31"/>
    </row>
    <row r="38649" spans="43:43" x14ac:dyDescent="0.2">
      <c r="AQ38649" s="31"/>
    </row>
    <row r="38650" spans="43:43" x14ac:dyDescent="0.2">
      <c r="AQ38650" s="31"/>
    </row>
    <row r="38651" spans="43:43" x14ac:dyDescent="0.2">
      <c r="AQ38651" s="31"/>
    </row>
    <row r="38652" spans="43:43" x14ac:dyDescent="0.2">
      <c r="AQ38652" s="31"/>
    </row>
    <row r="38653" spans="43:43" x14ac:dyDescent="0.2">
      <c r="AQ38653" s="31"/>
    </row>
    <row r="38654" spans="43:43" x14ac:dyDescent="0.2">
      <c r="AQ38654" s="31"/>
    </row>
    <row r="38655" spans="43:43" x14ac:dyDescent="0.2">
      <c r="AQ38655" s="31"/>
    </row>
    <row r="38656" spans="43:43" x14ac:dyDescent="0.2">
      <c r="AQ38656" s="31"/>
    </row>
    <row r="38657" spans="43:43" x14ac:dyDescent="0.2">
      <c r="AQ38657" s="31"/>
    </row>
    <row r="38658" spans="43:43" x14ac:dyDescent="0.2">
      <c r="AQ38658" s="31"/>
    </row>
    <row r="38659" spans="43:43" x14ac:dyDescent="0.2">
      <c r="AQ38659" s="31"/>
    </row>
    <row r="38660" spans="43:43" x14ac:dyDescent="0.2">
      <c r="AQ38660" s="31"/>
    </row>
    <row r="38661" spans="43:43" x14ac:dyDescent="0.2">
      <c r="AQ38661" s="31"/>
    </row>
    <row r="38662" spans="43:43" x14ac:dyDescent="0.2">
      <c r="AQ38662" s="31"/>
    </row>
    <row r="38663" spans="43:43" x14ac:dyDescent="0.2">
      <c r="AQ38663" s="31"/>
    </row>
    <row r="38664" spans="43:43" x14ac:dyDescent="0.2">
      <c r="AQ38664" s="31"/>
    </row>
    <row r="38665" spans="43:43" x14ac:dyDescent="0.2">
      <c r="AQ38665" s="31"/>
    </row>
    <row r="38666" spans="43:43" x14ac:dyDescent="0.2">
      <c r="AQ38666" s="31"/>
    </row>
    <row r="38667" spans="43:43" x14ac:dyDescent="0.2">
      <c r="AQ38667" s="31"/>
    </row>
    <row r="38668" spans="43:43" x14ac:dyDescent="0.2">
      <c r="AQ38668" s="31"/>
    </row>
    <row r="38669" spans="43:43" x14ac:dyDescent="0.2">
      <c r="AQ38669" s="31"/>
    </row>
    <row r="38670" spans="43:43" x14ac:dyDescent="0.2">
      <c r="AQ38670" s="31"/>
    </row>
    <row r="38671" spans="43:43" x14ac:dyDescent="0.2">
      <c r="AQ38671" s="31"/>
    </row>
    <row r="38672" spans="43:43" x14ac:dyDescent="0.2">
      <c r="AQ38672" s="31"/>
    </row>
    <row r="38673" spans="43:43" x14ac:dyDescent="0.2">
      <c r="AQ38673" s="31"/>
    </row>
    <row r="38674" spans="43:43" x14ac:dyDescent="0.2">
      <c r="AQ38674" s="31"/>
    </row>
    <row r="38675" spans="43:43" x14ac:dyDescent="0.2">
      <c r="AQ38675" s="31"/>
    </row>
    <row r="38676" spans="43:43" x14ac:dyDescent="0.2">
      <c r="AQ38676" s="31"/>
    </row>
    <row r="38677" spans="43:43" x14ac:dyDescent="0.2">
      <c r="AQ38677" s="31"/>
    </row>
    <row r="38678" spans="43:43" x14ac:dyDescent="0.2">
      <c r="AQ38678" s="31"/>
    </row>
    <row r="38679" spans="43:43" x14ac:dyDescent="0.2">
      <c r="AQ38679" s="31"/>
    </row>
    <row r="38680" spans="43:43" x14ac:dyDescent="0.2">
      <c r="AQ38680" s="31"/>
    </row>
    <row r="38681" spans="43:43" x14ac:dyDescent="0.2">
      <c r="AQ38681" s="31"/>
    </row>
    <row r="38682" spans="43:43" x14ac:dyDescent="0.2">
      <c r="AQ38682" s="31"/>
    </row>
    <row r="38683" spans="43:43" x14ac:dyDescent="0.2">
      <c r="AQ38683" s="31"/>
    </row>
    <row r="38684" spans="43:43" x14ac:dyDescent="0.2">
      <c r="AQ38684" s="31"/>
    </row>
    <row r="38685" spans="43:43" x14ac:dyDescent="0.2">
      <c r="AQ38685" s="31"/>
    </row>
    <row r="38686" spans="43:43" x14ac:dyDescent="0.2">
      <c r="AQ38686" s="31"/>
    </row>
    <row r="38687" spans="43:43" x14ac:dyDescent="0.2">
      <c r="AQ38687" s="31"/>
    </row>
    <row r="38688" spans="43:43" x14ac:dyDescent="0.2">
      <c r="AQ38688" s="31"/>
    </row>
    <row r="38689" spans="43:43" x14ac:dyDescent="0.2">
      <c r="AQ38689" s="31"/>
    </row>
    <row r="38690" spans="43:43" x14ac:dyDescent="0.2">
      <c r="AQ38690" s="31"/>
    </row>
    <row r="38691" spans="43:43" x14ac:dyDescent="0.2">
      <c r="AQ38691" s="31"/>
    </row>
    <row r="38692" spans="43:43" x14ac:dyDescent="0.2">
      <c r="AQ38692" s="31"/>
    </row>
    <row r="38693" spans="43:43" x14ac:dyDescent="0.2">
      <c r="AQ38693" s="31"/>
    </row>
    <row r="38694" spans="43:43" x14ac:dyDescent="0.2">
      <c r="AQ38694" s="31"/>
    </row>
    <row r="38695" spans="43:43" x14ac:dyDescent="0.2">
      <c r="AQ38695" s="31"/>
    </row>
    <row r="38696" spans="43:43" x14ac:dyDescent="0.2">
      <c r="AQ38696" s="31"/>
    </row>
    <row r="38697" spans="43:43" x14ac:dyDescent="0.2">
      <c r="AQ38697" s="31"/>
    </row>
    <row r="38698" spans="43:43" x14ac:dyDescent="0.2">
      <c r="AQ38698" s="31"/>
    </row>
    <row r="38699" spans="43:43" x14ac:dyDescent="0.2">
      <c r="AQ38699" s="31"/>
    </row>
    <row r="38700" spans="43:43" x14ac:dyDescent="0.2">
      <c r="AQ38700" s="31"/>
    </row>
    <row r="38701" spans="43:43" x14ac:dyDescent="0.2">
      <c r="AQ38701" s="31"/>
    </row>
    <row r="38702" spans="43:43" x14ac:dyDescent="0.2">
      <c r="AQ38702" s="31"/>
    </row>
    <row r="38703" spans="43:43" x14ac:dyDescent="0.2">
      <c r="AQ38703" s="31"/>
    </row>
    <row r="38704" spans="43:43" x14ac:dyDescent="0.2">
      <c r="AQ38704" s="31"/>
    </row>
    <row r="38705" spans="43:43" x14ac:dyDescent="0.2">
      <c r="AQ38705" s="31"/>
    </row>
    <row r="38706" spans="43:43" x14ac:dyDescent="0.2">
      <c r="AQ38706" s="31"/>
    </row>
    <row r="38707" spans="43:43" x14ac:dyDescent="0.2">
      <c r="AQ38707" s="31"/>
    </row>
    <row r="38708" spans="43:43" x14ac:dyDescent="0.2">
      <c r="AQ38708" s="31"/>
    </row>
    <row r="38709" spans="43:43" x14ac:dyDescent="0.2">
      <c r="AQ38709" s="31"/>
    </row>
    <row r="38710" spans="43:43" x14ac:dyDescent="0.2">
      <c r="AQ38710" s="31"/>
    </row>
    <row r="38711" spans="43:43" x14ac:dyDescent="0.2">
      <c r="AQ38711" s="31"/>
    </row>
    <row r="38712" spans="43:43" x14ac:dyDescent="0.2">
      <c r="AQ38712" s="31"/>
    </row>
    <row r="38713" spans="43:43" x14ac:dyDescent="0.2">
      <c r="AQ38713" s="31"/>
    </row>
    <row r="38714" spans="43:43" x14ac:dyDescent="0.2">
      <c r="AQ38714" s="31"/>
    </row>
    <row r="38715" spans="43:43" x14ac:dyDescent="0.2">
      <c r="AQ38715" s="31"/>
    </row>
    <row r="38716" spans="43:43" x14ac:dyDescent="0.2">
      <c r="AQ38716" s="31"/>
    </row>
    <row r="38717" spans="43:43" x14ac:dyDescent="0.2">
      <c r="AQ38717" s="31"/>
    </row>
    <row r="38718" spans="43:43" x14ac:dyDescent="0.2">
      <c r="AQ38718" s="31"/>
    </row>
    <row r="38719" spans="43:43" x14ac:dyDescent="0.2">
      <c r="AQ38719" s="31"/>
    </row>
    <row r="38720" spans="43:43" x14ac:dyDescent="0.2">
      <c r="AQ38720" s="31"/>
    </row>
    <row r="38721" spans="43:43" x14ac:dyDescent="0.2">
      <c r="AQ38721" s="31"/>
    </row>
    <row r="38722" spans="43:43" x14ac:dyDescent="0.2">
      <c r="AQ38722" s="31"/>
    </row>
    <row r="38723" spans="43:43" x14ac:dyDescent="0.2">
      <c r="AQ38723" s="31"/>
    </row>
    <row r="38724" spans="43:43" x14ac:dyDescent="0.2">
      <c r="AQ38724" s="31"/>
    </row>
    <row r="38725" spans="43:43" x14ac:dyDescent="0.2">
      <c r="AQ38725" s="31"/>
    </row>
    <row r="38726" spans="43:43" x14ac:dyDescent="0.2">
      <c r="AQ38726" s="31"/>
    </row>
    <row r="38727" spans="43:43" x14ac:dyDescent="0.2">
      <c r="AQ38727" s="31"/>
    </row>
    <row r="38728" spans="43:43" x14ac:dyDescent="0.2">
      <c r="AQ38728" s="31"/>
    </row>
    <row r="38729" spans="43:43" x14ac:dyDescent="0.2">
      <c r="AQ38729" s="31"/>
    </row>
    <row r="38730" spans="43:43" x14ac:dyDescent="0.2">
      <c r="AQ38730" s="31"/>
    </row>
    <row r="38731" spans="43:43" x14ac:dyDescent="0.2">
      <c r="AQ38731" s="31"/>
    </row>
    <row r="38732" spans="43:43" x14ac:dyDescent="0.2">
      <c r="AQ38732" s="31"/>
    </row>
    <row r="38733" spans="43:43" x14ac:dyDescent="0.2">
      <c r="AQ38733" s="31"/>
    </row>
    <row r="38734" spans="43:43" x14ac:dyDescent="0.2">
      <c r="AQ38734" s="31"/>
    </row>
    <row r="38735" spans="43:43" x14ac:dyDescent="0.2">
      <c r="AQ38735" s="31"/>
    </row>
    <row r="38736" spans="43:43" x14ac:dyDescent="0.2">
      <c r="AQ38736" s="31"/>
    </row>
    <row r="38737" spans="43:43" x14ac:dyDescent="0.2">
      <c r="AQ38737" s="31"/>
    </row>
    <row r="38738" spans="43:43" x14ac:dyDescent="0.2">
      <c r="AQ38738" s="31"/>
    </row>
    <row r="38739" spans="43:43" x14ac:dyDescent="0.2">
      <c r="AQ38739" s="31"/>
    </row>
    <row r="38740" spans="43:43" x14ac:dyDescent="0.2">
      <c r="AQ38740" s="31"/>
    </row>
    <row r="38741" spans="43:43" x14ac:dyDescent="0.2">
      <c r="AQ38741" s="31"/>
    </row>
    <row r="38742" spans="43:43" x14ac:dyDescent="0.2">
      <c r="AQ38742" s="31"/>
    </row>
    <row r="38743" spans="43:43" x14ac:dyDescent="0.2">
      <c r="AQ38743" s="31"/>
    </row>
    <row r="38744" spans="43:43" x14ac:dyDescent="0.2">
      <c r="AQ38744" s="31"/>
    </row>
    <row r="38745" spans="43:43" x14ac:dyDescent="0.2">
      <c r="AQ38745" s="31"/>
    </row>
    <row r="38746" spans="43:43" x14ac:dyDescent="0.2">
      <c r="AQ38746" s="31"/>
    </row>
    <row r="38747" spans="43:43" x14ac:dyDescent="0.2">
      <c r="AQ38747" s="31"/>
    </row>
    <row r="38748" spans="43:43" x14ac:dyDescent="0.2">
      <c r="AQ38748" s="31"/>
    </row>
    <row r="38749" spans="43:43" x14ac:dyDescent="0.2">
      <c r="AQ38749" s="31"/>
    </row>
    <row r="38750" spans="43:43" x14ac:dyDescent="0.2">
      <c r="AQ38750" s="31"/>
    </row>
    <row r="38751" spans="43:43" x14ac:dyDescent="0.2">
      <c r="AQ38751" s="31"/>
    </row>
    <row r="38752" spans="43:43" x14ac:dyDescent="0.2">
      <c r="AQ38752" s="31"/>
    </row>
    <row r="38753" spans="43:43" x14ac:dyDescent="0.2">
      <c r="AQ38753" s="31"/>
    </row>
    <row r="38754" spans="43:43" x14ac:dyDescent="0.2">
      <c r="AQ38754" s="31"/>
    </row>
    <row r="38755" spans="43:43" x14ac:dyDescent="0.2">
      <c r="AQ38755" s="31"/>
    </row>
    <row r="38756" spans="43:43" x14ac:dyDescent="0.2">
      <c r="AQ38756" s="31"/>
    </row>
    <row r="38757" spans="43:43" x14ac:dyDescent="0.2">
      <c r="AQ38757" s="31"/>
    </row>
    <row r="38758" spans="43:43" x14ac:dyDescent="0.2">
      <c r="AQ38758" s="31"/>
    </row>
    <row r="38759" spans="43:43" x14ac:dyDescent="0.2">
      <c r="AQ38759" s="31"/>
    </row>
    <row r="38760" spans="43:43" x14ac:dyDescent="0.2">
      <c r="AQ38760" s="31"/>
    </row>
    <row r="38761" spans="43:43" x14ac:dyDescent="0.2">
      <c r="AQ38761" s="31"/>
    </row>
    <row r="38762" spans="43:43" x14ac:dyDescent="0.2">
      <c r="AQ38762" s="31"/>
    </row>
    <row r="38763" spans="43:43" x14ac:dyDescent="0.2">
      <c r="AQ38763" s="31"/>
    </row>
    <row r="38764" spans="43:43" x14ac:dyDescent="0.2">
      <c r="AQ38764" s="31"/>
    </row>
    <row r="38765" spans="43:43" x14ac:dyDescent="0.2">
      <c r="AQ38765" s="31"/>
    </row>
    <row r="38766" spans="43:43" x14ac:dyDescent="0.2">
      <c r="AQ38766" s="31"/>
    </row>
    <row r="38767" spans="43:43" x14ac:dyDescent="0.2">
      <c r="AQ38767" s="31"/>
    </row>
    <row r="38768" spans="43:43" x14ac:dyDescent="0.2">
      <c r="AQ38768" s="31"/>
    </row>
    <row r="38769" spans="43:43" x14ac:dyDescent="0.2">
      <c r="AQ38769" s="31"/>
    </row>
    <row r="38770" spans="43:43" x14ac:dyDescent="0.2">
      <c r="AQ38770" s="31"/>
    </row>
    <row r="38771" spans="43:43" x14ac:dyDescent="0.2">
      <c r="AQ38771" s="31"/>
    </row>
    <row r="38772" spans="43:43" x14ac:dyDescent="0.2">
      <c r="AQ38772" s="31"/>
    </row>
    <row r="38773" spans="43:43" x14ac:dyDescent="0.2">
      <c r="AQ38773" s="31"/>
    </row>
    <row r="38774" spans="43:43" x14ac:dyDescent="0.2">
      <c r="AQ38774" s="31"/>
    </row>
    <row r="38775" spans="43:43" x14ac:dyDescent="0.2">
      <c r="AQ38775" s="31"/>
    </row>
    <row r="38776" spans="43:43" x14ac:dyDescent="0.2">
      <c r="AQ38776" s="31"/>
    </row>
    <row r="38777" spans="43:43" x14ac:dyDescent="0.2">
      <c r="AQ38777" s="31"/>
    </row>
    <row r="38778" spans="43:43" x14ac:dyDescent="0.2">
      <c r="AQ38778" s="31"/>
    </row>
    <row r="38779" spans="43:43" x14ac:dyDescent="0.2">
      <c r="AQ38779" s="31"/>
    </row>
    <row r="38780" spans="43:43" x14ac:dyDescent="0.2">
      <c r="AQ38780" s="31"/>
    </row>
    <row r="38781" spans="43:43" x14ac:dyDescent="0.2">
      <c r="AQ38781" s="31"/>
    </row>
    <row r="38782" spans="43:43" x14ac:dyDescent="0.2">
      <c r="AQ38782" s="31"/>
    </row>
    <row r="38783" spans="43:43" x14ac:dyDescent="0.2">
      <c r="AQ38783" s="31"/>
    </row>
    <row r="38784" spans="43:43" x14ac:dyDescent="0.2">
      <c r="AQ38784" s="31"/>
    </row>
    <row r="38785" spans="43:43" x14ac:dyDescent="0.2">
      <c r="AQ38785" s="31"/>
    </row>
    <row r="38786" spans="43:43" x14ac:dyDescent="0.2">
      <c r="AQ38786" s="31"/>
    </row>
    <row r="38787" spans="43:43" x14ac:dyDescent="0.2">
      <c r="AQ38787" s="31"/>
    </row>
    <row r="38788" spans="43:43" x14ac:dyDescent="0.2">
      <c r="AQ38788" s="31"/>
    </row>
    <row r="38789" spans="43:43" x14ac:dyDescent="0.2">
      <c r="AQ38789" s="31"/>
    </row>
    <row r="38790" spans="43:43" x14ac:dyDescent="0.2">
      <c r="AQ38790" s="31"/>
    </row>
    <row r="38791" spans="43:43" x14ac:dyDescent="0.2">
      <c r="AQ38791" s="31"/>
    </row>
    <row r="38792" spans="43:43" x14ac:dyDescent="0.2">
      <c r="AQ38792" s="31"/>
    </row>
    <row r="38793" spans="43:43" x14ac:dyDescent="0.2">
      <c r="AQ38793" s="31"/>
    </row>
    <row r="38794" spans="43:43" x14ac:dyDescent="0.2">
      <c r="AQ38794" s="31"/>
    </row>
    <row r="38795" spans="43:43" x14ac:dyDescent="0.2">
      <c r="AQ38795" s="31"/>
    </row>
    <row r="38796" spans="43:43" x14ac:dyDescent="0.2">
      <c r="AQ38796" s="31"/>
    </row>
    <row r="38797" spans="43:43" x14ac:dyDescent="0.2">
      <c r="AQ38797" s="31"/>
    </row>
    <row r="38798" spans="43:43" x14ac:dyDescent="0.2">
      <c r="AQ38798" s="31"/>
    </row>
    <row r="38799" spans="43:43" x14ac:dyDescent="0.2">
      <c r="AQ38799" s="31"/>
    </row>
    <row r="38800" spans="43:43" x14ac:dyDescent="0.2">
      <c r="AQ38800" s="31"/>
    </row>
    <row r="38801" spans="43:43" x14ac:dyDescent="0.2">
      <c r="AQ38801" s="31"/>
    </row>
    <row r="38802" spans="43:43" x14ac:dyDescent="0.2">
      <c r="AQ38802" s="31"/>
    </row>
    <row r="38803" spans="43:43" x14ac:dyDescent="0.2">
      <c r="AQ38803" s="31"/>
    </row>
    <row r="38804" spans="43:43" x14ac:dyDescent="0.2">
      <c r="AQ38804" s="31"/>
    </row>
    <row r="38805" spans="43:43" x14ac:dyDescent="0.2">
      <c r="AQ38805" s="31"/>
    </row>
    <row r="38806" spans="43:43" x14ac:dyDescent="0.2">
      <c r="AQ38806" s="31"/>
    </row>
    <row r="38807" spans="43:43" x14ac:dyDescent="0.2">
      <c r="AQ38807" s="31"/>
    </row>
    <row r="38808" spans="43:43" x14ac:dyDescent="0.2">
      <c r="AQ38808" s="31"/>
    </row>
    <row r="38809" spans="43:43" x14ac:dyDescent="0.2">
      <c r="AQ38809" s="31"/>
    </row>
    <row r="38810" spans="43:43" x14ac:dyDescent="0.2">
      <c r="AQ38810" s="31"/>
    </row>
    <row r="38811" spans="43:43" x14ac:dyDescent="0.2">
      <c r="AQ38811" s="31"/>
    </row>
    <row r="38812" spans="43:43" x14ac:dyDescent="0.2">
      <c r="AQ38812" s="31"/>
    </row>
    <row r="38813" spans="43:43" x14ac:dyDescent="0.2">
      <c r="AQ38813" s="31"/>
    </row>
    <row r="38814" spans="43:43" x14ac:dyDescent="0.2">
      <c r="AQ38814" s="31"/>
    </row>
    <row r="38815" spans="43:43" x14ac:dyDescent="0.2">
      <c r="AQ38815" s="31"/>
    </row>
    <row r="38816" spans="43:43" x14ac:dyDescent="0.2">
      <c r="AQ38816" s="31"/>
    </row>
    <row r="38817" spans="43:43" x14ac:dyDescent="0.2">
      <c r="AQ38817" s="31"/>
    </row>
    <row r="38818" spans="43:43" x14ac:dyDescent="0.2">
      <c r="AQ38818" s="31"/>
    </row>
    <row r="38819" spans="43:43" x14ac:dyDescent="0.2">
      <c r="AQ38819" s="31"/>
    </row>
    <row r="38820" spans="43:43" x14ac:dyDescent="0.2">
      <c r="AQ38820" s="31"/>
    </row>
    <row r="38821" spans="43:43" x14ac:dyDescent="0.2">
      <c r="AQ38821" s="31"/>
    </row>
    <row r="38822" spans="43:43" x14ac:dyDescent="0.2">
      <c r="AQ38822" s="31"/>
    </row>
    <row r="38823" spans="43:43" x14ac:dyDescent="0.2">
      <c r="AQ38823" s="31"/>
    </row>
    <row r="38824" spans="43:43" x14ac:dyDescent="0.2">
      <c r="AQ38824" s="31"/>
    </row>
    <row r="38825" spans="43:43" x14ac:dyDescent="0.2">
      <c r="AQ38825" s="31"/>
    </row>
    <row r="38826" spans="43:43" x14ac:dyDescent="0.2">
      <c r="AQ38826" s="31"/>
    </row>
    <row r="38827" spans="43:43" x14ac:dyDescent="0.2">
      <c r="AQ38827" s="31"/>
    </row>
    <row r="38828" spans="43:43" x14ac:dyDescent="0.2">
      <c r="AQ38828" s="31"/>
    </row>
    <row r="38829" spans="43:43" x14ac:dyDescent="0.2">
      <c r="AQ38829" s="31"/>
    </row>
    <row r="38830" spans="43:43" x14ac:dyDescent="0.2">
      <c r="AQ38830" s="31"/>
    </row>
    <row r="38831" spans="43:43" x14ac:dyDescent="0.2">
      <c r="AQ38831" s="31"/>
    </row>
    <row r="38832" spans="43:43" x14ac:dyDescent="0.2">
      <c r="AQ38832" s="31"/>
    </row>
    <row r="38833" spans="43:43" x14ac:dyDescent="0.2">
      <c r="AQ38833" s="31"/>
    </row>
    <row r="38834" spans="43:43" x14ac:dyDescent="0.2">
      <c r="AQ38834" s="31"/>
    </row>
    <row r="38835" spans="43:43" x14ac:dyDescent="0.2">
      <c r="AQ38835" s="31"/>
    </row>
    <row r="38836" spans="43:43" x14ac:dyDescent="0.2">
      <c r="AQ38836" s="31"/>
    </row>
    <row r="38837" spans="43:43" x14ac:dyDescent="0.2">
      <c r="AQ38837" s="31"/>
    </row>
    <row r="38838" spans="43:43" x14ac:dyDescent="0.2">
      <c r="AQ38838" s="31"/>
    </row>
    <row r="38839" spans="43:43" x14ac:dyDescent="0.2">
      <c r="AQ38839" s="31"/>
    </row>
    <row r="38840" spans="43:43" x14ac:dyDescent="0.2">
      <c r="AQ38840" s="31"/>
    </row>
    <row r="38841" spans="43:43" x14ac:dyDescent="0.2">
      <c r="AQ38841" s="31"/>
    </row>
    <row r="38842" spans="43:43" x14ac:dyDescent="0.2">
      <c r="AQ38842" s="31"/>
    </row>
    <row r="38843" spans="43:43" x14ac:dyDescent="0.2">
      <c r="AQ38843" s="31"/>
    </row>
    <row r="38844" spans="43:43" x14ac:dyDescent="0.2">
      <c r="AQ38844" s="31"/>
    </row>
    <row r="38845" spans="43:43" x14ac:dyDescent="0.2">
      <c r="AQ38845" s="31"/>
    </row>
    <row r="38846" spans="43:43" x14ac:dyDescent="0.2">
      <c r="AQ38846" s="31"/>
    </row>
    <row r="38847" spans="43:43" x14ac:dyDescent="0.2">
      <c r="AQ38847" s="31"/>
    </row>
    <row r="38848" spans="43:43" x14ac:dyDescent="0.2">
      <c r="AQ38848" s="31"/>
    </row>
    <row r="38849" spans="43:43" x14ac:dyDescent="0.2">
      <c r="AQ38849" s="31"/>
    </row>
    <row r="38850" spans="43:43" x14ac:dyDescent="0.2">
      <c r="AQ38850" s="31"/>
    </row>
    <row r="38851" spans="43:43" x14ac:dyDescent="0.2">
      <c r="AQ38851" s="31"/>
    </row>
    <row r="38852" spans="43:43" x14ac:dyDescent="0.2">
      <c r="AQ38852" s="31"/>
    </row>
    <row r="38853" spans="43:43" x14ac:dyDescent="0.2">
      <c r="AQ38853" s="31"/>
    </row>
    <row r="38854" spans="43:43" x14ac:dyDescent="0.2">
      <c r="AQ38854" s="31"/>
    </row>
    <row r="38855" spans="43:43" x14ac:dyDescent="0.2">
      <c r="AQ38855" s="31"/>
    </row>
    <row r="38856" spans="43:43" x14ac:dyDescent="0.2">
      <c r="AQ38856" s="31"/>
    </row>
    <row r="38857" spans="43:43" x14ac:dyDescent="0.2">
      <c r="AQ38857" s="31"/>
    </row>
    <row r="38858" spans="43:43" x14ac:dyDescent="0.2">
      <c r="AQ38858" s="31"/>
    </row>
    <row r="38859" spans="43:43" x14ac:dyDescent="0.2">
      <c r="AQ38859" s="31"/>
    </row>
    <row r="38860" spans="43:43" x14ac:dyDescent="0.2">
      <c r="AQ38860" s="31"/>
    </row>
    <row r="38861" spans="43:43" x14ac:dyDescent="0.2">
      <c r="AQ38861" s="31"/>
    </row>
    <row r="38862" spans="43:43" x14ac:dyDescent="0.2">
      <c r="AQ38862" s="31"/>
    </row>
    <row r="38863" spans="43:43" x14ac:dyDescent="0.2">
      <c r="AQ38863" s="31"/>
    </row>
    <row r="38864" spans="43:43" x14ac:dyDescent="0.2">
      <c r="AQ38864" s="31"/>
    </row>
    <row r="38865" spans="43:43" x14ac:dyDescent="0.2">
      <c r="AQ38865" s="31"/>
    </row>
    <row r="38866" spans="43:43" x14ac:dyDescent="0.2">
      <c r="AQ38866" s="31"/>
    </row>
    <row r="38867" spans="43:43" x14ac:dyDescent="0.2">
      <c r="AQ38867" s="31"/>
    </row>
    <row r="38868" spans="43:43" x14ac:dyDescent="0.2">
      <c r="AQ38868" s="31"/>
    </row>
    <row r="38869" spans="43:43" x14ac:dyDescent="0.2">
      <c r="AQ38869" s="31"/>
    </row>
    <row r="38870" spans="43:43" x14ac:dyDescent="0.2">
      <c r="AQ38870" s="31"/>
    </row>
    <row r="38871" spans="43:43" x14ac:dyDescent="0.2">
      <c r="AQ38871" s="31"/>
    </row>
    <row r="38872" spans="43:43" x14ac:dyDescent="0.2">
      <c r="AQ38872" s="31"/>
    </row>
    <row r="38873" spans="43:43" x14ac:dyDescent="0.2">
      <c r="AQ38873" s="31"/>
    </row>
    <row r="38874" spans="43:43" x14ac:dyDescent="0.2">
      <c r="AQ38874" s="31"/>
    </row>
    <row r="38875" spans="43:43" x14ac:dyDescent="0.2">
      <c r="AQ38875" s="31"/>
    </row>
    <row r="38876" spans="43:43" x14ac:dyDescent="0.2">
      <c r="AQ38876" s="31"/>
    </row>
    <row r="38877" spans="43:43" x14ac:dyDescent="0.2">
      <c r="AQ38877" s="31"/>
    </row>
    <row r="38878" spans="43:43" x14ac:dyDescent="0.2">
      <c r="AQ38878" s="31"/>
    </row>
    <row r="38879" spans="43:43" x14ac:dyDescent="0.2">
      <c r="AQ38879" s="31"/>
    </row>
    <row r="38880" spans="43:43" x14ac:dyDescent="0.2">
      <c r="AQ38880" s="31"/>
    </row>
    <row r="38881" spans="43:43" x14ac:dyDescent="0.2">
      <c r="AQ38881" s="31"/>
    </row>
    <row r="38882" spans="43:43" x14ac:dyDescent="0.2">
      <c r="AQ38882" s="31"/>
    </row>
    <row r="38883" spans="43:43" x14ac:dyDescent="0.2">
      <c r="AQ38883" s="31"/>
    </row>
    <row r="38884" spans="43:43" x14ac:dyDescent="0.2">
      <c r="AQ38884" s="31"/>
    </row>
    <row r="38885" spans="43:43" x14ac:dyDescent="0.2">
      <c r="AQ38885" s="31"/>
    </row>
    <row r="38886" spans="43:43" x14ac:dyDescent="0.2">
      <c r="AQ38886" s="31"/>
    </row>
    <row r="38887" spans="43:43" x14ac:dyDescent="0.2">
      <c r="AQ38887" s="31"/>
    </row>
    <row r="38888" spans="43:43" x14ac:dyDescent="0.2">
      <c r="AQ38888" s="31"/>
    </row>
    <row r="38889" spans="43:43" x14ac:dyDescent="0.2">
      <c r="AQ38889" s="31"/>
    </row>
    <row r="38890" spans="43:43" x14ac:dyDescent="0.2">
      <c r="AQ38890" s="31"/>
    </row>
    <row r="38891" spans="43:43" x14ac:dyDescent="0.2">
      <c r="AQ38891" s="31"/>
    </row>
    <row r="38892" spans="43:43" x14ac:dyDescent="0.2">
      <c r="AQ38892" s="31"/>
    </row>
    <row r="38893" spans="43:43" x14ac:dyDescent="0.2">
      <c r="AQ38893" s="31"/>
    </row>
    <row r="38894" spans="43:43" x14ac:dyDescent="0.2">
      <c r="AQ38894" s="31"/>
    </row>
    <row r="38895" spans="43:43" x14ac:dyDescent="0.2">
      <c r="AQ38895" s="31"/>
    </row>
    <row r="38896" spans="43:43" x14ac:dyDescent="0.2">
      <c r="AQ38896" s="31"/>
    </row>
    <row r="38897" spans="43:43" x14ac:dyDescent="0.2">
      <c r="AQ38897" s="31"/>
    </row>
    <row r="38898" spans="43:43" x14ac:dyDescent="0.2">
      <c r="AQ38898" s="31"/>
    </row>
    <row r="38899" spans="43:43" x14ac:dyDescent="0.2">
      <c r="AQ38899" s="31"/>
    </row>
    <row r="38900" spans="43:43" x14ac:dyDescent="0.2">
      <c r="AQ38900" s="31"/>
    </row>
    <row r="38901" spans="43:43" x14ac:dyDescent="0.2">
      <c r="AQ38901" s="31"/>
    </row>
    <row r="38902" spans="43:43" x14ac:dyDescent="0.2">
      <c r="AQ38902" s="31"/>
    </row>
    <row r="38903" spans="43:43" x14ac:dyDescent="0.2">
      <c r="AQ38903" s="31"/>
    </row>
    <row r="38904" spans="43:43" x14ac:dyDescent="0.2">
      <c r="AQ38904" s="31"/>
    </row>
    <row r="38905" spans="43:43" x14ac:dyDescent="0.2">
      <c r="AQ38905" s="31"/>
    </row>
    <row r="38906" spans="43:43" x14ac:dyDescent="0.2">
      <c r="AQ38906" s="31"/>
    </row>
    <row r="38907" spans="43:43" x14ac:dyDescent="0.2">
      <c r="AQ38907" s="31"/>
    </row>
    <row r="38908" spans="43:43" x14ac:dyDescent="0.2">
      <c r="AQ38908" s="31"/>
    </row>
    <row r="38909" spans="43:43" x14ac:dyDescent="0.2">
      <c r="AQ38909" s="31"/>
    </row>
    <row r="38910" spans="43:43" x14ac:dyDescent="0.2">
      <c r="AQ38910" s="31"/>
    </row>
    <row r="38911" spans="43:43" x14ac:dyDescent="0.2">
      <c r="AQ38911" s="31"/>
    </row>
    <row r="38912" spans="43:43" x14ac:dyDescent="0.2">
      <c r="AQ38912" s="31"/>
    </row>
    <row r="38913" spans="43:43" x14ac:dyDescent="0.2">
      <c r="AQ38913" s="31"/>
    </row>
    <row r="38914" spans="43:43" x14ac:dyDescent="0.2">
      <c r="AQ38914" s="31"/>
    </row>
    <row r="38915" spans="43:43" x14ac:dyDescent="0.2">
      <c r="AQ38915" s="31"/>
    </row>
    <row r="38916" spans="43:43" x14ac:dyDescent="0.2">
      <c r="AQ38916" s="31"/>
    </row>
    <row r="38917" spans="43:43" x14ac:dyDescent="0.2">
      <c r="AQ38917" s="31"/>
    </row>
    <row r="38918" spans="43:43" x14ac:dyDescent="0.2">
      <c r="AQ38918" s="31"/>
    </row>
    <row r="38919" spans="43:43" x14ac:dyDescent="0.2">
      <c r="AQ38919" s="31"/>
    </row>
    <row r="38920" spans="43:43" x14ac:dyDescent="0.2">
      <c r="AQ38920" s="31"/>
    </row>
    <row r="38921" spans="43:43" x14ac:dyDescent="0.2">
      <c r="AQ38921" s="31"/>
    </row>
    <row r="38922" spans="43:43" x14ac:dyDescent="0.2">
      <c r="AQ38922" s="31"/>
    </row>
    <row r="38923" spans="43:43" x14ac:dyDescent="0.2">
      <c r="AQ38923" s="31"/>
    </row>
    <row r="38924" spans="43:43" x14ac:dyDescent="0.2">
      <c r="AQ38924" s="31"/>
    </row>
    <row r="38925" spans="43:43" x14ac:dyDescent="0.2">
      <c r="AQ38925" s="31"/>
    </row>
    <row r="38926" spans="43:43" x14ac:dyDescent="0.2">
      <c r="AQ38926" s="31"/>
    </row>
    <row r="38927" spans="43:43" x14ac:dyDescent="0.2">
      <c r="AQ38927" s="31"/>
    </row>
    <row r="38928" spans="43:43" x14ac:dyDescent="0.2">
      <c r="AQ38928" s="31"/>
    </row>
    <row r="38929" spans="43:43" x14ac:dyDescent="0.2">
      <c r="AQ38929" s="31"/>
    </row>
    <row r="38930" spans="43:43" x14ac:dyDescent="0.2">
      <c r="AQ38930" s="31"/>
    </row>
    <row r="38931" spans="43:43" x14ac:dyDescent="0.2">
      <c r="AQ38931" s="31"/>
    </row>
    <row r="38932" spans="43:43" x14ac:dyDescent="0.2">
      <c r="AQ38932" s="31"/>
    </row>
    <row r="38933" spans="43:43" x14ac:dyDescent="0.2">
      <c r="AQ38933" s="31"/>
    </row>
    <row r="38934" spans="43:43" x14ac:dyDescent="0.2">
      <c r="AQ38934" s="31"/>
    </row>
    <row r="38935" spans="43:43" x14ac:dyDescent="0.2">
      <c r="AQ38935" s="31"/>
    </row>
    <row r="38936" spans="43:43" x14ac:dyDescent="0.2">
      <c r="AQ38936" s="31"/>
    </row>
    <row r="38937" spans="43:43" x14ac:dyDescent="0.2">
      <c r="AQ38937" s="31"/>
    </row>
    <row r="38938" spans="43:43" x14ac:dyDescent="0.2">
      <c r="AQ38938" s="31"/>
    </row>
    <row r="38939" spans="43:43" x14ac:dyDescent="0.2">
      <c r="AQ38939" s="31"/>
    </row>
    <row r="38940" spans="43:43" x14ac:dyDescent="0.2">
      <c r="AQ38940" s="31"/>
    </row>
    <row r="38941" spans="43:43" x14ac:dyDescent="0.2">
      <c r="AQ38941" s="31"/>
    </row>
    <row r="38942" spans="43:43" x14ac:dyDescent="0.2">
      <c r="AQ38942" s="31"/>
    </row>
    <row r="38943" spans="43:43" x14ac:dyDescent="0.2">
      <c r="AQ38943" s="31"/>
    </row>
    <row r="38944" spans="43:43" x14ac:dyDescent="0.2">
      <c r="AQ38944" s="31"/>
    </row>
    <row r="38945" spans="43:43" x14ac:dyDescent="0.2">
      <c r="AQ38945" s="31"/>
    </row>
    <row r="38946" spans="43:43" x14ac:dyDescent="0.2">
      <c r="AQ38946" s="31"/>
    </row>
    <row r="38947" spans="43:43" x14ac:dyDescent="0.2">
      <c r="AQ38947" s="31"/>
    </row>
    <row r="38948" spans="43:43" x14ac:dyDescent="0.2">
      <c r="AQ38948" s="31"/>
    </row>
    <row r="38949" spans="43:43" x14ac:dyDescent="0.2">
      <c r="AQ38949" s="31"/>
    </row>
    <row r="38950" spans="43:43" x14ac:dyDescent="0.2">
      <c r="AQ38950" s="31"/>
    </row>
    <row r="38951" spans="43:43" x14ac:dyDescent="0.2">
      <c r="AQ38951" s="31"/>
    </row>
    <row r="38952" spans="43:43" x14ac:dyDescent="0.2">
      <c r="AQ38952" s="31"/>
    </row>
    <row r="38953" spans="43:43" x14ac:dyDescent="0.2">
      <c r="AQ38953" s="31"/>
    </row>
    <row r="38954" spans="43:43" x14ac:dyDescent="0.2">
      <c r="AQ38954" s="31"/>
    </row>
    <row r="38955" spans="43:43" x14ac:dyDescent="0.2">
      <c r="AQ38955" s="31"/>
    </row>
    <row r="38956" spans="43:43" x14ac:dyDescent="0.2">
      <c r="AQ38956" s="31"/>
    </row>
    <row r="38957" spans="43:43" x14ac:dyDescent="0.2">
      <c r="AQ38957" s="31"/>
    </row>
    <row r="38958" spans="43:43" x14ac:dyDescent="0.2">
      <c r="AQ38958" s="31"/>
    </row>
    <row r="38959" spans="43:43" x14ac:dyDescent="0.2">
      <c r="AQ38959" s="31"/>
    </row>
    <row r="38960" spans="43:43" x14ac:dyDescent="0.2">
      <c r="AQ38960" s="31"/>
    </row>
    <row r="38961" spans="43:43" x14ac:dyDescent="0.2">
      <c r="AQ38961" s="31"/>
    </row>
    <row r="38962" spans="43:43" x14ac:dyDescent="0.2">
      <c r="AQ38962" s="31"/>
    </row>
    <row r="38963" spans="43:43" x14ac:dyDescent="0.2">
      <c r="AQ38963" s="31"/>
    </row>
    <row r="38964" spans="43:43" x14ac:dyDescent="0.2">
      <c r="AQ38964" s="31"/>
    </row>
    <row r="38965" spans="43:43" x14ac:dyDescent="0.2">
      <c r="AQ38965" s="31"/>
    </row>
    <row r="38966" spans="43:43" x14ac:dyDescent="0.2">
      <c r="AQ38966" s="31"/>
    </row>
    <row r="38967" spans="43:43" x14ac:dyDescent="0.2">
      <c r="AQ38967" s="31"/>
    </row>
    <row r="38968" spans="43:43" x14ac:dyDescent="0.2">
      <c r="AQ38968" s="31"/>
    </row>
    <row r="38969" spans="43:43" x14ac:dyDescent="0.2">
      <c r="AQ38969" s="31"/>
    </row>
    <row r="38970" spans="43:43" x14ac:dyDescent="0.2">
      <c r="AQ38970" s="31"/>
    </row>
    <row r="38971" spans="43:43" x14ac:dyDescent="0.2">
      <c r="AQ38971" s="31"/>
    </row>
    <row r="38972" spans="43:43" x14ac:dyDescent="0.2">
      <c r="AQ38972" s="31"/>
    </row>
    <row r="38973" spans="43:43" x14ac:dyDescent="0.2">
      <c r="AQ38973" s="31"/>
    </row>
    <row r="38974" spans="43:43" x14ac:dyDescent="0.2">
      <c r="AQ38974" s="31"/>
    </row>
    <row r="38975" spans="43:43" x14ac:dyDescent="0.2">
      <c r="AQ38975" s="31"/>
    </row>
    <row r="38976" spans="43:43" x14ac:dyDescent="0.2">
      <c r="AQ38976" s="31"/>
    </row>
    <row r="38977" spans="43:43" x14ac:dyDescent="0.2">
      <c r="AQ38977" s="31"/>
    </row>
    <row r="38978" spans="43:43" x14ac:dyDescent="0.2">
      <c r="AQ38978" s="31"/>
    </row>
    <row r="38979" spans="43:43" x14ac:dyDescent="0.2">
      <c r="AQ38979" s="31"/>
    </row>
    <row r="38980" spans="43:43" x14ac:dyDescent="0.2">
      <c r="AQ38980" s="31"/>
    </row>
    <row r="38981" spans="43:43" x14ac:dyDescent="0.2">
      <c r="AQ38981" s="31"/>
    </row>
    <row r="38982" spans="43:43" x14ac:dyDescent="0.2">
      <c r="AQ38982" s="31"/>
    </row>
    <row r="38983" spans="43:43" x14ac:dyDescent="0.2">
      <c r="AQ38983" s="31"/>
    </row>
    <row r="38984" spans="43:43" x14ac:dyDescent="0.2">
      <c r="AQ38984" s="31"/>
    </row>
    <row r="38985" spans="43:43" x14ac:dyDescent="0.2">
      <c r="AQ38985" s="31"/>
    </row>
    <row r="38986" spans="43:43" x14ac:dyDescent="0.2">
      <c r="AQ38986" s="31"/>
    </row>
    <row r="38987" spans="43:43" x14ac:dyDescent="0.2">
      <c r="AQ38987" s="31"/>
    </row>
    <row r="38988" spans="43:43" x14ac:dyDescent="0.2">
      <c r="AQ38988" s="31"/>
    </row>
    <row r="38989" spans="43:43" x14ac:dyDescent="0.2">
      <c r="AQ38989" s="31"/>
    </row>
    <row r="38990" spans="43:43" x14ac:dyDescent="0.2">
      <c r="AQ38990" s="31"/>
    </row>
    <row r="38991" spans="43:43" x14ac:dyDescent="0.2">
      <c r="AQ38991" s="31"/>
    </row>
    <row r="38992" spans="43:43" x14ac:dyDescent="0.2">
      <c r="AQ38992" s="31"/>
    </row>
    <row r="38993" spans="43:43" x14ac:dyDescent="0.2">
      <c r="AQ38993" s="31"/>
    </row>
    <row r="38994" spans="43:43" x14ac:dyDescent="0.2">
      <c r="AQ38994" s="31"/>
    </row>
    <row r="38995" spans="43:43" x14ac:dyDescent="0.2">
      <c r="AQ38995" s="31"/>
    </row>
    <row r="38996" spans="43:43" x14ac:dyDescent="0.2">
      <c r="AQ38996" s="31"/>
    </row>
    <row r="38997" spans="43:43" x14ac:dyDescent="0.2">
      <c r="AQ38997" s="31"/>
    </row>
    <row r="38998" spans="43:43" x14ac:dyDescent="0.2">
      <c r="AQ38998" s="31"/>
    </row>
    <row r="38999" spans="43:43" x14ac:dyDescent="0.2">
      <c r="AQ38999" s="31"/>
    </row>
    <row r="39000" spans="43:43" x14ac:dyDescent="0.2">
      <c r="AQ39000" s="31"/>
    </row>
    <row r="39001" spans="43:43" x14ac:dyDescent="0.2">
      <c r="AQ39001" s="31"/>
    </row>
    <row r="39002" spans="43:43" x14ac:dyDescent="0.2">
      <c r="AQ39002" s="31"/>
    </row>
    <row r="39003" spans="43:43" x14ac:dyDescent="0.2">
      <c r="AQ39003" s="31"/>
    </row>
    <row r="39004" spans="43:43" x14ac:dyDescent="0.2">
      <c r="AQ39004" s="31"/>
    </row>
    <row r="39005" spans="43:43" x14ac:dyDescent="0.2">
      <c r="AQ39005" s="31"/>
    </row>
    <row r="39006" spans="43:43" x14ac:dyDescent="0.2">
      <c r="AQ39006" s="31"/>
    </row>
    <row r="39007" spans="43:43" x14ac:dyDescent="0.2">
      <c r="AQ39007" s="31"/>
    </row>
    <row r="39008" spans="43:43" x14ac:dyDescent="0.2">
      <c r="AQ39008" s="31"/>
    </row>
    <row r="39009" spans="43:43" x14ac:dyDescent="0.2">
      <c r="AQ39009" s="31"/>
    </row>
    <row r="39010" spans="43:43" x14ac:dyDescent="0.2">
      <c r="AQ39010" s="31"/>
    </row>
    <row r="39011" spans="43:43" x14ac:dyDescent="0.2">
      <c r="AQ39011" s="31"/>
    </row>
    <row r="39012" spans="43:43" x14ac:dyDescent="0.2">
      <c r="AQ39012" s="31"/>
    </row>
    <row r="39013" spans="43:43" x14ac:dyDescent="0.2">
      <c r="AQ39013" s="31"/>
    </row>
    <row r="39014" spans="43:43" x14ac:dyDescent="0.2">
      <c r="AQ39014" s="31"/>
    </row>
    <row r="39015" spans="43:43" x14ac:dyDescent="0.2">
      <c r="AQ39015" s="31"/>
    </row>
    <row r="39016" spans="43:43" x14ac:dyDescent="0.2">
      <c r="AQ39016" s="31"/>
    </row>
    <row r="39017" spans="43:43" x14ac:dyDescent="0.2">
      <c r="AQ39017" s="31"/>
    </row>
    <row r="39018" spans="43:43" x14ac:dyDescent="0.2">
      <c r="AQ39018" s="31"/>
    </row>
    <row r="39019" spans="43:43" x14ac:dyDescent="0.2">
      <c r="AQ39019" s="31"/>
    </row>
    <row r="39020" spans="43:43" x14ac:dyDescent="0.2">
      <c r="AQ39020" s="31"/>
    </row>
    <row r="39021" spans="43:43" x14ac:dyDescent="0.2">
      <c r="AQ39021" s="31"/>
    </row>
    <row r="39022" spans="43:43" x14ac:dyDescent="0.2">
      <c r="AQ39022" s="31"/>
    </row>
    <row r="39023" spans="43:43" x14ac:dyDescent="0.2">
      <c r="AQ39023" s="31"/>
    </row>
    <row r="39024" spans="43:43" x14ac:dyDescent="0.2">
      <c r="AQ39024" s="31"/>
    </row>
    <row r="39025" spans="43:43" x14ac:dyDescent="0.2">
      <c r="AQ39025" s="31"/>
    </row>
    <row r="39026" spans="43:43" x14ac:dyDescent="0.2">
      <c r="AQ39026" s="31"/>
    </row>
    <row r="39027" spans="43:43" x14ac:dyDescent="0.2">
      <c r="AQ39027" s="31"/>
    </row>
    <row r="39028" spans="43:43" x14ac:dyDescent="0.2">
      <c r="AQ39028" s="31"/>
    </row>
    <row r="39029" spans="43:43" x14ac:dyDescent="0.2">
      <c r="AQ39029" s="31"/>
    </row>
    <row r="39030" spans="43:43" x14ac:dyDescent="0.2">
      <c r="AQ39030" s="31"/>
    </row>
    <row r="39031" spans="43:43" x14ac:dyDescent="0.2">
      <c r="AQ39031" s="31"/>
    </row>
    <row r="39032" spans="43:43" x14ac:dyDescent="0.2">
      <c r="AQ39032" s="31"/>
    </row>
    <row r="39033" spans="43:43" x14ac:dyDescent="0.2">
      <c r="AQ39033" s="31"/>
    </row>
    <row r="39034" spans="43:43" x14ac:dyDescent="0.2">
      <c r="AQ39034" s="31"/>
    </row>
    <row r="39035" spans="43:43" x14ac:dyDescent="0.2">
      <c r="AQ39035" s="31"/>
    </row>
    <row r="39036" spans="43:43" x14ac:dyDescent="0.2">
      <c r="AQ39036" s="31"/>
    </row>
    <row r="39037" spans="43:43" x14ac:dyDescent="0.2">
      <c r="AQ39037" s="31"/>
    </row>
    <row r="39038" spans="43:43" x14ac:dyDescent="0.2">
      <c r="AQ39038" s="31"/>
    </row>
    <row r="39039" spans="43:43" x14ac:dyDescent="0.2">
      <c r="AQ39039" s="31"/>
    </row>
    <row r="39040" spans="43:43" x14ac:dyDescent="0.2">
      <c r="AQ39040" s="31"/>
    </row>
    <row r="39041" spans="43:43" x14ac:dyDescent="0.2">
      <c r="AQ39041" s="31"/>
    </row>
    <row r="39042" spans="43:43" x14ac:dyDescent="0.2">
      <c r="AQ39042" s="31"/>
    </row>
    <row r="39043" spans="43:43" x14ac:dyDescent="0.2">
      <c r="AQ39043" s="31"/>
    </row>
    <row r="39044" spans="43:43" x14ac:dyDescent="0.2">
      <c r="AQ39044" s="31"/>
    </row>
    <row r="39045" spans="43:43" x14ac:dyDescent="0.2">
      <c r="AQ39045" s="31"/>
    </row>
    <row r="39046" spans="43:43" x14ac:dyDescent="0.2">
      <c r="AQ39046" s="31"/>
    </row>
    <row r="39047" spans="43:43" x14ac:dyDescent="0.2">
      <c r="AQ39047" s="31"/>
    </row>
    <row r="39048" spans="43:43" x14ac:dyDescent="0.2">
      <c r="AQ39048" s="31"/>
    </row>
    <row r="39049" spans="43:43" x14ac:dyDescent="0.2">
      <c r="AQ39049" s="31"/>
    </row>
    <row r="39050" spans="43:43" x14ac:dyDescent="0.2">
      <c r="AQ39050" s="31"/>
    </row>
    <row r="39051" spans="43:43" x14ac:dyDescent="0.2">
      <c r="AQ39051" s="31"/>
    </row>
    <row r="39052" spans="43:43" x14ac:dyDescent="0.2">
      <c r="AQ39052" s="31"/>
    </row>
    <row r="39053" spans="43:43" x14ac:dyDescent="0.2">
      <c r="AQ39053" s="31"/>
    </row>
    <row r="39054" spans="43:43" x14ac:dyDescent="0.2">
      <c r="AQ39054" s="31"/>
    </row>
    <row r="39055" spans="43:43" x14ac:dyDescent="0.2">
      <c r="AQ39055" s="31"/>
    </row>
    <row r="39056" spans="43:43" x14ac:dyDescent="0.2">
      <c r="AQ39056" s="31"/>
    </row>
    <row r="39057" spans="43:43" x14ac:dyDescent="0.2">
      <c r="AQ39057" s="31"/>
    </row>
    <row r="39058" spans="43:43" x14ac:dyDescent="0.2">
      <c r="AQ39058" s="31"/>
    </row>
    <row r="39059" spans="43:43" x14ac:dyDescent="0.2">
      <c r="AQ39059" s="31"/>
    </row>
    <row r="39060" spans="43:43" x14ac:dyDescent="0.2">
      <c r="AQ39060" s="31"/>
    </row>
    <row r="39061" spans="43:43" x14ac:dyDescent="0.2">
      <c r="AQ39061" s="31"/>
    </row>
    <row r="39062" spans="43:43" x14ac:dyDescent="0.2">
      <c r="AQ39062" s="31"/>
    </row>
    <row r="39063" spans="43:43" x14ac:dyDescent="0.2">
      <c r="AQ39063" s="31"/>
    </row>
    <row r="39064" spans="43:43" x14ac:dyDescent="0.2">
      <c r="AQ39064" s="31"/>
    </row>
    <row r="39065" spans="43:43" x14ac:dyDescent="0.2">
      <c r="AQ39065" s="31"/>
    </row>
    <row r="39066" spans="43:43" x14ac:dyDescent="0.2">
      <c r="AQ39066" s="31"/>
    </row>
    <row r="39067" spans="43:43" x14ac:dyDescent="0.2">
      <c r="AQ39067" s="31"/>
    </row>
    <row r="39068" spans="43:43" x14ac:dyDescent="0.2">
      <c r="AQ39068" s="31"/>
    </row>
    <row r="39069" spans="43:43" x14ac:dyDescent="0.2">
      <c r="AQ39069" s="31"/>
    </row>
    <row r="39070" spans="43:43" x14ac:dyDescent="0.2">
      <c r="AQ39070" s="31"/>
    </row>
    <row r="39071" spans="43:43" x14ac:dyDescent="0.2">
      <c r="AQ39071" s="31"/>
    </row>
    <row r="39072" spans="43:43" x14ac:dyDescent="0.2">
      <c r="AQ39072" s="31"/>
    </row>
    <row r="39073" spans="43:43" x14ac:dyDescent="0.2">
      <c r="AQ39073" s="31"/>
    </row>
    <row r="39074" spans="43:43" x14ac:dyDescent="0.2">
      <c r="AQ39074" s="31"/>
    </row>
    <row r="39075" spans="43:43" x14ac:dyDescent="0.2">
      <c r="AQ39075" s="31"/>
    </row>
    <row r="39076" spans="43:43" x14ac:dyDescent="0.2">
      <c r="AQ39076" s="31"/>
    </row>
    <row r="39077" spans="43:43" x14ac:dyDescent="0.2">
      <c r="AQ39077" s="31"/>
    </row>
    <row r="39078" spans="43:43" x14ac:dyDescent="0.2">
      <c r="AQ39078" s="31"/>
    </row>
    <row r="39079" spans="43:43" x14ac:dyDescent="0.2">
      <c r="AQ39079" s="31"/>
    </row>
    <row r="39080" spans="43:43" x14ac:dyDescent="0.2">
      <c r="AQ39080" s="31"/>
    </row>
    <row r="39081" spans="43:43" x14ac:dyDescent="0.2">
      <c r="AQ39081" s="31"/>
    </row>
    <row r="39082" spans="43:43" x14ac:dyDescent="0.2">
      <c r="AQ39082" s="31"/>
    </row>
    <row r="39083" spans="43:43" x14ac:dyDescent="0.2">
      <c r="AQ39083" s="31"/>
    </row>
    <row r="39084" spans="43:43" x14ac:dyDescent="0.2">
      <c r="AQ39084" s="31"/>
    </row>
    <row r="39085" spans="43:43" x14ac:dyDescent="0.2">
      <c r="AQ39085" s="31"/>
    </row>
    <row r="39086" spans="43:43" x14ac:dyDescent="0.2">
      <c r="AQ39086" s="31"/>
    </row>
    <row r="39087" spans="43:43" x14ac:dyDescent="0.2">
      <c r="AQ39087" s="31"/>
    </row>
    <row r="39088" spans="43:43" x14ac:dyDescent="0.2">
      <c r="AQ39088" s="31"/>
    </row>
    <row r="39089" spans="43:43" x14ac:dyDescent="0.2">
      <c r="AQ39089" s="31"/>
    </row>
    <row r="39090" spans="43:43" x14ac:dyDescent="0.2">
      <c r="AQ39090" s="31"/>
    </row>
    <row r="39091" spans="43:43" x14ac:dyDescent="0.2">
      <c r="AQ39091" s="31"/>
    </row>
    <row r="39092" spans="43:43" x14ac:dyDescent="0.2">
      <c r="AQ39092" s="31"/>
    </row>
    <row r="39093" spans="43:43" x14ac:dyDescent="0.2">
      <c r="AQ39093" s="31"/>
    </row>
    <row r="39094" spans="43:43" x14ac:dyDescent="0.2">
      <c r="AQ39094" s="31"/>
    </row>
    <row r="39095" spans="43:43" x14ac:dyDescent="0.2">
      <c r="AQ39095" s="31"/>
    </row>
    <row r="39096" spans="43:43" x14ac:dyDescent="0.2">
      <c r="AQ39096" s="31"/>
    </row>
    <row r="39097" spans="43:43" x14ac:dyDescent="0.2">
      <c r="AQ39097" s="31"/>
    </row>
    <row r="39098" spans="43:43" x14ac:dyDescent="0.2">
      <c r="AQ39098" s="31"/>
    </row>
    <row r="39099" spans="43:43" x14ac:dyDescent="0.2">
      <c r="AQ39099" s="31"/>
    </row>
    <row r="39100" spans="43:43" x14ac:dyDescent="0.2">
      <c r="AQ39100" s="31"/>
    </row>
    <row r="39101" spans="43:43" x14ac:dyDescent="0.2">
      <c r="AQ39101" s="31"/>
    </row>
    <row r="39102" spans="43:43" x14ac:dyDescent="0.2">
      <c r="AQ39102" s="31"/>
    </row>
    <row r="39103" spans="43:43" x14ac:dyDescent="0.2">
      <c r="AQ39103" s="31"/>
    </row>
    <row r="39104" spans="43:43" x14ac:dyDescent="0.2">
      <c r="AQ39104" s="31"/>
    </row>
    <row r="39105" spans="43:43" x14ac:dyDescent="0.2">
      <c r="AQ39105" s="31"/>
    </row>
    <row r="39106" spans="43:43" x14ac:dyDescent="0.2">
      <c r="AQ39106" s="31"/>
    </row>
    <row r="39107" spans="43:43" x14ac:dyDescent="0.2">
      <c r="AQ39107" s="31"/>
    </row>
    <row r="39108" spans="43:43" x14ac:dyDescent="0.2">
      <c r="AQ39108" s="31"/>
    </row>
    <row r="39109" spans="43:43" x14ac:dyDescent="0.2">
      <c r="AQ39109" s="31"/>
    </row>
    <row r="39110" spans="43:43" x14ac:dyDescent="0.2">
      <c r="AQ39110" s="31"/>
    </row>
    <row r="39111" spans="43:43" x14ac:dyDescent="0.2">
      <c r="AQ39111" s="31"/>
    </row>
    <row r="39112" spans="43:43" x14ac:dyDescent="0.2">
      <c r="AQ39112" s="31"/>
    </row>
    <row r="39113" spans="43:43" x14ac:dyDescent="0.2">
      <c r="AQ39113" s="31"/>
    </row>
    <row r="39114" spans="43:43" x14ac:dyDescent="0.2">
      <c r="AQ39114" s="31"/>
    </row>
    <row r="39115" spans="43:43" x14ac:dyDescent="0.2">
      <c r="AQ39115" s="31"/>
    </row>
    <row r="39116" spans="43:43" x14ac:dyDescent="0.2">
      <c r="AQ39116" s="31"/>
    </row>
    <row r="39117" spans="43:43" x14ac:dyDescent="0.2">
      <c r="AQ39117" s="31"/>
    </row>
    <row r="39118" spans="43:43" x14ac:dyDescent="0.2">
      <c r="AQ39118" s="31"/>
    </row>
    <row r="39119" spans="43:43" x14ac:dyDescent="0.2">
      <c r="AQ39119" s="31"/>
    </row>
    <row r="39120" spans="43:43" x14ac:dyDescent="0.2">
      <c r="AQ39120" s="31"/>
    </row>
    <row r="39121" spans="43:43" x14ac:dyDescent="0.2">
      <c r="AQ39121" s="31"/>
    </row>
    <row r="39122" spans="43:43" x14ac:dyDescent="0.2">
      <c r="AQ39122" s="31"/>
    </row>
    <row r="39123" spans="43:43" x14ac:dyDescent="0.2">
      <c r="AQ39123" s="31"/>
    </row>
    <row r="39124" spans="43:43" x14ac:dyDescent="0.2">
      <c r="AQ39124" s="31"/>
    </row>
    <row r="39125" spans="43:43" x14ac:dyDescent="0.2">
      <c r="AQ39125" s="31"/>
    </row>
    <row r="39126" spans="43:43" x14ac:dyDescent="0.2">
      <c r="AQ39126" s="31"/>
    </row>
    <row r="39127" spans="43:43" x14ac:dyDescent="0.2">
      <c r="AQ39127" s="31"/>
    </row>
    <row r="39128" spans="43:43" x14ac:dyDescent="0.2">
      <c r="AQ39128" s="31"/>
    </row>
    <row r="39129" spans="43:43" x14ac:dyDescent="0.2">
      <c r="AQ39129" s="31"/>
    </row>
    <row r="39130" spans="43:43" x14ac:dyDescent="0.2">
      <c r="AQ39130" s="31"/>
    </row>
    <row r="39131" spans="43:43" x14ac:dyDescent="0.2">
      <c r="AQ39131" s="31"/>
    </row>
    <row r="39132" spans="43:43" x14ac:dyDescent="0.2">
      <c r="AQ39132" s="31"/>
    </row>
    <row r="39133" spans="43:43" x14ac:dyDescent="0.2">
      <c r="AQ39133" s="31"/>
    </row>
    <row r="39134" spans="43:43" x14ac:dyDescent="0.2">
      <c r="AQ39134" s="31"/>
    </row>
    <row r="39135" spans="43:43" x14ac:dyDescent="0.2">
      <c r="AQ39135" s="31"/>
    </row>
    <row r="39136" spans="43:43" x14ac:dyDescent="0.2">
      <c r="AQ39136" s="31"/>
    </row>
    <row r="39137" spans="43:43" x14ac:dyDescent="0.2">
      <c r="AQ39137" s="31"/>
    </row>
    <row r="39138" spans="43:43" x14ac:dyDescent="0.2">
      <c r="AQ39138" s="31"/>
    </row>
    <row r="39139" spans="43:43" x14ac:dyDescent="0.2">
      <c r="AQ39139" s="31"/>
    </row>
    <row r="39140" spans="43:43" x14ac:dyDescent="0.2">
      <c r="AQ39140" s="31"/>
    </row>
    <row r="39141" spans="43:43" x14ac:dyDescent="0.2">
      <c r="AQ39141" s="31"/>
    </row>
    <row r="39142" spans="43:43" x14ac:dyDescent="0.2">
      <c r="AQ39142" s="31"/>
    </row>
    <row r="39143" spans="43:43" x14ac:dyDescent="0.2">
      <c r="AQ39143" s="31"/>
    </row>
    <row r="39144" spans="43:43" x14ac:dyDescent="0.2">
      <c r="AQ39144" s="31"/>
    </row>
    <row r="39145" spans="43:43" x14ac:dyDescent="0.2">
      <c r="AQ39145" s="31"/>
    </row>
    <row r="39146" spans="43:43" x14ac:dyDescent="0.2">
      <c r="AQ39146" s="31"/>
    </row>
    <row r="39147" spans="43:43" x14ac:dyDescent="0.2">
      <c r="AQ39147" s="31"/>
    </row>
    <row r="39148" spans="43:43" x14ac:dyDescent="0.2">
      <c r="AQ39148" s="31"/>
    </row>
    <row r="39149" spans="43:43" x14ac:dyDescent="0.2">
      <c r="AQ39149" s="31"/>
    </row>
    <row r="39150" spans="43:43" x14ac:dyDescent="0.2">
      <c r="AQ39150" s="31"/>
    </row>
    <row r="39151" spans="43:43" x14ac:dyDescent="0.2">
      <c r="AQ39151" s="31"/>
    </row>
    <row r="39152" spans="43:43" x14ac:dyDescent="0.2">
      <c r="AQ39152" s="31"/>
    </row>
    <row r="39153" spans="43:43" x14ac:dyDescent="0.2">
      <c r="AQ39153" s="31"/>
    </row>
    <row r="39154" spans="43:43" x14ac:dyDescent="0.2">
      <c r="AQ39154" s="31"/>
    </row>
    <row r="39155" spans="43:43" x14ac:dyDescent="0.2">
      <c r="AQ39155" s="31"/>
    </row>
    <row r="39156" spans="43:43" x14ac:dyDescent="0.2">
      <c r="AQ39156" s="31"/>
    </row>
    <row r="39157" spans="43:43" x14ac:dyDescent="0.2">
      <c r="AQ39157" s="31"/>
    </row>
    <row r="39158" spans="43:43" x14ac:dyDescent="0.2">
      <c r="AQ39158" s="31"/>
    </row>
    <row r="39159" spans="43:43" x14ac:dyDescent="0.2">
      <c r="AQ39159" s="31"/>
    </row>
    <row r="39160" spans="43:43" x14ac:dyDescent="0.2">
      <c r="AQ39160" s="31"/>
    </row>
    <row r="39161" spans="43:43" x14ac:dyDescent="0.2">
      <c r="AQ39161" s="31"/>
    </row>
    <row r="39162" spans="43:43" x14ac:dyDescent="0.2">
      <c r="AQ39162" s="31"/>
    </row>
    <row r="39163" spans="43:43" x14ac:dyDescent="0.2">
      <c r="AQ39163" s="31"/>
    </row>
    <row r="39164" spans="43:43" x14ac:dyDescent="0.2">
      <c r="AQ39164" s="31"/>
    </row>
    <row r="39165" spans="43:43" x14ac:dyDescent="0.2">
      <c r="AQ39165" s="31"/>
    </row>
    <row r="39166" spans="43:43" x14ac:dyDescent="0.2">
      <c r="AQ39166" s="31"/>
    </row>
    <row r="39167" spans="43:43" x14ac:dyDescent="0.2">
      <c r="AQ39167" s="31"/>
    </row>
    <row r="39168" spans="43:43" x14ac:dyDescent="0.2">
      <c r="AQ39168" s="31"/>
    </row>
    <row r="39169" spans="43:43" x14ac:dyDescent="0.2">
      <c r="AQ39169" s="31"/>
    </row>
    <row r="39170" spans="43:43" x14ac:dyDescent="0.2">
      <c r="AQ39170" s="31"/>
    </row>
    <row r="39171" spans="43:43" x14ac:dyDescent="0.2">
      <c r="AQ39171" s="31"/>
    </row>
    <row r="39172" spans="43:43" x14ac:dyDescent="0.2">
      <c r="AQ39172" s="31"/>
    </row>
    <row r="39173" spans="43:43" x14ac:dyDescent="0.2">
      <c r="AQ39173" s="31"/>
    </row>
    <row r="39174" spans="43:43" x14ac:dyDescent="0.2">
      <c r="AQ39174" s="31"/>
    </row>
    <row r="39175" spans="43:43" x14ac:dyDescent="0.2">
      <c r="AQ39175" s="31"/>
    </row>
    <row r="39176" spans="43:43" x14ac:dyDescent="0.2">
      <c r="AQ39176" s="31"/>
    </row>
    <row r="39177" spans="43:43" x14ac:dyDescent="0.2">
      <c r="AQ39177" s="31"/>
    </row>
    <row r="39178" spans="43:43" x14ac:dyDescent="0.2">
      <c r="AQ39178" s="31"/>
    </row>
    <row r="39179" spans="43:43" x14ac:dyDescent="0.2">
      <c r="AQ39179" s="31"/>
    </row>
    <row r="39180" spans="43:43" x14ac:dyDescent="0.2">
      <c r="AQ39180" s="31"/>
    </row>
    <row r="39181" spans="43:43" x14ac:dyDescent="0.2">
      <c r="AQ39181" s="31"/>
    </row>
    <row r="39182" spans="43:43" x14ac:dyDescent="0.2">
      <c r="AQ39182" s="31"/>
    </row>
    <row r="39183" spans="43:43" x14ac:dyDescent="0.2">
      <c r="AQ39183" s="31"/>
    </row>
    <row r="39184" spans="43:43" x14ac:dyDescent="0.2">
      <c r="AQ39184" s="31"/>
    </row>
    <row r="39185" spans="43:43" x14ac:dyDescent="0.2">
      <c r="AQ39185" s="31"/>
    </row>
    <row r="39186" spans="43:43" x14ac:dyDescent="0.2">
      <c r="AQ39186" s="31"/>
    </row>
    <row r="39187" spans="43:43" x14ac:dyDescent="0.2">
      <c r="AQ39187" s="31"/>
    </row>
    <row r="39188" spans="43:43" x14ac:dyDescent="0.2">
      <c r="AQ39188" s="31"/>
    </row>
    <row r="39189" spans="43:43" x14ac:dyDescent="0.2">
      <c r="AQ39189" s="31"/>
    </row>
    <row r="39190" spans="43:43" x14ac:dyDescent="0.2">
      <c r="AQ39190" s="31"/>
    </row>
    <row r="39191" spans="43:43" x14ac:dyDescent="0.2">
      <c r="AQ39191" s="31"/>
    </row>
    <row r="39192" spans="43:43" x14ac:dyDescent="0.2">
      <c r="AQ39192" s="31"/>
    </row>
    <row r="39193" spans="43:43" x14ac:dyDescent="0.2">
      <c r="AQ39193" s="31"/>
    </row>
    <row r="39194" spans="43:43" x14ac:dyDescent="0.2">
      <c r="AQ39194" s="31"/>
    </row>
    <row r="39195" spans="43:43" x14ac:dyDescent="0.2">
      <c r="AQ39195" s="31"/>
    </row>
    <row r="39196" spans="43:43" x14ac:dyDescent="0.2">
      <c r="AQ39196" s="31"/>
    </row>
    <row r="39197" spans="43:43" x14ac:dyDescent="0.2">
      <c r="AQ39197" s="31"/>
    </row>
    <row r="39198" spans="43:43" x14ac:dyDescent="0.2">
      <c r="AQ39198" s="31"/>
    </row>
    <row r="39199" spans="43:43" x14ac:dyDescent="0.2">
      <c r="AQ39199" s="31"/>
    </row>
    <row r="39200" spans="43:43" x14ac:dyDescent="0.2">
      <c r="AQ39200" s="31"/>
    </row>
    <row r="39201" spans="43:43" x14ac:dyDescent="0.2">
      <c r="AQ39201" s="31"/>
    </row>
    <row r="39202" spans="43:43" x14ac:dyDescent="0.2">
      <c r="AQ39202" s="31"/>
    </row>
    <row r="39203" spans="43:43" x14ac:dyDescent="0.2">
      <c r="AQ39203" s="31"/>
    </row>
    <row r="39204" spans="43:43" x14ac:dyDescent="0.2">
      <c r="AQ39204" s="31"/>
    </row>
    <row r="39205" spans="43:43" x14ac:dyDescent="0.2">
      <c r="AQ39205" s="31"/>
    </row>
    <row r="39206" spans="43:43" x14ac:dyDescent="0.2">
      <c r="AQ39206" s="31"/>
    </row>
    <row r="39207" spans="43:43" x14ac:dyDescent="0.2">
      <c r="AQ39207" s="31"/>
    </row>
    <row r="39208" spans="43:43" x14ac:dyDescent="0.2">
      <c r="AQ39208" s="31"/>
    </row>
    <row r="39209" spans="43:43" x14ac:dyDescent="0.2">
      <c r="AQ39209" s="31"/>
    </row>
    <row r="39210" spans="43:43" x14ac:dyDescent="0.2">
      <c r="AQ39210" s="31"/>
    </row>
    <row r="39211" spans="43:43" x14ac:dyDescent="0.2">
      <c r="AQ39211" s="31"/>
    </row>
    <row r="39212" spans="43:43" x14ac:dyDescent="0.2">
      <c r="AQ39212" s="31"/>
    </row>
    <row r="39213" spans="43:43" x14ac:dyDescent="0.2">
      <c r="AQ39213" s="31"/>
    </row>
    <row r="39214" spans="43:43" x14ac:dyDescent="0.2">
      <c r="AQ39214" s="31"/>
    </row>
    <row r="39215" spans="43:43" x14ac:dyDescent="0.2">
      <c r="AQ39215" s="31"/>
    </row>
    <row r="39216" spans="43:43" x14ac:dyDescent="0.2">
      <c r="AQ39216" s="31"/>
    </row>
    <row r="39217" spans="43:43" x14ac:dyDescent="0.2">
      <c r="AQ39217" s="31"/>
    </row>
    <row r="39218" spans="43:43" x14ac:dyDescent="0.2">
      <c r="AQ39218" s="31"/>
    </row>
    <row r="39219" spans="43:43" x14ac:dyDescent="0.2">
      <c r="AQ39219" s="31"/>
    </row>
    <row r="39220" spans="43:43" x14ac:dyDescent="0.2">
      <c r="AQ39220" s="31"/>
    </row>
    <row r="39221" spans="43:43" x14ac:dyDescent="0.2">
      <c r="AQ39221" s="31"/>
    </row>
    <row r="39222" spans="43:43" x14ac:dyDescent="0.2">
      <c r="AQ39222" s="31"/>
    </row>
    <row r="39223" spans="43:43" x14ac:dyDescent="0.2">
      <c r="AQ39223" s="31"/>
    </row>
    <row r="39224" spans="43:43" x14ac:dyDescent="0.2">
      <c r="AQ39224" s="31"/>
    </row>
    <row r="39225" spans="43:43" x14ac:dyDescent="0.2">
      <c r="AQ39225" s="31"/>
    </row>
    <row r="39226" spans="43:43" x14ac:dyDescent="0.2">
      <c r="AQ39226" s="31"/>
    </row>
    <row r="39227" spans="43:43" x14ac:dyDescent="0.2">
      <c r="AQ39227" s="31"/>
    </row>
    <row r="39228" spans="43:43" x14ac:dyDescent="0.2">
      <c r="AQ39228" s="31"/>
    </row>
    <row r="39229" spans="43:43" x14ac:dyDescent="0.2">
      <c r="AQ39229" s="31"/>
    </row>
    <row r="39230" spans="43:43" x14ac:dyDescent="0.2">
      <c r="AQ39230" s="31"/>
    </row>
    <row r="39231" spans="43:43" x14ac:dyDescent="0.2">
      <c r="AQ39231" s="31"/>
    </row>
    <row r="39232" spans="43:43" x14ac:dyDescent="0.2">
      <c r="AQ39232" s="31"/>
    </row>
    <row r="39233" spans="43:43" x14ac:dyDescent="0.2">
      <c r="AQ39233" s="31"/>
    </row>
    <row r="39234" spans="43:43" x14ac:dyDescent="0.2">
      <c r="AQ39234" s="31"/>
    </row>
    <row r="39235" spans="43:43" x14ac:dyDescent="0.2">
      <c r="AQ39235" s="31"/>
    </row>
    <row r="39236" spans="43:43" x14ac:dyDescent="0.2">
      <c r="AQ39236" s="31"/>
    </row>
    <row r="39237" spans="43:43" x14ac:dyDescent="0.2">
      <c r="AQ39237" s="31"/>
    </row>
    <row r="39238" spans="43:43" x14ac:dyDescent="0.2">
      <c r="AQ39238" s="31"/>
    </row>
    <row r="39239" spans="43:43" x14ac:dyDescent="0.2">
      <c r="AQ39239" s="31"/>
    </row>
    <row r="39240" spans="43:43" x14ac:dyDescent="0.2">
      <c r="AQ39240" s="31"/>
    </row>
    <row r="39241" spans="43:43" x14ac:dyDescent="0.2">
      <c r="AQ39241" s="31"/>
    </row>
    <row r="39242" spans="43:43" x14ac:dyDescent="0.2">
      <c r="AQ39242" s="31"/>
    </row>
    <row r="39243" spans="43:43" x14ac:dyDescent="0.2">
      <c r="AQ39243" s="31"/>
    </row>
    <row r="39244" spans="43:43" x14ac:dyDescent="0.2">
      <c r="AQ39244" s="31"/>
    </row>
    <row r="39245" spans="43:43" x14ac:dyDescent="0.2">
      <c r="AQ39245" s="31"/>
    </row>
    <row r="39246" spans="43:43" x14ac:dyDescent="0.2">
      <c r="AQ39246" s="31"/>
    </row>
    <row r="39247" spans="43:43" x14ac:dyDescent="0.2">
      <c r="AQ39247" s="31"/>
    </row>
    <row r="39248" spans="43:43" x14ac:dyDescent="0.2">
      <c r="AQ39248" s="31"/>
    </row>
    <row r="39249" spans="43:43" x14ac:dyDescent="0.2">
      <c r="AQ39249" s="31"/>
    </row>
    <row r="39250" spans="43:43" x14ac:dyDescent="0.2">
      <c r="AQ39250" s="31"/>
    </row>
    <row r="39251" spans="43:43" x14ac:dyDescent="0.2">
      <c r="AQ39251" s="31"/>
    </row>
    <row r="39252" spans="43:43" x14ac:dyDescent="0.2">
      <c r="AQ39252" s="31"/>
    </row>
    <row r="39253" spans="43:43" x14ac:dyDescent="0.2">
      <c r="AQ39253" s="31"/>
    </row>
    <row r="39254" spans="43:43" x14ac:dyDescent="0.2">
      <c r="AQ39254" s="31"/>
    </row>
    <row r="39255" spans="43:43" x14ac:dyDescent="0.2">
      <c r="AQ39255" s="31"/>
    </row>
    <row r="39256" spans="43:43" x14ac:dyDescent="0.2">
      <c r="AQ39256" s="31"/>
    </row>
    <row r="39257" spans="43:43" x14ac:dyDescent="0.2">
      <c r="AQ39257" s="31"/>
    </row>
    <row r="39258" spans="43:43" x14ac:dyDescent="0.2">
      <c r="AQ39258" s="31"/>
    </row>
    <row r="39259" spans="43:43" x14ac:dyDescent="0.2">
      <c r="AQ39259" s="31"/>
    </row>
    <row r="39260" spans="43:43" x14ac:dyDescent="0.2">
      <c r="AQ39260" s="31"/>
    </row>
    <row r="39261" spans="43:43" x14ac:dyDescent="0.2">
      <c r="AQ39261" s="31"/>
    </row>
    <row r="39262" spans="43:43" x14ac:dyDescent="0.2">
      <c r="AQ39262" s="31"/>
    </row>
    <row r="39263" spans="43:43" x14ac:dyDescent="0.2">
      <c r="AQ39263" s="31"/>
    </row>
    <row r="39264" spans="43:43" x14ac:dyDescent="0.2">
      <c r="AQ39264" s="31"/>
    </row>
    <row r="39265" spans="43:43" x14ac:dyDescent="0.2">
      <c r="AQ39265" s="31"/>
    </row>
    <row r="39266" spans="43:43" x14ac:dyDescent="0.2">
      <c r="AQ39266" s="31"/>
    </row>
    <row r="39267" spans="43:43" x14ac:dyDescent="0.2">
      <c r="AQ39267" s="31"/>
    </row>
    <row r="39268" spans="43:43" x14ac:dyDescent="0.2">
      <c r="AQ39268" s="31"/>
    </row>
    <row r="39269" spans="43:43" x14ac:dyDescent="0.2">
      <c r="AQ39269" s="31"/>
    </row>
    <row r="39270" spans="43:43" x14ac:dyDescent="0.2">
      <c r="AQ39270" s="31"/>
    </row>
    <row r="39271" spans="43:43" x14ac:dyDescent="0.2">
      <c r="AQ39271" s="31"/>
    </row>
    <row r="39272" spans="43:43" x14ac:dyDescent="0.2">
      <c r="AQ39272" s="31"/>
    </row>
    <row r="39273" spans="43:43" x14ac:dyDescent="0.2">
      <c r="AQ39273" s="31"/>
    </row>
    <row r="39274" spans="43:43" x14ac:dyDescent="0.2">
      <c r="AQ39274" s="31"/>
    </row>
    <row r="39275" spans="43:43" x14ac:dyDescent="0.2">
      <c r="AQ39275" s="31"/>
    </row>
    <row r="39276" spans="43:43" x14ac:dyDescent="0.2">
      <c r="AQ39276" s="31"/>
    </row>
    <row r="39277" spans="43:43" x14ac:dyDescent="0.2">
      <c r="AQ39277" s="31"/>
    </row>
    <row r="39278" spans="43:43" x14ac:dyDescent="0.2">
      <c r="AQ39278" s="31"/>
    </row>
    <row r="39279" spans="43:43" x14ac:dyDescent="0.2">
      <c r="AQ39279" s="31"/>
    </row>
    <row r="39280" spans="43:43" x14ac:dyDescent="0.2">
      <c r="AQ39280" s="31"/>
    </row>
    <row r="39281" spans="43:43" x14ac:dyDescent="0.2">
      <c r="AQ39281" s="31"/>
    </row>
    <row r="39282" spans="43:43" x14ac:dyDescent="0.2">
      <c r="AQ39282" s="31"/>
    </row>
    <row r="39283" spans="43:43" x14ac:dyDescent="0.2">
      <c r="AQ39283" s="31"/>
    </row>
    <row r="39284" spans="43:43" x14ac:dyDescent="0.2">
      <c r="AQ39284" s="31"/>
    </row>
    <row r="39285" spans="43:43" x14ac:dyDescent="0.2">
      <c r="AQ39285" s="31"/>
    </row>
    <row r="39286" spans="43:43" x14ac:dyDescent="0.2">
      <c r="AQ39286" s="31"/>
    </row>
    <row r="39287" spans="43:43" x14ac:dyDescent="0.2">
      <c r="AQ39287" s="31"/>
    </row>
    <row r="39288" spans="43:43" x14ac:dyDescent="0.2">
      <c r="AQ39288" s="31"/>
    </row>
    <row r="39289" spans="43:43" x14ac:dyDescent="0.2">
      <c r="AQ39289" s="31"/>
    </row>
    <row r="39290" spans="43:43" x14ac:dyDescent="0.2">
      <c r="AQ39290" s="31"/>
    </row>
    <row r="39291" spans="43:43" x14ac:dyDescent="0.2">
      <c r="AQ39291" s="31"/>
    </row>
    <row r="39292" spans="43:43" x14ac:dyDescent="0.2">
      <c r="AQ39292" s="31"/>
    </row>
    <row r="39293" spans="43:43" x14ac:dyDescent="0.2">
      <c r="AQ39293" s="31"/>
    </row>
    <row r="39294" spans="43:43" x14ac:dyDescent="0.2">
      <c r="AQ39294" s="31"/>
    </row>
    <row r="39295" spans="43:43" x14ac:dyDescent="0.2">
      <c r="AQ39295" s="31"/>
    </row>
    <row r="39296" spans="43:43" x14ac:dyDescent="0.2">
      <c r="AQ39296" s="31"/>
    </row>
    <row r="39297" spans="43:43" x14ac:dyDescent="0.2">
      <c r="AQ39297" s="31"/>
    </row>
    <row r="39298" spans="43:43" x14ac:dyDescent="0.2">
      <c r="AQ39298" s="31"/>
    </row>
    <row r="39299" spans="43:43" x14ac:dyDescent="0.2">
      <c r="AQ39299" s="31"/>
    </row>
    <row r="39300" spans="43:43" x14ac:dyDescent="0.2">
      <c r="AQ39300" s="31"/>
    </row>
    <row r="39301" spans="43:43" x14ac:dyDescent="0.2">
      <c r="AQ39301" s="31"/>
    </row>
    <row r="39302" spans="43:43" x14ac:dyDescent="0.2">
      <c r="AQ39302" s="31"/>
    </row>
    <row r="39303" spans="43:43" x14ac:dyDescent="0.2">
      <c r="AQ39303" s="31"/>
    </row>
    <row r="39304" spans="43:43" x14ac:dyDescent="0.2">
      <c r="AQ39304" s="31"/>
    </row>
    <row r="39305" spans="43:43" x14ac:dyDescent="0.2">
      <c r="AQ39305" s="31"/>
    </row>
    <row r="39306" spans="43:43" x14ac:dyDescent="0.2">
      <c r="AQ39306" s="31"/>
    </row>
    <row r="39307" spans="43:43" x14ac:dyDescent="0.2">
      <c r="AQ39307" s="31"/>
    </row>
    <row r="39308" spans="43:43" x14ac:dyDescent="0.2">
      <c r="AQ39308" s="31"/>
    </row>
    <row r="39309" spans="43:43" x14ac:dyDescent="0.2">
      <c r="AQ39309" s="31"/>
    </row>
    <row r="39310" spans="43:43" x14ac:dyDescent="0.2">
      <c r="AQ39310" s="31"/>
    </row>
    <row r="39311" spans="43:43" x14ac:dyDescent="0.2">
      <c r="AQ39311" s="31"/>
    </row>
    <row r="39312" spans="43:43" x14ac:dyDescent="0.2">
      <c r="AQ39312" s="31"/>
    </row>
    <row r="39313" spans="43:43" x14ac:dyDescent="0.2">
      <c r="AQ39313" s="31"/>
    </row>
    <row r="39314" spans="43:43" x14ac:dyDescent="0.2">
      <c r="AQ39314" s="31"/>
    </row>
    <row r="39315" spans="43:43" x14ac:dyDescent="0.2">
      <c r="AQ39315" s="31"/>
    </row>
    <row r="39316" spans="43:43" x14ac:dyDescent="0.2">
      <c r="AQ39316" s="31"/>
    </row>
    <row r="39317" spans="43:43" x14ac:dyDescent="0.2">
      <c r="AQ39317" s="31"/>
    </row>
    <row r="39318" spans="43:43" x14ac:dyDescent="0.2">
      <c r="AQ39318" s="31"/>
    </row>
    <row r="39319" spans="43:43" x14ac:dyDescent="0.2">
      <c r="AQ39319" s="31"/>
    </row>
    <row r="39320" spans="43:43" x14ac:dyDescent="0.2">
      <c r="AQ39320" s="31"/>
    </row>
    <row r="39321" spans="43:43" x14ac:dyDescent="0.2">
      <c r="AQ39321" s="31"/>
    </row>
    <row r="39322" spans="43:43" x14ac:dyDescent="0.2">
      <c r="AQ39322" s="31"/>
    </row>
    <row r="39323" spans="43:43" x14ac:dyDescent="0.2">
      <c r="AQ39323" s="31"/>
    </row>
    <row r="39324" spans="43:43" x14ac:dyDescent="0.2">
      <c r="AQ39324" s="31"/>
    </row>
    <row r="39325" spans="43:43" x14ac:dyDescent="0.2">
      <c r="AQ39325" s="31"/>
    </row>
    <row r="39326" spans="43:43" x14ac:dyDescent="0.2">
      <c r="AQ39326" s="31"/>
    </row>
    <row r="39327" spans="43:43" x14ac:dyDescent="0.2">
      <c r="AQ39327" s="31"/>
    </row>
    <row r="39328" spans="43:43" x14ac:dyDescent="0.2">
      <c r="AQ39328" s="31"/>
    </row>
    <row r="39329" spans="43:43" x14ac:dyDescent="0.2">
      <c r="AQ39329" s="31"/>
    </row>
    <row r="39330" spans="43:43" x14ac:dyDescent="0.2">
      <c r="AQ39330" s="31"/>
    </row>
    <row r="39331" spans="43:43" x14ac:dyDescent="0.2">
      <c r="AQ39331" s="31"/>
    </row>
    <row r="39332" spans="43:43" x14ac:dyDescent="0.2">
      <c r="AQ39332" s="31"/>
    </row>
    <row r="39333" spans="43:43" x14ac:dyDescent="0.2">
      <c r="AQ39333" s="31"/>
    </row>
    <row r="39334" spans="43:43" x14ac:dyDescent="0.2">
      <c r="AQ39334" s="31"/>
    </row>
    <row r="39335" spans="43:43" x14ac:dyDescent="0.2">
      <c r="AQ39335" s="31"/>
    </row>
    <row r="39336" spans="43:43" x14ac:dyDescent="0.2">
      <c r="AQ39336" s="31"/>
    </row>
    <row r="39337" spans="43:43" x14ac:dyDescent="0.2">
      <c r="AQ39337" s="31"/>
    </row>
    <row r="39338" spans="43:43" x14ac:dyDescent="0.2">
      <c r="AQ39338" s="31"/>
    </row>
    <row r="39339" spans="43:43" x14ac:dyDescent="0.2">
      <c r="AQ39339" s="31"/>
    </row>
    <row r="39340" spans="43:43" x14ac:dyDescent="0.2">
      <c r="AQ39340" s="31"/>
    </row>
    <row r="39341" spans="43:43" x14ac:dyDescent="0.2">
      <c r="AQ39341" s="31"/>
    </row>
    <row r="39342" spans="43:43" x14ac:dyDescent="0.2">
      <c r="AQ39342" s="31"/>
    </row>
    <row r="39343" spans="43:43" x14ac:dyDescent="0.2">
      <c r="AQ39343" s="31"/>
    </row>
    <row r="39344" spans="43:43" x14ac:dyDescent="0.2">
      <c r="AQ39344" s="31"/>
    </row>
    <row r="39345" spans="43:43" x14ac:dyDescent="0.2">
      <c r="AQ39345" s="31"/>
    </row>
    <row r="39346" spans="43:43" x14ac:dyDescent="0.2">
      <c r="AQ39346" s="31"/>
    </row>
    <row r="39347" spans="43:43" x14ac:dyDescent="0.2">
      <c r="AQ39347" s="31"/>
    </row>
    <row r="39348" spans="43:43" x14ac:dyDescent="0.2">
      <c r="AQ39348" s="31"/>
    </row>
    <row r="39349" spans="43:43" x14ac:dyDescent="0.2">
      <c r="AQ39349" s="31"/>
    </row>
    <row r="39350" spans="43:43" x14ac:dyDescent="0.2">
      <c r="AQ39350" s="31"/>
    </row>
    <row r="39351" spans="43:43" x14ac:dyDescent="0.2">
      <c r="AQ39351" s="31"/>
    </row>
    <row r="39352" spans="43:43" x14ac:dyDescent="0.2">
      <c r="AQ39352" s="31"/>
    </row>
    <row r="39353" spans="43:43" x14ac:dyDescent="0.2">
      <c r="AQ39353" s="31"/>
    </row>
    <row r="39354" spans="43:43" x14ac:dyDescent="0.2">
      <c r="AQ39354" s="31"/>
    </row>
    <row r="39355" spans="43:43" x14ac:dyDescent="0.2">
      <c r="AQ39355" s="31"/>
    </row>
    <row r="39356" spans="43:43" x14ac:dyDescent="0.2">
      <c r="AQ39356" s="31"/>
    </row>
    <row r="39357" spans="43:43" x14ac:dyDescent="0.2">
      <c r="AQ39357" s="31"/>
    </row>
    <row r="39358" spans="43:43" x14ac:dyDescent="0.2">
      <c r="AQ39358" s="31"/>
    </row>
    <row r="39359" spans="43:43" x14ac:dyDescent="0.2">
      <c r="AQ39359" s="31"/>
    </row>
    <row r="39360" spans="43:43" x14ac:dyDescent="0.2">
      <c r="AQ39360" s="31"/>
    </row>
    <row r="39361" spans="43:43" x14ac:dyDescent="0.2">
      <c r="AQ39361" s="31"/>
    </row>
    <row r="39362" spans="43:43" x14ac:dyDescent="0.2">
      <c r="AQ39362" s="31"/>
    </row>
    <row r="39363" spans="43:43" x14ac:dyDescent="0.2">
      <c r="AQ39363" s="31"/>
    </row>
    <row r="39364" spans="43:43" x14ac:dyDescent="0.2">
      <c r="AQ39364" s="31"/>
    </row>
    <row r="39365" spans="43:43" x14ac:dyDescent="0.2">
      <c r="AQ39365" s="31"/>
    </row>
    <row r="39366" spans="43:43" x14ac:dyDescent="0.2">
      <c r="AQ39366" s="31"/>
    </row>
    <row r="39367" spans="43:43" x14ac:dyDescent="0.2">
      <c r="AQ39367" s="31"/>
    </row>
    <row r="39368" spans="43:43" x14ac:dyDescent="0.2">
      <c r="AQ39368" s="31"/>
    </row>
    <row r="39369" spans="43:43" x14ac:dyDescent="0.2">
      <c r="AQ39369" s="31"/>
    </row>
    <row r="39370" spans="43:43" x14ac:dyDescent="0.2">
      <c r="AQ39370" s="31"/>
    </row>
    <row r="39371" spans="43:43" x14ac:dyDescent="0.2">
      <c r="AQ39371" s="31"/>
    </row>
    <row r="39372" spans="43:43" x14ac:dyDescent="0.2">
      <c r="AQ39372" s="31"/>
    </row>
    <row r="39373" spans="43:43" x14ac:dyDescent="0.2">
      <c r="AQ39373" s="31"/>
    </row>
    <row r="39374" spans="43:43" x14ac:dyDescent="0.2">
      <c r="AQ39374" s="31"/>
    </row>
    <row r="39375" spans="43:43" x14ac:dyDescent="0.2">
      <c r="AQ39375" s="31"/>
    </row>
    <row r="39376" spans="43:43" x14ac:dyDescent="0.2">
      <c r="AQ39376" s="31"/>
    </row>
    <row r="39377" spans="43:43" x14ac:dyDescent="0.2">
      <c r="AQ39377" s="31"/>
    </row>
    <row r="39378" spans="43:43" x14ac:dyDescent="0.2">
      <c r="AQ39378" s="31"/>
    </row>
    <row r="39379" spans="43:43" x14ac:dyDescent="0.2">
      <c r="AQ39379" s="31"/>
    </row>
    <row r="39380" spans="43:43" x14ac:dyDescent="0.2">
      <c r="AQ39380" s="31"/>
    </row>
    <row r="39381" spans="43:43" x14ac:dyDescent="0.2">
      <c r="AQ39381" s="31"/>
    </row>
    <row r="39382" spans="43:43" x14ac:dyDescent="0.2">
      <c r="AQ39382" s="31"/>
    </row>
    <row r="39383" spans="43:43" x14ac:dyDescent="0.2">
      <c r="AQ39383" s="31"/>
    </row>
    <row r="39384" spans="43:43" x14ac:dyDescent="0.2">
      <c r="AQ39384" s="31"/>
    </row>
    <row r="39385" spans="43:43" x14ac:dyDescent="0.2">
      <c r="AQ39385" s="31"/>
    </row>
    <row r="39386" spans="43:43" x14ac:dyDescent="0.2">
      <c r="AQ39386" s="31"/>
    </row>
    <row r="39387" spans="43:43" x14ac:dyDescent="0.2">
      <c r="AQ39387" s="31"/>
    </row>
    <row r="39388" spans="43:43" x14ac:dyDescent="0.2">
      <c r="AQ39388" s="31"/>
    </row>
    <row r="39389" spans="43:43" x14ac:dyDescent="0.2">
      <c r="AQ39389" s="31"/>
    </row>
    <row r="39390" spans="43:43" x14ac:dyDescent="0.2">
      <c r="AQ39390" s="31"/>
    </row>
    <row r="39391" spans="43:43" x14ac:dyDescent="0.2">
      <c r="AQ39391" s="31"/>
    </row>
    <row r="39392" spans="43:43" x14ac:dyDescent="0.2">
      <c r="AQ39392" s="31"/>
    </row>
    <row r="39393" spans="43:43" x14ac:dyDescent="0.2">
      <c r="AQ39393" s="31"/>
    </row>
    <row r="39394" spans="43:43" x14ac:dyDescent="0.2">
      <c r="AQ39394" s="31"/>
    </row>
    <row r="39395" spans="43:43" x14ac:dyDescent="0.2">
      <c r="AQ39395" s="31"/>
    </row>
    <row r="39396" spans="43:43" x14ac:dyDescent="0.2">
      <c r="AQ39396" s="31"/>
    </row>
    <row r="39397" spans="43:43" x14ac:dyDescent="0.2">
      <c r="AQ39397" s="31"/>
    </row>
    <row r="39398" spans="43:43" x14ac:dyDescent="0.2">
      <c r="AQ39398" s="31"/>
    </row>
    <row r="39399" spans="43:43" x14ac:dyDescent="0.2">
      <c r="AQ39399" s="31"/>
    </row>
    <row r="39400" spans="43:43" x14ac:dyDescent="0.2">
      <c r="AQ39400" s="31"/>
    </row>
    <row r="39401" spans="43:43" x14ac:dyDescent="0.2">
      <c r="AQ39401" s="31"/>
    </row>
    <row r="39402" spans="43:43" x14ac:dyDescent="0.2">
      <c r="AQ39402" s="31"/>
    </row>
    <row r="39403" spans="43:43" x14ac:dyDescent="0.2">
      <c r="AQ39403" s="31"/>
    </row>
    <row r="39404" spans="43:43" x14ac:dyDescent="0.2">
      <c r="AQ39404" s="31"/>
    </row>
    <row r="39405" spans="43:43" x14ac:dyDescent="0.2">
      <c r="AQ39405" s="31"/>
    </row>
    <row r="39406" spans="43:43" x14ac:dyDescent="0.2">
      <c r="AQ39406" s="31"/>
    </row>
    <row r="39407" spans="43:43" x14ac:dyDescent="0.2">
      <c r="AQ39407" s="31"/>
    </row>
    <row r="39408" spans="43:43" x14ac:dyDescent="0.2">
      <c r="AQ39408" s="31"/>
    </row>
    <row r="39409" spans="43:43" x14ac:dyDescent="0.2">
      <c r="AQ39409" s="31"/>
    </row>
    <row r="39410" spans="43:43" x14ac:dyDescent="0.2">
      <c r="AQ39410" s="31"/>
    </row>
    <row r="39411" spans="43:43" x14ac:dyDescent="0.2">
      <c r="AQ39411" s="31"/>
    </row>
    <row r="39412" spans="43:43" x14ac:dyDescent="0.2">
      <c r="AQ39412" s="31"/>
    </row>
    <row r="39413" spans="43:43" x14ac:dyDescent="0.2">
      <c r="AQ39413" s="31"/>
    </row>
    <row r="39414" spans="43:43" x14ac:dyDescent="0.2">
      <c r="AQ39414" s="31"/>
    </row>
    <row r="39415" spans="43:43" x14ac:dyDescent="0.2">
      <c r="AQ39415" s="31"/>
    </row>
    <row r="39416" spans="43:43" x14ac:dyDescent="0.2">
      <c r="AQ39416" s="31"/>
    </row>
    <row r="39417" spans="43:43" x14ac:dyDescent="0.2">
      <c r="AQ39417" s="31"/>
    </row>
    <row r="39418" spans="43:43" x14ac:dyDescent="0.2">
      <c r="AQ39418" s="31"/>
    </row>
    <row r="39419" spans="43:43" x14ac:dyDescent="0.2">
      <c r="AQ39419" s="31"/>
    </row>
    <row r="39420" spans="43:43" x14ac:dyDescent="0.2">
      <c r="AQ39420" s="31"/>
    </row>
    <row r="39421" spans="43:43" x14ac:dyDescent="0.2">
      <c r="AQ39421" s="31"/>
    </row>
    <row r="39422" spans="43:43" x14ac:dyDescent="0.2">
      <c r="AQ39422" s="31"/>
    </row>
    <row r="39423" spans="43:43" x14ac:dyDescent="0.2">
      <c r="AQ39423" s="31"/>
    </row>
    <row r="39424" spans="43:43" x14ac:dyDescent="0.2">
      <c r="AQ39424" s="31"/>
    </row>
    <row r="39425" spans="43:43" x14ac:dyDescent="0.2">
      <c r="AQ39425" s="31"/>
    </row>
    <row r="39426" spans="43:43" x14ac:dyDescent="0.2">
      <c r="AQ39426" s="31"/>
    </row>
    <row r="39427" spans="43:43" x14ac:dyDescent="0.2">
      <c r="AQ39427" s="31"/>
    </row>
    <row r="39428" spans="43:43" x14ac:dyDescent="0.2">
      <c r="AQ39428" s="31"/>
    </row>
    <row r="39429" spans="43:43" x14ac:dyDescent="0.2">
      <c r="AQ39429" s="31"/>
    </row>
    <row r="39430" spans="43:43" x14ac:dyDescent="0.2">
      <c r="AQ39430" s="31"/>
    </row>
    <row r="39431" spans="43:43" x14ac:dyDescent="0.2">
      <c r="AQ39431" s="31"/>
    </row>
    <row r="39432" spans="43:43" x14ac:dyDescent="0.2">
      <c r="AQ39432" s="31"/>
    </row>
    <row r="39433" spans="43:43" x14ac:dyDescent="0.2">
      <c r="AQ39433" s="31"/>
    </row>
    <row r="39434" spans="43:43" x14ac:dyDescent="0.2">
      <c r="AQ39434" s="31"/>
    </row>
    <row r="39435" spans="43:43" x14ac:dyDescent="0.2">
      <c r="AQ39435" s="31"/>
    </row>
    <row r="39436" spans="43:43" x14ac:dyDescent="0.2">
      <c r="AQ39436" s="31"/>
    </row>
    <row r="39437" spans="43:43" x14ac:dyDescent="0.2">
      <c r="AQ39437" s="31"/>
    </row>
    <row r="39438" spans="43:43" x14ac:dyDescent="0.2">
      <c r="AQ39438" s="31"/>
    </row>
    <row r="39439" spans="43:43" x14ac:dyDescent="0.2">
      <c r="AQ39439" s="31"/>
    </row>
    <row r="39440" spans="43:43" x14ac:dyDescent="0.2">
      <c r="AQ39440" s="31"/>
    </row>
    <row r="39441" spans="43:43" x14ac:dyDescent="0.2">
      <c r="AQ39441" s="31"/>
    </row>
    <row r="39442" spans="43:43" x14ac:dyDescent="0.2">
      <c r="AQ39442" s="31"/>
    </row>
    <row r="39443" spans="43:43" x14ac:dyDescent="0.2">
      <c r="AQ39443" s="31"/>
    </row>
    <row r="39444" spans="43:43" x14ac:dyDescent="0.2">
      <c r="AQ39444" s="31"/>
    </row>
    <row r="39445" spans="43:43" x14ac:dyDescent="0.2">
      <c r="AQ39445" s="31"/>
    </row>
    <row r="39446" spans="43:43" x14ac:dyDescent="0.2">
      <c r="AQ39446" s="31"/>
    </row>
    <row r="39447" spans="43:43" x14ac:dyDescent="0.2">
      <c r="AQ39447" s="31"/>
    </row>
    <row r="39448" spans="43:43" x14ac:dyDescent="0.2">
      <c r="AQ39448" s="31"/>
    </row>
    <row r="39449" spans="43:43" x14ac:dyDescent="0.2">
      <c r="AQ39449" s="31"/>
    </row>
    <row r="39450" spans="43:43" x14ac:dyDescent="0.2">
      <c r="AQ39450" s="31"/>
    </row>
    <row r="39451" spans="43:43" x14ac:dyDescent="0.2">
      <c r="AQ39451" s="31"/>
    </row>
    <row r="39452" spans="43:43" x14ac:dyDescent="0.2">
      <c r="AQ39452" s="31"/>
    </row>
    <row r="39453" spans="43:43" x14ac:dyDescent="0.2">
      <c r="AQ39453" s="31"/>
    </row>
    <row r="39454" spans="43:43" x14ac:dyDescent="0.2">
      <c r="AQ39454" s="31"/>
    </row>
    <row r="39455" spans="43:43" x14ac:dyDescent="0.2">
      <c r="AQ39455" s="31"/>
    </row>
    <row r="39456" spans="43:43" x14ac:dyDescent="0.2">
      <c r="AQ39456" s="31"/>
    </row>
    <row r="39457" spans="43:43" x14ac:dyDescent="0.2">
      <c r="AQ39457" s="31"/>
    </row>
    <row r="39458" spans="43:43" x14ac:dyDescent="0.2">
      <c r="AQ39458" s="31"/>
    </row>
    <row r="39459" spans="43:43" x14ac:dyDescent="0.2">
      <c r="AQ39459" s="31"/>
    </row>
    <row r="39460" spans="43:43" x14ac:dyDescent="0.2">
      <c r="AQ39460" s="31"/>
    </row>
    <row r="39461" spans="43:43" x14ac:dyDescent="0.2">
      <c r="AQ39461" s="31"/>
    </row>
    <row r="39462" spans="43:43" x14ac:dyDescent="0.2">
      <c r="AQ39462" s="31"/>
    </row>
    <row r="39463" spans="43:43" x14ac:dyDescent="0.2">
      <c r="AQ39463" s="31"/>
    </row>
    <row r="39464" spans="43:43" x14ac:dyDescent="0.2">
      <c r="AQ39464" s="31"/>
    </row>
    <row r="39465" spans="43:43" x14ac:dyDescent="0.2">
      <c r="AQ39465" s="31"/>
    </row>
    <row r="39466" spans="43:43" x14ac:dyDescent="0.2">
      <c r="AQ39466" s="31"/>
    </row>
    <row r="39467" spans="43:43" x14ac:dyDescent="0.2">
      <c r="AQ39467" s="31"/>
    </row>
    <row r="39468" spans="43:43" x14ac:dyDescent="0.2">
      <c r="AQ39468" s="31"/>
    </row>
    <row r="39469" spans="43:43" x14ac:dyDescent="0.2">
      <c r="AQ39469" s="31"/>
    </row>
    <row r="39470" spans="43:43" x14ac:dyDescent="0.2">
      <c r="AQ39470" s="31"/>
    </row>
    <row r="39471" spans="43:43" x14ac:dyDescent="0.2">
      <c r="AQ39471" s="31"/>
    </row>
    <row r="39472" spans="43:43" x14ac:dyDescent="0.2">
      <c r="AQ39472" s="31"/>
    </row>
    <row r="39473" spans="43:43" x14ac:dyDescent="0.2">
      <c r="AQ39473" s="31"/>
    </row>
    <row r="39474" spans="43:43" x14ac:dyDescent="0.2">
      <c r="AQ39474" s="31"/>
    </row>
    <row r="39475" spans="43:43" x14ac:dyDescent="0.2">
      <c r="AQ39475" s="31"/>
    </row>
    <row r="39476" spans="43:43" x14ac:dyDescent="0.2">
      <c r="AQ39476" s="31"/>
    </row>
    <row r="39477" spans="43:43" x14ac:dyDescent="0.2">
      <c r="AQ39477" s="31"/>
    </row>
    <row r="39478" spans="43:43" x14ac:dyDescent="0.2">
      <c r="AQ39478" s="31"/>
    </row>
    <row r="39479" spans="43:43" x14ac:dyDescent="0.2">
      <c r="AQ39479" s="31"/>
    </row>
    <row r="39480" spans="43:43" x14ac:dyDescent="0.2">
      <c r="AQ39480" s="31"/>
    </row>
    <row r="39481" spans="43:43" x14ac:dyDescent="0.2">
      <c r="AQ39481" s="31"/>
    </row>
    <row r="39482" spans="43:43" x14ac:dyDescent="0.2">
      <c r="AQ39482" s="31"/>
    </row>
    <row r="39483" spans="43:43" x14ac:dyDescent="0.2">
      <c r="AQ39483" s="31"/>
    </row>
    <row r="39484" spans="43:43" x14ac:dyDescent="0.2">
      <c r="AQ39484" s="31"/>
    </row>
    <row r="39485" spans="43:43" x14ac:dyDescent="0.2">
      <c r="AQ39485" s="31"/>
    </row>
    <row r="39486" spans="43:43" x14ac:dyDescent="0.2">
      <c r="AQ39486" s="31"/>
    </row>
    <row r="39487" spans="43:43" x14ac:dyDescent="0.2">
      <c r="AQ39487" s="31"/>
    </row>
    <row r="39488" spans="43:43" x14ac:dyDescent="0.2">
      <c r="AQ39488" s="31"/>
    </row>
    <row r="39489" spans="43:43" x14ac:dyDescent="0.2">
      <c r="AQ39489" s="31"/>
    </row>
    <row r="39490" spans="43:43" x14ac:dyDescent="0.2">
      <c r="AQ39490" s="31"/>
    </row>
    <row r="39491" spans="43:43" x14ac:dyDescent="0.2">
      <c r="AQ39491" s="31"/>
    </row>
    <row r="39492" spans="43:43" x14ac:dyDescent="0.2">
      <c r="AQ39492" s="31"/>
    </row>
    <row r="39493" spans="43:43" x14ac:dyDescent="0.2">
      <c r="AQ39493" s="31"/>
    </row>
    <row r="39494" spans="43:43" x14ac:dyDescent="0.2">
      <c r="AQ39494" s="31"/>
    </row>
    <row r="39495" spans="43:43" x14ac:dyDescent="0.2">
      <c r="AQ39495" s="31"/>
    </row>
    <row r="39496" spans="43:43" x14ac:dyDescent="0.2">
      <c r="AQ39496" s="31"/>
    </row>
    <row r="39497" spans="43:43" x14ac:dyDescent="0.2">
      <c r="AQ39497" s="31"/>
    </row>
    <row r="39498" spans="43:43" x14ac:dyDescent="0.2">
      <c r="AQ39498" s="31"/>
    </row>
    <row r="39499" spans="43:43" x14ac:dyDescent="0.2">
      <c r="AQ39499" s="31"/>
    </row>
    <row r="39500" spans="43:43" x14ac:dyDescent="0.2">
      <c r="AQ39500" s="31"/>
    </row>
    <row r="39501" spans="43:43" x14ac:dyDescent="0.2">
      <c r="AQ39501" s="31"/>
    </row>
    <row r="39502" spans="43:43" x14ac:dyDescent="0.2">
      <c r="AQ39502" s="31"/>
    </row>
    <row r="39503" spans="43:43" x14ac:dyDescent="0.2">
      <c r="AQ39503" s="31"/>
    </row>
    <row r="39504" spans="43:43" x14ac:dyDescent="0.2">
      <c r="AQ39504" s="31"/>
    </row>
    <row r="39505" spans="43:43" x14ac:dyDescent="0.2">
      <c r="AQ39505" s="31"/>
    </row>
    <row r="39506" spans="43:43" x14ac:dyDescent="0.2">
      <c r="AQ39506" s="31"/>
    </row>
    <row r="39507" spans="43:43" x14ac:dyDescent="0.2">
      <c r="AQ39507" s="31"/>
    </row>
    <row r="39508" spans="43:43" x14ac:dyDescent="0.2">
      <c r="AQ39508" s="31"/>
    </row>
    <row r="39509" spans="43:43" x14ac:dyDescent="0.2">
      <c r="AQ39509" s="31"/>
    </row>
    <row r="39510" spans="43:43" x14ac:dyDescent="0.2">
      <c r="AQ39510" s="31"/>
    </row>
    <row r="39511" spans="43:43" x14ac:dyDescent="0.2">
      <c r="AQ39511" s="31"/>
    </row>
    <row r="39512" spans="43:43" x14ac:dyDescent="0.2">
      <c r="AQ39512" s="31"/>
    </row>
    <row r="39513" spans="43:43" x14ac:dyDescent="0.2">
      <c r="AQ39513" s="31"/>
    </row>
    <row r="39514" spans="43:43" x14ac:dyDescent="0.2">
      <c r="AQ39514" s="31"/>
    </row>
    <row r="39515" spans="43:43" x14ac:dyDescent="0.2">
      <c r="AQ39515" s="31"/>
    </row>
    <row r="39516" spans="43:43" x14ac:dyDescent="0.2">
      <c r="AQ39516" s="31"/>
    </row>
    <row r="39517" spans="43:43" x14ac:dyDescent="0.2">
      <c r="AQ39517" s="31"/>
    </row>
    <row r="39518" spans="43:43" x14ac:dyDescent="0.2">
      <c r="AQ39518" s="31"/>
    </row>
    <row r="39519" spans="43:43" x14ac:dyDescent="0.2">
      <c r="AQ39519" s="31"/>
    </row>
    <row r="39520" spans="43:43" x14ac:dyDescent="0.2">
      <c r="AQ39520" s="31"/>
    </row>
    <row r="39521" spans="43:43" x14ac:dyDescent="0.2">
      <c r="AQ39521" s="31"/>
    </row>
    <row r="39522" spans="43:43" x14ac:dyDescent="0.2">
      <c r="AQ39522" s="31"/>
    </row>
    <row r="39523" spans="43:43" x14ac:dyDescent="0.2">
      <c r="AQ39523" s="31"/>
    </row>
    <row r="39524" spans="43:43" x14ac:dyDescent="0.2">
      <c r="AQ39524" s="31"/>
    </row>
    <row r="39525" spans="43:43" x14ac:dyDescent="0.2">
      <c r="AQ39525" s="31"/>
    </row>
    <row r="39526" spans="43:43" x14ac:dyDescent="0.2">
      <c r="AQ39526" s="31"/>
    </row>
    <row r="39527" spans="43:43" x14ac:dyDescent="0.2">
      <c r="AQ39527" s="31"/>
    </row>
    <row r="39528" spans="43:43" x14ac:dyDescent="0.2">
      <c r="AQ39528" s="31"/>
    </row>
    <row r="39529" spans="43:43" x14ac:dyDescent="0.2">
      <c r="AQ39529" s="31"/>
    </row>
    <row r="39530" spans="43:43" x14ac:dyDescent="0.2">
      <c r="AQ39530" s="31"/>
    </row>
    <row r="39531" spans="43:43" x14ac:dyDescent="0.2">
      <c r="AQ39531" s="31"/>
    </row>
    <row r="39532" spans="43:43" x14ac:dyDescent="0.2">
      <c r="AQ39532" s="31"/>
    </row>
    <row r="39533" spans="43:43" x14ac:dyDescent="0.2">
      <c r="AQ39533" s="31"/>
    </row>
    <row r="39534" spans="43:43" x14ac:dyDescent="0.2">
      <c r="AQ39534" s="31"/>
    </row>
    <row r="39535" spans="43:43" x14ac:dyDescent="0.2">
      <c r="AQ39535" s="31"/>
    </row>
    <row r="39536" spans="43:43" x14ac:dyDescent="0.2">
      <c r="AQ39536" s="31"/>
    </row>
    <row r="39537" spans="43:43" x14ac:dyDescent="0.2">
      <c r="AQ39537" s="31"/>
    </row>
    <row r="39538" spans="43:43" x14ac:dyDescent="0.2">
      <c r="AQ39538" s="31"/>
    </row>
    <row r="39539" spans="43:43" x14ac:dyDescent="0.2">
      <c r="AQ39539" s="31"/>
    </row>
    <row r="39540" spans="43:43" x14ac:dyDescent="0.2">
      <c r="AQ39540" s="31"/>
    </row>
    <row r="39541" spans="43:43" x14ac:dyDescent="0.2">
      <c r="AQ39541" s="31"/>
    </row>
    <row r="39542" spans="43:43" x14ac:dyDescent="0.2">
      <c r="AQ39542" s="31"/>
    </row>
    <row r="39543" spans="43:43" x14ac:dyDescent="0.2">
      <c r="AQ39543" s="31"/>
    </row>
    <row r="39544" spans="43:43" x14ac:dyDescent="0.2">
      <c r="AQ39544" s="31"/>
    </row>
    <row r="39545" spans="43:43" x14ac:dyDescent="0.2">
      <c r="AQ39545" s="31"/>
    </row>
    <row r="39546" spans="43:43" x14ac:dyDescent="0.2">
      <c r="AQ39546" s="31"/>
    </row>
    <row r="39547" spans="43:43" x14ac:dyDescent="0.2">
      <c r="AQ39547" s="31"/>
    </row>
    <row r="39548" spans="43:43" x14ac:dyDescent="0.2">
      <c r="AQ39548" s="31"/>
    </row>
    <row r="39549" spans="43:43" x14ac:dyDescent="0.2">
      <c r="AQ39549" s="31"/>
    </row>
    <row r="39550" spans="43:43" x14ac:dyDescent="0.2">
      <c r="AQ39550" s="31"/>
    </row>
    <row r="39551" spans="43:43" x14ac:dyDescent="0.2">
      <c r="AQ39551" s="31"/>
    </row>
    <row r="39552" spans="43:43" x14ac:dyDescent="0.2">
      <c r="AQ39552" s="31"/>
    </row>
    <row r="39553" spans="43:43" x14ac:dyDescent="0.2">
      <c r="AQ39553" s="31"/>
    </row>
    <row r="39554" spans="43:43" x14ac:dyDescent="0.2">
      <c r="AQ39554" s="31"/>
    </row>
    <row r="39555" spans="43:43" x14ac:dyDescent="0.2">
      <c r="AQ39555" s="31"/>
    </row>
    <row r="39556" spans="43:43" x14ac:dyDescent="0.2">
      <c r="AQ39556" s="31"/>
    </row>
    <row r="39557" spans="43:43" x14ac:dyDescent="0.2">
      <c r="AQ39557" s="31"/>
    </row>
    <row r="39558" spans="43:43" x14ac:dyDescent="0.2">
      <c r="AQ39558" s="31"/>
    </row>
    <row r="39559" spans="43:43" x14ac:dyDescent="0.2">
      <c r="AQ39559" s="31"/>
    </row>
    <row r="39560" spans="43:43" x14ac:dyDescent="0.2">
      <c r="AQ39560" s="31"/>
    </row>
    <row r="39561" spans="43:43" x14ac:dyDescent="0.2">
      <c r="AQ39561" s="31"/>
    </row>
    <row r="39562" spans="43:43" x14ac:dyDescent="0.2">
      <c r="AQ39562" s="31"/>
    </row>
    <row r="39563" spans="43:43" x14ac:dyDescent="0.2">
      <c r="AQ39563" s="31"/>
    </row>
    <row r="39564" spans="43:43" x14ac:dyDescent="0.2">
      <c r="AQ39564" s="31"/>
    </row>
    <row r="39565" spans="43:43" x14ac:dyDescent="0.2">
      <c r="AQ39565" s="31"/>
    </row>
    <row r="39566" spans="43:43" x14ac:dyDescent="0.2">
      <c r="AQ39566" s="31"/>
    </row>
    <row r="39567" spans="43:43" x14ac:dyDescent="0.2">
      <c r="AQ39567" s="31"/>
    </row>
    <row r="39568" spans="43:43" x14ac:dyDescent="0.2">
      <c r="AQ39568" s="31"/>
    </row>
    <row r="39569" spans="43:43" x14ac:dyDescent="0.2">
      <c r="AQ39569" s="31"/>
    </row>
    <row r="39570" spans="43:43" x14ac:dyDescent="0.2">
      <c r="AQ39570" s="31"/>
    </row>
    <row r="39571" spans="43:43" x14ac:dyDescent="0.2">
      <c r="AQ39571" s="31"/>
    </row>
    <row r="39572" spans="43:43" x14ac:dyDescent="0.2">
      <c r="AQ39572" s="31"/>
    </row>
    <row r="39573" spans="43:43" x14ac:dyDescent="0.2">
      <c r="AQ39573" s="31"/>
    </row>
    <row r="39574" spans="43:43" x14ac:dyDescent="0.2">
      <c r="AQ39574" s="31"/>
    </row>
    <row r="39575" spans="43:43" x14ac:dyDescent="0.2">
      <c r="AQ39575" s="31"/>
    </row>
    <row r="39576" spans="43:43" x14ac:dyDescent="0.2">
      <c r="AQ39576" s="31"/>
    </row>
    <row r="39577" spans="43:43" x14ac:dyDescent="0.2">
      <c r="AQ39577" s="31"/>
    </row>
    <row r="39578" spans="43:43" x14ac:dyDescent="0.2">
      <c r="AQ39578" s="31"/>
    </row>
    <row r="39579" spans="43:43" x14ac:dyDescent="0.2">
      <c r="AQ39579" s="31"/>
    </row>
    <row r="39580" spans="43:43" x14ac:dyDescent="0.2">
      <c r="AQ39580" s="31"/>
    </row>
    <row r="39581" spans="43:43" x14ac:dyDescent="0.2">
      <c r="AQ39581" s="31"/>
    </row>
    <row r="39582" spans="43:43" x14ac:dyDescent="0.2">
      <c r="AQ39582" s="31"/>
    </row>
    <row r="39583" spans="43:43" x14ac:dyDescent="0.2">
      <c r="AQ39583" s="31"/>
    </row>
    <row r="39584" spans="43:43" x14ac:dyDescent="0.2">
      <c r="AQ39584" s="31"/>
    </row>
    <row r="39585" spans="43:43" x14ac:dyDescent="0.2">
      <c r="AQ39585" s="31"/>
    </row>
    <row r="39586" spans="43:43" x14ac:dyDescent="0.2">
      <c r="AQ39586" s="31"/>
    </row>
    <row r="39587" spans="43:43" x14ac:dyDescent="0.2">
      <c r="AQ39587" s="31"/>
    </row>
    <row r="39588" spans="43:43" x14ac:dyDescent="0.2">
      <c r="AQ39588" s="31"/>
    </row>
    <row r="39589" spans="43:43" x14ac:dyDescent="0.2">
      <c r="AQ39589" s="31"/>
    </row>
    <row r="39590" spans="43:43" x14ac:dyDescent="0.2">
      <c r="AQ39590" s="31"/>
    </row>
    <row r="39591" spans="43:43" x14ac:dyDescent="0.2">
      <c r="AQ39591" s="31"/>
    </row>
    <row r="39592" spans="43:43" x14ac:dyDescent="0.2">
      <c r="AQ39592" s="31"/>
    </row>
    <row r="39593" spans="43:43" x14ac:dyDescent="0.2">
      <c r="AQ39593" s="31"/>
    </row>
    <row r="39594" spans="43:43" x14ac:dyDescent="0.2">
      <c r="AQ39594" s="31"/>
    </row>
    <row r="39595" spans="43:43" x14ac:dyDescent="0.2">
      <c r="AQ39595" s="31"/>
    </row>
    <row r="39596" spans="43:43" x14ac:dyDescent="0.2">
      <c r="AQ39596" s="31"/>
    </row>
    <row r="39597" spans="43:43" x14ac:dyDescent="0.2">
      <c r="AQ39597" s="31"/>
    </row>
    <row r="39598" spans="43:43" x14ac:dyDescent="0.2">
      <c r="AQ39598" s="31"/>
    </row>
    <row r="39599" spans="43:43" x14ac:dyDescent="0.2">
      <c r="AQ39599" s="31"/>
    </row>
    <row r="39600" spans="43:43" x14ac:dyDescent="0.2">
      <c r="AQ39600" s="31"/>
    </row>
    <row r="39601" spans="43:43" x14ac:dyDescent="0.2">
      <c r="AQ39601" s="31"/>
    </row>
    <row r="39602" spans="43:43" x14ac:dyDescent="0.2">
      <c r="AQ39602" s="31"/>
    </row>
    <row r="39603" spans="43:43" x14ac:dyDescent="0.2">
      <c r="AQ39603" s="31"/>
    </row>
    <row r="39604" spans="43:43" x14ac:dyDescent="0.2">
      <c r="AQ39604" s="31"/>
    </row>
    <row r="39605" spans="43:43" x14ac:dyDescent="0.2">
      <c r="AQ39605" s="31"/>
    </row>
    <row r="39606" spans="43:43" x14ac:dyDescent="0.2">
      <c r="AQ39606" s="31"/>
    </row>
    <row r="39607" spans="43:43" x14ac:dyDescent="0.2">
      <c r="AQ39607" s="31"/>
    </row>
    <row r="39608" spans="43:43" x14ac:dyDescent="0.2">
      <c r="AQ39608" s="31"/>
    </row>
    <row r="39609" spans="43:43" x14ac:dyDescent="0.2">
      <c r="AQ39609" s="31"/>
    </row>
    <row r="39610" spans="43:43" x14ac:dyDescent="0.2">
      <c r="AQ39610" s="31"/>
    </row>
    <row r="39611" spans="43:43" x14ac:dyDescent="0.2">
      <c r="AQ39611" s="31"/>
    </row>
    <row r="39612" spans="43:43" x14ac:dyDescent="0.2">
      <c r="AQ39612" s="31"/>
    </row>
    <row r="39613" spans="43:43" x14ac:dyDescent="0.2">
      <c r="AQ39613" s="31"/>
    </row>
    <row r="39614" spans="43:43" x14ac:dyDescent="0.2">
      <c r="AQ39614" s="31"/>
    </row>
    <row r="39615" spans="43:43" x14ac:dyDescent="0.2">
      <c r="AQ39615" s="31"/>
    </row>
    <row r="39616" spans="43:43" x14ac:dyDescent="0.2">
      <c r="AQ39616" s="31"/>
    </row>
    <row r="39617" spans="43:43" x14ac:dyDescent="0.2">
      <c r="AQ39617" s="31"/>
    </row>
    <row r="39618" spans="43:43" x14ac:dyDescent="0.2">
      <c r="AQ39618" s="31"/>
    </row>
    <row r="39619" spans="43:43" x14ac:dyDescent="0.2">
      <c r="AQ39619" s="31"/>
    </row>
    <row r="39620" spans="43:43" x14ac:dyDescent="0.2">
      <c r="AQ39620" s="31"/>
    </row>
    <row r="39621" spans="43:43" x14ac:dyDescent="0.2">
      <c r="AQ39621" s="31"/>
    </row>
    <row r="39622" spans="43:43" x14ac:dyDescent="0.2">
      <c r="AQ39622" s="31"/>
    </row>
    <row r="39623" spans="43:43" x14ac:dyDescent="0.2">
      <c r="AQ39623" s="31"/>
    </row>
    <row r="39624" spans="43:43" x14ac:dyDescent="0.2">
      <c r="AQ39624" s="31"/>
    </row>
    <row r="39625" spans="43:43" x14ac:dyDescent="0.2">
      <c r="AQ39625" s="31"/>
    </row>
    <row r="39626" spans="43:43" x14ac:dyDescent="0.2">
      <c r="AQ39626" s="31"/>
    </row>
    <row r="39627" spans="43:43" x14ac:dyDescent="0.2">
      <c r="AQ39627" s="31"/>
    </row>
    <row r="39628" spans="43:43" x14ac:dyDescent="0.2">
      <c r="AQ39628" s="31"/>
    </row>
    <row r="39629" spans="43:43" x14ac:dyDescent="0.2">
      <c r="AQ39629" s="31"/>
    </row>
    <row r="39630" spans="43:43" x14ac:dyDescent="0.2">
      <c r="AQ39630" s="31"/>
    </row>
    <row r="39631" spans="43:43" x14ac:dyDescent="0.2">
      <c r="AQ39631" s="31"/>
    </row>
    <row r="39632" spans="43:43" x14ac:dyDescent="0.2">
      <c r="AQ39632" s="31"/>
    </row>
    <row r="39633" spans="43:43" x14ac:dyDescent="0.2">
      <c r="AQ39633" s="31"/>
    </row>
    <row r="39634" spans="43:43" x14ac:dyDescent="0.2">
      <c r="AQ39634" s="31"/>
    </row>
    <row r="39635" spans="43:43" x14ac:dyDescent="0.2">
      <c r="AQ39635" s="31"/>
    </row>
    <row r="39636" spans="43:43" x14ac:dyDescent="0.2">
      <c r="AQ39636" s="31"/>
    </row>
    <row r="39637" spans="43:43" x14ac:dyDescent="0.2">
      <c r="AQ39637" s="31"/>
    </row>
    <row r="39638" spans="43:43" x14ac:dyDescent="0.2">
      <c r="AQ39638" s="31"/>
    </row>
    <row r="39639" spans="43:43" x14ac:dyDescent="0.2">
      <c r="AQ39639" s="31"/>
    </row>
    <row r="39640" spans="43:43" x14ac:dyDescent="0.2">
      <c r="AQ39640" s="31"/>
    </row>
    <row r="39641" spans="43:43" x14ac:dyDescent="0.2">
      <c r="AQ39641" s="31"/>
    </row>
    <row r="39642" spans="43:43" x14ac:dyDescent="0.2">
      <c r="AQ39642" s="31"/>
    </row>
    <row r="39643" spans="43:43" x14ac:dyDescent="0.2">
      <c r="AQ39643" s="31"/>
    </row>
    <row r="39644" spans="43:43" x14ac:dyDescent="0.2">
      <c r="AQ39644" s="31"/>
    </row>
    <row r="39645" spans="43:43" x14ac:dyDescent="0.2">
      <c r="AQ39645" s="31"/>
    </row>
    <row r="39646" spans="43:43" x14ac:dyDescent="0.2">
      <c r="AQ39646" s="31"/>
    </row>
    <row r="39647" spans="43:43" x14ac:dyDescent="0.2">
      <c r="AQ39647" s="31"/>
    </row>
    <row r="39648" spans="43:43" x14ac:dyDescent="0.2">
      <c r="AQ39648" s="31"/>
    </row>
    <row r="39649" spans="43:43" x14ac:dyDescent="0.2">
      <c r="AQ39649" s="31"/>
    </row>
    <row r="39650" spans="43:43" x14ac:dyDescent="0.2">
      <c r="AQ39650" s="31"/>
    </row>
    <row r="39651" spans="43:43" x14ac:dyDescent="0.2">
      <c r="AQ39651" s="31"/>
    </row>
    <row r="39652" spans="43:43" x14ac:dyDescent="0.2">
      <c r="AQ39652" s="31"/>
    </row>
    <row r="39653" spans="43:43" x14ac:dyDescent="0.2">
      <c r="AQ39653" s="31"/>
    </row>
    <row r="39654" spans="43:43" x14ac:dyDescent="0.2">
      <c r="AQ39654" s="31"/>
    </row>
    <row r="39655" spans="43:43" x14ac:dyDescent="0.2">
      <c r="AQ39655" s="31"/>
    </row>
    <row r="39656" spans="43:43" x14ac:dyDescent="0.2">
      <c r="AQ39656" s="31"/>
    </row>
    <row r="39657" spans="43:43" x14ac:dyDescent="0.2">
      <c r="AQ39657" s="31"/>
    </row>
    <row r="39658" spans="43:43" x14ac:dyDescent="0.2">
      <c r="AQ39658" s="31"/>
    </row>
    <row r="39659" spans="43:43" x14ac:dyDescent="0.2">
      <c r="AQ39659" s="31"/>
    </row>
    <row r="39660" spans="43:43" x14ac:dyDescent="0.2">
      <c r="AQ39660" s="31"/>
    </row>
    <row r="39661" spans="43:43" x14ac:dyDescent="0.2">
      <c r="AQ39661" s="31"/>
    </row>
    <row r="39662" spans="43:43" x14ac:dyDescent="0.2">
      <c r="AQ39662" s="31"/>
    </row>
    <row r="39663" spans="43:43" x14ac:dyDescent="0.2">
      <c r="AQ39663" s="31"/>
    </row>
    <row r="39664" spans="43:43" x14ac:dyDescent="0.2">
      <c r="AQ39664" s="31"/>
    </row>
    <row r="39665" spans="43:43" x14ac:dyDescent="0.2">
      <c r="AQ39665" s="31"/>
    </row>
    <row r="39666" spans="43:43" x14ac:dyDescent="0.2">
      <c r="AQ39666" s="31"/>
    </row>
    <row r="39667" spans="43:43" x14ac:dyDescent="0.2">
      <c r="AQ39667" s="31"/>
    </row>
    <row r="39668" spans="43:43" x14ac:dyDescent="0.2">
      <c r="AQ39668" s="31"/>
    </row>
    <row r="39669" spans="43:43" x14ac:dyDescent="0.2">
      <c r="AQ39669" s="31"/>
    </row>
    <row r="39670" spans="43:43" x14ac:dyDescent="0.2">
      <c r="AQ39670" s="31"/>
    </row>
    <row r="39671" spans="43:43" x14ac:dyDescent="0.2">
      <c r="AQ39671" s="31"/>
    </row>
    <row r="39672" spans="43:43" x14ac:dyDescent="0.2">
      <c r="AQ39672" s="31"/>
    </row>
    <row r="39673" spans="43:43" x14ac:dyDescent="0.2">
      <c r="AQ39673" s="31"/>
    </row>
    <row r="39674" spans="43:43" x14ac:dyDescent="0.2">
      <c r="AQ39674" s="31"/>
    </row>
    <row r="39675" spans="43:43" x14ac:dyDescent="0.2">
      <c r="AQ39675" s="31"/>
    </row>
    <row r="39676" spans="43:43" x14ac:dyDescent="0.2">
      <c r="AQ39676" s="31"/>
    </row>
    <row r="39677" spans="43:43" x14ac:dyDescent="0.2">
      <c r="AQ39677" s="31"/>
    </row>
    <row r="39678" spans="43:43" x14ac:dyDescent="0.2">
      <c r="AQ39678" s="31"/>
    </row>
    <row r="39679" spans="43:43" x14ac:dyDescent="0.2">
      <c r="AQ39679" s="31"/>
    </row>
    <row r="39680" spans="43:43" x14ac:dyDescent="0.2">
      <c r="AQ39680" s="31"/>
    </row>
    <row r="39681" spans="43:43" x14ac:dyDescent="0.2">
      <c r="AQ39681" s="31"/>
    </row>
    <row r="39682" spans="43:43" x14ac:dyDescent="0.2">
      <c r="AQ39682" s="31"/>
    </row>
    <row r="39683" spans="43:43" x14ac:dyDescent="0.2">
      <c r="AQ39683" s="31"/>
    </row>
    <row r="39684" spans="43:43" x14ac:dyDescent="0.2">
      <c r="AQ39684" s="31"/>
    </row>
    <row r="39685" spans="43:43" x14ac:dyDescent="0.2">
      <c r="AQ39685" s="31"/>
    </row>
    <row r="39686" spans="43:43" x14ac:dyDescent="0.2">
      <c r="AQ39686" s="31"/>
    </row>
    <row r="39687" spans="43:43" x14ac:dyDescent="0.2">
      <c r="AQ39687" s="31"/>
    </row>
    <row r="39688" spans="43:43" x14ac:dyDescent="0.2">
      <c r="AQ39688" s="31"/>
    </row>
    <row r="39689" spans="43:43" x14ac:dyDescent="0.2">
      <c r="AQ39689" s="31"/>
    </row>
    <row r="39690" spans="43:43" x14ac:dyDescent="0.2">
      <c r="AQ39690" s="31"/>
    </row>
    <row r="39691" spans="43:43" x14ac:dyDescent="0.2">
      <c r="AQ39691" s="31"/>
    </row>
    <row r="39692" spans="43:43" x14ac:dyDescent="0.2">
      <c r="AQ39692" s="31"/>
    </row>
    <row r="39693" spans="43:43" x14ac:dyDescent="0.2">
      <c r="AQ39693" s="31"/>
    </row>
    <row r="39694" spans="43:43" x14ac:dyDescent="0.2">
      <c r="AQ39694" s="31"/>
    </row>
    <row r="39695" spans="43:43" x14ac:dyDescent="0.2">
      <c r="AQ39695" s="31"/>
    </row>
    <row r="39696" spans="43:43" x14ac:dyDescent="0.2">
      <c r="AQ39696" s="31"/>
    </row>
    <row r="39697" spans="43:43" x14ac:dyDescent="0.2">
      <c r="AQ39697" s="31"/>
    </row>
    <row r="39698" spans="43:43" x14ac:dyDescent="0.2">
      <c r="AQ39698" s="31"/>
    </row>
    <row r="39699" spans="43:43" x14ac:dyDescent="0.2">
      <c r="AQ39699" s="31"/>
    </row>
    <row r="39700" spans="43:43" x14ac:dyDescent="0.2">
      <c r="AQ39700" s="31"/>
    </row>
    <row r="39701" spans="43:43" x14ac:dyDescent="0.2">
      <c r="AQ39701" s="31"/>
    </row>
    <row r="39702" spans="43:43" x14ac:dyDescent="0.2">
      <c r="AQ39702" s="31"/>
    </row>
    <row r="39703" spans="43:43" x14ac:dyDescent="0.2">
      <c r="AQ39703" s="31"/>
    </row>
    <row r="39704" spans="43:43" x14ac:dyDescent="0.2">
      <c r="AQ39704" s="31"/>
    </row>
    <row r="39705" spans="43:43" x14ac:dyDescent="0.2">
      <c r="AQ39705" s="31"/>
    </row>
    <row r="39706" spans="43:43" x14ac:dyDescent="0.2">
      <c r="AQ39706" s="31"/>
    </row>
    <row r="39707" spans="43:43" x14ac:dyDescent="0.2">
      <c r="AQ39707" s="31"/>
    </row>
    <row r="39708" spans="43:43" x14ac:dyDescent="0.2">
      <c r="AQ39708" s="31"/>
    </row>
    <row r="39709" spans="43:43" x14ac:dyDescent="0.2">
      <c r="AQ39709" s="31"/>
    </row>
    <row r="39710" spans="43:43" x14ac:dyDescent="0.2">
      <c r="AQ39710" s="31"/>
    </row>
    <row r="39711" spans="43:43" x14ac:dyDescent="0.2">
      <c r="AQ39711" s="31"/>
    </row>
    <row r="39712" spans="43:43" x14ac:dyDescent="0.2">
      <c r="AQ39712" s="31"/>
    </row>
    <row r="39713" spans="43:43" x14ac:dyDescent="0.2">
      <c r="AQ39713" s="31"/>
    </row>
    <row r="39714" spans="43:43" x14ac:dyDescent="0.2">
      <c r="AQ39714" s="31"/>
    </row>
    <row r="39715" spans="43:43" x14ac:dyDescent="0.2">
      <c r="AQ39715" s="31"/>
    </row>
    <row r="39716" spans="43:43" x14ac:dyDescent="0.2">
      <c r="AQ39716" s="31"/>
    </row>
    <row r="39717" spans="43:43" x14ac:dyDescent="0.2">
      <c r="AQ39717" s="31"/>
    </row>
    <row r="39718" spans="43:43" x14ac:dyDescent="0.2">
      <c r="AQ39718" s="31"/>
    </row>
    <row r="39719" spans="43:43" x14ac:dyDescent="0.2">
      <c r="AQ39719" s="31"/>
    </row>
    <row r="39720" spans="43:43" x14ac:dyDescent="0.2">
      <c r="AQ39720" s="31"/>
    </row>
    <row r="39721" spans="43:43" x14ac:dyDescent="0.2">
      <c r="AQ39721" s="31"/>
    </row>
    <row r="39722" spans="43:43" x14ac:dyDescent="0.2">
      <c r="AQ39722" s="31"/>
    </row>
    <row r="39723" spans="43:43" x14ac:dyDescent="0.2">
      <c r="AQ39723" s="31"/>
    </row>
    <row r="39724" spans="43:43" x14ac:dyDescent="0.2">
      <c r="AQ39724" s="31"/>
    </row>
    <row r="39725" spans="43:43" x14ac:dyDescent="0.2">
      <c r="AQ39725" s="31"/>
    </row>
    <row r="39726" spans="43:43" x14ac:dyDescent="0.2">
      <c r="AQ39726" s="31"/>
    </row>
    <row r="39727" spans="43:43" x14ac:dyDescent="0.2">
      <c r="AQ39727" s="31"/>
    </row>
    <row r="39728" spans="43:43" x14ac:dyDescent="0.2">
      <c r="AQ39728" s="31"/>
    </row>
    <row r="39729" spans="43:43" x14ac:dyDescent="0.2">
      <c r="AQ39729" s="31"/>
    </row>
    <row r="39730" spans="43:43" x14ac:dyDescent="0.2">
      <c r="AQ39730" s="31"/>
    </row>
    <row r="39731" spans="43:43" x14ac:dyDescent="0.2">
      <c r="AQ39731" s="31"/>
    </row>
    <row r="39732" spans="43:43" x14ac:dyDescent="0.2">
      <c r="AQ39732" s="31"/>
    </row>
    <row r="39733" spans="43:43" x14ac:dyDescent="0.2">
      <c r="AQ39733" s="31"/>
    </row>
    <row r="39734" spans="43:43" x14ac:dyDescent="0.2">
      <c r="AQ39734" s="31"/>
    </row>
    <row r="39735" spans="43:43" x14ac:dyDescent="0.2">
      <c r="AQ39735" s="31"/>
    </row>
    <row r="39736" spans="43:43" x14ac:dyDescent="0.2">
      <c r="AQ39736" s="31"/>
    </row>
    <row r="39737" spans="43:43" x14ac:dyDescent="0.2">
      <c r="AQ39737" s="31"/>
    </row>
    <row r="39738" spans="43:43" x14ac:dyDescent="0.2">
      <c r="AQ39738" s="31"/>
    </row>
    <row r="39739" spans="43:43" x14ac:dyDescent="0.2">
      <c r="AQ39739" s="31"/>
    </row>
    <row r="39740" spans="43:43" x14ac:dyDescent="0.2">
      <c r="AQ39740" s="31"/>
    </row>
    <row r="39741" spans="43:43" x14ac:dyDescent="0.2">
      <c r="AQ39741" s="31"/>
    </row>
    <row r="39742" spans="43:43" x14ac:dyDescent="0.2">
      <c r="AQ39742" s="31"/>
    </row>
    <row r="39743" spans="43:43" x14ac:dyDescent="0.2">
      <c r="AQ39743" s="31"/>
    </row>
    <row r="39744" spans="43:43" x14ac:dyDescent="0.2">
      <c r="AQ39744" s="31"/>
    </row>
    <row r="39745" spans="43:43" x14ac:dyDescent="0.2">
      <c r="AQ39745" s="31"/>
    </row>
    <row r="39746" spans="43:43" x14ac:dyDescent="0.2">
      <c r="AQ39746" s="31"/>
    </row>
    <row r="39747" spans="43:43" x14ac:dyDescent="0.2">
      <c r="AQ39747" s="31"/>
    </row>
    <row r="39748" spans="43:43" x14ac:dyDescent="0.2">
      <c r="AQ39748" s="31"/>
    </row>
    <row r="39749" spans="43:43" x14ac:dyDescent="0.2">
      <c r="AQ39749" s="31"/>
    </row>
    <row r="39750" spans="43:43" x14ac:dyDescent="0.2">
      <c r="AQ39750" s="31"/>
    </row>
    <row r="39751" spans="43:43" x14ac:dyDescent="0.2">
      <c r="AQ39751" s="31"/>
    </row>
    <row r="39752" spans="43:43" x14ac:dyDescent="0.2">
      <c r="AQ39752" s="31"/>
    </row>
    <row r="39753" spans="43:43" x14ac:dyDescent="0.2">
      <c r="AQ39753" s="31"/>
    </row>
    <row r="39754" spans="43:43" x14ac:dyDescent="0.2">
      <c r="AQ39754" s="31"/>
    </row>
    <row r="39755" spans="43:43" x14ac:dyDescent="0.2">
      <c r="AQ39755" s="31"/>
    </row>
    <row r="39756" spans="43:43" x14ac:dyDescent="0.2">
      <c r="AQ39756" s="31"/>
    </row>
    <row r="39757" spans="43:43" x14ac:dyDescent="0.2">
      <c r="AQ39757" s="31"/>
    </row>
    <row r="39758" spans="43:43" x14ac:dyDescent="0.2">
      <c r="AQ39758" s="31"/>
    </row>
    <row r="39759" spans="43:43" x14ac:dyDescent="0.2">
      <c r="AQ39759" s="31"/>
    </row>
    <row r="39760" spans="43:43" x14ac:dyDescent="0.2">
      <c r="AQ39760" s="31"/>
    </row>
    <row r="39761" spans="43:43" x14ac:dyDescent="0.2">
      <c r="AQ39761" s="31"/>
    </row>
    <row r="39762" spans="43:43" x14ac:dyDescent="0.2">
      <c r="AQ39762" s="31"/>
    </row>
    <row r="39763" spans="43:43" x14ac:dyDescent="0.2">
      <c r="AQ39763" s="31"/>
    </row>
    <row r="39764" spans="43:43" x14ac:dyDescent="0.2">
      <c r="AQ39764" s="31"/>
    </row>
    <row r="39765" spans="43:43" x14ac:dyDescent="0.2">
      <c r="AQ39765" s="31"/>
    </row>
    <row r="39766" spans="43:43" x14ac:dyDescent="0.2">
      <c r="AQ39766" s="31"/>
    </row>
    <row r="39767" spans="43:43" x14ac:dyDescent="0.2">
      <c r="AQ39767" s="31"/>
    </row>
    <row r="39768" spans="43:43" x14ac:dyDescent="0.2">
      <c r="AQ39768" s="31"/>
    </row>
    <row r="39769" spans="43:43" x14ac:dyDescent="0.2">
      <c r="AQ39769" s="31"/>
    </row>
    <row r="39770" spans="43:43" x14ac:dyDescent="0.2">
      <c r="AQ39770" s="31"/>
    </row>
    <row r="39771" spans="43:43" x14ac:dyDescent="0.2">
      <c r="AQ39771" s="31"/>
    </row>
    <row r="39772" spans="43:43" x14ac:dyDescent="0.2">
      <c r="AQ39772" s="31"/>
    </row>
    <row r="39773" spans="43:43" x14ac:dyDescent="0.2">
      <c r="AQ39773" s="31"/>
    </row>
    <row r="39774" spans="43:43" x14ac:dyDescent="0.2">
      <c r="AQ39774" s="31"/>
    </row>
    <row r="39775" spans="43:43" x14ac:dyDescent="0.2">
      <c r="AQ39775" s="31"/>
    </row>
    <row r="39776" spans="43:43" x14ac:dyDescent="0.2">
      <c r="AQ39776" s="31"/>
    </row>
    <row r="39777" spans="43:43" x14ac:dyDescent="0.2">
      <c r="AQ39777" s="31"/>
    </row>
    <row r="39778" spans="43:43" x14ac:dyDescent="0.2">
      <c r="AQ39778" s="31"/>
    </row>
    <row r="39779" spans="43:43" x14ac:dyDescent="0.2">
      <c r="AQ39779" s="31"/>
    </row>
    <row r="39780" spans="43:43" x14ac:dyDescent="0.2">
      <c r="AQ39780" s="31"/>
    </row>
    <row r="39781" spans="43:43" x14ac:dyDescent="0.2">
      <c r="AQ39781" s="31"/>
    </row>
    <row r="39782" spans="43:43" x14ac:dyDescent="0.2">
      <c r="AQ39782" s="31"/>
    </row>
    <row r="39783" spans="43:43" x14ac:dyDescent="0.2">
      <c r="AQ39783" s="31"/>
    </row>
    <row r="39784" spans="43:43" x14ac:dyDescent="0.2">
      <c r="AQ39784" s="31"/>
    </row>
    <row r="39785" spans="43:43" x14ac:dyDescent="0.2">
      <c r="AQ39785" s="31"/>
    </row>
    <row r="39786" spans="43:43" x14ac:dyDescent="0.2">
      <c r="AQ39786" s="31"/>
    </row>
    <row r="39787" spans="43:43" x14ac:dyDescent="0.2">
      <c r="AQ39787" s="31"/>
    </row>
    <row r="39788" spans="43:43" x14ac:dyDescent="0.2">
      <c r="AQ39788" s="31"/>
    </row>
    <row r="39789" spans="43:43" x14ac:dyDescent="0.2">
      <c r="AQ39789" s="31"/>
    </row>
    <row r="39790" spans="43:43" x14ac:dyDescent="0.2">
      <c r="AQ39790" s="31"/>
    </row>
    <row r="39791" spans="43:43" x14ac:dyDescent="0.2">
      <c r="AQ39791" s="31"/>
    </row>
    <row r="39792" spans="43:43" x14ac:dyDescent="0.2">
      <c r="AQ39792" s="31"/>
    </row>
    <row r="39793" spans="43:43" x14ac:dyDescent="0.2">
      <c r="AQ39793" s="31"/>
    </row>
    <row r="39794" spans="43:43" x14ac:dyDescent="0.2">
      <c r="AQ39794" s="31"/>
    </row>
    <row r="39795" spans="43:43" x14ac:dyDescent="0.2">
      <c r="AQ39795" s="31"/>
    </row>
    <row r="39796" spans="43:43" x14ac:dyDescent="0.2">
      <c r="AQ39796" s="31"/>
    </row>
    <row r="39797" spans="43:43" x14ac:dyDescent="0.2">
      <c r="AQ39797" s="31"/>
    </row>
    <row r="39798" spans="43:43" x14ac:dyDescent="0.2">
      <c r="AQ39798" s="31"/>
    </row>
    <row r="39799" spans="43:43" x14ac:dyDescent="0.2">
      <c r="AQ39799" s="31"/>
    </row>
    <row r="39800" spans="43:43" x14ac:dyDescent="0.2">
      <c r="AQ39800" s="31"/>
    </row>
    <row r="39801" spans="43:43" x14ac:dyDescent="0.2">
      <c r="AQ39801" s="31"/>
    </row>
    <row r="39802" spans="43:43" x14ac:dyDescent="0.2">
      <c r="AQ39802" s="31"/>
    </row>
    <row r="39803" spans="43:43" x14ac:dyDescent="0.2">
      <c r="AQ39803" s="31"/>
    </row>
    <row r="39804" spans="43:43" x14ac:dyDescent="0.2">
      <c r="AQ39804" s="31"/>
    </row>
    <row r="39805" spans="43:43" x14ac:dyDescent="0.2">
      <c r="AQ39805" s="31"/>
    </row>
    <row r="39806" spans="43:43" x14ac:dyDescent="0.2">
      <c r="AQ39806" s="31"/>
    </row>
    <row r="39807" spans="43:43" x14ac:dyDescent="0.2">
      <c r="AQ39807" s="31"/>
    </row>
    <row r="39808" spans="43:43" x14ac:dyDescent="0.2">
      <c r="AQ39808" s="31"/>
    </row>
    <row r="39809" spans="43:43" x14ac:dyDescent="0.2">
      <c r="AQ39809" s="31"/>
    </row>
    <row r="39810" spans="43:43" x14ac:dyDescent="0.2">
      <c r="AQ39810" s="31"/>
    </row>
    <row r="39811" spans="43:43" x14ac:dyDescent="0.2">
      <c r="AQ39811" s="31"/>
    </row>
    <row r="39812" spans="43:43" x14ac:dyDescent="0.2">
      <c r="AQ39812" s="31"/>
    </row>
    <row r="39813" spans="43:43" x14ac:dyDescent="0.2">
      <c r="AQ39813" s="31"/>
    </row>
    <row r="39814" spans="43:43" x14ac:dyDescent="0.2">
      <c r="AQ39814" s="31"/>
    </row>
    <row r="39815" spans="43:43" x14ac:dyDescent="0.2">
      <c r="AQ39815" s="31"/>
    </row>
    <row r="39816" spans="43:43" x14ac:dyDescent="0.2">
      <c r="AQ39816" s="31"/>
    </row>
    <row r="39817" spans="43:43" x14ac:dyDescent="0.2">
      <c r="AQ39817" s="31"/>
    </row>
    <row r="39818" spans="43:43" x14ac:dyDescent="0.2">
      <c r="AQ39818" s="31"/>
    </row>
    <row r="39819" spans="43:43" x14ac:dyDescent="0.2">
      <c r="AQ39819" s="31"/>
    </row>
    <row r="39820" spans="43:43" x14ac:dyDescent="0.2">
      <c r="AQ39820" s="31"/>
    </row>
    <row r="39821" spans="43:43" x14ac:dyDescent="0.2">
      <c r="AQ39821" s="31"/>
    </row>
    <row r="39822" spans="43:43" x14ac:dyDescent="0.2">
      <c r="AQ39822" s="31"/>
    </row>
    <row r="39823" spans="43:43" x14ac:dyDescent="0.2">
      <c r="AQ39823" s="31"/>
    </row>
    <row r="39824" spans="43:43" x14ac:dyDescent="0.2">
      <c r="AQ39824" s="31"/>
    </row>
    <row r="39825" spans="43:43" x14ac:dyDescent="0.2">
      <c r="AQ39825" s="31"/>
    </row>
    <row r="39826" spans="43:43" x14ac:dyDescent="0.2">
      <c r="AQ39826" s="31"/>
    </row>
    <row r="39827" spans="43:43" x14ac:dyDescent="0.2">
      <c r="AQ39827" s="31"/>
    </row>
    <row r="39828" spans="43:43" x14ac:dyDescent="0.2">
      <c r="AQ39828" s="31"/>
    </row>
    <row r="39829" spans="43:43" x14ac:dyDescent="0.2">
      <c r="AQ39829" s="31"/>
    </row>
    <row r="39830" spans="43:43" x14ac:dyDescent="0.2">
      <c r="AQ39830" s="31"/>
    </row>
    <row r="39831" spans="43:43" x14ac:dyDescent="0.2">
      <c r="AQ39831" s="31"/>
    </row>
    <row r="39832" spans="43:43" x14ac:dyDescent="0.2">
      <c r="AQ39832" s="31"/>
    </row>
    <row r="39833" spans="43:43" x14ac:dyDescent="0.2">
      <c r="AQ39833" s="31"/>
    </row>
    <row r="39834" spans="43:43" x14ac:dyDescent="0.2">
      <c r="AQ39834" s="31"/>
    </row>
    <row r="39835" spans="43:43" x14ac:dyDescent="0.2">
      <c r="AQ39835" s="31"/>
    </row>
    <row r="39836" spans="43:43" x14ac:dyDescent="0.2">
      <c r="AQ39836" s="31"/>
    </row>
    <row r="39837" spans="43:43" x14ac:dyDescent="0.2">
      <c r="AQ39837" s="31"/>
    </row>
    <row r="39838" spans="43:43" x14ac:dyDescent="0.2">
      <c r="AQ39838" s="31"/>
    </row>
    <row r="39839" spans="43:43" x14ac:dyDescent="0.2">
      <c r="AQ39839" s="31"/>
    </row>
    <row r="39840" spans="43:43" x14ac:dyDescent="0.2">
      <c r="AQ39840" s="31"/>
    </row>
    <row r="39841" spans="43:43" x14ac:dyDescent="0.2">
      <c r="AQ39841" s="31"/>
    </row>
    <row r="39842" spans="43:43" x14ac:dyDescent="0.2">
      <c r="AQ39842" s="31"/>
    </row>
    <row r="39843" spans="43:43" x14ac:dyDescent="0.2">
      <c r="AQ39843" s="31"/>
    </row>
    <row r="39844" spans="43:43" x14ac:dyDescent="0.2">
      <c r="AQ39844" s="31"/>
    </row>
    <row r="39845" spans="43:43" x14ac:dyDescent="0.2">
      <c r="AQ39845" s="31"/>
    </row>
    <row r="39846" spans="43:43" x14ac:dyDescent="0.2">
      <c r="AQ39846" s="31"/>
    </row>
    <row r="39847" spans="43:43" x14ac:dyDescent="0.2">
      <c r="AQ39847" s="31"/>
    </row>
    <row r="39848" spans="43:43" x14ac:dyDescent="0.2">
      <c r="AQ39848" s="31"/>
    </row>
    <row r="39849" spans="43:43" x14ac:dyDescent="0.2">
      <c r="AQ39849" s="31"/>
    </row>
    <row r="39850" spans="43:43" x14ac:dyDescent="0.2">
      <c r="AQ39850" s="31"/>
    </row>
    <row r="39851" spans="43:43" x14ac:dyDescent="0.2">
      <c r="AQ39851" s="31"/>
    </row>
    <row r="39852" spans="43:43" x14ac:dyDescent="0.2">
      <c r="AQ39852" s="31"/>
    </row>
    <row r="39853" spans="43:43" x14ac:dyDescent="0.2">
      <c r="AQ39853" s="31"/>
    </row>
    <row r="39854" spans="43:43" x14ac:dyDescent="0.2">
      <c r="AQ39854" s="31"/>
    </row>
    <row r="39855" spans="43:43" x14ac:dyDescent="0.2">
      <c r="AQ39855" s="31"/>
    </row>
    <row r="39856" spans="43:43" x14ac:dyDescent="0.2">
      <c r="AQ39856" s="31"/>
    </row>
    <row r="39857" spans="43:43" x14ac:dyDescent="0.2">
      <c r="AQ39857" s="31"/>
    </row>
    <row r="39858" spans="43:43" x14ac:dyDescent="0.2">
      <c r="AQ39858" s="31"/>
    </row>
    <row r="39859" spans="43:43" x14ac:dyDescent="0.2">
      <c r="AQ39859" s="31"/>
    </row>
    <row r="39860" spans="43:43" x14ac:dyDescent="0.2">
      <c r="AQ39860" s="31"/>
    </row>
    <row r="39861" spans="43:43" x14ac:dyDescent="0.2">
      <c r="AQ39861" s="31"/>
    </row>
    <row r="39862" spans="43:43" x14ac:dyDescent="0.2">
      <c r="AQ39862" s="31"/>
    </row>
    <row r="39863" spans="43:43" x14ac:dyDescent="0.2">
      <c r="AQ39863" s="31"/>
    </row>
    <row r="39864" spans="43:43" x14ac:dyDescent="0.2">
      <c r="AQ39864" s="31"/>
    </row>
    <row r="39865" spans="43:43" x14ac:dyDescent="0.2">
      <c r="AQ39865" s="31"/>
    </row>
    <row r="39866" spans="43:43" x14ac:dyDescent="0.2">
      <c r="AQ39866" s="31"/>
    </row>
    <row r="39867" spans="43:43" x14ac:dyDescent="0.2">
      <c r="AQ39867" s="31"/>
    </row>
    <row r="39868" spans="43:43" x14ac:dyDescent="0.2">
      <c r="AQ39868" s="31"/>
    </row>
    <row r="39869" spans="43:43" x14ac:dyDescent="0.2">
      <c r="AQ39869" s="31"/>
    </row>
    <row r="39870" spans="43:43" x14ac:dyDescent="0.2">
      <c r="AQ39870" s="31"/>
    </row>
    <row r="39871" spans="43:43" x14ac:dyDescent="0.2">
      <c r="AQ39871" s="31"/>
    </row>
    <row r="39872" spans="43:43" x14ac:dyDescent="0.2">
      <c r="AQ39872" s="31"/>
    </row>
    <row r="39873" spans="43:43" x14ac:dyDescent="0.2">
      <c r="AQ39873" s="31"/>
    </row>
    <row r="39874" spans="43:43" x14ac:dyDescent="0.2">
      <c r="AQ39874" s="31"/>
    </row>
    <row r="39875" spans="43:43" x14ac:dyDescent="0.2">
      <c r="AQ39875" s="31"/>
    </row>
    <row r="39876" spans="43:43" x14ac:dyDescent="0.2">
      <c r="AQ39876" s="31"/>
    </row>
    <row r="39877" spans="43:43" x14ac:dyDescent="0.2">
      <c r="AQ39877" s="31"/>
    </row>
    <row r="39878" spans="43:43" x14ac:dyDescent="0.2">
      <c r="AQ39878" s="31"/>
    </row>
    <row r="39879" spans="43:43" x14ac:dyDescent="0.2">
      <c r="AQ39879" s="31"/>
    </row>
    <row r="39880" spans="43:43" x14ac:dyDescent="0.2">
      <c r="AQ39880" s="31"/>
    </row>
    <row r="39881" spans="43:43" x14ac:dyDescent="0.2">
      <c r="AQ39881" s="31"/>
    </row>
    <row r="39882" spans="43:43" x14ac:dyDescent="0.2">
      <c r="AQ39882" s="31"/>
    </row>
    <row r="39883" spans="43:43" x14ac:dyDescent="0.2">
      <c r="AQ39883" s="31"/>
    </row>
    <row r="39884" spans="43:43" x14ac:dyDescent="0.2">
      <c r="AQ39884" s="31"/>
    </row>
    <row r="39885" spans="43:43" x14ac:dyDescent="0.2">
      <c r="AQ39885" s="31"/>
    </row>
    <row r="39886" spans="43:43" x14ac:dyDescent="0.2">
      <c r="AQ39886" s="31"/>
    </row>
    <row r="39887" spans="43:43" x14ac:dyDescent="0.2">
      <c r="AQ39887" s="31"/>
    </row>
    <row r="39888" spans="43:43" x14ac:dyDescent="0.2">
      <c r="AQ39888" s="31"/>
    </row>
    <row r="39889" spans="43:43" x14ac:dyDescent="0.2">
      <c r="AQ39889" s="31"/>
    </row>
    <row r="39890" spans="43:43" x14ac:dyDescent="0.2">
      <c r="AQ39890" s="31"/>
    </row>
    <row r="39891" spans="43:43" x14ac:dyDescent="0.2">
      <c r="AQ39891" s="31"/>
    </row>
    <row r="39892" spans="43:43" x14ac:dyDescent="0.2">
      <c r="AQ39892" s="31"/>
    </row>
    <row r="39893" spans="43:43" x14ac:dyDescent="0.2">
      <c r="AQ39893" s="31"/>
    </row>
    <row r="39894" spans="43:43" x14ac:dyDescent="0.2">
      <c r="AQ39894" s="31"/>
    </row>
    <row r="39895" spans="43:43" x14ac:dyDescent="0.2">
      <c r="AQ39895" s="31"/>
    </row>
    <row r="39896" spans="43:43" x14ac:dyDescent="0.2">
      <c r="AQ39896" s="31"/>
    </row>
    <row r="39897" spans="43:43" x14ac:dyDescent="0.2">
      <c r="AQ39897" s="31"/>
    </row>
    <row r="39898" spans="43:43" x14ac:dyDescent="0.2">
      <c r="AQ39898" s="31"/>
    </row>
    <row r="39899" spans="43:43" x14ac:dyDescent="0.2">
      <c r="AQ39899" s="31"/>
    </row>
    <row r="39900" spans="43:43" x14ac:dyDescent="0.2">
      <c r="AQ39900" s="31"/>
    </row>
    <row r="39901" spans="43:43" x14ac:dyDescent="0.2">
      <c r="AQ39901" s="31"/>
    </row>
    <row r="39902" spans="43:43" x14ac:dyDescent="0.2">
      <c r="AQ39902" s="31"/>
    </row>
    <row r="39903" spans="43:43" x14ac:dyDescent="0.2">
      <c r="AQ39903" s="31"/>
    </row>
    <row r="39904" spans="43:43" x14ac:dyDescent="0.2">
      <c r="AQ39904" s="31"/>
    </row>
    <row r="39905" spans="43:43" x14ac:dyDescent="0.2">
      <c r="AQ39905" s="31"/>
    </row>
    <row r="39906" spans="43:43" x14ac:dyDescent="0.2">
      <c r="AQ39906" s="31"/>
    </row>
    <row r="39907" spans="43:43" x14ac:dyDescent="0.2">
      <c r="AQ39907" s="31"/>
    </row>
    <row r="39908" spans="43:43" x14ac:dyDescent="0.2">
      <c r="AQ39908" s="31"/>
    </row>
    <row r="39909" spans="43:43" x14ac:dyDescent="0.2">
      <c r="AQ39909" s="31"/>
    </row>
    <row r="39910" spans="43:43" x14ac:dyDescent="0.2">
      <c r="AQ39910" s="31"/>
    </row>
    <row r="39911" spans="43:43" x14ac:dyDescent="0.2">
      <c r="AQ39911" s="31"/>
    </row>
    <row r="39912" spans="43:43" x14ac:dyDescent="0.2">
      <c r="AQ39912" s="31"/>
    </row>
    <row r="39913" spans="43:43" x14ac:dyDescent="0.2">
      <c r="AQ39913" s="31"/>
    </row>
    <row r="39914" spans="43:43" x14ac:dyDescent="0.2">
      <c r="AQ39914" s="31"/>
    </row>
    <row r="39915" spans="43:43" x14ac:dyDescent="0.2">
      <c r="AQ39915" s="31"/>
    </row>
    <row r="39916" spans="43:43" x14ac:dyDescent="0.2">
      <c r="AQ39916" s="31"/>
    </row>
    <row r="39917" spans="43:43" x14ac:dyDescent="0.2">
      <c r="AQ39917" s="31"/>
    </row>
    <row r="39918" spans="43:43" x14ac:dyDescent="0.2">
      <c r="AQ39918" s="31"/>
    </row>
    <row r="39919" spans="43:43" x14ac:dyDescent="0.2">
      <c r="AQ39919" s="31"/>
    </row>
    <row r="39920" spans="43:43" x14ac:dyDescent="0.2">
      <c r="AQ39920" s="31"/>
    </row>
    <row r="39921" spans="43:43" x14ac:dyDescent="0.2">
      <c r="AQ39921" s="31"/>
    </row>
    <row r="39922" spans="43:43" x14ac:dyDescent="0.2">
      <c r="AQ39922" s="31"/>
    </row>
    <row r="39923" spans="43:43" x14ac:dyDescent="0.2">
      <c r="AQ39923" s="31"/>
    </row>
    <row r="39924" spans="43:43" x14ac:dyDescent="0.2">
      <c r="AQ39924" s="31"/>
    </row>
    <row r="39925" spans="43:43" x14ac:dyDescent="0.2">
      <c r="AQ39925" s="31"/>
    </row>
    <row r="39926" spans="43:43" x14ac:dyDescent="0.2">
      <c r="AQ39926" s="31"/>
    </row>
    <row r="39927" spans="43:43" x14ac:dyDescent="0.2">
      <c r="AQ39927" s="31"/>
    </row>
    <row r="39928" spans="43:43" x14ac:dyDescent="0.2">
      <c r="AQ39928" s="31"/>
    </row>
    <row r="39929" spans="43:43" x14ac:dyDescent="0.2">
      <c r="AQ39929" s="31"/>
    </row>
    <row r="39930" spans="43:43" x14ac:dyDescent="0.2">
      <c r="AQ39930" s="31"/>
    </row>
    <row r="39931" spans="43:43" x14ac:dyDescent="0.2">
      <c r="AQ39931" s="31"/>
    </row>
    <row r="39932" spans="43:43" x14ac:dyDescent="0.2">
      <c r="AQ39932" s="31"/>
    </row>
    <row r="39933" spans="43:43" x14ac:dyDescent="0.2">
      <c r="AQ39933" s="31"/>
    </row>
    <row r="39934" spans="43:43" x14ac:dyDescent="0.2">
      <c r="AQ39934" s="31"/>
    </row>
    <row r="39935" spans="43:43" x14ac:dyDescent="0.2">
      <c r="AQ39935" s="31"/>
    </row>
    <row r="39936" spans="43:43" x14ac:dyDescent="0.2">
      <c r="AQ39936" s="31"/>
    </row>
    <row r="39937" spans="43:43" x14ac:dyDescent="0.2">
      <c r="AQ39937" s="31"/>
    </row>
    <row r="39938" spans="43:43" x14ac:dyDescent="0.2">
      <c r="AQ39938" s="31"/>
    </row>
    <row r="39939" spans="43:43" x14ac:dyDescent="0.2">
      <c r="AQ39939" s="31"/>
    </row>
    <row r="39940" spans="43:43" x14ac:dyDescent="0.2">
      <c r="AQ39940" s="31"/>
    </row>
    <row r="39941" spans="43:43" x14ac:dyDescent="0.2">
      <c r="AQ39941" s="31"/>
    </row>
    <row r="39942" spans="43:43" x14ac:dyDescent="0.2">
      <c r="AQ39942" s="31"/>
    </row>
    <row r="39943" spans="43:43" x14ac:dyDescent="0.2">
      <c r="AQ39943" s="31"/>
    </row>
    <row r="39944" spans="43:43" x14ac:dyDescent="0.2">
      <c r="AQ39944" s="31"/>
    </row>
    <row r="39945" spans="43:43" x14ac:dyDescent="0.2">
      <c r="AQ39945" s="31"/>
    </row>
    <row r="39946" spans="43:43" x14ac:dyDescent="0.2">
      <c r="AQ39946" s="31"/>
    </row>
    <row r="39947" spans="43:43" x14ac:dyDescent="0.2">
      <c r="AQ39947" s="31"/>
    </row>
    <row r="39948" spans="43:43" x14ac:dyDescent="0.2">
      <c r="AQ39948" s="31"/>
    </row>
    <row r="39949" spans="43:43" x14ac:dyDescent="0.2">
      <c r="AQ39949" s="31"/>
    </row>
    <row r="39950" spans="43:43" x14ac:dyDescent="0.2">
      <c r="AQ39950" s="31"/>
    </row>
    <row r="39951" spans="43:43" x14ac:dyDescent="0.2">
      <c r="AQ39951" s="31"/>
    </row>
    <row r="39952" spans="43:43" x14ac:dyDescent="0.2">
      <c r="AQ39952" s="31"/>
    </row>
    <row r="39953" spans="43:43" x14ac:dyDescent="0.2">
      <c r="AQ39953" s="31"/>
    </row>
    <row r="39954" spans="43:43" x14ac:dyDescent="0.2">
      <c r="AQ39954" s="31"/>
    </row>
    <row r="39955" spans="43:43" x14ac:dyDescent="0.2">
      <c r="AQ39955" s="31"/>
    </row>
    <row r="39956" spans="43:43" x14ac:dyDescent="0.2">
      <c r="AQ39956" s="31"/>
    </row>
    <row r="39957" spans="43:43" x14ac:dyDescent="0.2">
      <c r="AQ39957" s="31"/>
    </row>
    <row r="39958" spans="43:43" x14ac:dyDescent="0.2">
      <c r="AQ39958" s="31"/>
    </row>
    <row r="39959" spans="43:43" x14ac:dyDescent="0.2">
      <c r="AQ39959" s="31"/>
    </row>
    <row r="39960" spans="43:43" x14ac:dyDescent="0.2">
      <c r="AQ39960" s="31"/>
    </row>
    <row r="39961" spans="43:43" x14ac:dyDescent="0.2">
      <c r="AQ39961" s="31"/>
    </row>
    <row r="39962" spans="43:43" x14ac:dyDescent="0.2">
      <c r="AQ39962" s="31"/>
    </row>
    <row r="39963" spans="43:43" x14ac:dyDescent="0.2">
      <c r="AQ39963" s="31"/>
    </row>
    <row r="39964" spans="43:43" x14ac:dyDescent="0.2">
      <c r="AQ39964" s="31"/>
    </row>
    <row r="39965" spans="43:43" x14ac:dyDescent="0.2">
      <c r="AQ39965" s="31"/>
    </row>
    <row r="39966" spans="43:43" x14ac:dyDescent="0.2">
      <c r="AQ39966" s="31"/>
    </row>
    <row r="39967" spans="43:43" x14ac:dyDescent="0.2">
      <c r="AQ39967" s="31"/>
    </row>
    <row r="39968" spans="43:43" x14ac:dyDescent="0.2">
      <c r="AQ39968" s="31"/>
    </row>
    <row r="39969" spans="43:43" x14ac:dyDescent="0.2">
      <c r="AQ39969" s="31"/>
    </row>
    <row r="39970" spans="43:43" x14ac:dyDescent="0.2">
      <c r="AQ39970" s="31"/>
    </row>
    <row r="39971" spans="43:43" x14ac:dyDescent="0.2">
      <c r="AQ39971" s="31"/>
    </row>
    <row r="39972" spans="43:43" x14ac:dyDescent="0.2">
      <c r="AQ39972" s="31"/>
    </row>
    <row r="39973" spans="43:43" x14ac:dyDescent="0.2">
      <c r="AQ39973" s="31"/>
    </row>
    <row r="39974" spans="43:43" x14ac:dyDescent="0.2">
      <c r="AQ39974" s="31"/>
    </row>
    <row r="39975" spans="43:43" x14ac:dyDescent="0.2">
      <c r="AQ39975" s="31"/>
    </row>
    <row r="39976" spans="43:43" x14ac:dyDescent="0.2">
      <c r="AQ39976" s="31"/>
    </row>
    <row r="39977" spans="43:43" x14ac:dyDescent="0.2">
      <c r="AQ39977" s="31"/>
    </row>
    <row r="39978" spans="43:43" x14ac:dyDescent="0.2">
      <c r="AQ39978" s="31"/>
    </row>
    <row r="39979" spans="43:43" x14ac:dyDescent="0.2">
      <c r="AQ39979" s="31"/>
    </row>
    <row r="39980" spans="43:43" x14ac:dyDescent="0.2">
      <c r="AQ39980" s="31"/>
    </row>
    <row r="39981" spans="43:43" x14ac:dyDescent="0.2">
      <c r="AQ39981" s="31"/>
    </row>
    <row r="39982" spans="43:43" x14ac:dyDescent="0.2">
      <c r="AQ39982" s="31"/>
    </row>
    <row r="39983" spans="43:43" x14ac:dyDescent="0.2">
      <c r="AQ39983" s="31"/>
    </row>
    <row r="39984" spans="43:43" x14ac:dyDescent="0.2">
      <c r="AQ39984" s="31"/>
    </row>
    <row r="39985" spans="43:43" x14ac:dyDescent="0.2">
      <c r="AQ39985" s="31"/>
    </row>
    <row r="39986" spans="43:43" x14ac:dyDescent="0.2">
      <c r="AQ39986" s="31"/>
    </row>
    <row r="39987" spans="43:43" x14ac:dyDescent="0.2">
      <c r="AQ39987" s="31"/>
    </row>
    <row r="39988" spans="43:43" x14ac:dyDescent="0.2">
      <c r="AQ39988" s="31"/>
    </row>
    <row r="39989" spans="43:43" x14ac:dyDescent="0.2">
      <c r="AQ39989" s="31"/>
    </row>
    <row r="39990" spans="43:43" x14ac:dyDescent="0.2">
      <c r="AQ39990" s="31"/>
    </row>
    <row r="39991" spans="43:43" x14ac:dyDescent="0.2">
      <c r="AQ39991" s="31"/>
    </row>
    <row r="39992" spans="43:43" x14ac:dyDescent="0.2">
      <c r="AQ39992" s="31"/>
    </row>
    <row r="39993" spans="43:43" x14ac:dyDescent="0.2">
      <c r="AQ39993" s="31"/>
    </row>
    <row r="39994" spans="43:43" x14ac:dyDescent="0.2">
      <c r="AQ39994" s="31"/>
    </row>
    <row r="39995" spans="43:43" x14ac:dyDescent="0.2">
      <c r="AQ39995" s="31"/>
    </row>
    <row r="39996" spans="43:43" x14ac:dyDescent="0.2">
      <c r="AQ39996" s="31"/>
    </row>
    <row r="39997" spans="43:43" x14ac:dyDescent="0.2">
      <c r="AQ39997" s="31"/>
    </row>
    <row r="39998" spans="43:43" x14ac:dyDescent="0.2">
      <c r="AQ39998" s="31"/>
    </row>
    <row r="39999" spans="43:43" x14ac:dyDescent="0.2">
      <c r="AQ39999" s="31"/>
    </row>
    <row r="40000" spans="43:43" x14ac:dyDescent="0.2">
      <c r="AQ40000" s="31"/>
    </row>
    <row r="40001" spans="43:43" x14ac:dyDescent="0.2">
      <c r="AQ40001" s="31"/>
    </row>
    <row r="40002" spans="43:43" x14ac:dyDescent="0.2">
      <c r="AQ40002" s="31"/>
    </row>
    <row r="40003" spans="43:43" x14ac:dyDescent="0.2">
      <c r="AQ40003" s="31"/>
    </row>
    <row r="40004" spans="43:43" x14ac:dyDescent="0.2">
      <c r="AQ40004" s="31"/>
    </row>
    <row r="40005" spans="43:43" x14ac:dyDescent="0.2">
      <c r="AQ40005" s="31"/>
    </row>
    <row r="40006" spans="43:43" x14ac:dyDescent="0.2">
      <c r="AQ40006" s="31"/>
    </row>
    <row r="40007" spans="43:43" x14ac:dyDescent="0.2">
      <c r="AQ40007" s="31"/>
    </row>
    <row r="40008" spans="43:43" x14ac:dyDescent="0.2">
      <c r="AQ40008" s="31"/>
    </row>
    <row r="40009" spans="43:43" x14ac:dyDescent="0.2">
      <c r="AQ40009" s="31"/>
    </row>
    <row r="40010" spans="43:43" x14ac:dyDescent="0.2">
      <c r="AQ40010" s="31"/>
    </row>
    <row r="40011" spans="43:43" x14ac:dyDescent="0.2">
      <c r="AQ40011" s="31"/>
    </row>
    <row r="40012" spans="43:43" x14ac:dyDescent="0.2">
      <c r="AQ40012" s="31"/>
    </row>
    <row r="40013" spans="43:43" x14ac:dyDescent="0.2">
      <c r="AQ40013" s="31"/>
    </row>
    <row r="40014" spans="43:43" x14ac:dyDescent="0.2">
      <c r="AQ40014" s="31"/>
    </row>
    <row r="40015" spans="43:43" x14ac:dyDescent="0.2">
      <c r="AQ40015" s="31"/>
    </row>
    <row r="40016" spans="43:43" x14ac:dyDescent="0.2">
      <c r="AQ40016" s="31"/>
    </row>
    <row r="40017" spans="43:43" x14ac:dyDescent="0.2">
      <c r="AQ40017" s="31"/>
    </row>
    <row r="40018" spans="43:43" x14ac:dyDescent="0.2">
      <c r="AQ40018" s="31"/>
    </row>
    <row r="40019" spans="43:43" x14ac:dyDescent="0.2">
      <c r="AQ40019" s="31"/>
    </row>
    <row r="40020" spans="43:43" x14ac:dyDescent="0.2">
      <c r="AQ40020" s="31"/>
    </row>
    <row r="40021" spans="43:43" x14ac:dyDescent="0.2">
      <c r="AQ40021" s="31"/>
    </row>
    <row r="40022" spans="43:43" x14ac:dyDescent="0.2">
      <c r="AQ40022" s="31"/>
    </row>
    <row r="40023" spans="43:43" x14ac:dyDescent="0.2">
      <c r="AQ40023" s="31"/>
    </row>
    <row r="40024" spans="43:43" x14ac:dyDescent="0.2">
      <c r="AQ40024" s="31"/>
    </row>
    <row r="40025" spans="43:43" x14ac:dyDescent="0.2">
      <c r="AQ40025" s="31"/>
    </row>
    <row r="40026" spans="43:43" x14ac:dyDescent="0.2">
      <c r="AQ40026" s="31"/>
    </row>
    <row r="40027" spans="43:43" x14ac:dyDescent="0.2">
      <c r="AQ40027" s="31"/>
    </row>
    <row r="40028" spans="43:43" x14ac:dyDescent="0.2">
      <c r="AQ40028" s="31"/>
    </row>
    <row r="40029" spans="43:43" x14ac:dyDescent="0.2">
      <c r="AQ40029" s="31"/>
    </row>
    <row r="40030" spans="43:43" x14ac:dyDescent="0.2">
      <c r="AQ40030" s="31"/>
    </row>
    <row r="40031" spans="43:43" x14ac:dyDescent="0.2">
      <c r="AQ40031" s="31"/>
    </row>
    <row r="40032" spans="43:43" x14ac:dyDescent="0.2">
      <c r="AQ40032" s="31"/>
    </row>
    <row r="40033" spans="43:43" x14ac:dyDescent="0.2">
      <c r="AQ40033" s="31"/>
    </row>
    <row r="40034" spans="43:43" x14ac:dyDescent="0.2">
      <c r="AQ40034" s="31"/>
    </row>
    <row r="40035" spans="43:43" x14ac:dyDescent="0.2">
      <c r="AQ40035" s="31"/>
    </row>
    <row r="40036" spans="43:43" x14ac:dyDescent="0.2">
      <c r="AQ40036" s="31"/>
    </row>
    <row r="40037" spans="43:43" x14ac:dyDescent="0.2">
      <c r="AQ40037" s="31"/>
    </row>
    <row r="40038" spans="43:43" x14ac:dyDescent="0.2">
      <c r="AQ40038" s="31"/>
    </row>
    <row r="40039" spans="43:43" x14ac:dyDescent="0.2">
      <c r="AQ40039" s="31"/>
    </row>
    <row r="40040" spans="43:43" x14ac:dyDescent="0.2">
      <c r="AQ40040" s="31"/>
    </row>
    <row r="40041" spans="43:43" x14ac:dyDescent="0.2">
      <c r="AQ40041" s="31"/>
    </row>
    <row r="40042" spans="43:43" x14ac:dyDescent="0.2">
      <c r="AQ40042" s="31"/>
    </row>
    <row r="40043" spans="43:43" x14ac:dyDescent="0.2">
      <c r="AQ40043" s="31"/>
    </row>
    <row r="40044" spans="43:43" x14ac:dyDescent="0.2">
      <c r="AQ40044" s="31"/>
    </row>
    <row r="40045" spans="43:43" x14ac:dyDescent="0.2">
      <c r="AQ40045" s="31"/>
    </row>
    <row r="40046" spans="43:43" x14ac:dyDescent="0.2">
      <c r="AQ40046" s="31"/>
    </row>
    <row r="40047" spans="43:43" x14ac:dyDescent="0.2">
      <c r="AQ40047" s="31"/>
    </row>
    <row r="40048" spans="43:43" x14ac:dyDescent="0.2">
      <c r="AQ40048" s="31"/>
    </row>
    <row r="40049" spans="43:43" x14ac:dyDescent="0.2">
      <c r="AQ40049" s="31"/>
    </row>
    <row r="40050" spans="43:43" x14ac:dyDescent="0.2">
      <c r="AQ40050" s="31"/>
    </row>
    <row r="40051" spans="43:43" x14ac:dyDescent="0.2">
      <c r="AQ40051" s="31"/>
    </row>
    <row r="40052" spans="43:43" x14ac:dyDescent="0.2">
      <c r="AQ40052" s="31"/>
    </row>
    <row r="40053" spans="43:43" x14ac:dyDescent="0.2">
      <c r="AQ40053" s="31"/>
    </row>
    <row r="40054" spans="43:43" x14ac:dyDescent="0.2">
      <c r="AQ40054" s="31"/>
    </row>
    <row r="40055" spans="43:43" x14ac:dyDescent="0.2">
      <c r="AQ40055" s="31"/>
    </row>
    <row r="40056" spans="43:43" x14ac:dyDescent="0.2">
      <c r="AQ40056" s="31"/>
    </row>
    <row r="40057" spans="43:43" x14ac:dyDescent="0.2">
      <c r="AQ40057" s="31"/>
    </row>
    <row r="40058" spans="43:43" x14ac:dyDescent="0.2">
      <c r="AQ40058" s="31"/>
    </row>
    <row r="40059" spans="43:43" x14ac:dyDescent="0.2">
      <c r="AQ40059" s="31"/>
    </row>
    <row r="40060" spans="43:43" x14ac:dyDescent="0.2">
      <c r="AQ40060" s="31"/>
    </row>
    <row r="40061" spans="43:43" x14ac:dyDescent="0.2">
      <c r="AQ40061" s="31"/>
    </row>
    <row r="40062" spans="43:43" x14ac:dyDescent="0.2">
      <c r="AQ40062" s="31"/>
    </row>
    <row r="40063" spans="43:43" x14ac:dyDescent="0.2">
      <c r="AQ40063" s="31"/>
    </row>
    <row r="40064" spans="43:43" x14ac:dyDescent="0.2">
      <c r="AQ40064" s="31"/>
    </row>
    <row r="40065" spans="43:43" x14ac:dyDescent="0.2">
      <c r="AQ40065" s="31"/>
    </row>
    <row r="40066" spans="43:43" x14ac:dyDescent="0.2">
      <c r="AQ40066" s="31"/>
    </row>
    <row r="40067" spans="43:43" x14ac:dyDescent="0.2">
      <c r="AQ40067" s="31"/>
    </row>
    <row r="40068" spans="43:43" x14ac:dyDescent="0.2">
      <c r="AQ40068" s="31"/>
    </row>
    <row r="40069" spans="43:43" x14ac:dyDescent="0.2">
      <c r="AQ40069" s="31"/>
    </row>
    <row r="40070" spans="43:43" x14ac:dyDescent="0.2">
      <c r="AQ40070" s="31"/>
    </row>
    <row r="40071" spans="43:43" x14ac:dyDescent="0.2">
      <c r="AQ40071" s="31"/>
    </row>
    <row r="40072" spans="43:43" x14ac:dyDescent="0.2">
      <c r="AQ40072" s="31"/>
    </row>
    <row r="40073" spans="43:43" x14ac:dyDescent="0.2">
      <c r="AQ40073" s="31"/>
    </row>
    <row r="40074" spans="43:43" x14ac:dyDescent="0.2">
      <c r="AQ40074" s="31"/>
    </row>
    <row r="40075" spans="43:43" x14ac:dyDescent="0.2">
      <c r="AQ40075" s="31"/>
    </row>
    <row r="40076" spans="43:43" x14ac:dyDescent="0.2">
      <c r="AQ40076" s="31"/>
    </row>
    <row r="40077" spans="43:43" x14ac:dyDescent="0.2">
      <c r="AQ40077" s="31"/>
    </row>
    <row r="40078" spans="43:43" x14ac:dyDescent="0.2">
      <c r="AQ40078" s="31"/>
    </row>
    <row r="40079" spans="43:43" x14ac:dyDescent="0.2">
      <c r="AQ40079" s="31"/>
    </row>
    <row r="40080" spans="43:43" x14ac:dyDescent="0.2">
      <c r="AQ40080" s="31"/>
    </row>
    <row r="40081" spans="43:43" x14ac:dyDescent="0.2">
      <c r="AQ40081" s="31"/>
    </row>
    <row r="40082" spans="43:43" x14ac:dyDescent="0.2">
      <c r="AQ40082" s="31"/>
    </row>
    <row r="40083" spans="43:43" x14ac:dyDescent="0.2">
      <c r="AQ40083" s="31"/>
    </row>
    <row r="40084" spans="43:43" x14ac:dyDescent="0.2">
      <c r="AQ40084" s="31"/>
    </row>
    <row r="40085" spans="43:43" x14ac:dyDescent="0.2">
      <c r="AQ40085" s="31"/>
    </row>
    <row r="40086" spans="43:43" x14ac:dyDescent="0.2">
      <c r="AQ40086" s="31"/>
    </row>
    <row r="40087" spans="43:43" x14ac:dyDescent="0.2">
      <c r="AQ40087" s="31"/>
    </row>
    <row r="40088" spans="43:43" x14ac:dyDescent="0.2">
      <c r="AQ40088" s="31"/>
    </row>
    <row r="40089" spans="43:43" x14ac:dyDescent="0.2">
      <c r="AQ40089" s="31"/>
    </row>
    <row r="40090" spans="43:43" x14ac:dyDescent="0.2">
      <c r="AQ40090" s="31"/>
    </row>
    <row r="40091" spans="43:43" x14ac:dyDescent="0.2">
      <c r="AQ40091" s="31"/>
    </row>
    <row r="40092" spans="43:43" x14ac:dyDescent="0.2">
      <c r="AQ40092" s="31"/>
    </row>
    <row r="40093" spans="43:43" x14ac:dyDescent="0.2">
      <c r="AQ40093" s="31"/>
    </row>
    <row r="40094" spans="43:43" x14ac:dyDescent="0.2">
      <c r="AQ40094" s="31"/>
    </row>
    <row r="40095" spans="43:43" x14ac:dyDescent="0.2">
      <c r="AQ40095" s="31"/>
    </row>
    <row r="40096" spans="43:43" x14ac:dyDescent="0.2">
      <c r="AQ40096" s="31"/>
    </row>
    <row r="40097" spans="43:43" x14ac:dyDescent="0.2">
      <c r="AQ40097" s="31"/>
    </row>
    <row r="40098" spans="43:43" x14ac:dyDescent="0.2">
      <c r="AQ40098" s="31"/>
    </row>
    <row r="40099" spans="43:43" x14ac:dyDescent="0.2">
      <c r="AQ40099" s="31"/>
    </row>
    <row r="40100" spans="43:43" x14ac:dyDescent="0.2">
      <c r="AQ40100" s="31"/>
    </row>
    <row r="40101" spans="43:43" x14ac:dyDescent="0.2">
      <c r="AQ40101" s="31"/>
    </row>
    <row r="40102" spans="43:43" x14ac:dyDescent="0.2">
      <c r="AQ40102" s="31"/>
    </row>
    <row r="40103" spans="43:43" x14ac:dyDescent="0.2">
      <c r="AQ40103" s="31"/>
    </row>
    <row r="40104" spans="43:43" x14ac:dyDescent="0.2">
      <c r="AQ40104" s="31"/>
    </row>
    <row r="40105" spans="43:43" x14ac:dyDescent="0.2">
      <c r="AQ40105" s="31"/>
    </row>
    <row r="40106" spans="43:43" x14ac:dyDescent="0.2">
      <c r="AQ40106" s="31"/>
    </row>
    <row r="40107" spans="43:43" x14ac:dyDescent="0.2">
      <c r="AQ40107" s="31"/>
    </row>
    <row r="40108" spans="43:43" x14ac:dyDescent="0.2">
      <c r="AQ40108" s="31"/>
    </row>
    <row r="40109" spans="43:43" x14ac:dyDescent="0.2">
      <c r="AQ40109" s="31"/>
    </row>
    <row r="40110" spans="43:43" x14ac:dyDescent="0.2">
      <c r="AQ40110" s="31"/>
    </row>
    <row r="40111" spans="43:43" x14ac:dyDescent="0.2">
      <c r="AQ40111" s="31"/>
    </row>
    <row r="40112" spans="43:43" x14ac:dyDescent="0.2">
      <c r="AQ40112" s="31"/>
    </row>
    <row r="40113" spans="43:43" x14ac:dyDescent="0.2">
      <c r="AQ40113" s="31"/>
    </row>
    <row r="40114" spans="43:43" x14ac:dyDescent="0.2">
      <c r="AQ40114" s="31"/>
    </row>
    <row r="40115" spans="43:43" x14ac:dyDescent="0.2">
      <c r="AQ40115" s="31"/>
    </row>
    <row r="40116" spans="43:43" x14ac:dyDescent="0.2">
      <c r="AQ40116" s="31"/>
    </row>
    <row r="40117" spans="43:43" x14ac:dyDescent="0.2">
      <c r="AQ40117" s="31"/>
    </row>
    <row r="40118" spans="43:43" x14ac:dyDescent="0.2">
      <c r="AQ40118" s="31"/>
    </row>
    <row r="40119" spans="43:43" x14ac:dyDescent="0.2">
      <c r="AQ40119" s="31"/>
    </row>
    <row r="40120" spans="43:43" x14ac:dyDescent="0.2">
      <c r="AQ40120" s="31"/>
    </row>
    <row r="40121" spans="43:43" x14ac:dyDescent="0.2">
      <c r="AQ40121" s="31"/>
    </row>
    <row r="40122" spans="43:43" x14ac:dyDescent="0.2">
      <c r="AQ40122" s="31"/>
    </row>
    <row r="40123" spans="43:43" x14ac:dyDescent="0.2">
      <c r="AQ40123" s="31"/>
    </row>
    <row r="40124" spans="43:43" x14ac:dyDescent="0.2">
      <c r="AQ40124" s="31"/>
    </row>
    <row r="40125" spans="43:43" x14ac:dyDescent="0.2">
      <c r="AQ40125" s="31"/>
    </row>
    <row r="40126" spans="43:43" x14ac:dyDescent="0.2">
      <c r="AQ40126" s="31"/>
    </row>
    <row r="40127" spans="43:43" x14ac:dyDescent="0.2">
      <c r="AQ40127" s="31"/>
    </row>
    <row r="40128" spans="43:43" x14ac:dyDescent="0.2">
      <c r="AQ40128" s="31"/>
    </row>
    <row r="40129" spans="43:43" x14ac:dyDescent="0.2">
      <c r="AQ40129" s="31"/>
    </row>
    <row r="40130" spans="43:43" x14ac:dyDescent="0.2">
      <c r="AQ40130" s="31"/>
    </row>
    <row r="40131" spans="43:43" x14ac:dyDescent="0.2">
      <c r="AQ40131" s="31"/>
    </row>
    <row r="40132" spans="43:43" x14ac:dyDescent="0.2">
      <c r="AQ40132" s="31"/>
    </row>
    <row r="40133" spans="43:43" x14ac:dyDescent="0.2">
      <c r="AQ40133" s="31"/>
    </row>
    <row r="40134" spans="43:43" x14ac:dyDescent="0.2">
      <c r="AQ40134" s="31"/>
    </row>
    <row r="40135" spans="43:43" x14ac:dyDescent="0.2">
      <c r="AQ40135" s="31"/>
    </row>
    <row r="40136" spans="43:43" x14ac:dyDescent="0.2">
      <c r="AQ40136" s="31"/>
    </row>
    <row r="40137" spans="43:43" x14ac:dyDescent="0.2">
      <c r="AQ40137" s="31"/>
    </row>
    <row r="40138" spans="43:43" x14ac:dyDescent="0.2">
      <c r="AQ40138" s="31"/>
    </row>
    <row r="40139" spans="43:43" x14ac:dyDescent="0.2">
      <c r="AQ40139" s="31"/>
    </row>
    <row r="40140" spans="43:43" x14ac:dyDescent="0.2">
      <c r="AQ40140" s="31"/>
    </row>
    <row r="40141" spans="43:43" x14ac:dyDescent="0.2">
      <c r="AQ40141" s="31"/>
    </row>
    <row r="40142" spans="43:43" x14ac:dyDescent="0.2">
      <c r="AQ40142" s="31"/>
    </row>
    <row r="40143" spans="43:43" x14ac:dyDescent="0.2">
      <c r="AQ40143" s="31"/>
    </row>
    <row r="40144" spans="43:43" x14ac:dyDescent="0.2">
      <c r="AQ40144" s="31"/>
    </row>
    <row r="40145" spans="43:43" x14ac:dyDescent="0.2">
      <c r="AQ40145" s="31"/>
    </row>
    <row r="40146" spans="43:43" x14ac:dyDescent="0.2">
      <c r="AQ40146" s="31"/>
    </row>
    <row r="40147" spans="43:43" x14ac:dyDescent="0.2">
      <c r="AQ40147" s="31"/>
    </row>
    <row r="40148" spans="43:43" x14ac:dyDescent="0.2">
      <c r="AQ40148" s="31"/>
    </row>
    <row r="40149" spans="43:43" x14ac:dyDescent="0.2">
      <c r="AQ40149" s="31"/>
    </row>
    <row r="40150" spans="43:43" x14ac:dyDescent="0.2">
      <c r="AQ40150" s="31"/>
    </row>
    <row r="40151" spans="43:43" x14ac:dyDescent="0.2">
      <c r="AQ40151" s="31"/>
    </row>
    <row r="40152" spans="43:43" x14ac:dyDescent="0.2">
      <c r="AQ40152" s="31"/>
    </row>
    <row r="40153" spans="43:43" x14ac:dyDescent="0.2">
      <c r="AQ40153" s="31"/>
    </row>
    <row r="40154" spans="43:43" x14ac:dyDescent="0.2">
      <c r="AQ40154" s="31"/>
    </row>
    <row r="40155" spans="43:43" x14ac:dyDescent="0.2">
      <c r="AQ40155" s="31"/>
    </row>
    <row r="40156" spans="43:43" x14ac:dyDescent="0.2">
      <c r="AQ40156" s="31"/>
    </row>
    <row r="40157" spans="43:43" x14ac:dyDescent="0.2">
      <c r="AQ40157" s="31"/>
    </row>
    <row r="40158" spans="43:43" x14ac:dyDescent="0.2">
      <c r="AQ40158" s="31"/>
    </row>
    <row r="40159" spans="43:43" x14ac:dyDescent="0.2">
      <c r="AQ40159" s="31"/>
    </row>
    <row r="40160" spans="43:43" x14ac:dyDescent="0.2">
      <c r="AQ40160" s="31"/>
    </row>
    <row r="40161" spans="43:43" x14ac:dyDescent="0.2">
      <c r="AQ40161" s="31"/>
    </row>
    <row r="40162" spans="43:43" x14ac:dyDescent="0.2">
      <c r="AQ40162" s="31"/>
    </row>
    <row r="40163" spans="43:43" x14ac:dyDescent="0.2">
      <c r="AQ40163" s="31"/>
    </row>
    <row r="40164" spans="43:43" x14ac:dyDescent="0.2">
      <c r="AQ40164" s="31"/>
    </row>
    <row r="40165" spans="43:43" x14ac:dyDescent="0.2">
      <c r="AQ40165" s="31"/>
    </row>
    <row r="40166" spans="43:43" x14ac:dyDescent="0.2">
      <c r="AQ40166" s="31"/>
    </row>
    <row r="40167" spans="43:43" x14ac:dyDescent="0.2">
      <c r="AQ40167" s="31"/>
    </row>
    <row r="40168" spans="43:43" x14ac:dyDescent="0.2">
      <c r="AQ40168" s="31"/>
    </row>
    <row r="40169" spans="43:43" x14ac:dyDescent="0.2">
      <c r="AQ40169" s="31"/>
    </row>
    <row r="40170" spans="43:43" x14ac:dyDescent="0.2">
      <c r="AQ40170" s="31"/>
    </row>
    <row r="40171" spans="43:43" x14ac:dyDescent="0.2">
      <c r="AQ40171" s="31"/>
    </row>
    <row r="40172" spans="43:43" x14ac:dyDescent="0.2">
      <c r="AQ40172" s="31"/>
    </row>
    <row r="40173" spans="43:43" x14ac:dyDescent="0.2">
      <c r="AQ40173" s="31"/>
    </row>
    <row r="40174" spans="43:43" x14ac:dyDescent="0.2">
      <c r="AQ40174" s="31"/>
    </row>
    <row r="40175" spans="43:43" x14ac:dyDescent="0.2">
      <c r="AQ40175" s="31"/>
    </row>
    <row r="40176" spans="43:43" x14ac:dyDescent="0.2">
      <c r="AQ40176" s="31"/>
    </row>
    <row r="40177" spans="43:43" x14ac:dyDescent="0.2">
      <c r="AQ40177" s="31"/>
    </row>
    <row r="40178" spans="43:43" x14ac:dyDescent="0.2">
      <c r="AQ40178" s="31"/>
    </row>
    <row r="40179" spans="43:43" x14ac:dyDescent="0.2">
      <c r="AQ40179" s="31"/>
    </row>
    <row r="40180" spans="43:43" x14ac:dyDescent="0.2">
      <c r="AQ40180" s="31"/>
    </row>
    <row r="40181" spans="43:43" x14ac:dyDescent="0.2">
      <c r="AQ40181" s="31"/>
    </row>
    <row r="40182" spans="43:43" x14ac:dyDescent="0.2">
      <c r="AQ40182" s="31"/>
    </row>
    <row r="40183" spans="43:43" x14ac:dyDescent="0.2">
      <c r="AQ40183" s="31"/>
    </row>
    <row r="40184" spans="43:43" x14ac:dyDescent="0.2">
      <c r="AQ40184" s="31"/>
    </row>
    <row r="40185" spans="43:43" x14ac:dyDescent="0.2">
      <c r="AQ40185" s="31"/>
    </row>
    <row r="40186" spans="43:43" x14ac:dyDescent="0.2">
      <c r="AQ40186" s="31"/>
    </row>
    <row r="40187" spans="43:43" x14ac:dyDescent="0.2">
      <c r="AQ40187" s="31"/>
    </row>
    <row r="40188" spans="43:43" x14ac:dyDescent="0.2">
      <c r="AQ40188" s="31"/>
    </row>
    <row r="40189" spans="43:43" x14ac:dyDescent="0.2">
      <c r="AQ40189" s="31"/>
    </row>
    <row r="40190" spans="43:43" x14ac:dyDescent="0.2">
      <c r="AQ40190" s="31"/>
    </row>
    <row r="40191" spans="43:43" x14ac:dyDescent="0.2">
      <c r="AQ40191" s="31"/>
    </row>
    <row r="40192" spans="43:43" x14ac:dyDescent="0.2">
      <c r="AQ40192" s="31"/>
    </row>
    <row r="40193" spans="43:43" x14ac:dyDescent="0.2">
      <c r="AQ40193" s="31"/>
    </row>
    <row r="40194" spans="43:43" x14ac:dyDescent="0.2">
      <c r="AQ40194" s="31"/>
    </row>
    <row r="40195" spans="43:43" x14ac:dyDescent="0.2">
      <c r="AQ40195" s="31"/>
    </row>
    <row r="40196" spans="43:43" x14ac:dyDescent="0.2">
      <c r="AQ40196" s="31"/>
    </row>
    <row r="40197" spans="43:43" x14ac:dyDescent="0.2">
      <c r="AQ40197" s="31"/>
    </row>
    <row r="40198" spans="43:43" x14ac:dyDescent="0.2">
      <c r="AQ40198" s="31"/>
    </row>
    <row r="40199" spans="43:43" x14ac:dyDescent="0.2">
      <c r="AQ40199" s="31"/>
    </row>
    <row r="40200" spans="43:43" x14ac:dyDescent="0.2">
      <c r="AQ40200" s="31"/>
    </row>
    <row r="40201" spans="43:43" x14ac:dyDescent="0.2">
      <c r="AQ40201" s="31"/>
    </row>
    <row r="40202" spans="43:43" x14ac:dyDescent="0.2">
      <c r="AQ40202" s="31"/>
    </row>
    <row r="40203" spans="43:43" x14ac:dyDescent="0.2">
      <c r="AQ40203" s="31"/>
    </row>
    <row r="40204" spans="43:43" x14ac:dyDescent="0.2">
      <c r="AQ40204" s="31"/>
    </row>
    <row r="40205" spans="43:43" x14ac:dyDescent="0.2">
      <c r="AQ40205" s="31"/>
    </row>
    <row r="40206" spans="43:43" x14ac:dyDescent="0.2">
      <c r="AQ40206" s="31"/>
    </row>
    <row r="40207" spans="43:43" x14ac:dyDescent="0.2">
      <c r="AQ40207" s="31"/>
    </row>
    <row r="40208" spans="43:43" x14ac:dyDescent="0.2">
      <c r="AQ40208" s="31"/>
    </row>
    <row r="40209" spans="43:43" x14ac:dyDescent="0.2">
      <c r="AQ40209" s="31"/>
    </row>
    <row r="40210" spans="43:43" x14ac:dyDescent="0.2">
      <c r="AQ40210" s="31"/>
    </row>
    <row r="40211" spans="43:43" x14ac:dyDescent="0.2">
      <c r="AQ40211" s="31"/>
    </row>
    <row r="40212" spans="43:43" x14ac:dyDescent="0.2">
      <c r="AQ40212" s="31"/>
    </row>
    <row r="40213" spans="43:43" x14ac:dyDescent="0.2">
      <c r="AQ40213" s="31"/>
    </row>
    <row r="40214" spans="43:43" x14ac:dyDescent="0.2">
      <c r="AQ40214" s="31"/>
    </row>
    <row r="40215" spans="43:43" x14ac:dyDescent="0.2">
      <c r="AQ40215" s="31"/>
    </row>
    <row r="40216" spans="43:43" x14ac:dyDescent="0.2">
      <c r="AQ40216" s="31"/>
    </row>
    <row r="40217" spans="43:43" x14ac:dyDescent="0.2">
      <c r="AQ40217" s="31"/>
    </row>
    <row r="40218" spans="43:43" x14ac:dyDescent="0.2">
      <c r="AQ40218" s="31"/>
    </row>
    <row r="40219" spans="43:43" x14ac:dyDescent="0.2">
      <c r="AQ40219" s="31"/>
    </row>
    <row r="40220" spans="43:43" x14ac:dyDescent="0.2">
      <c r="AQ40220" s="31"/>
    </row>
    <row r="40221" spans="43:43" x14ac:dyDescent="0.2">
      <c r="AQ40221" s="31"/>
    </row>
    <row r="40222" spans="43:43" x14ac:dyDescent="0.2">
      <c r="AQ40222" s="31"/>
    </row>
    <row r="40223" spans="43:43" x14ac:dyDescent="0.2">
      <c r="AQ40223" s="31"/>
    </row>
    <row r="40224" spans="43:43" x14ac:dyDescent="0.2">
      <c r="AQ40224" s="31"/>
    </row>
    <row r="40225" spans="43:43" x14ac:dyDescent="0.2">
      <c r="AQ40225" s="31"/>
    </row>
    <row r="40226" spans="43:43" x14ac:dyDescent="0.2">
      <c r="AQ40226" s="31"/>
    </row>
    <row r="40227" spans="43:43" x14ac:dyDescent="0.2">
      <c r="AQ40227" s="31"/>
    </row>
    <row r="40228" spans="43:43" x14ac:dyDescent="0.2">
      <c r="AQ40228" s="31"/>
    </row>
    <row r="40229" spans="43:43" x14ac:dyDescent="0.2">
      <c r="AQ40229" s="31"/>
    </row>
    <row r="40230" spans="43:43" x14ac:dyDescent="0.2">
      <c r="AQ40230" s="31"/>
    </row>
    <row r="40231" spans="43:43" x14ac:dyDescent="0.2">
      <c r="AQ40231" s="31"/>
    </row>
    <row r="40232" spans="43:43" x14ac:dyDescent="0.2">
      <c r="AQ40232" s="31"/>
    </row>
    <row r="40233" spans="43:43" x14ac:dyDescent="0.2">
      <c r="AQ40233" s="31"/>
    </row>
    <row r="40234" spans="43:43" x14ac:dyDescent="0.2">
      <c r="AQ40234" s="31"/>
    </row>
    <row r="40235" spans="43:43" x14ac:dyDescent="0.2">
      <c r="AQ40235" s="31"/>
    </row>
    <row r="40236" spans="43:43" x14ac:dyDescent="0.2">
      <c r="AQ40236" s="31"/>
    </row>
    <row r="40237" spans="43:43" x14ac:dyDescent="0.2">
      <c r="AQ40237" s="31"/>
    </row>
    <row r="40238" spans="43:43" x14ac:dyDescent="0.2">
      <c r="AQ40238" s="31"/>
    </row>
    <row r="40239" spans="43:43" x14ac:dyDescent="0.2">
      <c r="AQ40239" s="31"/>
    </row>
    <row r="40240" spans="43:43" x14ac:dyDescent="0.2">
      <c r="AQ40240" s="31"/>
    </row>
    <row r="40241" spans="43:43" x14ac:dyDescent="0.2">
      <c r="AQ40241" s="31"/>
    </row>
    <row r="40242" spans="43:43" x14ac:dyDescent="0.2">
      <c r="AQ40242" s="31"/>
    </row>
    <row r="40243" spans="43:43" x14ac:dyDescent="0.2">
      <c r="AQ40243" s="31"/>
    </row>
    <row r="40244" spans="43:43" x14ac:dyDescent="0.2">
      <c r="AQ40244" s="31"/>
    </row>
    <row r="40245" spans="43:43" x14ac:dyDescent="0.2">
      <c r="AQ40245" s="31"/>
    </row>
    <row r="40246" spans="43:43" x14ac:dyDescent="0.2">
      <c r="AQ40246" s="31"/>
    </row>
    <row r="40247" spans="43:43" x14ac:dyDescent="0.2">
      <c r="AQ40247" s="31"/>
    </row>
    <row r="40248" spans="43:43" x14ac:dyDescent="0.2">
      <c r="AQ40248" s="31"/>
    </row>
    <row r="40249" spans="43:43" x14ac:dyDescent="0.2">
      <c r="AQ40249" s="31"/>
    </row>
    <row r="40250" spans="43:43" x14ac:dyDescent="0.2">
      <c r="AQ40250" s="31"/>
    </row>
    <row r="40251" spans="43:43" x14ac:dyDescent="0.2">
      <c r="AQ40251" s="31"/>
    </row>
    <row r="40252" spans="43:43" x14ac:dyDescent="0.2">
      <c r="AQ40252" s="31"/>
    </row>
    <row r="40253" spans="43:43" x14ac:dyDescent="0.2">
      <c r="AQ40253" s="31"/>
    </row>
    <row r="40254" spans="43:43" x14ac:dyDescent="0.2">
      <c r="AQ40254" s="31"/>
    </row>
    <row r="40255" spans="43:43" x14ac:dyDescent="0.2">
      <c r="AQ40255" s="31"/>
    </row>
    <row r="40256" spans="43:43" x14ac:dyDescent="0.2">
      <c r="AQ40256" s="31"/>
    </row>
    <row r="40257" spans="43:43" x14ac:dyDescent="0.2">
      <c r="AQ40257" s="31"/>
    </row>
    <row r="40258" spans="43:43" x14ac:dyDescent="0.2">
      <c r="AQ40258" s="31"/>
    </row>
    <row r="40259" spans="43:43" x14ac:dyDescent="0.2">
      <c r="AQ40259" s="31"/>
    </row>
    <row r="40260" spans="43:43" x14ac:dyDescent="0.2">
      <c r="AQ40260" s="31"/>
    </row>
    <row r="40261" spans="43:43" x14ac:dyDescent="0.2">
      <c r="AQ40261" s="31"/>
    </row>
    <row r="40262" spans="43:43" x14ac:dyDescent="0.2">
      <c r="AQ40262" s="31"/>
    </row>
    <row r="40263" spans="43:43" x14ac:dyDescent="0.2">
      <c r="AQ40263" s="31"/>
    </row>
    <row r="40264" spans="43:43" x14ac:dyDescent="0.2">
      <c r="AQ40264" s="31"/>
    </row>
    <row r="40265" spans="43:43" x14ac:dyDescent="0.2">
      <c r="AQ40265" s="31"/>
    </row>
    <row r="40266" spans="43:43" x14ac:dyDescent="0.2">
      <c r="AQ40266" s="31"/>
    </row>
    <row r="40267" spans="43:43" x14ac:dyDescent="0.2">
      <c r="AQ40267" s="31"/>
    </row>
    <row r="40268" spans="43:43" x14ac:dyDescent="0.2">
      <c r="AQ40268" s="31"/>
    </row>
    <row r="40269" spans="43:43" x14ac:dyDescent="0.2">
      <c r="AQ40269" s="31"/>
    </row>
    <row r="40270" spans="43:43" x14ac:dyDescent="0.2">
      <c r="AQ40270" s="31"/>
    </row>
    <row r="40271" spans="43:43" x14ac:dyDescent="0.2">
      <c r="AQ40271" s="31"/>
    </row>
    <row r="40272" spans="43:43" x14ac:dyDescent="0.2">
      <c r="AQ40272" s="31"/>
    </row>
    <row r="40273" spans="43:43" x14ac:dyDescent="0.2">
      <c r="AQ40273" s="31"/>
    </row>
    <row r="40274" spans="43:43" x14ac:dyDescent="0.2">
      <c r="AQ40274" s="31"/>
    </row>
    <row r="40275" spans="43:43" x14ac:dyDescent="0.2">
      <c r="AQ40275" s="31"/>
    </row>
    <row r="40276" spans="43:43" x14ac:dyDescent="0.2">
      <c r="AQ40276" s="31"/>
    </row>
    <row r="40277" spans="43:43" x14ac:dyDescent="0.2">
      <c r="AQ40277" s="31"/>
    </row>
    <row r="40278" spans="43:43" x14ac:dyDescent="0.2">
      <c r="AQ40278" s="31"/>
    </row>
    <row r="40279" spans="43:43" x14ac:dyDescent="0.2">
      <c r="AQ40279" s="31"/>
    </row>
    <row r="40280" spans="43:43" x14ac:dyDescent="0.2">
      <c r="AQ40280" s="31"/>
    </row>
    <row r="40281" spans="43:43" x14ac:dyDescent="0.2">
      <c r="AQ40281" s="31"/>
    </row>
    <row r="40282" spans="43:43" x14ac:dyDescent="0.2">
      <c r="AQ40282" s="31"/>
    </row>
    <row r="40283" spans="43:43" x14ac:dyDescent="0.2">
      <c r="AQ40283" s="31"/>
    </row>
    <row r="40284" spans="43:43" x14ac:dyDescent="0.2">
      <c r="AQ40284" s="31"/>
    </row>
    <row r="40285" spans="43:43" x14ac:dyDescent="0.2">
      <c r="AQ40285" s="31"/>
    </row>
    <row r="40286" spans="43:43" x14ac:dyDescent="0.2">
      <c r="AQ40286" s="31"/>
    </row>
    <row r="40287" spans="43:43" x14ac:dyDescent="0.2">
      <c r="AQ40287" s="31"/>
    </row>
    <row r="40288" spans="43:43" x14ac:dyDescent="0.2">
      <c r="AQ40288" s="31"/>
    </row>
    <row r="40289" spans="43:43" x14ac:dyDescent="0.2">
      <c r="AQ40289" s="31"/>
    </row>
    <row r="40290" spans="43:43" x14ac:dyDescent="0.2">
      <c r="AQ40290" s="31"/>
    </row>
    <row r="40291" spans="43:43" x14ac:dyDescent="0.2">
      <c r="AQ40291" s="31"/>
    </row>
    <row r="40292" spans="43:43" x14ac:dyDescent="0.2">
      <c r="AQ40292" s="31"/>
    </row>
    <row r="40293" spans="43:43" x14ac:dyDescent="0.2">
      <c r="AQ40293" s="31"/>
    </row>
    <row r="40294" spans="43:43" x14ac:dyDescent="0.2">
      <c r="AQ40294" s="31"/>
    </row>
    <row r="40295" spans="43:43" x14ac:dyDescent="0.2">
      <c r="AQ40295" s="31"/>
    </row>
    <row r="40296" spans="43:43" x14ac:dyDescent="0.2">
      <c r="AQ40296" s="31"/>
    </row>
    <row r="40297" spans="43:43" x14ac:dyDescent="0.2">
      <c r="AQ40297" s="31"/>
    </row>
    <row r="40298" spans="43:43" x14ac:dyDescent="0.2">
      <c r="AQ40298" s="31"/>
    </row>
    <row r="40299" spans="43:43" x14ac:dyDescent="0.2">
      <c r="AQ40299" s="31"/>
    </row>
    <row r="40300" spans="43:43" x14ac:dyDescent="0.2">
      <c r="AQ40300" s="31"/>
    </row>
    <row r="40301" spans="43:43" x14ac:dyDescent="0.2">
      <c r="AQ40301" s="31"/>
    </row>
    <row r="40302" spans="43:43" x14ac:dyDescent="0.2">
      <c r="AQ40302" s="31"/>
    </row>
    <row r="40303" spans="43:43" x14ac:dyDescent="0.2">
      <c r="AQ40303" s="31"/>
    </row>
    <row r="40304" spans="43:43" x14ac:dyDescent="0.2">
      <c r="AQ40304" s="31"/>
    </row>
    <row r="40305" spans="43:43" x14ac:dyDescent="0.2">
      <c r="AQ40305" s="31"/>
    </row>
    <row r="40306" spans="43:43" x14ac:dyDescent="0.2">
      <c r="AQ40306" s="31"/>
    </row>
    <row r="40307" spans="43:43" x14ac:dyDescent="0.2">
      <c r="AQ40307" s="31"/>
    </row>
    <row r="40308" spans="43:43" x14ac:dyDescent="0.2">
      <c r="AQ40308" s="31"/>
    </row>
    <row r="40309" spans="43:43" x14ac:dyDescent="0.2">
      <c r="AQ40309" s="31"/>
    </row>
    <row r="40310" spans="43:43" x14ac:dyDescent="0.2">
      <c r="AQ40310" s="31"/>
    </row>
    <row r="40311" spans="43:43" x14ac:dyDescent="0.2">
      <c r="AQ40311" s="31"/>
    </row>
    <row r="40312" spans="43:43" x14ac:dyDescent="0.2">
      <c r="AQ40312" s="31"/>
    </row>
    <row r="40313" spans="43:43" x14ac:dyDescent="0.2">
      <c r="AQ40313" s="31"/>
    </row>
    <row r="40314" spans="43:43" x14ac:dyDescent="0.2">
      <c r="AQ40314" s="31"/>
    </row>
    <row r="40315" spans="43:43" x14ac:dyDescent="0.2">
      <c r="AQ40315" s="31"/>
    </row>
    <row r="40316" spans="43:43" x14ac:dyDescent="0.2">
      <c r="AQ40316" s="31"/>
    </row>
    <row r="40317" spans="43:43" x14ac:dyDescent="0.2">
      <c r="AQ40317" s="31"/>
    </row>
    <row r="40318" spans="43:43" x14ac:dyDescent="0.2">
      <c r="AQ40318" s="31"/>
    </row>
    <row r="40319" spans="43:43" x14ac:dyDescent="0.2">
      <c r="AQ40319" s="31"/>
    </row>
    <row r="40320" spans="43:43" x14ac:dyDescent="0.2">
      <c r="AQ40320" s="31"/>
    </row>
    <row r="40321" spans="43:43" x14ac:dyDescent="0.2">
      <c r="AQ40321" s="31"/>
    </row>
    <row r="40322" spans="43:43" x14ac:dyDescent="0.2">
      <c r="AQ40322" s="31"/>
    </row>
    <row r="40323" spans="43:43" x14ac:dyDescent="0.2">
      <c r="AQ40323" s="31"/>
    </row>
    <row r="40324" spans="43:43" x14ac:dyDescent="0.2">
      <c r="AQ40324" s="31"/>
    </row>
    <row r="40325" spans="43:43" x14ac:dyDescent="0.2">
      <c r="AQ40325" s="31"/>
    </row>
    <row r="40326" spans="43:43" x14ac:dyDescent="0.2">
      <c r="AQ40326" s="31"/>
    </row>
    <row r="40327" spans="43:43" x14ac:dyDescent="0.2">
      <c r="AQ40327" s="31"/>
    </row>
    <row r="40328" spans="43:43" x14ac:dyDescent="0.2">
      <c r="AQ40328" s="31"/>
    </row>
    <row r="40329" spans="43:43" x14ac:dyDescent="0.2">
      <c r="AQ40329" s="31"/>
    </row>
    <row r="40330" spans="43:43" x14ac:dyDescent="0.2">
      <c r="AQ40330" s="31"/>
    </row>
    <row r="40331" spans="43:43" x14ac:dyDescent="0.2">
      <c r="AQ40331" s="31"/>
    </row>
    <row r="40332" spans="43:43" x14ac:dyDescent="0.2">
      <c r="AQ40332" s="31"/>
    </row>
    <row r="40333" spans="43:43" x14ac:dyDescent="0.2">
      <c r="AQ40333" s="31"/>
    </row>
    <row r="40334" spans="43:43" x14ac:dyDescent="0.2">
      <c r="AQ40334" s="31"/>
    </row>
    <row r="40335" spans="43:43" x14ac:dyDescent="0.2">
      <c r="AQ40335" s="31"/>
    </row>
    <row r="40336" spans="43:43" x14ac:dyDescent="0.2">
      <c r="AQ40336" s="31"/>
    </row>
    <row r="40337" spans="43:43" x14ac:dyDescent="0.2">
      <c r="AQ40337" s="31"/>
    </row>
    <row r="40338" spans="43:43" x14ac:dyDescent="0.2">
      <c r="AQ40338" s="31"/>
    </row>
    <row r="40339" spans="43:43" x14ac:dyDescent="0.2">
      <c r="AQ40339" s="31"/>
    </row>
    <row r="40340" spans="43:43" x14ac:dyDescent="0.2">
      <c r="AQ40340" s="31"/>
    </row>
    <row r="40341" spans="43:43" x14ac:dyDescent="0.2">
      <c r="AQ40341" s="31"/>
    </row>
    <row r="40342" spans="43:43" x14ac:dyDescent="0.2">
      <c r="AQ40342" s="31"/>
    </row>
    <row r="40343" spans="43:43" x14ac:dyDescent="0.2">
      <c r="AQ40343" s="31"/>
    </row>
    <row r="40344" spans="43:43" x14ac:dyDescent="0.2">
      <c r="AQ40344" s="31"/>
    </row>
    <row r="40345" spans="43:43" x14ac:dyDescent="0.2">
      <c r="AQ40345" s="31"/>
    </row>
    <row r="40346" spans="43:43" x14ac:dyDescent="0.2">
      <c r="AQ40346" s="31"/>
    </row>
    <row r="40347" spans="43:43" x14ac:dyDescent="0.2">
      <c r="AQ40347" s="31"/>
    </row>
    <row r="40348" spans="43:43" x14ac:dyDescent="0.2">
      <c r="AQ40348" s="31"/>
    </row>
    <row r="40349" spans="43:43" x14ac:dyDescent="0.2">
      <c r="AQ40349" s="31"/>
    </row>
    <row r="40350" spans="43:43" x14ac:dyDescent="0.2">
      <c r="AQ40350" s="31"/>
    </row>
    <row r="40351" spans="43:43" x14ac:dyDescent="0.2">
      <c r="AQ40351" s="31"/>
    </row>
    <row r="40352" spans="43:43" x14ac:dyDescent="0.2">
      <c r="AQ40352" s="31"/>
    </row>
    <row r="40353" spans="43:43" x14ac:dyDescent="0.2">
      <c r="AQ40353" s="31"/>
    </row>
    <row r="40354" spans="43:43" x14ac:dyDescent="0.2">
      <c r="AQ40354" s="31"/>
    </row>
    <row r="40355" spans="43:43" x14ac:dyDescent="0.2">
      <c r="AQ40355" s="31"/>
    </row>
    <row r="40356" spans="43:43" x14ac:dyDescent="0.2">
      <c r="AQ40356" s="31"/>
    </row>
    <row r="40357" spans="43:43" x14ac:dyDescent="0.2">
      <c r="AQ40357" s="31"/>
    </row>
    <row r="40358" spans="43:43" x14ac:dyDescent="0.2">
      <c r="AQ40358" s="31"/>
    </row>
    <row r="40359" spans="43:43" x14ac:dyDescent="0.2">
      <c r="AQ40359" s="31"/>
    </row>
    <row r="40360" spans="43:43" x14ac:dyDescent="0.2">
      <c r="AQ40360" s="31"/>
    </row>
    <row r="40361" spans="43:43" x14ac:dyDescent="0.2">
      <c r="AQ40361" s="31"/>
    </row>
    <row r="40362" spans="43:43" x14ac:dyDescent="0.2">
      <c r="AQ40362" s="31"/>
    </row>
    <row r="40363" spans="43:43" x14ac:dyDescent="0.2">
      <c r="AQ40363" s="31"/>
    </row>
    <row r="40364" spans="43:43" x14ac:dyDescent="0.2">
      <c r="AQ40364" s="31"/>
    </row>
    <row r="40365" spans="43:43" x14ac:dyDescent="0.2">
      <c r="AQ40365" s="31"/>
    </row>
    <row r="40366" spans="43:43" x14ac:dyDescent="0.2">
      <c r="AQ40366" s="31"/>
    </row>
    <row r="40367" spans="43:43" x14ac:dyDescent="0.2">
      <c r="AQ40367" s="31"/>
    </row>
    <row r="40368" spans="43:43" x14ac:dyDescent="0.2">
      <c r="AQ40368" s="31"/>
    </row>
    <row r="40369" spans="43:43" x14ac:dyDescent="0.2">
      <c r="AQ40369" s="31"/>
    </row>
    <row r="40370" spans="43:43" x14ac:dyDescent="0.2">
      <c r="AQ40370" s="31"/>
    </row>
    <row r="40371" spans="43:43" x14ac:dyDescent="0.2">
      <c r="AQ40371" s="31"/>
    </row>
    <row r="40372" spans="43:43" x14ac:dyDescent="0.2">
      <c r="AQ40372" s="31"/>
    </row>
    <row r="40373" spans="43:43" x14ac:dyDescent="0.2">
      <c r="AQ40373" s="31"/>
    </row>
    <row r="40374" spans="43:43" x14ac:dyDescent="0.2">
      <c r="AQ40374" s="31"/>
    </row>
    <row r="40375" spans="43:43" x14ac:dyDescent="0.2">
      <c r="AQ40375" s="31"/>
    </row>
    <row r="40376" spans="43:43" x14ac:dyDescent="0.2">
      <c r="AQ40376" s="31"/>
    </row>
    <row r="40377" spans="43:43" x14ac:dyDescent="0.2">
      <c r="AQ40377" s="31"/>
    </row>
    <row r="40378" spans="43:43" x14ac:dyDescent="0.2">
      <c r="AQ40378" s="31"/>
    </row>
    <row r="40379" spans="43:43" x14ac:dyDescent="0.2">
      <c r="AQ40379" s="31"/>
    </row>
    <row r="40380" spans="43:43" x14ac:dyDescent="0.2">
      <c r="AQ40380" s="31"/>
    </row>
    <row r="40381" spans="43:43" x14ac:dyDescent="0.2">
      <c r="AQ40381" s="31"/>
    </row>
    <row r="40382" spans="43:43" x14ac:dyDescent="0.2">
      <c r="AQ40382" s="31"/>
    </row>
    <row r="40383" spans="43:43" x14ac:dyDescent="0.2">
      <c r="AQ40383" s="31"/>
    </row>
    <row r="40384" spans="43:43" x14ac:dyDescent="0.2">
      <c r="AQ40384" s="31"/>
    </row>
    <row r="40385" spans="43:43" x14ac:dyDescent="0.2">
      <c r="AQ40385" s="31"/>
    </row>
    <row r="40386" spans="43:43" x14ac:dyDescent="0.2">
      <c r="AQ40386" s="31"/>
    </row>
    <row r="40387" spans="43:43" x14ac:dyDescent="0.2">
      <c r="AQ40387" s="31"/>
    </row>
    <row r="40388" spans="43:43" x14ac:dyDescent="0.2">
      <c r="AQ40388" s="31"/>
    </row>
    <row r="40389" spans="43:43" x14ac:dyDescent="0.2">
      <c r="AQ40389" s="31"/>
    </row>
    <row r="40390" spans="43:43" x14ac:dyDescent="0.2">
      <c r="AQ40390" s="31"/>
    </row>
    <row r="40391" spans="43:43" x14ac:dyDescent="0.2">
      <c r="AQ40391" s="31"/>
    </row>
    <row r="40392" spans="43:43" x14ac:dyDescent="0.2">
      <c r="AQ40392" s="31"/>
    </row>
    <row r="40393" spans="43:43" x14ac:dyDescent="0.2">
      <c r="AQ40393" s="31"/>
    </row>
    <row r="40394" spans="43:43" x14ac:dyDescent="0.2">
      <c r="AQ40394" s="31"/>
    </row>
    <row r="40395" spans="43:43" x14ac:dyDescent="0.2">
      <c r="AQ40395" s="31"/>
    </row>
    <row r="40396" spans="43:43" x14ac:dyDescent="0.2">
      <c r="AQ40396" s="31"/>
    </row>
    <row r="40397" spans="43:43" x14ac:dyDescent="0.2">
      <c r="AQ40397" s="31"/>
    </row>
    <row r="40398" spans="43:43" x14ac:dyDescent="0.2">
      <c r="AQ40398" s="31"/>
    </row>
    <row r="40399" spans="43:43" x14ac:dyDescent="0.2">
      <c r="AQ40399" s="31"/>
    </row>
    <row r="40400" spans="43:43" x14ac:dyDescent="0.2">
      <c r="AQ40400" s="31"/>
    </row>
    <row r="40401" spans="43:43" x14ac:dyDescent="0.2">
      <c r="AQ40401" s="31"/>
    </row>
    <row r="40402" spans="43:43" x14ac:dyDescent="0.2">
      <c r="AQ40402" s="31"/>
    </row>
    <row r="40403" spans="43:43" x14ac:dyDescent="0.2">
      <c r="AQ40403" s="31"/>
    </row>
    <row r="40404" spans="43:43" x14ac:dyDescent="0.2">
      <c r="AQ40404" s="31"/>
    </row>
    <row r="40405" spans="43:43" x14ac:dyDescent="0.2">
      <c r="AQ40405" s="31"/>
    </row>
    <row r="40406" spans="43:43" x14ac:dyDescent="0.2">
      <c r="AQ40406" s="31"/>
    </row>
    <row r="40407" spans="43:43" x14ac:dyDescent="0.2">
      <c r="AQ40407" s="31"/>
    </row>
    <row r="40408" spans="43:43" x14ac:dyDescent="0.2">
      <c r="AQ40408" s="31"/>
    </row>
    <row r="40409" spans="43:43" x14ac:dyDescent="0.2">
      <c r="AQ40409" s="31"/>
    </row>
    <row r="40410" spans="43:43" x14ac:dyDescent="0.2">
      <c r="AQ40410" s="31"/>
    </row>
    <row r="40411" spans="43:43" x14ac:dyDescent="0.2">
      <c r="AQ40411" s="31"/>
    </row>
    <row r="40412" spans="43:43" x14ac:dyDescent="0.2">
      <c r="AQ40412" s="31"/>
    </row>
    <row r="40413" spans="43:43" x14ac:dyDescent="0.2">
      <c r="AQ40413" s="31"/>
    </row>
    <row r="40414" spans="43:43" x14ac:dyDescent="0.2">
      <c r="AQ40414" s="31"/>
    </row>
    <row r="40415" spans="43:43" x14ac:dyDescent="0.2">
      <c r="AQ40415" s="31"/>
    </row>
    <row r="40416" spans="43:43" x14ac:dyDescent="0.2">
      <c r="AQ40416" s="31"/>
    </row>
    <row r="40417" spans="43:43" x14ac:dyDescent="0.2">
      <c r="AQ40417" s="31"/>
    </row>
    <row r="40418" spans="43:43" x14ac:dyDescent="0.2">
      <c r="AQ40418" s="31"/>
    </row>
    <row r="40419" spans="43:43" x14ac:dyDescent="0.2">
      <c r="AQ40419" s="31"/>
    </row>
    <row r="40420" spans="43:43" x14ac:dyDescent="0.2">
      <c r="AQ40420" s="31"/>
    </row>
    <row r="40421" spans="43:43" x14ac:dyDescent="0.2">
      <c r="AQ40421" s="31"/>
    </row>
    <row r="40422" spans="43:43" x14ac:dyDescent="0.2">
      <c r="AQ40422" s="31"/>
    </row>
    <row r="40423" spans="43:43" x14ac:dyDescent="0.2">
      <c r="AQ40423" s="31"/>
    </row>
    <row r="40424" spans="43:43" x14ac:dyDescent="0.2">
      <c r="AQ40424" s="31"/>
    </row>
    <row r="40425" spans="43:43" x14ac:dyDescent="0.2">
      <c r="AQ40425" s="31"/>
    </row>
    <row r="40426" spans="43:43" x14ac:dyDescent="0.2">
      <c r="AQ40426" s="31"/>
    </row>
    <row r="40427" spans="43:43" x14ac:dyDescent="0.2">
      <c r="AQ40427" s="31"/>
    </row>
    <row r="40428" spans="43:43" x14ac:dyDescent="0.2">
      <c r="AQ40428" s="31"/>
    </row>
    <row r="40429" spans="43:43" x14ac:dyDescent="0.2">
      <c r="AQ40429" s="31"/>
    </row>
    <row r="40430" spans="43:43" x14ac:dyDescent="0.2">
      <c r="AQ40430" s="31"/>
    </row>
    <row r="40431" spans="43:43" x14ac:dyDescent="0.2">
      <c r="AQ40431" s="31"/>
    </row>
    <row r="40432" spans="43:43" x14ac:dyDescent="0.2">
      <c r="AQ40432" s="31"/>
    </row>
    <row r="40433" spans="43:43" x14ac:dyDescent="0.2">
      <c r="AQ40433" s="31"/>
    </row>
    <row r="40434" spans="43:43" x14ac:dyDescent="0.2">
      <c r="AQ40434" s="31"/>
    </row>
    <row r="40435" spans="43:43" x14ac:dyDescent="0.2">
      <c r="AQ40435" s="31"/>
    </row>
    <row r="40436" spans="43:43" x14ac:dyDescent="0.2">
      <c r="AQ40436" s="31"/>
    </row>
    <row r="40437" spans="43:43" x14ac:dyDescent="0.2">
      <c r="AQ40437" s="31"/>
    </row>
    <row r="40438" spans="43:43" x14ac:dyDescent="0.2">
      <c r="AQ40438" s="31"/>
    </row>
    <row r="40439" spans="43:43" x14ac:dyDescent="0.2">
      <c r="AQ40439" s="31"/>
    </row>
    <row r="40440" spans="43:43" x14ac:dyDescent="0.2">
      <c r="AQ40440" s="31"/>
    </row>
    <row r="40441" spans="43:43" x14ac:dyDescent="0.2">
      <c r="AQ40441" s="31"/>
    </row>
    <row r="40442" spans="43:43" x14ac:dyDescent="0.2">
      <c r="AQ40442" s="31"/>
    </row>
    <row r="40443" spans="43:43" x14ac:dyDescent="0.2">
      <c r="AQ40443" s="31"/>
    </row>
    <row r="40444" spans="43:43" x14ac:dyDescent="0.2">
      <c r="AQ40444" s="31"/>
    </row>
    <row r="40445" spans="43:43" x14ac:dyDescent="0.2">
      <c r="AQ40445" s="31"/>
    </row>
    <row r="40446" spans="43:43" x14ac:dyDescent="0.2">
      <c r="AQ40446" s="31"/>
    </row>
    <row r="40447" spans="43:43" x14ac:dyDescent="0.2">
      <c r="AQ40447" s="31"/>
    </row>
    <row r="40448" spans="43:43" x14ac:dyDescent="0.2">
      <c r="AQ40448" s="31"/>
    </row>
    <row r="40449" spans="43:43" x14ac:dyDescent="0.2">
      <c r="AQ40449" s="31"/>
    </row>
    <row r="40450" spans="43:43" x14ac:dyDescent="0.2">
      <c r="AQ40450" s="31"/>
    </row>
    <row r="40451" spans="43:43" x14ac:dyDescent="0.2">
      <c r="AQ40451" s="31"/>
    </row>
    <row r="40452" spans="43:43" x14ac:dyDescent="0.2">
      <c r="AQ40452" s="31"/>
    </row>
    <row r="40453" spans="43:43" x14ac:dyDescent="0.2">
      <c r="AQ40453" s="31"/>
    </row>
    <row r="40454" spans="43:43" x14ac:dyDescent="0.2">
      <c r="AQ40454" s="31"/>
    </row>
    <row r="40455" spans="43:43" x14ac:dyDescent="0.2">
      <c r="AQ40455" s="31"/>
    </row>
    <row r="40456" spans="43:43" x14ac:dyDescent="0.2">
      <c r="AQ40456" s="31"/>
    </row>
    <row r="40457" spans="43:43" x14ac:dyDescent="0.2">
      <c r="AQ40457" s="31"/>
    </row>
    <row r="40458" spans="43:43" x14ac:dyDescent="0.2">
      <c r="AQ40458" s="31"/>
    </row>
    <row r="40459" spans="43:43" x14ac:dyDescent="0.2">
      <c r="AQ40459" s="31"/>
    </row>
    <row r="40460" spans="43:43" x14ac:dyDescent="0.2">
      <c r="AQ40460" s="31"/>
    </row>
    <row r="40461" spans="43:43" x14ac:dyDescent="0.2">
      <c r="AQ40461" s="31"/>
    </row>
    <row r="40462" spans="43:43" x14ac:dyDescent="0.2">
      <c r="AQ40462" s="31"/>
    </row>
    <row r="40463" spans="43:43" x14ac:dyDescent="0.2">
      <c r="AQ40463" s="31"/>
    </row>
    <row r="40464" spans="43:43" x14ac:dyDescent="0.2">
      <c r="AQ40464" s="31"/>
    </row>
    <row r="40465" spans="43:43" x14ac:dyDescent="0.2">
      <c r="AQ40465" s="31"/>
    </row>
    <row r="40466" spans="43:43" x14ac:dyDescent="0.2">
      <c r="AQ40466" s="31"/>
    </row>
    <row r="40467" spans="43:43" x14ac:dyDescent="0.2">
      <c r="AQ40467" s="31"/>
    </row>
    <row r="40468" spans="43:43" x14ac:dyDescent="0.2">
      <c r="AQ40468" s="31"/>
    </row>
    <row r="40469" spans="43:43" x14ac:dyDescent="0.2">
      <c r="AQ40469" s="31"/>
    </row>
    <row r="40470" spans="43:43" x14ac:dyDescent="0.2">
      <c r="AQ40470" s="31"/>
    </row>
    <row r="40471" spans="43:43" x14ac:dyDescent="0.2">
      <c r="AQ40471" s="31"/>
    </row>
    <row r="40472" spans="43:43" x14ac:dyDescent="0.2">
      <c r="AQ40472" s="31"/>
    </row>
    <row r="40473" spans="43:43" x14ac:dyDescent="0.2">
      <c r="AQ40473" s="31"/>
    </row>
    <row r="40474" spans="43:43" x14ac:dyDescent="0.2">
      <c r="AQ40474" s="31"/>
    </row>
    <row r="40475" spans="43:43" x14ac:dyDescent="0.2">
      <c r="AQ40475" s="31"/>
    </row>
    <row r="40476" spans="43:43" x14ac:dyDescent="0.2">
      <c r="AQ40476" s="31"/>
    </row>
    <row r="40477" spans="43:43" x14ac:dyDescent="0.2">
      <c r="AQ40477" s="31"/>
    </row>
    <row r="40478" spans="43:43" x14ac:dyDescent="0.2">
      <c r="AQ40478" s="31"/>
    </row>
    <row r="40479" spans="43:43" x14ac:dyDescent="0.2">
      <c r="AQ40479" s="31"/>
    </row>
    <row r="40480" spans="43:43" x14ac:dyDescent="0.2">
      <c r="AQ40480" s="31"/>
    </row>
    <row r="40481" spans="43:43" x14ac:dyDescent="0.2">
      <c r="AQ40481" s="31"/>
    </row>
    <row r="40482" spans="43:43" x14ac:dyDescent="0.2">
      <c r="AQ40482" s="31"/>
    </row>
    <row r="40483" spans="43:43" x14ac:dyDescent="0.2">
      <c r="AQ40483" s="31"/>
    </row>
    <row r="40484" spans="43:43" x14ac:dyDescent="0.2">
      <c r="AQ40484" s="31"/>
    </row>
    <row r="40485" spans="43:43" x14ac:dyDescent="0.2">
      <c r="AQ40485" s="31"/>
    </row>
    <row r="40486" spans="43:43" x14ac:dyDescent="0.2">
      <c r="AQ40486" s="31"/>
    </row>
    <row r="40487" spans="43:43" x14ac:dyDescent="0.2">
      <c r="AQ40487" s="31"/>
    </row>
    <row r="40488" spans="43:43" x14ac:dyDescent="0.2">
      <c r="AQ40488" s="31"/>
    </row>
    <row r="40489" spans="43:43" x14ac:dyDescent="0.2">
      <c r="AQ40489" s="31"/>
    </row>
    <row r="40490" spans="43:43" x14ac:dyDescent="0.2">
      <c r="AQ40490" s="31"/>
    </row>
    <row r="40491" spans="43:43" x14ac:dyDescent="0.2">
      <c r="AQ40491" s="31"/>
    </row>
    <row r="40492" spans="43:43" x14ac:dyDescent="0.2">
      <c r="AQ40492" s="31"/>
    </row>
    <row r="40493" spans="43:43" x14ac:dyDescent="0.2">
      <c r="AQ40493" s="31"/>
    </row>
    <row r="40494" spans="43:43" x14ac:dyDescent="0.2">
      <c r="AQ40494" s="31"/>
    </row>
    <row r="40495" spans="43:43" x14ac:dyDescent="0.2">
      <c r="AQ40495" s="31"/>
    </row>
    <row r="40496" spans="43:43" x14ac:dyDescent="0.2">
      <c r="AQ40496" s="31"/>
    </row>
    <row r="40497" spans="43:43" x14ac:dyDescent="0.2">
      <c r="AQ40497" s="31"/>
    </row>
    <row r="40498" spans="43:43" x14ac:dyDescent="0.2">
      <c r="AQ40498" s="31"/>
    </row>
    <row r="40499" spans="43:43" x14ac:dyDescent="0.2">
      <c r="AQ40499" s="31"/>
    </row>
    <row r="40500" spans="43:43" x14ac:dyDescent="0.2">
      <c r="AQ40500" s="31"/>
    </row>
    <row r="40501" spans="43:43" x14ac:dyDescent="0.2">
      <c r="AQ40501" s="31"/>
    </row>
    <row r="40502" spans="43:43" x14ac:dyDescent="0.2">
      <c r="AQ40502" s="31"/>
    </row>
    <row r="40503" spans="43:43" x14ac:dyDescent="0.2">
      <c r="AQ40503" s="31"/>
    </row>
    <row r="40504" spans="43:43" x14ac:dyDescent="0.2">
      <c r="AQ40504" s="31"/>
    </row>
    <row r="40505" spans="43:43" x14ac:dyDescent="0.2">
      <c r="AQ40505" s="31"/>
    </row>
    <row r="40506" spans="43:43" x14ac:dyDescent="0.2">
      <c r="AQ40506" s="31"/>
    </row>
    <row r="40507" spans="43:43" x14ac:dyDescent="0.2">
      <c r="AQ40507" s="31"/>
    </row>
    <row r="40508" spans="43:43" x14ac:dyDescent="0.2">
      <c r="AQ40508" s="31"/>
    </row>
    <row r="40509" spans="43:43" x14ac:dyDescent="0.2">
      <c r="AQ40509" s="31"/>
    </row>
    <row r="40510" spans="43:43" x14ac:dyDescent="0.2">
      <c r="AQ40510" s="31"/>
    </row>
    <row r="40511" spans="43:43" x14ac:dyDescent="0.2">
      <c r="AQ40511" s="31"/>
    </row>
    <row r="40512" spans="43:43" x14ac:dyDescent="0.2">
      <c r="AQ40512" s="31"/>
    </row>
    <row r="40513" spans="43:43" x14ac:dyDescent="0.2">
      <c r="AQ40513" s="31"/>
    </row>
    <row r="40514" spans="43:43" x14ac:dyDescent="0.2">
      <c r="AQ40514" s="31"/>
    </row>
    <row r="40515" spans="43:43" x14ac:dyDescent="0.2">
      <c r="AQ40515" s="31"/>
    </row>
    <row r="40516" spans="43:43" x14ac:dyDescent="0.2">
      <c r="AQ40516" s="31"/>
    </row>
    <row r="40517" spans="43:43" x14ac:dyDescent="0.2">
      <c r="AQ40517" s="31"/>
    </row>
    <row r="40518" spans="43:43" x14ac:dyDescent="0.2">
      <c r="AQ40518" s="31"/>
    </row>
    <row r="40519" spans="43:43" x14ac:dyDescent="0.2">
      <c r="AQ40519" s="31"/>
    </row>
    <row r="40520" spans="43:43" x14ac:dyDescent="0.2">
      <c r="AQ40520" s="31"/>
    </row>
    <row r="40521" spans="43:43" x14ac:dyDescent="0.2">
      <c r="AQ40521" s="31"/>
    </row>
    <row r="40522" spans="43:43" x14ac:dyDescent="0.2">
      <c r="AQ40522" s="31"/>
    </row>
    <row r="40523" spans="43:43" x14ac:dyDescent="0.2">
      <c r="AQ40523" s="31"/>
    </row>
    <row r="40524" spans="43:43" x14ac:dyDescent="0.2">
      <c r="AQ40524" s="31"/>
    </row>
    <row r="40525" spans="43:43" x14ac:dyDescent="0.2">
      <c r="AQ40525" s="31"/>
    </row>
    <row r="40526" spans="43:43" x14ac:dyDescent="0.2">
      <c r="AQ40526" s="31"/>
    </row>
    <row r="40527" spans="43:43" x14ac:dyDescent="0.2">
      <c r="AQ40527" s="31"/>
    </row>
    <row r="40528" spans="43:43" x14ac:dyDescent="0.2">
      <c r="AQ40528" s="31"/>
    </row>
    <row r="40529" spans="43:43" x14ac:dyDescent="0.2">
      <c r="AQ40529" s="31"/>
    </row>
    <row r="40530" spans="43:43" x14ac:dyDescent="0.2">
      <c r="AQ40530" s="31"/>
    </row>
    <row r="40531" spans="43:43" x14ac:dyDescent="0.2">
      <c r="AQ40531" s="31"/>
    </row>
    <row r="40532" spans="43:43" x14ac:dyDescent="0.2">
      <c r="AQ40532" s="31"/>
    </row>
    <row r="40533" spans="43:43" x14ac:dyDescent="0.2">
      <c r="AQ40533" s="31"/>
    </row>
    <row r="40534" spans="43:43" x14ac:dyDescent="0.2">
      <c r="AQ40534" s="31"/>
    </row>
    <row r="40535" spans="43:43" x14ac:dyDescent="0.2">
      <c r="AQ40535" s="31"/>
    </row>
    <row r="40536" spans="43:43" x14ac:dyDescent="0.2">
      <c r="AQ40536" s="31"/>
    </row>
    <row r="40537" spans="43:43" x14ac:dyDescent="0.2">
      <c r="AQ40537" s="31"/>
    </row>
    <row r="40538" spans="43:43" x14ac:dyDescent="0.2">
      <c r="AQ40538" s="31"/>
    </row>
    <row r="40539" spans="43:43" x14ac:dyDescent="0.2">
      <c r="AQ40539" s="31"/>
    </row>
    <row r="40540" spans="43:43" x14ac:dyDescent="0.2">
      <c r="AQ40540" s="31"/>
    </row>
    <row r="40541" spans="43:43" x14ac:dyDescent="0.2">
      <c r="AQ40541" s="31"/>
    </row>
    <row r="40542" spans="43:43" x14ac:dyDescent="0.2">
      <c r="AQ40542" s="31"/>
    </row>
    <row r="40543" spans="43:43" x14ac:dyDescent="0.2">
      <c r="AQ40543" s="31"/>
    </row>
    <row r="40544" spans="43:43" x14ac:dyDescent="0.2">
      <c r="AQ40544" s="31"/>
    </row>
    <row r="40545" spans="43:43" x14ac:dyDescent="0.2">
      <c r="AQ40545" s="31"/>
    </row>
    <row r="40546" spans="43:43" x14ac:dyDescent="0.2">
      <c r="AQ40546" s="31"/>
    </row>
    <row r="40547" spans="43:43" x14ac:dyDescent="0.2">
      <c r="AQ40547" s="31"/>
    </row>
    <row r="40548" spans="43:43" x14ac:dyDescent="0.2">
      <c r="AQ40548" s="31"/>
    </row>
    <row r="40549" spans="43:43" x14ac:dyDescent="0.2">
      <c r="AQ40549" s="31"/>
    </row>
    <row r="40550" spans="43:43" x14ac:dyDescent="0.2">
      <c r="AQ40550" s="31"/>
    </row>
    <row r="40551" spans="43:43" x14ac:dyDescent="0.2">
      <c r="AQ40551" s="31"/>
    </row>
    <row r="40552" spans="43:43" x14ac:dyDescent="0.2">
      <c r="AQ40552" s="31"/>
    </row>
    <row r="40553" spans="43:43" x14ac:dyDescent="0.2">
      <c r="AQ40553" s="31"/>
    </row>
    <row r="40554" spans="43:43" x14ac:dyDescent="0.2">
      <c r="AQ40554" s="31"/>
    </row>
    <row r="40555" spans="43:43" x14ac:dyDescent="0.2">
      <c r="AQ40555" s="31"/>
    </row>
    <row r="40556" spans="43:43" x14ac:dyDescent="0.2">
      <c r="AQ40556" s="31"/>
    </row>
    <row r="40557" spans="43:43" x14ac:dyDescent="0.2">
      <c r="AQ40557" s="31"/>
    </row>
    <row r="40558" spans="43:43" x14ac:dyDescent="0.2">
      <c r="AQ40558" s="31"/>
    </row>
    <row r="40559" spans="43:43" x14ac:dyDescent="0.2">
      <c r="AQ40559" s="31"/>
    </row>
    <row r="40560" spans="43:43" x14ac:dyDescent="0.2">
      <c r="AQ40560" s="31"/>
    </row>
    <row r="40561" spans="43:43" x14ac:dyDescent="0.2">
      <c r="AQ40561" s="31"/>
    </row>
    <row r="40562" spans="43:43" x14ac:dyDescent="0.2">
      <c r="AQ40562" s="31"/>
    </row>
    <row r="40563" spans="43:43" x14ac:dyDescent="0.2">
      <c r="AQ40563" s="31"/>
    </row>
    <row r="40564" spans="43:43" x14ac:dyDescent="0.2">
      <c r="AQ40564" s="31"/>
    </row>
    <row r="40565" spans="43:43" x14ac:dyDescent="0.2">
      <c r="AQ40565" s="31"/>
    </row>
    <row r="40566" spans="43:43" x14ac:dyDescent="0.2">
      <c r="AQ40566" s="31"/>
    </row>
    <row r="40567" spans="43:43" x14ac:dyDescent="0.2">
      <c r="AQ40567" s="31"/>
    </row>
    <row r="40568" spans="43:43" x14ac:dyDescent="0.2">
      <c r="AQ40568" s="31"/>
    </row>
    <row r="40569" spans="43:43" x14ac:dyDescent="0.2">
      <c r="AQ40569" s="31"/>
    </row>
    <row r="40570" spans="43:43" x14ac:dyDescent="0.2">
      <c r="AQ40570" s="31"/>
    </row>
    <row r="40571" spans="43:43" x14ac:dyDescent="0.2">
      <c r="AQ40571" s="31"/>
    </row>
    <row r="40572" spans="43:43" x14ac:dyDescent="0.2">
      <c r="AQ40572" s="31"/>
    </row>
    <row r="40573" spans="43:43" x14ac:dyDescent="0.2">
      <c r="AQ40573" s="31"/>
    </row>
    <row r="40574" spans="43:43" x14ac:dyDescent="0.2">
      <c r="AQ40574" s="31"/>
    </row>
    <row r="40575" spans="43:43" x14ac:dyDescent="0.2">
      <c r="AQ40575" s="31"/>
    </row>
    <row r="40576" spans="43:43" x14ac:dyDescent="0.2">
      <c r="AQ40576" s="31"/>
    </row>
    <row r="40577" spans="43:43" x14ac:dyDescent="0.2">
      <c r="AQ40577" s="31"/>
    </row>
    <row r="40578" spans="43:43" x14ac:dyDescent="0.2">
      <c r="AQ40578" s="31"/>
    </row>
    <row r="40579" spans="43:43" x14ac:dyDescent="0.2">
      <c r="AQ40579" s="31"/>
    </row>
    <row r="40580" spans="43:43" x14ac:dyDescent="0.2">
      <c r="AQ40580" s="31"/>
    </row>
    <row r="40581" spans="43:43" x14ac:dyDescent="0.2">
      <c r="AQ40581" s="31"/>
    </row>
    <row r="40582" spans="43:43" x14ac:dyDescent="0.2">
      <c r="AQ40582" s="31"/>
    </row>
    <row r="40583" spans="43:43" x14ac:dyDescent="0.2">
      <c r="AQ40583" s="31"/>
    </row>
    <row r="40584" spans="43:43" x14ac:dyDescent="0.2">
      <c r="AQ40584" s="31"/>
    </row>
    <row r="40585" spans="43:43" x14ac:dyDescent="0.2">
      <c r="AQ40585" s="31"/>
    </row>
    <row r="40586" spans="43:43" x14ac:dyDescent="0.2">
      <c r="AQ40586" s="31"/>
    </row>
    <row r="40587" spans="43:43" x14ac:dyDescent="0.2">
      <c r="AQ40587" s="31"/>
    </row>
    <row r="40588" spans="43:43" x14ac:dyDescent="0.2">
      <c r="AQ40588" s="31"/>
    </row>
    <row r="40589" spans="43:43" x14ac:dyDescent="0.2">
      <c r="AQ40589" s="31"/>
    </row>
    <row r="40590" spans="43:43" x14ac:dyDescent="0.2">
      <c r="AQ40590" s="31"/>
    </row>
    <row r="40591" spans="43:43" x14ac:dyDescent="0.2">
      <c r="AQ40591" s="31"/>
    </row>
    <row r="40592" spans="43:43" x14ac:dyDescent="0.2">
      <c r="AQ40592" s="31"/>
    </row>
    <row r="40593" spans="43:43" x14ac:dyDescent="0.2">
      <c r="AQ40593" s="31"/>
    </row>
    <row r="40594" spans="43:43" x14ac:dyDescent="0.2">
      <c r="AQ40594" s="31"/>
    </row>
    <row r="40595" spans="43:43" x14ac:dyDescent="0.2">
      <c r="AQ40595" s="31"/>
    </row>
    <row r="40596" spans="43:43" x14ac:dyDescent="0.2">
      <c r="AQ40596" s="31"/>
    </row>
    <row r="40597" spans="43:43" x14ac:dyDescent="0.2">
      <c r="AQ40597" s="31"/>
    </row>
    <row r="40598" spans="43:43" x14ac:dyDescent="0.2">
      <c r="AQ40598" s="31"/>
    </row>
    <row r="40599" spans="43:43" x14ac:dyDescent="0.2">
      <c r="AQ40599" s="31"/>
    </row>
    <row r="40600" spans="43:43" x14ac:dyDescent="0.2">
      <c r="AQ40600" s="31"/>
    </row>
    <row r="40601" spans="43:43" x14ac:dyDescent="0.2">
      <c r="AQ40601" s="31"/>
    </row>
    <row r="40602" spans="43:43" x14ac:dyDescent="0.2">
      <c r="AQ40602" s="31"/>
    </row>
    <row r="40603" spans="43:43" x14ac:dyDescent="0.2">
      <c r="AQ40603" s="31"/>
    </row>
    <row r="40604" spans="43:43" x14ac:dyDescent="0.2">
      <c r="AQ40604" s="31"/>
    </row>
    <row r="40605" spans="43:43" x14ac:dyDescent="0.2">
      <c r="AQ40605" s="31"/>
    </row>
    <row r="40606" spans="43:43" x14ac:dyDescent="0.2">
      <c r="AQ40606" s="31"/>
    </row>
    <row r="40607" spans="43:43" x14ac:dyDescent="0.2">
      <c r="AQ40607" s="31"/>
    </row>
    <row r="40608" spans="43:43" x14ac:dyDescent="0.2">
      <c r="AQ40608" s="31"/>
    </row>
    <row r="40609" spans="43:43" x14ac:dyDescent="0.2">
      <c r="AQ40609" s="31"/>
    </row>
    <row r="40610" spans="43:43" x14ac:dyDescent="0.2">
      <c r="AQ40610" s="31"/>
    </row>
    <row r="40611" spans="43:43" x14ac:dyDescent="0.2">
      <c r="AQ40611" s="31"/>
    </row>
    <row r="40612" spans="43:43" x14ac:dyDescent="0.2">
      <c r="AQ40612" s="31"/>
    </row>
    <row r="40613" spans="43:43" x14ac:dyDescent="0.2">
      <c r="AQ40613" s="31"/>
    </row>
    <row r="40614" spans="43:43" x14ac:dyDescent="0.2">
      <c r="AQ40614" s="31"/>
    </row>
    <row r="40615" spans="43:43" x14ac:dyDescent="0.2">
      <c r="AQ40615" s="31"/>
    </row>
    <row r="40616" spans="43:43" x14ac:dyDescent="0.2">
      <c r="AQ40616" s="31"/>
    </row>
    <row r="40617" spans="43:43" x14ac:dyDescent="0.2">
      <c r="AQ40617" s="31"/>
    </row>
    <row r="40618" spans="43:43" x14ac:dyDescent="0.2">
      <c r="AQ40618" s="31"/>
    </row>
    <row r="40619" spans="43:43" x14ac:dyDescent="0.2">
      <c r="AQ40619" s="31"/>
    </row>
    <row r="40620" spans="43:43" x14ac:dyDescent="0.2">
      <c r="AQ40620" s="31"/>
    </row>
    <row r="40621" spans="43:43" x14ac:dyDescent="0.2">
      <c r="AQ40621" s="31"/>
    </row>
    <row r="40622" spans="43:43" x14ac:dyDescent="0.2">
      <c r="AQ40622" s="31"/>
    </row>
    <row r="40623" spans="43:43" x14ac:dyDescent="0.2">
      <c r="AQ40623" s="31"/>
    </row>
    <row r="40624" spans="43:43" x14ac:dyDescent="0.2">
      <c r="AQ40624" s="31"/>
    </row>
    <row r="40625" spans="43:43" x14ac:dyDescent="0.2">
      <c r="AQ40625" s="31"/>
    </row>
    <row r="40626" spans="43:43" x14ac:dyDescent="0.2">
      <c r="AQ40626" s="31"/>
    </row>
    <row r="40627" spans="43:43" x14ac:dyDescent="0.2">
      <c r="AQ40627" s="31"/>
    </row>
    <row r="40628" spans="43:43" x14ac:dyDescent="0.2">
      <c r="AQ40628" s="31"/>
    </row>
    <row r="40629" spans="43:43" x14ac:dyDescent="0.2">
      <c r="AQ40629" s="31"/>
    </row>
    <row r="40630" spans="43:43" x14ac:dyDescent="0.2">
      <c r="AQ40630" s="31"/>
    </row>
    <row r="40631" spans="43:43" x14ac:dyDescent="0.2">
      <c r="AQ40631" s="31"/>
    </row>
    <row r="40632" spans="43:43" x14ac:dyDescent="0.2">
      <c r="AQ40632" s="31"/>
    </row>
    <row r="40633" spans="43:43" x14ac:dyDescent="0.2">
      <c r="AQ40633" s="31"/>
    </row>
    <row r="40634" spans="43:43" x14ac:dyDescent="0.2">
      <c r="AQ40634" s="31"/>
    </row>
    <row r="40635" spans="43:43" x14ac:dyDescent="0.2">
      <c r="AQ40635" s="31"/>
    </row>
    <row r="40636" spans="43:43" x14ac:dyDescent="0.2">
      <c r="AQ40636" s="31"/>
    </row>
    <row r="40637" spans="43:43" x14ac:dyDescent="0.2">
      <c r="AQ40637" s="31"/>
    </row>
    <row r="40638" spans="43:43" x14ac:dyDescent="0.2">
      <c r="AQ40638" s="31"/>
    </row>
    <row r="40639" spans="43:43" x14ac:dyDescent="0.2">
      <c r="AQ40639" s="31"/>
    </row>
    <row r="40640" spans="43:43" x14ac:dyDescent="0.2">
      <c r="AQ40640" s="31"/>
    </row>
    <row r="40641" spans="43:43" x14ac:dyDescent="0.2">
      <c r="AQ40641" s="31"/>
    </row>
    <row r="40642" spans="43:43" x14ac:dyDescent="0.2">
      <c r="AQ40642" s="31"/>
    </row>
    <row r="40643" spans="43:43" x14ac:dyDescent="0.2">
      <c r="AQ40643" s="31"/>
    </row>
    <row r="40644" spans="43:43" x14ac:dyDescent="0.2">
      <c r="AQ40644" s="31"/>
    </row>
    <row r="40645" spans="43:43" x14ac:dyDescent="0.2">
      <c r="AQ40645" s="31"/>
    </row>
    <row r="40646" spans="43:43" x14ac:dyDescent="0.2">
      <c r="AQ40646" s="31"/>
    </row>
    <row r="40647" spans="43:43" x14ac:dyDescent="0.2">
      <c r="AQ40647" s="31"/>
    </row>
    <row r="40648" spans="43:43" x14ac:dyDescent="0.2">
      <c r="AQ40648" s="31"/>
    </row>
    <row r="40649" spans="43:43" x14ac:dyDescent="0.2">
      <c r="AQ40649" s="31"/>
    </row>
    <row r="40650" spans="43:43" x14ac:dyDescent="0.2">
      <c r="AQ40650" s="31"/>
    </row>
    <row r="40651" spans="43:43" x14ac:dyDescent="0.2">
      <c r="AQ40651" s="31"/>
    </row>
    <row r="40652" spans="43:43" x14ac:dyDescent="0.2">
      <c r="AQ40652" s="31"/>
    </row>
    <row r="40653" spans="43:43" x14ac:dyDescent="0.2">
      <c r="AQ40653" s="31"/>
    </row>
    <row r="40654" spans="43:43" x14ac:dyDescent="0.2">
      <c r="AQ40654" s="31"/>
    </row>
    <row r="40655" spans="43:43" x14ac:dyDescent="0.2">
      <c r="AQ40655" s="31"/>
    </row>
    <row r="40656" spans="43:43" x14ac:dyDescent="0.2">
      <c r="AQ40656" s="31"/>
    </row>
    <row r="40657" spans="43:43" x14ac:dyDescent="0.2">
      <c r="AQ40657" s="31"/>
    </row>
    <row r="40658" spans="43:43" x14ac:dyDescent="0.2">
      <c r="AQ40658" s="31"/>
    </row>
    <row r="40659" spans="43:43" x14ac:dyDescent="0.2">
      <c r="AQ40659" s="31"/>
    </row>
    <row r="40660" spans="43:43" x14ac:dyDescent="0.2">
      <c r="AQ40660" s="31"/>
    </row>
    <row r="40661" spans="43:43" x14ac:dyDescent="0.2">
      <c r="AQ40661" s="31"/>
    </row>
    <row r="40662" spans="43:43" x14ac:dyDescent="0.2">
      <c r="AQ40662" s="31"/>
    </row>
    <row r="40663" spans="43:43" x14ac:dyDescent="0.2">
      <c r="AQ40663" s="31"/>
    </row>
    <row r="40664" spans="43:43" x14ac:dyDescent="0.2">
      <c r="AQ40664" s="31"/>
    </row>
    <row r="40665" spans="43:43" x14ac:dyDescent="0.2">
      <c r="AQ40665" s="31"/>
    </row>
    <row r="40666" spans="43:43" x14ac:dyDescent="0.2">
      <c r="AQ40666" s="31"/>
    </row>
    <row r="40667" spans="43:43" x14ac:dyDescent="0.2">
      <c r="AQ40667" s="31"/>
    </row>
    <row r="40668" spans="43:43" x14ac:dyDescent="0.2">
      <c r="AQ40668" s="31"/>
    </row>
    <row r="40669" spans="43:43" x14ac:dyDescent="0.2">
      <c r="AQ40669" s="31"/>
    </row>
    <row r="40670" spans="43:43" x14ac:dyDescent="0.2">
      <c r="AQ40670" s="31"/>
    </row>
    <row r="40671" spans="43:43" x14ac:dyDescent="0.2">
      <c r="AQ40671" s="31"/>
    </row>
    <row r="40672" spans="43:43" x14ac:dyDescent="0.2">
      <c r="AQ40672" s="31"/>
    </row>
    <row r="40673" spans="43:43" x14ac:dyDescent="0.2">
      <c r="AQ40673" s="31"/>
    </row>
    <row r="40674" spans="43:43" x14ac:dyDescent="0.2">
      <c r="AQ40674" s="31"/>
    </row>
    <row r="40675" spans="43:43" x14ac:dyDescent="0.2">
      <c r="AQ40675" s="31"/>
    </row>
    <row r="40676" spans="43:43" x14ac:dyDescent="0.2">
      <c r="AQ40676" s="31"/>
    </row>
    <row r="40677" spans="43:43" x14ac:dyDescent="0.2">
      <c r="AQ40677" s="31"/>
    </row>
    <row r="40678" spans="43:43" x14ac:dyDescent="0.2">
      <c r="AQ40678" s="31"/>
    </row>
    <row r="40679" spans="43:43" x14ac:dyDescent="0.2">
      <c r="AQ40679" s="31"/>
    </row>
    <row r="40680" spans="43:43" x14ac:dyDescent="0.2">
      <c r="AQ40680" s="31"/>
    </row>
    <row r="40681" spans="43:43" x14ac:dyDescent="0.2">
      <c r="AQ40681" s="31"/>
    </row>
    <row r="40682" spans="43:43" x14ac:dyDescent="0.2">
      <c r="AQ40682" s="31"/>
    </row>
    <row r="40683" spans="43:43" x14ac:dyDescent="0.2">
      <c r="AQ40683" s="31"/>
    </row>
    <row r="40684" spans="43:43" x14ac:dyDescent="0.2">
      <c r="AQ40684" s="31"/>
    </row>
    <row r="40685" spans="43:43" x14ac:dyDescent="0.2">
      <c r="AQ40685" s="31"/>
    </row>
    <row r="40686" spans="43:43" x14ac:dyDescent="0.2">
      <c r="AQ40686" s="31"/>
    </row>
    <row r="40687" spans="43:43" x14ac:dyDescent="0.2">
      <c r="AQ40687" s="31"/>
    </row>
    <row r="40688" spans="43:43" x14ac:dyDescent="0.2">
      <c r="AQ40688" s="31"/>
    </row>
    <row r="40689" spans="43:43" x14ac:dyDescent="0.2">
      <c r="AQ40689" s="31"/>
    </row>
    <row r="40690" spans="43:43" x14ac:dyDescent="0.2">
      <c r="AQ40690" s="31"/>
    </row>
    <row r="40691" spans="43:43" x14ac:dyDescent="0.2">
      <c r="AQ40691" s="31"/>
    </row>
    <row r="40692" spans="43:43" x14ac:dyDescent="0.2">
      <c r="AQ40692" s="31"/>
    </row>
    <row r="40693" spans="43:43" x14ac:dyDescent="0.2">
      <c r="AQ40693" s="31"/>
    </row>
    <row r="40694" spans="43:43" x14ac:dyDescent="0.2">
      <c r="AQ40694" s="31"/>
    </row>
    <row r="40695" spans="43:43" x14ac:dyDescent="0.2">
      <c r="AQ40695" s="31"/>
    </row>
    <row r="40696" spans="43:43" x14ac:dyDescent="0.2">
      <c r="AQ40696" s="31"/>
    </row>
    <row r="40697" spans="43:43" x14ac:dyDescent="0.2">
      <c r="AQ40697" s="31"/>
    </row>
    <row r="40698" spans="43:43" x14ac:dyDescent="0.2">
      <c r="AQ40698" s="31"/>
    </row>
    <row r="40699" spans="43:43" x14ac:dyDescent="0.2">
      <c r="AQ40699" s="31"/>
    </row>
    <row r="40700" spans="43:43" x14ac:dyDescent="0.2">
      <c r="AQ40700" s="31"/>
    </row>
    <row r="40701" spans="43:43" x14ac:dyDescent="0.2">
      <c r="AQ40701" s="31"/>
    </row>
    <row r="40702" spans="43:43" x14ac:dyDescent="0.2">
      <c r="AQ40702" s="31"/>
    </row>
    <row r="40703" spans="43:43" x14ac:dyDescent="0.2">
      <c r="AQ40703" s="31"/>
    </row>
    <row r="40704" spans="43:43" x14ac:dyDescent="0.2">
      <c r="AQ40704" s="31"/>
    </row>
    <row r="40705" spans="43:43" x14ac:dyDescent="0.2">
      <c r="AQ40705" s="31"/>
    </row>
    <row r="40706" spans="43:43" x14ac:dyDescent="0.2">
      <c r="AQ40706" s="31"/>
    </row>
    <row r="40707" spans="43:43" x14ac:dyDescent="0.2">
      <c r="AQ40707" s="31"/>
    </row>
    <row r="40708" spans="43:43" x14ac:dyDescent="0.2">
      <c r="AQ40708" s="31"/>
    </row>
    <row r="40709" spans="43:43" x14ac:dyDescent="0.2">
      <c r="AQ40709" s="31"/>
    </row>
    <row r="40710" spans="43:43" x14ac:dyDescent="0.2">
      <c r="AQ40710" s="31"/>
    </row>
    <row r="40711" spans="43:43" x14ac:dyDescent="0.2">
      <c r="AQ40711" s="31"/>
    </row>
    <row r="40712" spans="43:43" x14ac:dyDescent="0.2">
      <c r="AQ40712" s="31"/>
    </row>
    <row r="40713" spans="43:43" x14ac:dyDescent="0.2">
      <c r="AQ40713" s="31"/>
    </row>
    <row r="40714" spans="43:43" x14ac:dyDescent="0.2">
      <c r="AQ40714" s="31"/>
    </row>
    <row r="40715" spans="43:43" x14ac:dyDescent="0.2">
      <c r="AQ40715" s="31"/>
    </row>
    <row r="40716" spans="43:43" x14ac:dyDescent="0.2">
      <c r="AQ40716" s="31"/>
    </row>
    <row r="40717" spans="43:43" x14ac:dyDescent="0.2">
      <c r="AQ40717" s="31"/>
    </row>
    <row r="40718" spans="43:43" x14ac:dyDescent="0.2">
      <c r="AQ40718" s="31"/>
    </row>
    <row r="40719" spans="43:43" x14ac:dyDescent="0.2">
      <c r="AQ40719" s="31"/>
    </row>
    <row r="40720" spans="43:43" x14ac:dyDescent="0.2">
      <c r="AQ40720" s="31"/>
    </row>
    <row r="40721" spans="43:43" x14ac:dyDescent="0.2">
      <c r="AQ40721" s="31"/>
    </row>
    <row r="40722" spans="43:43" x14ac:dyDescent="0.2">
      <c r="AQ40722" s="31"/>
    </row>
    <row r="40723" spans="43:43" x14ac:dyDescent="0.2">
      <c r="AQ40723" s="31"/>
    </row>
    <row r="40724" spans="43:43" x14ac:dyDescent="0.2">
      <c r="AQ40724" s="31"/>
    </row>
    <row r="40725" spans="43:43" x14ac:dyDescent="0.2">
      <c r="AQ40725" s="31"/>
    </row>
    <row r="40726" spans="43:43" x14ac:dyDescent="0.2">
      <c r="AQ40726" s="31"/>
    </row>
    <row r="40727" spans="43:43" x14ac:dyDescent="0.2">
      <c r="AQ40727" s="31"/>
    </row>
    <row r="40728" spans="43:43" x14ac:dyDescent="0.2">
      <c r="AQ40728" s="31"/>
    </row>
    <row r="40729" spans="43:43" x14ac:dyDescent="0.2">
      <c r="AQ40729" s="31"/>
    </row>
    <row r="40730" spans="43:43" x14ac:dyDescent="0.2">
      <c r="AQ40730" s="31"/>
    </row>
    <row r="40731" spans="43:43" x14ac:dyDescent="0.2">
      <c r="AQ40731" s="31"/>
    </row>
    <row r="40732" spans="43:43" x14ac:dyDescent="0.2">
      <c r="AQ40732" s="31"/>
    </row>
    <row r="40733" spans="43:43" x14ac:dyDescent="0.2">
      <c r="AQ40733" s="31"/>
    </row>
    <row r="40734" spans="43:43" x14ac:dyDescent="0.2">
      <c r="AQ40734" s="31"/>
    </row>
    <row r="40735" spans="43:43" x14ac:dyDescent="0.2">
      <c r="AQ40735" s="31"/>
    </row>
    <row r="40736" spans="43:43" x14ac:dyDescent="0.2">
      <c r="AQ40736" s="31"/>
    </row>
    <row r="40737" spans="43:43" x14ac:dyDescent="0.2">
      <c r="AQ40737" s="31"/>
    </row>
    <row r="40738" spans="43:43" x14ac:dyDescent="0.2">
      <c r="AQ40738" s="31"/>
    </row>
    <row r="40739" spans="43:43" x14ac:dyDescent="0.2">
      <c r="AQ40739" s="31"/>
    </row>
    <row r="40740" spans="43:43" x14ac:dyDescent="0.2">
      <c r="AQ40740" s="31"/>
    </row>
    <row r="40741" spans="43:43" x14ac:dyDescent="0.2">
      <c r="AQ40741" s="31"/>
    </row>
    <row r="40742" spans="43:43" x14ac:dyDescent="0.2">
      <c r="AQ40742" s="31"/>
    </row>
    <row r="40743" spans="43:43" x14ac:dyDescent="0.2">
      <c r="AQ40743" s="31"/>
    </row>
    <row r="40744" spans="43:43" x14ac:dyDescent="0.2">
      <c r="AQ40744" s="31"/>
    </row>
    <row r="40745" spans="43:43" x14ac:dyDescent="0.2">
      <c r="AQ40745" s="31"/>
    </row>
    <row r="40746" spans="43:43" x14ac:dyDescent="0.2">
      <c r="AQ40746" s="31"/>
    </row>
    <row r="40747" spans="43:43" x14ac:dyDescent="0.2">
      <c r="AQ40747" s="31"/>
    </row>
    <row r="40748" spans="43:43" x14ac:dyDescent="0.2">
      <c r="AQ40748" s="31"/>
    </row>
    <row r="40749" spans="43:43" x14ac:dyDescent="0.2">
      <c r="AQ40749" s="31"/>
    </row>
    <row r="40750" spans="43:43" x14ac:dyDescent="0.2">
      <c r="AQ40750" s="31"/>
    </row>
    <row r="40751" spans="43:43" x14ac:dyDescent="0.2">
      <c r="AQ40751" s="31"/>
    </row>
    <row r="40752" spans="43:43" x14ac:dyDescent="0.2">
      <c r="AQ40752" s="31"/>
    </row>
    <row r="40753" spans="43:43" x14ac:dyDescent="0.2">
      <c r="AQ40753" s="31"/>
    </row>
    <row r="40754" spans="43:43" x14ac:dyDescent="0.2">
      <c r="AQ40754" s="31"/>
    </row>
    <row r="40755" spans="43:43" x14ac:dyDescent="0.2">
      <c r="AQ40755" s="31"/>
    </row>
    <row r="40756" spans="43:43" x14ac:dyDescent="0.2">
      <c r="AQ40756" s="31"/>
    </row>
    <row r="40757" spans="43:43" x14ac:dyDescent="0.2">
      <c r="AQ40757" s="31"/>
    </row>
    <row r="40758" spans="43:43" x14ac:dyDescent="0.2">
      <c r="AQ40758" s="31"/>
    </row>
    <row r="40759" spans="43:43" x14ac:dyDescent="0.2">
      <c r="AQ40759" s="31"/>
    </row>
    <row r="40760" spans="43:43" x14ac:dyDescent="0.2">
      <c r="AQ40760" s="31"/>
    </row>
    <row r="40761" spans="43:43" x14ac:dyDescent="0.2">
      <c r="AQ40761" s="31"/>
    </row>
    <row r="40762" spans="43:43" x14ac:dyDescent="0.2">
      <c r="AQ40762" s="31"/>
    </row>
    <row r="40763" spans="43:43" x14ac:dyDescent="0.2">
      <c r="AQ40763" s="31"/>
    </row>
    <row r="40764" spans="43:43" x14ac:dyDescent="0.2">
      <c r="AQ40764" s="31"/>
    </row>
    <row r="40765" spans="43:43" x14ac:dyDescent="0.2">
      <c r="AQ40765" s="31"/>
    </row>
    <row r="40766" spans="43:43" x14ac:dyDescent="0.2">
      <c r="AQ40766" s="31"/>
    </row>
    <row r="40767" spans="43:43" x14ac:dyDescent="0.2">
      <c r="AQ40767" s="31"/>
    </row>
    <row r="40768" spans="43:43" x14ac:dyDescent="0.2">
      <c r="AQ40768" s="31"/>
    </row>
    <row r="40769" spans="43:43" x14ac:dyDescent="0.2">
      <c r="AQ40769" s="31"/>
    </row>
    <row r="40770" spans="43:43" x14ac:dyDescent="0.2">
      <c r="AQ40770" s="31"/>
    </row>
    <row r="40771" spans="43:43" x14ac:dyDescent="0.2">
      <c r="AQ40771" s="31"/>
    </row>
    <row r="40772" spans="43:43" x14ac:dyDescent="0.2">
      <c r="AQ40772" s="31"/>
    </row>
    <row r="40773" spans="43:43" x14ac:dyDescent="0.2">
      <c r="AQ40773" s="31"/>
    </row>
    <row r="40774" spans="43:43" x14ac:dyDescent="0.2">
      <c r="AQ40774" s="31"/>
    </row>
    <row r="40775" spans="43:43" x14ac:dyDescent="0.2">
      <c r="AQ40775" s="31"/>
    </row>
    <row r="40776" spans="43:43" x14ac:dyDescent="0.2">
      <c r="AQ40776" s="31"/>
    </row>
    <row r="40777" spans="43:43" x14ac:dyDescent="0.2">
      <c r="AQ40777" s="31"/>
    </row>
    <row r="40778" spans="43:43" x14ac:dyDescent="0.2">
      <c r="AQ40778" s="31"/>
    </row>
    <row r="40779" spans="43:43" x14ac:dyDescent="0.2">
      <c r="AQ40779" s="31"/>
    </row>
    <row r="40780" spans="43:43" x14ac:dyDescent="0.2">
      <c r="AQ40780" s="31"/>
    </row>
    <row r="40781" spans="43:43" x14ac:dyDescent="0.2">
      <c r="AQ40781" s="31"/>
    </row>
    <row r="40782" spans="43:43" x14ac:dyDescent="0.2">
      <c r="AQ40782" s="31"/>
    </row>
    <row r="40783" spans="43:43" x14ac:dyDescent="0.2">
      <c r="AQ40783" s="31"/>
    </row>
    <row r="40784" spans="43:43" x14ac:dyDescent="0.2">
      <c r="AQ40784" s="31"/>
    </row>
    <row r="40785" spans="43:43" x14ac:dyDescent="0.2">
      <c r="AQ40785" s="31"/>
    </row>
    <row r="40786" spans="43:43" x14ac:dyDescent="0.2">
      <c r="AQ40786" s="31"/>
    </row>
    <row r="40787" spans="43:43" x14ac:dyDescent="0.2">
      <c r="AQ40787" s="31"/>
    </row>
    <row r="40788" spans="43:43" x14ac:dyDescent="0.2">
      <c r="AQ40788" s="31"/>
    </row>
    <row r="40789" spans="43:43" x14ac:dyDescent="0.2">
      <c r="AQ40789" s="31"/>
    </row>
    <row r="40790" spans="43:43" x14ac:dyDescent="0.2">
      <c r="AQ40790" s="31"/>
    </row>
    <row r="40791" spans="43:43" x14ac:dyDescent="0.2">
      <c r="AQ40791" s="31"/>
    </row>
    <row r="40792" spans="43:43" x14ac:dyDescent="0.2">
      <c r="AQ40792" s="31"/>
    </row>
    <row r="40793" spans="43:43" x14ac:dyDescent="0.2">
      <c r="AQ40793" s="31"/>
    </row>
    <row r="40794" spans="43:43" x14ac:dyDescent="0.2">
      <c r="AQ40794" s="31"/>
    </row>
    <row r="40795" spans="43:43" x14ac:dyDescent="0.2">
      <c r="AQ40795" s="31"/>
    </row>
    <row r="40796" spans="43:43" x14ac:dyDescent="0.2">
      <c r="AQ40796" s="31"/>
    </row>
    <row r="40797" spans="43:43" x14ac:dyDescent="0.2">
      <c r="AQ40797" s="31"/>
    </row>
    <row r="40798" spans="43:43" x14ac:dyDescent="0.2">
      <c r="AQ40798" s="31"/>
    </row>
    <row r="40799" spans="43:43" x14ac:dyDescent="0.2">
      <c r="AQ40799" s="31"/>
    </row>
    <row r="40800" spans="43:43" x14ac:dyDescent="0.2">
      <c r="AQ40800" s="31"/>
    </row>
    <row r="40801" spans="43:43" x14ac:dyDescent="0.2">
      <c r="AQ40801" s="31"/>
    </row>
    <row r="40802" spans="43:43" x14ac:dyDescent="0.2">
      <c r="AQ40802" s="31"/>
    </row>
    <row r="40803" spans="43:43" x14ac:dyDescent="0.2">
      <c r="AQ40803" s="31"/>
    </row>
    <row r="40804" spans="43:43" x14ac:dyDescent="0.2">
      <c r="AQ40804" s="31"/>
    </row>
    <row r="40805" spans="43:43" x14ac:dyDescent="0.2">
      <c r="AQ40805" s="31"/>
    </row>
    <row r="40806" spans="43:43" x14ac:dyDescent="0.2">
      <c r="AQ40806" s="31"/>
    </row>
    <row r="40807" spans="43:43" x14ac:dyDescent="0.2">
      <c r="AQ40807" s="31"/>
    </row>
    <row r="40808" spans="43:43" x14ac:dyDescent="0.2">
      <c r="AQ40808" s="31"/>
    </row>
    <row r="40809" spans="43:43" x14ac:dyDescent="0.2">
      <c r="AQ40809" s="31"/>
    </row>
    <row r="40810" spans="43:43" x14ac:dyDescent="0.2">
      <c r="AQ40810" s="31"/>
    </row>
    <row r="40811" spans="43:43" x14ac:dyDescent="0.2">
      <c r="AQ40811" s="31"/>
    </row>
    <row r="40812" spans="43:43" x14ac:dyDescent="0.2">
      <c r="AQ40812" s="31"/>
    </row>
    <row r="40813" spans="43:43" x14ac:dyDescent="0.2">
      <c r="AQ40813" s="31"/>
    </row>
    <row r="40814" spans="43:43" x14ac:dyDescent="0.2">
      <c r="AQ40814" s="31"/>
    </row>
    <row r="40815" spans="43:43" x14ac:dyDescent="0.2">
      <c r="AQ40815" s="31"/>
    </row>
    <row r="40816" spans="43:43" x14ac:dyDescent="0.2">
      <c r="AQ40816" s="31"/>
    </row>
    <row r="40817" spans="43:43" x14ac:dyDescent="0.2">
      <c r="AQ40817" s="31"/>
    </row>
    <row r="40818" spans="43:43" x14ac:dyDescent="0.2">
      <c r="AQ40818" s="31"/>
    </row>
    <row r="40819" spans="43:43" x14ac:dyDescent="0.2">
      <c r="AQ40819" s="31"/>
    </row>
    <row r="40820" spans="43:43" x14ac:dyDescent="0.2">
      <c r="AQ40820" s="31"/>
    </row>
    <row r="40821" spans="43:43" x14ac:dyDescent="0.2">
      <c r="AQ40821" s="31"/>
    </row>
    <row r="40822" spans="43:43" x14ac:dyDescent="0.2">
      <c r="AQ40822" s="31"/>
    </row>
    <row r="40823" spans="43:43" x14ac:dyDescent="0.2">
      <c r="AQ40823" s="31"/>
    </row>
    <row r="40824" spans="43:43" x14ac:dyDescent="0.2">
      <c r="AQ40824" s="31"/>
    </row>
    <row r="40825" spans="43:43" x14ac:dyDescent="0.2">
      <c r="AQ40825" s="31"/>
    </row>
    <row r="40826" spans="43:43" x14ac:dyDescent="0.2">
      <c r="AQ40826" s="31"/>
    </row>
    <row r="40827" spans="43:43" x14ac:dyDescent="0.2">
      <c r="AQ40827" s="31"/>
    </row>
    <row r="40828" spans="43:43" x14ac:dyDescent="0.2">
      <c r="AQ40828" s="31"/>
    </row>
    <row r="40829" spans="43:43" x14ac:dyDescent="0.2">
      <c r="AQ40829" s="31"/>
    </row>
    <row r="40830" spans="43:43" x14ac:dyDescent="0.2">
      <c r="AQ40830" s="31"/>
    </row>
    <row r="40831" spans="43:43" x14ac:dyDescent="0.2">
      <c r="AQ40831" s="31"/>
    </row>
    <row r="40832" spans="43:43" x14ac:dyDescent="0.2">
      <c r="AQ40832" s="31"/>
    </row>
    <row r="40833" spans="43:43" x14ac:dyDescent="0.2">
      <c r="AQ40833" s="31"/>
    </row>
    <row r="40834" spans="43:43" x14ac:dyDescent="0.2">
      <c r="AQ40834" s="31"/>
    </row>
    <row r="40835" spans="43:43" x14ac:dyDescent="0.2">
      <c r="AQ40835" s="31"/>
    </row>
    <row r="40836" spans="43:43" x14ac:dyDescent="0.2">
      <c r="AQ40836" s="31"/>
    </row>
    <row r="40837" spans="43:43" x14ac:dyDescent="0.2">
      <c r="AQ40837" s="31"/>
    </row>
    <row r="40838" spans="43:43" x14ac:dyDescent="0.2">
      <c r="AQ40838" s="31"/>
    </row>
    <row r="40839" spans="43:43" x14ac:dyDescent="0.2">
      <c r="AQ40839" s="31"/>
    </row>
    <row r="40840" spans="43:43" x14ac:dyDescent="0.2">
      <c r="AQ40840" s="31"/>
    </row>
    <row r="40841" spans="43:43" x14ac:dyDescent="0.2">
      <c r="AQ40841" s="31"/>
    </row>
    <row r="40842" spans="43:43" x14ac:dyDescent="0.2">
      <c r="AQ40842" s="31"/>
    </row>
    <row r="40843" spans="43:43" x14ac:dyDescent="0.2">
      <c r="AQ40843" s="31"/>
    </row>
    <row r="40844" spans="43:43" x14ac:dyDescent="0.2">
      <c r="AQ40844" s="31"/>
    </row>
    <row r="40845" spans="43:43" x14ac:dyDescent="0.2">
      <c r="AQ40845" s="31"/>
    </row>
    <row r="40846" spans="43:43" x14ac:dyDescent="0.2">
      <c r="AQ40846" s="31"/>
    </row>
    <row r="40847" spans="43:43" x14ac:dyDescent="0.2">
      <c r="AQ40847" s="31"/>
    </row>
    <row r="40848" spans="43:43" x14ac:dyDescent="0.2">
      <c r="AQ40848" s="31"/>
    </row>
    <row r="40849" spans="43:43" x14ac:dyDescent="0.2">
      <c r="AQ40849" s="31"/>
    </row>
    <row r="40850" spans="43:43" x14ac:dyDescent="0.2">
      <c r="AQ40850" s="31"/>
    </row>
    <row r="40851" spans="43:43" x14ac:dyDescent="0.2">
      <c r="AQ40851" s="31"/>
    </row>
    <row r="40852" spans="43:43" x14ac:dyDescent="0.2">
      <c r="AQ40852" s="31"/>
    </row>
    <row r="40853" spans="43:43" x14ac:dyDescent="0.2">
      <c r="AQ40853" s="31"/>
    </row>
    <row r="40854" spans="43:43" x14ac:dyDescent="0.2">
      <c r="AQ40854" s="31"/>
    </row>
    <row r="40855" spans="43:43" x14ac:dyDescent="0.2">
      <c r="AQ40855" s="31"/>
    </row>
    <row r="40856" spans="43:43" x14ac:dyDescent="0.2">
      <c r="AQ40856" s="31"/>
    </row>
    <row r="40857" spans="43:43" x14ac:dyDescent="0.2">
      <c r="AQ40857" s="31"/>
    </row>
    <row r="40858" spans="43:43" x14ac:dyDescent="0.2">
      <c r="AQ40858" s="31"/>
    </row>
    <row r="40859" spans="43:43" x14ac:dyDescent="0.2">
      <c r="AQ40859" s="31"/>
    </row>
    <row r="40860" spans="43:43" x14ac:dyDescent="0.2">
      <c r="AQ40860" s="31"/>
    </row>
    <row r="40861" spans="43:43" x14ac:dyDescent="0.2">
      <c r="AQ40861" s="31"/>
    </row>
    <row r="40862" spans="43:43" x14ac:dyDescent="0.2">
      <c r="AQ40862" s="31"/>
    </row>
    <row r="40863" spans="43:43" x14ac:dyDescent="0.2">
      <c r="AQ40863" s="31"/>
    </row>
    <row r="40864" spans="43:43" x14ac:dyDescent="0.2">
      <c r="AQ40864" s="31"/>
    </row>
    <row r="40865" spans="43:43" x14ac:dyDescent="0.2">
      <c r="AQ40865" s="31"/>
    </row>
    <row r="40866" spans="43:43" x14ac:dyDescent="0.2">
      <c r="AQ40866" s="31"/>
    </row>
    <row r="40867" spans="43:43" x14ac:dyDescent="0.2">
      <c r="AQ40867" s="31"/>
    </row>
    <row r="40868" spans="43:43" x14ac:dyDescent="0.2">
      <c r="AQ40868" s="31"/>
    </row>
    <row r="40869" spans="43:43" x14ac:dyDescent="0.2">
      <c r="AQ40869" s="31"/>
    </row>
    <row r="40870" spans="43:43" x14ac:dyDescent="0.2">
      <c r="AQ40870" s="31"/>
    </row>
    <row r="40871" spans="43:43" x14ac:dyDescent="0.2">
      <c r="AQ40871" s="31"/>
    </row>
    <row r="40872" spans="43:43" x14ac:dyDescent="0.2">
      <c r="AQ40872" s="31"/>
    </row>
    <row r="40873" spans="43:43" x14ac:dyDescent="0.2">
      <c r="AQ40873" s="31"/>
    </row>
    <row r="40874" spans="43:43" x14ac:dyDescent="0.2">
      <c r="AQ40874" s="31"/>
    </row>
    <row r="40875" spans="43:43" x14ac:dyDescent="0.2">
      <c r="AQ40875" s="31"/>
    </row>
    <row r="40876" spans="43:43" x14ac:dyDescent="0.2">
      <c r="AQ40876" s="31"/>
    </row>
    <row r="40877" spans="43:43" x14ac:dyDescent="0.2">
      <c r="AQ40877" s="31"/>
    </row>
    <row r="40878" spans="43:43" x14ac:dyDescent="0.2">
      <c r="AQ40878" s="31"/>
    </row>
    <row r="40879" spans="43:43" x14ac:dyDescent="0.2">
      <c r="AQ40879" s="31"/>
    </row>
    <row r="40880" spans="43:43" x14ac:dyDescent="0.2">
      <c r="AQ40880" s="31"/>
    </row>
    <row r="40881" spans="43:43" x14ac:dyDescent="0.2">
      <c r="AQ40881" s="31"/>
    </row>
    <row r="40882" spans="43:43" x14ac:dyDescent="0.2">
      <c r="AQ40882" s="31"/>
    </row>
    <row r="40883" spans="43:43" x14ac:dyDescent="0.2">
      <c r="AQ40883" s="31"/>
    </row>
    <row r="40884" spans="43:43" x14ac:dyDescent="0.2">
      <c r="AQ40884" s="31"/>
    </row>
    <row r="40885" spans="43:43" x14ac:dyDescent="0.2">
      <c r="AQ40885" s="31"/>
    </row>
    <row r="40886" spans="43:43" x14ac:dyDescent="0.2">
      <c r="AQ40886" s="31"/>
    </row>
    <row r="40887" spans="43:43" x14ac:dyDescent="0.2">
      <c r="AQ40887" s="31"/>
    </row>
    <row r="40888" spans="43:43" x14ac:dyDescent="0.2">
      <c r="AQ40888" s="31"/>
    </row>
    <row r="40889" spans="43:43" x14ac:dyDescent="0.2">
      <c r="AQ40889" s="31"/>
    </row>
    <row r="40890" spans="43:43" x14ac:dyDescent="0.2">
      <c r="AQ40890" s="31"/>
    </row>
    <row r="40891" spans="43:43" x14ac:dyDescent="0.2">
      <c r="AQ40891" s="31"/>
    </row>
    <row r="40892" spans="43:43" x14ac:dyDescent="0.2">
      <c r="AQ40892" s="31"/>
    </row>
    <row r="40893" spans="43:43" x14ac:dyDescent="0.2">
      <c r="AQ40893" s="31"/>
    </row>
    <row r="40894" spans="43:43" x14ac:dyDescent="0.2">
      <c r="AQ40894" s="31"/>
    </row>
    <row r="40895" spans="43:43" x14ac:dyDescent="0.2">
      <c r="AQ40895" s="31"/>
    </row>
    <row r="40896" spans="43:43" x14ac:dyDescent="0.2">
      <c r="AQ40896" s="31"/>
    </row>
    <row r="40897" spans="43:43" x14ac:dyDescent="0.2">
      <c r="AQ40897" s="31"/>
    </row>
    <row r="40898" spans="43:43" x14ac:dyDescent="0.2">
      <c r="AQ40898" s="31"/>
    </row>
    <row r="40899" spans="43:43" x14ac:dyDescent="0.2">
      <c r="AQ40899" s="31"/>
    </row>
    <row r="40900" spans="43:43" x14ac:dyDescent="0.2">
      <c r="AQ40900" s="31"/>
    </row>
    <row r="40901" spans="43:43" x14ac:dyDescent="0.2">
      <c r="AQ40901" s="31"/>
    </row>
    <row r="40902" spans="43:43" x14ac:dyDescent="0.2">
      <c r="AQ40902" s="31"/>
    </row>
    <row r="40903" spans="43:43" x14ac:dyDescent="0.2">
      <c r="AQ40903" s="31"/>
    </row>
    <row r="40904" spans="43:43" x14ac:dyDescent="0.2">
      <c r="AQ40904" s="31"/>
    </row>
    <row r="40905" spans="43:43" x14ac:dyDescent="0.2">
      <c r="AQ40905" s="31"/>
    </row>
    <row r="40906" spans="43:43" x14ac:dyDescent="0.2">
      <c r="AQ40906" s="31"/>
    </row>
    <row r="40907" spans="43:43" x14ac:dyDescent="0.2">
      <c r="AQ40907" s="31"/>
    </row>
    <row r="40908" spans="43:43" x14ac:dyDescent="0.2">
      <c r="AQ40908" s="31"/>
    </row>
    <row r="40909" spans="43:43" x14ac:dyDescent="0.2">
      <c r="AQ40909" s="31"/>
    </row>
    <row r="40910" spans="43:43" x14ac:dyDescent="0.2">
      <c r="AQ40910" s="31"/>
    </row>
    <row r="40911" spans="43:43" x14ac:dyDescent="0.2">
      <c r="AQ40911" s="31"/>
    </row>
    <row r="40912" spans="43:43" x14ac:dyDescent="0.2">
      <c r="AQ40912" s="31"/>
    </row>
    <row r="40913" spans="43:43" x14ac:dyDescent="0.2">
      <c r="AQ40913" s="31"/>
    </row>
    <row r="40914" spans="43:43" x14ac:dyDescent="0.2">
      <c r="AQ40914" s="31"/>
    </row>
    <row r="40915" spans="43:43" x14ac:dyDescent="0.2">
      <c r="AQ40915" s="31"/>
    </row>
    <row r="40916" spans="43:43" x14ac:dyDescent="0.2">
      <c r="AQ40916" s="31"/>
    </row>
    <row r="40917" spans="43:43" x14ac:dyDescent="0.2">
      <c r="AQ40917" s="31"/>
    </row>
    <row r="40918" spans="43:43" x14ac:dyDescent="0.2">
      <c r="AQ40918" s="31"/>
    </row>
    <row r="40919" spans="43:43" x14ac:dyDescent="0.2">
      <c r="AQ40919" s="31"/>
    </row>
    <row r="40920" spans="43:43" x14ac:dyDescent="0.2">
      <c r="AQ40920" s="31"/>
    </row>
    <row r="40921" spans="43:43" x14ac:dyDescent="0.2">
      <c r="AQ40921" s="31"/>
    </row>
    <row r="40922" spans="43:43" x14ac:dyDescent="0.2">
      <c r="AQ40922" s="31"/>
    </row>
    <row r="40923" spans="43:43" x14ac:dyDescent="0.2">
      <c r="AQ40923" s="31"/>
    </row>
    <row r="40924" spans="43:43" x14ac:dyDescent="0.2">
      <c r="AQ40924" s="31"/>
    </row>
    <row r="40925" spans="43:43" x14ac:dyDescent="0.2">
      <c r="AQ40925" s="31"/>
    </row>
    <row r="40926" spans="43:43" x14ac:dyDescent="0.2">
      <c r="AQ40926" s="31"/>
    </row>
    <row r="40927" spans="43:43" x14ac:dyDescent="0.2">
      <c r="AQ40927" s="31"/>
    </row>
    <row r="40928" spans="43:43" x14ac:dyDescent="0.2">
      <c r="AQ40928" s="31"/>
    </row>
    <row r="40929" spans="43:43" x14ac:dyDescent="0.2">
      <c r="AQ40929" s="31"/>
    </row>
    <row r="40930" spans="43:43" x14ac:dyDescent="0.2">
      <c r="AQ40930" s="31"/>
    </row>
    <row r="40931" spans="43:43" x14ac:dyDescent="0.2">
      <c r="AQ40931" s="31"/>
    </row>
    <row r="40932" spans="43:43" x14ac:dyDescent="0.2">
      <c r="AQ40932" s="31"/>
    </row>
    <row r="40933" spans="43:43" x14ac:dyDescent="0.2">
      <c r="AQ40933" s="31"/>
    </row>
    <row r="40934" spans="43:43" x14ac:dyDescent="0.2">
      <c r="AQ40934" s="31"/>
    </row>
    <row r="40935" spans="43:43" x14ac:dyDescent="0.2">
      <c r="AQ40935" s="31"/>
    </row>
    <row r="40936" spans="43:43" x14ac:dyDescent="0.2">
      <c r="AQ40936" s="31"/>
    </row>
    <row r="40937" spans="43:43" x14ac:dyDescent="0.2">
      <c r="AQ40937" s="31"/>
    </row>
    <row r="40938" spans="43:43" x14ac:dyDescent="0.2">
      <c r="AQ40938" s="31"/>
    </row>
    <row r="40939" spans="43:43" x14ac:dyDescent="0.2">
      <c r="AQ40939" s="31"/>
    </row>
    <row r="40940" spans="43:43" x14ac:dyDescent="0.2">
      <c r="AQ40940" s="31"/>
    </row>
    <row r="40941" spans="43:43" x14ac:dyDescent="0.2">
      <c r="AQ40941" s="31"/>
    </row>
    <row r="40942" spans="43:43" x14ac:dyDescent="0.2">
      <c r="AQ40942" s="31"/>
    </row>
    <row r="40943" spans="43:43" x14ac:dyDescent="0.2">
      <c r="AQ40943" s="31"/>
    </row>
    <row r="40944" spans="43:43" x14ac:dyDescent="0.2">
      <c r="AQ40944" s="31"/>
    </row>
    <row r="40945" spans="43:43" x14ac:dyDescent="0.2">
      <c r="AQ40945" s="31"/>
    </row>
    <row r="40946" spans="43:43" x14ac:dyDescent="0.2">
      <c r="AQ40946" s="31"/>
    </row>
    <row r="40947" spans="43:43" x14ac:dyDescent="0.2">
      <c r="AQ40947" s="31"/>
    </row>
    <row r="40948" spans="43:43" x14ac:dyDescent="0.2">
      <c r="AQ40948" s="31"/>
    </row>
    <row r="40949" spans="43:43" x14ac:dyDescent="0.2">
      <c r="AQ40949" s="31"/>
    </row>
    <row r="40950" spans="43:43" x14ac:dyDescent="0.2">
      <c r="AQ40950" s="31"/>
    </row>
    <row r="40951" spans="43:43" x14ac:dyDescent="0.2">
      <c r="AQ40951" s="31"/>
    </row>
    <row r="40952" spans="43:43" x14ac:dyDescent="0.2">
      <c r="AQ40952" s="31"/>
    </row>
    <row r="40953" spans="43:43" x14ac:dyDescent="0.2">
      <c r="AQ40953" s="31"/>
    </row>
    <row r="40954" spans="43:43" x14ac:dyDescent="0.2">
      <c r="AQ40954" s="31"/>
    </row>
    <row r="40955" spans="43:43" x14ac:dyDescent="0.2">
      <c r="AQ40955" s="31"/>
    </row>
    <row r="40956" spans="43:43" x14ac:dyDescent="0.2">
      <c r="AQ40956" s="31"/>
    </row>
    <row r="40957" spans="43:43" x14ac:dyDescent="0.2">
      <c r="AQ40957" s="31"/>
    </row>
    <row r="40958" spans="43:43" x14ac:dyDescent="0.2">
      <c r="AQ40958" s="31"/>
    </row>
    <row r="40959" spans="43:43" x14ac:dyDescent="0.2">
      <c r="AQ40959" s="31"/>
    </row>
    <row r="40960" spans="43:43" x14ac:dyDescent="0.2">
      <c r="AQ40960" s="31"/>
    </row>
    <row r="40961" spans="43:43" x14ac:dyDescent="0.2">
      <c r="AQ40961" s="31"/>
    </row>
    <row r="40962" spans="43:43" x14ac:dyDescent="0.2">
      <c r="AQ40962" s="31"/>
    </row>
    <row r="40963" spans="43:43" x14ac:dyDescent="0.2">
      <c r="AQ40963" s="31"/>
    </row>
    <row r="40964" spans="43:43" x14ac:dyDescent="0.2">
      <c r="AQ40964" s="31"/>
    </row>
    <row r="40965" spans="43:43" x14ac:dyDescent="0.2">
      <c r="AQ40965" s="31"/>
    </row>
    <row r="40966" spans="43:43" x14ac:dyDescent="0.2">
      <c r="AQ40966" s="31"/>
    </row>
    <row r="40967" spans="43:43" x14ac:dyDescent="0.2">
      <c r="AQ40967" s="31"/>
    </row>
    <row r="40968" spans="43:43" x14ac:dyDescent="0.2">
      <c r="AQ40968" s="31"/>
    </row>
    <row r="40969" spans="43:43" x14ac:dyDescent="0.2">
      <c r="AQ40969" s="31"/>
    </row>
    <row r="40970" spans="43:43" x14ac:dyDescent="0.2">
      <c r="AQ40970" s="31"/>
    </row>
    <row r="40971" spans="43:43" x14ac:dyDescent="0.2">
      <c r="AQ40971" s="31"/>
    </row>
    <row r="40972" spans="43:43" x14ac:dyDescent="0.2">
      <c r="AQ40972" s="31"/>
    </row>
    <row r="40973" spans="43:43" x14ac:dyDescent="0.2">
      <c r="AQ40973" s="31"/>
    </row>
    <row r="40974" spans="43:43" x14ac:dyDescent="0.2">
      <c r="AQ40974" s="31"/>
    </row>
    <row r="40975" spans="43:43" x14ac:dyDescent="0.2">
      <c r="AQ40975" s="31"/>
    </row>
    <row r="40976" spans="43:43" x14ac:dyDescent="0.2">
      <c r="AQ40976" s="31"/>
    </row>
    <row r="40977" spans="43:43" x14ac:dyDescent="0.2">
      <c r="AQ40977" s="31"/>
    </row>
    <row r="40978" spans="43:43" x14ac:dyDescent="0.2">
      <c r="AQ40978" s="31"/>
    </row>
    <row r="40979" spans="43:43" x14ac:dyDescent="0.2">
      <c r="AQ40979" s="31"/>
    </row>
    <row r="40980" spans="43:43" x14ac:dyDescent="0.2">
      <c r="AQ40980" s="31"/>
    </row>
    <row r="40981" spans="43:43" x14ac:dyDescent="0.2">
      <c r="AQ40981" s="31"/>
    </row>
    <row r="40982" spans="43:43" x14ac:dyDescent="0.2">
      <c r="AQ40982" s="31"/>
    </row>
    <row r="40983" spans="43:43" x14ac:dyDescent="0.2">
      <c r="AQ40983" s="31"/>
    </row>
    <row r="40984" spans="43:43" x14ac:dyDescent="0.2">
      <c r="AQ40984" s="31"/>
    </row>
    <row r="40985" spans="43:43" x14ac:dyDescent="0.2">
      <c r="AQ40985" s="31"/>
    </row>
    <row r="40986" spans="43:43" x14ac:dyDescent="0.2">
      <c r="AQ40986" s="31"/>
    </row>
    <row r="40987" spans="43:43" x14ac:dyDescent="0.2">
      <c r="AQ40987" s="31"/>
    </row>
    <row r="40988" spans="43:43" x14ac:dyDescent="0.2">
      <c r="AQ40988" s="31"/>
    </row>
    <row r="40989" spans="43:43" x14ac:dyDescent="0.2">
      <c r="AQ40989" s="31"/>
    </row>
    <row r="40990" spans="43:43" x14ac:dyDescent="0.2">
      <c r="AQ40990" s="31"/>
    </row>
    <row r="40991" spans="43:43" x14ac:dyDescent="0.2">
      <c r="AQ40991" s="31"/>
    </row>
    <row r="40992" spans="43:43" x14ac:dyDescent="0.2">
      <c r="AQ40992" s="31"/>
    </row>
    <row r="40993" spans="43:43" x14ac:dyDescent="0.2">
      <c r="AQ40993" s="31"/>
    </row>
    <row r="40994" spans="43:43" x14ac:dyDescent="0.2">
      <c r="AQ40994" s="31"/>
    </row>
    <row r="40995" spans="43:43" x14ac:dyDescent="0.2">
      <c r="AQ40995" s="31"/>
    </row>
    <row r="40996" spans="43:43" x14ac:dyDescent="0.2">
      <c r="AQ40996" s="31"/>
    </row>
    <row r="40997" spans="43:43" x14ac:dyDescent="0.2">
      <c r="AQ40997" s="31"/>
    </row>
    <row r="40998" spans="43:43" x14ac:dyDescent="0.2">
      <c r="AQ40998" s="31"/>
    </row>
    <row r="40999" spans="43:43" x14ac:dyDescent="0.2">
      <c r="AQ40999" s="31"/>
    </row>
    <row r="41000" spans="43:43" x14ac:dyDescent="0.2">
      <c r="AQ41000" s="31"/>
    </row>
    <row r="41001" spans="43:43" x14ac:dyDescent="0.2">
      <c r="AQ41001" s="31"/>
    </row>
    <row r="41002" spans="43:43" x14ac:dyDescent="0.2">
      <c r="AQ41002" s="31"/>
    </row>
    <row r="41003" spans="43:43" x14ac:dyDescent="0.2">
      <c r="AQ41003" s="31"/>
    </row>
    <row r="41004" spans="43:43" x14ac:dyDescent="0.2">
      <c r="AQ41004" s="31"/>
    </row>
    <row r="41005" spans="43:43" x14ac:dyDescent="0.2">
      <c r="AQ41005" s="31"/>
    </row>
    <row r="41006" spans="43:43" x14ac:dyDescent="0.2">
      <c r="AQ41006" s="31"/>
    </row>
    <row r="41007" spans="43:43" x14ac:dyDescent="0.2">
      <c r="AQ41007" s="31"/>
    </row>
    <row r="41008" spans="43:43" x14ac:dyDescent="0.2">
      <c r="AQ41008" s="31"/>
    </row>
    <row r="41009" spans="43:43" x14ac:dyDescent="0.2">
      <c r="AQ41009" s="31"/>
    </row>
    <row r="41010" spans="43:43" x14ac:dyDescent="0.2">
      <c r="AQ41010" s="31"/>
    </row>
    <row r="41011" spans="43:43" x14ac:dyDescent="0.2">
      <c r="AQ41011" s="31"/>
    </row>
    <row r="41012" spans="43:43" x14ac:dyDescent="0.2">
      <c r="AQ41012" s="31"/>
    </row>
    <row r="41013" spans="43:43" x14ac:dyDescent="0.2">
      <c r="AQ41013" s="31"/>
    </row>
    <row r="41014" spans="43:43" x14ac:dyDescent="0.2">
      <c r="AQ41014" s="31"/>
    </row>
    <row r="41015" spans="43:43" x14ac:dyDescent="0.2">
      <c r="AQ41015" s="31"/>
    </row>
    <row r="41016" spans="43:43" x14ac:dyDescent="0.2">
      <c r="AQ41016" s="31"/>
    </row>
    <row r="41017" spans="43:43" x14ac:dyDescent="0.2">
      <c r="AQ41017" s="31"/>
    </row>
    <row r="41018" spans="43:43" x14ac:dyDescent="0.2">
      <c r="AQ41018" s="31"/>
    </row>
    <row r="41019" spans="43:43" x14ac:dyDescent="0.2">
      <c r="AQ41019" s="31"/>
    </row>
    <row r="41020" spans="43:43" x14ac:dyDescent="0.2">
      <c r="AQ41020" s="31"/>
    </row>
    <row r="41021" spans="43:43" x14ac:dyDescent="0.2">
      <c r="AQ41021" s="31"/>
    </row>
    <row r="41022" spans="43:43" x14ac:dyDescent="0.2">
      <c r="AQ41022" s="31"/>
    </row>
    <row r="41023" spans="43:43" x14ac:dyDescent="0.2">
      <c r="AQ41023" s="31"/>
    </row>
    <row r="41024" spans="43:43" x14ac:dyDescent="0.2">
      <c r="AQ41024" s="31"/>
    </row>
    <row r="41025" spans="43:43" x14ac:dyDescent="0.2">
      <c r="AQ41025" s="31"/>
    </row>
    <row r="41026" spans="43:43" x14ac:dyDescent="0.2">
      <c r="AQ41026" s="31"/>
    </row>
    <row r="41027" spans="43:43" x14ac:dyDescent="0.2">
      <c r="AQ41027" s="31"/>
    </row>
    <row r="41028" spans="43:43" x14ac:dyDescent="0.2">
      <c r="AQ41028" s="31"/>
    </row>
    <row r="41029" spans="43:43" x14ac:dyDescent="0.2">
      <c r="AQ41029" s="31"/>
    </row>
    <row r="41030" spans="43:43" x14ac:dyDescent="0.2">
      <c r="AQ41030" s="31"/>
    </row>
    <row r="41031" spans="43:43" x14ac:dyDescent="0.2">
      <c r="AQ41031" s="31"/>
    </row>
    <row r="41032" spans="43:43" x14ac:dyDescent="0.2">
      <c r="AQ41032" s="31"/>
    </row>
    <row r="41033" spans="43:43" x14ac:dyDescent="0.2">
      <c r="AQ41033" s="31"/>
    </row>
    <row r="41034" spans="43:43" x14ac:dyDescent="0.2">
      <c r="AQ41034" s="31"/>
    </row>
    <row r="41035" spans="43:43" x14ac:dyDescent="0.2">
      <c r="AQ41035" s="31"/>
    </row>
    <row r="41036" spans="43:43" x14ac:dyDescent="0.2">
      <c r="AQ41036" s="31"/>
    </row>
    <row r="41037" spans="43:43" x14ac:dyDescent="0.2">
      <c r="AQ41037" s="31"/>
    </row>
    <row r="41038" spans="43:43" x14ac:dyDescent="0.2">
      <c r="AQ41038" s="31"/>
    </row>
    <row r="41039" spans="43:43" x14ac:dyDescent="0.2">
      <c r="AQ41039" s="31"/>
    </row>
    <row r="41040" spans="43:43" x14ac:dyDescent="0.2">
      <c r="AQ41040" s="31"/>
    </row>
    <row r="41041" spans="43:43" x14ac:dyDescent="0.2">
      <c r="AQ41041" s="31"/>
    </row>
    <row r="41042" spans="43:43" x14ac:dyDescent="0.2">
      <c r="AQ41042" s="31"/>
    </row>
    <row r="41043" spans="43:43" x14ac:dyDescent="0.2">
      <c r="AQ41043" s="31"/>
    </row>
    <row r="41044" spans="43:43" x14ac:dyDescent="0.2">
      <c r="AQ41044" s="31"/>
    </row>
    <row r="41045" spans="43:43" x14ac:dyDescent="0.2">
      <c r="AQ41045" s="31"/>
    </row>
    <row r="41046" spans="43:43" x14ac:dyDescent="0.2">
      <c r="AQ41046" s="31"/>
    </row>
    <row r="41047" spans="43:43" x14ac:dyDescent="0.2">
      <c r="AQ41047" s="31"/>
    </row>
    <row r="41048" spans="43:43" x14ac:dyDescent="0.2">
      <c r="AQ41048" s="31"/>
    </row>
    <row r="41049" spans="43:43" x14ac:dyDescent="0.2">
      <c r="AQ41049" s="31"/>
    </row>
    <row r="41050" spans="43:43" x14ac:dyDescent="0.2">
      <c r="AQ41050" s="31"/>
    </row>
    <row r="41051" spans="43:43" x14ac:dyDescent="0.2">
      <c r="AQ41051" s="31"/>
    </row>
    <row r="41052" spans="43:43" x14ac:dyDescent="0.2">
      <c r="AQ41052" s="31"/>
    </row>
    <row r="41053" spans="43:43" x14ac:dyDescent="0.2">
      <c r="AQ41053" s="31"/>
    </row>
    <row r="41054" spans="43:43" x14ac:dyDescent="0.2">
      <c r="AQ41054" s="31"/>
    </row>
    <row r="41055" spans="43:43" x14ac:dyDescent="0.2">
      <c r="AQ41055" s="31"/>
    </row>
    <row r="41056" spans="43:43" x14ac:dyDescent="0.2">
      <c r="AQ41056" s="31"/>
    </row>
    <row r="41057" spans="43:43" x14ac:dyDescent="0.2">
      <c r="AQ41057" s="31"/>
    </row>
    <row r="41058" spans="43:43" x14ac:dyDescent="0.2">
      <c r="AQ41058" s="31"/>
    </row>
    <row r="41059" spans="43:43" x14ac:dyDescent="0.2">
      <c r="AQ41059" s="31"/>
    </row>
    <row r="41060" spans="43:43" x14ac:dyDescent="0.2">
      <c r="AQ41060" s="31"/>
    </row>
    <row r="41061" spans="43:43" x14ac:dyDescent="0.2">
      <c r="AQ41061" s="31"/>
    </row>
    <row r="41062" spans="43:43" x14ac:dyDescent="0.2">
      <c r="AQ41062" s="31"/>
    </row>
    <row r="41063" spans="43:43" x14ac:dyDescent="0.2">
      <c r="AQ41063" s="31"/>
    </row>
    <row r="41064" spans="43:43" x14ac:dyDescent="0.2">
      <c r="AQ41064" s="31"/>
    </row>
    <row r="41065" spans="43:43" x14ac:dyDescent="0.2">
      <c r="AQ41065" s="31"/>
    </row>
    <row r="41066" spans="43:43" x14ac:dyDescent="0.2">
      <c r="AQ41066" s="31"/>
    </row>
    <row r="41067" spans="43:43" x14ac:dyDescent="0.2">
      <c r="AQ41067" s="31"/>
    </row>
    <row r="41068" spans="43:43" x14ac:dyDescent="0.2">
      <c r="AQ41068" s="31"/>
    </row>
    <row r="41069" spans="43:43" x14ac:dyDescent="0.2">
      <c r="AQ41069" s="31"/>
    </row>
    <row r="41070" spans="43:43" x14ac:dyDescent="0.2">
      <c r="AQ41070" s="31"/>
    </row>
    <row r="41071" spans="43:43" x14ac:dyDescent="0.2">
      <c r="AQ41071" s="31"/>
    </row>
    <row r="41072" spans="43:43" x14ac:dyDescent="0.2">
      <c r="AQ41072" s="31"/>
    </row>
    <row r="41073" spans="43:43" x14ac:dyDescent="0.2">
      <c r="AQ41073" s="31"/>
    </row>
    <row r="41074" spans="43:43" x14ac:dyDescent="0.2">
      <c r="AQ41074" s="31"/>
    </row>
    <row r="41075" spans="43:43" x14ac:dyDescent="0.2">
      <c r="AQ41075" s="31"/>
    </row>
    <row r="41076" spans="43:43" x14ac:dyDescent="0.2">
      <c r="AQ41076" s="31"/>
    </row>
    <row r="41077" spans="43:43" x14ac:dyDescent="0.2">
      <c r="AQ41077" s="31"/>
    </row>
    <row r="41078" spans="43:43" x14ac:dyDescent="0.2">
      <c r="AQ41078" s="31"/>
    </row>
    <row r="41079" spans="43:43" x14ac:dyDescent="0.2">
      <c r="AQ41079" s="31"/>
    </row>
    <row r="41080" spans="43:43" x14ac:dyDescent="0.2">
      <c r="AQ41080" s="31"/>
    </row>
    <row r="41081" spans="43:43" x14ac:dyDescent="0.2">
      <c r="AQ41081" s="31"/>
    </row>
    <row r="41082" spans="43:43" x14ac:dyDescent="0.2">
      <c r="AQ41082" s="31"/>
    </row>
    <row r="41083" spans="43:43" x14ac:dyDescent="0.2">
      <c r="AQ41083" s="31"/>
    </row>
    <row r="41084" spans="43:43" x14ac:dyDescent="0.2">
      <c r="AQ41084" s="31"/>
    </row>
    <row r="41085" spans="43:43" x14ac:dyDescent="0.2">
      <c r="AQ41085" s="31"/>
    </row>
    <row r="41086" spans="43:43" x14ac:dyDescent="0.2">
      <c r="AQ41086" s="31"/>
    </row>
    <row r="41087" spans="43:43" x14ac:dyDescent="0.2">
      <c r="AQ41087" s="31"/>
    </row>
    <row r="41088" spans="43:43" x14ac:dyDescent="0.2">
      <c r="AQ41088" s="31"/>
    </row>
    <row r="41089" spans="43:43" x14ac:dyDescent="0.2">
      <c r="AQ41089" s="31"/>
    </row>
    <row r="41090" spans="43:43" x14ac:dyDescent="0.2">
      <c r="AQ41090" s="31"/>
    </row>
    <row r="41091" spans="43:43" x14ac:dyDescent="0.2">
      <c r="AQ41091" s="31"/>
    </row>
    <row r="41092" spans="43:43" x14ac:dyDescent="0.2">
      <c r="AQ41092" s="31"/>
    </row>
    <row r="41093" spans="43:43" x14ac:dyDescent="0.2">
      <c r="AQ41093" s="31"/>
    </row>
    <row r="41094" spans="43:43" x14ac:dyDescent="0.2">
      <c r="AQ41094" s="31"/>
    </row>
    <row r="41095" spans="43:43" x14ac:dyDescent="0.2">
      <c r="AQ41095" s="31"/>
    </row>
    <row r="41096" spans="43:43" x14ac:dyDescent="0.2">
      <c r="AQ41096" s="31"/>
    </row>
    <row r="41097" spans="43:43" x14ac:dyDescent="0.2">
      <c r="AQ41097" s="31"/>
    </row>
    <row r="41098" spans="43:43" x14ac:dyDescent="0.2">
      <c r="AQ41098" s="31"/>
    </row>
    <row r="41099" spans="43:43" x14ac:dyDescent="0.2">
      <c r="AQ41099" s="31"/>
    </row>
    <row r="41100" spans="43:43" x14ac:dyDescent="0.2">
      <c r="AQ41100" s="31"/>
    </row>
    <row r="41101" spans="43:43" x14ac:dyDescent="0.2">
      <c r="AQ41101" s="31"/>
    </row>
    <row r="41102" spans="43:43" x14ac:dyDescent="0.2">
      <c r="AQ41102" s="31"/>
    </row>
    <row r="41103" spans="43:43" x14ac:dyDescent="0.2">
      <c r="AQ41103" s="31"/>
    </row>
    <row r="41104" spans="43:43" x14ac:dyDescent="0.2">
      <c r="AQ41104" s="31"/>
    </row>
    <row r="41105" spans="43:43" x14ac:dyDescent="0.2">
      <c r="AQ41105" s="31"/>
    </row>
    <row r="41106" spans="43:43" x14ac:dyDescent="0.2">
      <c r="AQ41106" s="31"/>
    </row>
    <row r="41107" spans="43:43" x14ac:dyDescent="0.2">
      <c r="AQ41107" s="31"/>
    </row>
    <row r="41108" spans="43:43" x14ac:dyDescent="0.2">
      <c r="AQ41108" s="31"/>
    </row>
    <row r="41109" spans="43:43" x14ac:dyDescent="0.2">
      <c r="AQ41109" s="31"/>
    </row>
    <row r="41110" spans="43:43" x14ac:dyDescent="0.2">
      <c r="AQ41110" s="31"/>
    </row>
    <row r="41111" spans="43:43" x14ac:dyDescent="0.2">
      <c r="AQ41111" s="31"/>
    </row>
    <row r="41112" spans="43:43" x14ac:dyDescent="0.2">
      <c r="AQ41112" s="31"/>
    </row>
    <row r="41113" spans="43:43" x14ac:dyDescent="0.2">
      <c r="AQ41113" s="31"/>
    </row>
    <row r="41114" spans="43:43" x14ac:dyDescent="0.2">
      <c r="AQ41114" s="31"/>
    </row>
    <row r="41115" spans="43:43" x14ac:dyDescent="0.2">
      <c r="AQ41115" s="31"/>
    </row>
    <row r="41116" spans="43:43" x14ac:dyDescent="0.2">
      <c r="AQ41116" s="31"/>
    </row>
    <row r="41117" spans="43:43" x14ac:dyDescent="0.2">
      <c r="AQ41117" s="31"/>
    </row>
    <row r="41118" spans="43:43" x14ac:dyDescent="0.2">
      <c r="AQ41118" s="31"/>
    </row>
    <row r="41119" spans="43:43" x14ac:dyDescent="0.2">
      <c r="AQ41119" s="31"/>
    </row>
    <row r="41120" spans="43:43" x14ac:dyDescent="0.2">
      <c r="AQ41120" s="31"/>
    </row>
    <row r="41121" spans="43:43" x14ac:dyDescent="0.2">
      <c r="AQ41121" s="31"/>
    </row>
    <row r="41122" spans="43:43" x14ac:dyDescent="0.2">
      <c r="AQ41122" s="31"/>
    </row>
    <row r="41123" spans="43:43" x14ac:dyDescent="0.2">
      <c r="AQ41123" s="31"/>
    </row>
    <row r="41124" spans="43:43" x14ac:dyDescent="0.2">
      <c r="AQ41124" s="31"/>
    </row>
    <row r="41125" spans="43:43" x14ac:dyDescent="0.2">
      <c r="AQ41125" s="31"/>
    </row>
    <row r="41126" spans="43:43" x14ac:dyDescent="0.2">
      <c r="AQ41126" s="31"/>
    </row>
    <row r="41127" spans="43:43" x14ac:dyDescent="0.2">
      <c r="AQ41127" s="31"/>
    </row>
    <row r="41128" spans="43:43" x14ac:dyDescent="0.2">
      <c r="AQ41128" s="31"/>
    </row>
    <row r="41129" spans="43:43" x14ac:dyDescent="0.2">
      <c r="AQ41129" s="31"/>
    </row>
    <row r="41130" spans="43:43" x14ac:dyDescent="0.2">
      <c r="AQ41130" s="31"/>
    </row>
    <row r="41131" spans="43:43" x14ac:dyDescent="0.2">
      <c r="AQ41131" s="31"/>
    </row>
    <row r="41132" spans="43:43" x14ac:dyDescent="0.2">
      <c r="AQ41132" s="31"/>
    </row>
    <row r="41133" spans="43:43" x14ac:dyDescent="0.2">
      <c r="AQ41133" s="31"/>
    </row>
    <row r="41134" spans="43:43" x14ac:dyDescent="0.2">
      <c r="AQ41134" s="31"/>
    </row>
    <row r="41135" spans="43:43" x14ac:dyDescent="0.2">
      <c r="AQ41135" s="31"/>
    </row>
    <row r="41136" spans="43:43" x14ac:dyDescent="0.2">
      <c r="AQ41136" s="31"/>
    </row>
    <row r="41137" spans="43:43" x14ac:dyDescent="0.2">
      <c r="AQ41137" s="31"/>
    </row>
    <row r="41138" spans="43:43" x14ac:dyDescent="0.2">
      <c r="AQ41138" s="31"/>
    </row>
    <row r="41139" spans="43:43" x14ac:dyDescent="0.2">
      <c r="AQ41139" s="31"/>
    </row>
    <row r="41140" spans="43:43" x14ac:dyDescent="0.2">
      <c r="AQ41140" s="31"/>
    </row>
    <row r="41141" spans="43:43" x14ac:dyDescent="0.2">
      <c r="AQ41141" s="31"/>
    </row>
    <row r="41142" spans="43:43" x14ac:dyDescent="0.2">
      <c r="AQ41142" s="31"/>
    </row>
    <row r="41143" spans="43:43" x14ac:dyDescent="0.2">
      <c r="AQ41143" s="31"/>
    </row>
    <row r="41144" spans="43:43" x14ac:dyDescent="0.2">
      <c r="AQ41144" s="31"/>
    </row>
    <row r="41145" spans="43:43" x14ac:dyDescent="0.2">
      <c r="AQ41145" s="31"/>
    </row>
    <row r="41146" spans="43:43" x14ac:dyDescent="0.2">
      <c r="AQ41146" s="31"/>
    </row>
    <row r="41147" spans="43:43" x14ac:dyDescent="0.2">
      <c r="AQ41147" s="31"/>
    </row>
    <row r="41148" spans="43:43" x14ac:dyDescent="0.2">
      <c r="AQ41148" s="31"/>
    </row>
    <row r="41149" spans="43:43" x14ac:dyDescent="0.2">
      <c r="AQ41149" s="31"/>
    </row>
    <row r="41150" spans="43:43" x14ac:dyDescent="0.2">
      <c r="AQ41150" s="31"/>
    </row>
    <row r="41151" spans="43:43" x14ac:dyDescent="0.2">
      <c r="AQ41151" s="31"/>
    </row>
    <row r="41152" spans="43:43" x14ac:dyDescent="0.2">
      <c r="AQ41152" s="31"/>
    </row>
    <row r="41153" spans="43:43" x14ac:dyDescent="0.2">
      <c r="AQ41153" s="31"/>
    </row>
    <row r="41154" spans="43:43" x14ac:dyDescent="0.2">
      <c r="AQ41154" s="31"/>
    </row>
    <row r="41155" spans="43:43" x14ac:dyDescent="0.2">
      <c r="AQ41155" s="31"/>
    </row>
    <row r="41156" spans="43:43" x14ac:dyDescent="0.2">
      <c r="AQ41156" s="31"/>
    </row>
    <row r="41157" spans="43:43" x14ac:dyDescent="0.2">
      <c r="AQ41157" s="31"/>
    </row>
    <row r="41158" spans="43:43" x14ac:dyDescent="0.2">
      <c r="AQ41158" s="31"/>
    </row>
    <row r="41159" spans="43:43" x14ac:dyDescent="0.2">
      <c r="AQ41159" s="31"/>
    </row>
    <row r="41160" spans="43:43" x14ac:dyDescent="0.2">
      <c r="AQ41160" s="31"/>
    </row>
    <row r="41161" spans="43:43" x14ac:dyDescent="0.2">
      <c r="AQ41161" s="31"/>
    </row>
    <row r="41162" spans="43:43" x14ac:dyDescent="0.2">
      <c r="AQ41162" s="31"/>
    </row>
    <row r="41163" spans="43:43" x14ac:dyDescent="0.2">
      <c r="AQ41163" s="31"/>
    </row>
    <row r="41164" spans="43:43" x14ac:dyDescent="0.2">
      <c r="AQ41164" s="31"/>
    </row>
    <row r="41165" spans="43:43" x14ac:dyDescent="0.2">
      <c r="AQ41165" s="31"/>
    </row>
    <row r="41166" spans="43:43" x14ac:dyDescent="0.2">
      <c r="AQ41166" s="31"/>
    </row>
    <row r="41167" spans="43:43" x14ac:dyDescent="0.2">
      <c r="AQ41167" s="31"/>
    </row>
    <row r="41168" spans="43:43" x14ac:dyDescent="0.2">
      <c r="AQ41168" s="31"/>
    </row>
    <row r="41169" spans="43:43" x14ac:dyDescent="0.2">
      <c r="AQ41169" s="31"/>
    </row>
    <row r="41170" spans="43:43" x14ac:dyDescent="0.2">
      <c r="AQ41170" s="31"/>
    </row>
    <row r="41171" spans="43:43" x14ac:dyDescent="0.2">
      <c r="AQ41171" s="31"/>
    </row>
    <row r="41172" spans="43:43" x14ac:dyDescent="0.2">
      <c r="AQ41172" s="31"/>
    </row>
    <row r="41173" spans="43:43" x14ac:dyDescent="0.2">
      <c r="AQ41173" s="31"/>
    </row>
    <row r="41174" spans="43:43" x14ac:dyDescent="0.2">
      <c r="AQ41174" s="31"/>
    </row>
    <row r="41175" spans="43:43" x14ac:dyDescent="0.2">
      <c r="AQ41175" s="31"/>
    </row>
    <row r="41176" spans="43:43" x14ac:dyDescent="0.2">
      <c r="AQ41176" s="31"/>
    </row>
    <row r="41177" spans="43:43" x14ac:dyDescent="0.2">
      <c r="AQ41177" s="31"/>
    </row>
    <row r="41178" spans="43:43" x14ac:dyDescent="0.2">
      <c r="AQ41178" s="31"/>
    </row>
    <row r="41179" spans="43:43" x14ac:dyDescent="0.2">
      <c r="AQ41179" s="31"/>
    </row>
    <row r="41180" spans="43:43" x14ac:dyDescent="0.2">
      <c r="AQ41180" s="31"/>
    </row>
    <row r="41181" spans="43:43" x14ac:dyDescent="0.2">
      <c r="AQ41181" s="31"/>
    </row>
    <row r="41182" spans="43:43" x14ac:dyDescent="0.2">
      <c r="AQ41182" s="31"/>
    </row>
    <row r="41183" spans="43:43" x14ac:dyDescent="0.2">
      <c r="AQ41183" s="31"/>
    </row>
    <row r="41184" spans="43:43" x14ac:dyDescent="0.2">
      <c r="AQ41184" s="31"/>
    </row>
    <row r="41185" spans="43:43" x14ac:dyDescent="0.2">
      <c r="AQ41185" s="31"/>
    </row>
    <row r="41186" spans="43:43" x14ac:dyDescent="0.2">
      <c r="AQ41186" s="31"/>
    </row>
    <row r="41187" spans="43:43" x14ac:dyDescent="0.2">
      <c r="AQ41187" s="31"/>
    </row>
    <row r="41188" spans="43:43" x14ac:dyDescent="0.2">
      <c r="AQ41188" s="31"/>
    </row>
    <row r="41189" spans="43:43" x14ac:dyDescent="0.2">
      <c r="AQ41189" s="31"/>
    </row>
    <row r="41190" spans="43:43" x14ac:dyDescent="0.2">
      <c r="AQ41190" s="31"/>
    </row>
    <row r="41191" spans="43:43" x14ac:dyDescent="0.2">
      <c r="AQ41191" s="31"/>
    </row>
    <row r="41192" spans="43:43" x14ac:dyDescent="0.2">
      <c r="AQ41192" s="31"/>
    </row>
    <row r="41193" spans="43:43" x14ac:dyDescent="0.2">
      <c r="AQ41193" s="31"/>
    </row>
    <row r="41194" spans="43:43" x14ac:dyDescent="0.2">
      <c r="AQ41194" s="31"/>
    </row>
    <row r="41195" spans="43:43" x14ac:dyDescent="0.2">
      <c r="AQ41195" s="31"/>
    </row>
    <row r="41196" spans="43:43" x14ac:dyDescent="0.2">
      <c r="AQ41196" s="31"/>
    </row>
    <row r="41197" spans="43:43" x14ac:dyDescent="0.2">
      <c r="AQ41197" s="31"/>
    </row>
    <row r="41198" spans="43:43" x14ac:dyDescent="0.2">
      <c r="AQ41198" s="31"/>
    </row>
    <row r="41199" spans="43:43" x14ac:dyDescent="0.2">
      <c r="AQ41199" s="31"/>
    </row>
    <row r="41200" spans="43:43" x14ac:dyDescent="0.2">
      <c r="AQ41200" s="31"/>
    </row>
    <row r="41201" spans="43:43" x14ac:dyDescent="0.2">
      <c r="AQ41201" s="31"/>
    </row>
    <row r="41202" spans="43:43" x14ac:dyDescent="0.2">
      <c r="AQ41202" s="31"/>
    </row>
    <row r="41203" spans="43:43" x14ac:dyDescent="0.2">
      <c r="AQ41203" s="31"/>
    </row>
    <row r="41204" spans="43:43" x14ac:dyDescent="0.2">
      <c r="AQ41204" s="31"/>
    </row>
    <row r="41205" spans="43:43" x14ac:dyDescent="0.2">
      <c r="AQ41205" s="31"/>
    </row>
    <row r="41206" spans="43:43" x14ac:dyDescent="0.2">
      <c r="AQ41206" s="31"/>
    </row>
    <row r="41207" spans="43:43" x14ac:dyDescent="0.2">
      <c r="AQ41207" s="31"/>
    </row>
    <row r="41208" spans="43:43" x14ac:dyDescent="0.2">
      <c r="AQ41208" s="31"/>
    </row>
    <row r="41209" spans="43:43" x14ac:dyDescent="0.2">
      <c r="AQ41209" s="31"/>
    </row>
    <row r="41210" spans="43:43" x14ac:dyDescent="0.2">
      <c r="AQ41210" s="31"/>
    </row>
    <row r="41211" spans="43:43" x14ac:dyDescent="0.2">
      <c r="AQ41211" s="31"/>
    </row>
    <row r="41212" spans="43:43" x14ac:dyDescent="0.2">
      <c r="AQ41212" s="31"/>
    </row>
    <row r="41213" spans="43:43" x14ac:dyDescent="0.2">
      <c r="AQ41213" s="31"/>
    </row>
    <row r="41214" spans="43:43" x14ac:dyDescent="0.2">
      <c r="AQ41214" s="31"/>
    </row>
    <row r="41215" spans="43:43" x14ac:dyDescent="0.2">
      <c r="AQ41215" s="31"/>
    </row>
    <row r="41216" spans="43:43" x14ac:dyDescent="0.2">
      <c r="AQ41216" s="31"/>
    </row>
    <row r="41217" spans="43:43" x14ac:dyDescent="0.2">
      <c r="AQ41217" s="31"/>
    </row>
    <row r="41218" spans="43:43" x14ac:dyDescent="0.2">
      <c r="AQ41218" s="31"/>
    </row>
    <row r="41219" spans="43:43" x14ac:dyDescent="0.2">
      <c r="AQ41219" s="31"/>
    </row>
    <row r="41220" spans="43:43" x14ac:dyDescent="0.2">
      <c r="AQ41220" s="31"/>
    </row>
    <row r="41221" spans="43:43" x14ac:dyDescent="0.2">
      <c r="AQ41221" s="31"/>
    </row>
    <row r="41222" spans="43:43" x14ac:dyDescent="0.2">
      <c r="AQ41222" s="31"/>
    </row>
    <row r="41223" spans="43:43" x14ac:dyDescent="0.2">
      <c r="AQ41223" s="31"/>
    </row>
    <row r="41224" spans="43:43" x14ac:dyDescent="0.2">
      <c r="AQ41224" s="31"/>
    </row>
    <row r="41225" spans="43:43" x14ac:dyDescent="0.2">
      <c r="AQ41225" s="31"/>
    </row>
    <row r="41226" spans="43:43" x14ac:dyDescent="0.2">
      <c r="AQ41226" s="31"/>
    </row>
    <row r="41227" spans="43:43" x14ac:dyDescent="0.2">
      <c r="AQ41227" s="31"/>
    </row>
    <row r="41228" spans="43:43" x14ac:dyDescent="0.2">
      <c r="AQ41228" s="31"/>
    </row>
    <row r="41229" spans="43:43" x14ac:dyDescent="0.2">
      <c r="AQ41229" s="31"/>
    </row>
    <row r="41230" spans="43:43" x14ac:dyDescent="0.2">
      <c r="AQ41230" s="31"/>
    </row>
    <row r="41231" spans="43:43" x14ac:dyDescent="0.2">
      <c r="AQ41231" s="31"/>
    </row>
    <row r="41232" spans="43:43" x14ac:dyDescent="0.2">
      <c r="AQ41232" s="31"/>
    </row>
    <row r="41233" spans="43:43" x14ac:dyDescent="0.2">
      <c r="AQ41233" s="31"/>
    </row>
    <row r="41234" spans="43:43" x14ac:dyDescent="0.2">
      <c r="AQ41234" s="31"/>
    </row>
    <row r="41235" spans="43:43" x14ac:dyDescent="0.2">
      <c r="AQ41235" s="31"/>
    </row>
    <row r="41236" spans="43:43" x14ac:dyDescent="0.2">
      <c r="AQ41236" s="31"/>
    </row>
    <row r="41237" spans="43:43" x14ac:dyDescent="0.2">
      <c r="AQ41237" s="31"/>
    </row>
    <row r="41238" spans="43:43" x14ac:dyDescent="0.2">
      <c r="AQ41238" s="31"/>
    </row>
    <row r="41239" spans="43:43" x14ac:dyDescent="0.2">
      <c r="AQ41239" s="31"/>
    </row>
    <row r="41240" spans="43:43" x14ac:dyDescent="0.2">
      <c r="AQ41240" s="31"/>
    </row>
    <row r="41241" spans="43:43" x14ac:dyDescent="0.2">
      <c r="AQ41241" s="31"/>
    </row>
    <row r="41242" spans="43:43" x14ac:dyDescent="0.2">
      <c r="AQ41242" s="31"/>
    </row>
    <row r="41243" spans="43:43" x14ac:dyDescent="0.2">
      <c r="AQ41243" s="31"/>
    </row>
    <row r="41244" spans="43:43" x14ac:dyDescent="0.2">
      <c r="AQ41244" s="31"/>
    </row>
    <row r="41245" spans="43:43" x14ac:dyDescent="0.2">
      <c r="AQ41245" s="31"/>
    </row>
    <row r="41246" spans="43:43" x14ac:dyDescent="0.2">
      <c r="AQ41246" s="31"/>
    </row>
    <row r="41247" spans="43:43" x14ac:dyDescent="0.2">
      <c r="AQ41247" s="31"/>
    </row>
    <row r="41248" spans="43:43" x14ac:dyDescent="0.2">
      <c r="AQ41248" s="31"/>
    </row>
    <row r="41249" spans="43:43" x14ac:dyDescent="0.2">
      <c r="AQ41249" s="31"/>
    </row>
    <row r="41250" spans="43:43" x14ac:dyDescent="0.2">
      <c r="AQ41250" s="31"/>
    </row>
    <row r="41251" spans="43:43" x14ac:dyDescent="0.2">
      <c r="AQ41251" s="31"/>
    </row>
    <row r="41252" spans="43:43" x14ac:dyDescent="0.2">
      <c r="AQ41252" s="31"/>
    </row>
    <row r="41253" spans="43:43" x14ac:dyDescent="0.2">
      <c r="AQ41253" s="31"/>
    </row>
    <row r="41254" spans="43:43" x14ac:dyDescent="0.2">
      <c r="AQ41254" s="31"/>
    </row>
    <row r="41255" spans="43:43" x14ac:dyDescent="0.2">
      <c r="AQ41255" s="31"/>
    </row>
    <row r="41256" spans="43:43" x14ac:dyDescent="0.2">
      <c r="AQ41256" s="31"/>
    </row>
    <row r="41257" spans="43:43" x14ac:dyDescent="0.2">
      <c r="AQ41257" s="31"/>
    </row>
    <row r="41258" spans="43:43" x14ac:dyDescent="0.2">
      <c r="AQ41258" s="31"/>
    </row>
    <row r="41259" spans="43:43" x14ac:dyDescent="0.2">
      <c r="AQ41259" s="31"/>
    </row>
    <row r="41260" spans="43:43" x14ac:dyDescent="0.2">
      <c r="AQ41260" s="31"/>
    </row>
    <row r="41261" spans="43:43" x14ac:dyDescent="0.2">
      <c r="AQ41261" s="31"/>
    </row>
    <row r="41262" spans="43:43" x14ac:dyDescent="0.2">
      <c r="AQ41262" s="31"/>
    </row>
    <row r="41263" spans="43:43" x14ac:dyDescent="0.2">
      <c r="AQ41263" s="31"/>
    </row>
    <row r="41264" spans="43:43" x14ac:dyDescent="0.2">
      <c r="AQ41264" s="31"/>
    </row>
    <row r="41265" spans="43:43" x14ac:dyDescent="0.2">
      <c r="AQ41265" s="31"/>
    </row>
    <row r="41266" spans="43:43" x14ac:dyDescent="0.2">
      <c r="AQ41266" s="31"/>
    </row>
    <row r="41267" spans="43:43" x14ac:dyDescent="0.2">
      <c r="AQ41267" s="31"/>
    </row>
    <row r="41268" spans="43:43" x14ac:dyDescent="0.2">
      <c r="AQ41268" s="31"/>
    </row>
    <row r="41269" spans="43:43" x14ac:dyDescent="0.2">
      <c r="AQ41269" s="31"/>
    </row>
    <row r="41270" spans="43:43" x14ac:dyDescent="0.2">
      <c r="AQ41270" s="31"/>
    </row>
    <row r="41271" spans="43:43" x14ac:dyDescent="0.2">
      <c r="AQ41271" s="31"/>
    </row>
    <row r="41272" spans="43:43" x14ac:dyDescent="0.2">
      <c r="AQ41272" s="31"/>
    </row>
    <row r="41273" spans="43:43" x14ac:dyDescent="0.2">
      <c r="AQ41273" s="31"/>
    </row>
    <row r="41274" spans="43:43" x14ac:dyDescent="0.2">
      <c r="AQ41274" s="31"/>
    </row>
    <row r="41275" spans="43:43" x14ac:dyDescent="0.2">
      <c r="AQ41275" s="31"/>
    </row>
    <row r="41276" spans="43:43" x14ac:dyDescent="0.2">
      <c r="AQ41276" s="31"/>
    </row>
    <row r="41277" spans="43:43" x14ac:dyDescent="0.2">
      <c r="AQ41277" s="31"/>
    </row>
    <row r="41278" spans="43:43" x14ac:dyDescent="0.2">
      <c r="AQ41278" s="31"/>
    </row>
    <row r="41279" spans="43:43" x14ac:dyDescent="0.2">
      <c r="AQ41279" s="31"/>
    </row>
    <row r="41280" spans="43:43" x14ac:dyDescent="0.2">
      <c r="AQ41280" s="31"/>
    </row>
    <row r="41281" spans="43:43" x14ac:dyDescent="0.2">
      <c r="AQ41281" s="31"/>
    </row>
    <row r="41282" spans="43:43" x14ac:dyDescent="0.2">
      <c r="AQ41282" s="31"/>
    </row>
    <row r="41283" spans="43:43" x14ac:dyDescent="0.2">
      <c r="AQ41283" s="31"/>
    </row>
    <row r="41284" spans="43:43" x14ac:dyDescent="0.2">
      <c r="AQ41284" s="31"/>
    </row>
    <row r="41285" spans="43:43" x14ac:dyDescent="0.2">
      <c r="AQ41285" s="31"/>
    </row>
    <row r="41286" spans="43:43" x14ac:dyDescent="0.2">
      <c r="AQ41286" s="31"/>
    </row>
    <row r="41287" spans="43:43" x14ac:dyDescent="0.2">
      <c r="AQ41287" s="31"/>
    </row>
    <row r="41288" spans="43:43" x14ac:dyDescent="0.2">
      <c r="AQ41288" s="31"/>
    </row>
    <row r="41289" spans="43:43" x14ac:dyDescent="0.2">
      <c r="AQ41289" s="31"/>
    </row>
    <row r="41290" spans="43:43" x14ac:dyDescent="0.2">
      <c r="AQ41290" s="31"/>
    </row>
    <row r="41291" spans="43:43" x14ac:dyDescent="0.2">
      <c r="AQ41291" s="31"/>
    </row>
    <row r="41292" spans="43:43" x14ac:dyDescent="0.2">
      <c r="AQ41292" s="31"/>
    </row>
    <row r="41293" spans="43:43" x14ac:dyDescent="0.2">
      <c r="AQ41293" s="31"/>
    </row>
    <row r="41294" spans="43:43" x14ac:dyDescent="0.2">
      <c r="AQ41294" s="31"/>
    </row>
    <row r="41295" spans="43:43" x14ac:dyDescent="0.2">
      <c r="AQ41295" s="31"/>
    </row>
    <row r="41296" spans="43:43" x14ac:dyDescent="0.2">
      <c r="AQ41296" s="31"/>
    </row>
    <row r="41297" spans="43:43" x14ac:dyDescent="0.2">
      <c r="AQ41297" s="31"/>
    </row>
    <row r="41298" spans="43:43" x14ac:dyDescent="0.2">
      <c r="AQ41298" s="31"/>
    </row>
    <row r="41299" spans="43:43" x14ac:dyDescent="0.2">
      <c r="AQ41299" s="31"/>
    </row>
    <row r="41300" spans="43:43" x14ac:dyDescent="0.2">
      <c r="AQ41300" s="31"/>
    </row>
    <row r="41301" spans="43:43" x14ac:dyDescent="0.2">
      <c r="AQ41301" s="31"/>
    </row>
    <row r="41302" spans="43:43" x14ac:dyDescent="0.2">
      <c r="AQ41302" s="31"/>
    </row>
    <row r="41303" spans="43:43" x14ac:dyDescent="0.2">
      <c r="AQ41303" s="31"/>
    </row>
    <row r="41304" spans="43:43" x14ac:dyDescent="0.2">
      <c r="AQ41304" s="31"/>
    </row>
    <row r="41305" spans="43:43" x14ac:dyDescent="0.2">
      <c r="AQ41305" s="31"/>
    </row>
    <row r="41306" spans="43:43" x14ac:dyDescent="0.2">
      <c r="AQ41306" s="31"/>
    </row>
    <row r="41307" spans="43:43" x14ac:dyDescent="0.2">
      <c r="AQ41307" s="31"/>
    </row>
    <row r="41308" spans="43:43" x14ac:dyDescent="0.2">
      <c r="AQ41308" s="31"/>
    </row>
    <row r="41309" spans="43:43" x14ac:dyDescent="0.2">
      <c r="AQ41309" s="31"/>
    </row>
    <row r="41310" spans="43:43" x14ac:dyDescent="0.2">
      <c r="AQ41310" s="31"/>
    </row>
    <row r="41311" spans="43:43" x14ac:dyDescent="0.2">
      <c r="AQ41311" s="31"/>
    </row>
    <row r="41312" spans="43:43" x14ac:dyDescent="0.2">
      <c r="AQ41312" s="31"/>
    </row>
    <row r="41313" spans="43:43" x14ac:dyDescent="0.2">
      <c r="AQ41313" s="31"/>
    </row>
    <row r="41314" spans="43:43" x14ac:dyDescent="0.2">
      <c r="AQ41314" s="31"/>
    </row>
    <row r="41315" spans="43:43" x14ac:dyDescent="0.2">
      <c r="AQ41315" s="31"/>
    </row>
    <row r="41316" spans="43:43" x14ac:dyDescent="0.2">
      <c r="AQ41316" s="31"/>
    </row>
    <row r="41317" spans="43:43" x14ac:dyDescent="0.2">
      <c r="AQ41317" s="31"/>
    </row>
    <row r="41318" spans="43:43" x14ac:dyDescent="0.2">
      <c r="AQ41318" s="31"/>
    </row>
    <row r="41319" spans="43:43" x14ac:dyDescent="0.2">
      <c r="AQ41319" s="31"/>
    </row>
    <row r="41320" spans="43:43" x14ac:dyDescent="0.2">
      <c r="AQ41320" s="31"/>
    </row>
    <row r="41321" spans="43:43" x14ac:dyDescent="0.2">
      <c r="AQ41321" s="31"/>
    </row>
    <row r="41322" spans="43:43" x14ac:dyDescent="0.2">
      <c r="AQ41322" s="31"/>
    </row>
    <row r="41323" spans="43:43" x14ac:dyDescent="0.2">
      <c r="AQ41323" s="31"/>
    </row>
    <row r="41324" spans="43:43" x14ac:dyDescent="0.2">
      <c r="AQ41324" s="31"/>
    </row>
    <row r="41325" spans="43:43" x14ac:dyDescent="0.2">
      <c r="AQ41325" s="31"/>
    </row>
    <row r="41326" spans="43:43" x14ac:dyDescent="0.2">
      <c r="AQ41326" s="31"/>
    </row>
    <row r="41327" spans="43:43" x14ac:dyDescent="0.2">
      <c r="AQ41327" s="31"/>
    </row>
    <row r="41328" spans="43:43" x14ac:dyDescent="0.2">
      <c r="AQ41328" s="31"/>
    </row>
    <row r="41329" spans="43:43" x14ac:dyDescent="0.2">
      <c r="AQ41329" s="31"/>
    </row>
    <row r="41330" spans="43:43" x14ac:dyDescent="0.2">
      <c r="AQ41330" s="31"/>
    </row>
    <row r="41331" spans="43:43" x14ac:dyDescent="0.2">
      <c r="AQ41331" s="31"/>
    </row>
    <row r="41332" spans="43:43" x14ac:dyDescent="0.2">
      <c r="AQ41332" s="31"/>
    </row>
    <row r="41333" spans="43:43" x14ac:dyDescent="0.2">
      <c r="AQ41333" s="31"/>
    </row>
    <row r="41334" spans="43:43" x14ac:dyDescent="0.2">
      <c r="AQ41334" s="31"/>
    </row>
    <row r="41335" spans="43:43" x14ac:dyDescent="0.2">
      <c r="AQ41335" s="31"/>
    </row>
    <row r="41336" spans="43:43" x14ac:dyDescent="0.2">
      <c r="AQ41336" s="31"/>
    </row>
    <row r="41337" spans="43:43" x14ac:dyDescent="0.2">
      <c r="AQ41337" s="31"/>
    </row>
    <row r="41338" spans="43:43" x14ac:dyDescent="0.2">
      <c r="AQ41338" s="31"/>
    </row>
    <row r="41339" spans="43:43" x14ac:dyDescent="0.2">
      <c r="AQ41339" s="31"/>
    </row>
    <row r="41340" spans="43:43" x14ac:dyDescent="0.2">
      <c r="AQ41340" s="31"/>
    </row>
    <row r="41341" spans="43:43" x14ac:dyDescent="0.2">
      <c r="AQ41341" s="31"/>
    </row>
    <row r="41342" spans="43:43" x14ac:dyDescent="0.2">
      <c r="AQ41342" s="31"/>
    </row>
    <row r="41343" spans="43:43" x14ac:dyDescent="0.2">
      <c r="AQ41343" s="31"/>
    </row>
    <row r="41344" spans="43:43" x14ac:dyDescent="0.2">
      <c r="AQ41344" s="31"/>
    </row>
    <row r="41345" spans="43:43" x14ac:dyDescent="0.2">
      <c r="AQ41345" s="31"/>
    </row>
    <row r="41346" spans="43:43" x14ac:dyDescent="0.2">
      <c r="AQ41346" s="31"/>
    </row>
    <row r="41347" spans="43:43" x14ac:dyDescent="0.2">
      <c r="AQ41347" s="31"/>
    </row>
    <row r="41348" spans="43:43" x14ac:dyDescent="0.2">
      <c r="AQ41348" s="31"/>
    </row>
    <row r="41349" spans="43:43" x14ac:dyDescent="0.2">
      <c r="AQ41349" s="31"/>
    </row>
    <row r="41350" spans="43:43" x14ac:dyDescent="0.2">
      <c r="AQ41350" s="31"/>
    </row>
    <row r="41351" spans="43:43" x14ac:dyDescent="0.2">
      <c r="AQ41351" s="31"/>
    </row>
    <row r="41352" spans="43:43" x14ac:dyDescent="0.2">
      <c r="AQ41352" s="31"/>
    </row>
    <row r="41353" spans="43:43" x14ac:dyDescent="0.2">
      <c r="AQ41353" s="31"/>
    </row>
    <row r="41354" spans="43:43" x14ac:dyDescent="0.2">
      <c r="AQ41354" s="31"/>
    </row>
    <row r="41355" spans="43:43" x14ac:dyDescent="0.2">
      <c r="AQ41355" s="31"/>
    </row>
    <row r="41356" spans="43:43" x14ac:dyDescent="0.2">
      <c r="AQ41356" s="31"/>
    </row>
    <row r="41357" spans="43:43" x14ac:dyDescent="0.2">
      <c r="AQ41357" s="31"/>
    </row>
    <row r="41358" spans="43:43" x14ac:dyDescent="0.2">
      <c r="AQ41358" s="31"/>
    </row>
    <row r="41359" spans="43:43" x14ac:dyDescent="0.2">
      <c r="AQ41359" s="31"/>
    </row>
    <row r="41360" spans="43:43" x14ac:dyDescent="0.2">
      <c r="AQ41360" s="31"/>
    </row>
    <row r="41361" spans="43:43" x14ac:dyDescent="0.2">
      <c r="AQ41361" s="31"/>
    </row>
    <row r="41362" spans="43:43" x14ac:dyDescent="0.2">
      <c r="AQ41362" s="31"/>
    </row>
    <row r="41363" spans="43:43" x14ac:dyDescent="0.2">
      <c r="AQ41363" s="31"/>
    </row>
    <row r="41364" spans="43:43" x14ac:dyDescent="0.2">
      <c r="AQ41364" s="31"/>
    </row>
    <row r="41365" spans="43:43" x14ac:dyDescent="0.2">
      <c r="AQ41365" s="31"/>
    </row>
    <row r="41366" spans="43:43" x14ac:dyDescent="0.2">
      <c r="AQ41366" s="31"/>
    </row>
    <row r="41367" spans="43:43" x14ac:dyDescent="0.2">
      <c r="AQ41367" s="31"/>
    </row>
    <row r="41368" spans="43:43" x14ac:dyDescent="0.2">
      <c r="AQ41368" s="31"/>
    </row>
    <row r="41369" spans="43:43" x14ac:dyDescent="0.2">
      <c r="AQ41369" s="31"/>
    </row>
    <row r="41370" spans="43:43" x14ac:dyDescent="0.2">
      <c r="AQ41370" s="31"/>
    </row>
    <row r="41371" spans="43:43" x14ac:dyDescent="0.2">
      <c r="AQ41371" s="31"/>
    </row>
    <row r="41372" spans="43:43" x14ac:dyDescent="0.2">
      <c r="AQ41372" s="31"/>
    </row>
    <row r="41373" spans="43:43" x14ac:dyDescent="0.2">
      <c r="AQ41373" s="31"/>
    </row>
    <row r="41374" spans="43:43" x14ac:dyDescent="0.2">
      <c r="AQ41374" s="31"/>
    </row>
    <row r="41375" spans="43:43" x14ac:dyDescent="0.2">
      <c r="AQ41375" s="31"/>
    </row>
    <row r="41376" spans="43:43" x14ac:dyDescent="0.2">
      <c r="AQ41376" s="31"/>
    </row>
    <row r="41377" spans="43:43" x14ac:dyDescent="0.2">
      <c r="AQ41377" s="31"/>
    </row>
    <row r="41378" spans="43:43" x14ac:dyDescent="0.2">
      <c r="AQ41378" s="31"/>
    </row>
    <row r="41379" spans="43:43" x14ac:dyDescent="0.2">
      <c r="AQ41379" s="31"/>
    </row>
    <row r="41380" spans="43:43" x14ac:dyDescent="0.2">
      <c r="AQ41380" s="31"/>
    </row>
    <row r="41381" spans="43:43" x14ac:dyDescent="0.2">
      <c r="AQ41381" s="31"/>
    </row>
    <row r="41382" spans="43:43" x14ac:dyDescent="0.2">
      <c r="AQ41382" s="31"/>
    </row>
    <row r="41383" spans="43:43" x14ac:dyDescent="0.2">
      <c r="AQ41383" s="31"/>
    </row>
    <row r="41384" spans="43:43" x14ac:dyDescent="0.2">
      <c r="AQ41384" s="31"/>
    </row>
    <row r="41385" spans="43:43" x14ac:dyDescent="0.2">
      <c r="AQ41385" s="31"/>
    </row>
    <row r="41386" spans="43:43" x14ac:dyDescent="0.2">
      <c r="AQ41386" s="31"/>
    </row>
    <row r="41387" spans="43:43" x14ac:dyDescent="0.2">
      <c r="AQ41387" s="31"/>
    </row>
    <row r="41388" spans="43:43" x14ac:dyDescent="0.2">
      <c r="AQ41388" s="31"/>
    </row>
    <row r="41389" spans="43:43" x14ac:dyDescent="0.2">
      <c r="AQ41389" s="31"/>
    </row>
    <row r="41390" spans="43:43" x14ac:dyDescent="0.2">
      <c r="AQ41390" s="31"/>
    </row>
    <row r="41391" spans="43:43" x14ac:dyDescent="0.2">
      <c r="AQ41391" s="31"/>
    </row>
    <row r="41392" spans="43:43" x14ac:dyDescent="0.2">
      <c r="AQ41392" s="31"/>
    </row>
    <row r="41393" spans="43:43" x14ac:dyDescent="0.2">
      <c r="AQ41393" s="31"/>
    </row>
    <row r="41394" spans="43:43" x14ac:dyDescent="0.2">
      <c r="AQ41394" s="31"/>
    </row>
    <row r="41395" spans="43:43" x14ac:dyDescent="0.2">
      <c r="AQ41395" s="31"/>
    </row>
    <row r="41396" spans="43:43" x14ac:dyDescent="0.2">
      <c r="AQ41396" s="31"/>
    </row>
    <row r="41397" spans="43:43" x14ac:dyDescent="0.2">
      <c r="AQ41397" s="31"/>
    </row>
    <row r="41398" spans="43:43" x14ac:dyDescent="0.2">
      <c r="AQ41398" s="31"/>
    </row>
    <row r="41399" spans="43:43" x14ac:dyDescent="0.2">
      <c r="AQ41399" s="31"/>
    </row>
    <row r="41400" spans="43:43" x14ac:dyDescent="0.2">
      <c r="AQ41400" s="31"/>
    </row>
    <row r="41401" spans="43:43" x14ac:dyDescent="0.2">
      <c r="AQ41401" s="31"/>
    </row>
    <row r="41402" spans="43:43" x14ac:dyDescent="0.2">
      <c r="AQ41402" s="31"/>
    </row>
    <row r="41403" spans="43:43" x14ac:dyDescent="0.2">
      <c r="AQ41403" s="31"/>
    </row>
    <row r="41404" spans="43:43" x14ac:dyDescent="0.2">
      <c r="AQ41404" s="31"/>
    </row>
    <row r="41405" spans="43:43" x14ac:dyDescent="0.2">
      <c r="AQ41405" s="31"/>
    </row>
    <row r="41406" spans="43:43" x14ac:dyDescent="0.2">
      <c r="AQ41406" s="31"/>
    </row>
    <row r="41407" spans="43:43" x14ac:dyDescent="0.2">
      <c r="AQ41407" s="31"/>
    </row>
    <row r="41408" spans="43:43" x14ac:dyDescent="0.2">
      <c r="AQ41408" s="31"/>
    </row>
    <row r="41409" spans="43:43" x14ac:dyDescent="0.2">
      <c r="AQ41409" s="31"/>
    </row>
    <row r="41410" spans="43:43" x14ac:dyDescent="0.2">
      <c r="AQ41410" s="31"/>
    </row>
    <row r="41411" spans="43:43" x14ac:dyDescent="0.2">
      <c r="AQ41411" s="31"/>
    </row>
    <row r="41412" spans="43:43" x14ac:dyDescent="0.2">
      <c r="AQ41412" s="31"/>
    </row>
    <row r="41413" spans="43:43" x14ac:dyDescent="0.2">
      <c r="AQ41413" s="31"/>
    </row>
    <row r="41414" spans="43:43" x14ac:dyDescent="0.2">
      <c r="AQ41414" s="31"/>
    </row>
    <row r="41415" spans="43:43" x14ac:dyDescent="0.2">
      <c r="AQ41415" s="31"/>
    </row>
    <row r="41416" spans="43:43" x14ac:dyDescent="0.2">
      <c r="AQ41416" s="31"/>
    </row>
    <row r="41417" spans="43:43" x14ac:dyDescent="0.2">
      <c r="AQ41417" s="31"/>
    </row>
    <row r="41418" spans="43:43" x14ac:dyDescent="0.2">
      <c r="AQ41418" s="31"/>
    </row>
    <row r="41419" spans="43:43" x14ac:dyDescent="0.2">
      <c r="AQ41419" s="31"/>
    </row>
    <row r="41420" spans="43:43" x14ac:dyDescent="0.2">
      <c r="AQ41420" s="31"/>
    </row>
    <row r="41421" spans="43:43" x14ac:dyDescent="0.2">
      <c r="AQ41421" s="31"/>
    </row>
    <row r="41422" spans="43:43" x14ac:dyDescent="0.2">
      <c r="AQ41422" s="31"/>
    </row>
    <row r="41423" spans="43:43" x14ac:dyDescent="0.2">
      <c r="AQ41423" s="31"/>
    </row>
    <row r="41424" spans="43:43" x14ac:dyDescent="0.2">
      <c r="AQ41424" s="31"/>
    </row>
    <row r="41425" spans="43:43" x14ac:dyDescent="0.2">
      <c r="AQ41425" s="31"/>
    </row>
    <row r="41426" spans="43:43" x14ac:dyDescent="0.2">
      <c r="AQ41426" s="31"/>
    </row>
    <row r="41427" spans="43:43" x14ac:dyDescent="0.2">
      <c r="AQ41427" s="31"/>
    </row>
    <row r="41428" spans="43:43" x14ac:dyDescent="0.2">
      <c r="AQ41428" s="31"/>
    </row>
    <row r="41429" spans="43:43" x14ac:dyDescent="0.2">
      <c r="AQ41429" s="31"/>
    </row>
    <row r="41430" spans="43:43" x14ac:dyDescent="0.2">
      <c r="AQ41430" s="31"/>
    </row>
    <row r="41431" spans="43:43" x14ac:dyDescent="0.2">
      <c r="AQ41431" s="31"/>
    </row>
    <row r="41432" spans="43:43" x14ac:dyDescent="0.2">
      <c r="AQ41432" s="31"/>
    </row>
    <row r="41433" spans="43:43" x14ac:dyDescent="0.2">
      <c r="AQ41433" s="31"/>
    </row>
    <row r="41434" spans="43:43" x14ac:dyDescent="0.2">
      <c r="AQ41434" s="31"/>
    </row>
    <row r="41435" spans="43:43" x14ac:dyDescent="0.2">
      <c r="AQ41435" s="31"/>
    </row>
    <row r="41436" spans="43:43" x14ac:dyDescent="0.2">
      <c r="AQ41436" s="31"/>
    </row>
    <row r="41437" spans="43:43" x14ac:dyDescent="0.2">
      <c r="AQ41437" s="31"/>
    </row>
    <row r="41438" spans="43:43" x14ac:dyDescent="0.2">
      <c r="AQ41438" s="31"/>
    </row>
    <row r="41439" spans="43:43" x14ac:dyDescent="0.2">
      <c r="AQ41439" s="31"/>
    </row>
    <row r="41440" spans="43:43" x14ac:dyDescent="0.2">
      <c r="AQ41440" s="31"/>
    </row>
    <row r="41441" spans="43:43" x14ac:dyDescent="0.2">
      <c r="AQ41441" s="31"/>
    </row>
    <row r="41442" spans="43:43" x14ac:dyDescent="0.2">
      <c r="AQ41442" s="31"/>
    </row>
    <row r="41443" spans="43:43" x14ac:dyDescent="0.2">
      <c r="AQ41443" s="31"/>
    </row>
    <row r="41444" spans="43:43" x14ac:dyDescent="0.2">
      <c r="AQ41444" s="31"/>
    </row>
    <row r="41445" spans="43:43" x14ac:dyDescent="0.2">
      <c r="AQ41445" s="31"/>
    </row>
    <row r="41446" spans="43:43" x14ac:dyDescent="0.2">
      <c r="AQ41446" s="31"/>
    </row>
    <row r="41447" spans="43:43" x14ac:dyDescent="0.2">
      <c r="AQ41447" s="31"/>
    </row>
    <row r="41448" spans="43:43" x14ac:dyDescent="0.2">
      <c r="AQ41448" s="31"/>
    </row>
    <row r="41449" spans="43:43" x14ac:dyDescent="0.2">
      <c r="AQ41449" s="31"/>
    </row>
    <row r="41450" spans="43:43" x14ac:dyDescent="0.2">
      <c r="AQ41450" s="31"/>
    </row>
    <row r="41451" spans="43:43" x14ac:dyDescent="0.2">
      <c r="AQ41451" s="31"/>
    </row>
    <row r="41452" spans="43:43" x14ac:dyDescent="0.2">
      <c r="AQ41452" s="31"/>
    </row>
    <row r="41453" spans="43:43" x14ac:dyDescent="0.2">
      <c r="AQ41453" s="31"/>
    </row>
    <row r="41454" spans="43:43" x14ac:dyDescent="0.2">
      <c r="AQ41454" s="31"/>
    </row>
    <row r="41455" spans="43:43" x14ac:dyDescent="0.2">
      <c r="AQ41455" s="31"/>
    </row>
    <row r="41456" spans="43:43" x14ac:dyDescent="0.2">
      <c r="AQ41456" s="31"/>
    </row>
    <row r="41457" spans="43:43" x14ac:dyDescent="0.2">
      <c r="AQ41457" s="31"/>
    </row>
    <row r="41458" spans="43:43" x14ac:dyDescent="0.2">
      <c r="AQ41458" s="31"/>
    </row>
    <row r="41459" spans="43:43" x14ac:dyDescent="0.2">
      <c r="AQ41459" s="31"/>
    </row>
    <row r="41460" spans="43:43" x14ac:dyDescent="0.2">
      <c r="AQ41460" s="31"/>
    </row>
    <row r="41461" spans="43:43" x14ac:dyDescent="0.2">
      <c r="AQ41461" s="31"/>
    </row>
    <row r="41462" spans="43:43" x14ac:dyDescent="0.2">
      <c r="AQ41462" s="31"/>
    </row>
    <row r="41463" spans="43:43" x14ac:dyDescent="0.2">
      <c r="AQ41463" s="31"/>
    </row>
    <row r="41464" spans="43:43" x14ac:dyDescent="0.2">
      <c r="AQ41464" s="31"/>
    </row>
    <row r="41465" spans="43:43" x14ac:dyDescent="0.2">
      <c r="AQ41465" s="31"/>
    </row>
    <row r="41466" spans="43:43" x14ac:dyDescent="0.2">
      <c r="AQ41466" s="31"/>
    </row>
    <row r="41467" spans="43:43" x14ac:dyDescent="0.2">
      <c r="AQ41467" s="31"/>
    </row>
    <row r="41468" spans="43:43" x14ac:dyDescent="0.2">
      <c r="AQ41468" s="31"/>
    </row>
    <row r="41469" spans="43:43" x14ac:dyDescent="0.2">
      <c r="AQ41469" s="31"/>
    </row>
    <row r="41470" spans="43:43" x14ac:dyDescent="0.2">
      <c r="AQ41470" s="31"/>
    </row>
    <row r="41471" spans="43:43" x14ac:dyDescent="0.2">
      <c r="AQ41471" s="31"/>
    </row>
    <row r="41472" spans="43:43" x14ac:dyDescent="0.2">
      <c r="AQ41472" s="31"/>
    </row>
    <row r="41473" spans="43:43" x14ac:dyDescent="0.2">
      <c r="AQ41473" s="31"/>
    </row>
    <row r="41474" spans="43:43" x14ac:dyDescent="0.2">
      <c r="AQ41474" s="31"/>
    </row>
    <row r="41475" spans="43:43" x14ac:dyDescent="0.2">
      <c r="AQ41475" s="31"/>
    </row>
    <row r="41476" spans="43:43" x14ac:dyDescent="0.2">
      <c r="AQ41476" s="31"/>
    </row>
    <row r="41477" spans="43:43" x14ac:dyDescent="0.2">
      <c r="AQ41477" s="31"/>
    </row>
    <row r="41478" spans="43:43" x14ac:dyDescent="0.2">
      <c r="AQ41478" s="31"/>
    </row>
    <row r="41479" spans="43:43" x14ac:dyDescent="0.2">
      <c r="AQ41479" s="31"/>
    </row>
    <row r="41480" spans="43:43" x14ac:dyDescent="0.2">
      <c r="AQ41480" s="31"/>
    </row>
    <row r="41481" spans="43:43" x14ac:dyDescent="0.2">
      <c r="AQ41481" s="31"/>
    </row>
    <row r="41482" spans="43:43" x14ac:dyDescent="0.2">
      <c r="AQ41482" s="31"/>
    </row>
    <row r="41483" spans="43:43" x14ac:dyDescent="0.2">
      <c r="AQ41483" s="31"/>
    </row>
    <row r="41484" spans="43:43" x14ac:dyDescent="0.2">
      <c r="AQ41484" s="31"/>
    </row>
    <row r="41485" spans="43:43" x14ac:dyDescent="0.2">
      <c r="AQ41485" s="31"/>
    </row>
    <row r="41486" spans="43:43" x14ac:dyDescent="0.2">
      <c r="AQ41486" s="31"/>
    </row>
    <row r="41487" spans="43:43" x14ac:dyDescent="0.2">
      <c r="AQ41487" s="31"/>
    </row>
    <row r="41488" spans="43:43" x14ac:dyDescent="0.2">
      <c r="AQ41488" s="31"/>
    </row>
    <row r="41489" spans="43:43" x14ac:dyDescent="0.2">
      <c r="AQ41489" s="31"/>
    </row>
    <row r="41490" spans="43:43" x14ac:dyDescent="0.2">
      <c r="AQ41490" s="31"/>
    </row>
    <row r="41491" spans="43:43" x14ac:dyDescent="0.2">
      <c r="AQ41491" s="31"/>
    </row>
    <row r="41492" spans="43:43" x14ac:dyDescent="0.2">
      <c r="AQ41492" s="31"/>
    </row>
    <row r="41493" spans="43:43" x14ac:dyDescent="0.2">
      <c r="AQ41493" s="31"/>
    </row>
    <row r="41494" spans="43:43" x14ac:dyDescent="0.2">
      <c r="AQ41494" s="31"/>
    </row>
    <row r="41495" spans="43:43" x14ac:dyDescent="0.2">
      <c r="AQ41495" s="31"/>
    </row>
    <row r="41496" spans="43:43" x14ac:dyDescent="0.2">
      <c r="AQ41496" s="31"/>
    </row>
    <row r="41497" spans="43:43" x14ac:dyDescent="0.2">
      <c r="AQ41497" s="31"/>
    </row>
    <row r="41498" spans="43:43" x14ac:dyDescent="0.2">
      <c r="AQ41498" s="31"/>
    </row>
    <row r="41499" spans="43:43" x14ac:dyDescent="0.2">
      <c r="AQ41499" s="31"/>
    </row>
    <row r="41500" spans="43:43" x14ac:dyDescent="0.2">
      <c r="AQ41500" s="31"/>
    </row>
    <row r="41501" spans="43:43" x14ac:dyDescent="0.2">
      <c r="AQ41501" s="31"/>
    </row>
    <row r="41502" spans="43:43" x14ac:dyDescent="0.2">
      <c r="AQ41502" s="31"/>
    </row>
    <row r="41503" spans="43:43" x14ac:dyDescent="0.2">
      <c r="AQ41503" s="31"/>
    </row>
    <row r="41504" spans="43:43" x14ac:dyDescent="0.2">
      <c r="AQ41504" s="31"/>
    </row>
    <row r="41505" spans="43:43" x14ac:dyDescent="0.2">
      <c r="AQ41505" s="31"/>
    </row>
    <row r="41506" spans="43:43" x14ac:dyDescent="0.2">
      <c r="AQ41506" s="31"/>
    </row>
    <row r="41507" spans="43:43" x14ac:dyDescent="0.2">
      <c r="AQ41507" s="31"/>
    </row>
    <row r="41508" spans="43:43" x14ac:dyDescent="0.2">
      <c r="AQ41508" s="31"/>
    </row>
    <row r="41509" spans="43:43" x14ac:dyDescent="0.2">
      <c r="AQ41509" s="31"/>
    </row>
    <row r="41510" spans="43:43" x14ac:dyDescent="0.2">
      <c r="AQ41510" s="31"/>
    </row>
    <row r="41511" spans="43:43" x14ac:dyDescent="0.2">
      <c r="AQ41511" s="31"/>
    </row>
    <row r="41512" spans="43:43" x14ac:dyDescent="0.2">
      <c r="AQ41512" s="31"/>
    </row>
    <row r="41513" spans="43:43" x14ac:dyDescent="0.2">
      <c r="AQ41513" s="31"/>
    </row>
    <row r="41514" spans="43:43" x14ac:dyDescent="0.2">
      <c r="AQ41514" s="31"/>
    </row>
    <row r="41515" spans="43:43" x14ac:dyDescent="0.2">
      <c r="AQ41515" s="31"/>
    </row>
    <row r="41516" spans="43:43" x14ac:dyDescent="0.2">
      <c r="AQ41516" s="31"/>
    </row>
    <row r="41517" spans="43:43" x14ac:dyDescent="0.2">
      <c r="AQ41517" s="31"/>
    </row>
    <row r="41518" spans="43:43" x14ac:dyDescent="0.2">
      <c r="AQ41518" s="31"/>
    </row>
    <row r="41519" spans="43:43" x14ac:dyDescent="0.2">
      <c r="AQ41519" s="31"/>
    </row>
    <row r="41520" spans="43:43" x14ac:dyDescent="0.2">
      <c r="AQ41520" s="31"/>
    </row>
    <row r="41521" spans="43:43" x14ac:dyDescent="0.2">
      <c r="AQ41521" s="31"/>
    </row>
    <row r="41522" spans="43:43" x14ac:dyDescent="0.2">
      <c r="AQ41522" s="31"/>
    </row>
    <row r="41523" spans="43:43" x14ac:dyDescent="0.2">
      <c r="AQ41523" s="31"/>
    </row>
    <row r="41524" spans="43:43" x14ac:dyDescent="0.2">
      <c r="AQ41524" s="31"/>
    </row>
    <row r="41525" spans="43:43" x14ac:dyDescent="0.2">
      <c r="AQ41525" s="31"/>
    </row>
    <row r="41526" spans="43:43" x14ac:dyDescent="0.2">
      <c r="AQ41526" s="31"/>
    </row>
    <row r="41527" spans="43:43" x14ac:dyDescent="0.2">
      <c r="AQ41527" s="31"/>
    </row>
    <row r="41528" spans="43:43" x14ac:dyDescent="0.2">
      <c r="AQ41528" s="31"/>
    </row>
    <row r="41529" spans="43:43" x14ac:dyDescent="0.2">
      <c r="AQ41529" s="31"/>
    </row>
    <row r="41530" spans="43:43" x14ac:dyDescent="0.2">
      <c r="AQ41530" s="31"/>
    </row>
    <row r="41531" spans="43:43" x14ac:dyDescent="0.2">
      <c r="AQ41531" s="31"/>
    </row>
    <row r="41532" spans="43:43" x14ac:dyDescent="0.2">
      <c r="AQ41532" s="31"/>
    </row>
    <row r="41533" spans="43:43" x14ac:dyDescent="0.2">
      <c r="AQ41533" s="31"/>
    </row>
    <row r="41534" spans="43:43" x14ac:dyDescent="0.2">
      <c r="AQ41534" s="31"/>
    </row>
    <row r="41535" spans="43:43" x14ac:dyDescent="0.2">
      <c r="AQ41535" s="31"/>
    </row>
    <row r="41536" spans="43:43" x14ac:dyDescent="0.2">
      <c r="AQ41536" s="31"/>
    </row>
    <row r="41537" spans="43:43" x14ac:dyDescent="0.2">
      <c r="AQ41537" s="31"/>
    </row>
    <row r="41538" spans="43:43" x14ac:dyDescent="0.2">
      <c r="AQ41538" s="31"/>
    </row>
    <row r="41539" spans="43:43" x14ac:dyDescent="0.2">
      <c r="AQ41539" s="31"/>
    </row>
    <row r="41540" spans="43:43" x14ac:dyDescent="0.2">
      <c r="AQ41540" s="31"/>
    </row>
    <row r="41541" spans="43:43" x14ac:dyDescent="0.2">
      <c r="AQ41541" s="31"/>
    </row>
    <row r="41542" spans="43:43" x14ac:dyDescent="0.2">
      <c r="AQ41542" s="31"/>
    </row>
    <row r="41543" spans="43:43" x14ac:dyDescent="0.2">
      <c r="AQ41543" s="31"/>
    </row>
    <row r="41544" spans="43:43" x14ac:dyDescent="0.2">
      <c r="AQ41544" s="31"/>
    </row>
    <row r="41545" spans="43:43" x14ac:dyDescent="0.2">
      <c r="AQ41545" s="31"/>
    </row>
    <row r="41546" spans="43:43" x14ac:dyDescent="0.2">
      <c r="AQ41546" s="31"/>
    </row>
    <row r="41547" spans="43:43" x14ac:dyDescent="0.2">
      <c r="AQ41547" s="31"/>
    </row>
    <row r="41548" spans="43:43" x14ac:dyDescent="0.2">
      <c r="AQ41548" s="31"/>
    </row>
    <row r="41549" spans="43:43" x14ac:dyDescent="0.2">
      <c r="AQ41549" s="31"/>
    </row>
    <row r="41550" spans="43:43" x14ac:dyDescent="0.2">
      <c r="AQ41550" s="31"/>
    </row>
    <row r="41551" spans="43:43" x14ac:dyDescent="0.2">
      <c r="AQ41551" s="31"/>
    </row>
    <row r="41552" spans="43:43" x14ac:dyDescent="0.2">
      <c r="AQ41552" s="31"/>
    </row>
    <row r="41553" spans="43:43" x14ac:dyDescent="0.2">
      <c r="AQ41553" s="31"/>
    </row>
    <row r="41554" spans="43:43" x14ac:dyDescent="0.2">
      <c r="AQ41554" s="31"/>
    </row>
    <row r="41555" spans="43:43" x14ac:dyDescent="0.2">
      <c r="AQ41555" s="31"/>
    </row>
    <row r="41556" spans="43:43" x14ac:dyDescent="0.2">
      <c r="AQ41556" s="31"/>
    </row>
    <row r="41557" spans="43:43" x14ac:dyDescent="0.2">
      <c r="AQ41557" s="31"/>
    </row>
    <row r="41558" spans="43:43" x14ac:dyDescent="0.2">
      <c r="AQ41558" s="31"/>
    </row>
    <row r="41559" spans="43:43" x14ac:dyDescent="0.2">
      <c r="AQ41559" s="31"/>
    </row>
    <row r="41560" spans="43:43" x14ac:dyDescent="0.2">
      <c r="AQ41560" s="31"/>
    </row>
    <row r="41561" spans="43:43" x14ac:dyDescent="0.2">
      <c r="AQ41561" s="31"/>
    </row>
    <row r="41562" spans="43:43" x14ac:dyDescent="0.2">
      <c r="AQ41562" s="31"/>
    </row>
    <row r="41563" spans="43:43" x14ac:dyDescent="0.2">
      <c r="AQ41563" s="31"/>
    </row>
    <row r="41564" spans="43:43" x14ac:dyDescent="0.2">
      <c r="AQ41564" s="31"/>
    </row>
    <row r="41565" spans="43:43" x14ac:dyDescent="0.2">
      <c r="AQ41565" s="31"/>
    </row>
    <row r="41566" spans="43:43" x14ac:dyDescent="0.2">
      <c r="AQ41566" s="31"/>
    </row>
    <row r="41567" spans="43:43" x14ac:dyDescent="0.2">
      <c r="AQ41567" s="31"/>
    </row>
    <row r="41568" spans="43:43" x14ac:dyDescent="0.2">
      <c r="AQ41568" s="31"/>
    </row>
    <row r="41569" spans="43:43" x14ac:dyDescent="0.2">
      <c r="AQ41569" s="31"/>
    </row>
    <row r="41570" spans="43:43" x14ac:dyDescent="0.2">
      <c r="AQ41570" s="31"/>
    </row>
    <row r="41571" spans="43:43" x14ac:dyDescent="0.2">
      <c r="AQ41571" s="31"/>
    </row>
    <row r="41572" spans="43:43" x14ac:dyDescent="0.2">
      <c r="AQ41572" s="31"/>
    </row>
    <row r="41573" spans="43:43" x14ac:dyDescent="0.2">
      <c r="AQ41573" s="31"/>
    </row>
    <row r="41574" spans="43:43" x14ac:dyDescent="0.2">
      <c r="AQ41574" s="31"/>
    </row>
    <row r="41575" spans="43:43" x14ac:dyDescent="0.2">
      <c r="AQ41575" s="31"/>
    </row>
    <row r="41576" spans="43:43" x14ac:dyDescent="0.2">
      <c r="AQ41576" s="31"/>
    </row>
    <row r="41577" spans="43:43" x14ac:dyDescent="0.2">
      <c r="AQ41577" s="31"/>
    </row>
    <row r="41578" spans="43:43" x14ac:dyDescent="0.2">
      <c r="AQ41578" s="31"/>
    </row>
    <row r="41579" spans="43:43" x14ac:dyDescent="0.2">
      <c r="AQ41579" s="31"/>
    </row>
    <row r="41580" spans="43:43" x14ac:dyDescent="0.2">
      <c r="AQ41580" s="31"/>
    </row>
    <row r="41581" spans="43:43" x14ac:dyDescent="0.2">
      <c r="AQ41581" s="31"/>
    </row>
    <row r="41582" spans="43:43" x14ac:dyDescent="0.2">
      <c r="AQ41582" s="31"/>
    </row>
    <row r="41583" spans="43:43" x14ac:dyDescent="0.2">
      <c r="AQ41583" s="31"/>
    </row>
    <row r="41584" spans="43:43" x14ac:dyDescent="0.2">
      <c r="AQ41584" s="31"/>
    </row>
    <row r="41585" spans="43:43" x14ac:dyDescent="0.2">
      <c r="AQ41585" s="31"/>
    </row>
    <row r="41586" spans="43:43" x14ac:dyDescent="0.2">
      <c r="AQ41586" s="31"/>
    </row>
    <row r="41587" spans="43:43" x14ac:dyDescent="0.2">
      <c r="AQ41587" s="31"/>
    </row>
    <row r="41588" spans="43:43" x14ac:dyDescent="0.2">
      <c r="AQ41588" s="31"/>
    </row>
    <row r="41589" spans="43:43" x14ac:dyDescent="0.2">
      <c r="AQ41589" s="31"/>
    </row>
    <row r="41590" spans="43:43" x14ac:dyDescent="0.2">
      <c r="AQ41590" s="31"/>
    </row>
    <row r="41591" spans="43:43" x14ac:dyDescent="0.2">
      <c r="AQ41591" s="31"/>
    </row>
    <row r="41592" spans="43:43" x14ac:dyDescent="0.2">
      <c r="AQ41592" s="31"/>
    </row>
    <row r="41593" spans="43:43" x14ac:dyDescent="0.2">
      <c r="AQ41593" s="31"/>
    </row>
    <row r="41594" spans="43:43" x14ac:dyDescent="0.2">
      <c r="AQ41594" s="31"/>
    </row>
    <row r="41595" spans="43:43" x14ac:dyDescent="0.2">
      <c r="AQ41595" s="31"/>
    </row>
    <row r="41596" spans="43:43" x14ac:dyDescent="0.2">
      <c r="AQ41596" s="31"/>
    </row>
    <row r="41597" spans="43:43" x14ac:dyDescent="0.2">
      <c r="AQ41597" s="31"/>
    </row>
    <row r="41598" spans="43:43" x14ac:dyDescent="0.2">
      <c r="AQ41598" s="31"/>
    </row>
    <row r="41599" spans="43:43" x14ac:dyDescent="0.2">
      <c r="AQ41599" s="31"/>
    </row>
    <row r="41600" spans="43:43" x14ac:dyDescent="0.2">
      <c r="AQ41600" s="31"/>
    </row>
    <row r="41601" spans="43:43" x14ac:dyDescent="0.2">
      <c r="AQ41601" s="31"/>
    </row>
    <row r="41602" spans="43:43" x14ac:dyDescent="0.2">
      <c r="AQ41602" s="31"/>
    </row>
    <row r="41603" spans="43:43" x14ac:dyDescent="0.2">
      <c r="AQ41603" s="31"/>
    </row>
    <row r="41604" spans="43:43" x14ac:dyDescent="0.2">
      <c r="AQ41604" s="31"/>
    </row>
    <row r="41605" spans="43:43" x14ac:dyDescent="0.2">
      <c r="AQ41605" s="31"/>
    </row>
    <row r="41606" spans="43:43" x14ac:dyDescent="0.2">
      <c r="AQ41606" s="31"/>
    </row>
    <row r="41607" spans="43:43" x14ac:dyDescent="0.2">
      <c r="AQ41607" s="31"/>
    </row>
    <row r="41608" spans="43:43" x14ac:dyDescent="0.2">
      <c r="AQ41608" s="31"/>
    </row>
    <row r="41609" spans="43:43" x14ac:dyDescent="0.2">
      <c r="AQ41609" s="31"/>
    </row>
    <row r="41610" spans="43:43" x14ac:dyDescent="0.2">
      <c r="AQ41610" s="31"/>
    </row>
    <row r="41611" spans="43:43" x14ac:dyDescent="0.2">
      <c r="AQ41611" s="31"/>
    </row>
    <row r="41612" spans="43:43" x14ac:dyDescent="0.2">
      <c r="AQ41612" s="31"/>
    </row>
    <row r="41613" spans="43:43" x14ac:dyDescent="0.2">
      <c r="AQ41613" s="31"/>
    </row>
    <row r="41614" spans="43:43" x14ac:dyDescent="0.2">
      <c r="AQ41614" s="31"/>
    </row>
    <row r="41615" spans="43:43" x14ac:dyDescent="0.2">
      <c r="AQ41615" s="31"/>
    </row>
    <row r="41616" spans="43:43" x14ac:dyDescent="0.2">
      <c r="AQ41616" s="31"/>
    </row>
    <row r="41617" spans="43:43" x14ac:dyDescent="0.2">
      <c r="AQ41617" s="31"/>
    </row>
    <row r="41618" spans="43:43" x14ac:dyDescent="0.2">
      <c r="AQ41618" s="31"/>
    </row>
    <row r="41619" spans="43:43" x14ac:dyDescent="0.2">
      <c r="AQ41619" s="31"/>
    </row>
    <row r="41620" spans="43:43" x14ac:dyDescent="0.2">
      <c r="AQ41620" s="31"/>
    </row>
    <row r="41621" spans="43:43" x14ac:dyDescent="0.2">
      <c r="AQ41621" s="31"/>
    </row>
    <row r="41622" spans="43:43" x14ac:dyDescent="0.2">
      <c r="AQ41622" s="31"/>
    </row>
    <row r="41623" spans="43:43" x14ac:dyDescent="0.2">
      <c r="AQ41623" s="31"/>
    </row>
    <row r="41624" spans="43:43" x14ac:dyDescent="0.2">
      <c r="AQ41624" s="31"/>
    </row>
    <row r="41625" spans="43:43" x14ac:dyDescent="0.2">
      <c r="AQ41625" s="31"/>
    </row>
    <row r="41626" spans="43:43" x14ac:dyDescent="0.2">
      <c r="AQ41626" s="31"/>
    </row>
    <row r="41627" spans="43:43" x14ac:dyDescent="0.2">
      <c r="AQ41627" s="31"/>
    </row>
    <row r="41628" spans="43:43" x14ac:dyDescent="0.2">
      <c r="AQ41628" s="31"/>
    </row>
    <row r="41629" spans="43:43" x14ac:dyDescent="0.2">
      <c r="AQ41629" s="31"/>
    </row>
    <row r="41630" spans="43:43" x14ac:dyDescent="0.2">
      <c r="AQ41630" s="31"/>
    </row>
    <row r="41631" spans="43:43" x14ac:dyDescent="0.2">
      <c r="AQ41631" s="31"/>
    </row>
    <row r="41632" spans="43:43" x14ac:dyDescent="0.2">
      <c r="AQ41632" s="31"/>
    </row>
    <row r="41633" spans="43:43" x14ac:dyDescent="0.2">
      <c r="AQ41633" s="31"/>
    </row>
    <row r="41634" spans="43:43" x14ac:dyDescent="0.2">
      <c r="AQ41634" s="31"/>
    </row>
    <row r="41635" spans="43:43" x14ac:dyDescent="0.2">
      <c r="AQ41635" s="31"/>
    </row>
    <row r="41636" spans="43:43" x14ac:dyDescent="0.2">
      <c r="AQ41636" s="31"/>
    </row>
    <row r="41637" spans="43:43" x14ac:dyDescent="0.2">
      <c r="AQ41637" s="31"/>
    </row>
    <row r="41638" spans="43:43" x14ac:dyDescent="0.2">
      <c r="AQ41638" s="31"/>
    </row>
    <row r="41639" spans="43:43" x14ac:dyDescent="0.2">
      <c r="AQ41639" s="31"/>
    </row>
    <row r="41640" spans="43:43" x14ac:dyDescent="0.2">
      <c r="AQ41640" s="31"/>
    </row>
    <row r="41641" spans="43:43" x14ac:dyDescent="0.2">
      <c r="AQ41641" s="31"/>
    </row>
    <row r="41642" spans="43:43" x14ac:dyDescent="0.2">
      <c r="AQ41642" s="31"/>
    </row>
    <row r="41643" spans="43:43" x14ac:dyDescent="0.2">
      <c r="AQ41643" s="31"/>
    </row>
    <row r="41644" spans="43:43" x14ac:dyDescent="0.2">
      <c r="AQ41644" s="31"/>
    </row>
    <row r="41645" spans="43:43" x14ac:dyDescent="0.2">
      <c r="AQ41645" s="31"/>
    </row>
    <row r="41646" spans="43:43" x14ac:dyDescent="0.2">
      <c r="AQ41646" s="31"/>
    </row>
    <row r="41647" spans="43:43" x14ac:dyDescent="0.2">
      <c r="AQ41647" s="31"/>
    </row>
    <row r="41648" spans="43:43" x14ac:dyDescent="0.2">
      <c r="AQ41648" s="31"/>
    </row>
    <row r="41649" spans="43:43" x14ac:dyDescent="0.2">
      <c r="AQ41649" s="31"/>
    </row>
    <row r="41650" spans="43:43" x14ac:dyDescent="0.2">
      <c r="AQ41650" s="31"/>
    </row>
    <row r="41651" spans="43:43" x14ac:dyDescent="0.2">
      <c r="AQ41651" s="31"/>
    </row>
    <row r="41652" spans="43:43" x14ac:dyDescent="0.2">
      <c r="AQ41652" s="31"/>
    </row>
    <row r="41653" spans="43:43" x14ac:dyDescent="0.2">
      <c r="AQ41653" s="31"/>
    </row>
    <row r="41654" spans="43:43" x14ac:dyDescent="0.2">
      <c r="AQ41654" s="31"/>
    </row>
    <row r="41655" spans="43:43" x14ac:dyDescent="0.2">
      <c r="AQ41655" s="31"/>
    </row>
    <row r="41656" spans="43:43" x14ac:dyDescent="0.2">
      <c r="AQ41656" s="31"/>
    </row>
    <row r="41657" spans="43:43" x14ac:dyDescent="0.2">
      <c r="AQ41657" s="31"/>
    </row>
    <row r="41658" spans="43:43" x14ac:dyDescent="0.2">
      <c r="AQ41658" s="31"/>
    </row>
    <row r="41659" spans="43:43" x14ac:dyDescent="0.2">
      <c r="AQ41659" s="31"/>
    </row>
    <row r="41660" spans="43:43" x14ac:dyDescent="0.2">
      <c r="AQ41660" s="31"/>
    </row>
    <row r="41661" spans="43:43" x14ac:dyDescent="0.2">
      <c r="AQ41661" s="31"/>
    </row>
    <row r="41662" spans="43:43" x14ac:dyDescent="0.2">
      <c r="AQ41662" s="31"/>
    </row>
    <row r="41663" spans="43:43" x14ac:dyDescent="0.2">
      <c r="AQ41663" s="31"/>
    </row>
    <row r="41664" spans="43:43" x14ac:dyDescent="0.2">
      <c r="AQ41664" s="31"/>
    </row>
    <row r="41665" spans="43:43" x14ac:dyDescent="0.2">
      <c r="AQ41665" s="31"/>
    </row>
    <row r="41666" spans="43:43" x14ac:dyDescent="0.2">
      <c r="AQ41666" s="31"/>
    </row>
    <row r="41667" spans="43:43" x14ac:dyDescent="0.2">
      <c r="AQ41667" s="31"/>
    </row>
    <row r="41668" spans="43:43" x14ac:dyDescent="0.2">
      <c r="AQ41668" s="31"/>
    </row>
    <row r="41669" spans="43:43" x14ac:dyDescent="0.2">
      <c r="AQ41669" s="31"/>
    </row>
    <row r="41670" spans="43:43" x14ac:dyDescent="0.2">
      <c r="AQ41670" s="31"/>
    </row>
    <row r="41671" spans="43:43" x14ac:dyDescent="0.2">
      <c r="AQ41671" s="31"/>
    </row>
    <row r="41672" spans="43:43" x14ac:dyDescent="0.2">
      <c r="AQ41672" s="31"/>
    </row>
    <row r="41673" spans="43:43" x14ac:dyDescent="0.2">
      <c r="AQ41673" s="31"/>
    </row>
    <row r="41674" spans="43:43" x14ac:dyDescent="0.2">
      <c r="AQ41674" s="31"/>
    </row>
    <row r="41675" spans="43:43" x14ac:dyDescent="0.2">
      <c r="AQ41675" s="31"/>
    </row>
    <row r="41676" spans="43:43" x14ac:dyDescent="0.2">
      <c r="AQ41676" s="31"/>
    </row>
    <row r="41677" spans="43:43" x14ac:dyDescent="0.2">
      <c r="AQ41677" s="31"/>
    </row>
    <row r="41678" spans="43:43" x14ac:dyDescent="0.2">
      <c r="AQ41678" s="31"/>
    </row>
    <row r="41679" spans="43:43" x14ac:dyDescent="0.2">
      <c r="AQ41679" s="31"/>
    </row>
    <row r="41680" spans="43:43" x14ac:dyDescent="0.2">
      <c r="AQ41680" s="31"/>
    </row>
    <row r="41681" spans="43:43" x14ac:dyDescent="0.2">
      <c r="AQ41681" s="31"/>
    </row>
    <row r="41682" spans="43:43" x14ac:dyDescent="0.2">
      <c r="AQ41682" s="31"/>
    </row>
    <row r="41683" spans="43:43" x14ac:dyDescent="0.2">
      <c r="AQ41683" s="31"/>
    </row>
    <row r="41684" spans="43:43" x14ac:dyDescent="0.2">
      <c r="AQ41684" s="31"/>
    </row>
    <row r="41685" spans="43:43" x14ac:dyDescent="0.2">
      <c r="AQ41685" s="31"/>
    </row>
    <row r="41686" spans="43:43" x14ac:dyDescent="0.2">
      <c r="AQ41686" s="31"/>
    </row>
    <row r="41687" spans="43:43" x14ac:dyDescent="0.2">
      <c r="AQ41687" s="31"/>
    </row>
    <row r="41688" spans="43:43" x14ac:dyDescent="0.2">
      <c r="AQ41688" s="31"/>
    </row>
    <row r="41689" spans="43:43" x14ac:dyDescent="0.2">
      <c r="AQ41689" s="31"/>
    </row>
    <row r="41690" spans="43:43" x14ac:dyDescent="0.2">
      <c r="AQ41690" s="31"/>
    </row>
    <row r="41691" spans="43:43" x14ac:dyDescent="0.2">
      <c r="AQ41691" s="31"/>
    </row>
    <row r="41692" spans="43:43" x14ac:dyDescent="0.2">
      <c r="AQ41692" s="31"/>
    </row>
    <row r="41693" spans="43:43" x14ac:dyDescent="0.2">
      <c r="AQ41693" s="31"/>
    </row>
    <row r="41694" spans="43:43" x14ac:dyDescent="0.2">
      <c r="AQ41694" s="31"/>
    </row>
    <row r="41695" spans="43:43" x14ac:dyDescent="0.2">
      <c r="AQ41695" s="31"/>
    </row>
    <row r="41696" spans="43:43" x14ac:dyDescent="0.2">
      <c r="AQ41696" s="31"/>
    </row>
    <row r="41697" spans="43:43" x14ac:dyDescent="0.2">
      <c r="AQ41697" s="31"/>
    </row>
    <row r="41698" spans="43:43" x14ac:dyDescent="0.2">
      <c r="AQ41698" s="31"/>
    </row>
    <row r="41699" spans="43:43" x14ac:dyDescent="0.2">
      <c r="AQ41699" s="31"/>
    </row>
    <row r="41700" spans="43:43" x14ac:dyDescent="0.2">
      <c r="AQ41700" s="31"/>
    </row>
    <row r="41701" spans="43:43" x14ac:dyDescent="0.2">
      <c r="AQ41701" s="31"/>
    </row>
    <row r="41702" spans="43:43" x14ac:dyDescent="0.2">
      <c r="AQ41702" s="31"/>
    </row>
    <row r="41703" spans="43:43" x14ac:dyDescent="0.2">
      <c r="AQ41703" s="31"/>
    </row>
    <row r="41704" spans="43:43" x14ac:dyDescent="0.2">
      <c r="AQ41704" s="31"/>
    </row>
    <row r="41705" spans="43:43" x14ac:dyDescent="0.2">
      <c r="AQ41705" s="31"/>
    </row>
    <row r="41706" spans="43:43" x14ac:dyDescent="0.2">
      <c r="AQ41706" s="31"/>
    </row>
    <row r="41707" spans="43:43" x14ac:dyDescent="0.2">
      <c r="AQ41707" s="31"/>
    </row>
    <row r="41708" spans="43:43" x14ac:dyDescent="0.2">
      <c r="AQ41708" s="31"/>
    </row>
    <row r="41709" spans="43:43" x14ac:dyDescent="0.2">
      <c r="AQ41709" s="31"/>
    </row>
    <row r="41710" spans="43:43" x14ac:dyDescent="0.2">
      <c r="AQ41710" s="31"/>
    </row>
    <row r="41711" spans="43:43" x14ac:dyDescent="0.2">
      <c r="AQ41711" s="31"/>
    </row>
    <row r="41712" spans="43:43" x14ac:dyDescent="0.2">
      <c r="AQ41712" s="31"/>
    </row>
    <row r="41713" spans="43:43" x14ac:dyDescent="0.2">
      <c r="AQ41713" s="31"/>
    </row>
    <row r="41714" spans="43:43" x14ac:dyDescent="0.2">
      <c r="AQ41714" s="31"/>
    </row>
    <row r="41715" spans="43:43" x14ac:dyDescent="0.2">
      <c r="AQ41715" s="31"/>
    </row>
    <row r="41716" spans="43:43" x14ac:dyDescent="0.2">
      <c r="AQ41716" s="31"/>
    </row>
    <row r="41717" spans="43:43" x14ac:dyDescent="0.2">
      <c r="AQ41717" s="31"/>
    </row>
    <row r="41718" spans="43:43" x14ac:dyDescent="0.2">
      <c r="AQ41718" s="31"/>
    </row>
    <row r="41719" spans="43:43" x14ac:dyDescent="0.2">
      <c r="AQ41719" s="31"/>
    </row>
    <row r="41720" spans="43:43" x14ac:dyDescent="0.2">
      <c r="AQ41720" s="31"/>
    </row>
    <row r="41721" spans="43:43" x14ac:dyDescent="0.2">
      <c r="AQ41721" s="31"/>
    </row>
    <row r="41722" spans="43:43" x14ac:dyDescent="0.2">
      <c r="AQ41722" s="31"/>
    </row>
    <row r="41723" spans="43:43" x14ac:dyDescent="0.2">
      <c r="AQ41723" s="31"/>
    </row>
    <row r="41724" spans="43:43" x14ac:dyDescent="0.2">
      <c r="AQ41724" s="31"/>
    </row>
    <row r="41725" spans="43:43" x14ac:dyDescent="0.2">
      <c r="AQ41725" s="31"/>
    </row>
    <row r="41726" spans="43:43" x14ac:dyDescent="0.2">
      <c r="AQ41726" s="31"/>
    </row>
    <row r="41727" spans="43:43" x14ac:dyDescent="0.2">
      <c r="AQ41727" s="31"/>
    </row>
    <row r="41728" spans="43:43" x14ac:dyDescent="0.2">
      <c r="AQ41728" s="31"/>
    </row>
    <row r="41729" spans="43:43" x14ac:dyDescent="0.2">
      <c r="AQ41729" s="31"/>
    </row>
    <row r="41730" spans="43:43" x14ac:dyDescent="0.2">
      <c r="AQ41730" s="31"/>
    </row>
    <row r="41731" spans="43:43" x14ac:dyDescent="0.2">
      <c r="AQ41731" s="31"/>
    </row>
    <row r="41732" spans="43:43" x14ac:dyDescent="0.2">
      <c r="AQ41732" s="31"/>
    </row>
    <row r="41733" spans="43:43" x14ac:dyDescent="0.2">
      <c r="AQ41733" s="31"/>
    </row>
    <row r="41734" spans="43:43" x14ac:dyDescent="0.2">
      <c r="AQ41734" s="31"/>
    </row>
    <row r="41735" spans="43:43" x14ac:dyDescent="0.2">
      <c r="AQ41735" s="31"/>
    </row>
    <row r="41736" spans="43:43" x14ac:dyDescent="0.2">
      <c r="AQ41736" s="31"/>
    </row>
    <row r="41737" spans="43:43" x14ac:dyDescent="0.2">
      <c r="AQ41737" s="31"/>
    </row>
    <row r="41738" spans="43:43" x14ac:dyDescent="0.2">
      <c r="AQ41738" s="31"/>
    </row>
    <row r="41739" spans="43:43" x14ac:dyDescent="0.2">
      <c r="AQ41739" s="31"/>
    </row>
    <row r="41740" spans="43:43" x14ac:dyDescent="0.2">
      <c r="AQ41740" s="31"/>
    </row>
    <row r="41741" spans="43:43" x14ac:dyDescent="0.2">
      <c r="AQ41741" s="31"/>
    </row>
    <row r="41742" spans="43:43" x14ac:dyDescent="0.2">
      <c r="AQ41742" s="31"/>
    </row>
    <row r="41743" spans="43:43" x14ac:dyDescent="0.2">
      <c r="AQ41743" s="31"/>
    </row>
    <row r="41744" spans="43:43" x14ac:dyDescent="0.2">
      <c r="AQ41744" s="31"/>
    </row>
    <row r="41745" spans="43:43" x14ac:dyDescent="0.2">
      <c r="AQ41745" s="31"/>
    </row>
    <row r="41746" spans="43:43" x14ac:dyDescent="0.2">
      <c r="AQ41746" s="31"/>
    </row>
    <row r="41747" spans="43:43" x14ac:dyDescent="0.2">
      <c r="AQ41747" s="31"/>
    </row>
    <row r="41748" spans="43:43" x14ac:dyDescent="0.2">
      <c r="AQ41748" s="31"/>
    </row>
    <row r="41749" spans="43:43" x14ac:dyDescent="0.2">
      <c r="AQ41749" s="31"/>
    </row>
    <row r="41750" spans="43:43" x14ac:dyDescent="0.2">
      <c r="AQ41750" s="31"/>
    </row>
    <row r="41751" spans="43:43" x14ac:dyDescent="0.2">
      <c r="AQ41751" s="31"/>
    </row>
    <row r="41752" spans="43:43" x14ac:dyDescent="0.2">
      <c r="AQ41752" s="31"/>
    </row>
    <row r="41753" spans="43:43" x14ac:dyDescent="0.2">
      <c r="AQ41753" s="31"/>
    </row>
    <row r="41754" spans="43:43" x14ac:dyDescent="0.2">
      <c r="AQ41754" s="31"/>
    </row>
    <row r="41755" spans="43:43" x14ac:dyDescent="0.2">
      <c r="AQ41755" s="31"/>
    </row>
    <row r="41756" spans="43:43" x14ac:dyDescent="0.2">
      <c r="AQ41756" s="31"/>
    </row>
    <row r="41757" spans="43:43" x14ac:dyDescent="0.2">
      <c r="AQ41757" s="31"/>
    </row>
    <row r="41758" spans="43:43" x14ac:dyDescent="0.2">
      <c r="AQ41758" s="31"/>
    </row>
    <row r="41759" spans="43:43" x14ac:dyDescent="0.2">
      <c r="AQ41759" s="31"/>
    </row>
    <row r="41760" spans="43:43" x14ac:dyDescent="0.2">
      <c r="AQ41760" s="31"/>
    </row>
    <row r="41761" spans="43:43" x14ac:dyDescent="0.2">
      <c r="AQ41761" s="31"/>
    </row>
    <row r="41762" spans="43:43" x14ac:dyDescent="0.2">
      <c r="AQ41762" s="31"/>
    </row>
    <row r="41763" spans="43:43" x14ac:dyDescent="0.2">
      <c r="AQ41763" s="31"/>
    </row>
    <row r="41764" spans="43:43" x14ac:dyDescent="0.2">
      <c r="AQ41764" s="31"/>
    </row>
    <row r="41765" spans="43:43" x14ac:dyDescent="0.2">
      <c r="AQ41765" s="31"/>
    </row>
    <row r="41766" spans="43:43" x14ac:dyDescent="0.2">
      <c r="AQ41766" s="31"/>
    </row>
    <row r="41767" spans="43:43" x14ac:dyDescent="0.2">
      <c r="AQ41767" s="31"/>
    </row>
    <row r="41768" spans="43:43" x14ac:dyDescent="0.2">
      <c r="AQ41768" s="31"/>
    </row>
    <row r="41769" spans="43:43" x14ac:dyDescent="0.2">
      <c r="AQ41769" s="31"/>
    </row>
    <row r="41770" spans="43:43" x14ac:dyDescent="0.2">
      <c r="AQ41770" s="31"/>
    </row>
    <row r="41771" spans="43:43" x14ac:dyDescent="0.2">
      <c r="AQ41771" s="31"/>
    </row>
    <row r="41772" spans="43:43" x14ac:dyDescent="0.2">
      <c r="AQ41772" s="31"/>
    </row>
    <row r="41773" spans="43:43" x14ac:dyDescent="0.2">
      <c r="AQ41773" s="31"/>
    </row>
    <row r="41774" spans="43:43" x14ac:dyDescent="0.2">
      <c r="AQ41774" s="31"/>
    </row>
    <row r="41775" spans="43:43" x14ac:dyDescent="0.2">
      <c r="AQ41775" s="31"/>
    </row>
    <row r="41776" spans="43:43" x14ac:dyDescent="0.2">
      <c r="AQ41776" s="31"/>
    </row>
    <row r="41777" spans="43:43" x14ac:dyDescent="0.2">
      <c r="AQ41777" s="31"/>
    </row>
    <row r="41778" spans="43:43" x14ac:dyDescent="0.2">
      <c r="AQ41778" s="31"/>
    </row>
    <row r="41779" spans="43:43" x14ac:dyDescent="0.2">
      <c r="AQ41779" s="31"/>
    </row>
    <row r="41780" spans="43:43" x14ac:dyDescent="0.2">
      <c r="AQ41780" s="31"/>
    </row>
    <row r="41781" spans="43:43" x14ac:dyDescent="0.2">
      <c r="AQ41781" s="31"/>
    </row>
    <row r="41782" spans="43:43" x14ac:dyDescent="0.2">
      <c r="AQ41782" s="31"/>
    </row>
    <row r="41783" spans="43:43" x14ac:dyDescent="0.2">
      <c r="AQ41783" s="31"/>
    </row>
    <row r="41784" spans="43:43" x14ac:dyDescent="0.2">
      <c r="AQ41784" s="31"/>
    </row>
    <row r="41785" spans="43:43" x14ac:dyDescent="0.2">
      <c r="AQ41785" s="31"/>
    </row>
    <row r="41786" spans="43:43" x14ac:dyDescent="0.2">
      <c r="AQ41786" s="31"/>
    </row>
    <row r="41787" spans="43:43" x14ac:dyDescent="0.2">
      <c r="AQ41787" s="31"/>
    </row>
    <row r="41788" spans="43:43" x14ac:dyDescent="0.2">
      <c r="AQ41788" s="31"/>
    </row>
    <row r="41789" spans="43:43" x14ac:dyDescent="0.2">
      <c r="AQ41789" s="31"/>
    </row>
    <row r="41790" spans="43:43" x14ac:dyDescent="0.2">
      <c r="AQ41790" s="31"/>
    </row>
    <row r="41791" spans="43:43" x14ac:dyDescent="0.2">
      <c r="AQ41791" s="31"/>
    </row>
    <row r="41792" spans="43:43" x14ac:dyDescent="0.2">
      <c r="AQ41792" s="31"/>
    </row>
    <row r="41793" spans="43:43" x14ac:dyDescent="0.2">
      <c r="AQ41793" s="31"/>
    </row>
    <row r="41794" spans="43:43" x14ac:dyDescent="0.2">
      <c r="AQ41794" s="31"/>
    </row>
    <row r="41795" spans="43:43" x14ac:dyDescent="0.2">
      <c r="AQ41795" s="31"/>
    </row>
    <row r="41796" spans="43:43" x14ac:dyDescent="0.2">
      <c r="AQ41796" s="31"/>
    </row>
    <row r="41797" spans="43:43" x14ac:dyDescent="0.2">
      <c r="AQ41797" s="31"/>
    </row>
    <row r="41798" spans="43:43" x14ac:dyDescent="0.2">
      <c r="AQ41798" s="31"/>
    </row>
    <row r="41799" spans="43:43" x14ac:dyDescent="0.2">
      <c r="AQ41799" s="31"/>
    </row>
    <row r="41800" spans="43:43" x14ac:dyDescent="0.2">
      <c r="AQ41800" s="31"/>
    </row>
    <row r="41801" spans="43:43" x14ac:dyDescent="0.2">
      <c r="AQ41801" s="31"/>
    </row>
    <row r="41802" spans="43:43" x14ac:dyDescent="0.2">
      <c r="AQ41802" s="31"/>
    </row>
    <row r="41803" spans="43:43" x14ac:dyDescent="0.2">
      <c r="AQ41803" s="31"/>
    </row>
    <row r="41804" spans="43:43" x14ac:dyDescent="0.2">
      <c r="AQ41804" s="31"/>
    </row>
    <row r="41805" spans="43:43" x14ac:dyDescent="0.2">
      <c r="AQ41805" s="31"/>
    </row>
    <row r="41806" spans="43:43" x14ac:dyDescent="0.2">
      <c r="AQ41806" s="31"/>
    </row>
    <row r="41807" spans="43:43" x14ac:dyDescent="0.2">
      <c r="AQ41807" s="31"/>
    </row>
    <row r="41808" spans="43:43" x14ac:dyDescent="0.2">
      <c r="AQ41808" s="31"/>
    </row>
    <row r="41809" spans="43:43" x14ac:dyDescent="0.2">
      <c r="AQ41809" s="31"/>
    </row>
    <row r="41810" spans="43:43" x14ac:dyDescent="0.2">
      <c r="AQ41810" s="31"/>
    </row>
    <row r="41811" spans="43:43" x14ac:dyDescent="0.2">
      <c r="AQ41811" s="31"/>
    </row>
    <row r="41812" spans="43:43" x14ac:dyDescent="0.2">
      <c r="AQ41812" s="31"/>
    </row>
    <row r="41813" spans="43:43" x14ac:dyDescent="0.2">
      <c r="AQ41813" s="31"/>
    </row>
    <row r="41814" spans="43:43" x14ac:dyDescent="0.2">
      <c r="AQ41814" s="31"/>
    </row>
    <row r="41815" spans="43:43" x14ac:dyDescent="0.2">
      <c r="AQ41815" s="31"/>
    </row>
    <row r="41816" spans="43:43" x14ac:dyDescent="0.2">
      <c r="AQ41816" s="31"/>
    </row>
    <row r="41817" spans="43:43" x14ac:dyDescent="0.2">
      <c r="AQ41817" s="31"/>
    </row>
    <row r="41818" spans="43:43" x14ac:dyDescent="0.2">
      <c r="AQ41818" s="31"/>
    </row>
    <row r="41819" spans="43:43" x14ac:dyDescent="0.2">
      <c r="AQ41819" s="31"/>
    </row>
    <row r="41820" spans="43:43" x14ac:dyDescent="0.2">
      <c r="AQ41820" s="31"/>
    </row>
    <row r="41821" spans="43:43" x14ac:dyDescent="0.2">
      <c r="AQ41821" s="31"/>
    </row>
    <row r="41822" spans="43:43" x14ac:dyDescent="0.2">
      <c r="AQ41822" s="31"/>
    </row>
    <row r="41823" spans="43:43" x14ac:dyDescent="0.2">
      <c r="AQ41823" s="31"/>
    </row>
    <row r="41824" spans="43:43" x14ac:dyDescent="0.2">
      <c r="AQ41824" s="31"/>
    </row>
    <row r="41825" spans="43:43" x14ac:dyDescent="0.2">
      <c r="AQ41825" s="31"/>
    </row>
    <row r="41826" spans="43:43" x14ac:dyDescent="0.2">
      <c r="AQ41826" s="31"/>
    </row>
    <row r="41827" spans="43:43" x14ac:dyDescent="0.2">
      <c r="AQ41827" s="31"/>
    </row>
    <row r="41828" spans="43:43" x14ac:dyDescent="0.2">
      <c r="AQ41828" s="31"/>
    </row>
    <row r="41829" spans="43:43" x14ac:dyDescent="0.2">
      <c r="AQ41829" s="31"/>
    </row>
    <row r="41830" spans="43:43" x14ac:dyDescent="0.2">
      <c r="AQ41830" s="31"/>
    </row>
    <row r="41831" spans="43:43" x14ac:dyDescent="0.2">
      <c r="AQ41831" s="31"/>
    </row>
    <row r="41832" spans="43:43" x14ac:dyDescent="0.2">
      <c r="AQ41832" s="31"/>
    </row>
    <row r="41833" spans="43:43" x14ac:dyDescent="0.2">
      <c r="AQ41833" s="31"/>
    </row>
    <row r="41834" spans="43:43" x14ac:dyDescent="0.2">
      <c r="AQ41834" s="31"/>
    </row>
    <row r="41835" spans="43:43" x14ac:dyDescent="0.2">
      <c r="AQ41835" s="31"/>
    </row>
    <row r="41836" spans="43:43" x14ac:dyDescent="0.2">
      <c r="AQ41836" s="31"/>
    </row>
    <row r="41837" spans="43:43" x14ac:dyDescent="0.2">
      <c r="AQ41837" s="31"/>
    </row>
    <row r="41838" spans="43:43" x14ac:dyDescent="0.2">
      <c r="AQ41838" s="31"/>
    </row>
    <row r="41839" spans="43:43" x14ac:dyDescent="0.2">
      <c r="AQ41839" s="31"/>
    </row>
    <row r="41840" spans="43:43" x14ac:dyDescent="0.2">
      <c r="AQ41840" s="31"/>
    </row>
    <row r="41841" spans="43:43" x14ac:dyDescent="0.2">
      <c r="AQ41841" s="31"/>
    </row>
    <row r="41842" spans="43:43" x14ac:dyDescent="0.2">
      <c r="AQ41842" s="31"/>
    </row>
    <row r="41843" spans="43:43" x14ac:dyDescent="0.2">
      <c r="AQ41843" s="31"/>
    </row>
    <row r="41844" spans="43:43" x14ac:dyDescent="0.2">
      <c r="AQ41844" s="31"/>
    </row>
    <row r="41845" spans="43:43" x14ac:dyDescent="0.2">
      <c r="AQ41845" s="31"/>
    </row>
    <row r="41846" spans="43:43" x14ac:dyDescent="0.2">
      <c r="AQ41846" s="31"/>
    </row>
    <row r="41847" spans="43:43" x14ac:dyDescent="0.2">
      <c r="AQ41847" s="31"/>
    </row>
    <row r="41848" spans="43:43" x14ac:dyDescent="0.2">
      <c r="AQ41848" s="31"/>
    </row>
    <row r="41849" spans="43:43" x14ac:dyDescent="0.2">
      <c r="AQ41849" s="31"/>
    </row>
    <row r="41850" spans="43:43" x14ac:dyDescent="0.2">
      <c r="AQ41850" s="31"/>
    </row>
    <row r="41851" spans="43:43" x14ac:dyDescent="0.2">
      <c r="AQ41851" s="31"/>
    </row>
    <row r="41852" spans="43:43" x14ac:dyDescent="0.2">
      <c r="AQ41852" s="31"/>
    </row>
    <row r="41853" spans="43:43" x14ac:dyDescent="0.2">
      <c r="AQ41853" s="31"/>
    </row>
    <row r="41854" spans="43:43" x14ac:dyDescent="0.2">
      <c r="AQ41854" s="31"/>
    </row>
    <row r="41855" spans="43:43" x14ac:dyDescent="0.2">
      <c r="AQ41855" s="31"/>
    </row>
    <row r="41856" spans="43:43" x14ac:dyDescent="0.2">
      <c r="AQ41856" s="31"/>
    </row>
    <row r="41857" spans="43:43" x14ac:dyDescent="0.2">
      <c r="AQ41857" s="31"/>
    </row>
    <row r="41858" spans="43:43" x14ac:dyDescent="0.2">
      <c r="AQ41858" s="31"/>
    </row>
    <row r="41859" spans="43:43" x14ac:dyDescent="0.2">
      <c r="AQ41859" s="31"/>
    </row>
    <row r="41860" spans="43:43" x14ac:dyDescent="0.2">
      <c r="AQ41860" s="31"/>
    </row>
    <row r="41861" spans="43:43" x14ac:dyDescent="0.2">
      <c r="AQ41861" s="31"/>
    </row>
    <row r="41862" spans="43:43" x14ac:dyDescent="0.2">
      <c r="AQ41862" s="31"/>
    </row>
    <row r="41863" spans="43:43" x14ac:dyDescent="0.2">
      <c r="AQ41863" s="31"/>
    </row>
    <row r="41864" spans="43:43" x14ac:dyDescent="0.2">
      <c r="AQ41864" s="31"/>
    </row>
    <row r="41865" spans="43:43" x14ac:dyDescent="0.2">
      <c r="AQ41865" s="31"/>
    </row>
    <row r="41866" spans="43:43" x14ac:dyDescent="0.2">
      <c r="AQ41866" s="31"/>
    </row>
    <row r="41867" spans="43:43" x14ac:dyDescent="0.2">
      <c r="AQ41867" s="31"/>
    </row>
    <row r="41868" spans="43:43" x14ac:dyDescent="0.2">
      <c r="AQ41868" s="31"/>
    </row>
    <row r="41869" spans="43:43" x14ac:dyDescent="0.2">
      <c r="AQ41869" s="31"/>
    </row>
    <row r="41870" spans="43:43" x14ac:dyDescent="0.2">
      <c r="AQ41870" s="31"/>
    </row>
    <row r="41871" spans="43:43" x14ac:dyDescent="0.2">
      <c r="AQ41871" s="31"/>
    </row>
    <row r="41872" spans="43:43" x14ac:dyDescent="0.2">
      <c r="AQ41872" s="31"/>
    </row>
    <row r="41873" spans="43:43" x14ac:dyDescent="0.2">
      <c r="AQ41873" s="31"/>
    </row>
    <row r="41874" spans="43:43" x14ac:dyDescent="0.2">
      <c r="AQ41874" s="31"/>
    </row>
    <row r="41875" spans="43:43" x14ac:dyDescent="0.2">
      <c r="AQ41875" s="31"/>
    </row>
    <row r="41876" spans="43:43" x14ac:dyDescent="0.2">
      <c r="AQ41876" s="31"/>
    </row>
    <row r="41877" spans="43:43" x14ac:dyDescent="0.2">
      <c r="AQ41877" s="31"/>
    </row>
    <row r="41878" spans="43:43" x14ac:dyDescent="0.2">
      <c r="AQ41878" s="31"/>
    </row>
    <row r="41879" spans="43:43" x14ac:dyDescent="0.2">
      <c r="AQ41879" s="31"/>
    </row>
    <row r="41880" spans="43:43" x14ac:dyDescent="0.2">
      <c r="AQ41880" s="31"/>
    </row>
    <row r="41881" spans="43:43" x14ac:dyDescent="0.2">
      <c r="AQ41881" s="31"/>
    </row>
    <row r="41882" spans="43:43" x14ac:dyDescent="0.2">
      <c r="AQ41882" s="31"/>
    </row>
    <row r="41883" spans="43:43" x14ac:dyDescent="0.2">
      <c r="AQ41883" s="31"/>
    </row>
    <row r="41884" spans="43:43" x14ac:dyDescent="0.2">
      <c r="AQ41884" s="31"/>
    </row>
    <row r="41885" spans="43:43" x14ac:dyDescent="0.2">
      <c r="AQ41885" s="31"/>
    </row>
    <row r="41886" spans="43:43" x14ac:dyDescent="0.2">
      <c r="AQ41886" s="31"/>
    </row>
    <row r="41887" spans="43:43" x14ac:dyDescent="0.2">
      <c r="AQ41887" s="31"/>
    </row>
    <row r="41888" spans="43:43" x14ac:dyDescent="0.2">
      <c r="AQ41888" s="31"/>
    </row>
    <row r="41889" spans="43:43" x14ac:dyDescent="0.2">
      <c r="AQ41889" s="31"/>
    </row>
    <row r="41890" spans="43:43" x14ac:dyDescent="0.2">
      <c r="AQ41890" s="31"/>
    </row>
    <row r="41891" spans="43:43" x14ac:dyDescent="0.2">
      <c r="AQ41891" s="31"/>
    </row>
    <row r="41892" spans="43:43" x14ac:dyDescent="0.2">
      <c r="AQ41892" s="31"/>
    </row>
    <row r="41893" spans="43:43" x14ac:dyDescent="0.2">
      <c r="AQ41893" s="31"/>
    </row>
    <row r="41894" spans="43:43" x14ac:dyDescent="0.2">
      <c r="AQ41894" s="31"/>
    </row>
    <row r="41895" spans="43:43" x14ac:dyDescent="0.2">
      <c r="AQ41895" s="31"/>
    </row>
    <row r="41896" spans="43:43" x14ac:dyDescent="0.2">
      <c r="AQ41896" s="31"/>
    </row>
    <row r="41897" spans="43:43" x14ac:dyDescent="0.2">
      <c r="AQ41897" s="31"/>
    </row>
    <row r="41898" spans="43:43" x14ac:dyDescent="0.2">
      <c r="AQ41898" s="31"/>
    </row>
    <row r="41899" spans="43:43" x14ac:dyDescent="0.2">
      <c r="AQ41899" s="31"/>
    </row>
    <row r="41900" spans="43:43" x14ac:dyDescent="0.2">
      <c r="AQ41900" s="31"/>
    </row>
    <row r="41901" spans="43:43" x14ac:dyDescent="0.2">
      <c r="AQ41901" s="31"/>
    </row>
    <row r="41902" spans="43:43" x14ac:dyDescent="0.2">
      <c r="AQ41902" s="31"/>
    </row>
    <row r="41903" spans="43:43" x14ac:dyDescent="0.2">
      <c r="AQ41903" s="31"/>
    </row>
    <row r="41904" spans="43:43" x14ac:dyDescent="0.2">
      <c r="AQ41904" s="31"/>
    </row>
    <row r="41905" spans="43:43" x14ac:dyDescent="0.2">
      <c r="AQ41905" s="31"/>
    </row>
    <row r="41906" spans="43:43" x14ac:dyDescent="0.2">
      <c r="AQ41906" s="31"/>
    </row>
    <row r="41907" spans="43:43" x14ac:dyDescent="0.2">
      <c r="AQ41907" s="31"/>
    </row>
    <row r="41908" spans="43:43" x14ac:dyDescent="0.2">
      <c r="AQ41908" s="31"/>
    </row>
    <row r="41909" spans="43:43" x14ac:dyDescent="0.2">
      <c r="AQ41909" s="31"/>
    </row>
    <row r="41910" spans="43:43" x14ac:dyDescent="0.2">
      <c r="AQ41910" s="31"/>
    </row>
    <row r="41911" spans="43:43" x14ac:dyDescent="0.2">
      <c r="AQ41911" s="31"/>
    </row>
    <row r="41912" spans="43:43" x14ac:dyDescent="0.2">
      <c r="AQ41912" s="31"/>
    </row>
    <row r="41913" spans="43:43" x14ac:dyDescent="0.2">
      <c r="AQ41913" s="31"/>
    </row>
    <row r="41914" spans="43:43" x14ac:dyDescent="0.2">
      <c r="AQ41914" s="31"/>
    </row>
    <row r="41915" spans="43:43" x14ac:dyDescent="0.2">
      <c r="AQ41915" s="31"/>
    </row>
    <row r="41916" spans="43:43" x14ac:dyDescent="0.2">
      <c r="AQ41916" s="31"/>
    </row>
    <row r="41917" spans="43:43" x14ac:dyDescent="0.2">
      <c r="AQ41917" s="31"/>
    </row>
    <row r="41918" spans="43:43" x14ac:dyDescent="0.2">
      <c r="AQ41918" s="31"/>
    </row>
    <row r="41919" spans="43:43" x14ac:dyDescent="0.2">
      <c r="AQ41919" s="31"/>
    </row>
    <row r="41920" spans="43:43" x14ac:dyDescent="0.2">
      <c r="AQ41920" s="31"/>
    </row>
    <row r="41921" spans="43:43" x14ac:dyDescent="0.2">
      <c r="AQ41921" s="31"/>
    </row>
    <row r="41922" spans="43:43" x14ac:dyDescent="0.2">
      <c r="AQ41922" s="31"/>
    </row>
    <row r="41923" spans="43:43" x14ac:dyDescent="0.2">
      <c r="AQ41923" s="31"/>
    </row>
    <row r="41924" spans="43:43" x14ac:dyDescent="0.2">
      <c r="AQ41924" s="31"/>
    </row>
    <row r="41925" spans="43:43" x14ac:dyDescent="0.2">
      <c r="AQ41925" s="31"/>
    </row>
    <row r="41926" spans="43:43" x14ac:dyDescent="0.2">
      <c r="AQ41926" s="31"/>
    </row>
    <row r="41927" spans="43:43" x14ac:dyDescent="0.2">
      <c r="AQ41927" s="31"/>
    </row>
    <row r="41928" spans="43:43" x14ac:dyDescent="0.2">
      <c r="AQ41928" s="31"/>
    </row>
    <row r="41929" spans="43:43" x14ac:dyDescent="0.2">
      <c r="AQ41929" s="31"/>
    </row>
    <row r="41930" spans="43:43" x14ac:dyDescent="0.2">
      <c r="AQ41930" s="31"/>
    </row>
    <row r="41931" spans="43:43" x14ac:dyDescent="0.2">
      <c r="AQ41931" s="31"/>
    </row>
    <row r="41932" spans="43:43" x14ac:dyDescent="0.2">
      <c r="AQ41932" s="31"/>
    </row>
    <row r="41933" spans="43:43" x14ac:dyDescent="0.2">
      <c r="AQ41933" s="31"/>
    </row>
    <row r="41934" spans="43:43" x14ac:dyDescent="0.2">
      <c r="AQ41934" s="31"/>
    </row>
    <row r="41935" spans="43:43" x14ac:dyDescent="0.2">
      <c r="AQ41935" s="31"/>
    </row>
    <row r="41936" spans="43:43" x14ac:dyDescent="0.2">
      <c r="AQ41936" s="31"/>
    </row>
    <row r="41937" spans="43:43" x14ac:dyDescent="0.2">
      <c r="AQ41937" s="31"/>
    </row>
    <row r="41938" spans="43:43" x14ac:dyDescent="0.2">
      <c r="AQ41938" s="31"/>
    </row>
    <row r="41939" spans="43:43" x14ac:dyDescent="0.2">
      <c r="AQ41939" s="31"/>
    </row>
    <row r="41940" spans="43:43" x14ac:dyDescent="0.2">
      <c r="AQ41940" s="31"/>
    </row>
    <row r="41941" spans="43:43" x14ac:dyDescent="0.2">
      <c r="AQ41941" s="31"/>
    </row>
    <row r="41942" spans="43:43" x14ac:dyDescent="0.2">
      <c r="AQ41942" s="31"/>
    </row>
    <row r="41943" spans="43:43" x14ac:dyDescent="0.2">
      <c r="AQ41943" s="31"/>
    </row>
    <row r="41944" spans="43:43" x14ac:dyDescent="0.2">
      <c r="AQ41944" s="31"/>
    </row>
    <row r="41945" spans="43:43" x14ac:dyDescent="0.2">
      <c r="AQ41945" s="31"/>
    </row>
    <row r="41946" spans="43:43" x14ac:dyDescent="0.2">
      <c r="AQ41946" s="31"/>
    </row>
    <row r="41947" spans="43:43" x14ac:dyDescent="0.2">
      <c r="AQ41947" s="31"/>
    </row>
    <row r="41948" spans="43:43" x14ac:dyDescent="0.2">
      <c r="AQ41948" s="31"/>
    </row>
    <row r="41949" spans="43:43" x14ac:dyDescent="0.2">
      <c r="AQ41949" s="31"/>
    </row>
    <row r="41950" spans="43:43" x14ac:dyDescent="0.2">
      <c r="AQ41950" s="31"/>
    </row>
    <row r="41951" spans="43:43" x14ac:dyDescent="0.2">
      <c r="AQ41951" s="31"/>
    </row>
    <row r="41952" spans="43:43" x14ac:dyDescent="0.2">
      <c r="AQ41952" s="31"/>
    </row>
    <row r="41953" spans="43:43" x14ac:dyDescent="0.2">
      <c r="AQ41953" s="31"/>
    </row>
    <row r="41954" spans="43:43" x14ac:dyDescent="0.2">
      <c r="AQ41954" s="31"/>
    </row>
    <row r="41955" spans="43:43" x14ac:dyDescent="0.2">
      <c r="AQ41955" s="31"/>
    </row>
    <row r="41956" spans="43:43" x14ac:dyDescent="0.2">
      <c r="AQ41956" s="31"/>
    </row>
    <row r="41957" spans="43:43" x14ac:dyDescent="0.2">
      <c r="AQ41957" s="31"/>
    </row>
    <row r="41958" spans="43:43" x14ac:dyDescent="0.2">
      <c r="AQ41958" s="31"/>
    </row>
    <row r="41959" spans="43:43" x14ac:dyDescent="0.2">
      <c r="AQ41959" s="31"/>
    </row>
    <row r="41960" spans="43:43" x14ac:dyDescent="0.2">
      <c r="AQ41960" s="31"/>
    </row>
    <row r="41961" spans="43:43" x14ac:dyDescent="0.2">
      <c r="AQ41961" s="31"/>
    </row>
    <row r="41962" spans="43:43" x14ac:dyDescent="0.2">
      <c r="AQ41962" s="31"/>
    </row>
    <row r="41963" spans="43:43" x14ac:dyDescent="0.2">
      <c r="AQ41963" s="31"/>
    </row>
    <row r="41964" spans="43:43" x14ac:dyDescent="0.2">
      <c r="AQ41964" s="31"/>
    </row>
    <row r="41965" spans="43:43" x14ac:dyDescent="0.2">
      <c r="AQ41965" s="31"/>
    </row>
    <row r="41966" spans="43:43" x14ac:dyDescent="0.2">
      <c r="AQ41966" s="31"/>
    </row>
    <row r="41967" spans="43:43" x14ac:dyDescent="0.2">
      <c r="AQ41967" s="31"/>
    </row>
    <row r="41968" spans="43:43" x14ac:dyDescent="0.2">
      <c r="AQ41968" s="31"/>
    </row>
    <row r="41969" spans="43:43" x14ac:dyDescent="0.2">
      <c r="AQ41969" s="31"/>
    </row>
    <row r="41970" spans="43:43" x14ac:dyDescent="0.2">
      <c r="AQ41970" s="31"/>
    </row>
    <row r="41971" spans="43:43" x14ac:dyDescent="0.2">
      <c r="AQ41971" s="31"/>
    </row>
    <row r="41972" spans="43:43" x14ac:dyDescent="0.2">
      <c r="AQ41972" s="31"/>
    </row>
    <row r="41973" spans="43:43" x14ac:dyDescent="0.2">
      <c r="AQ41973" s="31"/>
    </row>
    <row r="41974" spans="43:43" x14ac:dyDescent="0.2">
      <c r="AQ41974" s="31"/>
    </row>
    <row r="41975" spans="43:43" x14ac:dyDescent="0.2">
      <c r="AQ41975" s="31"/>
    </row>
    <row r="41976" spans="43:43" x14ac:dyDescent="0.2">
      <c r="AQ41976" s="31"/>
    </row>
    <row r="41977" spans="43:43" x14ac:dyDescent="0.2">
      <c r="AQ41977" s="31"/>
    </row>
    <row r="41978" spans="43:43" x14ac:dyDescent="0.2">
      <c r="AQ41978" s="31"/>
    </row>
    <row r="41979" spans="43:43" x14ac:dyDescent="0.2">
      <c r="AQ41979" s="31"/>
    </row>
    <row r="41980" spans="43:43" x14ac:dyDescent="0.2">
      <c r="AQ41980" s="31"/>
    </row>
    <row r="41981" spans="43:43" x14ac:dyDescent="0.2">
      <c r="AQ41981" s="31"/>
    </row>
    <row r="41982" spans="43:43" x14ac:dyDescent="0.2">
      <c r="AQ41982" s="31"/>
    </row>
    <row r="41983" spans="43:43" x14ac:dyDescent="0.2">
      <c r="AQ41983" s="31"/>
    </row>
    <row r="41984" spans="43:43" x14ac:dyDescent="0.2">
      <c r="AQ41984" s="31"/>
    </row>
    <row r="41985" spans="43:43" x14ac:dyDescent="0.2">
      <c r="AQ41985" s="31"/>
    </row>
    <row r="41986" spans="43:43" x14ac:dyDescent="0.2">
      <c r="AQ41986" s="31"/>
    </row>
    <row r="41987" spans="43:43" x14ac:dyDescent="0.2">
      <c r="AQ41987" s="31"/>
    </row>
    <row r="41988" spans="43:43" x14ac:dyDescent="0.2">
      <c r="AQ41988" s="31"/>
    </row>
    <row r="41989" spans="43:43" x14ac:dyDescent="0.2">
      <c r="AQ41989" s="31"/>
    </row>
    <row r="41990" spans="43:43" x14ac:dyDescent="0.2">
      <c r="AQ41990" s="31"/>
    </row>
    <row r="41991" spans="43:43" x14ac:dyDescent="0.2">
      <c r="AQ41991" s="31"/>
    </row>
    <row r="41992" spans="43:43" x14ac:dyDescent="0.2">
      <c r="AQ41992" s="31"/>
    </row>
    <row r="41993" spans="43:43" x14ac:dyDescent="0.2">
      <c r="AQ41993" s="31"/>
    </row>
    <row r="41994" spans="43:43" x14ac:dyDescent="0.2">
      <c r="AQ41994" s="31"/>
    </row>
    <row r="41995" spans="43:43" x14ac:dyDescent="0.2">
      <c r="AQ41995" s="31"/>
    </row>
    <row r="41996" spans="43:43" x14ac:dyDescent="0.2">
      <c r="AQ41996" s="31"/>
    </row>
    <row r="41997" spans="43:43" x14ac:dyDescent="0.2">
      <c r="AQ41997" s="31"/>
    </row>
    <row r="41998" spans="43:43" x14ac:dyDescent="0.2">
      <c r="AQ41998" s="31"/>
    </row>
    <row r="41999" spans="43:43" x14ac:dyDescent="0.2">
      <c r="AQ41999" s="31"/>
    </row>
    <row r="42000" spans="43:43" x14ac:dyDescent="0.2">
      <c r="AQ42000" s="31"/>
    </row>
    <row r="42001" spans="43:43" x14ac:dyDescent="0.2">
      <c r="AQ42001" s="31"/>
    </row>
    <row r="42002" spans="43:43" x14ac:dyDescent="0.2">
      <c r="AQ42002" s="31"/>
    </row>
    <row r="42003" spans="43:43" x14ac:dyDescent="0.2">
      <c r="AQ42003" s="31"/>
    </row>
    <row r="42004" spans="43:43" x14ac:dyDescent="0.2">
      <c r="AQ42004" s="31"/>
    </row>
    <row r="42005" spans="43:43" x14ac:dyDescent="0.2">
      <c r="AQ42005" s="31"/>
    </row>
    <row r="42006" spans="43:43" x14ac:dyDescent="0.2">
      <c r="AQ42006" s="31"/>
    </row>
    <row r="42007" spans="43:43" x14ac:dyDescent="0.2">
      <c r="AQ42007" s="31"/>
    </row>
    <row r="42008" spans="43:43" x14ac:dyDescent="0.2">
      <c r="AQ42008" s="31"/>
    </row>
    <row r="42009" spans="43:43" x14ac:dyDescent="0.2">
      <c r="AQ42009" s="31"/>
    </row>
    <row r="42010" spans="43:43" x14ac:dyDescent="0.2">
      <c r="AQ42010" s="31"/>
    </row>
    <row r="42011" spans="43:43" x14ac:dyDescent="0.2">
      <c r="AQ42011" s="31"/>
    </row>
    <row r="42012" spans="43:43" x14ac:dyDescent="0.2">
      <c r="AQ42012" s="31"/>
    </row>
    <row r="42013" spans="43:43" x14ac:dyDescent="0.2">
      <c r="AQ42013" s="31"/>
    </row>
    <row r="42014" spans="43:43" x14ac:dyDescent="0.2">
      <c r="AQ42014" s="31"/>
    </row>
    <row r="42015" spans="43:43" x14ac:dyDescent="0.2">
      <c r="AQ42015" s="31"/>
    </row>
    <row r="42016" spans="43:43" x14ac:dyDescent="0.2">
      <c r="AQ42016" s="31"/>
    </row>
    <row r="42017" spans="43:43" x14ac:dyDescent="0.2">
      <c r="AQ42017" s="31"/>
    </row>
    <row r="42018" spans="43:43" x14ac:dyDescent="0.2">
      <c r="AQ42018" s="31"/>
    </row>
    <row r="42019" spans="43:43" x14ac:dyDescent="0.2">
      <c r="AQ42019" s="31"/>
    </row>
    <row r="42020" spans="43:43" x14ac:dyDescent="0.2">
      <c r="AQ42020" s="31"/>
    </row>
    <row r="42021" spans="43:43" x14ac:dyDescent="0.2">
      <c r="AQ42021" s="31"/>
    </row>
    <row r="42022" spans="43:43" x14ac:dyDescent="0.2">
      <c r="AQ42022" s="31"/>
    </row>
    <row r="42023" spans="43:43" x14ac:dyDescent="0.2">
      <c r="AQ42023" s="31"/>
    </row>
    <row r="42024" spans="43:43" x14ac:dyDescent="0.2">
      <c r="AQ42024" s="31"/>
    </row>
    <row r="42025" spans="43:43" x14ac:dyDescent="0.2">
      <c r="AQ42025" s="31"/>
    </row>
    <row r="42026" spans="43:43" x14ac:dyDescent="0.2">
      <c r="AQ42026" s="31"/>
    </row>
    <row r="42027" spans="43:43" x14ac:dyDescent="0.2">
      <c r="AQ42027" s="31"/>
    </row>
    <row r="42028" spans="43:43" x14ac:dyDescent="0.2">
      <c r="AQ42028" s="31"/>
    </row>
    <row r="42029" spans="43:43" x14ac:dyDescent="0.2">
      <c r="AQ42029" s="31"/>
    </row>
    <row r="42030" spans="43:43" x14ac:dyDescent="0.2">
      <c r="AQ42030" s="31"/>
    </row>
    <row r="42031" spans="43:43" x14ac:dyDescent="0.2">
      <c r="AQ42031" s="31"/>
    </row>
    <row r="42032" spans="43:43" x14ac:dyDescent="0.2">
      <c r="AQ42032" s="31"/>
    </row>
    <row r="42033" spans="43:43" x14ac:dyDescent="0.2">
      <c r="AQ42033" s="31"/>
    </row>
    <row r="42034" spans="43:43" x14ac:dyDescent="0.2">
      <c r="AQ42034" s="31"/>
    </row>
    <row r="42035" spans="43:43" x14ac:dyDescent="0.2">
      <c r="AQ42035" s="31"/>
    </row>
    <row r="42036" spans="43:43" x14ac:dyDescent="0.2">
      <c r="AQ42036" s="31"/>
    </row>
    <row r="42037" spans="43:43" x14ac:dyDescent="0.2">
      <c r="AQ42037" s="31"/>
    </row>
    <row r="42038" spans="43:43" x14ac:dyDescent="0.2">
      <c r="AQ42038" s="31"/>
    </row>
    <row r="42039" spans="43:43" x14ac:dyDescent="0.2">
      <c r="AQ42039" s="31"/>
    </row>
    <row r="42040" spans="43:43" x14ac:dyDescent="0.2">
      <c r="AQ42040" s="31"/>
    </row>
    <row r="42041" spans="43:43" x14ac:dyDescent="0.2">
      <c r="AQ42041" s="31"/>
    </row>
    <row r="42042" spans="43:43" x14ac:dyDescent="0.2">
      <c r="AQ42042" s="31"/>
    </row>
    <row r="42043" spans="43:43" x14ac:dyDescent="0.2">
      <c r="AQ42043" s="31"/>
    </row>
    <row r="42044" spans="43:43" x14ac:dyDescent="0.2">
      <c r="AQ42044" s="31"/>
    </row>
    <row r="42045" spans="43:43" x14ac:dyDescent="0.2">
      <c r="AQ42045" s="31"/>
    </row>
    <row r="42046" spans="43:43" x14ac:dyDescent="0.2">
      <c r="AQ42046" s="31"/>
    </row>
    <row r="42047" spans="43:43" x14ac:dyDescent="0.2">
      <c r="AQ42047" s="31"/>
    </row>
    <row r="42048" spans="43:43" x14ac:dyDescent="0.2">
      <c r="AQ42048" s="31"/>
    </row>
    <row r="42049" spans="43:43" x14ac:dyDescent="0.2">
      <c r="AQ42049" s="31"/>
    </row>
    <row r="42050" spans="43:43" x14ac:dyDescent="0.2">
      <c r="AQ42050" s="31"/>
    </row>
    <row r="42051" spans="43:43" x14ac:dyDescent="0.2">
      <c r="AQ42051" s="31"/>
    </row>
    <row r="42052" spans="43:43" x14ac:dyDescent="0.2">
      <c r="AQ42052" s="31"/>
    </row>
    <row r="42053" spans="43:43" x14ac:dyDescent="0.2">
      <c r="AQ42053" s="31"/>
    </row>
    <row r="42054" spans="43:43" x14ac:dyDescent="0.2">
      <c r="AQ42054" s="31"/>
    </row>
    <row r="42055" spans="43:43" x14ac:dyDescent="0.2">
      <c r="AQ42055" s="31"/>
    </row>
    <row r="42056" spans="43:43" x14ac:dyDescent="0.2">
      <c r="AQ42056" s="31"/>
    </row>
    <row r="42057" spans="43:43" x14ac:dyDescent="0.2">
      <c r="AQ42057" s="31"/>
    </row>
    <row r="42058" spans="43:43" x14ac:dyDescent="0.2">
      <c r="AQ42058" s="31"/>
    </row>
    <row r="42059" spans="43:43" x14ac:dyDescent="0.2">
      <c r="AQ42059" s="31"/>
    </row>
    <row r="42060" spans="43:43" x14ac:dyDescent="0.2">
      <c r="AQ42060" s="31"/>
    </row>
    <row r="42061" spans="43:43" x14ac:dyDescent="0.2">
      <c r="AQ42061" s="31"/>
    </row>
    <row r="42062" spans="43:43" x14ac:dyDescent="0.2">
      <c r="AQ42062" s="31"/>
    </row>
    <row r="42063" spans="43:43" x14ac:dyDescent="0.2">
      <c r="AQ42063" s="31"/>
    </row>
    <row r="42064" spans="43:43" x14ac:dyDescent="0.2">
      <c r="AQ42064" s="31"/>
    </row>
    <row r="42065" spans="43:43" x14ac:dyDescent="0.2">
      <c r="AQ42065" s="31"/>
    </row>
    <row r="42066" spans="43:43" x14ac:dyDescent="0.2">
      <c r="AQ42066" s="31"/>
    </row>
    <row r="42067" spans="43:43" x14ac:dyDescent="0.2">
      <c r="AQ42067" s="31"/>
    </row>
    <row r="42068" spans="43:43" x14ac:dyDescent="0.2">
      <c r="AQ42068" s="31"/>
    </row>
    <row r="42069" spans="43:43" x14ac:dyDescent="0.2">
      <c r="AQ42069" s="31"/>
    </row>
    <row r="42070" spans="43:43" x14ac:dyDescent="0.2">
      <c r="AQ42070" s="31"/>
    </row>
    <row r="42071" spans="43:43" x14ac:dyDescent="0.2">
      <c r="AQ42071" s="31"/>
    </row>
    <row r="42072" spans="43:43" x14ac:dyDescent="0.2">
      <c r="AQ42072" s="31"/>
    </row>
    <row r="42073" spans="43:43" x14ac:dyDescent="0.2">
      <c r="AQ42073" s="31"/>
    </row>
    <row r="42074" spans="43:43" x14ac:dyDescent="0.2">
      <c r="AQ42074" s="31"/>
    </row>
    <row r="42075" spans="43:43" x14ac:dyDescent="0.2">
      <c r="AQ42075" s="31"/>
    </row>
    <row r="42076" spans="43:43" x14ac:dyDescent="0.2">
      <c r="AQ42076" s="31"/>
    </row>
    <row r="42077" spans="43:43" x14ac:dyDescent="0.2">
      <c r="AQ42077" s="31"/>
    </row>
    <row r="42078" spans="43:43" x14ac:dyDescent="0.2">
      <c r="AQ42078" s="31"/>
    </row>
    <row r="42079" spans="43:43" x14ac:dyDescent="0.2">
      <c r="AQ42079" s="31"/>
    </row>
    <row r="42080" spans="43:43" x14ac:dyDescent="0.2">
      <c r="AQ42080" s="31"/>
    </row>
    <row r="42081" spans="43:43" x14ac:dyDescent="0.2">
      <c r="AQ42081" s="31"/>
    </row>
    <row r="42082" spans="43:43" x14ac:dyDescent="0.2">
      <c r="AQ42082" s="31"/>
    </row>
    <row r="42083" spans="43:43" x14ac:dyDescent="0.2">
      <c r="AQ42083" s="31"/>
    </row>
    <row r="42084" spans="43:43" x14ac:dyDescent="0.2">
      <c r="AQ42084" s="31"/>
    </row>
    <row r="42085" spans="43:43" x14ac:dyDescent="0.2">
      <c r="AQ42085" s="31"/>
    </row>
    <row r="42086" spans="43:43" x14ac:dyDescent="0.2">
      <c r="AQ42086" s="31"/>
    </row>
    <row r="42087" spans="43:43" x14ac:dyDescent="0.2">
      <c r="AQ42087" s="31"/>
    </row>
    <row r="42088" spans="43:43" x14ac:dyDescent="0.2">
      <c r="AQ42088" s="31"/>
    </row>
    <row r="42089" spans="43:43" x14ac:dyDescent="0.2">
      <c r="AQ42089" s="31"/>
    </row>
    <row r="42090" spans="43:43" x14ac:dyDescent="0.2">
      <c r="AQ42090" s="31"/>
    </row>
    <row r="42091" spans="43:43" x14ac:dyDescent="0.2">
      <c r="AQ42091" s="31"/>
    </row>
    <row r="42092" spans="43:43" x14ac:dyDescent="0.2">
      <c r="AQ42092" s="31"/>
    </row>
    <row r="42093" spans="43:43" x14ac:dyDescent="0.2">
      <c r="AQ42093" s="31"/>
    </row>
    <row r="42094" spans="43:43" x14ac:dyDescent="0.2">
      <c r="AQ42094" s="31"/>
    </row>
    <row r="42095" spans="43:43" x14ac:dyDescent="0.2">
      <c r="AQ42095" s="31"/>
    </row>
    <row r="42096" spans="43:43" x14ac:dyDescent="0.2">
      <c r="AQ42096" s="31"/>
    </row>
    <row r="42097" spans="43:43" x14ac:dyDescent="0.2">
      <c r="AQ42097" s="31"/>
    </row>
    <row r="42098" spans="43:43" x14ac:dyDescent="0.2">
      <c r="AQ42098" s="31"/>
    </row>
    <row r="42099" spans="43:43" x14ac:dyDescent="0.2">
      <c r="AQ42099" s="31"/>
    </row>
    <row r="42100" spans="43:43" x14ac:dyDescent="0.2">
      <c r="AQ42100" s="31"/>
    </row>
    <row r="42101" spans="43:43" x14ac:dyDescent="0.2">
      <c r="AQ42101" s="31"/>
    </row>
    <row r="42102" spans="43:43" x14ac:dyDescent="0.2">
      <c r="AQ42102" s="31"/>
    </row>
    <row r="42103" spans="43:43" x14ac:dyDescent="0.2">
      <c r="AQ42103" s="31"/>
    </row>
    <row r="42104" spans="43:43" x14ac:dyDescent="0.2">
      <c r="AQ42104" s="31"/>
    </row>
    <row r="42105" spans="43:43" x14ac:dyDescent="0.2">
      <c r="AQ42105" s="31"/>
    </row>
    <row r="42106" spans="43:43" x14ac:dyDescent="0.2">
      <c r="AQ42106" s="31"/>
    </row>
    <row r="42107" spans="43:43" x14ac:dyDescent="0.2">
      <c r="AQ42107" s="31"/>
    </row>
    <row r="42108" spans="43:43" x14ac:dyDescent="0.2">
      <c r="AQ42108" s="31"/>
    </row>
    <row r="42109" spans="43:43" x14ac:dyDescent="0.2">
      <c r="AQ42109" s="31"/>
    </row>
    <row r="42110" spans="43:43" x14ac:dyDescent="0.2">
      <c r="AQ42110" s="31"/>
    </row>
    <row r="42111" spans="43:43" x14ac:dyDescent="0.2">
      <c r="AQ42111" s="31"/>
    </row>
    <row r="42112" spans="43:43" x14ac:dyDescent="0.2">
      <c r="AQ42112" s="31"/>
    </row>
    <row r="42113" spans="43:43" x14ac:dyDescent="0.2">
      <c r="AQ42113" s="31"/>
    </row>
    <row r="42114" spans="43:43" x14ac:dyDescent="0.2">
      <c r="AQ42114" s="31"/>
    </row>
    <row r="42115" spans="43:43" x14ac:dyDescent="0.2">
      <c r="AQ42115" s="31"/>
    </row>
    <row r="42116" spans="43:43" x14ac:dyDescent="0.2">
      <c r="AQ42116" s="31"/>
    </row>
    <row r="42117" spans="43:43" x14ac:dyDescent="0.2">
      <c r="AQ42117" s="31"/>
    </row>
    <row r="42118" spans="43:43" x14ac:dyDescent="0.2">
      <c r="AQ42118" s="31"/>
    </row>
    <row r="42119" spans="43:43" x14ac:dyDescent="0.2">
      <c r="AQ42119" s="31"/>
    </row>
    <row r="42120" spans="43:43" x14ac:dyDescent="0.2">
      <c r="AQ42120" s="31"/>
    </row>
    <row r="42121" spans="43:43" x14ac:dyDescent="0.2">
      <c r="AQ42121" s="31"/>
    </row>
    <row r="42122" spans="43:43" x14ac:dyDescent="0.2">
      <c r="AQ42122" s="31"/>
    </row>
    <row r="42123" spans="43:43" x14ac:dyDescent="0.2">
      <c r="AQ42123" s="31"/>
    </row>
    <row r="42124" spans="43:43" x14ac:dyDescent="0.2">
      <c r="AQ42124" s="31"/>
    </row>
    <row r="42125" spans="43:43" x14ac:dyDescent="0.2">
      <c r="AQ42125" s="31"/>
    </row>
    <row r="42126" spans="43:43" x14ac:dyDescent="0.2">
      <c r="AQ42126" s="31"/>
    </row>
    <row r="42127" spans="43:43" x14ac:dyDescent="0.2">
      <c r="AQ42127" s="31"/>
    </row>
    <row r="42128" spans="43:43" x14ac:dyDescent="0.2">
      <c r="AQ42128" s="31"/>
    </row>
    <row r="42129" spans="43:43" x14ac:dyDescent="0.2">
      <c r="AQ42129" s="31"/>
    </row>
    <row r="42130" spans="43:43" x14ac:dyDescent="0.2">
      <c r="AQ42130" s="31"/>
    </row>
    <row r="42131" spans="43:43" x14ac:dyDescent="0.2">
      <c r="AQ42131" s="31"/>
    </row>
    <row r="42132" spans="43:43" x14ac:dyDescent="0.2">
      <c r="AQ42132" s="31"/>
    </row>
    <row r="42133" spans="43:43" x14ac:dyDescent="0.2">
      <c r="AQ42133" s="31"/>
    </row>
    <row r="42134" spans="43:43" x14ac:dyDescent="0.2">
      <c r="AQ42134" s="31"/>
    </row>
    <row r="42135" spans="43:43" x14ac:dyDescent="0.2">
      <c r="AQ42135" s="31"/>
    </row>
    <row r="42136" spans="43:43" x14ac:dyDescent="0.2">
      <c r="AQ42136" s="31"/>
    </row>
    <row r="42137" spans="43:43" x14ac:dyDescent="0.2">
      <c r="AQ42137" s="31"/>
    </row>
    <row r="42138" spans="43:43" x14ac:dyDescent="0.2">
      <c r="AQ42138" s="31"/>
    </row>
    <row r="42139" spans="43:43" x14ac:dyDescent="0.2">
      <c r="AQ42139" s="31"/>
    </row>
    <row r="42140" spans="43:43" x14ac:dyDescent="0.2">
      <c r="AQ42140" s="31"/>
    </row>
    <row r="42141" spans="43:43" x14ac:dyDescent="0.2">
      <c r="AQ42141" s="31"/>
    </row>
    <row r="42142" spans="43:43" x14ac:dyDescent="0.2">
      <c r="AQ42142" s="31"/>
    </row>
    <row r="42143" spans="43:43" x14ac:dyDescent="0.2">
      <c r="AQ42143" s="31"/>
    </row>
    <row r="42144" spans="43:43" x14ac:dyDescent="0.2">
      <c r="AQ42144" s="31"/>
    </row>
    <row r="42145" spans="43:43" x14ac:dyDescent="0.2">
      <c r="AQ42145" s="31"/>
    </row>
    <row r="42146" spans="43:43" x14ac:dyDescent="0.2">
      <c r="AQ42146" s="31"/>
    </row>
    <row r="42147" spans="43:43" x14ac:dyDescent="0.2">
      <c r="AQ42147" s="31"/>
    </row>
    <row r="42148" spans="43:43" x14ac:dyDescent="0.2">
      <c r="AQ42148" s="31"/>
    </row>
    <row r="42149" spans="43:43" x14ac:dyDescent="0.2">
      <c r="AQ42149" s="31"/>
    </row>
    <row r="42150" spans="43:43" x14ac:dyDescent="0.2">
      <c r="AQ42150" s="31"/>
    </row>
    <row r="42151" spans="43:43" x14ac:dyDescent="0.2">
      <c r="AQ42151" s="31"/>
    </row>
    <row r="42152" spans="43:43" x14ac:dyDescent="0.2">
      <c r="AQ42152" s="31"/>
    </row>
    <row r="42153" spans="43:43" x14ac:dyDescent="0.2">
      <c r="AQ42153" s="31"/>
    </row>
    <row r="42154" spans="43:43" x14ac:dyDescent="0.2">
      <c r="AQ42154" s="31"/>
    </row>
    <row r="42155" spans="43:43" x14ac:dyDescent="0.2">
      <c r="AQ42155" s="31"/>
    </row>
    <row r="42156" spans="43:43" x14ac:dyDescent="0.2">
      <c r="AQ42156" s="31"/>
    </row>
    <row r="42157" spans="43:43" x14ac:dyDescent="0.2">
      <c r="AQ42157" s="31"/>
    </row>
    <row r="42158" spans="43:43" x14ac:dyDescent="0.2">
      <c r="AQ42158" s="31"/>
    </row>
    <row r="42159" spans="43:43" x14ac:dyDescent="0.2">
      <c r="AQ42159" s="31"/>
    </row>
    <row r="42160" spans="43:43" x14ac:dyDescent="0.2">
      <c r="AQ42160" s="31"/>
    </row>
    <row r="42161" spans="43:43" x14ac:dyDescent="0.2">
      <c r="AQ42161" s="31"/>
    </row>
    <row r="42162" spans="43:43" x14ac:dyDescent="0.2">
      <c r="AQ42162" s="31"/>
    </row>
    <row r="42163" spans="43:43" x14ac:dyDescent="0.2">
      <c r="AQ42163" s="31"/>
    </row>
    <row r="42164" spans="43:43" x14ac:dyDescent="0.2">
      <c r="AQ42164" s="31"/>
    </row>
    <row r="42165" spans="43:43" x14ac:dyDescent="0.2">
      <c r="AQ42165" s="31"/>
    </row>
    <row r="42166" spans="43:43" x14ac:dyDescent="0.2">
      <c r="AQ42166" s="31"/>
    </row>
    <row r="42167" spans="43:43" x14ac:dyDescent="0.2">
      <c r="AQ42167" s="31"/>
    </row>
    <row r="42168" spans="43:43" x14ac:dyDescent="0.2">
      <c r="AQ42168" s="31"/>
    </row>
    <row r="42169" spans="43:43" x14ac:dyDescent="0.2">
      <c r="AQ42169" s="31"/>
    </row>
    <row r="42170" spans="43:43" x14ac:dyDescent="0.2">
      <c r="AQ42170" s="31"/>
    </row>
    <row r="42171" spans="43:43" x14ac:dyDescent="0.2">
      <c r="AQ42171" s="31"/>
    </row>
    <row r="42172" spans="43:43" x14ac:dyDescent="0.2">
      <c r="AQ42172" s="31"/>
    </row>
    <row r="42173" spans="43:43" x14ac:dyDescent="0.2">
      <c r="AQ42173" s="31"/>
    </row>
    <row r="42174" spans="43:43" x14ac:dyDescent="0.2">
      <c r="AQ42174" s="31"/>
    </row>
    <row r="42175" spans="43:43" x14ac:dyDescent="0.2">
      <c r="AQ42175" s="31"/>
    </row>
    <row r="42176" spans="43:43" x14ac:dyDescent="0.2">
      <c r="AQ42176" s="31"/>
    </row>
    <row r="42177" spans="43:43" x14ac:dyDescent="0.2">
      <c r="AQ42177" s="31"/>
    </row>
    <row r="42178" spans="43:43" x14ac:dyDescent="0.2">
      <c r="AQ42178" s="31"/>
    </row>
    <row r="42179" spans="43:43" x14ac:dyDescent="0.2">
      <c r="AQ42179" s="31"/>
    </row>
    <row r="42180" spans="43:43" x14ac:dyDescent="0.2">
      <c r="AQ42180" s="31"/>
    </row>
    <row r="42181" spans="43:43" x14ac:dyDescent="0.2">
      <c r="AQ42181" s="31"/>
    </row>
    <row r="42182" spans="43:43" x14ac:dyDescent="0.2">
      <c r="AQ42182" s="31"/>
    </row>
    <row r="42183" spans="43:43" x14ac:dyDescent="0.2">
      <c r="AQ42183" s="31"/>
    </row>
    <row r="42184" spans="43:43" x14ac:dyDescent="0.2">
      <c r="AQ42184" s="31"/>
    </row>
    <row r="42185" spans="43:43" x14ac:dyDescent="0.2">
      <c r="AQ42185" s="31"/>
    </row>
    <row r="42186" spans="43:43" x14ac:dyDescent="0.2">
      <c r="AQ42186" s="31"/>
    </row>
    <row r="42187" spans="43:43" x14ac:dyDescent="0.2">
      <c r="AQ42187" s="31"/>
    </row>
    <row r="42188" spans="43:43" x14ac:dyDescent="0.2">
      <c r="AQ42188" s="31"/>
    </row>
    <row r="42189" spans="43:43" x14ac:dyDescent="0.2">
      <c r="AQ42189" s="31"/>
    </row>
    <row r="42190" spans="43:43" x14ac:dyDescent="0.2">
      <c r="AQ42190" s="31"/>
    </row>
    <row r="42191" spans="43:43" x14ac:dyDescent="0.2">
      <c r="AQ42191" s="31"/>
    </row>
    <row r="42192" spans="43:43" x14ac:dyDescent="0.2">
      <c r="AQ42192" s="31"/>
    </row>
    <row r="42193" spans="43:43" x14ac:dyDescent="0.2">
      <c r="AQ42193" s="31"/>
    </row>
    <row r="42194" spans="43:43" x14ac:dyDescent="0.2">
      <c r="AQ42194" s="31"/>
    </row>
    <row r="42195" spans="43:43" x14ac:dyDescent="0.2">
      <c r="AQ42195" s="31"/>
    </row>
    <row r="42196" spans="43:43" x14ac:dyDescent="0.2">
      <c r="AQ42196" s="31"/>
    </row>
    <row r="42197" spans="43:43" x14ac:dyDescent="0.2">
      <c r="AQ42197" s="31"/>
    </row>
    <row r="42198" spans="43:43" x14ac:dyDescent="0.2">
      <c r="AQ42198" s="31"/>
    </row>
    <row r="42199" spans="43:43" x14ac:dyDescent="0.2">
      <c r="AQ42199" s="31"/>
    </row>
    <row r="42200" spans="43:43" x14ac:dyDescent="0.2">
      <c r="AQ42200" s="31"/>
    </row>
    <row r="42201" spans="43:43" x14ac:dyDescent="0.2">
      <c r="AQ42201" s="31"/>
    </row>
    <row r="42202" spans="43:43" x14ac:dyDescent="0.2">
      <c r="AQ42202" s="31"/>
    </row>
    <row r="42203" spans="43:43" x14ac:dyDescent="0.2">
      <c r="AQ42203" s="31"/>
    </row>
    <row r="42204" spans="43:43" x14ac:dyDescent="0.2">
      <c r="AQ42204" s="31"/>
    </row>
    <row r="42205" spans="43:43" x14ac:dyDescent="0.2">
      <c r="AQ42205" s="31"/>
    </row>
    <row r="42206" spans="43:43" x14ac:dyDescent="0.2">
      <c r="AQ42206" s="31"/>
    </row>
    <row r="42207" spans="43:43" x14ac:dyDescent="0.2">
      <c r="AQ42207" s="31"/>
    </row>
    <row r="42208" spans="43:43" x14ac:dyDescent="0.2">
      <c r="AQ42208" s="31"/>
    </row>
    <row r="42209" spans="43:43" x14ac:dyDescent="0.2">
      <c r="AQ42209" s="31"/>
    </row>
    <row r="42210" spans="43:43" x14ac:dyDescent="0.2">
      <c r="AQ42210" s="31"/>
    </row>
    <row r="42211" spans="43:43" x14ac:dyDescent="0.2">
      <c r="AQ42211" s="31"/>
    </row>
    <row r="42212" spans="43:43" x14ac:dyDescent="0.2">
      <c r="AQ42212" s="31"/>
    </row>
    <row r="42213" spans="43:43" x14ac:dyDescent="0.2">
      <c r="AQ42213" s="31"/>
    </row>
    <row r="42214" spans="43:43" x14ac:dyDescent="0.2">
      <c r="AQ42214" s="31"/>
    </row>
    <row r="42215" spans="43:43" x14ac:dyDescent="0.2">
      <c r="AQ42215" s="31"/>
    </row>
    <row r="42216" spans="43:43" x14ac:dyDescent="0.2">
      <c r="AQ42216" s="31"/>
    </row>
    <row r="42217" spans="43:43" x14ac:dyDescent="0.2">
      <c r="AQ42217" s="31"/>
    </row>
    <row r="42218" spans="43:43" x14ac:dyDescent="0.2">
      <c r="AQ42218" s="31"/>
    </row>
    <row r="42219" spans="43:43" x14ac:dyDescent="0.2">
      <c r="AQ42219" s="31"/>
    </row>
    <row r="42220" spans="43:43" x14ac:dyDescent="0.2">
      <c r="AQ42220" s="31"/>
    </row>
    <row r="42221" spans="43:43" x14ac:dyDescent="0.2">
      <c r="AQ42221" s="31"/>
    </row>
    <row r="42222" spans="43:43" x14ac:dyDescent="0.2">
      <c r="AQ42222" s="31"/>
    </row>
    <row r="42223" spans="43:43" x14ac:dyDescent="0.2">
      <c r="AQ42223" s="31"/>
    </row>
    <row r="42224" spans="43:43" x14ac:dyDescent="0.2">
      <c r="AQ42224" s="31"/>
    </row>
    <row r="42225" spans="43:43" x14ac:dyDescent="0.2">
      <c r="AQ42225" s="31"/>
    </row>
    <row r="42226" spans="43:43" x14ac:dyDescent="0.2">
      <c r="AQ42226" s="31"/>
    </row>
    <row r="42227" spans="43:43" x14ac:dyDescent="0.2">
      <c r="AQ42227" s="31"/>
    </row>
    <row r="42228" spans="43:43" x14ac:dyDescent="0.2">
      <c r="AQ42228" s="31"/>
    </row>
    <row r="42229" spans="43:43" x14ac:dyDescent="0.2">
      <c r="AQ42229" s="31"/>
    </row>
    <row r="42230" spans="43:43" x14ac:dyDescent="0.2">
      <c r="AQ42230" s="31"/>
    </row>
    <row r="42231" spans="43:43" x14ac:dyDescent="0.2">
      <c r="AQ42231" s="31"/>
    </row>
    <row r="42232" spans="43:43" x14ac:dyDescent="0.2">
      <c r="AQ42232" s="31"/>
    </row>
    <row r="42233" spans="43:43" x14ac:dyDescent="0.2">
      <c r="AQ42233" s="31"/>
    </row>
    <row r="42234" spans="43:43" x14ac:dyDescent="0.2">
      <c r="AQ42234" s="31"/>
    </row>
    <row r="42235" spans="43:43" x14ac:dyDescent="0.2">
      <c r="AQ42235" s="31"/>
    </row>
    <row r="42236" spans="43:43" x14ac:dyDescent="0.2">
      <c r="AQ42236" s="31"/>
    </row>
    <row r="42237" spans="43:43" x14ac:dyDescent="0.2">
      <c r="AQ42237" s="31"/>
    </row>
    <row r="42238" spans="43:43" x14ac:dyDescent="0.2">
      <c r="AQ42238" s="31"/>
    </row>
    <row r="42239" spans="43:43" x14ac:dyDescent="0.2">
      <c r="AQ42239" s="31"/>
    </row>
    <row r="42240" spans="43:43" x14ac:dyDescent="0.2">
      <c r="AQ42240" s="31"/>
    </row>
    <row r="42241" spans="43:43" x14ac:dyDescent="0.2">
      <c r="AQ42241" s="31"/>
    </row>
    <row r="42242" spans="43:43" x14ac:dyDescent="0.2">
      <c r="AQ42242" s="31"/>
    </row>
    <row r="42243" spans="43:43" x14ac:dyDescent="0.2">
      <c r="AQ42243" s="31"/>
    </row>
    <row r="42244" spans="43:43" x14ac:dyDescent="0.2">
      <c r="AQ42244" s="31"/>
    </row>
    <row r="42245" spans="43:43" x14ac:dyDescent="0.2">
      <c r="AQ42245" s="31"/>
    </row>
    <row r="42246" spans="43:43" x14ac:dyDescent="0.2">
      <c r="AQ42246" s="31"/>
    </row>
    <row r="42247" spans="43:43" x14ac:dyDescent="0.2">
      <c r="AQ42247" s="31"/>
    </row>
    <row r="42248" spans="43:43" x14ac:dyDescent="0.2">
      <c r="AQ42248" s="31"/>
    </row>
    <row r="42249" spans="43:43" x14ac:dyDescent="0.2">
      <c r="AQ42249" s="31"/>
    </row>
    <row r="42250" spans="43:43" x14ac:dyDescent="0.2">
      <c r="AQ42250" s="31"/>
    </row>
    <row r="42251" spans="43:43" x14ac:dyDescent="0.2">
      <c r="AQ42251" s="31"/>
    </row>
    <row r="42252" spans="43:43" x14ac:dyDescent="0.2">
      <c r="AQ42252" s="31"/>
    </row>
    <row r="42253" spans="43:43" x14ac:dyDescent="0.2">
      <c r="AQ42253" s="31"/>
    </row>
    <row r="42254" spans="43:43" x14ac:dyDescent="0.2">
      <c r="AQ42254" s="31"/>
    </row>
    <row r="42255" spans="43:43" x14ac:dyDescent="0.2">
      <c r="AQ42255" s="31"/>
    </row>
    <row r="42256" spans="43:43" x14ac:dyDescent="0.2">
      <c r="AQ42256" s="31"/>
    </row>
    <row r="42257" spans="43:43" x14ac:dyDescent="0.2">
      <c r="AQ42257" s="31"/>
    </row>
    <row r="42258" spans="43:43" x14ac:dyDescent="0.2">
      <c r="AQ42258" s="31"/>
    </row>
    <row r="42259" spans="43:43" x14ac:dyDescent="0.2">
      <c r="AQ42259" s="31"/>
    </row>
    <row r="42260" spans="43:43" x14ac:dyDescent="0.2">
      <c r="AQ42260" s="31"/>
    </row>
    <row r="42261" spans="43:43" x14ac:dyDescent="0.2">
      <c r="AQ42261" s="31"/>
    </row>
    <row r="42262" spans="43:43" x14ac:dyDescent="0.2">
      <c r="AQ42262" s="31"/>
    </row>
    <row r="42263" spans="43:43" x14ac:dyDescent="0.2">
      <c r="AQ42263" s="31"/>
    </row>
    <row r="42264" spans="43:43" x14ac:dyDescent="0.2">
      <c r="AQ42264" s="31"/>
    </row>
    <row r="42265" spans="43:43" x14ac:dyDescent="0.2">
      <c r="AQ42265" s="31"/>
    </row>
    <row r="42266" spans="43:43" x14ac:dyDescent="0.2">
      <c r="AQ42266" s="31"/>
    </row>
    <row r="42267" spans="43:43" x14ac:dyDescent="0.2">
      <c r="AQ42267" s="31"/>
    </row>
    <row r="42268" spans="43:43" x14ac:dyDescent="0.2">
      <c r="AQ42268" s="31"/>
    </row>
    <row r="42269" spans="43:43" x14ac:dyDescent="0.2">
      <c r="AQ42269" s="31"/>
    </row>
    <row r="42270" spans="43:43" x14ac:dyDescent="0.2">
      <c r="AQ42270" s="31"/>
    </row>
    <row r="42271" spans="43:43" x14ac:dyDescent="0.2">
      <c r="AQ42271" s="31"/>
    </row>
    <row r="42272" spans="43:43" x14ac:dyDescent="0.2">
      <c r="AQ42272" s="31"/>
    </row>
    <row r="42273" spans="43:43" x14ac:dyDescent="0.2">
      <c r="AQ42273" s="31"/>
    </row>
    <row r="42274" spans="43:43" x14ac:dyDescent="0.2">
      <c r="AQ42274" s="31"/>
    </row>
    <row r="42275" spans="43:43" x14ac:dyDescent="0.2">
      <c r="AQ42275" s="31"/>
    </row>
    <row r="42276" spans="43:43" x14ac:dyDescent="0.2">
      <c r="AQ42276" s="31"/>
    </row>
    <row r="42277" spans="43:43" x14ac:dyDescent="0.2">
      <c r="AQ42277" s="31"/>
    </row>
    <row r="42278" spans="43:43" x14ac:dyDescent="0.2">
      <c r="AQ42278" s="31"/>
    </row>
    <row r="42279" spans="43:43" x14ac:dyDescent="0.2">
      <c r="AQ42279" s="31"/>
    </row>
    <row r="42280" spans="43:43" x14ac:dyDescent="0.2">
      <c r="AQ42280" s="31"/>
    </row>
    <row r="42281" spans="43:43" x14ac:dyDescent="0.2">
      <c r="AQ42281" s="31"/>
    </row>
    <row r="42282" spans="43:43" x14ac:dyDescent="0.2">
      <c r="AQ42282" s="31"/>
    </row>
    <row r="42283" spans="43:43" x14ac:dyDescent="0.2">
      <c r="AQ42283" s="31"/>
    </row>
    <row r="42284" spans="43:43" x14ac:dyDescent="0.2">
      <c r="AQ42284" s="31"/>
    </row>
    <row r="42285" spans="43:43" x14ac:dyDescent="0.2">
      <c r="AQ42285" s="31"/>
    </row>
    <row r="42286" spans="43:43" x14ac:dyDescent="0.2">
      <c r="AQ42286" s="31"/>
    </row>
    <row r="42287" spans="43:43" x14ac:dyDescent="0.2">
      <c r="AQ42287" s="31"/>
    </row>
    <row r="42288" spans="43:43" x14ac:dyDescent="0.2">
      <c r="AQ42288" s="31"/>
    </row>
    <row r="42289" spans="43:43" x14ac:dyDescent="0.2">
      <c r="AQ42289" s="31"/>
    </row>
    <row r="42290" spans="43:43" x14ac:dyDescent="0.2">
      <c r="AQ42290" s="31"/>
    </row>
    <row r="42291" spans="43:43" x14ac:dyDescent="0.2">
      <c r="AQ42291" s="31"/>
    </row>
    <row r="42292" spans="43:43" x14ac:dyDescent="0.2">
      <c r="AQ42292" s="31"/>
    </row>
    <row r="42293" spans="43:43" x14ac:dyDescent="0.2">
      <c r="AQ42293" s="31"/>
    </row>
    <row r="42294" spans="43:43" x14ac:dyDescent="0.2">
      <c r="AQ42294" s="31"/>
    </row>
    <row r="42295" spans="43:43" x14ac:dyDescent="0.2">
      <c r="AQ42295" s="31"/>
    </row>
    <row r="42296" spans="43:43" x14ac:dyDescent="0.2">
      <c r="AQ42296" s="31"/>
    </row>
    <row r="42297" spans="43:43" x14ac:dyDescent="0.2">
      <c r="AQ42297" s="31"/>
    </row>
    <row r="42298" spans="43:43" x14ac:dyDescent="0.2">
      <c r="AQ42298" s="31"/>
    </row>
    <row r="42299" spans="43:43" x14ac:dyDescent="0.2">
      <c r="AQ42299" s="31"/>
    </row>
    <row r="42300" spans="43:43" x14ac:dyDescent="0.2">
      <c r="AQ42300" s="31"/>
    </row>
    <row r="42301" spans="43:43" x14ac:dyDescent="0.2">
      <c r="AQ42301" s="31"/>
    </row>
    <row r="42302" spans="43:43" x14ac:dyDescent="0.2">
      <c r="AQ42302" s="31"/>
    </row>
    <row r="42303" spans="43:43" x14ac:dyDescent="0.2">
      <c r="AQ42303" s="31"/>
    </row>
    <row r="42304" spans="43:43" x14ac:dyDescent="0.2">
      <c r="AQ42304" s="31"/>
    </row>
    <row r="42305" spans="43:43" x14ac:dyDescent="0.2">
      <c r="AQ42305" s="31"/>
    </row>
    <row r="42306" spans="43:43" x14ac:dyDescent="0.2">
      <c r="AQ42306" s="31"/>
    </row>
    <row r="42307" spans="43:43" x14ac:dyDescent="0.2">
      <c r="AQ42307" s="31"/>
    </row>
    <row r="42308" spans="43:43" x14ac:dyDescent="0.2">
      <c r="AQ42308" s="31"/>
    </row>
    <row r="42309" spans="43:43" x14ac:dyDescent="0.2">
      <c r="AQ42309" s="31"/>
    </row>
    <row r="42310" spans="43:43" x14ac:dyDescent="0.2">
      <c r="AQ42310" s="31"/>
    </row>
    <row r="42311" spans="43:43" x14ac:dyDescent="0.2">
      <c r="AQ42311" s="31"/>
    </row>
    <row r="42312" spans="43:43" x14ac:dyDescent="0.2">
      <c r="AQ42312" s="31"/>
    </row>
    <row r="42313" spans="43:43" x14ac:dyDescent="0.2">
      <c r="AQ42313" s="31"/>
    </row>
    <row r="42314" spans="43:43" x14ac:dyDescent="0.2">
      <c r="AQ42314" s="31"/>
    </row>
    <row r="42315" spans="43:43" x14ac:dyDescent="0.2">
      <c r="AQ42315" s="31"/>
    </row>
    <row r="42316" spans="43:43" x14ac:dyDescent="0.2">
      <c r="AQ42316" s="31"/>
    </row>
    <row r="42317" spans="43:43" x14ac:dyDescent="0.2">
      <c r="AQ42317" s="31"/>
    </row>
    <row r="42318" spans="43:43" x14ac:dyDescent="0.2">
      <c r="AQ42318" s="31"/>
    </row>
    <row r="42319" spans="43:43" x14ac:dyDescent="0.2">
      <c r="AQ42319" s="31"/>
    </row>
    <row r="42320" spans="43:43" x14ac:dyDescent="0.2">
      <c r="AQ42320" s="31"/>
    </row>
    <row r="42321" spans="43:43" x14ac:dyDescent="0.2">
      <c r="AQ42321" s="31"/>
    </row>
    <row r="42322" spans="43:43" x14ac:dyDescent="0.2">
      <c r="AQ42322" s="31"/>
    </row>
    <row r="42323" spans="43:43" x14ac:dyDescent="0.2">
      <c r="AQ42323" s="31"/>
    </row>
    <row r="42324" spans="43:43" x14ac:dyDescent="0.2">
      <c r="AQ42324" s="31"/>
    </row>
    <row r="42325" spans="43:43" x14ac:dyDescent="0.2">
      <c r="AQ42325" s="31"/>
    </row>
    <row r="42326" spans="43:43" x14ac:dyDescent="0.2">
      <c r="AQ42326" s="31"/>
    </row>
    <row r="42327" spans="43:43" x14ac:dyDescent="0.2">
      <c r="AQ42327" s="31"/>
    </row>
    <row r="42328" spans="43:43" x14ac:dyDescent="0.2">
      <c r="AQ42328" s="31"/>
    </row>
    <row r="42329" spans="43:43" x14ac:dyDescent="0.2">
      <c r="AQ42329" s="31"/>
    </row>
    <row r="42330" spans="43:43" x14ac:dyDescent="0.2">
      <c r="AQ42330" s="31"/>
    </row>
    <row r="42331" spans="43:43" x14ac:dyDescent="0.2">
      <c r="AQ42331" s="31"/>
    </row>
    <row r="42332" spans="43:43" x14ac:dyDescent="0.2">
      <c r="AQ42332" s="31"/>
    </row>
    <row r="42333" spans="43:43" x14ac:dyDescent="0.2">
      <c r="AQ42333" s="31"/>
    </row>
    <row r="42334" spans="43:43" x14ac:dyDescent="0.2">
      <c r="AQ42334" s="31"/>
    </row>
    <row r="42335" spans="43:43" x14ac:dyDescent="0.2">
      <c r="AQ42335" s="31"/>
    </row>
    <row r="42336" spans="43:43" x14ac:dyDescent="0.2">
      <c r="AQ42336" s="31"/>
    </row>
    <row r="42337" spans="43:43" x14ac:dyDescent="0.2">
      <c r="AQ42337" s="31"/>
    </row>
    <row r="42338" spans="43:43" x14ac:dyDescent="0.2">
      <c r="AQ42338" s="31"/>
    </row>
    <row r="42339" spans="43:43" x14ac:dyDescent="0.2">
      <c r="AQ42339" s="31"/>
    </row>
    <row r="42340" spans="43:43" x14ac:dyDescent="0.2">
      <c r="AQ42340" s="31"/>
    </row>
    <row r="42341" spans="43:43" x14ac:dyDescent="0.2">
      <c r="AQ42341" s="31"/>
    </row>
    <row r="42342" spans="43:43" x14ac:dyDescent="0.2">
      <c r="AQ42342" s="31"/>
    </row>
    <row r="42343" spans="43:43" x14ac:dyDescent="0.2">
      <c r="AQ42343" s="31"/>
    </row>
    <row r="42344" spans="43:43" x14ac:dyDescent="0.2">
      <c r="AQ42344" s="31"/>
    </row>
    <row r="42345" spans="43:43" x14ac:dyDescent="0.2">
      <c r="AQ42345" s="31"/>
    </row>
    <row r="42346" spans="43:43" x14ac:dyDescent="0.2">
      <c r="AQ42346" s="31"/>
    </row>
    <row r="42347" spans="43:43" x14ac:dyDescent="0.2">
      <c r="AQ42347" s="31"/>
    </row>
    <row r="42348" spans="43:43" x14ac:dyDescent="0.2">
      <c r="AQ42348" s="31"/>
    </row>
    <row r="42349" spans="43:43" x14ac:dyDescent="0.2">
      <c r="AQ42349" s="31"/>
    </row>
    <row r="42350" spans="43:43" x14ac:dyDescent="0.2">
      <c r="AQ42350" s="31"/>
    </row>
    <row r="42351" spans="43:43" x14ac:dyDescent="0.2">
      <c r="AQ42351" s="31"/>
    </row>
    <row r="42352" spans="43:43" x14ac:dyDescent="0.2">
      <c r="AQ42352" s="31"/>
    </row>
    <row r="42353" spans="43:43" x14ac:dyDescent="0.2">
      <c r="AQ42353" s="31"/>
    </row>
    <row r="42354" spans="43:43" x14ac:dyDescent="0.2">
      <c r="AQ42354" s="31"/>
    </row>
    <row r="42355" spans="43:43" x14ac:dyDescent="0.2">
      <c r="AQ42355" s="31"/>
    </row>
    <row r="42356" spans="43:43" x14ac:dyDescent="0.2">
      <c r="AQ42356" s="31"/>
    </row>
    <row r="42357" spans="43:43" x14ac:dyDescent="0.2">
      <c r="AQ42357" s="31"/>
    </row>
    <row r="42358" spans="43:43" x14ac:dyDescent="0.2">
      <c r="AQ42358" s="31"/>
    </row>
    <row r="42359" spans="43:43" x14ac:dyDescent="0.2">
      <c r="AQ42359" s="31"/>
    </row>
    <row r="42360" spans="43:43" x14ac:dyDescent="0.2">
      <c r="AQ42360" s="31"/>
    </row>
    <row r="42361" spans="43:43" x14ac:dyDescent="0.2">
      <c r="AQ42361" s="31"/>
    </row>
    <row r="42362" spans="43:43" x14ac:dyDescent="0.2">
      <c r="AQ42362" s="31"/>
    </row>
    <row r="42363" spans="43:43" x14ac:dyDescent="0.2">
      <c r="AQ42363" s="31"/>
    </row>
    <row r="42364" spans="43:43" x14ac:dyDescent="0.2">
      <c r="AQ42364" s="31"/>
    </row>
    <row r="42365" spans="43:43" x14ac:dyDescent="0.2">
      <c r="AQ42365" s="31"/>
    </row>
    <row r="42366" spans="43:43" x14ac:dyDescent="0.2">
      <c r="AQ42366" s="31"/>
    </row>
    <row r="42367" spans="43:43" x14ac:dyDescent="0.2">
      <c r="AQ42367" s="31"/>
    </row>
    <row r="42368" spans="43:43" x14ac:dyDescent="0.2">
      <c r="AQ42368" s="31"/>
    </row>
    <row r="42369" spans="43:43" x14ac:dyDescent="0.2">
      <c r="AQ42369" s="31"/>
    </row>
    <row r="42370" spans="43:43" x14ac:dyDescent="0.2">
      <c r="AQ42370" s="31"/>
    </row>
    <row r="42371" spans="43:43" x14ac:dyDescent="0.2">
      <c r="AQ42371" s="31"/>
    </row>
    <row r="42372" spans="43:43" x14ac:dyDescent="0.2">
      <c r="AQ42372" s="31"/>
    </row>
    <row r="42373" spans="43:43" x14ac:dyDescent="0.2">
      <c r="AQ42373" s="31"/>
    </row>
    <row r="42374" spans="43:43" x14ac:dyDescent="0.2">
      <c r="AQ42374" s="31"/>
    </row>
    <row r="42375" spans="43:43" x14ac:dyDescent="0.2">
      <c r="AQ42375" s="31"/>
    </row>
    <row r="42376" spans="43:43" x14ac:dyDescent="0.2">
      <c r="AQ42376" s="31"/>
    </row>
    <row r="42377" spans="43:43" x14ac:dyDescent="0.2">
      <c r="AQ42377" s="31"/>
    </row>
    <row r="42378" spans="43:43" x14ac:dyDescent="0.2">
      <c r="AQ42378" s="31"/>
    </row>
    <row r="42379" spans="43:43" x14ac:dyDescent="0.2">
      <c r="AQ42379" s="31"/>
    </row>
    <row r="42380" spans="43:43" x14ac:dyDescent="0.2">
      <c r="AQ42380" s="31"/>
    </row>
    <row r="42381" spans="43:43" x14ac:dyDescent="0.2">
      <c r="AQ42381" s="31"/>
    </row>
    <row r="42382" spans="43:43" x14ac:dyDescent="0.2">
      <c r="AQ42382" s="31"/>
    </row>
    <row r="42383" spans="43:43" x14ac:dyDescent="0.2">
      <c r="AQ42383" s="31"/>
    </row>
    <row r="42384" spans="43:43" x14ac:dyDescent="0.2">
      <c r="AQ42384" s="31"/>
    </row>
    <row r="42385" spans="43:43" x14ac:dyDescent="0.2">
      <c r="AQ42385" s="31"/>
    </row>
    <row r="42386" spans="43:43" x14ac:dyDescent="0.2">
      <c r="AQ42386" s="31"/>
    </row>
    <row r="42387" spans="43:43" x14ac:dyDescent="0.2">
      <c r="AQ42387" s="31"/>
    </row>
    <row r="42388" spans="43:43" x14ac:dyDescent="0.2">
      <c r="AQ42388" s="31"/>
    </row>
    <row r="42389" spans="43:43" x14ac:dyDescent="0.2">
      <c r="AQ42389" s="31"/>
    </row>
    <row r="42390" spans="43:43" x14ac:dyDescent="0.2">
      <c r="AQ42390" s="31"/>
    </row>
    <row r="42391" spans="43:43" x14ac:dyDescent="0.2">
      <c r="AQ42391" s="31"/>
    </row>
    <row r="42392" spans="43:43" x14ac:dyDescent="0.2">
      <c r="AQ42392" s="31"/>
    </row>
    <row r="42393" spans="43:43" x14ac:dyDescent="0.2">
      <c r="AQ42393" s="31"/>
    </row>
    <row r="42394" spans="43:43" x14ac:dyDescent="0.2">
      <c r="AQ42394" s="31"/>
    </row>
    <row r="42395" spans="43:43" x14ac:dyDescent="0.2">
      <c r="AQ42395" s="31"/>
    </row>
    <row r="42396" spans="43:43" x14ac:dyDescent="0.2">
      <c r="AQ42396" s="31"/>
    </row>
    <row r="42397" spans="43:43" x14ac:dyDescent="0.2">
      <c r="AQ42397" s="31"/>
    </row>
    <row r="42398" spans="43:43" x14ac:dyDescent="0.2">
      <c r="AQ42398" s="31"/>
    </row>
    <row r="42399" spans="43:43" x14ac:dyDescent="0.2">
      <c r="AQ42399" s="31"/>
    </row>
    <row r="42400" spans="43:43" x14ac:dyDescent="0.2">
      <c r="AQ42400" s="31"/>
    </row>
    <row r="42401" spans="43:43" x14ac:dyDescent="0.2">
      <c r="AQ42401" s="31"/>
    </row>
    <row r="42402" spans="43:43" x14ac:dyDescent="0.2">
      <c r="AQ42402" s="31"/>
    </row>
    <row r="42403" spans="43:43" x14ac:dyDescent="0.2">
      <c r="AQ42403" s="31"/>
    </row>
    <row r="42404" spans="43:43" x14ac:dyDescent="0.2">
      <c r="AQ42404" s="31"/>
    </row>
    <row r="42405" spans="43:43" x14ac:dyDescent="0.2">
      <c r="AQ42405" s="31"/>
    </row>
    <row r="42406" spans="43:43" x14ac:dyDescent="0.2">
      <c r="AQ42406" s="31"/>
    </row>
    <row r="42407" spans="43:43" x14ac:dyDescent="0.2">
      <c r="AQ42407" s="31"/>
    </row>
    <row r="42408" spans="43:43" x14ac:dyDescent="0.2">
      <c r="AQ42408" s="31"/>
    </row>
    <row r="42409" spans="43:43" x14ac:dyDescent="0.2">
      <c r="AQ42409" s="31"/>
    </row>
    <row r="42410" spans="43:43" x14ac:dyDescent="0.2">
      <c r="AQ42410" s="31"/>
    </row>
    <row r="42411" spans="43:43" x14ac:dyDescent="0.2">
      <c r="AQ42411" s="31"/>
    </row>
    <row r="42412" spans="43:43" x14ac:dyDescent="0.2">
      <c r="AQ42412" s="31"/>
    </row>
    <row r="42413" spans="43:43" x14ac:dyDescent="0.2">
      <c r="AQ42413" s="31"/>
    </row>
    <row r="42414" spans="43:43" x14ac:dyDescent="0.2">
      <c r="AQ42414" s="31"/>
    </row>
    <row r="42415" spans="43:43" x14ac:dyDescent="0.2">
      <c r="AQ42415" s="31"/>
    </row>
    <row r="42416" spans="43:43" x14ac:dyDescent="0.2">
      <c r="AQ42416" s="31"/>
    </row>
    <row r="42417" spans="43:43" x14ac:dyDescent="0.2">
      <c r="AQ42417" s="31"/>
    </row>
    <row r="42418" spans="43:43" x14ac:dyDescent="0.2">
      <c r="AQ42418" s="31"/>
    </row>
    <row r="42419" spans="43:43" x14ac:dyDescent="0.2">
      <c r="AQ42419" s="31"/>
    </row>
    <row r="42420" spans="43:43" x14ac:dyDescent="0.2">
      <c r="AQ42420" s="31"/>
    </row>
    <row r="42421" spans="43:43" x14ac:dyDescent="0.2">
      <c r="AQ42421" s="31"/>
    </row>
    <row r="42422" spans="43:43" x14ac:dyDescent="0.2">
      <c r="AQ42422" s="31"/>
    </row>
    <row r="42423" spans="43:43" x14ac:dyDescent="0.2">
      <c r="AQ42423" s="31"/>
    </row>
    <row r="42424" spans="43:43" x14ac:dyDescent="0.2">
      <c r="AQ42424" s="31"/>
    </row>
    <row r="42425" spans="43:43" x14ac:dyDescent="0.2">
      <c r="AQ42425" s="31"/>
    </row>
    <row r="42426" spans="43:43" x14ac:dyDescent="0.2">
      <c r="AQ42426" s="31"/>
    </row>
    <row r="42427" spans="43:43" x14ac:dyDescent="0.2">
      <c r="AQ42427" s="31"/>
    </row>
    <row r="42428" spans="43:43" x14ac:dyDescent="0.2">
      <c r="AQ42428" s="31"/>
    </row>
    <row r="42429" spans="43:43" x14ac:dyDescent="0.2">
      <c r="AQ42429" s="31"/>
    </row>
    <row r="42430" spans="43:43" x14ac:dyDescent="0.2">
      <c r="AQ42430" s="31"/>
    </row>
    <row r="42431" spans="43:43" x14ac:dyDescent="0.2">
      <c r="AQ42431" s="31"/>
    </row>
    <row r="42432" spans="43:43" x14ac:dyDescent="0.2">
      <c r="AQ42432" s="31"/>
    </row>
    <row r="42433" spans="43:43" x14ac:dyDescent="0.2">
      <c r="AQ42433" s="31"/>
    </row>
    <row r="42434" spans="43:43" x14ac:dyDescent="0.2">
      <c r="AQ42434" s="31"/>
    </row>
    <row r="42435" spans="43:43" x14ac:dyDescent="0.2">
      <c r="AQ42435" s="31"/>
    </row>
    <row r="42436" spans="43:43" x14ac:dyDescent="0.2">
      <c r="AQ42436" s="31"/>
    </row>
    <row r="42437" spans="43:43" x14ac:dyDescent="0.2">
      <c r="AQ42437" s="31"/>
    </row>
    <row r="42438" spans="43:43" x14ac:dyDescent="0.2">
      <c r="AQ42438" s="31"/>
    </row>
    <row r="42439" spans="43:43" x14ac:dyDescent="0.2">
      <c r="AQ42439" s="31"/>
    </row>
    <row r="42440" spans="43:43" x14ac:dyDescent="0.2">
      <c r="AQ42440" s="31"/>
    </row>
    <row r="42441" spans="43:43" x14ac:dyDescent="0.2">
      <c r="AQ42441" s="31"/>
    </row>
    <row r="42442" spans="43:43" x14ac:dyDescent="0.2">
      <c r="AQ42442" s="31"/>
    </row>
    <row r="42443" spans="43:43" x14ac:dyDescent="0.2">
      <c r="AQ42443" s="31"/>
    </row>
    <row r="42444" spans="43:43" x14ac:dyDescent="0.2">
      <c r="AQ42444" s="31"/>
    </row>
    <row r="42445" spans="43:43" x14ac:dyDescent="0.2">
      <c r="AQ42445" s="31"/>
    </row>
    <row r="42446" spans="43:43" x14ac:dyDescent="0.2">
      <c r="AQ42446" s="31"/>
    </row>
    <row r="42447" spans="43:43" x14ac:dyDescent="0.2">
      <c r="AQ42447" s="31"/>
    </row>
    <row r="42448" spans="43:43" x14ac:dyDescent="0.2">
      <c r="AQ42448" s="31"/>
    </row>
    <row r="42449" spans="43:43" x14ac:dyDescent="0.2">
      <c r="AQ42449" s="31"/>
    </row>
    <row r="42450" spans="43:43" x14ac:dyDescent="0.2">
      <c r="AQ42450" s="31"/>
    </row>
    <row r="42451" spans="43:43" x14ac:dyDescent="0.2">
      <c r="AQ42451" s="31"/>
    </row>
    <row r="42452" spans="43:43" x14ac:dyDescent="0.2">
      <c r="AQ42452" s="31"/>
    </row>
    <row r="42453" spans="43:43" x14ac:dyDescent="0.2">
      <c r="AQ42453" s="31"/>
    </row>
    <row r="42454" spans="43:43" x14ac:dyDescent="0.2">
      <c r="AQ42454" s="31"/>
    </row>
    <row r="42455" spans="43:43" x14ac:dyDescent="0.2">
      <c r="AQ42455" s="31"/>
    </row>
    <row r="42456" spans="43:43" x14ac:dyDescent="0.2">
      <c r="AQ42456" s="31"/>
    </row>
    <row r="42457" spans="43:43" x14ac:dyDescent="0.2">
      <c r="AQ42457" s="31"/>
    </row>
    <row r="42458" spans="43:43" x14ac:dyDescent="0.2">
      <c r="AQ42458" s="31"/>
    </row>
    <row r="42459" spans="43:43" x14ac:dyDescent="0.2">
      <c r="AQ42459" s="31"/>
    </row>
    <row r="42460" spans="43:43" x14ac:dyDescent="0.2">
      <c r="AQ42460" s="31"/>
    </row>
    <row r="42461" spans="43:43" x14ac:dyDescent="0.2">
      <c r="AQ42461" s="31"/>
    </row>
    <row r="42462" spans="43:43" x14ac:dyDescent="0.2">
      <c r="AQ42462" s="31"/>
    </row>
    <row r="42463" spans="43:43" x14ac:dyDescent="0.2">
      <c r="AQ42463" s="31"/>
    </row>
    <row r="42464" spans="43:43" x14ac:dyDescent="0.2">
      <c r="AQ42464" s="31"/>
    </row>
    <row r="42465" spans="43:43" x14ac:dyDescent="0.2">
      <c r="AQ42465" s="31"/>
    </row>
    <row r="42466" spans="43:43" x14ac:dyDescent="0.2">
      <c r="AQ42466" s="31"/>
    </row>
    <row r="42467" spans="43:43" x14ac:dyDescent="0.2">
      <c r="AQ42467" s="31"/>
    </row>
    <row r="42468" spans="43:43" x14ac:dyDescent="0.2">
      <c r="AQ42468" s="31"/>
    </row>
    <row r="42469" spans="43:43" x14ac:dyDescent="0.2">
      <c r="AQ42469" s="31"/>
    </row>
    <row r="42470" spans="43:43" x14ac:dyDescent="0.2">
      <c r="AQ42470" s="31"/>
    </row>
    <row r="42471" spans="43:43" x14ac:dyDescent="0.2">
      <c r="AQ42471" s="31"/>
    </row>
    <row r="42472" spans="43:43" x14ac:dyDescent="0.2">
      <c r="AQ42472" s="31"/>
    </row>
    <row r="42473" spans="43:43" x14ac:dyDescent="0.2">
      <c r="AQ42473" s="31"/>
    </row>
    <row r="42474" spans="43:43" x14ac:dyDescent="0.2">
      <c r="AQ42474" s="31"/>
    </row>
    <row r="42475" spans="43:43" x14ac:dyDescent="0.2">
      <c r="AQ42475" s="31"/>
    </row>
    <row r="42476" spans="43:43" x14ac:dyDescent="0.2">
      <c r="AQ42476" s="31"/>
    </row>
    <row r="42477" spans="43:43" x14ac:dyDescent="0.2">
      <c r="AQ42477" s="31"/>
    </row>
    <row r="42478" spans="43:43" x14ac:dyDescent="0.2">
      <c r="AQ42478" s="31"/>
    </row>
    <row r="42479" spans="43:43" x14ac:dyDescent="0.2">
      <c r="AQ42479" s="31"/>
    </row>
    <row r="42480" spans="43:43" x14ac:dyDescent="0.2">
      <c r="AQ42480" s="31"/>
    </row>
    <row r="42481" spans="43:43" x14ac:dyDescent="0.2">
      <c r="AQ42481" s="31"/>
    </row>
    <row r="42482" spans="43:43" x14ac:dyDescent="0.2">
      <c r="AQ42482" s="31"/>
    </row>
    <row r="42483" spans="43:43" x14ac:dyDescent="0.2">
      <c r="AQ42483" s="31"/>
    </row>
    <row r="42484" spans="43:43" x14ac:dyDescent="0.2">
      <c r="AQ42484" s="31"/>
    </row>
    <row r="42485" spans="43:43" x14ac:dyDescent="0.2">
      <c r="AQ42485" s="31"/>
    </row>
    <row r="42486" spans="43:43" x14ac:dyDescent="0.2">
      <c r="AQ42486" s="31"/>
    </row>
    <row r="42487" spans="43:43" x14ac:dyDescent="0.2">
      <c r="AQ42487" s="31"/>
    </row>
    <row r="42488" spans="43:43" x14ac:dyDescent="0.2">
      <c r="AQ42488" s="31"/>
    </row>
    <row r="42489" spans="43:43" x14ac:dyDescent="0.2">
      <c r="AQ42489" s="31"/>
    </row>
    <row r="42490" spans="43:43" x14ac:dyDescent="0.2">
      <c r="AQ42490" s="31"/>
    </row>
    <row r="42491" spans="43:43" x14ac:dyDescent="0.2">
      <c r="AQ42491" s="31"/>
    </row>
    <row r="42492" spans="43:43" x14ac:dyDescent="0.2">
      <c r="AQ42492" s="31"/>
    </row>
    <row r="42493" spans="43:43" x14ac:dyDescent="0.2">
      <c r="AQ42493" s="31"/>
    </row>
    <row r="42494" spans="43:43" x14ac:dyDescent="0.2">
      <c r="AQ42494" s="31"/>
    </row>
    <row r="42495" spans="43:43" x14ac:dyDescent="0.2">
      <c r="AQ42495" s="31"/>
    </row>
    <row r="42496" spans="43:43" x14ac:dyDescent="0.2">
      <c r="AQ42496" s="31"/>
    </row>
    <row r="42497" spans="43:43" x14ac:dyDescent="0.2">
      <c r="AQ42497" s="31"/>
    </row>
    <row r="42498" spans="43:43" x14ac:dyDescent="0.2">
      <c r="AQ42498" s="31"/>
    </row>
    <row r="42499" spans="43:43" x14ac:dyDescent="0.2">
      <c r="AQ42499" s="31"/>
    </row>
    <row r="42500" spans="43:43" x14ac:dyDescent="0.2">
      <c r="AQ42500" s="31"/>
    </row>
    <row r="42501" spans="43:43" x14ac:dyDescent="0.2">
      <c r="AQ42501" s="31"/>
    </row>
    <row r="42502" spans="43:43" x14ac:dyDescent="0.2">
      <c r="AQ42502" s="31"/>
    </row>
    <row r="42503" spans="43:43" x14ac:dyDescent="0.2">
      <c r="AQ42503" s="31"/>
    </row>
    <row r="42504" spans="43:43" x14ac:dyDescent="0.2">
      <c r="AQ42504" s="31"/>
    </row>
    <row r="42505" spans="43:43" x14ac:dyDescent="0.2">
      <c r="AQ42505" s="31"/>
    </row>
    <row r="42506" spans="43:43" x14ac:dyDescent="0.2">
      <c r="AQ42506" s="31"/>
    </row>
    <row r="42507" spans="43:43" x14ac:dyDescent="0.2">
      <c r="AQ42507" s="31"/>
    </row>
    <row r="42508" spans="43:43" x14ac:dyDescent="0.2">
      <c r="AQ42508" s="31"/>
    </row>
    <row r="42509" spans="43:43" x14ac:dyDescent="0.2">
      <c r="AQ42509" s="31"/>
    </row>
    <row r="42510" spans="43:43" x14ac:dyDescent="0.2">
      <c r="AQ42510" s="31"/>
    </row>
    <row r="42511" spans="43:43" x14ac:dyDescent="0.2">
      <c r="AQ42511" s="31"/>
    </row>
    <row r="42512" spans="43:43" x14ac:dyDescent="0.2">
      <c r="AQ42512" s="31"/>
    </row>
    <row r="42513" spans="43:43" x14ac:dyDescent="0.2">
      <c r="AQ42513" s="31"/>
    </row>
    <row r="42514" spans="43:43" x14ac:dyDescent="0.2">
      <c r="AQ42514" s="31"/>
    </row>
    <row r="42515" spans="43:43" x14ac:dyDescent="0.2">
      <c r="AQ42515" s="31"/>
    </row>
    <row r="42516" spans="43:43" x14ac:dyDescent="0.2">
      <c r="AQ42516" s="31"/>
    </row>
    <row r="42517" spans="43:43" x14ac:dyDescent="0.2">
      <c r="AQ42517" s="31"/>
    </row>
    <row r="42518" spans="43:43" x14ac:dyDescent="0.2">
      <c r="AQ42518" s="31"/>
    </row>
    <row r="42519" spans="43:43" x14ac:dyDescent="0.2">
      <c r="AQ42519" s="31"/>
    </row>
    <row r="42520" spans="43:43" x14ac:dyDescent="0.2">
      <c r="AQ42520" s="31"/>
    </row>
    <row r="42521" spans="43:43" x14ac:dyDescent="0.2">
      <c r="AQ42521" s="31"/>
    </row>
    <row r="42522" spans="43:43" x14ac:dyDescent="0.2">
      <c r="AQ42522" s="31"/>
    </row>
    <row r="42523" spans="43:43" x14ac:dyDescent="0.2">
      <c r="AQ42523" s="31"/>
    </row>
    <row r="42524" spans="43:43" x14ac:dyDescent="0.2">
      <c r="AQ42524" s="31"/>
    </row>
    <row r="42525" spans="43:43" x14ac:dyDescent="0.2">
      <c r="AQ42525" s="31"/>
    </row>
    <row r="42526" spans="43:43" x14ac:dyDescent="0.2">
      <c r="AQ42526" s="31"/>
    </row>
    <row r="42527" spans="43:43" x14ac:dyDescent="0.2">
      <c r="AQ42527" s="31"/>
    </row>
    <row r="42528" spans="43:43" x14ac:dyDescent="0.2">
      <c r="AQ42528" s="31"/>
    </row>
    <row r="42529" spans="43:43" x14ac:dyDescent="0.2">
      <c r="AQ42529" s="31"/>
    </row>
    <row r="42530" spans="43:43" x14ac:dyDescent="0.2">
      <c r="AQ42530" s="31"/>
    </row>
    <row r="42531" spans="43:43" x14ac:dyDescent="0.2">
      <c r="AQ42531" s="31"/>
    </row>
    <row r="42532" spans="43:43" x14ac:dyDescent="0.2">
      <c r="AQ42532" s="31"/>
    </row>
    <row r="42533" spans="43:43" x14ac:dyDescent="0.2">
      <c r="AQ42533" s="31"/>
    </row>
    <row r="42534" spans="43:43" x14ac:dyDescent="0.2">
      <c r="AQ42534" s="31"/>
    </row>
    <row r="42535" spans="43:43" x14ac:dyDescent="0.2">
      <c r="AQ42535" s="31"/>
    </row>
    <row r="42536" spans="43:43" x14ac:dyDescent="0.2">
      <c r="AQ42536" s="31"/>
    </row>
    <row r="42537" spans="43:43" x14ac:dyDescent="0.2">
      <c r="AQ42537" s="31"/>
    </row>
    <row r="42538" spans="43:43" x14ac:dyDescent="0.2">
      <c r="AQ42538" s="31"/>
    </row>
    <row r="42539" spans="43:43" x14ac:dyDescent="0.2">
      <c r="AQ42539" s="31"/>
    </row>
    <row r="42540" spans="43:43" x14ac:dyDescent="0.2">
      <c r="AQ42540" s="31"/>
    </row>
    <row r="42541" spans="43:43" x14ac:dyDescent="0.2">
      <c r="AQ42541" s="31"/>
    </row>
    <row r="42542" spans="43:43" x14ac:dyDescent="0.2">
      <c r="AQ42542" s="31"/>
    </row>
    <row r="42543" spans="43:43" x14ac:dyDescent="0.2">
      <c r="AQ42543" s="31"/>
    </row>
    <row r="42544" spans="43:43" x14ac:dyDescent="0.2">
      <c r="AQ42544" s="31"/>
    </row>
    <row r="42545" spans="43:43" x14ac:dyDescent="0.2">
      <c r="AQ42545" s="31"/>
    </row>
    <row r="42546" spans="43:43" x14ac:dyDescent="0.2">
      <c r="AQ42546" s="31"/>
    </row>
    <row r="42547" spans="43:43" x14ac:dyDescent="0.2">
      <c r="AQ42547" s="31"/>
    </row>
    <row r="42548" spans="43:43" x14ac:dyDescent="0.2">
      <c r="AQ42548" s="31"/>
    </row>
    <row r="42549" spans="43:43" x14ac:dyDescent="0.2">
      <c r="AQ42549" s="31"/>
    </row>
    <row r="42550" spans="43:43" x14ac:dyDescent="0.2">
      <c r="AQ42550" s="31"/>
    </row>
    <row r="42551" spans="43:43" x14ac:dyDescent="0.2">
      <c r="AQ42551" s="31"/>
    </row>
    <row r="42552" spans="43:43" x14ac:dyDescent="0.2">
      <c r="AQ42552" s="31"/>
    </row>
    <row r="42553" spans="43:43" x14ac:dyDescent="0.2">
      <c r="AQ42553" s="31"/>
    </row>
    <row r="42554" spans="43:43" x14ac:dyDescent="0.2">
      <c r="AQ42554" s="31"/>
    </row>
    <row r="42555" spans="43:43" x14ac:dyDescent="0.2">
      <c r="AQ42555" s="31"/>
    </row>
    <row r="42556" spans="43:43" x14ac:dyDescent="0.2">
      <c r="AQ42556" s="31"/>
    </row>
    <row r="42557" spans="43:43" x14ac:dyDescent="0.2">
      <c r="AQ42557" s="31"/>
    </row>
    <row r="42558" spans="43:43" x14ac:dyDescent="0.2">
      <c r="AQ42558" s="31"/>
    </row>
    <row r="42559" spans="43:43" x14ac:dyDescent="0.2">
      <c r="AQ42559" s="31"/>
    </row>
    <row r="42560" spans="43:43" x14ac:dyDescent="0.2">
      <c r="AQ42560" s="31"/>
    </row>
    <row r="42561" spans="43:43" x14ac:dyDescent="0.2">
      <c r="AQ42561" s="31"/>
    </row>
    <row r="42562" spans="43:43" x14ac:dyDescent="0.2">
      <c r="AQ42562" s="31"/>
    </row>
    <row r="42563" spans="43:43" x14ac:dyDescent="0.2">
      <c r="AQ42563" s="31"/>
    </row>
    <row r="42564" spans="43:43" x14ac:dyDescent="0.2">
      <c r="AQ42564" s="31"/>
    </row>
    <row r="42565" spans="43:43" x14ac:dyDescent="0.2">
      <c r="AQ42565" s="31"/>
    </row>
    <row r="42566" spans="43:43" x14ac:dyDescent="0.2">
      <c r="AQ42566" s="31"/>
    </row>
    <row r="42567" spans="43:43" x14ac:dyDescent="0.2">
      <c r="AQ42567" s="31"/>
    </row>
    <row r="42568" spans="43:43" x14ac:dyDescent="0.2">
      <c r="AQ42568" s="31"/>
    </row>
    <row r="42569" spans="43:43" x14ac:dyDescent="0.2">
      <c r="AQ42569" s="31"/>
    </row>
    <row r="42570" spans="43:43" x14ac:dyDescent="0.2">
      <c r="AQ42570" s="31"/>
    </row>
    <row r="42571" spans="43:43" x14ac:dyDescent="0.2">
      <c r="AQ42571" s="31"/>
    </row>
    <row r="42572" spans="43:43" x14ac:dyDescent="0.2">
      <c r="AQ42572" s="31"/>
    </row>
    <row r="42573" spans="43:43" x14ac:dyDescent="0.2">
      <c r="AQ42573" s="31"/>
    </row>
    <row r="42574" spans="43:43" x14ac:dyDescent="0.2">
      <c r="AQ42574" s="31"/>
    </row>
    <row r="42575" spans="43:43" x14ac:dyDescent="0.2">
      <c r="AQ42575" s="31"/>
    </row>
    <row r="42576" spans="43:43" x14ac:dyDescent="0.2">
      <c r="AQ42576" s="31"/>
    </row>
    <row r="42577" spans="43:43" x14ac:dyDescent="0.2">
      <c r="AQ42577" s="31"/>
    </row>
    <row r="42578" spans="43:43" x14ac:dyDescent="0.2">
      <c r="AQ42578" s="31"/>
    </row>
    <row r="42579" spans="43:43" x14ac:dyDescent="0.2">
      <c r="AQ42579" s="31"/>
    </row>
    <row r="42580" spans="43:43" x14ac:dyDescent="0.2">
      <c r="AQ42580" s="31"/>
    </row>
    <row r="42581" spans="43:43" x14ac:dyDescent="0.2">
      <c r="AQ42581" s="31"/>
    </row>
    <row r="42582" spans="43:43" x14ac:dyDescent="0.2">
      <c r="AQ42582" s="31"/>
    </row>
    <row r="42583" spans="43:43" x14ac:dyDescent="0.2">
      <c r="AQ42583" s="31"/>
    </row>
    <row r="42584" spans="43:43" x14ac:dyDescent="0.2">
      <c r="AQ42584" s="31"/>
    </row>
    <row r="42585" spans="43:43" x14ac:dyDescent="0.2">
      <c r="AQ42585" s="31"/>
    </row>
    <row r="42586" spans="43:43" x14ac:dyDescent="0.2">
      <c r="AQ42586" s="31"/>
    </row>
    <row r="42587" spans="43:43" x14ac:dyDescent="0.2">
      <c r="AQ42587" s="31"/>
    </row>
    <row r="42588" spans="43:43" x14ac:dyDescent="0.2">
      <c r="AQ42588" s="31"/>
    </row>
    <row r="42589" spans="43:43" x14ac:dyDescent="0.2">
      <c r="AQ42589" s="31"/>
    </row>
    <row r="42590" spans="43:43" x14ac:dyDescent="0.2">
      <c r="AQ42590" s="31"/>
    </row>
    <row r="42591" spans="43:43" x14ac:dyDescent="0.2">
      <c r="AQ42591" s="31"/>
    </row>
    <row r="42592" spans="43:43" x14ac:dyDescent="0.2">
      <c r="AQ42592" s="31"/>
    </row>
    <row r="42593" spans="43:43" x14ac:dyDescent="0.2">
      <c r="AQ42593" s="31"/>
    </row>
    <row r="42594" spans="43:43" x14ac:dyDescent="0.2">
      <c r="AQ42594" s="31"/>
    </row>
    <row r="42595" spans="43:43" x14ac:dyDescent="0.2">
      <c r="AQ42595" s="31"/>
    </row>
    <row r="42596" spans="43:43" x14ac:dyDescent="0.2">
      <c r="AQ42596" s="31"/>
    </row>
    <row r="42597" spans="43:43" x14ac:dyDescent="0.2">
      <c r="AQ42597" s="31"/>
    </row>
    <row r="42598" spans="43:43" x14ac:dyDescent="0.2">
      <c r="AQ42598" s="31"/>
    </row>
    <row r="42599" spans="43:43" x14ac:dyDescent="0.2">
      <c r="AQ42599" s="31"/>
    </row>
    <row r="42600" spans="43:43" x14ac:dyDescent="0.2">
      <c r="AQ42600" s="31"/>
    </row>
    <row r="42601" spans="43:43" x14ac:dyDescent="0.2">
      <c r="AQ42601" s="31"/>
    </row>
    <row r="42602" spans="43:43" x14ac:dyDescent="0.2">
      <c r="AQ42602" s="31"/>
    </row>
    <row r="42603" spans="43:43" x14ac:dyDescent="0.2">
      <c r="AQ42603" s="31"/>
    </row>
    <row r="42604" spans="43:43" x14ac:dyDescent="0.2">
      <c r="AQ42604" s="31"/>
    </row>
    <row r="42605" spans="43:43" x14ac:dyDescent="0.2">
      <c r="AQ42605" s="31"/>
    </row>
    <row r="42606" spans="43:43" x14ac:dyDescent="0.2">
      <c r="AQ42606" s="31"/>
    </row>
    <row r="42607" spans="43:43" x14ac:dyDescent="0.2">
      <c r="AQ42607" s="31"/>
    </row>
    <row r="42608" spans="43:43" x14ac:dyDescent="0.2">
      <c r="AQ42608" s="31"/>
    </row>
    <row r="42609" spans="43:43" x14ac:dyDescent="0.2">
      <c r="AQ42609" s="31"/>
    </row>
    <row r="42610" spans="43:43" x14ac:dyDescent="0.2">
      <c r="AQ42610" s="31"/>
    </row>
    <row r="42611" spans="43:43" x14ac:dyDescent="0.2">
      <c r="AQ42611" s="31"/>
    </row>
    <row r="42612" spans="43:43" x14ac:dyDescent="0.2">
      <c r="AQ42612" s="31"/>
    </row>
    <row r="42613" spans="43:43" x14ac:dyDescent="0.2">
      <c r="AQ42613" s="31"/>
    </row>
    <row r="42614" spans="43:43" x14ac:dyDescent="0.2">
      <c r="AQ42614" s="31"/>
    </row>
    <row r="42615" spans="43:43" x14ac:dyDescent="0.2">
      <c r="AQ42615" s="31"/>
    </row>
    <row r="42616" spans="43:43" x14ac:dyDescent="0.2">
      <c r="AQ42616" s="31"/>
    </row>
    <row r="42617" spans="43:43" x14ac:dyDescent="0.2">
      <c r="AQ42617" s="31"/>
    </row>
    <row r="42618" spans="43:43" x14ac:dyDescent="0.2">
      <c r="AQ42618" s="31"/>
    </row>
    <row r="42619" spans="43:43" x14ac:dyDescent="0.2">
      <c r="AQ42619" s="31"/>
    </row>
    <row r="42620" spans="43:43" x14ac:dyDescent="0.2">
      <c r="AQ42620" s="31"/>
    </row>
    <row r="42621" spans="43:43" x14ac:dyDescent="0.2">
      <c r="AQ42621" s="31"/>
    </row>
    <row r="42622" spans="43:43" x14ac:dyDescent="0.2">
      <c r="AQ42622" s="31"/>
    </row>
    <row r="42623" spans="43:43" x14ac:dyDescent="0.2">
      <c r="AQ42623" s="31"/>
    </row>
    <row r="42624" spans="43:43" x14ac:dyDescent="0.2">
      <c r="AQ42624" s="31"/>
    </row>
    <row r="42625" spans="43:43" x14ac:dyDescent="0.2">
      <c r="AQ42625" s="31"/>
    </row>
    <row r="42626" spans="43:43" x14ac:dyDescent="0.2">
      <c r="AQ42626" s="31"/>
    </row>
    <row r="42627" spans="43:43" x14ac:dyDescent="0.2">
      <c r="AQ42627" s="31"/>
    </row>
    <row r="42628" spans="43:43" x14ac:dyDescent="0.2">
      <c r="AQ42628" s="31"/>
    </row>
    <row r="42629" spans="43:43" x14ac:dyDescent="0.2">
      <c r="AQ42629" s="31"/>
    </row>
    <row r="42630" spans="43:43" x14ac:dyDescent="0.2">
      <c r="AQ42630" s="31"/>
    </row>
    <row r="42631" spans="43:43" x14ac:dyDescent="0.2">
      <c r="AQ42631" s="31"/>
    </row>
    <row r="42632" spans="43:43" x14ac:dyDescent="0.2">
      <c r="AQ42632" s="31"/>
    </row>
    <row r="42633" spans="43:43" x14ac:dyDescent="0.2">
      <c r="AQ42633" s="31"/>
    </row>
    <row r="42634" spans="43:43" x14ac:dyDescent="0.2">
      <c r="AQ42634" s="31"/>
    </row>
    <row r="42635" spans="43:43" x14ac:dyDescent="0.2">
      <c r="AQ42635" s="31"/>
    </row>
    <row r="42636" spans="43:43" x14ac:dyDescent="0.2">
      <c r="AQ42636" s="31"/>
    </row>
    <row r="42637" spans="43:43" x14ac:dyDescent="0.2">
      <c r="AQ42637" s="31"/>
    </row>
    <row r="42638" spans="43:43" x14ac:dyDescent="0.2">
      <c r="AQ42638" s="31"/>
    </row>
    <row r="42639" spans="43:43" x14ac:dyDescent="0.2">
      <c r="AQ42639" s="31"/>
    </row>
    <row r="42640" spans="43:43" x14ac:dyDescent="0.2">
      <c r="AQ42640" s="31"/>
    </row>
    <row r="42641" spans="43:43" x14ac:dyDescent="0.2">
      <c r="AQ42641" s="31"/>
    </row>
    <row r="42642" spans="43:43" x14ac:dyDescent="0.2">
      <c r="AQ42642" s="31"/>
    </row>
    <row r="42643" spans="43:43" x14ac:dyDescent="0.2">
      <c r="AQ42643" s="31"/>
    </row>
    <row r="42644" spans="43:43" x14ac:dyDescent="0.2">
      <c r="AQ42644" s="31"/>
    </row>
    <row r="42645" spans="43:43" x14ac:dyDescent="0.2">
      <c r="AQ42645" s="31"/>
    </row>
    <row r="42646" spans="43:43" x14ac:dyDescent="0.2">
      <c r="AQ42646" s="31"/>
    </row>
    <row r="42647" spans="43:43" x14ac:dyDescent="0.2">
      <c r="AQ42647" s="31"/>
    </row>
    <row r="42648" spans="43:43" x14ac:dyDescent="0.2">
      <c r="AQ42648" s="31"/>
    </row>
    <row r="42649" spans="43:43" x14ac:dyDescent="0.2">
      <c r="AQ42649" s="31"/>
    </row>
    <row r="42650" spans="43:43" x14ac:dyDescent="0.2">
      <c r="AQ42650" s="31"/>
    </row>
    <row r="42651" spans="43:43" x14ac:dyDescent="0.2">
      <c r="AQ42651" s="31"/>
    </row>
    <row r="42652" spans="43:43" x14ac:dyDescent="0.2">
      <c r="AQ42652" s="31"/>
    </row>
    <row r="42653" spans="43:43" x14ac:dyDescent="0.2">
      <c r="AQ42653" s="31"/>
    </row>
    <row r="42654" spans="43:43" x14ac:dyDescent="0.2">
      <c r="AQ42654" s="31"/>
    </row>
    <row r="42655" spans="43:43" x14ac:dyDescent="0.2">
      <c r="AQ42655" s="31"/>
    </row>
    <row r="42656" spans="43:43" x14ac:dyDescent="0.2">
      <c r="AQ42656" s="31"/>
    </row>
    <row r="42657" spans="43:43" x14ac:dyDescent="0.2">
      <c r="AQ42657" s="31"/>
    </row>
    <row r="42658" spans="43:43" x14ac:dyDescent="0.2">
      <c r="AQ42658" s="31"/>
    </row>
    <row r="42659" spans="43:43" x14ac:dyDescent="0.2">
      <c r="AQ42659" s="31"/>
    </row>
    <row r="42660" spans="43:43" x14ac:dyDescent="0.2">
      <c r="AQ42660" s="31"/>
    </row>
    <row r="42661" spans="43:43" x14ac:dyDescent="0.2">
      <c r="AQ42661" s="31"/>
    </row>
    <row r="42662" spans="43:43" x14ac:dyDescent="0.2">
      <c r="AQ42662" s="31"/>
    </row>
    <row r="42663" spans="43:43" x14ac:dyDescent="0.2">
      <c r="AQ42663" s="31"/>
    </row>
    <row r="42664" spans="43:43" x14ac:dyDescent="0.2">
      <c r="AQ42664" s="31"/>
    </row>
    <row r="42665" spans="43:43" x14ac:dyDescent="0.2">
      <c r="AQ42665" s="31"/>
    </row>
    <row r="42666" spans="43:43" x14ac:dyDescent="0.2">
      <c r="AQ42666" s="31"/>
    </row>
    <row r="42667" spans="43:43" x14ac:dyDescent="0.2">
      <c r="AQ42667" s="31"/>
    </row>
    <row r="42668" spans="43:43" x14ac:dyDescent="0.2">
      <c r="AQ42668" s="31"/>
    </row>
    <row r="42669" spans="43:43" x14ac:dyDescent="0.2">
      <c r="AQ42669" s="31"/>
    </row>
    <row r="42670" spans="43:43" x14ac:dyDescent="0.2">
      <c r="AQ42670" s="31"/>
    </row>
    <row r="42671" spans="43:43" x14ac:dyDescent="0.2">
      <c r="AQ42671" s="31"/>
    </row>
    <row r="42672" spans="43:43" x14ac:dyDescent="0.2">
      <c r="AQ42672" s="31"/>
    </row>
    <row r="42673" spans="43:43" x14ac:dyDescent="0.2">
      <c r="AQ42673" s="31"/>
    </row>
    <row r="42674" spans="43:43" x14ac:dyDescent="0.2">
      <c r="AQ42674" s="31"/>
    </row>
    <row r="42675" spans="43:43" x14ac:dyDescent="0.2">
      <c r="AQ42675" s="31"/>
    </row>
    <row r="42676" spans="43:43" x14ac:dyDescent="0.2">
      <c r="AQ42676" s="31"/>
    </row>
    <row r="42677" spans="43:43" x14ac:dyDescent="0.2">
      <c r="AQ42677" s="31"/>
    </row>
    <row r="42678" spans="43:43" x14ac:dyDescent="0.2">
      <c r="AQ42678" s="31"/>
    </row>
    <row r="42679" spans="43:43" x14ac:dyDescent="0.2">
      <c r="AQ42679" s="31"/>
    </row>
    <row r="42680" spans="43:43" x14ac:dyDescent="0.2">
      <c r="AQ42680" s="31"/>
    </row>
    <row r="42681" spans="43:43" x14ac:dyDescent="0.2">
      <c r="AQ42681" s="31"/>
    </row>
    <row r="42682" spans="43:43" x14ac:dyDescent="0.2">
      <c r="AQ42682" s="31"/>
    </row>
    <row r="42683" spans="43:43" x14ac:dyDescent="0.2">
      <c r="AQ42683" s="31"/>
    </row>
    <row r="42684" spans="43:43" x14ac:dyDescent="0.2">
      <c r="AQ42684" s="31"/>
    </row>
    <row r="42685" spans="43:43" x14ac:dyDescent="0.2">
      <c r="AQ42685" s="31"/>
    </row>
    <row r="42686" spans="43:43" x14ac:dyDescent="0.2">
      <c r="AQ42686" s="31"/>
    </row>
    <row r="42687" spans="43:43" x14ac:dyDescent="0.2">
      <c r="AQ42687" s="31"/>
    </row>
    <row r="42688" spans="43:43" x14ac:dyDescent="0.2">
      <c r="AQ42688" s="31"/>
    </row>
    <row r="42689" spans="43:43" x14ac:dyDescent="0.2">
      <c r="AQ42689" s="31"/>
    </row>
    <row r="42690" spans="43:43" x14ac:dyDescent="0.2">
      <c r="AQ42690" s="31"/>
    </row>
    <row r="42691" spans="43:43" x14ac:dyDescent="0.2">
      <c r="AQ42691" s="31"/>
    </row>
    <row r="42692" spans="43:43" x14ac:dyDescent="0.2">
      <c r="AQ42692" s="31"/>
    </row>
    <row r="42693" spans="43:43" x14ac:dyDescent="0.2">
      <c r="AQ42693" s="31"/>
    </row>
    <row r="42694" spans="43:43" x14ac:dyDescent="0.2">
      <c r="AQ42694" s="31"/>
    </row>
    <row r="42695" spans="43:43" x14ac:dyDescent="0.2">
      <c r="AQ42695" s="31"/>
    </row>
    <row r="42696" spans="43:43" x14ac:dyDescent="0.2">
      <c r="AQ42696" s="31"/>
    </row>
    <row r="42697" spans="43:43" x14ac:dyDescent="0.2">
      <c r="AQ42697" s="31"/>
    </row>
    <row r="42698" spans="43:43" x14ac:dyDescent="0.2">
      <c r="AQ42698" s="31"/>
    </row>
    <row r="42699" spans="43:43" x14ac:dyDescent="0.2">
      <c r="AQ42699" s="31"/>
    </row>
    <row r="42700" spans="43:43" x14ac:dyDescent="0.2">
      <c r="AQ42700" s="31"/>
    </row>
    <row r="42701" spans="43:43" x14ac:dyDescent="0.2">
      <c r="AQ42701" s="31"/>
    </row>
    <row r="42702" spans="43:43" x14ac:dyDescent="0.2">
      <c r="AQ42702" s="31"/>
    </row>
    <row r="42703" spans="43:43" x14ac:dyDescent="0.2">
      <c r="AQ42703" s="31"/>
    </row>
    <row r="42704" spans="43:43" x14ac:dyDescent="0.2">
      <c r="AQ42704" s="31"/>
    </row>
    <row r="42705" spans="43:43" x14ac:dyDescent="0.2">
      <c r="AQ42705" s="31"/>
    </row>
    <row r="42706" spans="43:43" x14ac:dyDescent="0.2">
      <c r="AQ42706" s="31"/>
    </row>
    <row r="42707" spans="43:43" x14ac:dyDescent="0.2">
      <c r="AQ42707" s="31"/>
    </row>
    <row r="42708" spans="43:43" x14ac:dyDescent="0.2">
      <c r="AQ42708" s="31"/>
    </row>
    <row r="42709" spans="43:43" x14ac:dyDescent="0.2">
      <c r="AQ42709" s="31"/>
    </row>
    <row r="42710" spans="43:43" x14ac:dyDescent="0.2">
      <c r="AQ42710" s="31"/>
    </row>
    <row r="42711" spans="43:43" x14ac:dyDescent="0.2">
      <c r="AQ42711" s="31"/>
    </row>
    <row r="42712" spans="43:43" x14ac:dyDescent="0.2">
      <c r="AQ42712" s="31"/>
    </row>
    <row r="42713" spans="43:43" x14ac:dyDescent="0.2">
      <c r="AQ42713" s="31"/>
    </row>
    <row r="42714" spans="43:43" x14ac:dyDescent="0.2">
      <c r="AQ42714" s="31"/>
    </row>
    <row r="42715" spans="43:43" x14ac:dyDescent="0.2">
      <c r="AQ42715" s="31"/>
    </row>
    <row r="42716" spans="43:43" x14ac:dyDescent="0.2">
      <c r="AQ42716" s="31"/>
    </row>
    <row r="42717" spans="43:43" x14ac:dyDescent="0.2">
      <c r="AQ42717" s="31"/>
    </row>
    <row r="42718" spans="43:43" x14ac:dyDescent="0.2">
      <c r="AQ42718" s="31"/>
    </row>
    <row r="42719" spans="43:43" x14ac:dyDescent="0.2">
      <c r="AQ42719" s="31"/>
    </row>
    <row r="42720" spans="43:43" x14ac:dyDescent="0.2">
      <c r="AQ42720" s="31"/>
    </row>
    <row r="42721" spans="43:43" x14ac:dyDescent="0.2">
      <c r="AQ42721" s="31"/>
    </row>
    <row r="42722" spans="43:43" x14ac:dyDescent="0.2">
      <c r="AQ42722" s="31"/>
    </row>
    <row r="42723" spans="43:43" x14ac:dyDescent="0.2">
      <c r="AQ42723" s="31"/>
    </row>
    <row r="42724" spans="43:43" x14ac:dyDescent="0.2">
      <c r="AQ42724" s="31"/>
    </row>
    <row r="42725" spans="43:43" x14ac:dyDescent="0.2">
      <c r="AQ42725" s="31"/>
    </row>
    <row r="42726" spans="43:43" x14ac:dyDescent="0.2">
      <c r="AQ42726" s="31"/>
    </row>
    <row r="42727" spans="43:43" x14ac:dyDescent="0.2">
      <c r="AQ42727" s="31"/>
    </row>
    <row r="42728" spans="43:43" x14ac:dyDescent="0.2">
      <c r="AQ42728" s="31"/>
    </row>
    <row r="42729" spans="43:43" x14ac:dyDescent="0.2">
      <c r="AQ42729" s="31"/>
    </row>
    <row r="42730" spans="43:43" x14ac:dyDescent="0.2">
      <c r="AQ42730" s="31"/>
    </row>
    <row r="42731" spans="43:43" x14ac:dyDescent="0.2">
      <c r="AQ42731" s="31"/>
    </row>
    <row r="42732" spans="43:43" x14ac:dyDescent="0.2">
      <c r="AQ42732" s="31"/>
    </row>
    <row r="42733" spans="43:43" x14ac:dyDescent="0.2">
      <c r="AQ42733" s="31"/>
    </row>
    <row r="42734" spans="43:43" x14ac:dyDescent="0.2">
      <c r="AQ42734" s="31"/>
    </row>
    <row r="42735" spans="43:43" x14ac:dyDescent="0.2">
      <c r="AQ42735" s="31"/>
    </row>
    <row r="42736" spans="43:43" x14ac:dyDescent="0.2">
      <c r="AQ42736" s="31"/>
    </row>
    <row r="42737" spans="43:43" x14ac:dyDescent="0.2">
      <c r="AQ42737" s="31"/>
    </row>
    <row r="42738" spans="43:43" x14ac:dyDescent="0.2">
      <c r="AQ42738" s="31"/>
    </row>
    <row r="42739" spans="43:43" x14ac:dyDescent="0.2">
      <c r="AQ42739" s="31"/>
    </row>
    <row r="42740" spans="43:43" x14ac:dyDescent="0.2">
      <c r="AQ42740" s="31"/>
    </row>
    <row r="42741" spans="43:43" x14ac:dyDescent="0.2">
      <c r="AQ42741" s="31"/>
    </row>
    <row r="42742" spans="43:43" x14ac:dyDescent="0.2">
      <c r="AQ42742" s="31"/>
    </row>
    <row r="42743" spans="43:43" x14ac:dyDescent="0.2">
      <c r="AQ42743" s="31"/>
    </row>
    <row r="42744" spans="43:43" x14ac:dyDescent="0.2">
      <c r="AQ42744" s="31"/>
    </row>
    <row r="42745" spans="43:43" x14ac:dyDescent="0.2">
      <c r="AQ42745" s="31"/>
    </row>
    <row r="42746" spans="43:43" x14ac:dyDescent="0.2">
      <c r="AQ42746" s="31"/>
    </row>
    <row r="42747" spans="43:43" x14ac:dyDescent="0.2">
      <c r="AQ42747" s="31"/>
    </row>
    <row r="42748" spans="43:43" x14ac:dyDescent="0.2">
      <c r="AQ42748" s="31"/>
    </row>
    <row r="42749" spans="43:43" x14ac:dyDescent="0.2">
      <c r="AQ42749" s="31"/>
    </row>
    <row r="42750" spans="43:43" x14ac:dyDescent="0.2">
      <c r="AQ42750" s="31"/>
    </row>
    <row r="42751" spans="43:43" x14ac:dyDescent="0.2">
      <c r="AQ42751" s="31"/>
    </row>
    <row r="42752" spans="43:43" x14ac:dyDescent="0.2">
      <c r="AQ42752" s="31"/>
    </row>
    <row r="42753" spans="43:43" x14ac:dyDescent="0.2">
      <c r="AQ42753" s="31"/>
    </row>
    <row r="42754" spans="43:43" x14ac:dyDescent="0.2">
      <c r="AQ42754" s="31"/>
    </row>
    <row r="42755" spans="43:43" x14ac:dyDescent="0.2">
      <c r="AQ42755" s="31"/>
    </row>
    <row r="42756" spans="43:43" x14ac:dyDescent="0.2">
      <c r="AQ42756" s="31"/>
    </row>
    <row r="42757" spans="43:43" x14ac:dyDescent="0.2">
      <c r="AQ42757" s="31"/>
    </row>
    <row r="42758" spans="43:43" x14ac:dyDescent="0.2">
      <c r="AQ42758" s="31"/>
    </row>
    <row r="42759" spans="43:43" x14ac:dyDescent="0.2">
      <c r="AQ42759" s="31"/>
    </row>
    <row r="42760" spans="43:43" x14ac:dyDescent="0.2">
      <c r="AQ42760" s="31"/>
    </row>
    <row r="42761" spans="43:43" x14ac:dyDescent="0.2">
      <c r="AQ42761" s="31"/>
    </row>
    <row r="42762" spans="43:43" x14ac:dyDescent="0.2">
      <c r="AQ42762" s="31"/>
    </row>
    <row r="42763" spans="43:43" x14ac:dyDescent="0.2">
      <c r="AQ42763" s="31"/>
    </row>
    <row r="42764" spans="43:43" x14ac:dyDescent="0.2">
      <c r="AQ42764" s="31"/>
    </row>
    <row r="42765" spans="43:43" x14ac:dyDescent="0.2">
      <c r="AQ42765" s="31"/>
    </row>
    <row r="42766" spans="43:43" x14ac:dyDescent="0.2">
      <c r="AQ42766" s="31"/>
    </row>
    <row r="42767" spans="43:43" x14ac:dyDescent="0.2">
      <c r="AQ42767" s="31"/>
    </row>
    <row r="42768" spans="43:43" x14ac:dyDescent="0.2">
      <c r="AQ42768" s="31"/>
    </row>
    <row r="42769" spans="43:43" x14ac:dyDescent="0.2">
      <c r="AQ42769" s="31"/>
    </row>
    <row r="42770" spans="43:43" x14ac:dyDescent="0.2">
      <c r="AQ42770" s="31"/>
    </row>
    <row r="42771" spans="43:43" x14ac:dyDescent="0.2">
      <c r="AQ42771" s="31"/>
    </row>
    <row r="42772" spans="43:43" x14ac:dyDescent="0.2">
      <c r="AQ42772" s="31"/>
    </row>
    <row r="42773" spans="43:43" x14ac:dyDescent="0.2">
      <c r="AQ42773" s="31"/>
    </row>
    <row r="42774" spans="43:43" x14ac:dyDescent="0.2">
      <c r="AQ42774" s="31"/>
    </row>
    <row r="42775" spans="43:43" x14ac:dyDescent="0.2">
      <c r="AQ42775" s="31"/>
    </row>
    <row r="42776" spans="43:43" x14ac:dyDescent="0.2">
      <c r="AQ42776" s="31"/>
    </row>
    <row r="42777" spans="43:43" x14ac:dyDescent="0.2">
      <c r="AQ42777" s="31"/>
    </row>
    <row r="42778" spans="43:43" x14ac:dyDescent="0.2">
      <c r="AQ42778" s="31"/>
    </row>
    <row r="42779" spans="43:43" x14ac:dyDescent="0.2">
      <c r="AQ42779" s="31"/>
    </row>
    <row r="42780" spans="43:43" x14ac:dyDescent="0.2">
      <c r="AQ42780" s="31"/>
    </row>
    <row r="42781" spans="43:43" x14ac:dyDescent="0.2">
      <c r="AQ42781" s="31"/>
    </row>
    <row r="42782" spans="43:43" x14ac:dyDescent="0.2">
      <c r="AQ42782" s="31"/>
    </row>
    <row r="42783" spans="43:43" x14ac:dyDescent="0.2">
      <c r="AQ42783" s="31"/>
    </row>
    <row r="42784" spans="43:43" x14ac:dyDescent="0.2">
      <c r="AQ42784" s="31"/>
    </row>
    <row r="42785" spans="43:43" x14ac:dyDescent="0.2">
      <c r="AQ42785" s="31"/>
    </row>
    <row r="42786" spans="43:43" x14ac:dyDescent="0.2">
      <c r="AQ42786" s="31"/>
    </row>
    <row r="42787" spans="43:43" x14ac:dyDescent="0.2">
      <c r="AQ42787" s="31"/>
    </row>
    <row r="42788" spans="43:43" x14ac:dyDescent="0.2">
      <c r="AQ42788" s="31"/>
    </row>
    <row r="42789" spans="43:43" x14ac:dyDescent="0.2">
      <c r="AQ42789" s="31"/>
    </row>
    <row r="42790" spans="43:43" x14ac:dyDescent="0.2">
      <c r="AQ42790" s="31"/>
    </row>
    <row r="42791" spans="43:43" x14ac:dyDescent="0.2">
      <c r="AQ42791" s="31"/>
    </row>
    <row r="42792" spans="43:43" x14ac:dyDescent="0.2">
      <c r="AQ42792" s="31"/>
    </row>
    <row r="42793" spans="43:43" x14ac:dyDescent="0.2">
      <c r="AQ42793" s="31"/>
    </row>
    <row r="42794" spans="43:43" x14ac:dyDescent="0.2">
      <c r="AQ42794" s="31"/>
    </row>
    <row r="42795" spans="43:43" x14ac:dyDescent="0.2">
      <c r="AQ42795" s="31"/>
    </row>
    <row r="42796" spans="43:43" x14ac:dyDescent="0.2">
      <c r="AQ42796" s="31"/>
    </row>
    <row r="42797" spans="43:43" x14ac:dyDescent="0.2">
      <c r="AQ42797" s="31"/>
    </row>
    <row r="42798" spans="43:43" x14ac:dyDescent="0.2">
      <c r="AQ42798" s="31"/>
    </row>
    <row r="42799" spans="43:43" x14ac:dyDescent="0.2">
      <c r="AQ42799" s="31"/>
    </row>
    <row r="42800" spans="43:43" x14ac:dyDescent="0.2">
      <c r="AQ42800" s="31"/>
    </row>
    <row r="42801" spans="43:43" x14ac:dyDescent="0.2">
      <c r="AQ42801" s="31"/>
    </row>
    <row r="42802" spans="43:43" x14ac:dyDescent="0.2">
      <c r="AQ42802" s="31"/>
    </row>
    <row r="42803" spans="43:43" x14ac:dyDescent="0.2">
      <c r="AQ42803" s="31"/>
    </row>
    <row r="42804" spans="43:43" x14ac:dyDescent="0.2">
      <c r="AQ42804" s="31"/>
    </row>
    <row r="42805" spans="43:43" x14ac:dyDescent="0.2">
      <c r="AQ42805" s="31"/>
    </row>
    <row r="42806" spans="43:43" x14ac:dyDescent="0.2">
      <c r="AQ42806" s="31"/>
    </row>
    <row r="42807" spans="43:43" x14ac:dyDescent="0.2">
      <c r="AQ42807" s="31"/>
    </row>
    <row r="42808" spans="43:43" x14ac:dyDescent="0.2">
      <c r="AQ42808" s="31"/>
    </row>
    <row r="42809" spans="43:43" x14ac:dyDescent="0.2">
      <c r="AQ42809" s="31"/>
    </row>
    <row r="42810" spans="43:43" x14ac:dyDescent="0.2">
      <c r="AQ42810" s="31"/>
    </row>
    <row r="42811" spans="43:43" x14ac:dyDescent="0.2">
      <c r="AQ42811" s="31"/>
    </row>
    <row r="42812" spans="43:43" x14ac:dyDescent="0.2">
      <c r="AQ42812" s="31"/>
    </row>
    <row r="42813" spans="43:43" x14ac:dyDescent="0.2">
      <c r="AQ42813" s="31"/>
    </row>
    <row r="42814" spans="43:43" x14ac:dyDescent="0.2">
      <c r="AQ42814" s="31"/>
    </row>
    <row r="42815" spans="43:43" x14ac:dyDescent="0.2">
      <c r="AQ42815" s="31"/>
    </row>
    <row r="42816" spans="43:43" x14ac:dyDescent="0.2">
      <c r="AQ42816" s="31"/>
    </row>
    <row r="42817" spans="43:43" x14ac:dyDescent="0.2">
      <c r="AQ42817" s="31"/>
    </row>
    <row r="42818" spans="43:43" x14ac:dyDescent="0.2">
      <c r="AQ42818" s="31"/>
    </row>
    <row r="42819" spans="43:43" x14ac:dyDescent="0.2">
      <c r="AQ42819" s="31"/>
    </row>
    <row r="42820" spans="43:43" x14ac:dyDescent="0.2">
      <c r="AQ42820" s="31"/>
    </row>
    <row r="42821" spans="43:43" x14ac:dyDescent="0.2">
      <c r="AQ42821" s="31"/>
    </row>
    <row r="42822" spans="43:43" x14ac:dyDescent="0.2">
      <c r="AQ42822" s="31"/>
    </row>
    <row r="42823" spans="43:43" x14ac:dyDescent="0.2">
      <c r="AQ42823" s="31"/>
    </row>
    <row r="42824" spans="43:43" x14ac:dyDescent="0.2">
      <c r="AQ42824" s="31"/>
    </row>
    <row r="42825" spans="43:43" x14ac:dyDescent="0.2">
      <c r="AQ42825" s="31"/>
    </row>
    <row r="42826" spans="43:43" x14ac:dyDescent="0.2">
      <c r="AQ42826" s="31"/>
    </row>
    <row r="42827" spans="43:43" x14ac:dyDescent="0.2">
      <c r="AQ42827" s="31"/>
    </row>
    <row r="42828" spans="43:43" x14ac:dyDescent="0.2">
      <c r="AQ42828" s="31"/>
    </row>
    <row r="42829" spans="43:43" x14ac:dyDescent="0.2">
      <c r="AQ42829" s="31"/>
    </row>
    <row r="42830" spans="43:43" x14ac:dyDescent="0.2">
      <c r="AQ42830" s="31"/>
    </row>
    <row r="42831" spans="43:43" x14ac:dyDescent="0.2">
      <c r="AQ42831" s="31"/>
    </row>
    <row r="42832" spans="43:43" x14ac:dyDescent="0.2">
      <c r="AQ42832" s="31"/>
    </row>
    <row r="42833" spans="43:43" x14ac:dyDescent="0.2">
      <c r="AQ42833" s="31"/>
    </row>
    <row r="42834" spans="43:43" x14ac:dyDescent="0.2">
      <c r="AQ42834" s="31"/>
    </row>
    <row r="42835" spans="43:43" x14ac:dyDescent="0.2">
      <c r="AQ42835" s="31"/>
    </row>
    <row r="42836" spans="43:43" x14ac:dyDescent="0.2">
      <c r="AQ42836" s="31"/>
    </row>
    <row r="42837" spans="43:43" x14ac:dyDescent="0.2">
      <c r="AQ42837" s="31"/>
    </row>
    <row r="42838" spans="43:43" x14ac:dyDescent="0.2">
      <c r="AQ42838" s="31"/>
    </row>
    <row r="42839" spans="43:43" x14ac:dyDescent="0.2">
      <c r="AQ42839" s="31"/>
    </row>
    <row r="42840" spans="43:43" x14ac:dyDescent="0.2">
      <c r="AQ42840" s="31"/>
    </row>
    <row r="42841" spans="43:43" x14ac:dyDescent="0.2">
      <c r="AQ42841" s="31"/>
    </row>
    <row r="42842" spans="43:43" x14ac:dyDescent="0.2">
      <c r="AQ42842" s="31"/>
    </row>
    <row r="42843" spans="43:43" x14ac:dyDescent="0.2">
      <c r="AQ42843" s="31"/>
    </row>
    <row r="42844" spans="43:43" x14ac:dyDescent="0.2">
      <c r="AQ42844" s="31"/>
    </row>
    <row r="42845" spans="43:43" x14ac:dyDescent="0.2">
      <c r="AQ42845" s="31"/>
    </row>
    <row r="42846" spans="43:43" x14ac:dyDescent="0.2">
      <c r="AQ42846" s="31"/>
    </row>
    <row r="42847" spans="43:43" x14ac:dyDescent="0.2">
      <c r="AQ42847" s="31"/>
    </row>
    <row r="42848" spans="43:43" x14ac:dyDescent="0.2">
      <c r="AQ42848" s="31"/>
    </row>
    <row r="42849" spans="43:43" x14ac:dyDescent="0.2">
      <c r="AQ42849" s="31"/>
    </row>
    <row r="42850" spans="43:43" x14ac:dyDescent="0.2">
      <c r="AQ42850" s="31"/>
    </row>
    <row r="42851" spans="43:43" x14ac:dyDescent="0.2">
      <c r="AQ42851" s="31"/>
    </row>
    <row r="42852" spans="43:43" x14ac:dyDescent="0.2">
      <c r="AQ42852" s="31"/>
    </row>
    <row r="42853" spans="43:43" x14ac:dyDescent="0.2">
      <c r="AQ42853" s="31"/>
    </row>
    <row r="42854" spans="43:43" x14ac:dyDescent="0.2">
      <c r="AQ42854" s="31"/>
    </row>
    <row r="42855" spans="43:43" x14ac:dyDescent="0.2">
      <c r="AQ42855" s="31"/>
    </row>
    <row r="42856" spans="43:43" x14ac:dyDescent="0.2">
      <c r="AQ42856" s="31"/>
    </row>
    <row r="42857" spans="43:43" x14ac:dyDescent="0.2">
      <c r="AQ42857" s="31"/>
    </row>
    <row r="42858" spans="43:43" x14ac:dyDescent="0.2">
      <c r="AQ42858" s="31"/>
    </row>
    <row r="42859" spans="43:43" x14ac:dyDescent="0.2">
      <c r="AQ42859" s="31"/>
    </row>
    <row r="42860" spans="43:43" x14ac:dyDescent="0.2">
      <c r="AQ42860" s="31"/>
    </row>
    <row r="42861" spans="43:43" x14ac:dyDescent="0.2">
      <c r="AQ42861" s="31"/>
    </row>
    <row r="42862" spans="43:43" x14ac:dyDescent="0.2">
      <c r="AQ42862" s="31"/>
    </row>
    <row r="42863" spans="43:43" x14ac:dyDescent="0.2">
      <c r="AQ42863" s="31"/>
    </row>
    <row r="42864" spans="43:43" x14ac:dyDescent="0.2">
      <c r="AQ42864" s="31"/>
    </row>
    <row r="42865" spans="43:43" x14ac:dyDescent="0.2">
      <c r="AQ42865" s="31"/>
    </row>
    <row r="42866" spans="43:43" x14ac:dyDescent="0.2">
      <c r="AQ42866" s="31"/>
    </row>
    <row r="42867" spans="43:43" x14ac:dyDescent="0.2">
      <c r="AQ42867" s="31"/>
    </row>
    <row r="42868" spans="43:43" x14ac:dyDescent="0.2">
      <c r="AQ42868" s="31"/>
    </row>
    <row r="42869" spans="43:43" x14ac:dyDescent="0.2">
      <c r="AQ42869" s="31"/>
    </row>
    <row r="42870" spans="43:43" x14ac:dyDescent="0.2">
      <c r="AQ42870" s="31"/>
    </row>
    <row r="42871" spans="43:43" x14ac:dyDescent="0.2">
      <c r="AQ42871" s="31"/>
    </row>
    <row r="42872" spans="43:43" x14ac:dyDescent="0.2">
      <c r="AQ42872" s="31"/>
    </row>
    <row r="42873" spans="43:43" x14ac:dyDescent="0.2">
      <c r="AQ42873" s="31"/>
    </row>
    <row r="42874" spans="43:43" x14ac:dyDescent="0.2">
      <c r="AQ42874" s="31"/>
    </row>
    <row r="42875" spans="43:43" x14ac:dyDescent="0.2">
      <c r="AQ42875" s="31"/>
    </row>
    <row r="42876" spans="43:43" x14ac:dyDescent="0.2">
      <c r="AQ42876" s="31"/>
    </row>
    <row r="42877" spans="43:43" x14ac:dyDescent="0.2">
      <c r="AQ42877" s="31"/>
    </row>
    <row r="42878" spans="43:43" x14ac:dyDescent="0.2">
      <c r="AQ42878" s="31"/>
    </row>
    <row r="42879" spans="43:43" x14ac:dyDescent="0.2">
      <c r="AQ42879" s="31"/>
    </row>
    <row r="42880" spans="43:43" x14ac:dyDescent="0.2">
      <c r="AQ42880" s="31"/>
    </row>
    <row r="42881" spans="43:43" x14ac:dyDescent="0.2">
      <c r="AQ42881" s="31"/>
    </row>
    <row r="42882" spans="43:43" x14ac:dyDescent="0.2">
      <c r="AQ42882" s="31"/>
    </row>
    <row r="42883" spans="43:43" x14ac:dyDescent="0.2">
      <c r="AQ42883" s="31"/>
    </row>
    <row r="42884" spans="43:43" x14ac:dyDescent="0.2">
      <c r="AQ42884" s="31"/>
    </row>
    <row r="42885" spans="43:43" x14ac:dyDescent="0.2">
      <c r="AQ42885" s="31"/>
    </row>
    <row r="42886" spans="43:43" x14ac:dyDescent="0.2">
      <c r="AQ42886" s="31"/>
    </row>
    <row r="42887" spans="43:43" x14ac:dyDescent="0.2">
      <c r="AQ42887" s="31"/>
    </row>
    <row r="42888" spans="43:43" x14ac:dyDescent="0.2">
      <c r="AQ42888" s="31"/>
    </row>
    <row r="42889" spans="43:43" x14ac:dyDescent="0.2">
      <c r="AQ42889" s="31"/>
    </row>
    <row r="42890" spans="43:43" x14ac:dyDescent="0.2">
      <c r="AQ42890" s="31"/>
    </row>
    <row r="42891" spans="43:43" x14ac:dyDescent="0.2">
      <c r="AQ42891" s="31"/>
    </row>
    <row r="42892" spans="43:43" x14ac:dyDescent="0.2">
      <c r="AQ42892" s="31"/>
    </row>
    <row r="42893" spans="43:43" x14ac:dyDescent="0.2">
      <c r="AQ42893" s="31"/>
    </row>
    <row r="42894" spans="43:43" x14ac:dyDescent="0.2">
      <c r="AQ42894" s="31"/>
    </row>
    <row r="42895" spans="43:43" x14ac:dyDescent="0.2">
      <c r="AQ42895" s="31"/>
    </row>
    <row r="42896" spans="43:43" x14ac:dyDescent="0.2">
      <c r="AQ42896" s="31"/>
    </row>
    <row r="42897" spans="43:43" x14ac:dyDescent="0.2">
      <c r="AQ42897" s="31"/>
    </row>
    <row r="42898" spans="43:43" x14ac:dyDescent="0.2">
      <c r="AQ42898" s="31"/>
    </row>
    <row r="42899" spans="43:43" x14ac:dyDescent="0.2">
      <c r="AQ42899" s="31"/>
    </row>
    <row r="42900" spans="43:43" x14ac:dyDescent="0.2">
      <c r="AQ42900" s="31"/>
    </row>
    <row r="42901" spans="43:43" x14ac:dyDescent="0.2">
      <c r="AQ42901" s="31"/>
    </row>
    <row r="42902" spans="43:43" x14ac:dyDescent="0.2">
      <c r="AQ42902" s="31"/>
    </row>
    <row r="42903" spans="43:43" x14ac:dyDescent="0.2">
      <c r="AQ42903" s="31"/>
    </row>
    <row r="42904" spans="43:43" x14ac:dyDescent="0.2">
      <c r="AQ42904" s="31"/>
    </row>
    <row r="42905" spans="43:43" x14ac:dyDescent="0.2">
      <c r="AQ42905" s="31"/>
    </row>
    <row r="42906" spans="43:43" x14ac:dyDescent="0.2">
      <c r="AQ42906" s="31"/>
    </row>
    <row r="42907" spans="43:43" x14ac:dyDescent="0.2">
      <c r="AQ42907" s="31"/>
    </row>
    <row r="42908" spans="43:43" x14ac:dyDescent="0.2">
      <c r="AQ42908" s="31"/>
    </row>
    <row r="42909" spans="43:43" x14ac:dyDescent="0.2">
      <c r="AQ42909" s="31"/>
    </row>
    <row r="42910" spans="43:43" x14ac:dyDescent="0.2">
      <c r="AQ42910" s="31"/>
    </row>
    <row r="42911" spans="43:43" x14ac:dyDescent="0.2">
      <c r="AQ42911" s="31"/>
    </row>
    <row r="42912" spans="43:43" x14ac:dyDescent="0.2">
      <c r="AQ42912" s="31"/>
    </row>
    <row r="42913" spans="43:43" x14ac:dyDescent="0.2">
      <c r="AQ42913" s="31"/>
    </row>
    <row r="42914" spans="43:43" x14ac:dyDescent="0.2">
      <c r="AQ42914" s="31"/>
    </row>
    <row r="42915" spans="43:43" x14ac:dyDescent="0.2">
      <c r="AQ42915" s="31"/>
    </row>
    <row r="42916" spans="43:43" x14ac:dyDescent="0.2">
      <c r="AQ42916" s="31"/>
    </row>
    <row r="42917" spans="43:43" x14ac:dyDescent="0.2">
      <c r="AQ42917" s="31"/>
    </row>
    <row r="42918" spans="43:43" x14ac:dyDescent="0.2">
      <c r="AQ42918" s="31"/>
    </row>
    <row r="42919" spans="43:43" x14ac:dyDescent="0.2">
      <c r="AQ42919" s="31"/>
    </row>
    <row r="42920" spans="43:43" x14ac:dyDescent="0.2">
      <c r="AQ42920" s="31"/>
    </row>
    <row r="42921" spans="43:43" x14ac:dyDescent="0.2">
      <c r="AQ42921" s="31"/>
    </row>
    <row r="42922" spans="43:43" x14ac:dyDescent="0.2">
      <c r="AQ42922" s="31"/>
    </row>
    <row r="42923" spans="43:43" x14ac:dyDescent="0.2">
      <c r="AQ42923" s="31"/>
    </row>
    <row r="42924" spans="43:43" x14ac:dyDescent="0.2">
      <c r="AQ42924" s="31"/>
    </row>
    <row r="42925" spans="43:43" x14ac:dyDescent="0.2">
      <c r="AQ42925" s="31"/>
    </row>
    <row r="42926" spans="43:43" x14ac:dyDescent="0.2">
      <c r="AQ42926" s="31"/>
    </row>
    <row r="42927" spans="43:43" x14ac:dyDescent="0.2">
      <c r="AQ42927" s="31"/>
    </row>
    <row r="42928" spans="43:43" x14ac:dyDescent="0.2">
      <c r="AQ42928" s="31"/>
    </row>
    <row r="42929" spans="43:43" x14ac:dyDescent="0.2">
      <c r="AQ42929" s="31"/>
    </row>
    <row r="42930" spans="43:43" x14ac:dyDescent="0.2">
      <c r="AQ42930" s="31"/>
    </row>
    <row r="42931" spans="43:43" x14ac:dyDescent="0.2">
      <c r="AQ42931" s="31"/>
    </row>
    <row r="42932" spans="43:43" x14ac:dyDescent="0.2">
      <c r="AQ42932" s="31"/>
    </row>
    <row r="42933" spans="43:43" x14ac:dyDescent="0.2">
      <c r="AQ42933" s="31"/>
    </row>
    <row r="42934" spans="43:43" x14ac:dyDescent="0.2">
      <c r="AQ42934" s="31"/>
    </row>
    <row r="42935" spans="43:43" x14ac:dyDescent="0.2">
      <c r="AQ42935" s="31"/>
    </row>
    <row r="42936" spans="43:43" x14ac:dyDescent="0.2">
      <c r="AQ42936" s="31"/>
    </row>
    <row r="42937" spans="43:43" x14ac:dyDescent="0.2">
      <c r="AQ42937" s="31"/>
    </row>
    <row r="42938" spans="43:43" x14ac:dyDescent="0.2">
      <c r="AQ42938" s="31"/>
    </row>
    <row r="42939" spans="43:43" x14ac:dyDescent="0.2">
      <c r="AQ42939" s="31"/>
    </row>
    <row r="42940" spans="43:43" x14ac:dyDescent="0.2">
      <c r="AQ42940" s="31"/>
    </row>
    <row r="42941" spans="43:43" x14ac:dyDescent="0.2">
      <c r="AQ42941" s="31"/>
    </row>
    <row r="42942" spans="43:43" x14ac:dyDescent="0.2">
      <c r="AQ42942" s="31"/>
    </row>
    <row r="42943" spans="43:43" x14ac:dyDescent="0.2">
      <c r="AQ42943" s="31"/>
    </row>
    <row r="42944" spans="43:43" x14ac:dyDescent="0.2">
      <c r="AQ42944" s="31"/>
    </row>
    <row r="42945" spans="43:43" x14ac:dyDescent="0.2">
      <c r="AQ42945" s="31"/>
    </row>
    <row r="42946" spans="43:43" x14ac:dyDescent="0.2">
      <c r="AQ42946" s="31"/>
    </row>
    <row r="42947" spans="43:43" x14ac:dyDescent="0.2">
      <c r="AQ42947" s="31"/>
    </row>
    <row r="42948" spans="43:43" x14ac:dyDescent="0.2">
      <c r="AQ42948" s="31"/>
    </row>
    <row r="42949" spans="43:43" x14ac:dyDescent="0.2">
      <c r="AQ42949" s="31"/>
    </row>
    <row r="42950" spans="43:43" x14ac:dyDescent="0.2">
      <c r="AQ42950" s="31"/>
    </row>
    <row r="42951" spans="43:43" x14ac:dyDescent="0.2">
      <c r="AQ42951" s="31"/>
    </row>
    <row r="42952" spans="43:43" x14ac:dyDescent="0.2">
      <c r="AQ42952" s="31"/>
    </row>
    <row r="42953" spans="43:43" x14ac:dyDescent="0.2">
      <c r="AQ42953" s="31"/>
    </row>
    <row r="42954" spans="43:43" x14ac:dyDescent="0.2">
      <c r="AQ42954" s="31"/>
    </row>
    <row r="42955" spans="43:43" x14ac:dyDescent="0.2">
      <c r="AQ42955" s="31"/>
    </row>
    <row r="42956" spans="43:43" x14ac:dyDescent="0.2">
      <c r="AQ42956" s="31"/>
    </row>
    <row r="42957" spans="43:43" x14ac:dyDescent="0.2">
      <c r="AQ42957" s="31"/>
    </row>
    <row r="42958" spans="43:43" x14ac:dyDescent="0.2">
      <c r="AQ42958" s="31"/>
    </row>
    <row r="42959" spans="43:43" x14ac:dyDescent="0.2">
      <c r="AQ42959" s="31"/>
    </row>
    <row r="42960" spans="43:43" x14ac:dyDescent="0.2">
      <c r="AQ42960" s="31"/>
    </row>
    <row r="42961" spans="43:43" x14ac:dyDescent="0.2">
      <c r="AQ42961" s="31"/>
    </row>
    <row r="42962" spans="43:43" x14ac:dyDescent="0.2">
      <c r="AQ42962" s="31"/>
    </row>
    <row r="42963" spans="43:43" x14ac:dyDescent="0.2">
      <c r="AQ42963" s="31"/>
    </row>
    <row r="42964" spans="43:43" x14ac:dyDescent="0.2">
      <c r="AQ42964" s="31"/>
    </row>
    <row r="42965" spans="43:43" x14ac:dyDescent="0.2">
      <c r="AQ42965" s="31"/>
    </row>
    <row r="42966" spans="43:43" x14ac:dyDescent="0.2">
      <c r="AQ42966" s="31"/>
    </row>
    <row r="42967" spans="43:43" x14ac:dyDescent="0.2">
      <c r="AQ42967" s="31"/>
    </row>
    <row r="42968" spans="43:43" x14ac:dyDescent="0.2">
      <c r="AQ42968" s="31"/>
    </row>
    <row r="42969" spans="43:43" x14ac:dyDescent="0.2">
      <c r="AQ42969" s="31"/>
    </row>
    <row r="42970" spans="43:43" x14ac:dyDescent="0.2">
      <c r="AQ42970" s="31"/>
    </row>
    <row r="42971" spans="43:43" x14ac:dyDescent="0.2">
      <c r="AQ42971" s="31"/>
    </row>
    <row r="42972" spans="43:43" x14ac:dyDescent="0.2">
      <c r="AQ42972" s="31"/>
    </row>
    <row r="42973" spans="43:43" x14ac:dyDescent="0.2">
      <c r="AQ42973" s="31"/>
    </row>
    <row r="42974" spans="43:43" x14ac:dyDescent="0.2">
      <c r="AQ42974" s="31"/>
    </row>
    <row r="42975" spans="43:43" x14ac:dyDescent="0.2">
      <c r="AQ42975" s="31"/>
    </row>
    <row r="42976" spans="43:43" x14ac:dyDescent="0.2">
      <c r="AQ42976" s="31"/>
    </row>
    <row r="42977" spans="43:43" x14ac:dyDescent="0.2">
      <c r="AQ42977" s="31"/>
    </row>
    <row r="42978" spans="43:43" x14ac:dyDescent="0.2">
      <c r="AQ42978" s="31"/>
    </row>
    <row r="42979" spans="43:43" x14ac:dyDescent="0.2">
      <c r="AQ42979" s="31"/>
    </row>
    <row r="42980" spans="43:43" x14ac:dyDescent="0.2">
      <c r="AQ42980" s="31"/>
    </row>
    <row r="42981" spans="43:43" x14ac:dyDescent="0.2">
      <c r="AQ42981" s="31"/>
    </row>
    <row r="42982" spans="43:43" x14ac:dyDescent="0.2">
      <c r="AQ42982" s="31"/>
    </row>
    <row r="42983" spans="43:43" x14ac:dyDescent="0.2">
      <c r="AQ42983" s="31"/>
    </row>
    <row r="42984" spans="43:43" x14ac:dyDescent="0.2">
      <c r="AQ42984" s="31"/>
    </row>
    <row r="42985" spans="43:43" x14ac:dyDescent="0.2">
      <c r="AQ42985" s="31"/>
    </row>
    <row r="42986" spans="43:43" x14ac:dyDescent="0.2">
      <c r="AQ42986" s="31"/>
    </row>
    <row r="42987" spans="43:43" x14ac:dyDescent="0.2">
      <c r="AQ42987" s="31"/>
    </row>
    <row r="42988" spans="43:43" x14ac:dyDescent="0.2">
      <c r="AQ42988" s="31"/>
    </row>
    <row r="42989" spans="43:43" x14ac:dyDescent="0.2">
      <c r="AQ42989" s="31"/>
    </row>
    <row r="42990" spans="43:43" x14ac:dyDescent="0.2">
      <c r="AQ42990" s="31"/>
    </row>
    <row r="42991" spans="43:43" x14ac:dyDescent="0.2">
      <c r="AQ42991" s="31"/>
    </row>
    <row r="42992" spans="43:43" x14ac:dyDescent="0.2">
      <c r="AQ42992" s="31"/>
    </row>
    <row r="42993" spans="43:43" x14ac:dyDescent="0.2">
      <c r="AQ42993" s="31"/>
    </row>
    <row r="42994" spans="43:43" x14ac:dyDescent="0.2">
      <c r="AQ42994" s="31"/>
    </row>
    <row r="42995" spans="43:43" x14ac:dyDescent="0.2">
      <c r="AQ42995" s="31"/>
    </row>
    <row r="42996" spans="43:43" x14ac:dyDescent="0.2">
      <c r="AQ42996" s="31"/>
    </row>
    <row r="42997" spans="43:43" x14ac:dyDescent="0.2">
      <c r="AQ42997" s="31"/>
    </row>
    <row r="42998" spans="43:43" x14ac:dyDescent="0.2">
      <c r="AQ42998" s="31"/>
    </row>
    <row r="42999" spans="43:43" x14ac:dyDescent="0.2">
      <c r="AQ42999" s="31"/>
    </row>
    <row r="43000" spans="43:43" x14ac:dyDescent="0.2">
      <c r="AQ43000" s="31"/>
    </row>
    <row r="43001" spans="43:43" x14ac:dyDescent="0.2">
      <c r="AQ43001" s="31"/>
    </row>
    <row r="43002" spans="43:43" x14ac:dyDescent="0.2">
      <c r="AQ43002" s="31"/>
    </row>
    <row r="43003" spans="43:43" x14ac:dyDescent="0.2">
      <c r="AQ43003" s="31"/>
    </row>
    <row r="43004" spans="43:43" x14ac:dyDescent="0.2">
      <c r="AQ43004" s="31"/>
    </row>
    <row r="43005" spans="43:43" x14ac:dyDescent="0.2">
      <c r="AQ43005" s="31"/>
    </row>
    <row r="43006" spans="43:43" x14ac:dyDescent="0.2">
      <c r="AQ43006" s="31"/>
    </row>
    <row r="43007" spans="43:43" x14ac:dyDescent="0.2">
      <c r="AQ43007" s="31"/>
    </row>
    <row r="43008" spans="43:43" x14ac:dyDescent="0.2">
      <c r="AQ43008" s="31"/>
    </row>
    <row r="43009" spans="43:43" x14ac:dyDescent="0.2">
      <c r="AQ43009" s="31"/>
    </row>
    <row r="43010" spans="43:43" x14ac:dyDescent="0.2">
      <c r="AQ43010" s="31"/>
    </row>
    <row r="43011" spans="43:43" x14ac:dyDescent="0.2">
      <c r="AQ43011" s="31"/>
    </row>
    <row r="43012" spans="43:43" x14ac:dyDescent="0.2">
      <c r="AQ43012" s="31"/>
    </row>
    <row r="43013" spans="43:43" x14ac:dyDescent="0.2">
      <c r="AQ43013" s="31"/>
    </row>
    <row r="43014" spans="43:43" x14ac:dyDescent="0.2">
      <c r="AQ43014" s="31"/>
    </row>
    <row r="43015" spans="43:43" x14ac:dyDescent="0.2">
      <c r="AQ43015" s="31"/>
    </row>
    <row r="43016" spans="43:43" x14ac:dyDescent="0.2">
      <c r="AQ43016" s="31"/>
    </row>
    <row r="43017" spans="43:43" x14ac:dyDescent="0.2">
      <c r="AQ43017" s="31"/>
    </row>
    <row r="43018" spans="43:43" x14ac:dyDescent="0.2">
      <c r="AQ43018" s="31"/>
    </row>
    <row r="43019" spans="43:43" x14ac:dyDescent="0.2">
      <c r="AQ43019" s="31"/>
    </row>
    <row r="43020" spans="43:43" x14ac:dyDescent="0.2">
      <c r="AQ43020" s="31"/>
    </row>
    <row r="43021" spans="43:43" x14ac:dyDescent="0.2">
      <c r="AQ43021" s="31"/>
    </row>
    <row r="43022" spans="43:43" x14ac:dyDescent="0.2">
      <c r="AQ43022" s="31"/>
    </row>
    <row r="43023" spans="43:43" x14ac:dyDescent="0.2">
      <c r="AQ43023" s="31"/>
    </row>
    <row r="43024" spans="43:43" x14ac:dyDescent="0.2">
      <c r="AQ43024" s="31"/>
    </row>
    <row r="43025" spans="43:43" x14ac:dyDescent="0.2">
      <c r="AQ43025" s="31"/>
    </row>
    <row r="43026" spans="43:43" x14ac:dyDescent="0.2">
      <c r="AQ43026" s="31"/>
    </row>
    <row r="43027" spans="43:43" x14ac:dyDescent="0.2">
      <c r="AQ43027" s="31"/>
    </row>
    <row r="43028" spans="43:43" x14ac:dyDescent="0.2">
      <c r="AQ43028" s="31"/>
    </row>
    <row r="43029" spans="43:43" x14ac:dyDescent="0.2">
      <c r="AQ43029" s="31"/>
    </row>
    <row r="43030" spans="43:43" x14ac:dyDescent="0.2">
      <c r="AQ43030" s="31"/>
    </row>
    <row r="43031" spans="43:43" x14ac:dyDescent="0.2">
      <c r="AQ43031" s="31"/>
    </row>
    <row r="43032" spans="43:43" x14ac:dyDescent="0.2">
      <c r="AQ43032" s="31"/>
    </row>
    <row r="43033" spans="43:43" x14ac:dyDescent="0.2">
      <c r="AQ43033" s="31"/>
    </row>
    <row r="43034" spans="43:43" x14ac:dyDescent="0.2">
      <c r="AQ43034" s="31"/>
    </row>
    <row r="43035" spans="43:43" x14ac:dyDescent="0.2">
      <c r="AQ43035" s="31"/>
    </row>
    <row r="43036" spans="43:43" x14ac:dyDescent="0.2">
      <c r="AQ43036" s="31"/>
    </row>
    <row r="43037" spans="43:43" x14ac:dyDescent="0.2">
      <c r="AQ43037" s="31"/>
    </row>
    <row r="43038" spans="43:43" x14ac:dyDescent="0.2">
      <c r="AQ43038" s="31"/>
    </row>
    <row r="43039" spans="43:43" x14ac:dyDescent="0.2">
      <c r="AQ43039" s="31"/>
    </row>
    <row r="43040" spans="43:43" x14ac:dyDescent="0.2">
      <c r="AQ43040" s="31"/>
    </row>
    <row r="43041" spans="43:43" x14ac:dyDescent="0.2">
      <c r="AQ43041" s="31"/>
    </row>
    <row r="43042" spans="43:43" x14ac:dyDescent="0.2">
      <c r="AQ43042" s="31"/>
    </row>
    <row r="43043" spans="43:43" x14ac:dyDescent="0.2">
      <c r="AQ43043" s="31"/>
    </row>
    <row r="43044" spans="43:43" x14ac:dyDescent="0.2">
      <c r="AQ43044" s="31"/>
    </row>
    <row r="43045" spans="43:43" x14ac:dyDescent="0.2">
      <c r="AQ43045" s="31"/>
    </row>
    <row r="43046" spans="43:43" x14ac:dyDescent="0.2">
      <c r="AQ43046" s="31"/>
    </row>
    <row r="43047" spans="43:43" x14ac:dyDescent="0.2">
      <c r="AQ43047" s="31"/>
    </row>
    <row r="43048" spans="43:43" x14ac:dyDescent="0.2">
      <c r="AQ43048" s="31"/>
    </row>
    <row r="43049" spans="43:43" x14ac:dyDescent="0.2">
      <c r="AQ43049" s="31"/>
    </row>
    <row r="43050" spans="43:43" x14ac:dyDescent="0.2">
      <c r="AQ43050" s="31"/>
    </row>
    <row r="43051" spans="43:43" x14ac:dyDescent="0.2">
      <c r="AQ43051" s="31"/>
    </row>
    <row r="43052" spans="43:43" x14ac:dyDescent="0.2">
      <c r="AQ43052" s="31"/>
    </row>
    <row r="43053" spans="43:43" x14ac:dyDescent="0.2">
      <c r="AQ43053" s="31"/>
    </row>
    <row r="43054" spans="43:43" x14ac:dyDescent="0.2">
      <c r="AQ43054" s="31"/>
    </row>
    <row r="43055" spans="43:43" x14ac:dyDescent="0.2">
      <c r="AQ43055" s="31"/>
    </row>
    <row r="43056" spans="43:43" x14ac:dyDescent="0.2">
      <c r="AQ43056" s="31"/>
    </row>
    <row r="43057" spans="43:43" x14ac:dyDescent="0.2">
      <c r="AQ43057" s="31"/>
    </row>
    <row r="43058" spans="43:43" x14ac:dyDescent="0.2">
      <c r="AQ43058" s="31"/>
    </row>
    <row r="43059" spans="43:43" x14ac:dyDescent="0.2">
      <c r="AQ43059" s="31"/>
    </row>
    <row r="43060" spans="43:43" x14ac:dyDescent="0.2">
      <c r="AQ43060" s="31"/>
    </row>
    <row r="43061" spans="43:43" x14ac:dyDescent="0.2">
      <c r="AQ43061" s="31"/>
    </row>
    <row r="43062" spans="43:43" x14ac:dyDescent="0.2">
      <c r="AQ43062" s="31"/>
    </row>
    <row r="43063" spans="43:43" x14ac:dyDescent="0.2">
      <c r="AQ43063" s="31"/>
    </row>
    <row r="43064" spans="43:43" x14ac:dyDescent="0.2">
      <c r="AQ43064" s="31"/>
    </row>
    <row r="43065" spans="43:43" x14ac:dyDescent="0.2">
      <c r="AQ43065" s="31"/>
    </row>
    <row r="43066" spans="43:43" x14ac:dyDescent="0.2">
      <c r="AQ43066" s="31"/>
    </row>
    <row r="43067" spans="43:43" x14ac:dyDescent="0.2">
      <c r="AQ43067" s="31"/>
    </row>
    <row r="43068" spans="43:43" x14ac:dyDescent="0.2">
      <c r="AQ43068" s="31"/>
    </row>
    <row r="43069" spans="43:43" x14ac:dyDescent="0.2">
      <c r="AQ43069" s="31"/>
    </row>
    <row r="43070" spans="43:43" x14ac:dyDescent="0.2">
      <c r="AQ43070" s="31"/>
    </row>
    <row r="43071" spans="43:43" x14ac:dyDescent="0.2">
      <c r="AQ43071" s="31"/>
    </row>
    <row r="43072" spans="43:43" x14ac:dyDescent="0.2">
      <c r="AQ43072" s="31"/>
    </row>
    <row r="43073" spans="43:43" x14ac:dyDescent="0.2">
      <c r="AQ43073" s="31"/>
    </row>
    <row r="43074" spans="43:43" x14ac:dyDescent="0.2">
      <c r="AQ43074" s="31"/>
    </row>
    <row r="43075" spans="43:43" x14ac:dyDescent="0.2">
      <c r="AQ43075" s="31"/>
    </row>
    <row r="43076" spans="43:43" x14ac:dyDescent="0.2">
      <c r="AQ43076" s="31"/>
    </row>
    <row r="43077" spans="43:43" x14ac:dyDescent="0.2">
      <c r="AQ43077" s="31"/>
    </row>
    <row r="43078" spans="43:43" x14ac:dyDescent="0.2">
      <c r="AQ43078" s="31"/>
    </row>
    <row r="43079" spans="43:43" x14ac:dyDescent="0.2">
      <c r="AQ43079" s="31"/>
    </row>
    <row r="43080" spans="43:43" x14ac:dyDescent="0.2">
      <c r="AQ43080" s="31"/>
    </row>
    <row r="43081" spans="43:43" x14ac:dyDescent="0.2">
      <c r="AQ43081" s="31"/>
    </row>
    <row r="43082" spans="43:43" x14ac:dyDescent="0.2">
      <c r="AQ43082" s="31"/>
    </row>
    <row r="43083" spans="43:43" x14ac:dyDescent="0.2">
      <c r="AQ43083" s="31"/>
    </row>
    <row r="43084" spans="43:43" x14ac:dyDescent="0.2">
      <c r="AQ43084" s="31"/>
    </row>
    <row r="43085" spans="43:43" x14ac:dyDescent="0.2">
      <c r="AQ43085" s="31"/>
    </row>
    <row r="43086" spans="43:43" x14ac:dyDescent="0.2">
      <c r="AQ43086" s="31"/>
    </row>
    <row r="43087" spans="43:43" x14ac:dyDescent="0.2">
      <c r="AQ43087" s="31"/>
    </row>
    <row r="43088" spans="43:43" x14ac:dyDescent="0.2">
      <c r="AQ43088" s="31"/>
    </row>
    <row r="43089" spans="43:43" x14ac:dyDescent="0.2">
      <c r="AQ43089" s="31"/>
    </row>
    <row r="43090" spans="43:43" x14ac:dyDescent="0.2">
      <c r="AQ43090" s="31"/>
    </row>
    <row r="43091" spans="43:43" x14ac:dyDescent="0.2">
      <c r="AQ43091" s="31"/>
    </row>
    <row r="43092" spans="43:43" x14ac:dyDescent="0.2">
      <c r="AQ43092" s="31"/>
    </row>
    <row r="43093" spans="43:43" x14ac:dyDescent="0.2">
      <c r="AQ43093" s="31"/>
    </row>
    <row r="43094" spans="43:43" x14ac:dyDescent="0.2">
      <c r="AQ43094" s="31"/>
    </row>
    <row r="43095" spans="43:43" x14ac:dyDescent="0.2">
      <c r="AQ43095" s="31"/>
    </row>
    <row r="43096" spans="43:43" x14ac:dyDescent="0.2">
      <c r="AQ43096" s="31"/>
    </row>
    <row r="43097" spans="43:43" x14ac:dyDescent="0.2">
      <c r="AQ43097" s="31"/>
    </row>
    <row r="43098" spans="43:43" x14ac:dyDescent="0.2">
      <c r="AQ43098" s="31"/>
    </row>
    <row r="43099" spans="43:43" x14ac:dyDescent="0.2">
      <c r="AQ43099" s="31"/>
    </row>
    <row r="43100" spans="43:43" x14ac:dyDescent="0.2">
      <c r="AQ43100" s="31"/>
    </row>
    <row r="43101" spans="43:43" x14ac:dyDescent="0.2">
      <c r="AQ43101" s="31"/>
    </row>
    <row r="43102" spans="43:43" x14ac:dyDescent="0.2">
      <c r="AQ43102" s="31"/>
    </row>
    <row r="43103" spans="43:43" x14ac:dyDescent="0.2">
      <c r="AQ43103" s="31"/>
    </row>
    <row r="43104" spans="43:43" x14ac:dyDescent="0.2">
      <c r="AQ43104" s="31"/>
    </row>
    <row r="43105" spans="43:43" x14ac:dyDescent="0.2">
      <c r="AQ43105" s="31"/>
    </row>
    <row r="43106" spans="43:43" x14ac:dyDescent="0.2">
      <c r="AQ43106" s="31"/>
    </row>
    <row r="43107" spans="43:43" x14ac:dyDescent="0.2">
      <c r="AQ43107" s="31"/>
    </row>
    <row r="43108" spans="43:43" x14ac:dyDescent="0.2">
      <c r="AQ43108" s="31"/>
    </row>
    <row r="43109" spans="43:43" x14ac:dyDescent="0.2">
      <c r="AQ43109" s="31"/>
    </row>
    <row r="43110" spans="43:43" x14ac:dyDescent="0.2">
      <c r="AQ43110" s="31"/>
    </row>
    <row r="43111" spans="43:43" x14ac:dyDescent="0.2">
      <c r="AQ43111" s="31"/>
    </row>
    <row r="43112" spans="43:43" x14ac:dyDescent="0.2">
      <c r="AQ43112" s="31"/>
    </row>
    <row r="43113" spans="43:43" x14ac:dyDescent="0.2">
      <c r="AQ43113" s="31"/>
    </row>
    <row r="43114" spans="43:43" x14ac:dyDescent="0.2">
      <c r="AQ43114" s="31"/>
    </row>
    <row r="43115" spans="43:43" x14ac:dyDescent="0.2">
      <c r="AQ43115" s="31"/>
    </row>
    <row r="43116" spans="43:43" x14ac:dyDescent="0.2">
      <c r="AQ43116" s="31"/>
    </row>
    <row r="43117" spans="43:43" x14ac:dyDescent="0.2">
      <c r="AQ43117" s="31"/>
    </row>
    <row r="43118" spans="43:43" x14ac:dyDescent="0.2">
      <c r="AQ43118" s="31"/>
    </row>
    <row r="43119" spans="43:43" x14ac:dyDescent="0.2">
      <c r="AQ43119" s="31"/>
    </row>
    <row r="43120" spans="43:43" x14ac:dyDescent="0.2">
      <c r="AQ43120" s="31"/>
    </row>
    <row r="43121" spans="43:43" x14ac:dyDescent="0.2">
      <c r="AQ43121" s="31"/>
    </row>
    <row r="43122" spans="43:43" x14ac:dyDescent="0.2">
      <c r="AQ43122" s="31"/>
    </row>
    <row r="43123" spans="43:43" x14ac:dyDescent="0.2">
      <c r="AQ43123" s="31"/>
    </row>
    <row r="43124" spans="43:43" x14ac:dyDescent="0.2">
      <c r="AQ43124" s="31"/>
    </row>
    <row r="43125" spans="43:43" x14ac:dyDescent="0.2">
      <c r="AQ43125" s="31"/>
    </row>
    <row r="43126" spans="43:43" x14ac:dyDescent="0.2">
      <c r="AQ43126" s="31"/>
    </row>
    <row r="43127" spans="43:43" x14ac:dyDescent="0.2">
      <c r="AQ43127" s="31"/>
    </row>
    <row r="43128" spans="43:43" x14ac:dyDescent="0.2">
      <c r="AQ43128" s="31"/>
    </row>
    <row r="43129" spans="43:43" x14ac:dyDescent="0.2">
      <c r="AQ43129" s="31"/>
    </row>
    <row r="43130" spans="43:43" x14ac:dyDescent="0.2">
      <c r="AQ43130" s="31"/>
    </row>
    <row r="43131" spans="43:43" x14ac:dyDescent="0.2">
      <c r="AQ43131" s="31"/>
    </row>
    <row r="43132" spans="43:43" x14ac:dyDescent="0.2">
      <c r="AQ43132" s="31"/>
    </row>
    <row r="43133" spans="43:43" x14ac:dyDescent="0.2">
      <c r="AQ43133" s="31"/>
    </row>
    <row r="43134" spans="43:43" x14ac:dyDescent="0.2">
      <c r="AQ43134" s="31"/>
    </row>
    <row r="43135" spans="43:43" x14ac:dyDescent="0.2">
      <c r="AQ43135" s="31"/>
    </row>
    <row r="43136" spans="43:43" x14ac:dyDescent="0.2">
      <c r="AQ43136" s="31"/>
    </row>
    <row r="43137" spans="43:43" x14ac:dyDescent="0.2">
      <c r="AQ43137" s="31"/>
    </row>
    <row r="43138" spans="43:43" x14ac:dyDescent="0.2">
      <c r="AQ43138" s="31"/>
    </row>
    <row r="43139" spans="43:43" x14ac:dyDescent="0.2">
      <c r="AQ43139" s="31"/>
    </row>
    <row r="43140" spans="43:43" x14ac:dyDescent="0.2">
      <c r="AQ43140" s="31"/>
    </row>
    <row r="43141" spans="43:43" x14ac:dyDescent="0.2">
      <c r="AQ43141" s="31"/>
    </row>
    <row r="43142" spans="43:43" x14ac:dyDescent="0.2">
      <c r="AQ43142" s="31"/>
    </row>
    <row r="43143" spans="43:43" x14ac:dyDescent="0.2">
      <c r="AQ43143" s="31"/>
    </row>
    <row r="43144" spans="43:43" x14ac:dyDescent="0.2">
      <c r="AQ43144" s="31"/>
    </row>
    <row r="43145" spans="43:43" x14ac:dyDescent="0.2">
      <c r="AQ43145" s="31"/>
    </row>
    <row r="43146" spans="43:43" x14ac:dyDescent="0.2">
      <c r="AQ43146" s="31"/>
    </row>
    <row r="43147" spans="43:43" x14ac:dyDescent="0.2">
      <c r="AQ43147" s="31"/>
    </row>
    <row r="43148" spans="43:43" x14ac:dyDescent="0.2">
      <c r="AQ43148" s="31"/>
    </row>
    <row r="43149" spans="43:43" x14ac:dyDescent="0.2">
      <c r="AQ43149" s="31"/>
    </row>
    <row r="43150" spans="43:43" x14ac:dyDescent="0.2">
      <c r="AQ43150" s="31"/>
    </row>
    <row r="43151" spans="43:43" x14ac:dyDescent="0.2">
      <c r="AQ43151" s="31"/>
    </row>
    <row r="43152" spans="43:43" x14ac:dyDescent="0.2">
      <c r="AQ43152" s="31"/>
    </row>
    <row r="43153" spans="43:43" x14ac:dyDescent="0.2">
      <c r="AQ43153" s="31"/>
    </row>
    <row r="43154" spans="43:43" x14ac:dyDescent="0.2">
      <c r="AQ43154" s="31"/>
    </row>
    <row r="43155" spans="43:43" x14ac:dyDescent="0.2">
      <c r="AQ43155" s="31"/>
    </row>
    <row r="43156" spans="43:43" x14ac:dyDescent="0.2">
      <c r="AQ43156" s="31"/>
    </row>
    <row r="43157" spans="43:43" x14ac:dyDescent="0.2">
      <c r="AQ43157" s="31"/>
    </row>
    <row r="43158" spans="43:43" x14ac:dyDescent="0.2">
      <c r="AQ43158" s="31"/>
    </row>
    <row r="43159" spans="43:43" x14ac:dyDescent="0.2">
      <c r="AQ43159" s="31"/>
    </row>
    <row r="43160" spans="43:43" x14ac:dyDescent="0.2">
      <c r="AQ43160" s="31"/>
    </row>
    <row r="43161" spans="43:43" x14ac:dyDescent="0.2">
      <c r="AQ43161" s="31"/>
    </row>
    <row r="43162" spans="43:43" x14ac:dyDescent="0.2">
      <c r="AQ43162" s="31"/>
    </row>
    <row r="43163" spans="43:43" x14ac:dyDescent="0.2">
      <c r="AQ43163" s="31"/>
    </row>
    <row r="43164" spans="43:43" x14ac:dyDescent="0.2">
      <c r="AQ43164" s="31"/>
    </row>
    <row r="43165" spans="43:43" x14ac:dyDescent="0.2">
      <c r="AQ43165" s="31"/>
    </row>
    <row r="43166" spans="43:43" x14ac:dyDescent="0.2">
      <c r="AQ43166" s="31"/>
    </row>
    <row r="43167" spans="43:43" x14ac:dyDescent="0.2">
      <c r="AQ43167" s="31"/>
    </row>
    <row r="43168" spans="43:43" x14ac:dyDescent="0.2">
      <c r="AQ43168" s="31"/>
    </row>
    <row r="43169" spans="43:43" x14ac:dyDescent="0.2">
      <c r="AQ43169" s="31"/>
    </row>
    <row r="43170" spans="43:43" x14ac:dyDescent="0.2">
      <c r="AQ43170" s="31"/>
    </row>
    <row r="43171" spans="43:43" x14ac:dyDescent="0.2">
      <c r="AQ43171" s="31"/>
    </row>
    <row r="43172" spans="43:43" x14ac:dyDescent="0.2">
      <c r="AQ43172" s="31"/>
    </row>
    <row r="43173" spans="43:43" x14ac:dyDescent="0.2">
      <c r="AQ43173" s="31"/>
    </row>
    <row r="43174" spans="43:43" x14ac:dyDescent="0.2">
      <c r="AQ43174" s="31"/>
    </row>
    <row r="43175" spans="43:43" x14ac:dyDescent="0.2">
      <c r="AQ43175" s="31"/>
    </row>
    <row r="43176" spans="43:43" x14ac:dyDescent="0.2">
      <c r="AQ43176" s="31"/>
    </row>
    <row r="43177" spans="43:43" x14ac:dyDescent="0.2">
      <c r="AQ43177" s="31"/>
    </row>
    <row r="43178" spans="43:43" x14ac:dyDescent="0.2">
      <c r="AQ43178" s="31"/>
    </row>
    <row r="43179" spans="43:43" x14ac:dyDescent="0.2">
      <c r="AQ43179" s="31"/>
    </row>
    <row r="43180" spans="43:43" x14ac:dyDescent="0.2">
      <c r="AQ43180" s="31"/>
    </row>
    <row r="43181" spans="43:43" x14ac:dyDescent="0.2">
      <c r="AQ43181" s="31"/>
    </row>
    <row r="43182" spans="43:43" x14ac:dyDescent="0.2">
      <c r="AQ43182" s="31"/>
    </row>
    <row r="43183" spans="43:43" x14ac:dyDescent="0.2">
      <c r="AQ43183" s="31"/>
    </row>
    <row r="43184" spans="43:43" x14ac:dyDescent="0.2">
      <c r="AQ43184" s="31"/>
    </row>
    <row r="43185" spans="43:43" x14ac:dyDescent="0.2">
      <c r="AQ43185" s="31"/>
    </row>
    <row r="43186" spans="43:43" x14ac:dyDescent="0.2">
      <c r="AQ43186" s="31"/>
    </row>
    <row r="43187" spans="43:43" x14ac:dyDescent="0.2">
      <c r="AQ43187" s="31"/>
    </row>
    <row r="43188" spans="43:43" x14ac:dyDescent="0.2">
      <c r="AQ43188" s="31"/>
    </row>
    <row r="43189" spans="43:43" x14ac:dyDescent="0.2">
      <c r="AQ43189" s="31"/>
    </row>
    <row r="43190" spans="43:43" x14ac:dyDescent="0.2">
      <c r="AQ43190" s="31"/>
    </row>
    <row r="43191" spans="43:43" x14ac:dyDescent="0.2">
      <c r="AQ43191" s="31"/>
    </row>
    <row r="43192" spans="43:43" x14ac:dyDescent="0.2">
      <c r="AQ43192" s="31"/>
    </row>
    <row r="43193" spans="43:43" x14ac:dyDescent="0.2">
      <c r="AQ43193" s="31"/>
    </row>
    <row r="43194" spans="43:43" x14ac:dyDescent="0.2">
      <c r="AQ43194" s="31"/>
    </row>
    <row r="43195" spans="43:43" x14ac:dyDescent="0.2">
      <c r="AQ43195" s="31"/>
    </row>
    <row r="43196" spans="43:43" x14ac:dyDescent="0.2">
      <c r="AQ43196" s="31"/>
    </row>
    <row r="43197" spans="43:43" x14ac:dyDescent="0.2">
      <c r="AQ43197" s="31"/>
    </row>
    <row r="43198" spans="43:43" x14ac:dyDescent="0.2">
      <c r="AQ43198" s="31"/>
    </row>
    <row r="43199" spans="43:43" x14ac:dyDescent="0.2">
      <c r="AQ43199" s="31"/>
    </row>
    <row r="43200" spans="43:43" x14ac:dyDescent="0.2">
      <c r="AQ43200" s="31"/>
    </row>
    <row r="43201" spans="43:43" x14ac:dyDescent="0.2">
      <c r="AQ43201" s="31"/>
    </row>
    <row r="43202" spans="43:43" x14ac:dyDescent="0.2">
      <c r="AQ43202" s="31"/>
    </row>
    <row r="43203" spans="43:43" x14ac:dyDescent="0.2">
      <c r="AQ43203" s="31"/>
    </row>
    <row r="43204" spans="43:43" x14ac:dyDescent="0.2">
      <c r="AQ43204" s="31"/>
    </row>
    <row r="43205" spans="43:43" x14ac:dyDescent="0.2">
      <c r="AQ43205" s="31"/>
    </row>
    <row r="43206" spans="43:43" x14ac:dyDescent="0.2">
      <c r="AQ43206" s="31"/>
    </row>
    <row r="43207" spans="43:43" x14ac:dyDescent="0.2">
      <c r="AQ43207" s="31"/>
    </row>
    <row r="43208" spans="43:43" x14ac:dyDescent="0.2">
      <c r="AQ43208" s="31"/>
    </row>
    <row r="43209" spans="43:43" x14ac:dyDescent="0.2">
      <c r="AQ43209" s="31"/>
    </row>
    <row r="43210" spans="43:43" x14ac:dyDescent="0.2">
      <c r="AQ43210" s="31"/>
    </row>
    <row r="43211" spans="43:43" x14ac:dyDescent="0.2">
      <c r="AQ43211" s="31"/>
    </row>
    <row r="43212" spans="43:43" x14ac:dyDescent="0.2">
      <c r="AQ43212" s="31"/>
    </row>
    <row r="43213" spans="43:43" x14ac:dyDescent="0.2">
      <c r="AQ43213" s="31"/>
    </row>
    <row r="43214" spans="43:43" x14ac:dyDescent="0.2">
      <c r="AQ43214" s="31"/>
    </row>
    <row r="43215" spans="43:43" x14ac:dyDescent="0.2">
      <c r="AQ43215" s="31"/>
    </row>
    <row r="43216" spans="43:43" x14ac:dyDescent="0.2">
      <c r="AQ43216" s="31"/>
    </row>
    <row r="43217" spans="43:43" x14ac:dyDescent="0.2">
      <c r="AQ43217" s="31"/>
    </row>
    <row r="43218" spans="43:43" x14ac:dyDescent="0.2">
      <c r="AQ43218" s="31"/>
    </row>
    <row r="43219" spans="43:43" x14ac:dyDescent="0.2">
      <c r="AQ43219" s="31"/>
    </row>
    <row r="43220" spans="43:43" x14ac:dyDescent="0.2">
      <c r="AQ43220" s="31"/>
    </row>
    <row r="43221" spans="43:43" x14ac:dyDescent="0.2">
      <c r="AQ43221" s="31"/>
    </row>
    <row r="43222" spans="43:43" x14ac:dyDescent="0.2">
      <c r="AQ43222" s="31"/>
    </row>
    <row r="43223" spans="43:43" x14ac:dyDescent="0.2">
      <c r="AQ43223" s="31"/>
    </row>
    <row r="43224" spans="43:43" x14ac:dyDescent="0.2">
      <c r="AQ43224" s="31"/>
    </row>
    <row r="43225" spans="43:43" x14ac:dyDescent="0.2">
      <c r="AQ43225" s="31"/>
    </row>
    <row r="43226" spans="43:43" x14ac:dyDescent="0.2">
      <c r="AQ43226" s="31"/>
    </row>
    <row r="43227" spans="43:43" x14ac:dyDescent="0.2">
      <c r="AQ43227" s="31"/>
    </row>
    <row r="43228" spans="43:43" x14ac:dyDescent="0.2">
      <c r="AQ43228" s="31"/>
    </row>
    <row r="43229" spans="43:43" x14ac:dyDescent="0.2">
      <c r="AQ43229" s="31"/>
    </row>
    <row r="43230" spans="43:43" x14ac:dyDescent="0.2">
      <c r="AQ43230" s="31"/>
    </row>
    <row r="43231" spans="43:43" x14ac:dyDescent="0.2">
      <c r="AQ43231" s="31"/>
    </row>
    <row r="43232" spans="43:43" x14ac:dyDescent="0.2">
      <c r="AQ43232" s="31"/>
    </row>
    <row r="43233" spans="43:43" x14ac:dyDescent="0.2">
      <c r="AQ43233" s="31"/>
    </row>
    <row r="43234" spans="43:43" x14ac:dyDescent="0.2">
      <c r="AQ43234" s="31"/>
    </row>
    <row r="43235" spans="43:43" x14ac:dyDescent="0.2">
      <c r="AQ43235" s="31"/>
    </row>
    <row r="43236" spans="43:43" x14ac:dyDescent="0.2">
      <c r="AQ43236" s="31"/>
    </row>
    <row r="43237" spans="43:43" x14ac:dyDescent="0.2">
      <c r="AQ43237" s="31"/>
    </row>
    <row r="43238" spans="43:43" x14ac:dyDescent="0.2">
      <c r="AQ43238" s="31"/>
    </row>
    <row r="43239" spans="43:43" x14ac:dyDescent="0.2">
      <c r="AQ43239" s="31"/>
    </row>
    <row r="43240" spans="43:43" x14ac:dyDescent="0.2">
      <c r="AQ43240" s="31"/>
    </row>
    <row r="43241" spans="43:43" x14ac:dyDescent="0.2">
      <c r="AQ43241" s="31"/>
    </row>
    <row r="43242" spans="43:43" x14ac:dyDescent="0.2">
      <c r="AQ43242" s="31"/>
    </row>
    <row r="43243" spans="43:43" x14ac:dyDescent="0.2">
      <c r="AQ43243" s="31"/>
    </row>
    <row r="43244" spans="43:43" x14ac:dyDescent="0.2">
      <c r="AQ43244" s="31"/>
    </row>
    <row r="43245" spans="43:43" x14ac:dyDescent="0.2">
      <c r="AQ43245" s="31"/>
    </row>
    <row r="43246" spans="43:43" x14ac:dyDescent="0.2">
      <c r="AQ43246" s="31"/>
    </row>
    <row r="43247" spans="43:43" x14ac:dyDescent="0.2">
      <c r="AQ43247" s="31"/>
    </row>
    <row r="43248" spans="43:43" x14ac:dyDescent="0.2">
      <c r="AQ43248" s="31"/>
    </row>
    <row r="43249" spans="43:43" x14ac:dyDescent="0.2">
      <c r="AQ43249" s="31"/>
    </row>
    <row r="43250" spans="43:43" x14ac:dyDescent="0.2">
      <c r="AQ43250" s="31"/>
    </row>
    <row r="43251" spans="43:43" x14ac:dyDescent="0.2">
      <c r="AQ43251" s="31"/>
    </row>
    <row r="43252" spans="43:43" x14ac:dyDescent="0.2">
      <c r="AQ43252" s="31"/>
    </row>
    <row r="43253" spans="43:43" x14ac:dyDescent="0.2">
      <c r="AQ43253" s="31"/>
    </row>
    <row r="43254" spans="43:43" x14ac:dyDescent="0.2">
      <c r="AQ43254" s="31"/>
    </row>
    <row r="43255" spans="43:43" x14ac:dyDescent="0.2">
      <c r="AQ43255" s="31"/>
    </row>
    <row r="43256" spans="43:43" x14ac:dyDescent="0.2">
      <c r="AQ43256" s="31"/>
    </row>
    <row r="43257" spans="43:43" x14ac:dyDescent="0.2">
      <c r="AQ43257" s="31"/>
    </row>
    <row r="43258" spans="43:43" x14ac:dyDescent="0.2">
      <c r="AQ43258" s="31"/>
    </row>
    <row r="43259" spans="43:43" x14ac:dyDescent="0.2">
      <c r="AQ43259" s="31"/>
    </row>
    <row r="43260" spans="43:43" x14ac:dyDescent="0.2">
      <c r="AQ43260" s="31"/>
    </row>
    <row r="43261" spans="43:43" x14ac:dyDescent="0.2">
      <c r="AQ43261" s="31"/>
    </row>
    <row r="43262" spans="43:43" x14ac:dyDescent="0.2">
      <c r="AQ43262" s="31"/>
    </row>
    <row r="43263" spans="43:43" x14ac:dyDescent="0.2">
      <c r="AQ43263" s="31"/>
    </row>
    <row r="43264" spans="43:43" x14ac:dyDescent="0.2">
      <c r="AQ43264" s="31"/>
    </row>
    <row r="43265" spans="43:43" x14ac:dyDescent="0.2">
      <c r="AQ43265" s="31"/>
    </row>
    <row r="43266" spans="43:43" x14ac:dyDescent="0.2">
      <c r="AQ43266" s="31"/>
    </row>
    <row r="43267" spans="43:43" x14ac:dyDescent="0.2">
      <c r="AQ43267" s="31"/>
    </row>
    <row r="43268" spans="43:43" x14ac:dyDescent="0.2">
      <c r="AQ43268" s="31"/>
    </row>
    <row r="43269" spans="43:43" x14ac:dyDescent="0.2">
      <c r="AQ43269" s="31"/>
    </row>
    <row r="43270" spans="43:43" x14ac:dyDescent="0.2">
      <c r="AQ43270" s="31"/>
    </row>
    <row r="43271" spans="43:43" x14ac:dyDescent="0.2">
      <c r="AQ43271" s="31"/>
    </row>
    <row r="43272" spans="43:43" x14ac:dyDescent="0.2">
      <c r="AQ43272" s="31"/>
    </row>
    <row r="43273" spans="43:43" x14ac:dyDescent="0.2">
      <c r="AQ43273" s="31"/>
    </row>
    <row r="43274" spans="43:43" x14ac:dyDescent="0.2">
      <c r="AQ43274" s="31"/>
    </row>
    <row r="43275" spans="43:43" x14ac:dyDescent="0.2">
      <c r="AQ43275" s="31"/>
    </row>
    <row r="43276" spans="43:43" x14ac:dyDescent="0.2">
      <c r="AQ43276" s="31"/>
    </row>
    <row r="43277" spans="43:43" x14ac:dyDescent="0.2">
      <c r="AQ43277" s="31"/>
    </row>
    <row r="43278" spans="43:43" x14ac:dyDescent="0.2">
      <c r="AQ43278" s="31"/>
    </row>
    <row r="43279" spans="43:43" x14ac:dyDescent="0.2">
      <c r="AQ43279" s="31"/>
    </row>
    <row r="43280" spans="43:43" x14ac:dyDescent="0.2">
      <c r="AQ43280" s="31"/>
    </row>
    <row r="43281" spans="43:43" x14ac:dyDescent="0.2">
      <c r="AQ43281" s="31"/>
    </row>
    <row r="43282" spans="43:43" x14ac:dyDescent="0.2">
      <c r="AQ43282" s="31"/>
    </row>
    <row r="43283" spans="43:43" x14ac:dyDescent="0.2">
      <c r="AQ43283" s="31"/>
    </row>
    <row r="43284" spans="43:43" x14ac:dyDescent="0.2">
      <c r="AQ43284" s="31"/>
    </row>
    <row r="43285" spans="43:43" x14ac:dyDescent="0.2">
      <c r="AQ43285" s="31"/>
    </row>
    <row r="43286" spans="43:43" x14ac:dyDescent="0.2">
      <c r="AQ43286" s="31"/>
    </row>
    <row r="43287" spans="43:43" x14ac:dyDescent="0.2">
      <c r="AQ43287" s="31"/>
    </row>
    <row r="43288" spans="43:43" x14ac:dyDescent="0.2">
      <c r="AQ43288" s="31"/>
    </row>
    <row r="43289" spans="43:43" x14ac:dyDescent="0.2">
      <c r="AQ43289" s="31"/>
    </row>
    <row r="43290" spans="43:43" x14ac:dyDescent="0.2">
      <c r="AQ43290" s="31"/>
    </row>
    <row r="43291" spans="43:43" x14ac:dyDescent="0.2">
      <c r="AQ43291" s="31"/>
    </row>
    <row r="43292" spans="43:43" x14ac:dyDescent="0.2">
      <c r="AQ43292" s="31"/>
    </row>
    <row r="43293" spans="43:43" x14ac:dyDescent="0.2">
      <c r="AQ43293" s="31"/>
    </row>
    <row r="43294" spans="43:43" x14ac:dyDescent="0.2">
      <c r="AQ43294" s="31"/>
    </row>
    <row r="43295" spans="43:43" x14ac:dyDescent="0.2">
      <c r="AQ43295" s="31"/>
    </row>
    <row r="43296" spans="43:43" x14ac:dyDescent="0.2">
      <c r="AQ43296" s="31"/>
    </row>
    <row r="43297" spans="43:43" x14ac:dyDescent="0.2">
      <c r="AQ43297" s="31"/>
    </row>
    <row r="43298" spans="43:43" x14ac:dyDescent="0.2">
      <c r="AQ43298" s="31"/>
    </row>
    <row r="43299" spans="43:43" x14ac:dyDescent="0.2">
      <c r="AQ43299" s="31"/>
    </row>
    <row r="43300" spans="43:43" x14ac:dyDescent="0.2">
      <c r="AQ43300" s="31"/>
    </row>
    <row r="43301" spans="43:43" x14ac:dyDescent="0.2">
      <c r="AQ43301" s="31"/>
    </row>
    <row r="43302" spans="43:43" x14ac:dyDescent="0.2">
      <c r="AQ43302" s="31"/>
    </row>
    <row r="43303" spans="43:43" x14ac:dyDescent="0.2">
      <c r="AQ43303" s="31"/>
    </row>
    <row r="43304" spans="43:43" x14ac:dyDescent="0.2">
      <c r="AQ43304" s="31"/>
    </row>
    <row r="43305" spans="43:43" x14ac:dyDescent="0.2">
      <c r="AQ43305" s="31"/>
    </row>
    <row r="43306" spans="43:43" x14ac:dyDescent="0.2">
      <c r="AQ43306" s="31"/>
    </row>
    <row r="43307" spans="43:43" x14ac:dyDescent="0.2">
      <c r="AQ43307" s="31"/>
    </row>
    <row r="43308" spans="43:43" x14ac:dyDescent="0.2">
      <c r="AQ43308" s="31"/>
    </row>
    <row r="43309" spans="43:43" x14ac:dyDescent="0.2">
      <c r="AQ43309" s="31"/>
    </row>
    <row r="43310" spans="43:43" x14ac:dyDescent="0.2">
      <c r="AQ43310" s="31"/>
    </row>
    <row r="43311" spans="43:43" x14ac:dyDescent="0.2">
      <c r="AQ43311" s="31"/>
    </row>
    <row r="43312" spans="43:43" x14ac:dyDescent="0.2">
      <c r="AQ43312" s="31"/>
    </row>
    <row r="43313" spans="43:43" x14ac:dyDescent="0.2">
      <c r="AQ43313" s="31"/>
    </row>
    <row r="43314" spans="43:43" x14ac:dyDescent="0.2">
      <c r="AQ43314" s="31"/>
    </row>
    <row r="43315" spans="43:43" x14ac:dyDescent="0.2">
      <c r="AQ43315" s="31"/>
    </row>
    <row r="43316" spans="43:43" x14ac:dyDescent="0.2">
      <c r="AQ43316" s="31"/>
    </row>
    <row r="43317" spans="43:43" x14ac:dyDescent="0.2">
      <c r="AQ43317" s="31"/>
    </row>
    <row r="43318" spans="43:43" x14ac:dyDescent="0.2">
      <c r="AQ43318" s="31"/>
    </row>
    <row r="43319" spans="43:43" x14ac:dyDescent="0.2">
      <c r="AQ43319" s="31"/>
    </row>
    <row r="43320" spans="43:43" x14ac:dyDescent="0.2">
      <c r="AQ43320" s="31"/>
    </row>
    <row r="43321" spans="43:43" x14ac:dyDescent="0.2">
      <c r="AQ43321" s="31"/>
    </row>
    <row r="43322" spans="43:43" x14ac:dyDescent="0.2">
      <c r="AQ43322" s="31"/>
    </row>
    <row r="43323" spans="43:43" x14ac:dyDescent="0.2">
      <c r="AQ43323" s="31"/>
    </row>
    <row r="43324" spans="43:43" x14ac:dyDescent="0.2">
      <c r="AQ43324" s="31"/>
    </row>
    <row r="43325" spans="43:43" x14ac:dyDescent="0.2">
      <c r="AQ43325" s="31"/>
    </row>
    <row r="43326" spans="43:43" x14ac:dyDescent="0.2">
      <c r="AQ43326" s="31"/>
    </row>
    <row r="43327" spans="43:43" x14ac:dyDescent="0.2">
      <c r="AQ43327" s="31"/>
    </row>
    <row r="43328" spans="43:43" x14ac:dyDescent="0.2">
      <c r="AQ43328" s="31"/>
    </row>
    <row r="43329" spans="43:43" x14ac:dyDescent="0.2">
      <c r="AQ43329" s="31"/>
    </row>
    <row r="43330" spans="43:43" x14ac:dyDescent="0.2">
      <c r="AQ43330" s="31"/>
    </row>
    <row r="43331" spans="43:43" x14ac:dyDescent="0.2">
      <c r="AQ43331" s="31"/>
    </row>
    <row r="43332" spans="43:43" x14ac:dyDescent="0.2">
      <c r="AQ43332" s="31"/>
    </row>
    <row r="43333" spans="43:43" x14ac:dyDescent="0.2">
      <c r="AQ43333" s="31"/>
    </row>
    <row r="43334" spans="43:43" x14ac:dyDescent="0.2">
      <c r="AQ43334" s="31"/>
    </row>
    <row r="43335" spans="43:43" x14ac:dyDescent="0.2">
      <c r="AQ43335" s="31"/>
    </row>
    <row r="43336" spans="43:43" x14ac:dyDescent="0.2">
      <c r="AQ43336" s="31"/>
    </row>
    <row r="43337" spans="43:43" x14ac:dyDescent="0.2">
      <c r="AQ43337" s="31"/>
    </row>
    <row r="43338" spans="43:43" x14ac:dyDescent="0.2">
      <c r="AQ43338" s="31"/>
    </row>
    <row r="43339" spans="43:43" x14ac:dyDescent="0.2">
      <c r="AQ43339" s="31"/>
    </row>
    <row r="43340" spans="43:43" x14ac:dyDescent="0.2">
      <c r="AQ43340" s="31"/>
    </row>
    <row r="43341" spans="43:43" x14ac:dyDescent="0.2">
      <c r="AQ43341" s="31"/>
    </row>
    <row r="43342" spans="43:43" x14ac:dyDescent="0.2">
      <c r="AQ43342" s="31"/>
    </row>
    <row r="43343" spans="43:43" x14ac:dyDescent="0.2">
      <c r="AQ43343" s="31"/>
    </row>
    <row r="43344" spans="43:43" x14ac:dyDescent="0.2">
      <c r="AQ43344" s="31"/>
    </row>
    <row r="43345" spans="43:43" x14ac:dyDescent="0.2">
      <c r="AQ43345" s="31"/>
    </row>
    <row r="43346" spans="43:43" x14ac:dyDescent="0.2">
      <c r="AQ43346" s="31"/>
    </row>
    <row r="43347" spans="43:43" x14ac:dyDescent="0.2">
      <c r="AQ43347" s="31"/>
    </row>
    <row r="43348" spans="43:43" x14ac:dyDescent="0.2">
      <c r="AQ43348" s="31"/>
    </row>
    <row r="43349" spans="43:43" x14ac:dyDescent="0.2">
      <c r="AQ43349" s="31"/>
    </row>
    <row r="43350" spans="43:43" x14ac:dyDescent="0.2">
      <c r="AQ43350" s="31"/>
    </row>
    <row r="43351" spans="43:43" x14ac:dyDescent="0.2">
      <c r="AQ43351" s="31"/>
    </row>
    <row r="43352" spans="43:43" x14ac:dyDescent="0.2">
      <c r="AQ43352" s="31"/>
    </row>
    <row r="43353" spans="43:43" x14ac:dyDescent="0.2">
      <c r="AQ43353" s="31"/>
    </row>
    <row r="43354" spans="43:43" x14ac:dyDescent="0.2">
      <c r="AQ43354" s="31"/>
    </row>
    <row r="43355" spans="43:43" x14ac:dyDescent="0.2">
      <c r="AQ43355" s="31"/>
    </row>
    <row r="43356" spans="43:43" x14ac:dyDescent="0.2">
      <c r="AQ43356" s="31"/>
    </row>
    <row r="43357" spans="43:43" x14ac:dyDescent="0.2">
      <c r="AQ43357" s="31"/>
    </row>
    <row r="43358" spans="43:43" x14ac:dyDescent="0.2">
      <c r="AQ43358" s="31"/>
    </row>
    <row r="43359" spans="43:43" x14ac:dyDescent="0.2">
      <c r="AQ43359" s="31"/>
    </row>
    <row r="43360" spans="43:43" x14ac:dyDescent="0.2">
      <c r="AQ43360" s="31"/>
    </row>
    <row r="43361" spans="43:43" x14ac:dyDescent="0.2">
      <c r="AQ43361" s="31"/>
    </row>
    <row r="43362" spans="43:43" x14ac:dyDescent="0.2">
      <c r="AQ43362" s="31"/>
    </row>
    <row r="43363" spans="43:43" x14ac:dyDescent="0.2">
      <c r="AQ43363" s="31"/>
    </row>
    <row r="43364" spans="43:43" x14ac:dyDescent="0.2">
      <c r="AQ43364" s="31"/>
    </row>
    <row r="43365" spans="43:43" x14ac:dyDescent="0.2">
      <c r="AQ43365" s="31"/>
    </row>
    <row r="43366" spans="43:43" x14ac:dyDescent="0.2">
      <c r="AQ43366" s="31"/>
    </row>
    <row r="43367" spans="43:43" x14ac:dyDescent="0.2">
      <c r="AQ43367" s="31"/>
    </row>
    <row r="43368" spans="43:43" x14ac:dyDescent="0.2">
      <c r="AQ43368" s="31"/>
    </row>
    <row r="43369" spans="43:43" x14ac:dyDescent="0.2">
      <c r="AQ43369" s="31"/>
    </row>
    <row r="43370" spans="43:43" x14ac:dyDescent="0.2">
      <c r="AQ43370" s="31"/>
    </row>
    <row r="43371" spans="43:43" x14ac:dyDescent="0.2">
      <c r="AQ43371" s="31"/>
    </row>
    <row r="43372" spans="43:43" x14ac:dyDescent="0.2">
      <c r="AQ43372" s="31"/>
    </row>
    <row r="43373" spans="43:43" x14ac:dyDescent="0.2">
      <c r="AQ43373" s="31"/>
    </row>
    <row r="43374" spans="43:43" x14ac:dyDescent="0.2">
      <c r="AQ43374" s="31"/>
    </row>
    <row r="43375" spans="43:43" x14ac:dyDescent="0.2">
      <c r="AQ43375" s="31"/>
    </row>
    <row r="43376" spans="43:43" x14ac:dyDescent="0.2">
      <c r="AQ43376" s="31"/>
    </row>
    <row r="43377" spans="43:43" x14ac:dyDescent="0.2">
      <c r="AQ43377" s="31"/>
    </row>
    <row r="43378" spans="43:43" x14ac:dyDescent="0.2">
      <c r="AQ43378" s="31"/>
    </row>
    <row r="43379" spans="43:43" x14ac:dyDescent="0.2">
      <c r="AQ43379" s="31"/>
    </row>
    <row r="43380" spans="43:43" x14ac:dyDescent="0.2">
      <c r="AQ43380" s="31"/>
    </row>
    <row r="43381" spans="43:43" x14ac:dyDescent="0.2">
      <c r="AQ43381" s="31"/>
    </row>
    <row r="43382" spans="43:43" x14ac:dyDescent="0.2">
      <c r="AQ43382" s="31"/>
    </row>
    <row r="43383" spans="43:43" x14ac:dyDescent="0.2">
      <c r="AQ43383" s="31"/>
    </row>
    <row r="43384" spans="43:43" x14ac:dyDescent="0.2">
      <c r="AQ43384" s="31"/>
    </row>
    <row r="43385" spans="43:43" x14ac:dyDescent="0.2">
      <c r="AQ43385" s="31"/>
    </row>
    <row r="43386" spans="43:43" x14ac:dyDescent="0.2">
      <c r="AQ43386" s="31"/>
    </row>
    <row r="43387" spans="43:43" x14ac:dyDescent="0.2">
      <c r="AQ43387" s="31"/>
    </row>
    <row r="43388" spans="43:43" x14ac:dyDescent="0.2">
      <c r="AQ43388" s="31"/>
    </row>
    <row r="43389" spans="43:43" x14ac:dyDescent="0.2">
      <c r="AQ43389" s="31"/>
    </row>
    <row r="43390" spans="43:43" x14ac:dyDescent="0.2">
      <c r="AQ43390" s="31"/>
    </row>
    <row r="43391" spans="43:43" x14ac:dyDescent="0.2">
      <c r="AQ43391" s="31"/>
    </row>
    <row r="43392" spans="43:43" x14ac:dyDescent="0.2">
      <c r="AQ43392" s="31"/>
    </row>
    <row r="43393" spans="43:43" x14ac:dyDescent="0.2">
      <c r="AQ43393" s="31"/>
    </row>
    <row r="43394" spans="43:43" x14ac:dyDescent="0.2">
      <c r="AQ43394" s="31"/>
    </row>
    <row r="43395" spans="43:43" x14ac:dyDescent="0.2">
      <c r="AQ43395" s="31"/>
    </row>
    <row r="43396" spans="43:43" x14ac:dyDescent="0.2">
      <c r="AQ43396" s="31"/>
    </row>
    <row r="43397" spans="43:43" x14ac:dyDescent="0.2">
      <c r="AQ43397" s="31"/>
    </row>
    <row r="43398" spans="43:43" x14ac:dyDescent="0.2">
      <c r="AQ43398" s="31"/>
    </row>
    <row r="43399" spans="43:43" x14ac:dyDescent="0.2">
      <c r="AQ43399" s="31"/>
    </row>
    <row r="43400" spans="43:43" x14ac:dyDescent="0.2">
      <c r="AQ43400" s="31"/>
    </row>
    <row r="43401" spans="43:43" x14ac:dyDescent="0.2">
      <c r="AQ43401" s="31"/>
    </row>
    <row r="43402" spans="43:43" x14ac:dyDescent="0.2">
      <c r="AQ43402" s="31"/>
    </row>
    <row r="43403" spans="43:43" x14ac:dyDescent="0.2">
      <c r="AQ43403" s="31"/>
    </row>
    <row r="43404" spans="43:43" x14ac:dyDescent="0.2">
      <c r="AQ43404" s="31"/>
    </row>
    <row r="43405" spans="43:43" x14ac:dyDescent="0.2">
      <c r="AQ43405" s="31"/>
    </row>
    <row r="43406" spans="43:43" x14ac:dyDescent="0.2">
      <c r="AQ43406" s="31"/>
    </row>
    <row r="43407" spans="43:43" x14ac:dyDescent="0.2">
      <c r="AQ43407" s="31"/>
    </row>
    <row r="43408" spans="43:43" x14ac:dyDescent="0.2">
      <c r="AQ43408" s="31"/>
    </row>
    <row r="43409" spans="43:43" x14ac:dyDescent="0.2">
      <c r="AQ43409" s="31"/>
    </row>
    <row r="43410" spans="43:43" x14ac:dyDescent="0.2">
      <c r="AQ43410" s="31"/>
    </row>
    <row r="43411" spans="43:43" x14ac:dyDescent="0.2">
      <c r="AQ43411" s="31"/>
    </row>
    <row r="43412" spans="43:43" x14ac:dyDescent="0.2">
      <c r="AQ43412" s="31"/>
    </row>
    <row r="43413" spans="43:43" x14ac:dyDescent="0.2">
      <c r="AQ43413" s="31"/>
    </row>
    <row r="43414" spans="43:43" x14ac:dyDescent="0.2">
      <c r="AQ43414" s="31"/>
    </row>
    <row r="43415" spans="43:43" x14ac:dyDescent="0.2">
      <c r="AQ43415" s="31"/>
    </row>
    <row r="43416" spans="43:43" x14ac:dyDescent="0.2">
      <c r="AQ43416" s="31"/>
    </row>
    <row r="43417" spans="43:43" x14ac:dyDescent="0.2">
      <c r="AQ43417" s="31"/>
    </row>
    <row r="43418" spans="43:43" x14ac:dyDescent="0.2">
      <c r="AQ43418" s="31"/>
    </row>
    <row r="43419" spans="43:43" x14ac:dyDescent="0.2">
      <c r="AQ43419" s="31"/>
    </row>
    <row r="43420" spans="43:43" x14ac:dyDescent="0.2">
      <c r="AQ43420" s="31"/>
    </row>
    <row r="43421" spans="43:43" x14ac:dyDescent="0.2">
      <c r="AQ43421" s="31"/>
    </row>
    <row r="43422" spans="43:43" x14ac:dyDescent="0.2">
      <c r="AQ43422" s="31"/>
    </row>
    <row r="43423" spans="43:43" x14ac:dyDescent="0.2">
      <c r="AQ43423" s="31"/>
    </row>
    <row r="43424" spans="43:43" x14ac:dyDescent="0.2">
      <c r="AQ43424" s="31"/>
    </row>
    <row r="43425" spans="43:43" x14ac:dyDescent="0.2">
      <c r="AQ43425" s="31"/>
    </row>
    <row r="43426" spans="43:43" x14ac:dyDescent="0.2">
      <c r="AQ43426" s="31"/>
    </row>
    <row r="43427" spans="43:43" x14ac:dyDescent="0.2">
      <c r="AQ43427" s="31"/>
    </row>
    <row r="43428" spans="43:43" x14ac:dyDescent="0.2">
      <c r="AQ43428" s="31"/>
    </row>
    <row r="43429" spans="43:43" x14ac:dyDescent="0.2">
      <c r="AQ43429" s="31"/>
    </row>
    <row r="43430" spans="43:43" x14ac:dyDescent="0.2">
      <c r="AQ43430" s="31"/>
    </row>
    <row r="43431" spans="43:43" x14ac:dyDescent="0.2">
      <c r="AQ43431" s="31"/>
    </row>
    <row r="43432" spans="43:43" x14ac:dyDescent="0.2">
      <c r="AQ43432" s="31"/>
    </row>
    <row r="43433" spans="43:43" x14ac:dyDescent="0.2">
      <c r="AQ43433" s="31"/>
    </row>
    <row r="43434" spans="43:43" x14ac:dyDescent="0.2">
      <c r="AQ43434" s="31"/>
    </row>
    <row r="43435" spans="43:43" x14ac:dyDescent="0.2">
      <c r="AQ43435" s="31"/>
    </row>
    <row r="43436" spans="43:43" x14ac:dyDescent="0.2">
      <c r="AQ43436" s="31"/>
    </row>
    <row r="43437" spans="43:43" x14ac:dyDescent="0.2">
      <c r="AQ43437" s="31"/>
    </row>
    <row r="43438" spans="43:43" x14ac:dyDescent="0.2">
      <c r="AQ43438" s="31"/>
    </row>
    <row r="43439" spans="43:43" x14ac:dyDescent="0.2">
      <c r="AQ43439" s="31"/>
    </row>
    <row r="43440" spans="43:43" x14ac:dyDescent="0.2">
      <c r="AQ43440" s="31"/>
    </row>
    <row r="43441" spans="43:43" x14ac:dyDescent="0.2">
      <c r="AQ43441" s="31"/>
    </row>
    <row r="43442" spans="43:43" x14ac:dyDescent="0.2">
      <c r="AQ43442" s="31"/>
    </row>
    <row r="43443" spans="43:43" x14ac:dyDescent="0.2">
      <c r="AQ43443" s="31"/>
    </row>
    <row r="43444" spans="43:43" x14ac:dyDescent="0.2">
      <c r="AQ43444" s="31"/>
    </row>
    <row r="43445" spans="43:43" x14ac:dyDescent="0.2">
      <c r="AQ43445" s="31"/>
    </row>
    <row r="43446" spans="43:43" x14ac:dyDescent="0.2">
      <c r="AQ43446" s="31"/>
    </row>
    <row r="43447" spans="43:43" x14ac:dyDescent="0.2">
      <c r="AQ43447" s="31"/>
    </row>
    <row r="43448" spans="43:43" x14ac:dyDescent="0.2">
      <c r="AQ43448" s="31"/>
    </row>
    <row r="43449" spans="43:43" x14ac:dyDescent="0.2">
      <c r="AQ43449" s="31"/>
    </row>
    <row r="43450" spans="43:43" x14ac:dyDescent="0.2">
      <c r="AQ43450" s="31"/>
    </row>
    <row r="43451" spans="43:43" x14ac:dyDescent="0.2">
      <c r="AQ43451" s="31"/>
    </row>
    <row r="43452" spans="43:43" x14ac:dyDescent="0.2">
      <c r="AQ43452" s="31"/>
    </row>
    <row r="43453" spans="43:43" x14ac:dyDescent="0.2">
      <c r="AQ43453" s="31"/>
    </row>
    <row r="43454" spans="43:43" x14ac:dyDescent="0.2">
      <c r="AQ43454" s="31"/>
    </row>
    <row r="43455" spans="43:43" x14ac:dyDescent="0.2">
      <c r="AQ43455" s="31"/>
    </row>
    <row r="43456" spans="43:43" x14ac:dyDescent="0.2">
      <c r="AQ43456" s="31"/>
    </row>
    <row r="43457" spans="43:43" x14ac:dyDescent="0.2">
      <c r="AQ43457" s="31"/>
    </row>
    <row r="43458" spans="43:43" x14ac:dyDescent="0.2">
      <c r="AQ43458" s="31"/>
    </row>
    <row r="43459" spans="43:43" x14ac:dyDescent="0.2">
      <c r="AQ43459" s="31"/>
    </row>
    <row r="43460" spans="43:43" x14ac:dyDescent="0.2">
      <c r="AQ43460" s="31"/>
    </row>
    <row r="43461" spans="43:43" x14ac:dyDescent="0.2">
      <c r="AQ43461" s="31"/>
    </row>
    <row r="43462" spans="43:43" x14ac:dyDescent="0.2">
      <c r="AQ43462" s="31"/>
    </row>
    <row r="43463" spans="43:43" x14ac:dyDescent="0.2">
      <c r="AQ43463" s="31"/>
    </row>
    <row r="43464" spans="43:43" x14ac:dyDescent="0.2">
      <c r="AQ43464" s="31"/>
    </row>
    <row r="43465" spans="43:43" x14ac:dyDescent="0.2">
      <c r="AQ43465" s="31"/>
    </row>
    <row r="43466" spans="43:43" x14ac:dyDescent="0.2">
      <c r="AQ43466" s="31"/>
    </row>
    <row r="43467" spans="43:43" x14ac:dyDescent="0.2">
      <c r="AQ43467" s="31"/>
    </row>
    <row r="43468" spans="43:43" x14ac:dyDescent="0.2">
      <c r="AQ43468" s="31"/>
    </row>
    <row r="43469" spans="43:43" x14ac:dyDescent="0.2">
      <c r="AQ43469" s="31"/>
    </row>
    <row r="43470" spans="43:43" x14ac:dyDescent="0.2">
      <c r="AQ43470" s="31"/>
    </row>
    <row r="43471" spans="43:43" x14ac:dyDescent="0.2">
      <c r="AQ43471" s="31"/>
    </row>
    <row r="43472" spans="43:43" x14ac:dyDescent="0.2">
      <c r="AQ43472" s="31"/>
    </row>
    <row r="43473" spans="43:43" x14ac:dyDescent="0.2">
      <c r="AQ43473" s="31"/>
    </row>
    <row r="43474" spans="43:43" x14ac:dyDescent="0.2">
      <c r="AQ43474" s="31"/>
    </row>
    <row r="43475" spans="43:43" x14ac:dyDescent="0.2">
      <c r="AQ43475" s="31"/>
    </row>
    <row r="43476" spans="43:43" x14ac:dyDescent="0.2">
      <c r="AQ43476" s="31"/>
    </row>
    <row r="43477" spans="43:43" x14ac:dyDescent="0.2">
      <c r="AQ43477" s="31"/>
    </row>
    <row r="43478" spans="43:43" x14ac:dyDescent="0.2">
      <c r="AQ43478" s="31"/>
    </row>
    <row r="43479" spans="43:43" x14ac:dyDescent="0.2">
      <c r="AQ43479" s="31"/>
    </row>
    <row r="43480" spans="43:43" x14ac:dyDescent="0.2">
      <c r="AQ43480" s="31"/>
    </row>
    <row r="43481" spans="43:43" x14ac:dyDescent="0.2">
      <c r="AQ43481" s="31"/>
    </row>
    <row r="43482" spans="43:43" x14ac:dyDescent="0.2">
      <c r="AQ43482" s="31"/>
    </row>
    <row r="43483" spans="43:43" x14ac:dyDescent="0.2">
      <c r="AQ43483" s="31"/>
    </row>
    <row r="43484" spans="43:43" x14ac:dyDescent="0.2">
      <c r="AQ43484" s="31"/>
    </row>
    <row r="43485" spans="43:43" x14ac:dyDescent="0.2">
      <c r="AQ43485" s="31"/>
    </row>
    <row r="43486" spans="43:43" x14ac:dyDescent="0.2">
      <c r="AQ43486" s="31"/>
    </row>
    <row r="43487" spans="43:43" x14ac:dyDescent="0.2">
      <c r="AQ43487" s="31"/>
    </row>
    <row r="43488" spans="43:43" x14ac:dyDescent="0.2">
      <c r="AQ43488" s="31"/>
    </row>
    <row r="43489" spans="43:43" x14ac:dyDescent="0.2">
      <c r="AQ43489" s="31"/>
    </row>
    <row r="43490" spans="43:43" x14ac:dyDescent="0.2">
      <c r="AQ43490" s="31"/>
    </row>
    <row r="43491" spans="43:43" x14ac:dyDescent="0.2">
      <c r="AQ43491" s="31"/>
    </row>
    <row r="43492" spans="43:43" x14ac:dyDescent="0.2">
      <c r="AQ43492" s="31"/>
    </row>
    <row r="43493" spans="43:43" x14ac:dyDescent="0.2">
      <c r="AQ43493" s="31"/>
    </row>
    <row r="43494" spans="43:43" x14ac:dyDescent="0.2">
      <c r="AQ43494" s="31"/>
    </row>
    <row r="43495" spans="43:43" x14ac:dyDescent="0.2">
      <c r="AQ43495" s="31"/>
    </row>
    <row r="43496" spans="43:43" x14ac:dyDescent="0.2">
      <c r="AQ43496" s="31"/>
    </row>
    <row r="43497" spans="43:43" x14ac:dyDescent="0.2">
      <c r="AQ43497" s="31"/>
    </row>
    <row r="43498" spans="43:43" x14ac:dyDescent="0.2">
      <c r="AQ43498" s="31"/>
    </row>
    <row r="43499" spans="43:43" x14ac:dyDescent="0.2">
      <c r="AQ43499" s="31"/>
    </row>
    <row r="43500" spans="43:43" x14ac:dyDescent="0.2">
      <c r="AQ43500" s="31"/>
    </row>
    <row r="43501" spans="43:43" x14ac:dyDescent="0.2">
      <c r="AQ43501" s="31"/>
    </row>
    <row r="43502" spans="43:43" x14ac:dyDescent="0.2">
      <c r="AQ43502" s="31"/>
    </row>
    <row r="43503" spans="43:43" x14ac:dyDescent="0.2">
      <c r="AQ43503" s="31"/>
    </row>
    <row r="43504" spans="43:43" x14ac:dyDescent="0.2">
      <c r="AQ43504" s="31"/>
    </row>
    <row r="43505" spans="43:43" x14ac:dyDescent="0.2">
      <c r="AQ43505" s="31"/>
    </row>
    <row r="43506" spans="43:43" x14ac:dyDescent="0.2">
      <c r="AQ43506" s="31"/>
    </row>
    <row r="43507" spans="43:43" x14ac:dyDescent="0.2">
      <c r="AQ43507" s="31"/>
    </row>
    <row r="43508" spans="43:43" x14ac:dyDescent="0.2">
      <c r="AQ43508" s="31"/>
    </row>
    <row r="43509" spans="43:43" x14ac:dyDescent="0.2">
      <c r="AQ43509" s="31"/>
    </row>
    <row r="43510" spans="43:43" x14ac:dyDescent="0.2">
      <c r="AQ43510" s="31"/>
    </row>
    <row r="43511" spans="43:43" x14ac:dyDescent="0.2">
      <c r="AQ43511" s="31"/>
    </row>
    <row r="43512" spans="43:43" x14ac:dyDescent="0.2">
      <c r="AQ43512" s="31"/>
    </row>
    <row r="43513" spans="43:43" x14ac:dyDescent="0.2">
      <c r="AQ43513" s="31"/>
    </row>
    <row r="43514" spans="43:43" x14ac:dyDescent="0.2">
      <c r="AQ43514" s="31"/>
    </row>
    <row r="43515" spans="43:43" x14ac:dyDescent="0.2">
      <c r="AQ43515" s="31"/>
    </row>
    <row r="43516" spans="43:43" x14ac:dyDescent="0.2">
      <c r="AQ43516" s="31"/>
    </row>
    <row r="43517" spans="43:43" x14ac:dyDescent="0.2">
      <c r="AQ43517" s="31"/>
    </row>
    <row r="43518" spans="43:43" x14ac:dyDescent="0.2">
      <c r="AQ43518" s="31"/>
    </row>
    <row r="43519" spans="43:43" x14ac:dyDescent="0.2">
      <c r="AQ43519" s="31"/>
    </row>
    <row r="43520" spans="43:43" x14ac:dyDescent="0.2">
      <c r="AQ43520" s="31"/>
    </row>
    <row r="43521" spans="43:43" x14ac:dyDescent="0.2">
      <c r="AQ43521" s="31"/>
    </row>
    <row r="43522" spans="43:43" x14ac:dyDescent="0.2">
      <c r="AQ43522" s="31"/>
    </row>
    <row r="43523" spans="43:43" x14ac:dyDescent="0.2">
      <c r="AQ43523" s="31"/>
    </row>
    <row r="43524" spans="43:43" x14ac:dyDescent="0.2">
      <c r="AQ43524" s="31"/>
    </row>
    <row r="43525" spans="43:43" x14ac:dyDescent="0.2">
      <c r="AQ43525" s="31"/>
    </row>
    <row r="43526" spans="43:43" x14ac:dyDescent="0.2">
      <c r="AQ43526" s="31"/>
    </row>
    <row r="43527" spans="43:43" x14ac:dyDescent="0.2">
      <c r="AQ43527" s="31"/>
    </row>
    <row r="43528" spans="43:43" x14ac:dyDescent="0.2">
      <c r="AQ43528" s="31"/>
    </row>
    <row r="43529" spans="43:43" x14ac:dyDescent="0.2">
      <c r="AQ43529" s="31"/>
    </row>
    <row r="43530" spans="43:43" x14ac:dyDescent="0.2">
      <c r="AQ43530" s="31"/>
    </row>
    <row r="43531" spans="43:43" x14ac:dyDescent="0.2">
      <c r="AQ43531" s="31"/>
    </row>
    <row r="43532" spans="43:43" x14ac:dyDescent="0.2">
      <c r="AQ43532" s="31"/>
    </row>
    <row r="43533" spans="43:43" x14ac:dyDescent="0.2">
      <c r="AQ43533" s="31"/>
    </row>
    <row r="43534" spans="43:43" x14ac:dyDescent="0.2">
      <c r="AQ43534" s="31"/>
    </row>
    <row r="43535" spans="43:43" x14ac:dyDescent="0.2">
      <c r="AQ43535" s="31"/>
    </row>
    <row r="43536" spans="43:43" x14ac:dyDescent="0.2">
      <c r="AQ43536" s="31"/>
    </row>
    <row r="43537" spans="43:43" x14ac:dyDescent="0.2">
      <c r="AQ43537" s="31"/>
    </row>
    <row r="43538" spans="43:43" x14ac:dyDescent="0.2">
      <c r="AQ43538" s="31"/>
    </row>
    <row r="43539" spans="43:43" x14ac:dyDescent="0.2">
      <c r="AQ43539" s="31"/>
    </row>
    <row r="43540" spans="43:43" x14ac:dyDescent="0.2">
      <c r="AQ43540" s="31"/>
    </row>
    <row r="43541" spans="43:43" x14ac:dyDescent="0.2">
      <c r="AQ43541" s="31"/>
    </row>
    <row r="43542" spans="43:43" x14ac:dyDescent="0.2">
      <c r="AQ43542" s="31"/>
    </row>
    <row r="43543" spans="43:43" x14ac:dyDescent="0.2">
      <c r="AQ43543" s="31"/>
    </row>
    <row r="43544" spans="43:43" x14ac:dyDescent="0.2">
      <c r="AQ43544" s="31"/>
    </row>
    <row r="43545" spans="43:43" x14ac:dyDescent="0.2">
      <c r="AQ43545" s="31"/>
    </row>
    <row r="43546" spans="43:43" x14ac:dyDescent="0.2">
      <c r="AQ43546" s="31"/>
    </row>
    <row r="43547" spans="43:43" x14ac:dyDescent="0.2">
      <c r="AQ43547" s="31"/>
    </row>
    <row r="43548" spans="43:43" x14ac:dyDescent="0.2">
      <c r="AQ43548" s="31"/>
    </row>
    <row r="43549" spans="43:43" x14ac:dyDescent="0.2">
      <c r="AQ43549" s="31"/>
    </row>
    <row r="43550" spans="43:43" x14ac:dyDescent="0.2">
      <c r="AQ43550" s="31"/>
    </row>
    <row r="43551" spans="43:43" x14ac:dyDescent="0.2">
      <c r="AQ43551" s="31"/>
    </row>
    <row r="43552" spans="43:43" x14ac:dyDescent="0.2">
      <c r="AQ43552" s="31"/>
    </row>
    <row r="43553" spans="43:43" x14ac:dyDescent="0.2">
      <c r="AQ43553" s="31"/>
    </row>
    <row r="43554" spans="43:43" x14ac:dyDescent="0.2">
      <c r="AQ43554" s="31"/>
    </row>
    <row r="43555" spans="43:43" x14ac:dyDescent="0.2">
      <c r="AQ43555" s="31"/>
    </row>
    <row r="43556" spans="43:43" x14ac:dyDescent="0.2">
      <c r="AQ43556" s="31"/>
    </row>
    <row r="43557" spans="43:43" x14ac:dyDescent="0.2">
      <c r="AQ43557" s="31"/>
    </row>
    <row r="43558" spans="43:43" x14ac:dyDescent="0.2">
      <c r="AQ43558" s="31"/>
    </row>
    <row r="43559" spans="43:43" x14ac:dyDescent="0.2">
      <c r="AQ43559" s="31"/>
    </row>
    <row r="43560" spans="43:43" x14ac:dyDescent="0.2">
      <c r="AQ43560" s="31"/>
    </row>
    <row r="43561" spans="43:43" x14ac:dyDescent="0.2">
      <c r="AQ43561" s="31"/>
    </row>
    <row r="43562" spans="43:43" x14ac:dyDescent="0.2">
      <c r="AQ43562" s="31"/>
    </row>
    <row r="43563" spans="43:43" x14ac:dyDescent="0.2">
      <c r="AQ43563" s="31"/>
    </row>
    <row r="43564" spans="43:43" x14ac:dyDescent="0.2">
      <c r="AQ43564" s="31"/>
    </row>
    <row r="43565" spans="43:43" x14ac:dyDescent="0.2">
      <c r="AQ43565" s="31"/>
    </row>
    <row r="43566" spans="43:43" x14ac:dyDescent="0.2">
      <c r="AQ43566" s="31"/>
    </row>
    <row r="43567" spans="43:43" x14ac:dyDescent="0.2">
      <c r="AQ43567" s="31"/>
    </row>
    <row r="43568" spans="43:43" x14ac:dyDescent="0.2">
      <c r="AQ43568" s="31"/>
    </row>
    <row r="43569" spans="43:43" x14ac:dyDescent="0.2">
      <c r="AQ43569" s="31"/>
    </row>
    <row r="43570" spans="43:43" x14ac:dyDescent="0.2">
      <c r="AQ43570" s="31"/>
    </row>
    <row r="43571" spans="43:43" x14ac:dyDescent="0.2">
      <c r="AQ43571" s="31"/>
    </row>
    <row r="43572" spans="43:43" x14ac:dyDescent="0.2">
      <c r="AQ43572" s="31"/>
    </row>
    <row r="43573" spans="43:43" x14ac:dyDescent="0.2">
      <c r="AQ43573" s="31"/>
    </row>
    <row r="43574" spans="43:43" x14ac:dyDescent="0.2">
      <c r="AQ43574" s="31"/>
    </row>
    <row r="43575" spans="43:43" x14ac:dyDescent="0.2">
      <c r="AQ43575" s="31"/>
    </row>
    <row r="43576" spans="43:43" x14ac:dyDescent="0.2">
      <c r="AQ43576" s="31"/>
    </row>
    <row r="43577" spans="43:43" x14ac:dyDescent="0.2">
      <c r="AQ43577" s="31"/>
    </row>
    <row r="43578" spans="43:43" x14ac:dyDescent="0.2">
      <c r="AQ43578" s="31"/>
    </row>
    <row r="43579" spans="43:43" x14ac:dyDescent="0.2">
      <c r="AQ43579" s="31"/>
    </row>
    <row r="43580" spans="43:43" x14ac:dyDescent="0.2">
      <c r="AQ43580" s="31"/>
    </row>
    <row r="43581" spans="43:43" x14ac:dyDescent="0.2">
      <c r="AQ43581" s="31"/>
    </row>
    <row r="43582" spans="43:43" x14ac:dyDescent="0.2">
      <c r="AQ43582" s="31"/>
    </row>
    <row r="43583" spans="43:43" x14ac:dyDescent="0.2">
      <c r="AQ43583" s="31"/>
    </row>
    <row r="43584" spans="43:43" x14ac:dyDescent="0.2">
      <c r="AQ43584" s="31"/>
    </row>
    <row r="43585" spans="43:43" x14ac:dyDescent="0.2">
      <c r="AQ43585" s="31"/>
    </row>
    <row r="43586" spans="43:43" x14ac:dyDescent="0.2">
      <c r="AQ43586" s="31"/>
    </row>
    <row r="43587" spans="43:43" x14ac:dyDescent="0.2">
      <c r="AQ43587" s="31"/>
    </row>
    <row r="43588" spans="43:43" x14ac:dyDescent="0.2">
      <c r="AQ43588" s="31"/>
    </row>
    <row r="43589" spans="43:43" x14ac:dyDescent="0.2">
      <c r="AQ43589" s="31"/>
    </row>
    <row r="43590" spans="43:43" x14ac:dyDescent="0.2">
      <c r="AQ43590" s="31"/>
    </row>
    <row r="43591" spans="43:43" x14ac:dyDescent="0.2">
      <c r="AQ43591" s="31"/>
    </row>
    <row r="43592" spans="43:43" x14ac:dyDescent="0.2">
      <c r="AQ43592" s="31"/>
    </row>
    <row r="43593" spans="43:43" x14ac:dyDescent="0.2">
      <c r="AQ43593" s="31"/>
    </row>
    <row r="43594" spans="43:43" x14ac:dyDescent="0.2">
      <c r="AQ43594" s="31"/>
    </row>
    <row r="43595" spans="43:43" x14ac:dyDescent="0.2">
      <c r="AQ43595" s="31"/>
    </row>
    <row r="43596" spans="43:43" x14ac:dyDescent="0.2">
      <c r="AQ43596" s="31"/>
    </row>
    <row r="43597" spans="43:43" x14ac:dyDescent="0.2">
      <c r="AQ43597" s="31"/>
    </row>
    <row r="43598" spans="43:43" x14ac:dyDescent="0.2">
      <c r="AQ43598" s="31"/>
    </row>
    <row r="43599" spans="43:43" x14ac:dyDescent="0.2">
      <c r="AQ43599" s="31"/>
    </row>
    <row r="43600" spans="43:43" x14ac:dyDescent="0.2">
      <c r="AQ43600" s="31"/>
    </row>
    <row r="43601" spans="43:43" x14ac:dyDescent="0.2">
      <c r="AQ43601" s="31"/>
    </row>
    <row r="43602" spans="43:43" x14ac:dyDescent="0.2">
      <c r="AQ43602" s="31"/>
    </row>
    <row r="43603" spans="43:43" x14ac:dyDescent="0.2">
      <c r="AQ43603" s="31"/>
    </row>
    <row r="43604" spans="43:43" x14ac:dyDescent="0.2">
      <c r="AQ43604" s="31"/>
    </row>
    <row r="43605" spans="43:43" x14ac:dyDescent="0.2">
      <c r="AQ43605" s="31"/>
    </row>
    <row r="43606" spans="43:43" x14ac:dyDescent="0.2">
      <c r="AQ43606" s="31"/>
    </row>
    <row r="43607" spans="43:43" x14ac:dyDescent="0.2">
      <c r="AQ43607" s="31"/>
    </row>
    <row r="43608" spans="43:43" x14ac:dyDescent="0.2">
      <c r="AQ43608" s="31"/>
    </row>
    <row r="43609" spans="43:43" x14ac:dyDescent="0.2">
      <c r="AQ43609" s="31"/>
    </row>
    <row r="43610" spans="43:43" x14ac:dyDescent="0.2">
      <c r="AQ43610" s="31"/>
    </row>
    <row r="43611" spans="43:43" x14ac:dyDescent="0.2">
      <c r="AQ43611" s="31"/>
    </row>
    <row r="43612" spans="43:43" x14ac:dyDescent="0.2">
      <c r="AQ43612" s="31"/>
    </row>
    <row r="43613" spans="43:43" x14ac:dyDescent="0.2">
      <c r="AQ43613" s="31"/>
    </row>
    <row r="43614" spans="43:43" x14ac:dyDescent="0.2">
      <c r="AQ43614" s="31"/>
    </row>
    <row r="43615" spans="43:43" x14ac:dyDescent="0.2">
      <c r="AQ43615" s="31"/>
    </row>
    <row r="43616" spans="43:43" x14ac:dyDescent="0.2">
      <c r="AQ43616" s="31"/>
    </row>
    <row r="43617" spans="43:43" x14ac:dyDescent="0.2">
      <c r="AQ43617" s="31"/>
    </row>
    <row r="43618" spans="43:43" x14ac:dyDescent="0.2">
      <c r="AQ43618" s="31"/>
    </row>
    <row r="43619" spans="43:43" x14ac:dyDescent="0.2">
      <c r="AQ43619" s="31"/>
    </row>
    <row r="43620" spans="43:43" x14ac:dyDescent="0.2">
      <c r="AQ43620" s="31"/>
    </row>
    <row r="43621" spans="43:43" x14ac:dyDescent="0.2">
      <c r="AQ43621" s="31"/>
    </row>
    <row r="43622" spans="43:43" x14ac:dyDescent="0.2">
      <c r="AQ43622" s="31"/>
    </row>
    <row r="43623" spans="43:43" x14ac:dyDescent="0.2">
      <c r="AQ43623" s="31"/>
    </row>
    <row r="43624" spans="43:43" x14ac:dyDescent="0.2">
      <c r="AQ43624" s="31"/>
    </row>
    <row r="43625" spans="43:43" x14ac:dyDescent="0.2">
      <c r="AQ43625" s="31"/>
    </row>
    <row r="43626" spans="43:43" x14ac:dyDescent="0.2">
      <c r="AQ43626" s="31"/>
    </row>
    <row r="43627" spans="43:43" x14ac:dyDescent="0.2">
      <c r="AQ43627" s="31"/>
    </row>
    <row r="43628" spans="43:43" x14ac:dyDescent="0.2">
      <c r="AQ43628" s="31"/>
    </row>
    <row r="43629" spans="43:43" x14ac:dyDescent="0.2">
      <c r="AQ43629" s="31"/>
    </row>
    <row r="43630" spans="43:43" x14ac:dyDescent="0.2">
      <c r="AQ43630" s="31"/>
    </row>
    <row r="43631" spans="43:43" x14ac:dyDescent="0.2">
      <c r="AQ43631" s="31"/>
    </row>
    <row r="43632" spans="43:43" x14ac:dyDescent="0.2">
      <c r="AQ43632" s="31"/>
    </row>
    <row r="43633" spans="43:43" x14ac:dyDescent="0.2">
      <c r="AQ43633" s="31"/>
    </row>
    <row r="43634" spans="43:43" x14ac:dyDescent="0.2">
      <c r="AQ43634" s="31"/>
    </row>
    <row r="43635" spans="43:43" x14ac:dyDescent="0.2">
      <c r="AQ43635" s="31"/>
    </row>
    <row r="43636" spans="43:43" x14ac:dyDescent="0.2">
      <c r="AQ43636" s="31"/>
    </row>
    <row r="43637" spans="43:43" x14ac:dyDescent="0.2">
      <c r="AQ43637" s="31"/>
    </row>
    <row r="43638" spans="43:43" x14ac:dyDescent="0.2">
      <c r="AQ43638" s="31"/>
    </row>
    <row r="43639" spans="43:43" x14ac:dyDescent="0.2">
      <c r="AQ43639" s="31"/>
    </row>
    <row r="43640" spans="43:43" x14ac:dyDescent="0.2">
      <c r="AQ43640" s="31"/>
    </row>
    <row r="43641" spans="43:43" x14ac:dyDescent="0.2">
      <c r="AQ43641" s="31"/>
    </row>
    <row r="43642" spans="43:43" x14ac:dyDescent="0.2">
      <c r="AQ43642" s="31"/>
    </row>
    <row r="43643" spans="43:43" x14ac:dyDescent="0.2">
      <c r="AQ43643" s="31"/>
    </row>
    <row r="43644" spans="43:43" x14ac:dyDescent="0.2">
      <c r="AQ43644" s="31"/>
    </row>
    <row r="43645" spans="43:43" x14ac:dyDescent="0.2">
      <c r="AQ43645" s="31"/>
    </row>
    <row r="43646" spans="43:43" x14ac:dyDescent="0.2">
      <c r="AQ43646" s="31"/>
    </row>
    <row r="43647" spans="43:43" x14ac:dyDescent="0.2">
      <c r="AQ43647" s="31"/>
    </row>
    <row r="43648" spans="43:43" x14ac:dyDescent="0.2">
      <c r="AQ43648" s="31"/>
    </row>
    <row r="43649" spans="43:43" x14ac:dyDescent="0.2">
      <c r="AQ43649" s="31"/>
    </row>
    <row r="43650" spans="43:43" x14ac:dyDescent="0.2">
      <c r="AQ43650" s="31"/>
    </row>
    <row r="43651" spans="43:43" x14ac:dyDescent="0.2">
      <c r="AQ43651" s="31"/>
    </row>
    <row r="43652" spans="43:43" x14ac:dyDescent="0.2">
      <c r="AQ43652" s="31"/>
    </row>
    <row r="43653" spans="43:43" x14ac:dyDescent="0.2">
      <c r="AQ43653" s="31"/>
    </row>
    <row r="43654" spans="43:43" x14ac:dyDescent="0.2">
      <c r="AQ43654" s="31"/>
    </row>
    <row r="43655" spans="43:43" x14ac:dyDescent="0.2">
      <c r="AQ43655" s="31"/>
    </row>
    <row r="43656" spans="43:43" x14ac:dyDescent="0.2">
      <c r="AQ43656" s="31"/>
    </row>
    <row r="43657" spans="43:43" x14ac:dyDescent="0.2">
      <c r="AQ43657" s="31"/>
    </row>
    <row r="43658" spans="43:43" x14ac:dyDescent="0.2">
      <c r="AQ43658" s="31"/>
    </row>
    <row r="43659" spans="43:43" x14ac:dyDescent="0.2">
      <c r="AQ43659" s="31"/>
    </row>
    <row r="43660" spans="43:43" x14ac:dyDescent="0.2">
      <c r="AQ43660" s="31"/>
    </row>
    <row r="43661" spans="43:43" x14ac:dyDescent="0.2">
      <c r="AQ43661" s="31"/>
    </row>
    <row r="43662" spans="43:43" x14ac:dyDescent="0.2">
      <c r="AQ43662" s="31"/>
    </row>
    <row r="43663" spans="43:43" x14ac:dyDescent="0.2">
      <c r="AQ43663" s="31"/>
    </row>
    <row r="43664" spans="43:43" x14ac:dyDescent="0.2">
      <c r="AQ43664" s="31"/>
    </row>
    <row r="43665" spans="43:43" x14ac:dyDescent="0.2">
      <c r="AQ43665" s="31"/>
    </row>
    <row r="43666" spans="43:43" x14ac:dyDescent="0.2">
      <c r="AQ43666" s="31"/>
    </row>
    <row r="43667" spans="43:43" x14ac:dyDescent="0.2">
      <c r="AQ43667" s="31"/>
    </row>
    <row r="43668" spans="43:43" x14ac:dyDescent="0.2">
      <c r="AQ43668" s="31"/>
    </row>
    <row r="43669" spans="43:43" x14ac:dyDescent="0.2">
      <c r="AQ43669" s="31"/>
    </row>
    <row r="43670" spans="43:43" x14ac:dyDescent="0.2">
      <c r="AQ43670" s="31"/>
    </row>
    <row r="43671" spans="43:43" x14ac:dyDescent="0.2">
      <c r="AQ43671" s="31"/>
    </row>
    <row r="43672" spans="43:43" x14ac:dyDescent="0.2">
      <c r="AQ43672" s="31"/>
    </row>
    <row r="43673" spans="43:43" x14ac:dyDescent="0.2">
      <c r="AQ43673" s="31"/>
    </row>
    <row r="43674" spans="43:43" x14ac:dyDescent="0.2">
      <c r="AQ43674" s="31"/>
    </row>
    <row r="43675" spans="43:43" x14ac:dyDescent="0.2">
      <c r="AQ43675" s="31"/>
    </row>
    <row r="43676" spans="43:43" x14ac:dyDescent="0.2">
      <c r="AQ43676" s="31"/>
    </row>
    <row r="43677" spans="43:43" x14ac:dyDescent="0.2">
      <c r="AQ43677" s="31"/>
    </row>
    <row r="43678" spans="43:43" x14ac:dyDescent="0.2">
      <c r="AQ43678" s="31"/>
    </row>
    <row r="43679" spans="43:43" x14ac:dyDescent="0.2">
      <c r="AQ43679" s="31"/>
    </row>
    <row r="43680" spans="43:43" x14ac:dyDescent="0.2">
      <c r="AQ43680" s="31"/>
    </row>
    <row r="43681" spans="43:43" x14ac:dyDescent="0.2">
      <c r="AQ43681" s="31"/>
    </row>
    <row r="43682" spans="43:43" x14ac:dyDescent="0.2">
      <c r="AQ43682" s="31"/>
    </row>
    <row r="43683" spans="43:43" x14ac:dyDescent="0.2">
      <c r="AQ43683" s="31"/>
    </row>
    <row r="43684" spans="43:43" x14ac:dyDescent="0.2">
      <c r="AQ43684" s="31"/>
    </row>
    <row r="43685" spans="43:43" x14ac:dyDescent="0.2">
      <c r="AQ43685" s="31"/>
    </row>
    <row r="43686" spans="43:43" x14ac:dyDescent="0.2">
      <c r="AQ43686" s="31"/>
    </row>
    <row r="43687" spans="43:43" x14ac:dyDescent="0.2">
      <c r="AQ43687" s="31"/>
    </row>
    <row r="43688" spans="43:43" x14ac:dyDescent="0.2">
      <c r="AQ43688" s="31"/>
    </row>
    <row r="43689" spans="43:43" x14ac:dyDescent="0.2">
      <c r="AQ43689" s="31"/>
    </row>
    <row r="43690" spans="43:43" x14ac:dyDescent="0.2">
      <c r="AQ43690" s="31"/>
    </row>
    <row r="43691" spans="43:43" x14ac:dyDescent="0.2">
      <c r="AQ43691" s="31"/>
    </row>
    <row r="43692" spans="43:43" x14ac:dyDescent="0.2">
      <c r="AQ43692" s="31"/>
    </row>
    <row r="43693" spans="43:43" x14ac:dyDescent="0.2">
      <c r="AQ43693" s="31"/>
    </row>
    <row r="43694" spans="43:43" x14ac:dyDescent="0.2">
      <c r="AQ43694" s="31"/>
    </row>
    <row r="43695" spans="43:43" x14ac:dyDescent="0.2">
      <c r="AQ43695" s="31"/>
    </row>
    <row r="43696" spans="43:43" x14ac:dyDescent="0.2">
      <c r="AQ43696" s="31"/>
    </row>
    <row r="43697" spans="43:43" x14ac:dyDescent="0.2">
      <c r="AQ43697" s="31"/>
    </row>
    <row r="43698" spans="43:43" x14ac:dyDescent="0.2">
      <c r="AQ43698" s="31"/>
    </row>
    <row r="43699" spans="43:43" x14ac:dyDescent="0.2">
      <c r="AQ43699" s="31"/>
    </row>
    <row r="43700" spans="43:43" x14ac:dyDescent="0.2">
      <c r="AQ43700" s="31"/>
    </row>
    <row r="43701" spans="43:43" x14ac:dyDescent="0.2">
      <c r="AQ43701" s="31"/>
    </row>
    <row r="43702" spans="43:43" x14ac:dyDescent="0.2">
      <c r="AQ43702" s="31"/>
    </row>
    <row r="43703" spans="43:43" x14ac:dyDescent="0.2">
      <c r="AQ43703" s="31"/>
    </row>
    <row r="43704" spans="43:43" x14ac:dyDescent="0.2">
      <c r="AQ43704" s="31"/>
    </row>
    <row r="43705" spans="43:43" x14ac:dyDescent="0.2">
      <c r="AQ43705" s="31"/>
    </row>
    <row r="43706" spans="43:43" x14ac:dyDescent="0.2">
      <c r="AQ43706" s="31"/>
    </row>
    <row r="43707" spans="43:43" x14ac:dyDescent="0.2">
      <c r="AQ43707" s="31"/>
    </row>
    <row r="43708" spans="43:43" x14ac:dyDescent="0.2">
      <c r="AQ43708" s="31"/>
    </row>
    <row r="43709" spans="43:43" x14ac:dyDescent="0.2">
      <c r="AQ43709" s="31"/>
    </row>
    <row r="43710" spans="43:43" x14ac:dyDescent="0.2">
      <c r="AQ43710" s="31"/>
    </row>
    <row r="43711" spans="43:43" x14ac:dyDescent="0.2">
      <c r="AQ43711" s="31"/>
    </row>
    <row r="43712" spans="43:43" x14ac:dyDescent="0.2">
      <c r="AQ43712" s="31"/>
    </row>
    <row r="43713" spans="43:43" x14ac:dyDescent="0.2">
      <c r="AQ43713" s="31"/>
    </row>
    <row r="43714" spans="43:43" x14ac:dyDescent="0.2">
      <c r="AQ43714" s="31"/>
    </row>
    <row r="43715" spans="43:43" x14ac:dyDescent="0.2">
      <c r="AQ43715" s="31"/>
    </row>
    <row r="43716" spans="43:43" x14ac:dyDescent="0.2">
      <c r="AQ43716" s="31"/>
    </row>
    <row r="43717" spans="43:43" x14ac:dyDescent="0.2">
      <c r="AQ43717" s="31"/>
    </row>
    <row r="43718" spans="43:43" x14ac:dyDescent="0.2">
      <c r="AQ43718" s="31"/>
    </row>
    <row r="43719" spans="43:43" x14ac:dyDescent="0.2">
      <c r="AQ43719" s="31"/>
    </row>
    <row r="43720" spans="43:43" x14ac:dyDescent="0.2">
      <c r="AQ43720" s="31"/>
    </row>
    <row r="43721" spans="43:43" x14ac:dyDescent="0.2">
      <c r="AQ43721" s="31"/>
    </row>
    <row r="43722" spans="43:43" x14ac:dyDescent="0.2">
      <c r="AQ43722" s="31"/>
    </row>
    <row r="43723" spans="43:43" x14ac:dyDescent="0.2">
      <c r="AQ43723" s="31"/>
    </row>
    <row r="43724" spans="43:43" x14ac:dyDescent="0.2">
      <c r="AQ43724" s="31"/>
    </row>
    <row r="43725" spans="43:43" x14ac:dyDescent="0.2">
      <c r="AQ43725" s="31"/>
    </row>
    <row r="43726" spans="43:43" x14ac:dyDescent="0.2">
      <c r="AQ43726" s="31"/>
    </row>
    <row r="43727" spans="43:43" x14ac:dyDescent="0.2">
      <c r="AQ43727" s="31"/>
    </row>
    <row r="43728" spans="43:43" x14ac:dyDescent="0.2">
      <c r="AQ43728" s="31"/>
    </row>
    <row r="43729" spans="43:43" x14ac:dyDescent="0.2">
      <c r="AQ43729" s="31"/>
    </row>
    <row r="43730" spans="43:43" x14ac:dyDescent="0.2">
      <c r="AQ43730" s="31"/>
    </row>
    <row r="43731" spans="43:43" x14ac:dyDescent="0.2">
      <c r="AQ43731" s="31"/>
    </row>
    <row r="43732" spans="43:43" x14ac:dyDescent="0.2">
      <c r="AQ43732" s="31"/>
    </row>
    <row r="43733" spans="43:43" x14ac:dyDescent="0.2">
      <c r="AQ43733" s="31"/>
    </row>
    <row r="43734" spans="43:43" x14ac:dyDescent="0.2">
      <c r="AQ43734" s="31"/>
    </row>
    <row r="43735" spans="43:43" x14ac:dyDescent="0.2">
      <c r="AQ43735" s="31"/>
    </row>
    <row r="43736" spans="43:43" x14ac:dyDescent="0.2">
      <c r="AQ43736" s="31"/>
    </row>
    <row r="43737" spans="43:43" x14ac:dyDescent="0.2">
      <c r="AQ43737" s="31"/>
    </row>
    <row r="43738" spans="43:43" x14ac:dyDescent="0.2">
      <c r="AQ43738" s="31"/>
    </row>
    <row r="43739" spans="43:43" x14ac:dyDescent="0.2">
      <c r="AQ43739" s="31"/>
    </row>
    <row r="43740" spans="43:43" x14ac:dyDescent="0.2">
      <c r="AQ43740" s="31"/>
    </row>
    <row r="43741" spans="43:43" x14ac:dyDescent="0.2">
      <c r="AQ43741" s="31"/>
    </row>
    <row r="43742" spans="43:43" x14ac:dyDescent="0.2">
      <c r="AQ43742" s="31"/>
    </row>
    <row r="43743" spans="43:43" x14ac:dyDescent="0.2">
      <c r="AQ43743" s="31"/>
    </row>
    <row r="43744" spans="43:43" x14ac:dyDescent="0.2">
      <c r="AQ43744" s="31"/>
    </row>
    <row r="43745" spans="43:43" x14ac:dyDescent="0.2">
      <c r="AQ43745" s="31"/>
    </row>
    <row r="43746" spans="43:43" x14ac:dyDescent="0.2">
      <c r="AQ43746" s="31"/>
    </row>
    <row r="43747" spans="43:43" x14ac:dyDescent="0.2">
      <c r="AQ43747" s="31"/>
    </row>
    <row r="43748" spans="43:43" x14ac:dyDescent="0.2">
      <c r="AQ43748" s="31"/>
    </row>
    <row r="43749" spans="43:43" x14ac:dyDescent="0.2">
      <c r="AQ43749" s="31"/>
    </row>
    <row r="43750" spans="43:43" x14ac:dyDescent="0.2">
      <c r="AQ43750" s="31"/>
    </row>
    <row r="43751" spans="43:43" x14ac:dyDescent="0.2">
      <c r="AQ43751" s="31"/>
    </row>
    <row r="43752" spans="43:43" x14ac:dyDescent="0.2">
      <c r="AQ43752" s="31"/>
    </row>
    <row r="43753" spans="43:43" x14ac:dyDescent="0.2">
      <c r="AQ43753" s="31"/>
    </row>
    <row r="43754" spans="43:43" x14ac:dyDescent="0.2">
      <c r="AQ43754" s="31"/>
    </row>
    <row r="43755" spans="43:43" x14ac:dyDescent="0.2">
      <c r="AQ43755" s="31"/>
    </row>
    <row r="43756" spans="43:43" x14ac:dyDescent="0.2">
      <c r="AQ43756" s="31"/>
    </row>
    <row r="43757" spans="43:43" x14ac:dyDescent="0.2">
      <c r="AQ43757" s="31"/>
    </row>
    <row r="43758" spans="43:43" x14ac:dyDescent="0.2">
      <c r="AQ43758" s="31"/>
    </row>
    <row r="43759" spans="43:43" x14ac:dyDescent="0.2">
      <c r="AQ43759" s="31"/>
    </row>
    <row r="43760" spans="43:43" x14ac:dyDescent="0.2">
      <c r="AQ43760" s="31"/>
    </row>
    <row r="43761" spans="43:43" x14ac:dyDescent="0.2">
      <c r="AQ43761" s="31"/>
    </row>
    <row r="43762" spans="43:43" x14ac:dyDescent="0.2">
      <c r="AQ43762" s="31"/>
    </row>
    <row r="43763" spans="43:43" x14ac:dyDescent="0.2">
      <c r="AQ43763" s="31"/>
    </row>
    <row r="43764" spans="43:43" x14ac:dyDescent="0.2">
      <c r="AQ43764" s="31"/>
    </row>
    <row r="43765" spans="43:43" x14ac:dyDescent="0.2">
      <c r="AQ43765" s="31"/>
    </row>
    <row r="43766" spans="43:43" x14ac:dyDescent="0.2">
      <c r="AQ43766" s="31"/>
    </row>
    <row r="43767" spans="43:43" x14ac:dyDescent="0.2">
      <c r="AQ43767" s="31"/>
    </row>
    <row r="43768" spans="43:43" x14ac:dyDescent="0.2">
      <c r="AQ43768" s="31"/>
    </row>
    <row r="43769" spans="43:43" x14ac:dyDescent="0.2">
      <c r="AQ43769" s="31"/>
    </row>
    <row r="43770" spans="43:43" x14ac:dyDescent="0.2">
      <c r="AQ43770" s="31"/>
    </row>
    <row r="43771" spans="43:43" x14ac:dyDescent="0.2">
      <c r="AQ43771" s="31"/>
    </row>
    <row r="43772" spans="43:43" x14ac:dyDescent="0.2">
      <c r="AQ43772" s="31"/>
    </row>
    <row r="43773" spans="43:43" x14ac:dyDescent="0.2">
      <c r="AQ43773" s="31"/>
    </row>
    <row r="43774" spans="43:43" x14ac:dyDescent="0.2">
      <c r="AQ43774" s="31"/>
    </row>
    <row r="43775" spans="43:43" x14ac:dyDescent="0.2">
      <c r="AQ43775" s="31"/>
    </row>
    <row r="43776" spans="43:43" x14ac:dyDescent="0.2">
      <c r="AQ43776" s="31"/>
    </row>
    <row r="43777" spans="43:43" x14ac:dyDescent="0.2">
      <c r="AQ43777" s="31"/>
    </row>
    <row r="43778" spans="43:43" x14ac:dyDescent="0.2">
      <c r="AQ43778" s="31"/>
    </row>
    <row r="43779" spans="43:43" x14ac:dyDescent="0.2">
      <c r="AQ43779" s="31"/>
    </row>
    <row r="43780" spans="43:43" x14ac:dyDescent="0.2">
      <c r="AQ43780" s="31"/>
    </row>
    <row r="43781" spans="43:43" x14ac:dyDescent="0.2">
      <c r="AQ43781" s="31"/>
    </row>
    <row r="43782" spans="43:43" x14ac:dyDescent="0.2">
      <c r="AQ43782" s="31"/>
    </row>
    <row r="43783" spans="43:43" x14ac:dyDescent="0.2">
      <c r="AQ43783" s="31"/>
    </row>
    <row r="43784" spans="43:43" x14ac:dyDescent="0.2">
      <c r="AQ43784" s="31"/>
    </row>
    <row r="43785" spans="43:43" x14ac:dyDescent="0.2">
      <c r="AQ43785" s="31"/>
    </row>
    <row r="43786" spans="43:43" x14ac:dyDescent="0.2">
      <c r="AQ43786" s="31"/>
    </row>
    <row r="43787" spans="43:43" x14ac:dyDescent="0.2">
      <c r="AQ43787" s="31"/>
    </row>
    <row r="43788" spans="43:43" x14ac:dyDescent="0.2">
      <c r="AQ43788" s="31"/>
    </row>
    <row r="43789" spans="43:43" x14ac:dyDescent="0.2">
      <c r="AQ43789" s="31"/>
    </row>
    <row r="43790" spans="43:43" x14ac:dyDescent="0.2">
      <c r="AQ43790" s="31"/>
    </row>
    <row r="43791" spans="43:43" x14ac:dyDescent="0.2">
      <c r="AQ43791" s="31"/>
    </row>
    <row r="43792" spans="43:43" x14ac:dyDescent="0.2">
      <c r="AQ43792" s="31"/>
    </row>
    <row r="43793" spans="43:43" x14ac:dyDescent="0.2">
      <c r="AQ43793" s="31"/>
    </row>
    <row r="43794" spans="43:43" x14ac:dyDescent="0.2">
      <c r="AQ43794" s="31"/>
    </row>
    <row r="43795" spans="43:43" x14ac:dyDescent="0.2">
      <c r="AQ43795" s="31"/>
    </row>
    <row r="43796" spans="43:43" x14ac:dyDescent="0.2">
      <c r="AQ43796" s="31"/>
    </row>
    <row r="43797" spans="43:43" x14ac:dyDescent="0.2">
      <c r="AQ43797" s="31"/>
    </row>
    <row r="43798" spans="43:43" x14ac:dyDescent="0.2">
      <c r="AQ43798" s="31"/>
    </row>
    <row r="43799" spans="43:43" x14ac:dyDescent="0.2">
      <c r="AQ43799" s="31"/>
    </row>
    <row r="43800" spans="43:43" x14ac:dyDescent="0.2">
      <c r="AQ43800" s="31"/>
    </row>
    <row r="43801" spans="43:43" x14ac:dyDescent="0.2">
      <c r="AQ43801" s="31"/>
    </row>
    <row r="43802" spans="43:43" x14ac:dyDescent="0.2">
      <c r="AQ43802" s="31"/>
    </row>
    <row r="43803" spans="43:43" x14ac:dyDescent="0.2">
      <c r="AQ43803" s="31"/>
    </row>
    <row r="43804" spans="43:43" x14ac:dyDescent="0.2">
      <c r="AQ43804" s="31"/>
    </row>
    <row r="43805" spans="43:43" x14ac:dyDescent="0.2">
      <c r="AQ43805" s="31"/>
    </row>
    <row r="43806" spans="43:43" x14ac:dyDescent="0.2">
      <c r="AQ43806" s="31"/>
    </row>
    <row r="43807" spans="43:43" x14ac:dyDescent="0.2">
      <c r="AQ43807" s="31"/>
    </row>
    <row r="43808" spans="43:43" x14ac:dyDescent="0.2">
      <c r="AQ43808" s="31"/>
    </row>
    <row r="43809" spans="43:43" x14ac:dyDescent="0.2">
      <c r="AQ43809" s="31"/>
    </row>
    <row r="43810" spans="43:43" x14ac:dyDescent="0.2">
      <c r="AQ43810" s="31"/>
    </row>
    <row r="43811" spans="43:43" x14ac:dyDescent="0.2">
      <c r="AQ43811" s="31"/>
    </row>
    <row r="43812" spans="43:43" x14ac:dyDescent="0.2">
      <c r="AQ43812" s="31"/>
    </row>
    <row r="43813" spans="43:43" x14ac:dyDescent="0.2">
      <c r="AQ43813" s="31"/>
    </row>
    <row r="43814" spans="43:43" x14ac:dyDescent="0.2">
      <c r="AQ43814" s="31"/>
    </row>
    <row r="43815" spans="43:43" x14ac:dyDescent="0.2">
      <c r="AQ43815" s="31"/>
    </row>
    <row r="43816" spans="43:43" x14ac:dyDescent="0.2">
      <c r="AQ43816" s="31"/>
    </row>
    <row r="43817" spans="43:43" x14ac:dyDescent="0.2">
      <c r="AQ43817" s="31"/>
    </row>
    <row r="43818" spans="43:43" x14ac:dyDescent="0.2">
      <c r="AQ43818" s="31"/>
    </row>
    <row r="43819" spans="43:43" x14ac:dyDescent="0.2">
      <c r="AQ43819" s="31"/>
    </row>
    <row r="43820" spans="43:43" x14ac:dyDescent="0.2">
      <c r="AQ43820" s="31"/>
    </row>
    <row r="43821" spans="43:43" x14ac:dyDescent="0.2">
      <c r="AQ43821" s="31"/>
    </row>
    <row r="43822" spans="43:43" x14ac:dyDescent="0.2">
      <c r="AQ43822" s="31"/>
    </row>
    <row r="43823" spans="43:43" x14ac:dyDescent="0.2">
      <c r="AQ43823" s="31"/>
    </row>
    <row r="43824" spans="43:43" x14ac:dyDescent="0.2">
      <c r="AQ43824" s="31"/>
    </row>
    <row r="43825" spans="43:43" x14ac:dyDescent="0.2">
      <c r="AQ43825" s="31"/>
    </row>
    <row r="43826" spans="43:43" x14ac:dyDescent="0.2">
      <c r="AQ43826" s="31"/>
    </row>
    <row r="43827" spans="43:43" x14ac:dyDescent="0.2">
      <c r="AQ43827" s="31"/>
    </row>
    <row r="43828" spans="43:43" x14ac:dyDescent="0.2">
      <c r="AQ43828" s="31"/>
    </row>
    <row r="43829" spans="43:43" x14ac:dyDescent="0.2">
      <c r="AQ43829" s="31"/>
    </row>
    <row r="43830" spans="43:43" x14ac:dyDescent="0.2">
      <c r="AQ43830" s="31"/>
    </row>
    <row r="43831" spans="43:43" x14ac:dyDescent="0.2">
      <c r="AQ43831" s="31"/>
    </row>
    <row r="43832" spans="43:43" x14ac:dyDescent="0.2">
      <c r="AQ43832" s="31"/>
    </row>
    <row r="43833" spans="43:43" x14ac:dyDescent="0.2">
      <c r="AQ43833" s="31"/>
    </row>
    <row r="43834" spans="43:43" x14ac:dyDescent="0.2">
      <c r="AQ43834" s="31"/>
    </row>
    <row r="43835" spans="43:43" x14ac:dyDescent="0.2">
      <c r="AQ43835" s="31"/>
    </row>
    <row r="43836" spans="43:43" x14ac:dyDescent="0.2">
      <c r="AQ43836" s="31"/>
    </row>
    <row r="43837" spans="43:43" x14ac:dyDescent="0.2">
      <c r="AQ43837" s="31"/>
    </row>
    <row r="43838" spans="43:43" x14ac:dyDescent="0.2">
      <c r="AQ43838" s="31"/>
    </row>
    <row r="43839" spans="43:43" x14ac:dyDescent="0.2">
      <c r="AQ43839" s="31"/>
    </row>
    <row r="43840" spans="43:43" x14ac:dyDescent="0.2">
      <c r="AQ43840" s="31"/>
    </row>
    <row r="43841" spans="43:43" x14ac:dyDescent="0.2">
      <c r="AQ43841" s="31"/>
    </row>
    <row r="43842" spans="43:43" x14ac:dyDescent="0.2">
      <c r="AQ43842" s="31"/>
    </row>
    <row r="43843" spans="43:43" x14ac:dyDescent="0.2">
      <c r="AQ43843" s="31"/>
    </row>
    <row r="43844" spans="43:43" x14ac:dyDescent="0.2">
      <c r="AQ43844" s="31"/>
    </row>
    <row r="43845" spans="43:43" x14ac:dyDescent="0.2">
      <c r="AQ43845" s="31"/>
    </row>
    <row r="43846" spans="43:43" x14ac:dyDescent="0.2">
      <c r="AQ43846" s="31"/>
    </row>
    <row r="43847" spans="43:43" x14ac:dyDescent="0.2">
      <c r="AQ43847" s="31"/>
    </row>
    <row r="43848" spans="43:43" x14ac:dyDescent="0.2">
      <c r="AQ43848" s="31"/>
    </row>
    <row r="43849" spans="43:43" x14ac:dyDescent="0.2">
      <c r="AQ43849" s="31"/>
    </row>
    <row r="43850" spans="43:43" x14ac:dyDescent="0.2">
      <c r="AQ43850" s="31"/>
    </row>
    <row r="43851" spans="43:43" x14ac:dyDescent="0.2">
      <c r="AQ43851" s="31"/>
    </row>
    <row r="43852" spans="43:43" x14ac:dyDescent="0.2">
      <c r="AQ43852" s="31"/>
    </row>
    <row r="43853" spans="43:43" x14ac:dyDescent="0.2">
      <c r="AQ43853" s="31"/>
    </row>
    <row r="43854" spans="43:43" x14ac:dyDescent="0.2">
      <c r="AQ43854" s="31"/>
    </row>
    <row r="43855" spans="43:43" x14ac:dyDescent="0.2">
      <c r="AQ43855" s="31"/>
    </row>
    <row r="43856" spans="43:43" x14ac:dyDescent="0.2">
      <c r="AQ43856" s="31"/>
    </row>
    <row r="43857" spans="43:43" x14ac:dyDescent="0.2">
      <c r="AQ43857" s="31"/>
    </row>
    <row r="43858" spans="43:43" x14ac:dyDescent="0.2">
      <c r="AQ43858" s="31"/>
    </row>
    <row r="43859" spans="43:43" x14ac:dyDescent="0.2">
      <c r="AQ43859" s="31"/>
    </row>
    <row r="43860" spans="43:43" x14ac:dyDescent="0.2">
      <c r="AQ43860" s="31"/>
    </row>
    <row r="43861" spans="43:43" x14ac:dyDescent="0.2">
      <c r="AQ43861" s="31"/>
    </row>
    <row r="43862" spans="43:43" x14ac:dyDescent="0.2">
      <c r="AQ43862" s="31"/>
    </row>
    <row r="43863" spans="43:43" x14ac:dyDescent="0.2">
      <c r="AQ43863" s="31"/>
    </row>
    <row r="43864" spans="43:43" x14ac:dyDescent="0.2">
      <c r="AQ43864" s="31"/>
    </row>
    <row r="43865" spans="43:43" x14ac:dyDescent="0.2">
      <c r="AQ43865" s="31"/>
    </row>
    <row r="43866" spans="43:43" x14ac:dyDescent="0.2">
      <c r="AQ43866" s="31"/>
    </row>
    <row r="43867" spans="43:43" x14ac:dyDescent="0.2">
      <c r="AQ43867" s="31"/>
    </row>
    <row r="43868" spans="43:43" x14ac:dyDescent="0.2">
      <c r="AQ43868" s="31"/>
    </row>
    <row r="43869" spans="43:43" x14ac:dyDescent="0.2">
      <c r="AQ43869" s="31"/>
    </row>
    <row r="43870" spans="43:43" x14ac:dyDescent="0.2">
      <c r="AQ43870" s="31"/>
    </row>
    <row r="43871" spans="43:43" x14ac:dyDescent="0.2">
      <c r="AQ43871" s="31"/>
    </row>
    <row r="43872" spans="43:43" x14ac:dyDescent="0.2">
      <c r="AQ43872" s="31"/>
    </row>
    <row r="43873" spans="43:43" x14ac:dyDescent="0.2">
      <c r="AQ43873" s="31"/>
    </row>
    <row r="43874" spans="43:43" x14ac:dyDescent="0.2">
      <c r="AQ43874" s="31"/>
    </row>
    <row r="43875" spans="43:43" x14ac:dyDescent="0.2">
      <c r="AQ43875" s="31"/>
    </row>
    <row r="43876" spans="43:43" x14ac:dyDescent="0.2">
      <c r="AQ43876" s="31"/>
    </row>
    <row r="43877" spans="43:43" x14ac:dyDescent="0.2">
      <c r="AQ43877" s="31"/>
    </row>
    <row r="43878" spans="43:43" x14ac:dyDescent="0.2">
      <c r="AQ43878" s="31"/>
    </row>
    <row r="43879" spans="43:43" x14ac:dyDescent="0.2">
      <c r="AQ43879" s="31"/>
    </row>
    <row r="43880" spans="43:43" x14ac:dyDescent="0.2">
      <c r="AQ43880" s="31"/>
    </row>
    <row r="43881" spans="43:43" x14ac:dyDescent="0.2">
      <c r="AQ43881" s="31"/>
    </row>
    <row r="43882" spans="43:43" x14ac:dyDescent="0.2">
      <c r="AQ43882" s="31"/>
    </row>
    <row r="43883" spans="43:43" x14ac:dyDescent="0.2">
      <c r="AQ43883" s="31"/>
    </row>
    <row r="43884" spans="43:43" x14ac:dyDescent="0.2">
      <c r="AQ43884" s="31"/>
    </row>
    <row r="43885" spans="43:43" x14ac:dyDescent="0.2">
      <c r="AQ43885" s="31"/>
    </row>
    <row r="43886" spans="43:43" x14ac:dyDescent="0.2">
      <c r="AQ43886" s="31"/>
    </row>
    <row r="43887" spans="43:43" x14ac:dyDescent="0.2">
      <c r="AQ43887" s="31"/>
    </row>
    <row r="43888" spans="43:43" x14ac:dyDescent="0.2">
      <c r="AQ43888" s="31"/>
    </row>
    <row r="43889" spans="43:43" x14ac:dyDescent="0.2">
      <c r="AQ43889" s="31"/>
    </row>
    <row r="43890" spans="43:43" x14ac:dyDescent="0.2">
      <c r="AQ43890" s="31"/>
    </row>
    <row r="43891" spans="43:43" x14ac:dyDescent="0.2">
      <c r="AQ43891" s="31"/>
    </row>
    <row r="43892" spans="43:43" x14ac:dyDescent="0.2">
      <c r="AQ43892" s="31"/>
    </row>
    <row r="43893" spans="43:43" x14ac:dyDescent="0.2">
      <c r="AQ43893" s="31"/>
    </row>
    <row r="43894" spans="43:43" x14ac:dyDescent="0.2">
      <c r="AQ43894" s="31"/>
    </row>
    <row r="43895" spans="43:43" x14ac:dyDescent="0.2">
      <c r="AQ43895" s="31"/>
    </row>
    <row r="43896" spans="43:43" x14ac:dyDescent="0.2">
      <c r="AQ43896" s="31"/>
    </row>
    <row r="43897" spans="43:43" x14ac:dyDescent="0.2">
      <c r="AQ43897" s="31"/>
    </row>
    <row r="43898" spans="43:43" x14ac:dyDescent="0.2">
      <c r="AQ43898" s="31"/>
    </row>
    <row r="43899" spans="43:43" x14ac:dyDescent="0.2">
      <c r="AQ43899" s="31"/>
    </row>
    <row r="43900" spans="43:43" x14ac:dyDescent="0.2">
      <c r="AQ43900" s="31"/>
    </row>
    <row r="43901" spans="43:43" x14ac:dyDescent="0.2">
      <c r="AQ43901" s="31"/>
    </row>
    <row r="43902" spans="43:43" x14ac:dyDescent="0.2">
      <c r="AQ43902" s="31"/>
    </row>
    <row r="43903" spans="43:43" x14ac:dyDescent="0.2">
      <c r="AQ43903" s="31"/>
    </row>
    <row r="43904" spans="43:43" x14ac:dyDescent="0.2">
      <c r="AQ43904" s="31"/>
    </row>
    <row r="43905" spans="43:43" x14ac:dyDescent="0.2">
      <c r="AQ43905" s="31"/>
    </row>
    <row r="43906" spans="43:43" x14ac:dyDescent="0.2">
      <c r="AQ43906" s="31"/>
    </row>
    <row r="43907" spans="43:43" x14ac:dyDescent="0.2">
      <c r="AQ43907" s="31"/>
    </row>
    <row r="43908" spans="43:43" x14ac:dyDescent="0.2">
      <c r="AQ43908" s="31"/>
    </row>
    <row r="43909" spans="43:43" x14ac:dyDescent="0.2">
      <c r="AQ43909" s="31"/>
    </row>
    <row r="43910" spans="43:43" x14ac:dyDescent="0.2">
      <c r="AQ43910" s="31"/>
    </row>
    <row r="43911" spans="43:43" x14ac:dyDescent="0.2">
      <c r="AQ43911" s="31"/>
    </row>
    <row r="43912" spans="43:43" x14ac:dyDescent="0.2">
      <c r="AQ43912" s="31"/>
    </row>
    <row r="43913" spans="43:43" x14ac:dyDescent="0.2">
      <c r="AQ43913" s="31"/>
    </row>
    <row r="43914" spans="43:43" x14ac:dyDescent="0.2">
      <c r="AQ43914" s="31"/>
    </row>
    <row r="43915" spans="43:43" x14ac:dyDescent="0.2">
      <c r="AQ43915" s="31"/>
    </row>
    <row r="43916" spans="43:43" x14ac:dyDescent="0.2">
      <c r="AQ43916" s="31"/>
    </row>
    <row r="43917" spans="43:43" x14ac:dyDescent="0.2">
      <c r="AQ43917" s="31"/>
    </row>
    <row r="43918" spans="43:43" x14ac:dyDescent="0.2">
      <c r="AQ43918" s="31"/>
    </row>
    <row r="43919" spans="43:43" x14ac:dyDescent="0.2">
      <c r="AQ43919" s="31"/>
    </row>
    <row r="43920" spans="43:43" x14ac:dyDescent="0.2">
      <c r="AQ43920" s="31"/>
    </row>
    <row r="43921" spans="43:43" x14ac:dyDescent="0.2">
      <c r="AQ43921" s="31"/>
    </row>
    <row r="43922" spans="43:43" x14ac:dyDescent="0.2">
      <c r="AQ43922" s="31"/>
    </row>
    <row r="43923" spans="43:43" x14ac:dyDescent="0.2">
      <c r="AQ43923" s="31"/>
    </row>
    <row r="43924" spans="43:43" x14ac:dyDescent="0.2">
      <c r="AQ43924" s="31"/>
    </row>
    <row r="43925" spans="43:43" x14ac:dyDescent="0.2">
      <c r="AQ43925" s="31"/>
    </row>
    <row r="43926" spans="43:43" x14ac:dyDescent="0.2">
      <c r="AQ43926" s="31"/>
    </row>
    <row r="43927" spans="43:43" x14ac:dyDescent="0.2">
      <c r="AQ43927" s="31"/>
    </row>
    <row r="43928" spans="43:43" x14ac:dyDescent="0.2">
      <c r="AQ43928" s="31"/>
    </row>
    <row r="43929" spans="43:43" x14ac:dyDescent="0.2">
      <c r="AQ43929" s="31"/>
    </row>
    <row r="43930" spans="43:43" x14ac:dyDescent="0.2">
      <c r="AQ43930" s="31"/>
    </row>
    <row r="43931" spans="43:43" x14ac:dyDescent="0.2">
      <c r="AQ43931" s="31"/>
    </row>
    <row r="43932" spans="43:43" x14ac:dyDescent="0.2">
      <c r="AQ43932" s="31"/>
    </row>
    <row r="43933" spans="43:43" x14ac:dyDescent="0.2">
      <c r="AQ43933" s="31"/>
    </row>
    <row r="43934" spans="43:43" x14ac:dyDescent="0.2">
      <c r="AQ43934" s="31"/>
    </row>
    <row r="43935" spans="43:43" x14ac:dyDescent="0.2">
      <c r="AQ43935" s="31"/>
    </row>
    <row r="43936" spans="43:43" x14ac:dyDescent="0.2">
      <c r="AQ43936" s="31"/>
    </row>
    <row r="43937" spans="43:43" x14ac:dyDescent="0.2">
      <c r="AQ43937" s="31"/>
    </row>
    <row r="43938" spans="43:43" x14ac:dyDescent="0.2">
      <c r="AQ43938" s="31"/>
    </row>
    <row r="43939" spans="43:43" x14ac:dyDescent="0.2">
      <c r="AQ43939" s="31"/>
    </row>
    <row r="43940" spans="43:43" x14ac:dyDescent="0.2">
      <c r="AQ43940" s="31"/>
    </row>
    <row r="43941" spans="43:43" x14ac:dyDescent="0.2">
      <c r="AQ43941" s="31"/>
    </row>
    <row r="43942" spans="43:43" x14ac:dyDescent="0.2">
      <c r="AQ43942" s="31"/>
    </row>
    <row r="43943" spans="43:43" x14ac:dyDescent="0.2">
      <c r="AQ43943" s="31"/>
    </row>
    <row r="43944" spans="43:43" x14ac:dyDescent="0.2">
      <c r="AQ43944" s="31"/>
    </row>
    <row r="43945" spans="43:43" x14ac:dyDescent="0.2">
      <c r="AQ43945" s="31"/>
    </row>
    <row r="43946" spans="43:43" x14ac:dyDescent="0.2">
      <c r="AQ43946" s="31"/>
    </row>
    <row r="43947" spans="43:43" x14ac:dyDescent="0.2">
      <c r="AQ43947" s="31"/>
    </row>
    <row r="43948" spans="43:43" x14ac:dyDescent="0.2">
      <c r="AQ43948" s="31"/>
    </row>
    <row r="43949" spans="43:43" x14ac:dyDescent="0.2">
      <c r="AQ43949" s="31"/>
    </row>
    <row r="43950" spans="43:43" x14ac:dyDescent="0.2">
      <c r="AQ43950" s="31"/>
    </row>
    <row r="43951" spans="43:43" x14ac:dyDescent="0.2">
      <c r="AQ43951" s="31"/>
    </row>
    <row r="43952" spans="43:43" x14ac:dyDescent="0.2">
      <c r="AQ43952" s="31"/>
    </row>
    <row r="43953" spans="43:43" x14ac:dyDescent="0.2">
      <c r="AQ43953" s="31"/>
    </row>
    <row r="43954" spans="43:43" x14ac:dyDescent="0.2">
      <c r="AQ43954" s="31"/>
    </row>
    <row r="43955" spans="43:43" x14ac:dyDescent="0.2">
      <c r="AQ43955" s="31"/>
    </row>
    <row r="43956" spans="43:43" x14ac:dyDescent="0.2">
      <c r="AQ43956" s="31"/>
    </row>
    <row r="43957" spans="43:43" x14ac:dyDescent="0.2">
      <c r="AQ43957" s="31"/>
    </row>
    <row r="43958" spans="43:43" x14ac:dyDescent="0.2">
      <c r="AQ43958" s="31"/>
    </row>
    <row r="43959" spans="43:43" x14ac:dyDescent="0.2">
      <c r="AQ43959" s="31"/>
    </row>
    <row r="43960" spans="43:43" x14ac:dyDescent="0.2">
      <c r="AQ43960" s="31"/>
    </row>
    <row r="43961" spans="43:43" x14ac:dyDescent="0.2">
      <c r="AQ43961" s="31"/>
    </row>
    <row r="43962" spans="43:43" x14ac:dyDescent="0.2">
      <c r="AQ43962" s="31"/>
    </row>
    <row r="43963" spans="43:43" x14ac:dyDescent="0.2">
      <c r="AQ43963" s="31"/>
    </row>
    <row r="43964" spans="43:43" x14ac:dyDescent="0.2">
      <c r="AQ43964" s="31"/>
    </row>
    <row r="43965" spans="43:43" x14ac:dyDescent="0.2">
      <c r="AQ43965" s="31"/>
    </row>
    <row r="43966" spans="43:43" x14ac:dyDescent="0.2">
      <c r="AQ43966" s="31"/>
    </row>
    <row r="43967" spans="43:43" x14ac:dyDescent="0.2">
      <c r="AQ43967" s="31"/>
    </row>
    <row r="43968" spans="43:43" x14ac:dyDescent="0.2">
      <c r="AQ43968" s="31"/>
    </row>
    <row r="43969" spans="43:43" x14ac:dyDescent="0.2">
      <c r="AQ43969" s="31"/>
    </row>
    <row r="43970" spans="43:43" x14ac:dyDescent="0.2">
      <c r="AQ43970" s="31"/>
    </row>
    <row r="43971" spans="43:43" x14ac:dyDescent="0.2">
      <c r="AQ43971" s="31"/>
    </row>
    <row r="43972" spans="43:43" x14ac:dyDescent="0.2">
      <c r="AQ43972" s="31"/>
    </row>
    <row r="43973" spans="43:43" x14ac:dyDescent="0.2">
      <c r="AQ43973" s="31"/>
    </row>
    <row r="43974" spans="43:43" x14ac:dyDescent="0.2">
      <c r="AQ43974" s="31"/>
    </row>
    <row r="43975" spans="43:43" x14ac:dyDescent="0.2">
      <c r="AQ43975" s="31"/>
    </row>
    <row r="43976" spans="43:43" x14ac:dyDescent="0.2">
      <c r="AQ43976" s="31"/>
    </row>
    <row r="43977" spans="43:43" x14ac:dyDescent="0.2">
      <c r="AQ43977" s="31"/>
    </row>
    <row r="43978" spans="43:43" x14ac:dyDescent="0.2">
      <c r="AQ43978" s="31"/>
    </row>
    <row r="43979" spans="43:43" x14ac:dyDescent="0.2">
      <c r="AQ43979" s="31"/>
    </row>
    <row r="43980" spans="43:43" x14ac:dyDescent="0.2">
      <c r="AQ43980" s="31"/>
    </row>
    <row r="43981" spans="43:43" x14ac:dyDescent="0.2">
      <c r="AQ43981" s="31"/>
    </row>
    <row r="43982" spans="43:43" x14ac:dyDescent="0.2">
      <c r="AQ43982" s="31"/>
    </row>
    <row r="43983" spans="43:43" x14ac:dyDescent="0.2">
      <c r="AQ43983" s="31"/>
    </row>
    <row r="43984" spans="43:43" x14ac:dyDescent="0.2">
      <c r="AQ43984" s="31"/>
    </row>
    <row r="43985" spans="43:43" x14ac:dyDescent="0.2">
      <c r="AQ43985" s="31"/>
    </row>
    <row r="43986" spans="43:43" x14ac:dyDescent="0.2">
      <c r="AQ43986" s="31"/>
    </row>
    <row r="43987" spans="43:43" x14ac:dyDescent="0.2">
      <c r="AQ43987" s="31"/>
    </row>
    <row r="43988" spans="43:43" x14ac:dyDescent="0.2">
      <c r="AQ43988" s="31"/>
    </row>
    <row r="43989" spans="43:43" x14ac:dyDescent="0.2">
      <c r="AQ43989" s="31"/>
    </row>
    <row r="43990" spans="43:43" x14ac:dyDescent="0.2">
      <c r="AQ43990" s="31"/>
    </row>
    <row r="43991" spans="43:43" x14ac:dyDescent="0.2">
      <c r="AQ43991" s="31"/>
    </row>
    <row r="43992" spans="43:43" x14ac:dyDescent="0.2">
      <c r="AQ43992" s="31"/>
    </row>
    <row r="43993" spans="43:43" x14ac:dyDescent="0.2">
      <c r="AQ43993" s="31"/>
    </row>
    <row r="43994" spans="43:43" x14ac:dyDescent="0.2">
      <c r="AQ43994" s="31"/>
    </row>
    <row r="43995" spans="43:43" x14ac:dyDescent="0.2">
      <c r="AQ43995" s="31"/>
    </row>
    <row r="43996" spans="43:43" x14ac:dyDescent="0.2">
      <c r="AQ43996" s="31"/>
    </row>
    <row r="43997" spans="43:43" x14ac:dyDescent="0.2">
      <c r="AQ43997" s="31"/>
    </row>
    <row r="43998" spans="43:43" x14ac:dyDescent="0.2">
      <c r="AQ43998" s="31"/>
    </row>
    <row r="43999" spans="43:43" x14ac:dyDescent="0.2">
      <c r="AQ43999" s="31"/>
    </row>
    <row r="44000" spans="43:43" x14ac:dyDescent="0.2">
      <c r="AQ44000" s="31"/>
    </row>
    <row r="44001" spans="43:43" x14ac:dyDescent="0.2">
      <c r="AQ44001" s="31"/>
    </row>
    <row r="44002" spans="43:43" x14ac:dyDescent="0.2">
      <c r="AQ44002" s="31"/>
    </row>
    <row r="44003" spans="43:43" x14ac:dyDescent="0.2">
      <c r="AQ44003" s="31"/>
    </row>
    <row r="44004" spans="43:43" x14ac:dyDescent="0.2">
      <c r="AQ44004" s="31"/>
    </row>
    <row r="44005" spans="43:43" x14ac:dyDescent="0.2">
      <c r="AQ44005" s="31"/>
    </row>
    <row r="44006" spans="43:43" x14ac:dyDescent="0.2">
      <c r="AQ44006" s="31"/>
    </row>
    <row r="44007" spans="43:43" x14ac:dyDescent="0.2">
      <c r="AQ44007" s="31"/>
    </row>
    <row r="44008" spans="43:43" x14ac:dyDescent="0.2">
      <c r="AQ44008" s="31"/>
    </row>
    <row r="44009" spans="43:43" x14ac:dyDescent="0.2">
      <c r="AQ44009" s="31"/>
    </row>
    <row r="44010" spans="43:43" x14ac:dyDescent="0.2">
      <c r="AQ44010" s="31"/>
    </row>
    <row r="44011" spans="43:43" x14ac:dyDescent="0.2">
      <c r="AQ44011" s="31"/>
    </row>
    <row r="44012" spans="43:43" x14ac:dyDescent="0.2">
      <c r="AQ44012" s="31"/>
    </row>
    <row r="44013" spans="43:43" x14ac:dyDescent="0.2">
      <c r="AQ44013" s="31"/>
    </row>
    <row r="44014" spans="43:43" x14ac:dyDescent="0.2">
      <c r="AQ44014" s="31"/>
    </row>
    <row r="44015" spans="43:43" x14ac:dyDescent="0.2">
      <c r="AQ44015" s="31"/>
    </row>
    <row r="44016" spans="43:43" x14ac:dyDescent="0.2">
      <c r="AQ44016" s="31"/>
    </row>
    <row r="44017" spans="43:43" x14ac:dyDescent="0.2">
      <c r="AQ44017" s="31"/>
    </row>
    <row r="44018" spans="43:43" x14ac:dyDescent="0.2">
      <c r="AQ44018" s="31"/>
    </row>
    <row r="44019" spans="43:43" x14ac:dyDescent="0.2">
      <c r="AQ44019" s="31"/>
    </row>
    <row r="44020" spans="43:43" x14ac:dyDescent="0.2">
      <c r="AQ44020" s="31"/>
    </row>
    <row r="44021" spans="43:43" x14ac:dyDescent="0.2">
      <c r="AQ44021" s="31"/>
    </row>
    <row r="44022" spans="43:43" x14ac:dyDescent="0.2">
      <c r="AQ44022" s="31"/>
    </row>
    <row r="44023" spans="43:43" x14ac:dyDescent="0.2">
      <c r="AQ44023" s="31"/>
    </row>
    <row r="44024" spans="43:43" x14ac:dyDescent="0.2">
      <c r="AQ44024" s="31"/>
    </row>
    <row r="44025" spans="43:43" x14ac:dyDescent="0.2">
      <c r="AQ44025" s="31"/>
    </row>
    <row r="44026" spans="43:43" x14ac:dyDescent="0.2">
      <c r="AQ44026" s="31"/>
    </row>
    <row r="44027" spans="43:43" x14ac:dyDescent="0.2">
      <c r="AQ44027" s="31"/>
    </row>
    <row r="44028" spans="43:43" x14ac:dyDescent="0.2">
      <c r="AQ44028" s="31"/>
    </row>
    <row r="44029" spans="43:43" x14ac:dyDescent="0.2">
      <c r="AQ44029" s="31"/>
    </row>
    <row r="44030" spans="43:43" x14ac:dyDescent="0.2">
      <c r="AQ44030" s="31"/>
    </row>
    <row r="44031" spans="43:43" x14ac:dyDescent="0.2">
      <c r="AQ44031" s="31"/>
    </row>
    <row r="44032" spans="43:43" x14ac:dyDescent="0.2">
      <c r="AQ44032" s="31"/>
    </row>
    <row r="44033" spans="43:43" x14ac:dyDescent="0.2">
      <c r="AQ44033" s="31"/>
    </row>
    <row r="44034" spans="43:43" x14ac:dyDescent="0.2">
      <c r="AQ44034" s="31"/>
    </row>
    <row r="44035" spans="43:43" x14ac:dyDescent="0.2">
      <c r="AQ44035" s="31"/>
    </row>
    <row r="44036" spans="43:43" x14ac:dyDescent="0.2">
      <c r="AQ44036" s="31"/>
    </row>
    <row r="44037" spans="43:43" x14ac:dyDescent="0.2">
      <c r="AQ44037" s="31"/>
    </row>
    <row r="44038" spans="43:43" x14ac:dyDescent="0.2">
      <c r="AQ44038" s="31"/>
    </row>
    <row r="44039" spans="43:43" x14ac:dyDescent="0.2">
      <c r="AQ44039" s="31"/>
    </row>
    <row r="44040" spans="43:43" x14ac:dyDescent="0.2">
      <c r="AQ44040" s="31"/>
    </row>
    <row r="44041" spans="43:43" x14ac:dyDescent="0.2">
      <c r="AQ44041" s="31"/>
    </row>
    <row r="44042" spans="43:43" x14ac:dyDescent="0.2">
      <c r="AQ44042" s="31"/>
    </row>
    <row r="44043" spans="43:43" x14ac:dyDescent="0.2">
      <c r="AQ44043" s="31"/>
    </row>
    <row r="44044" spans="43:43" x14ac:dyDescent="0.2">
      <c r="AQ44044" s="31"/>
    </row>
    <row r="44045" spans="43:43" x14ac:dyDescent="0.2">
      <c r="AQ44045" s="31"/>
    </row>
    <row r="44046" spans="43:43" x14ac:dyDescent="0.2">
      <c r="AQ44046" s="31"/>
    </row>
    <row r="44047" spans="43:43" x14ac:dyDescent="0.2">
      <c r="AQ44047" s="31"/>
    </row>
    <row r="44048" spans="43:43" x14ac:dyDescent="0.2">
      <c r="AQ44048" s="31"/>
    </row>
    <row r="44049" spans="43:43" x14ac:dyDescent="0.2">
      <c r="AQ44049" s="31"/>
    </row>
    <row r="44050" spans="43:43" x14ac:dyDescent="0.2">
      <c r="AQ44050" s="31"/>
    </row>
    <row r="44051" spans="43:43" x14ac:dyDescent="0.2">
      <c r="AQ44051" s="31"/>
    </row>
    <row r="44052" spans="43:43" x14ac:dyDescent="0.2">
      <c r="AQ44052" s="31"/>
    </row>
    <row r="44053" spans="43:43" x14ac:dyDescent="0.2">
      <c r="AQ44053" s="31"/>
    </row>
    <row r="44054" spans="43:43" x14ac:dyDescent="0.2">
      <c r="AQ44054" s="31"/>
    </row>
    <row r="44055" spans="43:43" x14ac:dyDescent="0.2">
      <c r="AQ44055" s="31"/>
    </row>
    <row r="44056" spans="43:43" x14ac:dyDescent="0.2">
      <c r="AQ44056" s="31"/>
    </row>
    <row r="44057" spans="43:43" x14ac:dyDescent="0.2">
      <c r="AQ44057" s="31"/>
    </row>
    <row r="44058" spans="43:43" x14ac:dyDescent="0.2">
      <c r="AQ44058" s="31"/>
    </row>
    <row r="44059" spans="43:43" x14ac:dyDescent="0.2">
      <c r="AQ44059" s="31"/>
    </row>
    <row r="44060" spans="43:43" x14ac:dyDescent="0.2">
      <c r="AQ44060" s="31"/>
    </row>
    <row r="44061" spans="43:43" x14ac:dyDescent="0.2">
      <c r="AQ44061" s="31"/>
    </row>
    <row r="44062" spans="43:43" x14ac:dyDescent="0.2">
      <c r="AQ44062" s="31"/>
    </row>
    <row r="44063" spans="43:43" x14ac:dyDescent="0.2">
      <c r="AQ44063" s="31"/>
    </row>
    <row r="44064" spans="43:43" x14ac:dyDescent="0.2">
      <c r="AQ44064" s="31"/>
    </row>
    <row r="44065" spans="43:43" x14ac:dyDescent="0.2">
      <c r="AQ44065" s="31"/>
    </row>
    <row r="44066" spans="43:43" x14ac:dyDescent="0.2">
      <c r="AQ44066" s="31"/>
    </row>
    <row r="44067" spans="43:43" x14ac:dyDescent="0.2">
      <c r="AQ44067" s="31"/>
    </row>
    <row r="44068" spans="43:43" x14ac:dyDescent="0.2">
      <c r="AQ44068" s="31"/>
    </row>
    <row r="44069" spans="43:43" x14ac:dyDescent="0.2">
      <c r="AQ44069" s="31"/>
    </row>
    <row r="44070" spans="43:43" x14ac:dyDescent="0.2">
      <c r="AQ44070" s="31"/>
    </row>
    <row r="44071" spans="43:43" x14ac:dyDescent="0.2">
      <c r="AQ44071" s="31"/>
    </row>
    <row r="44072" spans="43:43" x14ac:dyDescent="0.2">
      <c r="AQ44072" s="31"/>
    </row>
    <row r="44073" spans="43:43" x14ac:dyDescent="0.2">
      <c r="AQ44073" s="31"/>
    </row>
    <row r="44074" spans="43:43" x14ac:dyDescent="0.2">
      <c r="AQ44074" s="31"/>
    </row>
    <row r="44075" spans="43:43" x14ac:dyDescent="0.2">
      <c r="AQ44075" s="31"/>
    </row>
    <row r="44076" spans="43:43" x14ac:dyDescent="0.2">
      <c r="AQ44076" s="31"/>
    </row>
    <row r="44077" spans="43:43" x14ac:dyDescent="0.2">
      <c r="AQ44077" s="31"/>
    </row>
    <row r="44078" spans="43:43" x14ac:dyDescent="0.2">
      <c r="AQ44078" s="31"/>
    </row>
    <row r="44079" spans="43:43" x14ac:dyDescent="0.2">
      <c r="AQ44079" s="31"/>
    </row>
    <row r="44080" spans="43:43" x14ac:dyDescent="0.2">
      <c r="AQ44080" s="31"/>
    </row>
    <row r="44081" spans="43:43" x14ac:dyDescent="0.2">
      <c r="AQ44081" s="31"/>
    </row>
    <row r="44082" spans="43:43" x14ac:dyDescent="0.2">
      <c r="AQ44082" s="31"/>
    </row>
    <row r="44083" spans="43:43" x14ac:dyDescent="0.2">
      <c r="AQ44083" s="31"/>
    </row>
    <row r="44084" spans="43:43" x14ac:dyDescent="0.2">
      <c r="AQ44084" s="31"/>
    </row>
    <row r="44085" spans="43:43" x14ac:dyDescent="0.2">
      <c r="AQ44085" s="31"/>
    </row>
    <row r="44086" spans="43:43" x14ac:dyDescent="0.2">
      <c r="AQ44086" s="31"/>
    </row>
    <row r="44087" spans="43:43" x14ac:dyDescent="0.2">
      <c r="AQ44087" s="31"/>
    </row>
    <row r="44088" spans="43:43" x14ac:dyDescent="0.2">
      <c r="AQ44088" s="31"/>
    </row>
    <row r="44089" spans="43:43" x14ac:dyDescent="0.2">
      <c r="AQ44089" s="31"/>
    </row>
    <row r="44090" spans="43:43" x14ac:dyDescent="0.2">
      <c r="AQ44090" s="31"/>
    </row>
    <row r="44091" spans="43:43" x14ac:dyDescent="0.2">
      <c r="AQ44091" s="31"/>
    </row>
    <row r="44092" spans="43:43" x14ac:dyDescent="0.2">
      <c r="AQ44092" s="31"/>
    </row>
    <row r="44093" spans="43:43" x14ac:dyDescent="0.2">
      <c r="AQ44093" s="31"/>
    </row>
    <row r="44094" spans="43:43" x14ac:dyDescent="0.2">
      <c r="AQ44094" s="31"/>
    </row>
    <row r="44095" spans="43:43" x14ac:dyDescent="0.2">
      <c r="AQ44095" s="31"/>
    </row>
    <row r="44096" spans="43:43" x14ac:dyDescent="0.2">
      <c r="AQ44096" s="31"/>
    </row>
    <row r="44097" spans="43:43" x14ac:dyDescent="0.2">
      <c r="AQ44097" s="31"/>
    </row>
    <row r="44098" spans="43:43" x14ac:dyDescent="0.2">
      <c r="AQ44098" s="31"/>
    </row>
    <row r="44099" spans="43:43" x14ac:dyDescent="0.2">
      <c r="AQ44099" s="31"/>
    </row>
    <row r="44100" spans="43:43" x14ac:dyDescent="0.2">
      <c r="AQ44100" s="31"/>
    </row>
    <row r="44101" spans="43:43" x14ac:dyDescent="0.2">
      <c r="AQ44101" s="31"/>
    </row>
    <row r="44102" spans="43:43" x14ac:dyDescent="0.2">
      <c r="AQ44102" s="31"/>
    </row>
    <row r="44103" spans="43:43" x14ac:dyDescent="0.2">
      <c r="AQ44103" s="31"/>
    </row>
    <row r="44104" spans="43:43" x14ac:dyDescent="0.2">
      <c r="AQ44104" s="31"/>
    </row>
    <row r="44105" spans="43:43" x14ac:dyDescent="0.2">
      <c r="AQ44105" s="31"/>
    </row>
    <row r="44106" spans="43:43" x14ac:dyDescent="0.2">
      <c r="AQ44106" s="31"/>
    </row>
    <row r="44107" spans="43:43" x14ac:dyDescent="0.2">
      <c r="AQ44107" s="31"/>
    </row>
    <row r="44108" spans="43:43" x14ac:dyDescent="0.2">
      <c r="AQ44108" s="31"/>
    </row>
    <row r="44109" spans="43:43" x14ac:dyDescent="0.2">
      <c r="AQ44109" s="31"/>
    </row>
    <row r="44110" spans="43:43" x14ac:dyDescent="0.2">
      <c r="AQ44110" s="31"/>
    </row>
    <row r="44111" spans="43:43" x14ac:dyDescent="0.2">
      <c r="AQ44111" s="31"/>
    </row>
    <row r="44112" spans="43:43" x14ac:dyDescent="0.2">
      <c r="AQ44112" s="31"/>
    </row>
    <row r="44113" spans="43:43" x14ac:dyDescent="0.2">
      <c r="AQ44113" s="31"/>
    </row>
    <row r="44114" spans="43:43" x14ac:dyDescent="0.2">
      <c r="AQ44114" s="31"/>
    </row>
    <row r="44115" spans="43:43" x14ac:dyDescent="0.2">
      <c r="AQ44115" s="31"/>
    </row>
    <row r="44116" spans="43:43" x14ac:dyDescent="0.2">
      <c r="AQ44116" s="31"/>
    </row>
    <row r="44117" spans="43:43" x14ac:dyDescent="0.2">
      <c r="AQ44117" s="31"/>
    </row>
    <row r="44118" spans="43:43" x14ac:dyDescent="0.2">
      <c r="AQ44118" s="31"/>
    </row>
    <row r="44119" spans="43:43" x14ac:dyDescent="0.2">
      <c r="AQ44119" s="31"/>
    </row>
    <row r="44120" spans="43:43" x14ac:dyDescent="0.2">
      <c r="AQ44120" s="31"/>
    </row>
    <row r="44121" spans="43:43" x14ac:dyDescent="0.2">
      <c r="AQ44121" s="31"/>
    </row>
    <row r="44122" spans="43:43" x14ac:dyDescent="0.2">
      <c r="AQ44122" s="31"/>
    </row>
    <row r="44123" spans="43:43" x14ac:dyDescent="0.2">
      <c r="AQ44123" s="31"/>
    </row>
    <row r="44124" spans="43:43" x14ac:dyDescent="0.2">
      <c r="AQ44124" s="31"/>
    </row>
    <row r="44125" spans="43:43" x14ac:dyDescent="0.2">
      <c r="AQ44125" s="31"/>
    </row>
    <row r="44126" spans="43:43" x14ac:dyDescent="0.2">
      <c r="AQ44126" s="31"/>
    </row>
    <row r="44127" spans="43:43" x14ac:dyDescent="0.2">
      <c r="AQ44127" s="31"/>
    </row>
    <row r="44128" spans="43:43" x14ac:dyDescent="0.2">
      <c r="AQ44128" s="31"/>
    </row>
    <row r="44129" spans="43:43" x14ac:dyDescent="0.2">
      <c r="AQ44129" s="31"/>
    </row>
    <row r="44130" spans="43:43" x14ac:dyDescent="0.2">
      <c r="AQ44130" s="31"/>
    </row>
    <row r="44131" spans="43:43" x14ac:dyDescent="0.2">
      <c r="AQ44131" s="31"/>
    </row>
    <row r="44132" spans="43:43" x14ac:dyDescent="0.2">
      <c r="AQ44132" s="31"/>
    </row>
    <row r="44133" spans="43:43" x14ac:dyDescent="0.2">
      <c r="AQ44133" s="31"/>
    </row>
    <row r="44134" spans="43:43" x14ac:dyDescent="0.2">
      <c r="AQ44134" s="31"/>
    </row>
    <row r="44135" spans="43:43" x14ac:dyDescent="0.2">
      <c r="AQ44135" s="31"/>
    </row>
    <row r="44136" spans="43:43" x14ac:dyDescent="0.2">
      <c r="AQ44136" s="31"/>
    </row>
    <row r="44137" spans="43:43" x14ac:dyDescent="0.2">
      <c r="AQ44137" s="31"/>
    </row>
    <row r="44138" spans="43:43" x14ac:dyDescent="0.2">
      <c r="AQ44138" s="31"/>
    </row>
    <row r="44139" spans="43:43" x14ac:dyDescent="0.2">
      <c r="AQ44139" s="31"/>
    </row>
    <row r="44140" spans="43:43" x14ac:dyDescent="0.2">
      <c r="AQ44140" s="31"/>
    </row>
    <row r="44141" spans="43:43" x14ac:dyDescent="0.2">
      <c r="AQ44141" s="31"/>
    </row>
    <row r="44142" spans="43:43" x14ac:dyDescent="0.2">
      <c r="AQ44142" s="31"/>
    </row>
    <row r="44143" spans="43:43" x14ac:dyDescent="0.2">
      <c r="AQ44143" s="31"/>
    </row>
    <row r="44144" spans="43:43" x14ac:dyDescent="0.2">
      <c r="AQ44144" s="31"/>
    </row>
    <row r="44145" spans="43:43" x14ac:dyDescent="0.2">
      <c r="AQ44145" s="31"/>
    </row>
    <row r="44146" spans="43:43" x14ac:dyDescent="0.2">
      <c r="AQ44146" s="31"/>
    </row>
    <row r="44147" spans="43:43" x14ac:dyDescent="0.2">
      <c r="AQ44147" s="31"/>
    </row>
    <row r="44148" spans="43:43" x14ac:dyDescent="0.2">
      <c r="AQ44148" s="31"/>
    </row>
    <row r="44149" spans="43:43" x14ac:dyDescent="0.2">
      <c r="AQ44149" s="31"/>
    </row>
    <row r="44150" spans="43:43" x14ac:dyDescent="0.2">
      <c r="AQ44150" s="31"/>
    </row>
    <row r="44151" spans="43:43" x14ac:dyDescent="0.2">
      <c r="AQ44151" s="31"/>
    </row>
    <row r="44152" spans="43:43" x14ac:dyDescent="0.2">
      <c r="AQ44152" s="31"/>
    </row>
    <row r="44153" spans="43:43" x14ac:dyDescent="0.2">
      <c r="AQ44153" s="31"/>
    </row>
    <row r="44154" spans="43:43" x14ac:dyDescent="0.2">
      <c r="AQ44154" s="31"/>
    </row>
    <row r="44155" spans="43:43" x14ac:dyDescent="0.2">
      <c r="AQ44155" s="31"/>
    </row>
    <row r="44156" spans="43:43" x14ac:dyDescent="0.2">
      <c r="AQ44156" s="31"/>
    </row>
    <row r="44157" spans="43:43" x14ac:dyDescent="0.2">
      <c r="AQ44157" s="31"/>
    </row>
    <row r="44158" spans="43:43" x14ac:dyDescent="0.2">
      <c r="AQ44158" s="31"/>
    </row>
    <row r="44159" spans="43:43" x14ac:dyDescent="0.2">
      <c r="AQ44159" s="31"/>
    </row>
    <row r="44160" spans="43:43" x14ac:dyDescent="0.2">
      <c r="AQ44160" s="31"/>
    </row>
    <row r="44161" spans="43:43" x14ac:dyDescent="0.2">
      <c r="AQ44161" s="31"/>
    </row>
    <row r="44162" spans="43:43" x14ac:dyDescent="0.2">
      <c r="AQ44162" s="31"/>
    </row>
    <row r="44163" spans="43:43" x14ac:dyDescent="0.2">
      <c r="AQ44163" s="31"/>
    </row>
    <row r="44164" spans="43:43" x14ac:dyDescent="0.2">
      <c r="AQ44164" s="31"/>
    </row>
    <row r="44165" spans="43:43" x14ac:dyDescent="0.2">
      <c r="AQ44165" s="31"/>
    </row>
    <row r="44166" spans="43:43" x14ac:dyDescent="0.2">
      <c r="AQ44166" s="31"/>
    </row>
    <row r="44167" spans="43:43" x14ac:dyDescent="0.2">
      <c r="AQ44167" s="31"/>
    </row>
    <row r="44168" spans="43:43" x14ac:dyDescent="0.2">
      <c r="AQ44168" s="31"/>
    </row>
    <row r="44169" spans="43:43" x14ac:dyDescent="0.2">
      <c r="AQ44169" s="31"/>
    </row>
    <row r="44170" spans="43:43" x14ac:dyDescent="0.2">
      <c r="AQ44170" s="31"/>
    </row>
    <row r="44171" spans="43:43" x14ac:dyDescent="0.2">
      <c r="AQ44171" s="31"/>
    </row>
    <row r="44172" spans="43:43" x14ac:dyDescent="0.2">
      <c r="AQ44172" s="31"/>
    </row>
    <row r="44173" spans="43:43" x14ac:dyDescent="0.2">
      <c r="AQ44173" s="31"/>
    </row>
    <row r="44174" spans="43:43" x14ac:dyDescent="0.2">
      <c r="AQ44174" s="31"/>
    </row>
    <row r="44175" spans="43:43" x14ac:dyDescent="0.2">
      <c r="AQ44175" s="31"/>
    </row>
    <row r="44176" spans="43:43" x14ac:dyDescent="0.2">
      <c r="AQ44176" s="31"/>
    </row>
    <row r="44177" spans="43:43" x14ac:dyDescent="0.2">
      <c r="AQ44177" s="31"/>
    </row>
    <row r="44178" spans="43:43" x14ac:dyDescent="0.2">
      <c r="AQ44178" s="31"/>
    </row>
    <row r="44179" spans="43:43" x14ac:dyDescent="0.2">
      <c r="AQ44179" s="31"/>
    </row>
    <row r="44180" spans="43:43" x14ac:dyDescent="0.2">
      <c r="AQ44180" s="31"/>
    </row>
    <row r="44181" spans="43:43" x14ac:dyDescent="0.2">
      <c r="AQ44181" s="31"/>
    </row>
    <row r="44182" spans="43:43" x14ac:dyDescent="0.2">
      <c r="AQ44182" s="31"/>
    </row>
    <row r="44183" spans="43:43" x14ac:dyDescent="0.2">
      <c r="AQ44183" s="31"/>
    </row>
    <row r="44184" spans="43:43" x14ac:dyDescent="0.2">
      <c r="AQ44184" s="31"/>
    </row>
    <row r="44185" spans="43:43" x14ac:dyDescent="0.2">
      <c r="AQ44185" s="31"/>
    </row>
    <row r="44186" spans="43:43" x14ac:dyDescent="0.2">
      <c r="AQ44186" s="31"/>
    </row>
    <row r="44187" spans="43:43" x14ac:dyDescent="0.2">
      <c r="AQ44187" s="31"/>
    </row>
    <row r="44188" spans="43:43" x14ac:dyDescent="0.2">
      <c r="AQ44188" s="31"/>
    </row>
    <row r="44189" spans="43:43" x14ac:dyDescent="0.2">
      <c r="AQ44189" s="31"/>
    </row>
    <row r="44190" spans="43:43" x14ac:dyDescent="0.2">
      <c r="AQ44190" s="31"/>
    </row>
    <row r="44191" spans="43:43" x14ac:dyDescent="0.2">
      <c r="AQ44191" s="31"/>
    </row>
    <row r="44192" spans="43:43" x14ac:dyDescent="0.2">
      <c r="AQ44192" s="31"/>
    </row>
    <row r="44193" spans="43:43" x14ac:dyDescent="0.2">
      <c r="AQ44193" s="31"/>
    </row>
    <row r="44194" spans="43:43" x14ac:dyDescent="0.2">
      <c r="AQ44194" s="31"/>
    </row>
    <row r="44195" spans="43:43" x14ac:dyDescent="0.2">
      <c r="AQ44195" s="31"/>
    </row>
    <row r="44196" spans="43:43" x14ac:dyDescent="0.2">
      <c r="AQ44196" s="31"/>
    </row>
    <row r="44197" spans="43:43" x14ac:dyDescent="0.2">
      <c r="AQ44197" s="31"/>
    </row>
    <row r="44198" spans="43:43" x14ac:dyDescent="0.2">
      <c r="AQ44198" s="31"/>
    </row>
    <row r="44199" spans="43:43" x14ac:dyDescent="0.2">
      <c r="AQ44199" s="31"/>
    </row>
    <row r="44200" spans="43:43" x14ac:dyDescent="0.2">
      <c r="AQ44200" s="31"/>
    </row>
    <row r="44201" spans="43:43" x14ac:dyDescent="0.2">
      <c r="AQ44201" s="31"/>
    </row>
    <row r="44202" spans="43:43" x14ac:dyDescent="0.2">
      <c r="AQ44202" s="31"/>
    </row>
    <row r="44203" spans="43:43" x14ac:dyDescent="0.2">
      <c r="AQ44203" s="31"/>
    </row>
    <row r="44204" spans="43:43" x14ac:dyDescent="0.2">
      <c r="AQ44204" s="31"/>
    </row>
    <row r="44205" spans="43:43" x14ac:dyDescent="0.2">
      <c r="AQ44205" s="31"/>
    </row>
    <row r="44206" spans="43:43" x14ac:dyDescent="0.2">
      <c r="AQ44206" s="31"/>
    </row>
    <row r="44207" spans="43:43" x14ac:dyDescent="0.2">
      <c r="AQ44207" s="31"/>
    </row>
    <row r="44208" spans="43:43" x14ac:dyDescent="0.2">
      <c r="AQ44208" s="31"/>
    </row>
    <row r="44209" spans="43:43" x14ac:dyDescent="0.2">
      <c r="AQ44209" s="31"/>
    </row>
    <row r="44210" spans="43:43" x14ac:dyDescent="0.2">
      <c r="AQ44210" s="31"/>
    </row>
    <row r="44211" spans="43:43" x14ac:dyDescent="0.2">
      <c r="AQ44211" s="31"/>
    </row>
    <row r="44212" spans="43:43" x14ac:dyDescent="0.2">
      <c r="AQ44212" s="31"/>
    </row>
    <row r="44213" spans="43:43" x14ac:dyDescent="0.2">
      <c r="AQ44213" s="31"/>
    </row>
    <row r="44214" spans="43:43" x14ac:dyDescent="0.2">
      <c r="AQ44214" s="31"/>
    </row>
    <row r="44215" spans="43:43" x14ac:dyDescent="0.2">
      <c r="AQ44215" s="31"/>
    </row>
    <row r="44216" spans="43:43" x14ac:dyDescent="0.2">
      <c r="AQ44216" s="31"/>
    </row>
    <row r="44217" spans="43:43" x14ac:dyDescent="0.2">
      <c r="AQ44217" s="31"/>
    </row>
    <row r="44218" spans="43:43" x14ac:dyDescent="0.2">
      <c r="AQ44218" s="31"/>
    </row>
    <row r="44219" spans="43:43" x14ac:dyDescent="0.2">
      <c r="AQ44219" s="31"/>
    </row>
    <row r="44220" spans="43:43" x14ac:dyDescent="0.2">
      <c r="AQ44220" s="31"/>
    </row>
    <row r="44221" spans="43:43" x14ac:dyDescent="0.2">
      <c r="AQ44221" s="31"/>
    </row>
    <row r="44222" spans="43:43" x14ac:dyDescent="0.2">
      <c r="AQ44222" s="31"/>
    </row>
    <row r="44223" spans="43:43" x14ac:dyDescent="0.2">
      <c r="AQ44223" s="31"/>
    </row>
    <row r="44224" spans="43:43" x14ac:dyDescent="0.2">
      <c r="AQ44224" s="31"/>
    </row>
    <row r="44225" spans="43:43" x14ac:dyDescent="0.2">
      <c r="AQ44225" s="31"/>
    </row>
    <row r="44226" spans="43:43" x14ac:dyDescent="0.2">
      <c r="AQ44226" s="31"/>
    </row>
    <row r="44227" spans="43:43" x14ac:dyDescent="0.2">
      <c r="AQ44227" s="31"/>
    </row>
    <row r="44228" spans="43:43" x14ac:dyDescent="0.2">
      <c r="AQ44228" s="31"/>
    </row>
    <row r="44229" spans="43:43" x14ac:dyDescent="0.2">
      <c r="AQ44229" s="31"/>
    </row>
    <row r="44230" spans="43:43" x14ac:dyDescent="0.2">
      <c r="AQ44230" s="31"/>
    </row>
    <row r="44231" spans="43:43" x14ac:dyDescent="0.2">
      <c r="AQ44231" s="31"/>
    </row>
    <row r="44232" spans="43:43" x14ac:dyDescent="0.2">
      <c r="AQ44232" s="31"/>
    </row>
    <row r="44233" spans="43:43" x14ac:dyDescent="0.2">
      <c r="AQ44233" s="31"/>
    </row>
    <row r="44234" spans="43:43" x14ac:dyDescent="0.2">
      <c r="AQ44234" s="31"/>
    </row>
    <row r="44235" spans="43:43" x14ac:dyDescent="0.2">
      <c r="AQ44235" s="31"/>
    </row>
    <row r="44236" spans="43:43" x14ac:dyDescent="0.2">
      <c r="AQ44236" s="31"/>
    </row>
    <row r="44237" spans="43:43" x14ac:dyDescent="0.2">
      <c r="AQ44237" s="31"/>
    </row>
    <row r="44238" spans="43:43" x14ac:dyDescent="0.2">
      <c r="AQ44238" s="31"/>
    </row>
    <row r="44239" spans="43:43" x14ac:dyDescent="0.2">
      <c r="AQ44239" s="31"/>
    </row>
    <row r="44240" spans="43:43" x14ac:dyDescent="0.2">
      <c r="AQ44240" s="31"/>
    </row>
    <row r="44241" spans="43:43" x14ac:dyDescent="0.2">
      <c r="AQ44241" s="31"/>
    </row>
    <row r="44242" spans="43:43" x14ac:dyDescent="0.2">
      <c r="AQ44242" s="31"/>
    </row>
    <row r="44243" spans="43:43" x14ac:dyDescent="0.2">
      <c r="AQ44243" s="31"/>
    </row>
    <row r="44244" spans="43:43" x14ac:dyDescent="0.2">
      <c r="AQ44244" s="31"/>
    </row>
    <row r="44245" spans="43:43" x14ac:dyDescent="0.2">
      <c r="AQ44245" s="31"/>
    </row>
    <row r="44246" spans="43:43" x14ac:dyDescent="0.2">
      <c r="AQ44246" s="31"/>
    </row>
    <row r="44247" spans="43:43" x14ac:dyDescent="0.2">
      <c r="AQ44247" s="31"/>
    </row>
    <row r="44248" spans="43:43" x14ac:dyDescent="0.2">
      <c r="AQ44248" s="31"/>
    </row>
    <row r="44249" spans="43:43" x14ac:dyDescent="0.2">
      <c r="AQ44249" s="31"/>
    </row>
    <row r="44250" spans="43:43" x14ac:dyDescent="0.2">
      <c r="AQ44250" s="31"/>
    </row>
    <row r="44251" spans="43:43" x14ac:dyDescent="0.2">
      <c r="AQ44251" s="31"/>
    </row>
    <row r="44252" spans="43:43" x14ac:dyDescent="0.2">
      <c r="AQ44252" s="31"/>
    </row>
    <row r="44253" spans="43:43" x14ac:dyDescent="0.2">
      <c r="AQ44253" s="31"/>
    </row>
    <row r="44254" spans="43:43" x14ac:dyDescent="0.2">
      <c r="AQ44254" s="31"/>
    </row>
    <row r="44255" spans="43:43" x14ac:dyDescent="0.2">
      <c r="AQ44255" s="31"/>
    </row>
    <row r="44256" spans="43:43" x14ac:dyDescent="0.2">
      <c r="AQ44256" s="31"/>
    </row>
    <row r="44257" spans="43:43" x14ac:dyDescent="0.2">
      <c r="AQ44257" s="31"/>
    </row>
    <row r="44258" spans="43:43" x14ac:dyDescent="0.2">
      <c r="AQ44258" s="31"/>
    </row>
    <row r="44259" spans="43:43" x14ac:dyDescent="0.2">
      <c r="AQ44259" s="31"/>
    </row>
    <row r="44260" spans="43:43" x14ac:dyDescent="0.2">
      <c r="AQ44260" s="31"/>
    </row>
    <row r="44261" spans="43:43" x14ac:dyDescent="0.2">
      <c r="AQ44261" s="31"/>
    </row>
    <row r="44262" spans="43:43" x14ac:dyDescent="0.2">
      <c r="AQ44262" s="31"/>
    </row>
    <row r="44263" spans="43:43" x14ac:dyDescent="0.2">
      <c r="AQ44263" s="31"/>
    </row>
    <row r="44264" spans="43:43" x14ac:dyDescent="0.2">
      <c r="AQ44264" s="31"/>
    </row>
    <row r="44265" spans="43:43" x14ac:dyDescent="0.2">
      <c r="AQ44265" s="31"/>
    </row>
    <row r="44266" spans="43:43" x14ac:dyDescent="0.2">
      <c r="AQ44266" s="31"/>
    </row>
    <row r="44267" spans="43:43" x14ac:dyDescent="0.2">
      <c r="AQ44267" s="31"/>
    </row>
    <row r="44268" spans="43:43" x14ac:dyDescent="0.2">
      <c r="AQ44268" s="31"/>
    </row>
    <row r="44269" spans="43:43" x14ac:dyDescent="0.2">
      <c r="AQ44269" s="31"/>
    </row>
    <row r="44270" spans="43:43" x14ac:dyDescent="0.2">
      <c r="AQ44270" s="31"/>
    </row>
    <row r="44271" spans="43:43" x14ac:dyDescent="0.2">
      <c r="AQ44271" s="31"/>
    </row>
    <row r="44272" spans="43:43" x14ac:dyDescent="0.2">
      <c r="AQ44272" s="31"/>
    </row>
    <row r="44273" spans="43:43" x14ac:dyDescent="0.2">
      <c r="AQ44273" s="31"/>
    </row>
    <row r="44274" spans="43:43" x14ac:dyDescent="0.2">
      <c r="AQ44274" s="31"/>
    </row>
    <row r="44275" spans="43:43" x14ac:dyDescent="0.2">
      <c r="AQ44275" s="31"/>
    </row>
    <row r="44276" spans="43:43" x14ac:dyDescent="0.2">
      <c r="AQ44276" s="31"/>
    </row>
    <row r="44277" spans="43:43" x14ac:dyDescent="0.2">
      <c r="AQ44277" s="31"/>
    </row>
    <row r="44278" spans="43:43" x14ac:dyDescent="0.2">
      <c r="AQ44278" s="31"/>
    </row>
    <row r="44279" spans="43:43" x14ac:dyDescent="0.2">
      <c r="AQ44279" s="31"/>
    </row>
    <row r="44280" spans="43:43" x14ac:dyDescent="0.2">
      <c r="AQ44280" s="31"/>
    </row>
    <row r="44281" spans="43:43" x14ac:dyDescent="0.2">
      <c r="AQ44281" s="31"/>
    </row>
    <row r="44282" spans="43:43" x14ac:dyDescent="0.2">
      <c r="AQ44282" s="31"/>
    </row>
    <row r="44283" spans="43:43" x14ac:dyDescent="0.2">
      <c r="AQ44283" s="31"/>
    </row>
    <row r="44284" spans="43:43" x14ac:dyDescent="0.2">
      <c r="AQ44284" s="31"/>
    </row>
    <row r="44285" spans="43:43" x14ac:dyDescent="0.2">
      <c r="AQ44285" s="31"/>
    </row>
    <row r="44286" spans="43:43" x14ac:dyDescent="0.2">
      <c r="AQ44286" s="31"/>
    </row>
    <row r="44287" spans="43:43" x14ac:dyDescent="0.2">
      <c r="AQ44287" s="31"/>
    </row>
    <row r="44288" spans="43:43" x14ac:dyDescent="0.2">
      <c r="AQ44288" s="31"/>
    </row>
    <row r="44289" spans="43:43" x14ac:dyDescent="0.2">
      <c r="AQ44289" s="31"/>
    </row>
    <row r="44290" spans="43:43" x14ac:dyDescent="0.2">
      <c r="AQ44290" s="31"/>
    </row>
    <row r="44291" spans="43:43" x14ac:dyDescent="0.2">
      <c r="AQ44291" s="31"/>
    </row>
    <row r="44292" spans="43:43" x14ac:dyDescent="0.2">
      <c r="AQ44292" s="31"/>
    </row>
    <row r="44293" spans="43:43" x14ac:dyDescent="0.2">
      <c r="AQ44293" s="31"/>
    </row>
    <row r="44294" spans="43:43" x14ac:dyDescent="0.2">
      <c r="AQ44294" s="31"/>
    </row>
    <row r="44295" spans="43:43" x14ac:dyDescent="0.2">
      <c r="AQ44295" s="31"/>
    </row>
    <row r="44296" spans="43:43" x14ac:dyDescent="0.2">
      <c r="AQ44296" s="31"/>
    </row>
    <row r="44297" spans="43:43" x14ac:dyDescent="0.2">
      <c r="AQ44297" s="31"/>
    </row>
    <row r="44298" spans="43:43" x14ac:dyDescent="0.2">
      <c r="AQ44298" s="31"/>
    </row>
    <row r="44299" spans="43:43" x14ac:dyDescent="0.2">
      <c r="AQ44299" s="31"/>
    </row>
    <row r="44300" spans="43:43" x14ac:dyDescent="0.2">
      <c r="AQ44300" s="31"/>
    </row>
    <row r="44301" spans="43:43" x14ac:dyDescent="0.2">
      <c r="AQ44301" s="31"/>
    </row>
    <row r="44302" spans="43:43" x14ac:dyDescent="0.2">
      <c r="AQ44302" s="31"/>
    </row>
    <row r="44303" spans="43:43" x14ac:dyDescent="0.2">
      <c r="AQ44303" s="31"/>
    </row>
    <row r="44304" spans="43:43" x14ac:dyDescent="0.2">
      <c r="AQ44304" s="31"/>
    </row>
    <row r="44305" spans="43:43" x14ac:dyDescent="0.2">
      <c r="AQ44305" s="31"/>
    </row>
    <row r="44306" spans="43:43" x14ac:dyDescent="0.2">
      <c r="AQ44306" s="31"/>
    </row>
    <row r="44307" spans="43:43" x14ac:dyDescent="0.2">
      <c r="AQ44307" s="31"/>
    </row>
    <row r="44308" spans="43:43" x14ac:dyDescent="0.2">
      <c r="AQ44308" s="31"/>
    </row>
    <row r="44309" spans="43:43" x14ac:dyDescent="0.2">
      <c r="AQ44309" s="31"/>
    </row>
    <row r="44310" spans="43:43" x14ac:dyDescent="0.2">
      <c r="AQ44310" s="31"/>
    </row>
    <row r="44311" spans="43:43" x14ac:dyDescent="0.2">
      <c r="AQ44311" s="31"/>
    </row>
    <row r="44312" spans="43:43" x14ac:dyDescent="0.2">
      <c r="AQ44312" s="31"/>
    </row>
    <row r="44313" spans="43:43" x14ac:dyDescent="0.2">
      <c r="AQ44313" s="31"/>
    </row>
    <row r="44314" spans="43:43" x14ac:dyDescent="0.2">
      <c r="AQ44314" s="31"/>
    </row>
    <row r="44315" spans="43:43" x14ac:dyDescent="0.2">
      <c r="AQ44315" s="31"/>
    </row>
    <row r="44316" spans="43:43" x14ac:dyDescent="0.2">
      <c r="AQ44316" s="31"/>
    </row>
    <row r="44317" spans="43:43" x14ac:dyDescent="0.2">
      <c r="AQ44317" s="31"/>
    </row>
    <row r="44318" spans="43:43" x14ac:dyDescent="0.2">
      <c r="AQ44318" s="31"/>
    </row>
    <row r="44319" spans="43:43" x14ac:dyDescent="0.2">
      <c r="AQ44319" s="31"/>
    </row>
    <row r="44320" spans="43:43" x14ac:dyDescent="0.2">
      <c r="AQ44320" s="31"/>
    </row>
    <row r="44321" spans="43:43" x14ac:dyDescent="0.2">
      <c r="AQ44321" s="31"/>
    </row>
    <row r="44322" spans="43:43" x14ac:dyDescent="0.2">
      <c r="AQ44322" s="31"/>
    </row>
    <row r="44323" spans="43:43" x14ac:dyDescent="0.2">
      <c r="AQ44323" s="31"/>
    </row>
    <row r="44324" spans="43:43" x14ac:dyDescent="0.2">
      <c r="AQ44324" s="31"/>
    </row>
    <row r="44325" spans="43:43" x14ac:dyDescent="0.2">
      <c r="AQ44325" s="31"/>
    </row>
    <row r="44326" spans="43:43" x14ac:dyDescent="0.2">
      <c r="AQ44326" s="31"/>
    </row>
    <row r="44327" spans="43:43" x14ac:dyDescent="0.2">
      <c r="AQ44327" s="31"/>
    </row>
    <row r="44328" spans="43:43" x14ac:dyDescent="0.2">
      <c r="AQ44328" s="31"/>
    </row>
    <row r="44329" spans="43:43" x14ac:dyDescent="0.2">
      <c r="AQ44329" s="31"/>
    </row>
    <row r="44330" spans="43:43" x14ac:dyDescent="0.2">
      <c r="AQ44330" s="31"/>
    </row>
    <row r="44331" spans="43:43" x14ac:dyDescent="0.2">
      <c r="AQ44331" s="31"/>
    </row>
    <row r="44332" spans="43:43" x14ac:dyDescent="0.2">
      <c r="AQ44332" s="31"/>
    </row>
    <row r="44333" spans="43:43" x14ac:dyDescent="0.2">
      <c r="AQ44333" s="31"/>
    </row>
    <row r="44334" spans="43:43" x14ac:dyDescent="0.2">
      <c r="AQ44334" s="31"/>
    </row>
    <row r="44335" spans="43:43" x14ac:dyDescent="0.2">
      <c r="AQ44335" s="31"/>
    </row>
    <row r="44336" spans="43:43" x14ac:dyDescent="0.2">
      <c r="AQ44336" s="31"/>
    </row>
    <row r="44337" spans="43:43" x14ac:dyDescent="0.2">
      <c r="AQ44337" s="31"/>
    </row>
    <row r="44338" spans="43:43" x14ac:dyDescent="0.2">
      <c r="AQ44338" s="31"/>
    </row>
    <row r="44339" spans="43:43" x14ac:dyDescent="0.2">
      <c r="AQ44339" s="31"/>
    </row>
    <row r="44340" spans="43:43" x14ac:dyDescent="0.2">
      <c r="AQ44340" s="31"/>
    </row>
    <row r="44341" spans="43:43" x14ac:dyDescent="0.2">
      <c r="AQ44341" s="31"/>
    </row>
    <row r="44342" spans="43:43" x14ac:dyDescent="0.2">
      <c r="AQ44342" s="31"/>
    </row>
    <row r="44343" spans="43:43" x14ac:dyDescent="0.2">
      <c r="AQ44343" s="31"/>
    </row>
    <row r="44344" spans="43:43" x14ac:dyDescent="0.2">
      <c r="AQ44344" s="31"/>
    </row>
    <row r="44345" spans="43:43" x14ac:dyDescent="0.2">
      <c r="AQ44345" s="31"/>
    </row>
    <row r="44346" spans="43:43" x14ac:dyDescent="0.2">
      <c r="AQ44346" s="31"/>
    </row>
    <row r="44347" spans="43:43" x14ac:dyDescent="0.2">
      <c r="AQ44347" s="31"/>
    </row>
    <row r="44348" spans="43:43" x14ac:dyDescent="0.2">
      <c r="AQ44348" s="31"/>
    </row>
    <row r="44349" spans="43:43" x14ac:dyDescent="0.2">
      <c r="AQ44349" s="31"/>
    </row>
    <row r="44350" spans="43:43" x14ac:dyDescent="0.2">
      <c r="AQ44350" s="31"/>
    </row>
    <row r="44351" spans="43:43" x14ac:dyDescent="0.2">
      <c r="AQ44351" s="31"/>
    </row>
    <row r="44352" spans="43:43" x14ac:dyDescent="0.2">
      <c r="AQ44352" s="31"/>
    </row>
    <row r="44353" spans="43:43" x14ac:dyDescent="0.2">
      <c r="AQ44353" s="31"/>
    </row>
    <row r="44354" spans="43:43" x14ac:dyDescent="0.2">
      <c r="AQ44354" s="31"/>
    </row>
    <row r="44355" spans="43:43" x14ac:dyDescent="0.2">
      <c r="AQ44355" s="31"/>
    </row>
    <row r="44356" spans="43:43" x14ac:dyDescent="0.2">
      <c r="AQ44356" s="31"/>
    </row>
    <row r="44357" spans="43:43" x14ac:dyDescent="0.2">
      <c r="AQ44357" s="31"/>
    </row>
    <row r="44358" spans="43:43" x14ac:dyDescent="0.2">
      <c r="AQ44358" s="31"/>
    </row>
    <row r="44359" spans="43:43" x14ac:dyDescent="0.2">
      <c r="AQ44359" s="31"/>
    </row>
    <row r="44360" spans="43:43" x14ac:dyDescent="0.2">
      <c r="AQ44360" s="31"/>
    </row>
    <row r="44361" spans="43:43" x14ac:dyDescent="0.2">
      <c r="AQ44361" s="31"/>
    </row>
    <row r="44362" spans="43:43" x14ac:dyDescent="0.2">
      <c r="AQ44362" s="31"/>
    </row>
    <row r="44363" spans="43:43" x14ac:dyDescent="0.2">
      <c r="AQ44363" s="31"/>
    </row>
    <row r="44364" spans="43:43" x14ac:dyDescent="0.2">
      <c r="AQ44364" s="31"/>
    </row>
    <row r="44365" spans="43:43" x14ac:dyDescent="0.2">
      <c r="AQ44365" s="31"/>
    </row>
    <row r="44366" spans="43:43" x14ac:dyDescent="0.2">
      <c r="AQ44366" s="31"/>
    </row>
    <row r="44367" spans="43:43" x14ac:dyDescent="0.2">
      <c r="AQ44367" s="31"/>
    </row>
    <row r="44368" spans="43:43" x14ac:dyDescent="0.2">
      <c r="AQ44368" s="31"/>
    </row>
    <row r="44369" spans="43:43" x14ac:dyDescent="0.2">
      <c r="AQ44369" s="31"/>
    </row>
    <row r="44370" spans="43:43" x14ac:dyDescent="0.2">
      <c r="AQ44370" s="31"/>
    </row>
    <row r="44371" spans="43:43" x14ac:dyDescent="0.2">
      <c r="AQ44371" s="31"/>
    </row>
    <row r="44372" spans="43:43" x14ac:dyDescent="0.2">
      <c r="AQ44372" s="31"/>
    </row>
    <row r="44373" spans="43:43" x14ac:dyDescent="0.2">
      <c r="AQ44373" s="31"/>
    </row>
    <row r="44374" spans="43:43" x14ac:dyDescent="0.2">
      <c r="AQ44374" s="31"/>
    </row>
    <row r="44375" spans="43:43" x14ac:dyDescent="0.2">
      <c r="AQ44375" s="31"/>
    </row>
    <row r="44376" spans="43:43" x14ac:dyDescent="0.2">
      <c r="AQ44376" s="31"/>
    </row>
    <row r="44377" spans="43:43" x14ac:dyDescent="0.2">
      <c r="AQ44377" s="31"/>
    </row>
    <row r="44378" spans="43:43" x14ac:dyDescent="0.2">
      <c r="AQ44378" s="31"/>
    </row>
    <row r="44379" spans="43:43" x14ac:dyDescent="0.2">
      <c r="AQ44379" s="31"/>
    </row>
    <row r="44380" spans="43:43" x14ac:dyDescent="0.2">
      <c r="AQ44380" s="31"/>
    </row>
    <row r="44381" spans="43:43" x14ac:dyDescent="0.2">
      <c r="AQ44381" s="31"/>
    </row>
    <row r="44382" spans="43:43" x14ac:dyDescent="0.2">
      <c r="AQ44382" s="31"/>
    </row>
    <row r="44383" spans="43:43" x14ac:dyDescent="0.2">
      <c r="AQ44383" s="31"/>
    </row>
    <row r="44384" spans="43:43" x14ac:dyDescent="0.2">
      <c r="AQ44384" s="31"/>
    </row>
    <row r="44385" spans="43:43" x14ac:dyDescent="0.2">
      <c r="AQ44385" s="31"/>
    </row>
    <row r="44386" spans="43:43" x14ac:dyDescent="0.2">
      <c r="AQ44386" s="31"/>
    </row>
    <row r="44387" spans="43:43" x14ac:dyDescent="0.2">
      <c r="AQ44387" s="31"/>
    </row>
    <row r="44388" spans="43:43" x14ac:dyDescent="0.2">
      <c r="AQ44388" s="31"/>
    </row>
    <row r="44389" spans="43:43" x14ac:dyDescent="0.2">
      <c r="AQ44389" s="31"/>
    </row>
    <row r="44390" spans="43:43" x14ac:dyDescent="0.2">
      <c r="AQ44390" s="31"/>
    </row>
    <row r="44391" spans="43:43" x14ac:dyDescent="0.2">
      <c r="AQ44391" s="31"/>
    </row>
    <row r="44392" spans="43:43" x14ac:dyDescent="0.2">
      <c r="AQ44392" s="31"/>
    </row>
    <row r="44393" spans="43:43" x14ac:dyDescent="0.2">
      <c r="AQ44393" s="31"/>
    </row>
    <row r="44394" spans="43:43" x14ac:dyDescent="0.2">
      <c r="AQ44394" s="31"/>
    </row>
    <row r="44395" spans="43:43" x14ac:dyDescent="0.2">
      <c r="AQ44395" s="31"/>
    </row>
    <row r="44396" spans="43:43" x14ac:dyDescent="0.2">
      <c r="AQ44396" s="31"/>
    </row>
    <row r="44397" spans="43:43" x14ac:dyDescent="0.2">
      <c r="AQ44397" s="31"/>
    </row>
    <row r="44398" spans="43:43" x14ac:dyDescent="0.2">
      <c r="AQ44398" s="31"/>
    </row>
    <row r="44399" spans="43:43" x14ac:dyDescent="0.2">
      <c r="AQ44399" s="31"/>
    </row>
    <row r="44400" spans="43:43" x14ac:dyDescent="0.2">
      <c r="AQ44400" s="31"/>
    </row>
    <row r="44401" spans="43:43" x14ac:dyDescent="0.2">
      <c r="AQ44401" s="31"/>
    </row>
    <row r="44402" spans="43:43" x14ac:dyDescent="0.2">
      <c r="AQ44402" s="31"/>
    </row>
    <row r="44403" spans="43:43" x14ac:dyDescent="0.2">
      <c r="AQ44403" s="31"/>
    </row>
    <row r="44404" spans="43:43" x14ac:dyDescent="0.2">
      <c r="AQ44404" s="31"/>
    </row>
    <row r="44405" spans="43:43" x14ac:dyDescent="0.2">
      <c r="AQ44405" s="31"/>
    </row>
    <row r="44406" spans="43:43" x14ac:dyDescent="0.2">
      <c r="AQ44406" s="31"/>
    </row>
    <row r="44407" spans="43:43" x14ac:dyDescent="0.2">
      <c r="AQ44407" s="31"/>
    </row>
    <row r="44408" spans="43:43" x14ac:dyDescent="0.2">
      <c r="AQ44408" s="31"/>
    </row>
    <row r="44409" spans="43:43" x14ac:dyDescent="0.2">
      <c r="AQ44409" s="31"/>
    </row>
    <row r="44410" spans="43:43" x14ac:dyDescent="0.2">
      <c r="AQ44410" s="31"/>
    </row>
    <row r="44411" spans="43:43" x14ac:dyDescent="0.2">
      <c r="AQ44411" s="31"/>
    </row>
    <row r="44412" spans="43:43" x14ac:dyDescent="0.2">
      <c r="AQ44412" s="31"/>
    </row>
    <row r="44413" spans="43:43" x14ac:dyDescent="0.2">
      <c r="AQ44413" s="31"/>
    </row>
    <row r="44414" spans="43:43" x14ac:dyDescent="0.2">
      <c r="AQ44414" s="31"/>
    </row>
    <row r="44415" spans="43:43" x14ac:dyDescent="0.2">
      <c r="AQ44415" s="31"/>
    </row>
    <row r="44416" spans="43:43" x14ac:dyDescent="0.2">
      <c r="AQ44416" s="31"/>
    </row>
    <row r="44417" spans="43:43" x14ac:dyDescent="0.2">
      <c r="AQ44417" s="31"/>
    </row>
    <row r="44418" spans="43:43" x14ac:dyDescent="0.2">
      <c r="AQ44418" s="31"/>
    </row>
    <row r="44419" spans="43:43" x14ac:dyDescent="0.2">
      <c r="AQ44419" s="31"/>
    </row>
    <row r="44420" spans="43:43" x14ac:dyDescent="0.2">
      <c r="AQ44420" s="31"/>
    </row>
    <row r="44421" spans="43:43" x14ac:dyDescent="0.2">
      <c r="AQ44421" s="31"/>
    </row>
    <row r="44422" spans="43:43" x14ac:dyDescent="0.2">
      <c r="AQ44422" s="31"/>
    </row>
    <row r="44423" spans="43:43" x14ac:dyDescent="0.2">
      <c r="AQ44423" s="31"/>
    </row>
    <row r="44424" spans="43:43" x14ac:dyDescent="0.2">
      <c r="AQ44424" s="31"/>
    </row>
    <row r="44425" spans="43:43" x14ac:dyDescent="0.2">
      <c r="AQ44425" s="31"/>
    </row>
    <row r="44426" spans="43:43" x14ac:dyDescent="0.2">
      <c r="AQ44426" s="31"/>
    </row>
    <row r="44427" spans="43:43" x14ac:dyDescent="0.2">
      <c r="AQ44427" s="31"/>
    </row>
    <row r="44428" spans="43:43" x14ac:dyDescent="0.2">
      <c r="AQ44428" s="31"/>
    </row>
    <row r="44429" spans="43:43" x14ac:dyDescent="0.2">
      <c r="AQ44429" s="31"/>
    </row>
    <row r="44430" spans="43:43" x14ac:dyDescent="0.2">
      <c r="AQ44430" s="31"/>
    </row>
    <row r="44431" spans="43:43" x14ac:dyDescent="0.2">
      <c r="AQ44431" s="31"/>
    </row>
    <row r="44432" spans="43:43" x14ac:dyDescent="0.2">
      <c r="AQ44432" s="31"/>
    </row>
    <row r="44433" spans="43:43" x14ac:dyDescent="0.2">
      <c r="AQ44433" s="31"/>
    </row>
    <row r="44434" spans="43:43" x14ac:dyDescent="0.2">
      <c r="AQ44434" s="31"/>
    </row>
    <row r="44435" spans="43:43" x14ac:dyDescent="0.2">
      <c r="AQ44435" s="31"/>
    </row>
    <row r="44436" spans="43:43" x14ac:dyDescent="0.2">
      <c r="AQ44436" s="31"/>
    </row>
    <row r="44437" spans="43:43" x14ac:dyDescent="0.2">
      <c r="AQ44437" s="31"/>
    </row>
    <row r="44438" spans="43:43" x14ac:dyDescent="0.2">
      <c r="AQ44438" s="31"/>
    </row>
    <row r="44439" spans="43:43" x14ac:dyDescent="0.2">
      <c r="AQ44439" s="31"/>
    </row>
    <row r="44440" spans="43:43" x14ac:dyDescent="0.2">
      <c r="AQ44440" s="31"/>
    </row>
    <row r="44441" spans="43:43" x14ac:dyDescent="0.2">
      <c r="AQ44441" s="31"/>
    </row>
    <row r="44442" spans="43:43" x14ac:dyDescent="0.2">
      <c r="AQ44442" s="31"/>
    </row>
    <row r="44443" spans="43:43" x14ac:dyDescent="0.2">
      <c r="AQ44443" s="31"/>
    </row>
    <row r="44444" spans="43:43" x14ac:dyDescent="0.2">
      <c r="AQ44444" s="31"/>
    </row>
    <row r="44445" spans="43:43" x14ac:dyDescent="0.2">
      <c r="AQ44445" s="31"/>
    </row>
    <row r="44446" spans="43:43" x14ac:dyDescent="0.2">
      <c r="AQ44446" s="31"/>
    </row>
    <row r="44447" spans="43:43" x14ac:dyDescent="0.2">
      <c r="AQ44447" s="31"/>
    </row>
    <row r="44448" spans="43:43" x14ac:dyDescent="0.2">
      <c r="AQ44448" s="31"/>
    </row>
    <row r="44449" spans="43:43" x14ac:dyDescent="0.2">
      <c r="AQ44449" s="31"/>
    </row>
    <row r="44450" spans="43:43" x14ac:dyDescent="0.2">
      <c r="AQ44450" s="31"/>
    </row>
    <row r="44451" spans="43:43" x14ac:dyDescent="0.2">
      <c r="AQ44451" s="31"/>
    </row>
    <row r="44452" spans="43:43" x14ac:dyDescent="0.2">
      <c r="AQ44452" s="31"/>
    </row>
    <row r="44453" spans="43:43" x14ac:dyDescent="0.2">
      <c r="AQ44453" s="31"/>
    </row>
    <row r="44454" spans="43:43" x14ac:dyDescent="0.2">
      <c r="AQ44454" s="31"/>
    </row>
    <row r="44455" spans="43:43" x14ac:dyDescent="0.2">
      <c r="AQ44455" s="31"/>
    </row>
    <row r="44456" spans="43:43" x14ac:dyDescent="0.2">
      <c r="AQ44456" s="31"/>
    </row>
    <row r="44457" spans="43:43" x14ac:dyDescent="0.2">
      <c r="AQ44457" s="31"/>
    </row>
    <row r="44458" spans="43:43" x14ac:dyDescent="0.2">
      <c r="AQ44458" s="31"/>
    </row>
    <row r="44459" spans="43:43" x14ac:dyDescent="0.2">
      <c r="AQ44459" s="31"/>
    </row>
    <row r="44460" spans="43:43" x14ac:dyDescent="0.2">
      <c r="AQ44460" s="31"/>
    </row>
    <row r="44461" spans="43:43" x14ac:dyDescent="0.2">
      <c r="AQ44461" s="31"/>
    </row>
    <row r="44462" spans="43:43" x14ac:dyDescent="0.2">
      <c r="AQ44462" s="31"/>
    </row>
    <row r="44463" spans="43:43" x14ac:dyDescent="0.2">
      <c r="AQ44463" s="31"/>
    </row>
    <row r="44464" spans="43:43" x14ac:dyDescent="0.2">
      <c r="AQ44464" s="31"/>
    </row>
    <row r="44465" spans="43:43" x14ac:dyDescent="0.2">
      <c r="AQ44465" s="31"/>
    </row>
    <row r="44466" spans="43:43" x14ac:dyDescent="0.2">
      <c r="AQ44466" s="31"/>
    </row>
    <row r="44467" spans="43:43" x14ac:dyDescent="0.2">
      <c r="AQ44467" s="31"/>
    </row>
    <row r="44468" spans="43:43" x14ac:dyDescent="0.2">
      <c r="AQ44468" s="31"/>
    </row>
    <row r="44469" spans="43:43" x14ac:dyDescent="0.2">
      <c r="AQ44469" s="31"/>
    </row>
    <row r="44470" spans="43:43" x14ac:dyDescent="0.2">
      <c r="AQ44470" s="31"/>
    </row>
    <row r="44471" spans="43:43" x14ac:dyDescent="0.2">
      <c r="AQ44471" s="31"/>
    </row>
    <row r="44472" spans="43:43" x14ac:dyDescent="0.2">
      <c r="AQ44472" s="31"/>
    </row>
    <row r="44473" spans="43:43" x14ac:dyDescent="0.2">
      <c r="AQ44473" s="31"/>
    </row>
    <row r="44474" spans="43:43" x14ac:dyDescent="0.2">
      <c r="AQ44474" s="31"/>
    </row>
    <row r="44475" spans="43:43" x14ac:dyDescent="0.2">
      <c r="AQ44475" s="31"/>
    </row>
    <row r="44476" spans="43:43" x14ac:dyDescent="0.2">
      <c r="AQ44476" s="31"/>
    </row>
    <row r="44477" spans="43:43" x14ac:dyDescent="0.2">
      <c r="AQ44477" s="31"/>
    </row>
    <row r="44478" spans="43:43" x14ac:dyDescent="0.2">
      <c r="AQ44478" s="31"/>
    </row>
    <row r="44479" spans="43:43" x14ac:dyDescent="0.2">
      <c r="AQ44479" s="31"/>
    </row>
    <row r="44480" spans="43:43" x14ac:dyDescent="0.2">
      <c r="AQ44480" s="31"/>
    </row>
    <row r="44481" spans="43:43" x14ac:dyDescent="0.2">
      <c r="AQ44481" s="31"/>
    </row>
    <row r="44482" spans="43:43" x14ac:dyDescent="0.2">
      <c r="AQ44482" s="31"/>
    </row>
    <row r="44483" spans="43:43" x14ac:dyDescent="0.2">
      <c r="AQ44483" s="31"/>
    </row>
    <row r="44484" spans="43:43" x14ac:dyDescent="0.2">
      <c r="AQ44484" s="31"/>
    </row>
    <row r="44485" spans="43:43" x14ac:dyDescent="0.2">
      <c r="AQ44485" s="31"/>
    </row>
    <row r="44486" spans="43:43" x14ac:dyDescent="0.2">
      <c r="AQ44486" s="31"/>
    </row>
    <row r="44487" spans="43:43" x14ac:dyDescent="0.2">
      <c r="AQ44487" s="31"/>
    </row>
    <row r="44488" spans="43:43" x14ac:dyDescent="0.2">
      <c r="AQ44488" s="31"/>
    </row>
    <row r="44489" spans="43:43" x14ac:dyDescent="0.2">
      <c r="AQ44489" s="31"/>
    </row>
    <row r="44490" spans="43:43" x14ac:dyDescent="0.2">
      <c r="AQ44490" s="31"/>
    </row>
    <row r="44491" spans="43:43" x14ac:dyDescent="0.2">
      <c r="AQ44491" s="31"/>
    </row>
    <row r="44492" spans="43:43" x14ac:dyDescent="0.2">
      <c r="AQ44492" s="31"/>
    </row>
    <row r="44493" spans="43:43" x14ac:dyDescent="0.2">
      <c r="AQ44493" s="31"/>
    </row>
    <row r="44494" spans="43:43" x14ac:dyDescent="0.2">
      <c r="AQ44494" s="31"/>
    </row>
    <row r="44495" spans="43:43" x14ac:dyDescent="0.2">
      <c r="AQ44495" s="31"/>
    </row>
    <row r="44496" spans="43:43" x14ac:dyDescent="0.2">
      <c r="AQ44496" s="31"/>
    </row>
    <row r="44497" spans="43:43" x14ac:dyDescent="0.2">
      <c r="AQ44497" s="31"/>
    </row>
    <row r="44498" spans="43:43" x14ac:dyDescent="0.2">
      <c r="AQ44498" s="31"/>
    </row>
    <row r="44499" spans="43:43" x14ac:dyDescent="0.2">
      <c r="AQ44499" s="31"/>
    </row>
    <row r="44500" spans="43:43" x14ac:dyDescent="0.2">
      <c r="AQ44500" s="31"/>
    </row>
    <row r="44501" spans="43:43" x14ac:dyDescent="0.2">
      <c r="AQ44501" s="31"/>
    </row>
    <row r="44502" spans="43:43" x14ac:dyDescent="0.2">
      <c r="AQ44502" s="31"/>
    </row>
    <row r="44503" spans="43:43" x14ac:dyDescent="0.2">
      <c r="AQ44503" s="31"/>
    </row>
    <row r="44504" spans="43:43" x14ac:dyDescent="0.2">
      <c r="AQ44504" s="31"/>
    </row>
    <row r="44505" spans="43:43" x14ac:dyDescent="0.2">
      <c r="AQ44505" s="31"/>
    </row>
    <row r="44506" spans="43:43" x14ac:dyDescent="0.2">
      <c r="AQ44506" s="31"/>
    </row>
    <row r="44507" spans="43:43" x14ac:dyDescent="0.2">
      <c r="AQ44507" s="31"/>
    </row>
    <row r="44508" spans="43:43" x14ac:dyDescent="0.2">
      <c r="AQ44508" s="31"/>
    </row>
    <row r="44509" spans="43:43" x14ac:dyDescent="0.2">
      <c r="AQ44509" s="31"/>
    </row>
    <row r="44510" spans="43:43" x14ac:dyDescent="0.2">
      <c r="AQ44510" s="31"/>
    </row>
    <row r="44511" spans="43:43" x14ac:dyDescent="0.2">
      <c r="AQ44511" s="31"/>
    </row>
    <row r="44512" spans="43:43" x14ac:dyDescent="0.2">
      <c r="AQ44512" s="31"/>
    </row>
    <row r="44513" spans="43:43" x14ac:dyDescent="0.2">
      <c r="AQ44513" s="31"/>
    </row>
    <row r="44514" spans="43:43" x14ac:dyDescent="0.2">
      <c r="AQ44514" s="31"/>
    </row>
    <row r="44515" spans="43:43" x14ac:dyDescent="0.2">
      <c r="AQ44515" s="31"/>
    </row>
    <row r="44516" spans="43:43" x14ac:dyDescent="0.2">
      <c r="AQ44516" s="31"/>
    </row>
    <row r="44517" spans="43:43" x14ac:dyDescent="0.2">
      <c r="AQ44517" s="31"/>
    </row>
    <row r="44518" spans="43:43" x14ac:dyDescent="0.2">
      <c r="AQ44518" s="31"/>
    </row>
    <row r="44519" spans="43:43" x14ac:dyDescent="0.2">
      <c r="AQ44519" s="31"/>
    </row>
    <row r="44520" spans="43:43" x14ac:dyDescent="0.2">
      <c r="AQ44520" s="31"/>
    </row>
    <row r="44521" spans="43:43" x14ac:dyDescent="0.2">
      <c r="AQ44521" s="31"/>
    </row>
    <row r="44522" spans="43:43" x14ac:dyDescent="0.2">
      <c r="AQ44522" s="31"/>
    </row>
    <row r="44523" spans="43:43" x14ac:dyDescent="0.2">
      <c r="AQ44523" s="31"/>
    </row>
    <row r="44524" spans="43:43" x14ac:dyDescent="0.2">
      <c r="AQ44524" s="31"/>
    </row>
    <row r="44525" spans="43:43" x14ac:dyDescent="0.2">
      <c r="AQ44525" s="31"/>
    </row>
    <row r="44526" spans="43:43" x14ac:dyDescent="0.2">
      <c r="AQ44526" s="31"/>
    </row>
    <row r="44527" spans="43:43" x14ac:dyDescent="0.2">
      <c r="AQ44527" s="31"/>
    </row>
    <row r="44528" spans="43:43" x14ac:dyDescent="0.2">
      <c r="AQ44528" s="31"/>
    </row>
    <row r="44529" spans="43:43" x14ac:dyDescent="0.2">
      <c r="AQ44529" s="31"/>
    </row>
    <row r="44530" spans="43:43" x14ac:dyDescent="0.2">
      <c r="AQ44530" s="31"/>
    </row>
    <row r="44531" spans="43:43" x14ac:dyDescent="0.2">
      <c r="AQ44531" s="31"/>
    </row>
    <row r="44532" spans="43:43" x14ac:dyDescent="0.2">
      <c r="AQ44532" s="31"/>
    </row>
    <row r="44533" spans="43:43" x14ac:dyDescent="0.2">
      <c r="AQ44533" s="31"/>
    </row>
    <row r="44534" spans="43:43" x14ac:dyDescent="0.2">
      <c r="AQ44534" s="31"/>
    </row>
    <row r="44535" spans="43:43" x14ac:dyDescent="0.2">
      <c r="AQ44535" s="31"/>
    </row>
    <row r="44536" spans="43:43" x14ac:dyDescent="0.2">
      <c r="AQ44536" s="31"/>
    </row>
    <row r="44537" spans="43:43" x14ac:dyDescent="0.2">
      <c r="AQ44537" s="31"/>
    </row>
    <row r="44538" spans="43:43" x14ac:dyDescent="0.2">
      <c r="AQ44538" s="31"/>
    </row>
    <row r="44539" spans="43:43" x14ac:dyDescent="0.2">
      <c r="AQ44539" s="31"/>
    </row>
    <row r="44540" spans="43:43" x14ac:dyDescent="0.2">
      <c r="AQ44540" s="31"/>
    </row>
    <row r="44541" spans="43:43" x14ac:dyDescent="0.2">
      <c r="AQ44541" s="31"/>
    </row>
    <row r="44542" spans="43:43" x14ac:dyDescent="0.2">
      <c r="AQ44542" s="31"/>
    </row>
    <row r="44543" spans="43:43" x14ac:dyDescent="0.2">
      <c r="AQ44543" s="31"/>
    </row>
    <row r="44544" spans="43:43" x14ac:dyDescent="0.2">
      <c r="AQ44544" s="31"/>
    </row>
    <row r="44545" spans="43:43" x14ac:dyDescent="0.2">
      <c r="AQ44545" s="31"/>
    </row>
    <row r="44546" spans="43:43" x14ac:dyDescent="0.2">
      <c r="AQ44546" s="31"/>
    </row>
    <row r="44547" spans="43:43" x14ac:dyDescent="0.2">
      <c r="AQ44547" s="31"/>
    </row>
    <row r="44548" spans="43:43" x14ac:dyDescent="0.2">
      <c r="AQ44548" s="31"/>
    </row>
    <row r="44549" spans="43:43" x14ac:dyDescent="0.2">
      <c r="AQ44549" s="31"/>
    </row>
    <row r="44550" spans="43:43" x14ac:dyDescent="0.2">
      <c r="AQ44550" s="31"/>
    </row>
    <row r="44551" spans="43:43" x14ac:dyDescent="0.2">
      <c r="AQ44551" s="31"/>
    </row>
    <row r="44552" spans="43:43" x14ac:dyDescent="0.2">
      <c r="AQ44552" s="31"/>
    </row>
    <row r="44553" spans="43:43" x14ac:dyDescent="0.2">
      <c r="AQ44553" s="31"/>
    </row>
    <row r="44554" spans="43:43" x14ac:dyDescent="0.2">
      <c r="AQ44554" s="31"/>
    </row>
    <row r="44555" spans="43:43" x14ac:dyDescent="0.2">
      <c r="AQ44555" s="31"/>
    </row>
    <row r="44556" spans="43:43" x14ac:dyDescent="0.2">
      <c r="AQ44556" s="31"/>
    </row>
    <row r="44557" spans="43:43" x14ac:dyDescent="0.2">
      <c r="AQ44557" s="31"/>
    </row>
    <row r="44558" spans="43:43" x14ac:dyDescent="0.2">
      <c r="AQ44558" s="31"/>
    </row>
    <row r="44559" spans="43:43" x14ac:dyDescent="0.2">
      <c r="AQ44559" s="31"/>
    </row>
    <row r="44560" spans="43:43" x14ac:dyDescent="0.2">
      <c r="AQ44560" s="31"/>
    </row>
    <row r="44561" spans="43:43" x14ac:dyDescent="0.2">
      <c r="AQ44561" s="31"/>
    </row>
    <row r="44562" spans="43:43" x14ac:dyDescent="0.2">
      <c r="AQ44562" s="31"/>
    </row>
    <row r="44563" spans="43:43" x14ac:dyDescent="0.2">
      <c r="AQ44563" s="31"/>
    </row>
    <row r="44564" spans="43:43" x14ac:dyDescent="0.2">
      <c r="AQ44564" s="31"/>
    </row>
    <row r="44565" spans="43:43" x14ac:dyDescent="0.2">
      <c r="AQ44565" s="31"/>
    </row>
    <row r="44566" spans="43:43" x14ac:dyDescent="0.2">
      <c r="AQ44566" s="31"/>
    </row>
    <row r="44567" spans="43:43" x14ac:dyDescent="0.2">
      <c r="AQ44567" s="31"/>
    </row>
    <row r="44568" spans="43:43" x14ac:dyDescent="0.2">
      <c r="AQ44568" s="31"/>
    </row>
    <row r="44569" spans="43:43" x14ac:dyDescent="0.2">
      <c r="AQ44569" s="31"/>
    </row>
    <row r="44570" spans="43:43" x14ac:dyDescent="0.2">
      <c r="AQ44570" s="31"/>
    </row>
    <row r="44571" spans="43:43" x14ac:dyDescent="0.2">
      <c r="AQ44571" s="31"/>
    </row>
    <row r="44572" spans="43:43" x14ac:dyDescent="0.2">
      <c r="AQ44572" s="31"/>
    </row>
    <row r="44573" spans="43:43" x14ac:dyDescent="0.2">
      <c r="AQ44573" s="31"/>
    </row>
    <row r="44574" spans="43:43" x14ac:dyDescent="0.2">
      <c r="AQ44574" s="31"/>
    </row>
    <row r="44575" spans="43:43" x14ac:dyDescent="0.2">
      <c r="AQ44575" s="31"/>
    </row>
    <row r="44576" spans="43:43" x14ac:dyDescent="0.2">
      <c r="AQ44576" s="31"/>
    </row>
    <row r="44577" spans="43:43" x14ac:dyDescent="0.2">
      <c r="AQ44577" s="31"/>
    </row>
    <row r="44578" spans="43:43" x14ac:dyDescent="0.2">
      <c r="AQ44578" s="31"/>
    </row>
    <row r="44579" spans="43:43" x14ac:dyDescent="0.2">
      <c r="AQ44579" s="31"/>
    </row>
    <row r="44580" spans="43:43" x14ac:dyDescent="0.2">
      <c r="AQ44580" s="31"/>
    </row>
    <row r="44581" spans="43:43" x14ac:dyDescent="0.2">
      <c r="AQ44581" s="31"/>
    </row>
    <row r="44582" spans="43:43" x14ac:dyDescent="0.2">
      <c r="AQ44582" s="31"/>
    </row>
    <row r="44583" spans="43:43" x14ac:dyDescent="0.2">
      <c r="AQ44583" s="31"/>
    </row>
    <row r="44584" spans="43:43" x14ac:dyDescent="0.2">
      <c r="AQ44584" s="31"/>
    </row>
    <row r="44585" spans="43:43" x14ac:dyDescent="0.2">
      <c r="AQ44585" s="31"/>
    </row>
    <row r="44586" spans="43:43" x14ac:dyDescent="0.2">
      <c r="AQ44586" s="31"/>
    </row>
    <row r="44587" spans="43:43" x14ac:dyDescent="0.2">
      <c r="AQ44587" s="31"/>
    </row>
    <row r="44588" spans="43:43" x14ac:dyDescent="0.2">
      <c r="AQ44588" s="31"/>
    </row>
    <row r="44589" spans="43:43" x14ac:dyDescent="0.2">
      <c r="AQ44589" s="31"/>
    </row>
    <row r="44590" spans="43:43" x14ac:dyDescent="0.2">
      <c r="AQ44590" s="31"/>
    </row>
    <row r="44591" spans="43:43" x14ac:dyDescent="0.2">
      <c r="AQ44591" s="31"/>
    </row>
    <row r="44592" spans="43:43" x14ac:dyDescent="0.2">
      <c r="AQ44592" s="31"/>
    </row>
    <row r="44593" spans="43:43" x14ac:dyDescent="0.2">
      <c r="AQ44593" s="31"/>
    </row>
    <row r="44594" spans="43:43" x14ac:dyDescent="0.2">
      <c r="AQ44594" s="31"/>
    </row>
    <row r="44595" spans="43:43" x14ac:dyDescent="0.2">
      <c r="AQ44595" s="31"/>
    </row>
    <row r="44596" spans="43:43" x14ac:dyDescent="0.2">
      <c r="AQ44596" s="31"/>
    </row>
    <row r="44597" spans="43:43" x14ac:dyDescent="0.2">
      <c r="AQ44597" s="31"/>
    </row>
    <row r="44598" spans="43:43" x14ac:dyDescent="0.2">
      <c r="AQ44598" s="31"/>
    </row>
    <row r="44599" spans="43:43" x14ac:dyDescent="0.2">
      <c r="AQ44599" s="31"/>
    </row>
    <row r="44600" spans="43:43" x14ac:dyDescent="0.2">
      <c r="AQ44600" s="31"/>
    </row>
    <row r="44601" spans="43:43" x14ac:dyDescent="0.2">
      <c r="AQ44601" s="31"/>
    </row>
    <row r="44602" spans="43:43" x14ac:dyDescent="0.2">
      <c r="AQ44602" s="31"/>
    </row>
    <row r="44603" spans="43:43" x14ac:dyDescent="0.2">
      <c r="AQ44603" s="31"/>
    </row>
    <row r="44604" spans="43:43" x14ac:dyDescent="0.2">
      <c r="AQ44604" s="31"/>
    </row>
    <row r="44605" spans="43:43" x14ac:dyDescent="0.2">
      <c r="AQ44605" s="31"/>
    </row>
    <row r="44606" spans="43:43" x14ac:dyDescent="0.2">
      <c r="AQ44606" s="31"/>
    </row>
    <row r="44607" spans="43:43" x14ac:dyDescent="0.2">
      <c r="AQ44607" s="31"/>
    </row>
    <row r="44608" spans="43:43" x14ac:dyDescent="0.2">
      <c r="AQ44608" s="31"/>
    </row>
    <row r="44609" spans="43:43" x14ac:dyDescent="0.2">
      <c r="AQ44609" s="31"/>
    </row>
    <row r="44610" spans="43:43" x14ac:dyDescent="0.2">
      <c r="AQ44610" s="31"/>
    </row>
    <row r="44611" spans="43:43" x14ac:dyDescent="0.2">
      <c r="AQ44611" s="31"/>
    </row>
    <row r="44612" spans="43:43" x14ac:dyDescent="0.2">
      <c r="AQ44612" s="31"/>
    </row>
    <row r="44613" spans="43:43" x14ac:dyDescent="0.2">
      <c r="AQ44613" s="31"/>
    </row>
    <row r="44614" spans="43:43" x14ac:dyDescent="0.2">
      <c r="AQ44614" s="31"/>
    </row>
    <row r="44615" spans="43:43" x14ac:dyDescent="0.2">
      <c r="AQ44615" s="31"/>
    </row>
    <row r="44616" spans="43:43" x14ac:dyDescent="0.2">
      <c r="AQ44616" s="31"/>
    </row>
    <row r="44617" spans="43:43" x14ac:dyDescent="0.2">
      <c r="AQ44617" s="31"/>
    </row>
    <row r="44618" spans="43:43" x14ac:dyDescent="0.2">
      <c r="AQ44618" s="31"/>
    </row>
    <row r="44619" spans="43:43" x14ac:dyDescent="0.2">
      <c r="AQ44619" s="31"/>
    </row>
    <row r="44620" spans="43:43" x14ac:dyDescent="0.2">
      <c r="AQ44620" s="31"/>
    </row>
    <row r="44621" spans="43:43" x14ac:dyDescent="0.2">
      <c r="AQ44621" s="31"/>
    </row>
    <row r="44622" spans="43:43" x14ac:dyDescent="0.2">
      <c r="AQ44622" s="31"/>
    </row>
    <row r="44623" spans="43:43" x14ac:dyDescent="0.2">
      <c r="AQ44623" s="31"/>
    </row>
    <row r="44624" spans="43:43" x14ac:dyDescent="0.2">
      <c r="AQ44624" s="31"/>
    </row>
    <row r="44625" spans="43:43" x14ac:dyDescent="0.2">
      <c r="AQ44625" s="31"/>
    </row>
    <row r="44626" spans="43:43" x14ac:dyDescent="0.2">
      <c r="AQ44626" s="31"/>
    </row>
    <row r="44627" spans="43:43" x14ac:dyDescent="0.2">
      <c r="AQ44627" s="31"/>
    </row>
    <row r="44628" spans="43:43" x14ac:dyDescent="0.2">
      <c r="AQ44628" s="31"/>
    </row>
    <row r="44629" spans="43:43" x14ac:dyDescent="0.2">
      <c r="AQ44629" s="31"/>
    </row>
    <row r="44630" spans="43:43" x14ac:dyDescent="0.2">
      <c r="AQ44630" s="31"/>
    </row>
    <row r="44631" spans="43:43" x14ac:dyDescent="0.2">
      <c r="AQ44631" s="31"/>
    </row>
    <row r="44632" spans="43:43" x14ac:dyDescent="0.2">
      <c r="AQ44632" s="31"/>
    </row>
    <row r="44633" spans="43:43" x14ac:dyDescent="0.2">
      <c r="AQ44633" s="31"/>
    </row>
    <row r="44634" spans="43:43" x14ac:dyDescent="0.2">
      <c r="AQ44634" s="31"/>
    </row>
    <row r="44635" spans="43:43" x14ac:dyDescent="0.2">
      <c r="AQ44635" s="31"/>
    </row>
    <row r="44636" spans="43:43" x14ac:dyDescent="0.2">
      <c r="AQ44636" s="31"/>
    </row>
    <row r="44637" spans="43:43" x14ac:dyDescent="0.2">
      <c r="AQ44637" s="31"/>
    </row>
    <row r="44638" spans="43:43" x14ac:dyDescent="0.2">
      <c r="AQ44638" s="31"/>
    </row>
    <row r="44639" spans="43:43" x14ac:dyDescent="0.2">
      <c r="AQ44639" s="31"/>
    </row>
    <row r="44640" spans="43:43" x14ac:dyDescent="0.2">
      <c r="AQ44640" s="31"/>
    </row>
    <row r="44641" spans="43:43" x14ac:dyDescent="0.2">
      <c r="AQ44641" s="31"/>
    </row>
    <row r="44642" spans="43:43" x14ac:dyDescent="0.2">
      <c r="AQ44642" s="31"/>
    </row>
    <row r="44643" spans="43:43" x14ac:dyDescent="0.2">
      <c r="AQ44643" s="31"/>
    </row>
    <row r="44644" spans="43:43" x14ac:dyDescent="0.2">
      <c r="AQ44644" s="31"/>
    </row>
    <row r="44645" spans="43:43" x14ac:dyDescent="0.2">
      <c r="AQ44645" s="31"/>
    </row>
    <row r="44646" spans="43:43" x14ac:dyDescent="0.2">
      <c r="AQ44646" s="31"/>
    </row>
    <row r="44647" spans="43:43" x14ac:dyDescent="0.2">
      <c r="AQ44647" s="31"/>
    </row>
    <row r="44648" spans="43:43" x14ac:dyDescent="0.2">
      <c r="AQ44648" s="31"/>
    </row>
    <row r="44649" spans="43:43" x14ac:dyDescent="0.2">
      <c r="AQ44649" s="31"/>
    </row>
    <row r="44650" spans="43:43" x14ac:dyDescent="0.2">
      <c r="AQ44650" s="31"/>
    </row>
    <row r="44651" spans="43:43" x14ac:dyDescent="0.2">
      <c r="AQ44651" s="31"/>
    </row>
    <row r="44652" spans="43:43" x14ac:dyDescent="0.2">
      <c r="AQ44652" s="31"/>
    </row>
    <row r="44653" spans="43:43" x14ac:dyDescent="0.2">
      <c r="AQ44653" s="31"/>
    </row>
    <row r="44654" spans="43:43" x14ac:dyDescent="0.2">
      <c r="AQ44654" s="31"/>
    </row>
    <row r="44655" spans="43:43" x14ac:dyDescent="0.2">
      <c r="AQ44655" s="31"/>
    </row>
    <row r="44656" spans="43:43" x14ac:dyDescent="0.2">
      <c r="AQ44656" s="31"/>
    </row>
    <row r="44657" spans="43:43" x14ac:dyDescent="0.2">
      <c r="AQ44657" s="31"/>
    </row>
    <row r="44658" spans="43:43" x14ac:dyDescent="0.2">
      <c r="AQ44658" s="31"/>
    </row>
    <row r="44659" spans="43:43" x14ac:dyDescent="0.2">
      <c r="AQ44659" s="31"/>
    </row>
    <row r="44660" spans="43:43" x14ac:dyDescent="0.2">
      <c r="AQ44660" s="31"/>
    </row>
    <row r="44661" spans="43:43" x14ac:dyDescent="0.2">
      <c r="AQ44661" s="31"/>
    </row>
    <row r="44662" spans="43:43" x14ac:dyDescent="0.2">
      <c r="AQ44662" s="31"/>
    </row>
    <row r="44663" spans="43:43" x14ac:dyDescent="0.2">
      <c r="AQ44663" s="31"/>
    </row>
    <row r="44664" spans="43:43" x14ac:dyDescent="0.2">
      <c r="AQ44664" s="31"/>
    </row>
    <row r="44665" spans="43:43" x14ac:dyDescent="0.2">
      <c r="AQ44665" s="31"/>
    </row>
    <row r="44666" spans="43:43" x14ac:dyDescent="0.2">
      <c r="AQ44666" s="31"/>
    </row>
    <row r="44667" spans="43:43" x14ac:dyDescent="0.2">
      <c r="AQ44667" s="31"/>
    </row>
    <row r="44668" spans="43:43" x14ac:dyDescent="0.2">
      <c r="AQ44668" s="31"/>
    </row>
    <row r="44669" spans="43:43" x14ac:dyDescent="0.2">
      <c r="AQ44669" s="31"/>
    </row>
    <row r="44670" spans="43:43" x14ac:dyDescent="0.2">
      <c r="AQ44670" s="31"/>
    </row>
    <row r="44671" spans="43:43" x14ac:dyDescent="0.2">
      <c r="AQ44671" s="31"/>
    </row>
    <row r="44672" spans="43:43" x14ac:dyDescent="0.2">
      <c r="AQ44672" s="31"/>
    </row>
    <row r="44673" spans="43:43" x14ac:dyDescent="0.2">
      <c r="AQ44673" s="31"/>
    </row>
    <row r="44674" spans="43:43" x14ac:dyDescent="0.2">
      <c r="AQ44674" s="31"/>
    </row>
    <row r="44675" spans="43:43" x14ac:dyDescent="0.2">
      <c r="AQ44675" s="31"/>
    </row>
    <row r="44676" spans="43:43" x14ac:dyDescent="0.2">
      <c r="AQ44676" s="31"/>
    </row>
    <row r="44677" spans="43:43" x14ac:dyDescent="0.2">
      <c r="AQ44677" s="31"/>
    </row>
    <row r="44678" spans="43:43" x14ac:dyDescent="0.2">
      <c r="AQ44678" s="31"/>
    </row>
    <row r="44679" spans="43:43" x14ac:dyDescent="0.2">
      <c r="AQ44679" s="31"/>
    </row>
    <row r="44680" spans="43:43" x14ac:dyDescent="0.2">
      <c r="AQ44680" s="31"/>
    </row>
    <row r="44681" spans="43:43" x14ac:dyDescent="0.2">
      <c r="AQ44681" s="31"/>
    </row>
    <row r="44682" spans="43:43" x14ac:dyDescent="0.2">
      <c r="AQ44682" s="31"/>
    </row>
    <row r="44683" spans="43:43" x14ac:dyDescent="0.2">
      <c r="AQ44683" s="31"/>
    </row>
    <row r="44684" spans="43:43" x14ac:dyDescent="0.2">
      <c r="AQ44684" s="31"/>
    </row>
    <row r="44685" spans="43:43" x14ac:dyDescent="0.2">
      <c r="AQ44685" s="31"/>
    </row>
    <row r="44686" spans="43:43" x14ac:dyDescent="0.2">
      <c r="AQ44686" s="31"/>
    </row>
    <row r="44687" spans="43:43" x14ac:dyDescent="0.2">
      <c r="AQ44687" s="31"/>
    </row>
    <row r="44688" spans="43:43" x14ac:dyDescent="0.2">
      <c r="AQ44688" s="31"/>
    </row>
    <row r="44689" spans="43:43" x14ac:dyDescent="0.2">
      <c r="AQ44689" s="31"/>
    </row>
    <row r="44690" spans="43:43" x14ac:dyDescent="0.2">
      <c r="AQ44690" s="31"/>
    </row>
    <row r="44691" spans="43:43" x14ac:dyDescent="0.2">
      <c r="AQ44691" s="31"/>
    </row>
    <row r="44692" spans="43:43" x14ac:dyDescent="0.2">
      <c r="AQ44692" s="31"/>
    </row>
    <row r="44693" spans="43:43" x14ac:dyDescent="0.2">
      <c r="AQ44693" s="31"/>
    </row>
    <row r="44694" spans="43:43" x14ac:dyDescent="0.2">
      <c r="AQ44694" s="31"/>
    </row>
    <row r="44695" spans="43:43" x14ac:dyDescent="0.2">
      <c r="AQ44695" s="31"/>
    </row>
    <row r="44696" spans="43:43" x14ac:dyDescent="0.2">
      <c r="AQ44696" s="31"/>
    </row>
    <row r="44697" spans="43:43" x14ac:dyDescent="0.2">
      <c r="AQ44697" s="31"/>
    </row>
    <row r="44698" spans="43:43" x14ac:dyDescent="0.2">
      <c r="AQ44698" s="31"/>
    </row>
    <row r="44699" spans="43:43" x14ac:dyDescent="0.2">
      <c r="AQ44699" s="31"/>
    </row>
    <row r="44700" spans="43:43" x14ac:dyDescent="0.2">
      <c r="AQ44700" s="31"/>
    </row>
    <row r="44701" spans="43:43" x14ac:dyDescent="0.2">
      <c r="AQ44701" s="31"/>
    </row>
    <row r="44702" spans="43:43" x14ac:dyDescent="0.2">
      <c r="AQ44702" s="31"/>
    </row>
    <row r="44703" spans="43:43" x14ac:dyDescent="0.2">
      <c r="AQ44703" s="31"/>
    </row>
    <row r="44704" spans="43:43" x14ac:dyDescent="0.2">
      <c r="AQ44704" s="31"/>
    </row>
    <row r="44705" spans="43:43" x14ac:dyDescent="0.2">
      <c r="AQ44705" s="31"/>
    </row>
    <row r="44706" spans="43:43" x14ac:dyDescent="0.2">
      <c r="AQ44706" s="31"/>
    </row>
    <row r="44707" spans="43:43" x14ac:dyDescent="0.2">
      <c r="AQ44707" s="31"/>
    </row>
    <row r="44708" spans="43:43" x14ac:dyDescent="0.2">
      <c r="AQ44708" s="31"/>
    </row>
    <row r="44709" spans="43:43" x14ac:dyDescent="0.2">
      <c r="AQ44709" s="31"/>
    </row>
    <row r="44710" spans="43:43" x14ac:dyDescent="0.2">
      <c r="AQ44710" s="31"/>
    </row>
    <row r="44711" spans="43:43" x14ac:dyDescent="0.2">
      <c r="AQ44711" s="31"/>
    </row>
    <row r="44712" spans="43:43" x14ac:dyDescent="0.2">
      <c r="AQ44712" s="31"/>
    </row>
    <row r="44713" spans="43:43" x14ac:dyDescent="0.2">
      <c r="AQ44713" s="31"/>
    </row>
    <row r="44714" spans="43:43" x14ac:dyDescent="0.2">
      <c r="AQ44714" s="31"/>
    </row>
    <row r="44715" spans="43:43" x14ac:dyDescent="0.2">
      <c r="AQ44715" s="31"/>
    </row>
    <row r="44716" spans="43:43" x14ac:dyDescent="0.2">
      <c r="AQ44716" s="31"/>
    </row>
    <row r="44717" spans="43:43" x14ac:dyDescent="0.2">
      <c r="AQ44717" s="31"/>
    </row>
    <row r="44718" spans="43:43" x14ac:dyDescent="0.2">
      <c r="AQ44718" s="31"/>
    </row>
    <row r="44719" spans="43:43" x14ac:dyDescent="0.2">
      <c r="AQ44719" s="31"/>
    </row>
    <row r="44720" spans="43:43" x14ac:dyDescent="0.2">
      <c r="AQ44720" s="31"/>
    </row>
    <row r="44721" spans="43:43" x14ac:dyDescent="0.2">
      <c r="AQ44721" s="31"/>
    </row>
    <row r="44722" spans="43:43" x14ac:dyDescent="0.2">
      <c r="AQ44722" s="31"/>
    </row>
    <row r="44723" spans="43:43" x14ac:dyDescent="0.2">
      <c r="AQ44723" s="31"/>
    </row>
    <row r="44724" spans="43:43" x14ac:dyDescent="0.2">
      <c r="AQ44724" s="31"/>
    </row>
    <row r="44725" spans="43:43" x14ac:dyDescent="0.2">
      <c r="AQ44725" s="31"/>
    </row>
    <row r="44726" spans="43:43" x14ac:dyDescent="0.2">
      <c r="AQ44726" s="31"/>
    </row>
    <row r="44727" spans="43:43" x14ac:dyDescent="0.2">
      <c r="AQ44727" s="31"/>
    </row>
    <row r="44728" spans="43:43" x14ac:dyDescent="0.2">
      <c r="AQ44728" s="31"/>
    </row>
    <row r="44729" spans="43:43" x14ac:dyDescent="0.2">
      <c r="AQ44729" s="31"/>
    </row>
    <row r="44730" spans="43:43" x14ac:dyDescent="0.2">
      <c r="AQ44730" s="31"/>
    </row>
    <row r="44731" spans="43:43" x14ac:dyDescent="0.2">
      <c r="AQ44731" s="31"/>
    </row>
    <row r="44732" spans="43:43" x14ac:dyDescent="0.2">
      <c r="AQ44732" s="31"/>
    </row>
    <row r="44733" spans="43:43" x14ac:dyDescent="0.2">
      <c r="AQ44733" s="31"/>
    </row>
    <row r="44734" spans="43:43" x14ac:dyDescent="0.2">
      <c r="AQ44734" s="31"/>
    </row>
    <row r="44735" spans="43:43" x14ac:dyDescent="0.2">
      <c r="AQ44735" s="31"/>
    </row>
    <row r="44736" spans="43:43" x14ac:dyDescent="0.2">
      <c r="AQ44736" s="31"/>
    </row>
    <row r="44737" spans="43:43" x14ac:dyDescent="0.2">
      <c r="AQ44737" s="31"/>
    </row>
    <row r="44738" spans="43:43" x14ac:dyDescent="0.2">
      <c r="AQ44738" s="31"/>
    </row>
    <row r="44739" spans="43:43" x14ac:dyDescent="0.2">
      <c r="AQ44739" s="31"/>
    </row>
    <row r="44740" spans="43:43" x14ac:dyDescent="0.2">
      <c r="AQ44740" s="31"/>
    </row>
    <row r="44741" spans="43:43" x14ac:dyDescent="0.2">
      <c r="AQ44741" s="31"/>
    </row>
    <row r="44742" spans="43:43" x14ac:dyDescent="0.2">
      <c r="AQ44742" s="31"/>
    </row>
    <row r="44743" spans="43:43" x14ac:dyDescent="0.2">
      <c r="AQ44743" s="31"/>
    </row>
    <row r="44744" spans="43:43" x14ac:dyDescent="0.2">
      <c r="AQ44744" s="31"/>
    </row>
    <row r="44745" spans="43:43" x14ac:dyDescent="0.2">
      <c r="AQ44745" s="31"/>
    </row>
    <row r="44746" spans="43:43" x14ac:dyDescent="0.2">
      <c r="AQ44746" s="31"/>
    </row>
    <row r="44747" spans="43:43" x14ac:dyDescent="0.2">
      <c r="AQ44747" s="31"/>
    </row>
    <row r="44748" spans="43:43" x14ac:dyDescent="0.2">
      <c r="AQ44748" s="31"/>
    </row>
    <row r="44749" spans="43:43" x14ac:dyDescent="0.2">
      <c r="AQ44749" s="31"/>
    </row>
    <row r="44750" spans="43:43" x14ac:dyDescent="0.2">
      <c r="AQ44750" s="31"/>
    </row>
    <row r="44751" spans="43:43" x14ac:dyDescent="0.2">
      <c r="AQ44751" s="31"/>
    </row>
    <row r="44752" spans="43:43" x14ac:dyDescent="0.2">
      <c r="AQ44752" s="31"/>
    </row>
    <row r="44753" spans="43:43" x14ac:dyDescent="0.2">
      <c r="AQ44753" s="31"/>
    </row>
    <row r="44754" spans="43:43" x14ac:dyDescent="0.2">
      <c r="AQ44754" s="31"/>
    </row>
    <row r="44755" spans="43:43" x14ac:dyDescent="0.2">
      <c r="AQ44755" s="31"/>
    </row>
    <row r="44756" spans="43:43" x14ac:dyDescent="0.2">
      <c r="AQ44756" s="31"/>
    </row>
    <row r="44757" spans="43:43" x14ac:dyDescent="0.2">
      <c r="AQ44757" s="31"/>
    </row>
    <row r="44758" spans="43:43" x14ac:dyDescent="0.2">
      <c r="AQ44758" s="31"/>
    </row>
    <row r="44759" spans="43:43" x14ac:dyDescent="0.2">
      <c r="AQ44759" s="31"/>
    </row>
    <row r="44760" spans="43:43" x14ac:dyDescent="0.2">
      <c r="AQ44760" s="31"/>
    </row>
    <row r="44761" spans="43:43" x14ac:dyDescent="0.2">
      <c r="AQ44761" s="31"/>
    </row>
    <row r="44762" spans="43:43" x14ac:dyDescent="0.2">
      <c r="AQ44762" s="31"/>
    </row>
    <row r="44763" spans="43:43" x14ac:dyDescent="0.2">
      <c r="AQ44763" s="31"/>
    </row>
    <row r="44764" spans="43:43" x14ac:dyDescent="0.2">
      <c r="AQ44764" s="31"/>
    </row>
    <row r="44765" spans="43:43" x14ac:dyDescent="0.2">
      <c r="AQ44765" s="31"/>
    </row>
    <row r="44766" spans="43:43" x14ac:dyDescent="0.2">
      <c r="AQ44766" s="31"/>
    </row>
    <row r="44767" spans="43:43" x14ac:dyDescent="0.2">
      <c r="AQ44767" s="31"/>
    </row>
    <row r="44768" spans="43:43" x14ac:dyDescent="0.2">
      <c r="AQ44768" s="31"/>
    </row>
    <row r="44769" spans="43:43" x14ac:dyDescent="0.2">
      <c r="AQ44769" s="31"/>
    </row>
    <row r="44770" spans="43:43" x14ac:dyDescent="0.2">
      <c r="AQ44770" s="31"/>
    </row>
    <row r="44771" spans="43:43" x14ac:dyDescent="0.2">
      <c r="AQ44771" s="31"/>
    </row>
    <row r="44772" spans="43:43" x14ac:dyDescent="0.2">
      <c r="AQ44772" s="31"/>
    </row>
    <row r="44773" spans="43:43" x14ac:dyDescent="0.2">
      <c r="AQ44773" s="31"/>
    </row>
    <row r="44774" spans="43:43" x14ac:dyDescent="0.2">
      <c r="AQ44774" s="31"/>
    </row>
    <row r="44775" spans="43:43" x14ac:dyDescent="0.2">
      <c r="AQ44775" s="31"/>
    </row>
    <row r="44776" spans="43:43" x14ac:dyDescent="0.2">
      <c r="AQ44776" s="31"/>
    </row>
    <row r="44777" spans="43:43" x14ac:dyDescent="0.2">
      <c r="AQ44777" s="31"/>
    </row>
    <row r="44778" spans="43:43" x14ac:dyDescent="0.2">
      <c r="AQ44778" s="31"/>
    </row>
    <row r="44779" spans="43:43" x14ac:dyDescent="0.2">
      <c r="AQ44779" s="31"/>
    </row>
    <row r="44780" spans="43:43" x14ac:dyDescent="0.2">
      <c r="AQ44780" s="31"/>
    </row>
    <row r="44781" spans="43:43" x14ac:dyDescent="0.2">
      <c r="AQ44781" s="31"/>
    </row>
    <row r="44782" spans="43:43" x14ac:dyDescent="0.2">
      <c r="AQ44782" s="31"/>
    </row>
    <row r="44783" spans="43:43" x14ac:dyDescent="0.2">
      <c r="AQ44783" s="31"/>
    </row>
    <row r="44784" spans="43:43" x14ac:dyDescent="0.2">
      <c r="AQ44784" s="31"/>
    </row>
    <row r="44785" spans="43:43" x14ac:dyDescent="0.2">
      <c r="AQ44785" s="31"/>
    </row>
    <row r="44786" spans="43:43" x14ac:dyDescent="0.2">
      <c r="AQ44786" s="31"/>
    </row>
    <row r="44787" spans="43:43" x14ac:dyDescent="0.2">
      <c r="AQ44787" s="31"/>
    </row>
    <row r="44788" spans="43:43" x14ac:dyDescent="0.2">
      <c r="AQ44788" s="31"/>
    </row>
    <row r="44789" spans="43:43" x14ac:dyDescent="0.2">
      <c r="AQ44789" s="31"/>
    </row>
    <row r="44790" spans="43:43" x14ac:dyDescent="0.2">
      <c r="AQ44790" s="31"/>
    </row>
    <row r="44791" spans="43:43" x14ac:dyDescent="0.2">
      <c r="AQ44791" s="31"/>
    </row>
    <row r="44792" spans="43:43" x14ac:dyDescent="0.2">
      <c r="AQ44792" s="31"/>
    </row>
    <row r="44793" spans="43:43" x14ac:dyDescent="0.2">
      <c r="AQ44793" s="31"/>
    </row>
    <row r="44794" spans="43:43" x14ac:dyDescent="0.2">
      <c r="AQ44794" s="31"/>
    </row>
    <row r="44795" spans="43:43" x14ac:dyDescent="0.2">
      <c r="AQ44795" s="31"/>
    </row>
    <row r="44796" spans="43:43" x14ac:dyDescent="0.2">
      <c r="AQ44796" s="31"/>
    </row>
    <row r="44797" spans="43:43" x14ac:dyDescent="0.2">
      <c r="AQ44797" s="31"/>
    </row>
    <row r="44798" spans="43:43" x14ac:dyDescent="0.2">
      <c r="AQ44798" s="31"/>
    </row>
    <row r="44799" spans="43:43" x14ac:dyDescent="0.2">
      <c r="AQ44799" s="31"/>
    </row>
    <row r="44800" spans="43:43" x14ac:dyDescent="0.2">
      <c r="AQ44800" s="31"/>
    </row>
    <row r="44801" spans="43:43" x14ac:dyDescent="0.2">
      <c r="AQ44801" s="31"/>
    </row>
    <row r="44802" spans="43:43" x14ac:dyDescent="0.2">
      <c r="AQ44802" s="31"/>
    </row>
    <row r="44803" spans="43:43" x14ac:dyDescent="0.2">
      <c r="AQ44803" s="31"/>
    </row>
    <row r="44804" spans="43:43" x14ac:dyDescent="0.2">
      <c r="AQ44804" s="31"/>
    </row>
    <row r="44805" spans="43:43" x14ac:dyDescent="0.2">
      <c r="AQ44805" s="31"/>
    </row>
    <row r="44806" spans="43:43" x14ac:dyDescent="0.2">
      <c r="AQ44806" s="31"/>
    </row>
    <row r="44807" spans="43:43" x14ac:dyDescent="0.2">
      <c r="AQ44807" s="31"/>
    </row>
    <row r="44808" spans="43:43" x14ac:dyDescent="0.2">
      <c r="AQ44808" s="31"/>
    </row>
    <row r="44809" spans="43:43" x14ac:dyDescent="0.2">
      <c r="AQ44809" s="31"/>
    </row>
    <row r="44810" spans="43:43" x14ac:dyDescent="0.2">
      <c r="AQ44810" s="31"/>
    </row>
    <row r="44811" spans="43:43" x14ac:dyDescent="0.2">
      <c r="AQ44811" s="31"/>
    </row>
    <row r="44812" spans="43:43" x14ac:dyDescent="0.2">
      <c r="AQ44812" s="31"/>
    </row>
    <row r="44813" spans="43:43" x14ac:dyDescent="0.2">
      <c r="AQ44813" s="31"/>
    </row>
    <row r="44814" spans="43:43" x14ac:dyDescent="0.2">
      <c r="AQ44814" s="31"/>
    </row>
    <row r="44815" spans="43:43" x14ac:dyDescent="0.2">
      <c r="AQ44815" s="31"/>
    </row>
    <row r="44816" spans="43:43" x14ac:dyDescent="0.2">
      <c r="AQ44816" s="31"/>
    </row>
    <row r="44817" spans="43:43" x14ac:dyDescent="0.2">
      <c r="AQ44817" s="31"/>
    </row>
    <row r="44818" spans="43:43" x14ac:dyDescent="0.2">
      <c r="AQ44818" s="31"/>
    </row>
    <row r="44819" spans="43:43" x14ac:dyDescent="0.2">
      <c r="AQ44819" s="31"/>
    </row>
    <row r="44820" spans="43:43" x14ac:dyDescent="0.2">
      <c r="AQ44820" s="31"/>
    </row>
    <row r="44821" spans="43:43" x14ac:dyDescent="0.2">
      <c r="AQ44821" s="31"/>
    </row>
    <row r="44822" spans="43:43" x14ac:dyDescent="0.2">
      <c r="AQ44822" s="31"/>
    </row>
    <row r="44823" spans="43:43" x14ac:dyDescent="0.2">
      <c r="AQ44823" s="31"/>
    </row>
    <row r="44824" spans="43:43" x14ac:dyDescent="0.2">
      <c r="AQ44824" s="31"/>
    </row>
    <row r="44825" spans="43:43" x14ac:dyDescent="0.2">
      <c r="AQ44825" s="31"/>
    </row>
    <row r="44826" spans="43:43" x14ac:dyDescent="0.2">
      <c r="AQ44826" s="31"/>
    </row>
    <row r="44827" spans="43:43" x14ac:dyDescent="0.2">
      <c r="AQ44827" s="31"/>
    </row>
    <row r="44828" spans="43:43" x14ac:dyDescent="0.2">
      <c r="AQ44828" s="31"/>
    </row>
    <row r="44829" spans="43:43" x14ac:dyDescent="0.2">
      <c r="AQ44829" s="31"/>
    </row>
    <row r="44830" spans="43:43" x14ac:dyDescent="0.2">
      <c r="AQ44830" s="31"/>
    </row>
    <row r="44831" spans="43:43" x14ac:dyDescent="0.2">
      <c r="AQ44831" s="31"/>
    </row>
    <row r="44832" spans="43:43" x14ac:dyDescent="0.2">
      <c r="AQ44832" s="31"/>
    </row>
    <row r="44833" spans="43:43" x14ac:dyDescent="0.2">
      <c r="AQ44833" s="31"/>
    </row>
    <row r="44834" spans="43:43" x14ac:dyDescent="0.2">
      <c r="AQ44834" s="31"/>
    </row>
    <row r="44835" spans="43:43" x14ac:dyDescent="0.2">
      <c r="AQ44835" s="31"/>
    </row>
    <row r="44836" spans="43:43" x14ac:dyDescent="0.2">
      <c r="AQ44836" s="31"/>
    </row>
    <row r="44837" spans="43:43" x14ac:dyDescent="0.2">
      <c r="AQ44837" s="31"/>
    </row>
    <row r="44838" spans="43:43" x14ac:dyDescent="0.2">
      <c r="AQ44838" s="31"/>
    </row>
    <row r="44839" spans="43:43" x14ac:dyDescent="0.2">
      <c r="AQ44839" s="31"/>
    </row>
    <row r="44840" spans="43:43" x14ac:dyDescent="0.2">
      <c r="AQ44840" s="31"/>
    </row>
    <row r="44841" spans="43:43" x14ac:dyDescent="0.2">
      <c r="AQ44841" s="31"/>
    </row>
    <row r="44842" spans="43:43" x14ac:dyDescent="0.2">
      <c r="AQ44842" s="31"/>
    </row>
    <row r="44843" spans="43:43" x14ac:dyDescent="0.2">
      <c r="AQ44843" s="31"/>
    </row>
    <row r="44844" spans="43:43" x14ac:dyDescent="0.2">
      <c r="AQ44844" s="31"/>
    </row>
    <row r="44845" spans="43:43" x14ac:dyDescent="0.2">
      <c r="AQ44845" s="31"/>
    </row>
    <row r="44846" spans="43:43" x14ac:dyDescent="0.2">
      <c r="AQ44846" s="31"/>
    </row>
    <row r="44847" spans="43:43" x14ac:dyDescent="0.2">
      <c r="AQ44847" s="31"/>
    </row>
    <row r="44848" spans="43:43" x14ac:dyDescent="0.2">
      <c r="AQ44848" s="31"/>
    </row>
    <row r="44849" spans="43:43" x14ac:dyDescent="0.2">
      <c r="AQ44849" s="31"/>
    </row>
    <row r="44850" spans="43:43" x14ac:dyDescent="0.2">
      <c r="AQ44850" s="31"/>
    </row>
    <row r="44851" spans="43:43" x14ac:dyDescent="0.2">
      <c r="AQ44851" s="31"/>
    </row>
    <row r="44852" spans="43:43" x14ac:dyDescent="0.2">
      <c r="AQ44852" s="31"/>
    </row>
    <row r="44853" spans="43:43" x14ac:dyDescent="0.2">
      <c r="AQ44853" s="31"/>
    </row>
    <row r="44854" spans="43:43" x14ac:dyDescent="0.2">
      <c r="AQ44854" s="31"/>
    </row>
    <row r="44855" spans="43:43" x14ac:dyDescent="0.2">
      <c r="AQ44855" s="31"/>
    </row>
    <row r="44856" spans="43:43" x14ac:dyDescent="0.2">
      <c r="AQ44856" s="31"/>
    </row>
    <row r="44857" spans="43:43" x14ac:dyDescent="0.2">
      <c r="AQ44857" s="31"/>
    </row>
    <row r="44858" spans="43:43" x14ac:dyDescent="0.2">
      <c r="AQ44858" s="31"/>
    </row>
    <row r="44859" spans="43:43" x14ac:dyDescent="0.2">
      <c r="AQ44859" s="31"/>
    </row>
    <row r="44860" spans="43:43" x14ac:dyDescent="0.2">
      <c r="AQ44860" s="31"/>
    </row>
    <row r="44861" spans="43:43" x14ac:dyDescent="0.2">
      <c r="AQ44861" s="31"/>
    </row>
    <row r="44862" spans="43:43" x14ac:dyDescent="0.2">
      <c r="AQ44862" s="31"/>
    </row>
    <row r="44863" spans="43:43" x14ac:dyDescent="0.2">
      <c r="AQ44863" s="31"/>
    </row>
    <row r="44864" spans="43:43" x14ac:dyDescent="0.2">
      <c r="AQ44864" s="31"/>
    </row>
    <row r="44865" spans="43:43" x14ac:dyDescent="0.2">
      <c r="AQ44865" s="31"/>
    </row>
    <row r="44866" spans="43:43" x14ac:dyDescent="0.2">
      <c r="AQ44866" s="31"/>
    </row>
    <row r="44867" spans="43:43" x14ac:dyDescent="0.2">
      <c r="AQ44867" s="31"/>
    </row>
    <row r="44868" spans="43:43" x14ac:dyDescent="0.2">
      <c r="AQ44868" s="31"/>
    </row>
    <row r="44869" spans="43:43" x14ac:dyDescent="0.2">
      <c r="AQ44869" s="31"/>
    </row>
    <row r="44870" spans="43:43" x14ac:dyDescent="0.2">
      <c r="AQ44870" s="31"/>
    </row>
    <row r="44871" spans="43:43" x14ac:dyDescent="0.2">
      <c r="AQ44871" s="31"/>
    </row>
    <row r="44872" spans="43:43" x14ac:dyDescent="0.2">
      <c r="AQ44872" s="31"/>
    </row>
    <row r="44873" spans="43:43" x14ac:dyDescent="0.2">
      <c r="AQ44873" s="31"/>
    </row>
    <row r="44874" spans="43:43" x14ac:dyDescent="0.2">
      <c r="AQ44874" s="31"/>
    </row>
    <row r="44875" spans="43:43" x14ac:dyDescent="0.2">
      <c r="AQ44875" s="31"/>
    </row>
    <row r="44876" spans="43:43" x14ac:dyDescent="0.2">
      <c r="AQ44876" s="31"/>
    </row>
    <row r="44877" spans="43:43" x14ac:dyDescent="0.2">
      <c r="AQ44877" s="31"/>
    </row>
    <row r="44878" spans="43:43" x14ac:dyDescent="0.2">
      <c r="AQ44878" s="31"/>
    </row>
    <row r="44879" spans="43:43" x14ac:dyDescent="0.2">
      <c r="AQ44879" s="31"/>
    </row>
    <row r="44880" spans="43:43" x14ac:dyDescent="0.2">
      <c r="AQ44880" s="31"/>
    </row>
    <row r="44881" spans="43:43" x14ac:dyDescent="0.2">
      <c r="AQ44881" s="31"/>
    </row>
    <row r="44882" spans="43:43" x14ac:dyDescent="0.2">
      <c r="AQ44882" s="31"/>
    </row>
    <row r="44883" spans="43:43" x14ac:dyDescent="0.2">
      <c r="AQ44883" s="31"/>
    </row>
    <row r="44884" spans="43:43" x14ac:dyDescent="0.2">
      <c r="AQ44884" s="31"/>
    </row>
    <row r="44885" spans="43:43" x14ac:dyDescent="0.2">
      <c r="AQ44885" s="31"/>
    </row>
    <row r="44886" spans="43:43" x14ac:dyDescent="0.2">
      <c r="AQ44886" s="31"/>
    </row>
    <row r="44887" spans="43:43" x14ac:dyDescent="0.2">
      <c r="AQ44887" s="31"/>
    </row>
    <row r="44888" spans="43:43" x14ac:dyDescent="0.2">
      <c r="AQ44888" s="31"/>
    </row>
    <row r="44889" spans="43:43" x14ac:dyDescent="0.2">
      <c r="AQ44889" s="31"/>
    </row>
    <row r="44890" spans="43:43" x14ac:dyDescent="0.2">
      <c r="AQ44890" s="31"/>
    </row>
    <row r="44891" spans="43:43" x14ac:dyDescent="0.2">
      <c r="AQ44891" s="31"/>
    </row>
    <row r="44892" spans="43:43" x14ac:dyDescent="0.2">
      <c r="AQ44892" s="31"/>
    </row>
    <row r="44893" spans="43:43" x14ac:dyDescent="0.2">
      <c r="AQ44893" s="31"/>
    </row>
    <row r="44894" spans="43:43" x14ac:dyDescent="0.2">
      <c r="AQ44894" s="31"/>
    </row>
    <row r="44895" spans="43:43" x14ac:dyDescent="0.2">
      <c r="AQ44895" s="31"/>
    </row>
    <row r="44896" spans="43:43" x14ac:dyDescent="0.2">
      <c r="AQ44896" s="31"/>
    </row>
    <row r="44897" spans="43:43" x14ac:dyDescent="0.2">
      <c r="AQ44897" s="31"/>
    </row>
    <row r="44898" spans="43:43" x14ac:dyDescent="0.2">
      <c r="AQ44898" s="31"/>
    </row>
    <row r="44899" spans="43:43" x14ac:dyDescent="0.2">
      <c r="AQ44899" s="31"/>
    </row>
    <row r="44900" spans="43:43" x14ac:dyDescent="0.2">
      <c r="AQ44900" s="31"/>
    </row>
    <row r="44901" spans="43:43" x14ac:dyDescent="0.2">
      <c r="AQ44901" s="31"/>
    </row>
    <row r="44902" spans="43:43" x14ac:dyDescent="0.2">
      <c r="AQ44902" s="31"/>
    </row>
    <row r="44903" spans="43:43" x14ac:dyDescent="0.2">
      <c r="AQ44903" s="31"/>
    </row>
    <row r="44904" spans="43:43" x14ac:dyDescent="0.2">
      <c r="AQ44904" s="31"/>
    </row>
    <row r="44905" spans="43:43" x14ac:dyDescent="0.2">
      <c r="AQ44905" s="31"/>
    </row>
    <row r="44906" spans="43:43" x14ac:dyDescent="0.2">
      <c r="AQ44906" s="31"/>
    </row>
    <row r="44907" spans="43:43" x14ac:dyDescent="0.2">
      <c r="AQ44907" s="31"/>
    </row>
    <row r="44908" spans="43:43" x14ac:dyDescent="0.2">
      <c r="AQ44908" s="31"/>
    </row>
    <row r="44909" spans="43:43" x14ac:dyDescent="0.2">
      <c r="AQ44909" s="31"/>
    </row>
    <row r="44910" spans="43:43" x14ac:dyDescent="0.2">
      <c r="AQ44910" s="31"/>
    </row>
    <row r="44911" spans="43:43" x14ac:dyDescent="0.2">
      <c r="AQ44911" s="31"/>
    </row>
    <row r="44912" spans="43:43" x14ac:dyDescent="0.2">
      <c r="AQ44912" s="31"/>
    </row>
    <row r="44913" spans="43:43" x14ac:dyDescent="0.2">
      <c r="AQ44913" s="31"/>
    </row>
    <row r="44914" spans="43:43" x14ac:dyDescent="0.2">
      <c r="AQ44914" s="31"/>
    </row>
    <row r="44915" spans="43:43" x14ac:dyDescent="0.2">
      <c r="AQ44915" s="31"/>
    </row>
    <row r="44916" spans="43:43" x14ac:dyDescent="0.2">
      <c r="AQ44916" s="31"/>
    </row>
    <row r="44917" spans="43:43" x14ac:dyDescent="0.2">
      <c r="AQ44917" s="31"/>
    </row>
    <row r="44918" spans="43:43" x14ac:dyDescent="0.2">
      <c r="AQ44918" s="31"/>
    </row>
    <row r="44919" spans="43:43" x14ac:dyDescent="0.2">
      <c r="AQ44919" s="31"/>
    </row>
    <row r="44920" spans="43:43" x14ac:dyDescent="0.2">
      <c r="AQ44920" s="31"/>
    </row>
    <row r="44921" spans="43:43" x14ac:dyDescent="0.2">
      <c r="AQ44921" s="31"/>
    </row>
    <row r="44922" spans="43:43" x14ac:dyDescent="0.2">
      <c r="AQ44922" s="31"/>
    </row>
    <row r="44923" spans="43:43" x14ac:dyDescent="0.2">
      <c r="AQ44923" s="31"/>
    </row>
    <row r="44924" spans="43:43" x14ac:dyDescent="0.2">
      <c r="AQ44924" s="31"/>
    </row>
    <row r="44925" spans="43:43" x14ac:dyDescent="0.2">
      <c r="AQ44925" s="31"/>
    </row>
    <row r="44926" spans="43:43" x14ac:dyDescent="0.2">
      <c r="AQ44926" s="31"/>
    </row>
    <row r="44927" spans="43:43" x14ac:dyDescent="0.2">
      <c r="AQ44927" s="31"/>
    </row>
    <row r="44928" spans="43:43" x14ac:dyDescent="0.2">
      <c r="AQ44928" s="31"/>
    </row>
    <row r="44929" spans="43:43" x14ac:dyDescent="0.2">
      <c r="AQ44929" s="31"/>
    </row>
    <row r="44930" spans="43:43" x14ac:dyDescent="0.2">
      <c r="AQ44930" s="31"/>
    </row>
    <row r="44931" spans="43:43" x14ac:dyDescent="0.2">
      <c r="AQ44931" s="31"/>
    </row>
    <row r="44932" spans="43:43" x14ac:dyDescent="0.2">
      <c r="AQ44932" s="31"/>
    </row>
    <row r="44933" spans="43:43" x14ac:dyDescent="0.2">
      <c r="AQ44933" s="31"/>
    </row>
    <row r="44934" spans="43:43" x14ac:dyDescent="0.2">
      <c r="AQ44934" s="31"/>
    </row>
    <row r="44935" spans="43:43" x14ac:dyDescent="0.2">
      <c r="AQ44935" s="31"/>
    </row>
    <row r="44936" spans="43:43" x14ac:dyDescent="0.2">
      <c r="AQ44936" s="31"/>
    </row>
    <row r="44937" spans="43:43" x14ac:dyDescent="0.2">
      <c r="AQ44937" s="31"/>
    </row>
    <row r="44938" spans="43:43" x14ac:dyDescent="0.2">
      <c r="AQ44938" s="31"/>
    </row>
    <row r="44939" spans="43:43" x14ac:dyDescent="0.2">
      <c r="AQ44939" s="31"/>
    </row>
    <row r="44940" spans="43:43" x14ac:dyDescent="0.2">
      <c r="AQ44940" s="31"/>
    </row>
    <row r="44941" spans="43:43" x14ac:dyDescent="0.2">
      <c r="AQ44941" s="31"/>
    </row>
    <row r="44942" spans="43:43" x14ac:dyDescent="0.2">
      <c r="AQ44942" s="31"/>
    </row>
    <row r="44943" spans="43:43" x14ac:dyDescent="0.2">
      <c r="AQ44943" s="31"/>
    </row>
    <row r="44944" spans="43:43" x14ac:dyDescent="0.2">
      <c r="AQ44944" s="31"/>
    </row>
    <row r="44945" spans="43:43" x14ac:dyDescent="0.2">
      <c r="AQ44945" s="31"/>
    </row>
    <row r="44946" spans="43:43" x14ac:dyDescent="0.2">
      <c r="AQ44946" s="31"/>
    </row>
    <row r="44947" spans="43:43" x14ac:dyDescent="0.2">
      <c r="AQ44947" s="31"/>
    </row>
    <row r="44948" spans="43:43" x14ac:dyDescent="0.2">
      <c r="AQ44948" s="31"/>
    </row>
    <row r="44949" spans="43:43" x14ac:dyDescent="0.2">
      <c r="AQ44949" s="31"/>
    </row>
    <row r="44950" spans="43:43" x14ac:dyDescent="0.2">
      <c r="AQ44950" s="31"/>
    </row>
    <row r="44951" spans="43:43" x14ac:dyDescent="0.2">
      <c r="AQ44951" s="31"/>
    </row>
    <row r="44952" spans="43:43" x14ac:dyDescent="0.2">
      <c r="AQ44952" s="31"/>
    </row>
    <row r="44953" spans="43:43" x14ac:dyDescent="0.2">
      <c r="AQ44953" s="31"/>
    </row>
    <row r="44954" spans="43:43" x14ac:dyDescent="0.2">
      <c r="AQ44954" s="31"/>
    </row>
    <row r="44955" spans="43:43" x14ac:dyDescent="0.2">
      <c r="AQ44955" s="31"/>
    </row>
    <row r="44956" spans="43:43" x14ac:dyDescent="0.2">
      <c r="AQ44956" s="31"/>
    </row>
    <row r="44957" spans="43:43" x14ac:dyDescent="0.2">
      <c r="AQ44957" s="31"/>
    </row>
    <row r="44958" spans="43:43" x14ac:dyDescent="0.2">
      <c r="AQ44958" s="31"/>
    </row>
    <row r="44959" spans="43:43" x14ac:dyDescent="0.2">
      <c r="AQ44959" s="31"/>
    </row>
    <row r="44960" spans="43:43" x14ac:dyDescent="0.2">
      <c r="AQ44960" s="31"/>
    </row>
    <row r="44961" spans="43:43" x14ac:dyDescent="0.2">
      <c r="AQ44961" s="31"/>
    </row>
    <row r="44962" spans="43:43" x14ac:dyDescent="0.2">
      <c r="AQ44962" s="31"/>
    </row>
    <row r="44963" spans="43:43" x14ac:dyDescent="0.2">
      <c r="AQ44963" s="31"/>
    </row>
    <row r="44964" spans="43:43" x14ac:dyDescent="0.2">
      <c r="AQ44964" s="31"/>
    </row>
    <row r="44965" spans="43:43" x14ac:dyDescent="0.2">
      <c r="AQ44965" s="31"/>
    </row>
    <row r="44966" spans="43:43" x14ac:dyDescent="0.2">
      <c r="AQ44966" s="31"/>
    </row>
    <row r="44967" spans="43:43" x14ac:dyDescent="0.2">
      <c r="AQ44967" s="31"/>
    </row>
    <row r="44968" spans="43:43" x14ac:dyDescent="0.2">
      <c r="AQ44968" s="31"/>
    </row>
    <row r="44969" spans="43:43" x14ac:dyDescent="0.2">
      <c r="AQ44969" s="31"/>
    </row>
    <row r="44970" spans="43:43" x14ac:dyDescent="0.2">
      <c r="AQ44970" s="31"/>
    </row>
    <row r="44971" spans="43:43" x14ac:dyDescent="0.2">
      <c r="AQ44971" s="31"/>
    </row>
    <row r="44972" spans="43:43" x14ac:dyDescent="0.2">
      <c r="AQ44972" s="31"/>
    </row>
    <row r="44973" spans="43:43" x14ac:dyDescent="0.2">
      <c r="AQ44973" s="31"/>
    </row>
    <row r="44974" spans="43:43" x14ac:dyDescent="0.2">
      <c r="AQ44974" s="31"/>
    </row>
    <row r="44975" spans="43:43" x14ac:dyDescent="0.2">
      <c r="AQ44975" s="31"/>
    </row>
    <row r="44976" spans="43:43" x14ac:dyDescent="0.2">
      <c r="AQ44976" s="31"/>
    </row>
    <row r="44977" spans="43:43" x14ac:dyDescent="0.2">
      <c r="AQ44977" s="31"/>
    </row>
    <row r="44978" spans="43:43" x14ac:dyDescent="0.2">
      <c r="AQ44978" s="31"/>
    </row>
    <row r="44979" spans="43:43" x14ac:dyDescent="0.2">
      <c r="AQ44979" s="31"/>
    </row>
    <row r="44980" spans="43:43" x14ac:dyDescent="0.2">
      <c r="AQ44980" s="31"/>
    </row>
    <row r="44981" spans="43:43" x14ac:dyDescent="0.2">
      <c r="AQ44981" s="31"/>
    </row>
    <row r="44982" spans="43:43" x14ac:dyDescent="0.2">
      <c r="AQ44982" s="31"/>
    </row>
    <row r="44983" spans="43:43" x14ac:dyDescent="0.2">
      <c r="AQ44983" s="31"/>
    </row>
    <row r="44984" spans="43:43" x14ac:dyDescent="0.2">
      <c r="AQ44984" s="31"/>
    </row>
    <row r="44985" spans="43:43" x14ac:dyDescent="0.2">
      <c r="AQ44985" s="31"/>
    </row>
    <row r="44986" spans="43:43" x14ac:dyDescent="0.2">
      <c r="AQ44986" s="31"/>
    </row>
    <row r="44987" spans="43:43" x14ac:dyDescent="0.2">
      <c r="AQ44987" s="31"/>
    </row>
    <row r="44988" spans="43:43" x14ac:dyDescent="0.2">
      <c r="AQ44988" s="31"/>
    </row>
    <row r="44989" spans="43:43" x14ac:dyDescent="0.2">
      <c r="AQ44989" s="31"/>
    </row>
    <row r="44990" spans="43:43" x14ac:dyDescent="0.2">
      <c r="AQ44990" s="31"/>
    </row>
    <row r="44991" spans="43:43" x14ac:dyDescent="0.2">
      <c r="AQ44991" s="31"/>
    </row>
    <row r="44992" spans="43:43" x14ac:dyDescent="0.2">
      <c r="AQ44992" s="31"/>
    </row>
    <row r="44993" spans="43:43" x14ac:dyDescent="0.2">
      <c r="AQ44993" s="31"/>
    </row>
    <row r="44994" spans="43:43" x14ac:dyDescent="0.2">
      <c r="AQ44994" s="31"/>
    </row>
    <row r="44995" spans="43:43" x14ac:dyDescent="0.2">
      <c r="AQ44995" s="31"/>
    </row>
    <row r="44996" spans="43:43" x14ac:dyDescent="0.2">
      <c r="AQ44996" s="31"/>
    </row>
    <row r="44997" spans="43:43" x14ac:dyDescent="0.2">
      <c r="AQ44997" s="31"/>
    </row>
    <row r="44998" spans="43:43" x14ac:dyDescent="0.2">
      <c r="AQ44998" s="31"/>
    </row>
    <row r="44999" spans="43:43" x14ac:dyDescent="0.2">
      <c r="AQ44999" s="31"/>
    </row>
    <row r="45000" spans="43:43" x14ac:dyDescent="0.2">
      <c r="AQ45000" s="31"/>
    </row>
    <row r="45001" spans="43:43" x14ac:dyDescent="0.2">
      <c r="AQ45001" s="31"/>
    </row>
    <row r="45002" spans="43:43" x14ac:dyDescent="0.2">
      <c r="AQ45002" s="31"/>
    </row>
    <row r="45003" spans="43:43" x14ac:dyDescent="0.2">
      <c r="AQ45003" s="31"/>
    </row>
    <row r="45004" spans="43:43" x14ac:dyDescent="0.2">
      <c r="AQ45004" s="31"/>
    </row>
    <row r="45005" spans="43:43" x14ac:dyDescent="0.2">
      <c r="AQ45005" s="31"/>
    </row>
    <row r="45006" spans="43:43" x14ac:dyDescent="0.2">
      <c r="AQ45006" s="31"/>
    </row>
    <row r="45007" spans="43:43" x14ac:dyDescent="0.2">
      <c r="AQ45007" s="31"/>
    </row>
    <row r="45008" spans="43:43" x14ac:dyDescent="0.2">
      <c r="AQ45008" s="31"/>
    </row>
    <row r="45009" spans="43:43" x14ac:dyDescent="0.2">
      <c r="AQ45009" s="31"/>
    </row>
    <row r="45010" spans="43:43" x14ac:dyDescent="0.2">
      <c r="AQ45010" s="31"/>
    </row>
    <row r="45011" spans="43:43" x14ac:dyDescent="0.2">
      <c r="AQ45011" s="31"/>
    </row>
    <row r="45012" spans="43:43" x14ac:dyDescent="0.2">
      <c r="AQ45012" s="31"/>
    </row>
    <row r="45013" spans="43:43" x14ac:dyDescent="0.2">
      <c r="AQ45013" s="31"/>
    </row>
    <row r="45014" spans="43:43" x14ac:dyDescent="0.2">
      <c r="AQ45014" s="31"/>
    </row>
    <row r="45015" spans="43:43" x14ac:dyDescent="0.2">
      <c r="AQ45015" s="31"/>
    </row>
    <row r="45016" spans="43:43" x14ac:dyDescent="0.2">
      <c r="AQ45016" s="31"/>
    </row>
    <row r="45017" spans="43:43" x14ac:dyDescent="0.2">
      <c r="AQ45017" s="31"/>
    </row>
    <row r="45018" spans="43:43" x14ac:dyDescent="0.2">
      <c r="AQ45018" s="31"/>
    </row>
    <row r="45019" spans="43:43" x14ac:dyDescent="0.2">
      <c r="AQ45019" s="31"/>
    </row>
    <row r="45020" spans="43:43" x14ac:dyDescent="0.2">
      <c r="AQ45020" s="31"/>
    </row>
    <row r="45021" spans="43:43" x14ac:dyDescent="0.2">
      <c r="AQ45021" s="31"/>
    </row>
    <row r="45022" spans="43:43" x14ac:dyDescent="0.2">
      <c r="AQ45022" s="31"/>
    </row>
    <row r="45023" spans="43:43" x14ac:dyDescent="0.2">
      <c r="AQ45023" s="31"/>
    </row>
    <row r="45024" spans="43:43" x14ac:dyDescent="0.2">
      <c r="AQ45024" s="31"/>
    </row>
    <row r="45025" spans="43:43" x14ac:dyDescent="0.2">
      <c r="AQ45025" s="31"/>
    </row>
    <row r="45026" spans="43:43" x14ac:dyDescent="0.2">
      <c r="AQ45026" s="31"/>
    </row>
    <row r="45027" spans="43:43" x14ac:dyDescent="0.2">
      <c r="AQ45027" s="31"/>
    </row>
    <row r="45028" spans="43:43" x14ac:dyDescent="0.2">
      <c r="AQ45028" s="31"/>
    </row>
    <row r="45029" spans="43:43" x14ac:dyDescent="0.2">
      <c r="AQ45029" s="31"/>
    </row>
    <row r="45030" spans="43:43" x14ac:dyDescent="0.2">
      <c r="AQ45030" s="31"/>
    </row>
    <row r="45031" spans="43:43" x14ac:dyDescent="0.2">
      <c r="AQ45031" s="31"/>
    </row>
    <row r="45032" spans="43:43" x14ac:dyDescent="0.2">
      <c r="AQ45032" s="31"/>
    </row>
    <row r="45033" spans="43:43" x14ac:dyDescent="0.2">
      <c r="AQ45033" s="31"/>
    </row>
    <row r="45034" spans="43:43" x14ac:dyDescent="0.2">
      <c r="AQ45034" s="31"/>
    </row>
    <row r="45035" spans="43:43" x14ac:dyDescent="0.2">
      <c r="AQ45035" s="31"/>
    </row>
    <row r="45036" spans="43:43" x14ac:dyDescent="0.2">
      <c r="AQ45036" s="31"/>
    </row>
    <row r="45037" spans="43:43" x14ac:dyDescent="0.2">
      <c r="AQ45037" s="31"/>
    </row>
    <row r="45038" spans="43:43" x14ac:dyDescent="0.2">
      <c r="AQ45038" s="31"/>
    </row>
    <row r="45039" spans="43:43" x14ac:dyDescent="0.2">
      <c r="AQ45039" s="31"/>
    </row>
    <row r="45040" spans="43:43" x14ac:dyDescent="0.2">
      <c r="AQ45040" s="31"/>
    </row>
    <row r="45041" spans="43:43" x14ac:dyDescent="0.2">
      <c r="AQ45041" s="31"/>
    </row>
    <row r="45042" spans="43:43" x14ac:dyDescent="0.2">
      <c r="AQ45042" s="31"/>
    </row>
    <row r="45043" spans="43:43" x14ac:dyDescent="0.2">
      <c r="AQ45043" s="31"/>
    </row>
    <row r="45044" spans="43:43" x14ac:dyDescent="0.2">
      <c r="AQ45044" s="31"/>
    </row>
    <row r="45045" spans="43:43" x14ac:dyDescent="0.2">
      <c r="AQ45045" s="31"/>
    </row>
    <row r="45046" spans="43:43" x14ac:dyDescent="0.2">
      <c r="AQ45046" s="31"/>
    </row>
    <row r="45047" spans="43:43" x14ac:dyDescent="0.2">
      <c r="AQ45047" s="31"/>
    </row>
    <row r="45048" spans="43:43" x14ac:dyDescent="0.2">
      <c r="AQ45048" s="31"/>
    </row>
    <row r="45049" spans="43:43" x14ac:dyDescent="0.2">
      <c r="AQ45049" s="31"/>
    </row>
    <row r="45050" spans="43:43" x14ac:dyDescent="0.2">
      <c r="AQ45050" s="31"/>
    </row>
    <row r="45051" spans="43:43" x14ac:dyDescent="0.2">
      <c r="AQ45051" s="31"/>
    </row>
    <row r="45052" spans="43:43" x14ac:dyDescent="0.2">
      <c r="AQ45052" s="31"/>
    </row>
    <row r="45053" spans="43:43" x14ac:dyDescent="0.2">
      <c r="AQ45053" s="31"/>
    </row>
    <row r="45054" spans="43:43" x14ac:dyDescent="0.2">
      <c r="AQ45054" s="31"/>
    </row>
    <row r="45055" spans="43:43" x14ac:dyDescent="0.2">
      <c r="AQ45055" s="31"/>
    </row>
    <row r="45056" spans="43:43" x14ac:dyDescent="0.2">
      <c r="AQ45056" s="31"/>
    </row>
    <row r="45057" spans="43:43" x14ac:dyDescent="0.2">
      <c r="AQ45057" s="31"/>
    </row>
    <row r="45058" spans="43:43" x14ac:dyDescent="0.2">
      <c r="AQ45058" s="31"/>
    </row>
    <row r="45059" spans="43:43" x14ac:dyDescent="0.2">
      <c r="AQ45059" s="31"/>
    </row>
    <row r="45060" spans="43:43" x14ac:dyDescent="0.2">
      <c r="AQ45060" s="31"/>
    </row>
    <row r="45061" spans="43:43" x14ac:dyDescent="0.2">
      <c r="AQ45061" s="31"/>
    </row>
    <row r="45062" spans="43:43" x14ac:dyDescent="0.2">
      <c r="AQ45062" s="31"/>
    </row>
    <row r="45063" spans="43:43" x14ac:dyDescent="0.2">
      <c r="AQ45063" s="31"/>
    </row>
    <row r="45064" spans="43:43" x14ac:dyDescent="0.2">
      <c r="AQ45064" s="31"/>
    </row>
    <row r="45065" spans="43:43" x14ac:dyDescent="0.2">
      <c r="AQ45065" s="31"/>
    </row>
    <row r="45066" spans="43:43" x14ac:dyDescent="0.2">
      <c r="AQ45066" s="31"/>
    </row>
    <row r="45067" spans="43:43" x14ac:dyDescent="0.2">
      <c r="AQ45067" s="31"/>
    </row>
    <row r="45068" spans="43:43" x14ac:dyDescent="0.2">
      <c r="AQ45068" s="31"/>
    </row>
    <row r="45069" spans="43:43" x14ac:dyDescent="0.2">
      <c r="AQ45069" s="31"/>
    </row>
    <row r="45070" spans="43:43" x14ac:dyDescent="0.2">
      <c r="AQ45070" s="31"/>
    </row>
    <row r="45071" spans="43:43" x14ac:dyDescent="0.2">
      <c r="AQ45071" s="31"/>
    </row>
    <row r="45072" spans="43:43" x14ac:dyDescent="0.2">
      <c r="AQ45072" s="31"/>
    </row>
    <row r="45073" spans="43:43" x14ac:dyDescent="0.2">
      <c r="AQ45073" s="31"/>
    </row>
    <row r="45074" spans="43:43" x14ac:dyDescent="0.2">
      <c r="AQ45074" s="31"/>
    </row>
    <row r="45075" spans="43:43" x14ac:dyDescent="0.2">
      <c r="AQ45075" s="31"/>
    </row>
    <row r="45076" spans="43:43" x14ac:dyDescent="0.2">
      <c r="AQ45076" s="31"/>
    </row>
    <row r="45077" spans="43:43" x14ac:dyDescent="0.2">
      <c r="AQ45077" s="31"/>
    </row>
    <row r="45078" spans="43:43" x14ac:dyDescent="0.2">
      <c r="AQ45078" s="31"/>
    </row>
    <row r="45079" spans="43:43" x14ac:dyDescent="0.2">
      <c r="AQ45079" s="31"/>
    </row>
    <row r="45080" spans="43:43" x14ac:dyDescent="0.2">
      <c r="AQ45080" s="31"/>
    </row>
    <row r="45081" spans="43:43" x14ac:dyDescent="0.2">
      <c r="AQ45081" s="31"/>
    </row>
    <row r="45082" spans="43:43" x14ac:dyDescent="0.2">
      <c r="AQ45082" s="31"/>
    </row>
    <row r="45083" spans="43:43" x14ac:dyDescent="0.2">
      <c r="AQ45083" s="31"/>
    </row>
    <row r="45084" spans="43:43" x14ac:dyDescent="0.2">
      <c r="AQ45084" s="31"/>
    </row>
    <row r="45085" spans="43:43" x14ac:dyDescent="0.2">
      <c r="AQ45085" s="31"/>
    </row>
    <row r="45086" spans="43:43" x14ac:dyDescent="0.2">
      <c r="AQ45086" s="31"/>
    </row>
    <row r="45087" spans="43:43" x14ac:dyDescent="0.2">
      <c r="AQ45087" s="31"/>
    </row>
    <row r="45088" spans="43:43" x14ac:dyDescent="0.2">
      <c r="AQ45088" s="31"/>
    </row>
    <row r="45089" spans="43:43" x14ac:dyDescent="0.2">
      <c r="AQ45089" s="31"/>
    </row>
    <row r="45090" spans="43:43" x14ac:dyDescent="0.2">
      <c r="AQ45090" s="31"/>
    </row>
    <row r="45091" spans="43:43" x14ac:dyDescent="0.2">
      <c r="AQ45091" s="31"/>
    </row>
    <row r="45092" spans="43:43" x14ac:dyDescent="0.2">
      <c r="AQ45092" s="31"/>
    </row>
    <row r="45093" spans="43:43" x14ac:dyDescent="0.2">
      <c r="AQ45093" s="31"/>
    </row>
    <row r="45094" spans="43:43" x14ac:dyDescent="0.2">
      <c r="AQ45094" s="31"/>
    </row>
    <row r="45095" spans="43:43" x14ac:dyDescent="0.2">
      <c r="AQ45095" s="31"/>
    </row>
    <row r="45096" spans="43:43" x14ac:dyDescent="0.2">
      <c r="AQ45096" s="31"/>
    </row>
    <row r="45097" spans="43:43" x14ac:dyDescent="0.2">
      <c r="AQ45097" s="31"/>
    </row>
    <row r="45098" spans="43:43" x14ac:dyDescent="0.2">
      <c r="AQ45098" s="31"/>
    </row>
    <row r="45099" spans="43:43" x14ac:dyDescent="0.2">
      <c r="AQ45099" s="31"/>
    </row>
    <row r="45100" spans="43:43" x14ac:dyDescent="0.2">
      <c r="AQ45100" s="31"/>
    </row>
    <row r="45101" spans="43:43" x14ac:dyDescent="0.2">
      <c r="AQ45101" s="31"/>
    </row>
    <row r="45102" spans="43:43" x14ac:dyDescent="0.2">
      <c r="AQ45102" s="31"/>
    </row>
    <row r="45103" spans="43:43" x14ac:dyDescent="0.2">
      <c r="AQ45103" s="31"/>
    </row>
    <row r="45104" spans="43:43" x14ac:dyDescent="0.2">
      <c r="AQ45104" s="31"/>
    </row>
    <row r="45105" spans="43:43" x14ac:dyDescent="0.2">
      <c r="AQ45105" s="31"/>
    </row>
    <row r="45106" spans="43:43" x14ac:dyDescent="0.2">
      <c r="AQ45106" s="31"/>
    </row>
    <row r="45107" spans="43:43" x14ac:dyDescent="0.2">
      <c r="AQ45107" s="31"/>
    </row>
    <row r="45108" spans="43:43" x14ac:dyDescent="0.2">
      <c r="AQ45108" s="31"/>
    </row>
    <row r="45109" spans="43:43" x14ac:dyDescent="0.2">
      <c r="AQ45109" s="31"/>
    </row>
    <row r="45110" spans="43:43" x14ac:dyDescent="0.2">
      <c r="AQ45110" s="31"/>
    </row>
    <row r="45111" spans="43:43" x14ac:dyDescent="0.2">
      <c r="AQ45111" s="31"/>
    </row>
    <row r="45112" spans="43:43" x14ac:dyDescent="0.2">
      <c r="AQ45112" s="31"/>
    </row>
    <row r="45113" spans="43:43" x14ac:dyDescent="0.2">
      <c r="AQ45113" s="31"/>
    </row>
    <row r="45114" spans="43:43" x14ac:dyDescent="0.2">
      <c r="AQ45114" s="31"/>
    </row>
    <row r="45115" spans="43:43" x14ac:dyDescent="0.2">
      <c r="AQ45115" s="31"/>
    </row>
    <row r="45116" spans="43:43" x14ac:dyDescent="0.2">
      <c r="AQ45116" s="31"/>
    </row>
    <row r="45117" spans="43:43" x14ac:dyDescent="0.2">
      <c r="AQ45117" s="31"/>
    </row>
    <row r="45118" spans="43:43" x14ac:dyDescent="0.2">
      <c r="AQ45118" s="31"/>
    </row>
    <row r="45119" spans="43:43" x14ac:dyDescent="0.2">
      <c r="AQ45119" s="31"/>
    </row>
    <row r="45120" spans="43:43" x14ac:dyDescent="0.2">
      <c r="AQ45120" s="31"/>
    </row>
    <row r="45121" spans="43:43" x14ac:dyDescent="0.2">
      <c r="AQ45121" s="31"/>
    </row>
    <row r="45122" spans="43:43" x14ac:dyDescent="0.2">
      <c r="AQ45122" s="31"/>
    </row>
    <row r="45123" spans="43:43" x14ac:dyDescent="0.2">
      <c r="AQ45123" s="31"/>
    </row>
    <row r="45124" spans="43:43" x14ac:dyDescent="0.2">
      <c r="AQ45124" s="31"/>
    </row>
    <row r="45125" spans="43:43" x14ac:dyDescent="0.2">
      <c r="AQ45125" s="31"/>
    </row>
    <row r="45126" spans="43:43" x14ac:dyDescent="0.2">
      <c r="AQ45126" s="31"/>
    </row>
    <row r="45127" spans="43:43" x14ac:dyDescent="0.2">
      <c r="AQ45127" s="31"/>
    </row>
    <row r="45128" spans="43:43" x14ac:dyDescent="0.2">
      <c r="AQ45128" s="31"/>
    </row>
    <row r="45129" spans="43:43" x14ac:dyDescent="0.2">
      <c r="AQ45129" s="31"/>
    </row>
    <row r="45130" spans="43:43" x14ac:dyDescent="0.2">
      <c r="AQ45130" s="31"/>
    </row>
    <row r="45131" spans="43:43" x14ac:dyDescent="0.2">
      <c r="AQ45131" s="31"/>
    </row>
    <row r="45132" spans="43:43" x14ac:dyDescent="0.2">
      <c r="AQ45132" s="31"/>
    </row>
    <row r="45133" spans="43:43" x14ac:dyDescent="0.2">
      <c r="AQ45133" s="31"/>
    </row>
    <row r="45134" spans="43:43" x14ac:dyDescent="0.2">
      <c r="AQ45134" s="31"/>
    </row>
    <row r="45135" spans="43:43" x14ac:dyDescent="0.2">
      <c r="AQ45135" s="31"/>
    </row>
    <row r="45136" spans="43:43" x14ac:dyDescent="0.2">
      <c r="AQ45136" s="31"/>
    </row>
    <row r="45137" spans="43:43" x14ac:dyDescent="0.2">
      <c r="AQ45137" s="31"/>
    </row>
    <row r="45138" spans="43:43" x14ac:dyDescent="0.2">
      <c r="AQ45138" s="31"/>
    </row>
    <row r="45139" spans="43:43" x14ac:dyDescent="0.2">
      <c r="AQ45139" s="31"/>
    </row>
    <row r="45140" spans="43:43" x14ac:dyDescent="0.2">
      <c r="AQ45140" s="31"/>
    </row>
    <row r="45141" spans="43:43" x14ac:dyDescent="0.2">
      <c r="AQ45141" s="31"/>
    </row>
    <row r="45142" spans="43:43" x14ac:dyDescent="0.2">
      <c r="AQ45142" s="31"/>
    </row>
    <row r="45143" spans="43:43" x14ac:dyDescent="0.2">
      <c r="AQ45143" s="31"/>
    </row>
    <row r="45144" spans="43:43" x14ac:dyDescent="0.2">
      <c r="AQ45144" s="31"/>
    </row>
    <row r="45145" spans="43:43" x14ac:dyDescent="0.2">
      <c r="AQ45145" s="31"/>
    </row>
    <row r="45146" spans="43:43" x14ac:dyDescent="0.2">
      <c r="AQ45146" s="31"/>
    </row>
    <row r="45147" spans="43:43" x14ac:dyDescent="0.2">
      <c r="AQ45147" s="31"/>
    </row>
    <row r="45148" spans="43:43" x14ac:dyDescent="0.2">
      <c r="AQ45148" s="31"/>
    </row>
    <row r="45149" spans="43:43" x14ac:dyDescent="0.2">
      <c r="AQ45149" s="31"/>
    </row>
    <row r="45150" spans="43:43" x14ac:dyDescent="0.2">
      <c r="AQ45150" s="31"/>
    </row>
    <row r="45151" spans="43:43" x14ac:dyDescent="0.2">
      <c r="AQ45151" s="31"/>
    </row>
    <row r="45152" spans="43:43" x14ac:dyDescent="0.2">
      <c r="AQ45152" s="31"/>
    </row>
    <row r="45153" spans="43:43" x14ac:dyDescent="0.2">
      <c r="AQ45153" s="31"/>
    </row>
    <row r="45154" spans="43:43" x14ac:dyDescent="0.2">
      <c r="AQ45154" s="31"/>
    </row>
    <row r="45155" spans="43:43" x14ac:dyDescent="0.2">
      <c r="AQ45155" s="31"/>
    </row>
    <row r="45156" spans="43:43" x14ac:dyDescent="0.2">
      <c r="AQ45156" s="31"/>
    </row>
    <row r="45157" spans="43:43" x14ac:dyDescent="0.2">
      <c r="AQ45157" s="31"/>
    </row>
    <row r="45158" spans="43:43" x14ac:dyDescent="0.2">
      <c r="AQ45158" s="31"/>
    </row>
    <row r="45159" spans="43:43" x14ac:dyDescent="0.2">
      <c r="AQ45159" s="31"/>
    </row>
    <row r="45160" spans="43:43" x14ac:dyDescent="0.2">
      <c r="AQ45160" s="31"/>
    </row>
    <row r="45161" spans="43:43" x14ac:dyDescent="0.2">
      <c r="AQ45161" s="31"/>
    </row>
    <row r="45162" spans="43:43" x14ac:dyDescent="0.2">
      <c r="AQ45162" s="31"/>
    </row>
    <row r="45163" spans="43:43" x14ac:dyDescent="0.2">
      <c r="AQ45163" s="31"/>
    </row>
    <row r="45164" spans="43:43" x14ac:dyDescent="0.2">
      <c r="AQ45164" s="31"/>
    </row>
    <row r="45165" spans="43:43" x14ac:dyDescent="0.2">
      <c r="AQ45165" s="31"/>
    </row>
    <row r="45166" spans="43:43" x14ac:dyDescent="0.2">
      <c r="AQ45166" s="31"/>
    </row>
    <row r="45167" spans="43:43" x14ac:dyDescent="0.2">
      <c r="AQ45167" s="31"/>
    </row>
    <row r="45168" spans="43:43" x14ac:dyDescent="0.2">
      <c r="AQ45168" s="31"/>
    </row>
    <row r="45169" spans="43:43" x14ac:dyDescent="0.2">
      <c r="AQ45169" s="31"/>
    </row>
    <row r="45170" spans="43:43" x14ac:dyDescent="0.2">
      <c r="AQ45170" s="31"/>
    </row>
    <row r="45171" spans="43:43" x14ac:dyDescent="0.2">
      <c r="AQ45171" s="31"/>
    </row>
    <row r="45172" spans="43:43" x14ac:dyDescent="0.2">
      <c r="AQ45172" s="31"/>
    </row>
    <row r="45173" spans="43:43" x14ac:dyDescent="0.2">
      <c r="AQ45173" s="31"/>
    </row>
    <row r="45174" spans="43:43" x14ac:dyDescent="0.2">
      <c r="AQ45174" s="31"/>
    </row>
    <row r="45175" spans="43:43" x14ac:dyDescent="0.2">
      <c r="AQ45175" s="31"/>
    </row>
    <row r="45176" spans="43:43" x14ac:dyDescent="0.2">
      <c r="AQ45176" s="31"/>
    </row>
    <row r="45177" spans="43:43" x14ac:dyDescent="0.2">
      <c r="AQ45177" s="31"/>
    </row>
    <row r="45178" spans="43:43" x14ac:dyDescent="0.2">
      <c r="AQ45178" s="31"/>
    </row>
    <row r="45179" spans="43:43" x14ac:dyDescent="0.2">
      <c r="AQ45179" s="31"/>
    </row>
    <row r="45180" spans="43:43" x14ac:dyDescent="0.2">
      <c r="AQ45180" s="31"/>
    </row>
    <row r="45181" spans="43:43" x14ac:dyDescent="0.2">
      <c r="AQ45181" s="31"/>
    </row>
    <row r="45182" spans="43:43" x14ac:dyDescent="0.2">
      <c r="AQ45182" s="31"/>
    </row>
    <row r="45183" spans="43:43" x14ac:dyDescent="0.2">
      <c r="AQ45183" s="31"/>
    </row>
    <row r="45184" spans="43:43" x14ac:dyDescent="0.2">
      <c r="AQ45184" s="31"/>
    </row>
    <row r="45185" spans="43:43" x14ac:dyDescent="0.2">
      <c r="AQ45185" s="31"/>
    </row>
    <row r="45186" spans="43:43" x14ac:dyDescent="0.2">
      <c r="AQ45186" s="31"/>
    </row>
    <row r="45187" spans="43:43" x14ac:dyDescent="0.2">
      <c r="AQ45187" s="31"/>
    </row>
    <row r="45188" spans="43:43" x14ac:dyDescent="0.2">
      <c r="AQ45188" s="31"/>
    </row>
    <row r="45189" spans="43:43" x14ac:dyDescent="0.2">
      <c r="AQ45189" s="31"/>
    </row>
    <row r="45190" spans="43:43" x14ac:dyDescent="0.2">
      <c r="AQ45190" s="31"/>
    </row>
    <row r="45191" spans="43:43" x14ac:dyDescent="0.2">
      <c r="AQ45191" s="31"/>
    </row>
    <row r="45192" spans="43:43" x14ac:dyDescent="0.2">
      <c r="AQ45192" s="31"/>
    </row>
    <row r="45193" spans="43:43" x14ac:dyDescent="0.2">
      <c r="AQ45193" s="31"/>
    </row>
    <row r="45194" spans="43:43" x14ac:dyDescent="0.2">
      <c r="AQ45194" s="31"/>
    </row>
    <row r="45195" spans="43:43" x14ac:dyDescent="0.2">
      <c r="AQ45195" s="31"/>
    </row>
    <row r="45196" spans="43:43" x14ac:dyDescent="0.2">
      <c r="AQ45196" s="31"/>
    </row>
    <row r="45197" spans="43:43" x14ac:dyDescent="0.2">
      <c r="AQ45197" s="31"/>
    </row>
    <row r="45198" spans="43:43" x14ac:dyDescent="0.2">
      <c r="AQ45198" s="31"/>
    </row>
    <row r="45199" spans="43:43" x14ac:dyDescent="0.2">
      <c r="AQ45199" s="31"/>
    </row>
    <row r="45200" spans="43:43" x14ac:dyDescent="0.2">
      <c r="AQ45200" s="31"/>
    </row>
    <row r="45201" spans="43:43" x14ac:dyDescent="0.2">
      <c r="AQ45201" s="31"/>
    </row>
    <row r="45202" spans="43:43" x14ac:dyDescent="0.2">
      <c r="AQ45202" s="31"/>
    </row>
    <row r="45203" spans="43:43" x14ac:dyDescent="0.2">
      <c r="AQ45203" s="31"/>
    </row>
    <row r="45204" spans="43:43" x14ac:dyDescent="0.2">
      <c r="AQ45204" s="31"/>
    </row>
    <row r="45205" spans="43:43" x14ac:dyDescent="0.2">
      <c r="AQ45205" s="31"/>
    </row>
    <row r="45206" spans="43:43" x14ac:dyDescent="0.2">
      <c r="AQ45206" s="31"/>
    </row>
    <row r="45207" spans="43:43" x14ac:dyDescent="0.2">
      <c r="AQ45207" s="31"/>
    </row>
    <row r="45208" spans="43:43" x14ac:dyDescent="0.2">
      <c r="AQ45208" s="31"/>
    </row>
    <row r="45209" spans="43:43" x14ac:dyDescent="0.2">
      <c r="AQ45209" s="31"/>
    </row>
    <row r="45210" spans="43:43" x14ac:dyDescent="0.2">
      <c r="AQ45210" s="31"/>
    </row>
    <row r="45211" spans="43:43" x14ac:dyDescent="0.2">
      <c r="AQ45211" s="31"/>
    </row>
    <row r="45212" spans="43:43" x14ac:dyDescent="0.2">
      <c r="AQ45212" s="31"/>
    </row>
    <row r="45213" spans="43:43" x14ac:dyDescent="0.2">
      <c r="AQ45213" s="31"/>
    </row>
    <row r="45214" spans="43:43" x14ac:dyDescent="0.2">
      <c r="AQ45214" s="31"/>
    </row>
    <row r="45215" spans="43:43" x14ac:dyDescent="0.2">
      <c r="AQ45215" s="31"/>
    </row>
    <row r="45216" spans="43:43" x14ac:dyDescent="0.2">
      <c r="AQ45216" s="31"/>
    </row>
    <row r="45217" spans="43:43" x14ac:dyDescent="0.2">
      <c r="AQ45217" s="31"/>
    </row>
    <row r="45218" spans="43:43" x14ac:dyDescent="0.2">
      <c r="AQ45218" s="31"/>
    </row>
    <row r="45219" spans="43:43" x14ac:dyDescent="0.2">
      <c r="AQ45219" s="31"/>
    </row>
    <row r="45220" spans="43:43" x14ac:dyDescent="0.2">
      <c r="AQ45220" s="31"/>
    </row>
    <row r="45221" spans="43:43" x14ac:dyDescent="0.2">
      <c r="AQ45221" s="31"/>
    </row>
    <row r="45222" spans="43:43" x14ac:dyDescent="0.2">
      <c r="AQ45222" s="31"/>
    </row>
    <row r="45223" spans="43:43" x14ac:dyDescent="0.2">
      <c r="AQ45223" s="31"/>
    </row>
    <row r="45224" spans="43:43" x14ac:dyDescent="0.2">
      <c r="AQ45224" s="31"/>
    </row>
    <row r="45225" spans="43:43" x14ac:dyDescent="0.2">
      <c r="AQ45225" s="31"/>
    </row>
    <row r="45226" spans="43:43" x14ac:dyDescent="0.2">
      <c r="AQ45226" s="31"/>
    </row>
    <row r="45227" spans="43:43" x14ac:dyDescent="0.2">
      <c r="AQ45227" s="31"/>
    </row>
    <row r="45228" spans="43:43" x14ac:dyDescent="0.2">
      <c r="AQ45228" s="31"/>
    </row>
    <row r="45229" spans="43:43" x14ac:dyDescent="0.2">
      <c r="AQ45229" s="31"/>
    </row>
    <row r="45230" spans="43:43" x14ac:dyDescent="0.2">
      <c r="AQ45230" s="31"/>
    </row>
    <row r="45231" spans="43:43" x14ac:dyDescent="0.2">
      <c r="AQ45231" s="31"/>
    </row>
    <row r="45232" spans="43:43" x14ac:dyDescent="0.2">
      <c r="AQ45232" s="31"/>
    </row>
    <row r="45233" spans="43:43" x14ac:dyDescent="0.2">
      <c r="AQ45233" s="31"/>
    </row>
    <row r="45234" spans="43:43" x14ac:dyDescent="0.2">
      <c r="AQ45234" s="31"/>
    </row>
    <row r="45235" spans="43:43" x14ac:dyDescent="0.2">
      <c r="AQ45235" s="31"/>
    </row>
    <row r="45236" spans="43:43" x14ac:dyDescent="0.2">
      <c r="AQ45236" s="31"/>
    </row>
    <row r="45237" spans="43:43" x14ac:dyDescent="0.2">
      <c r="AQ45237" s="31"/>
    </row>
    <row r="45238" spans="43:43" x14ac:dyDescent="0.2">
      <c r="AQ45238" s="31"/>
    </row>
    <row r="45239" spans="43:43" x14ac:dyDescent="0.2">
      <c r="AQ45239" s="31"/>
    </row>
    <row r="45240" spans="43:43" x14ac:dyDescent="0.2">
      <c r="AQ45240" s="31"/>
    </row>
    <row r="45241" spans="43:43" x14ac:dyDescent="0.2">
      <c r="AQ45241" s="31"/>
    </row>
    <row r="45242" spans="43:43" x14ac:dyDescent="0.2">
      <c r="AQ45242" s="31"/>
    </row>
    <row r="45243" spans="43:43" x14ac:dyDescent="0.2">
      <c r="AQ45243" s="31"/>
    </row>
    <row r="45244" spans="43:43" x14ac:dyDescent="0.2">
      <c r="AQ45244" s="31"/>
    </row>
    <row r="45245" spans="43:43" x14ac:dyDescent="0.2">
      <c r="AQ45245" s="31"/>
    </row>
    <row r="45246" spans="43:43" x14ac:dyDescent="0.2">
      <c r="AQ45246" s="31"/>
    </row>
    <row r="45247" spans="43:43" x14ac:dyDescent="0.2">
      <c r="AQ45247" s="31"/>
    </row>
    <row r="45248" spans="43:43" x14ac:dyDescent="0.2">
      <c r="AQ45248" s="31"/>
    </row>
    <row r="45249" spans="43:43" x14ac:dyDescent="0.2">
      <c r="AQ45249" s="31"/>
    </row>
    <row r="45250" spans="43:43" x14ac:dyDescent="0.2">
      <c r="AQ45250" s="31"/>
    </row>
    <row r="45251" spans="43:43" x14ac:dyDescent="0.2">
      <c r="AQ45251" s="31"/>
    </row>
    <row r="45252" spans="43:43" x14ac:dyDescent="0.2">
      <c r="AQ45252" s="31"/>
    </row>
    <row r="45253" spans="43:43" x14ac:dyDescent="0.2">
      <c r="AQ45253" s="31"/>
    </row>
    <row r="45254" spans="43:43" x14ac:dyDescent="0.2">
      <c r="AQ45254" s="31"/>
    </row>
    <row r="45255" spans="43:43" x14ac:dyDescent="0.2">
      <c r="AQ45255" s="31"/>
    </row>
    <row r="45256" spans="43:43" x14ac:dyDescent="0.2">
      <c r="AQ45256" s="31"/>
    </row>
    <row r="45257" spans="43:43" x14ac:dyDescent="0.2">
      <c r="AQ45257" s="31"/>
    </row>
    <row r="45258" spans="43:43" x14ac:dyDescent="0.2">
      <c r="AQ45258" s="31"/>
    </row>
    <row r="45259" spans="43:43" x14ac:dyDescent="0.2">
      <c r="AQ45259" s="31"/>
    </row>
    <row r="45260" spans="43:43" x14ac:dyDescent="0.2">
      <c r="AQ45260" s="31"/>
    </row>
    <row r="45261" spans="43:43" x14ac:dyDescent="0.2">
      <c r="AQ45261" s="31"/>
    </row>
    <row r="45262" spans="43:43" x14ac:dyDescent="0.2">
      <c r="AQ45262" s="31"/>
    </row>
    <row r="45263" spans="43:43" x14ac:dyDescent="0.2">
      <c r="AQ45263" s="31"/>
    </row>
    <row r="45264" spans="43:43" x14ac:dyDescent="0.2">
      <c r="AQ45264" s="31"/>
    </row>
    <row r="45265" spans="43:43" x14ac:dyDescent="0.2">
      <c r="AQ45265" s="31"/>
    </row>
    <row r="45266" spans="43:43" x14ac:dyDescent="0.2">
      <c r="AQ45266" s="31"/>
    </row>
    <row r="45267" spans="43:43" x14ac:dyDescent="0.2">
      <c r="AQ45267" s="31"/>
    </row>
    <row r="45268" spans="43:43" x14ac:dyDescent="0.2">
      <c r="AQ45268" s="31"/>
    </row>
    <row r="45269" spans="43:43" x14ac:dyDescent="0.2">
      <c r="AQ45269" s="31"/>
    </row>
    <row r="45270" spans="43:43" x14ac:dyDescent="0.2">
      <c r="AQ45270" s="31"/>
    </row>
    <row r="45271" spans="43:43" x14ac:dyDescent="0.2">
      <c r="AQ45271" s="31"/>
    </row>
    <row r="45272" spans="43:43" x14ac:dyDescent="0.2">
      <c r="AQ45272" s="31"/>
    </row>
    <row r="45273" spans="43:43" x14ac:dyDescent="0.2">
      <c r="AQ45273" s="31"/>
    </row>
    <row r="45274" spans="43:43" x14ac:dyDescent="0.2">
      <c r="AQ45274" s="31"/>
    </row>
    <row r="45275" spans="43:43" x14ac:dyDescent="0.2">
      <c r="AQ45275" s="31"/>
    </row>
    <row r="45276" spans="43:43" x14ac:dyDescent="0.2">
      <c r="AQ45276" s="31"/>
    </row>
    <row r="45277" spans="43:43" x14ac:dyDescent="0.2">
      <c r="AQ45277" s="31"/>
    </row>
    <row r="45278" spans="43:43" x14ac:dyDescent="0.2">
      <c r="AQ45278" s="31"/>
    </row>
    <row r="45279" spans="43:43" x14ac:dyDescent="0.2">
      <c r="AQ45279" s="31"/>
    </row>
    <row r="45280" spans="43:43" x14ac:dyDescent="0.2">
      <c r="AQ45280" s="31"/>
    </row>
    <row r="45281" spans="43:43" x14ac:dyDescent="0.2">
      <c r="AQ45281" s="31"/>
    </row>
    <row r="45282" spans="43:43" x14ac:dyDescent="0.2">
      <c r="AQ45282" s="31"/>
    </row>
    <row r="45283" spans="43:43" x14ac:dyDescent="0.2">
      <c r="AQ45283" s="31"/>
    </row>
    <row r="45284" spans="43:43" x14ac:dyDescent="0.2">
      <c r="AQ45284" s="31"/>
    </row>
    <row r="45285" spans="43:43" x14ac:dyDescent="0.2">
      <c r="AQ45285" s="31"/>
    </row>
    <row r="45286" spans="43:43" x14ac:dyDescent="0.2">
      <c r="AQ45286" s="31"/>
    </row>
    <row r="45287" spans="43:43" x14ac:dyDescent="0.2">
      <c r="AQ45287" s="31"/>
    </row>
    <row r="45288" spans="43:43" x14ac:dyDescent="0.2">
      <c r="AQ45288" s="31"/>
    </row>
    <row r="45289" spans="43:43" x14ac:dyDescent="0.2">
      <c r="AQ45289" s="31"/>
    </row>
    <row r="45290" spans="43:43" x14ac:dyDescent="0.2">
      <c r="AQ45290" s="31"/>
    </row>
    <row r="45291" spans="43:43" x14ac:dyDescent="0.2">
      <c r="AQ45291" s="31"/>
    </row>
    <row r="45292" spans="43:43" x14ac:dyDescent="0.2">
      <c r="AQ45292" s="31"/>
    </row>
    <row r="45293" spans="43:43" x14ac:dyDescent="0.2">
      <c r="AQ45293" s="31"/>
    </row>
    <row r="45294" spans="43:43" x14ac:dyDescent="0.2">
      <c r="AQ45294" s="31"/>
    </row>
    <row r="45295" spans="43:43" x14ac:dyDescent="0.2">
      <c r="AQ45295" s="31"/>
    </row>
    <row r="45296" spans="43:43" x14ac:dyDescent="0.2">
      <c r="AQ45296" s="31"/>
    </row>
    <row r="45297" spans="43:43" x14ac:dyDescent="0.2">
      <c r="AQ45297" s="31"/>
    </row>
    <row r="45298" spans="43:43" x14ac:dyDescent="0.2">
      <c r="AQ45298" s="31"/>
    </row>
    <row r="45299" spans="43:43" x14ac:dyDescent="0.2">
      <c r="AQ45299" s="31"/>
    </row>
    <row r="45300" spans="43:43" x14ac:dyDescent="0.2">
      <c r="AQ45300" s="31"/>
    </row>
    <row r="45301" spans="43:43" x14ac:dyDescent="0.2">
      <c r="AQ45301" s="31"/>
    </row>
    <row r="45302" spans="43:43" x14ac:dyDescent="0.2">
      <c r="AQ45302" s="31"/>
    </row>
    <row r="45303" spans="43:43" x14ac:dyDescent="0.2">
      <c r="AQ45303" s="31"/>
    </row>
    <row r="45304" spans="43:43" x14ac:dyDescent="0.2">
      <c r="AQ45304" s="31"/>
    </row>
    <row r="45305" spans="43:43" x14ac:dyDescent="0.2">
      <c r="AQ45305" s="31"/>
    </row>
    <row r="45306" spans="43:43" x14ac:dyDescent="0.2">
      <c r="AQ45306" s="31"/>
    </row>
    <row r="45307" spans="43:43" x14ac:dyDescent="0.2">
      <c r="AQ45307" s="31"/>
    </row>
    <row r="45308" spans="43:43" x14ac:dyDescent="0.2">
      <c r="AQ45308" s="31"/>
    </row>
    <row r="45309" spans="43:43" x14ac:dyDescent="0.2">
      <c r="AQ45309" s="31"/>
    </row>
    <row r="45310" spans="43:43" x14ac:dyDescent="0.2">
      <c r="AQ45310" s="31"/>
    </row>
    <row r="45311" spans="43:43" x14ac:dyDescent="0.2">
      <c r="AQ45311" s="31"/>
    </row>
    <row r="45312" spans="43:43" x14ac:dyDescent="0.2">
      <c r="AQ45312" s="31"/>
    </row>
    <row r="45313" spans="43:43" x14ac:dyDescent="0.2">
      <c r="AQ45313" s="31"/>
    </row>
    <row r="45314" spans="43:43" x14ac:dyDescent="0.2">
      <c r="AQ45314" s="31"/>
    </row>
    <row r="45315" spans="43:43" x14ac:dyDescent="0.2">
      <c r="AQ45315" s="31"/>
    </row>
    <row r="45316" spans="43:43" x14ac:dyDescent="0.2">
      <c r="AQ45316" s="31"/>
    </row>
    <row r="45317" spans="43:43" x14ac:dyDescent="0.2">
      <c r="AQ45317" s="31"/>
    </row>
    <row r="45318" spans="43:43" x14ac:dyDescent="0.2">
      <c r="AQ45318" s="31"/>
    </row>
    <row r="45319" spans="43:43" x14ac:dyDescent="0.2">
      <c r="AQ45319" s="31"/>
    </row>
    <row r="45320" spans="43:43" x14ac:dyDescent="0.2">
      <c r="AQ45320" s="31"/>
    </row>
    <row r="45321" spans="43:43" x14ac:dyDescent="0.2">
      <c r="AQ45321" s="31"/>
    </row>
    <row r="45322" spans="43:43" x14ac:dyDescent="0.2">
      <c r="AQ45322" s="31"/>
    </row>
    <row r="45323" spans="43:43" x14ac:dyDescent="0.2">
      <c r="AQ45323" s="31"/>
    </row>
    <row r="45324" spans="43:43" x14ac:dyDescent="0.2">
      <c r="AQ45324" s="31"/>
    </row>
    <row r="45325" spans="43:43" x14ac:dyDescent="0.2">
      <c r="AQ45325" s="31"/>
    </row>
    <row r="45326" spans="43:43" x14ac:dyDescent="0.2">
      <c r="AQ45326" s="31"/>
    </row>
    <row r="45327" spans="43:43" x14ac:dyDescent="0.2">
      <c r="AQ45327" s="31"/>
    </row>
    <row r="45328" spans="43:43" x14ac:dyDescent="0.2">
      <c r="AQ45328" s="31"/>
    </row>
    <row r="45329" spans="43:43" x14ac:dyDescent="0.2">
      <c r="AQ45329" s="31"/>
    </row>
    <row r="45330" spans="43:43" x14ac:dyDescent="0.2">
      <c r="AQ45330" s="31"/>
    </row>
    <row r="45331" spans="43:43" x14ac:dyDescent="0.2">
      <c r="AQ45331" s="31"/>
    </row>
    <row r="45332" spans="43:43" x14ac:dyDescent="0.2">
      <c r="AQ45332" s="31"/>
    </row>
    <row r="45333" spans="43:43" x14ac:dyDescent="0.2">
      <c r="AQ45333" s="31"/>
    </row>
    <row r="45334" spans="43:43" x14ac:dyDescent="0.2">
      <c r="AQ45334" s="31"/>
    </row>
    <row r="45335" spans="43:43" x14ac:dyDescent="0.2">
      <c r="AQ45335" s="31"/>
    </row>
    <row r="45336" spans="43:43" x14ac:dyDescent="0.2">
      <c r="AQ45336" s="31"/>
    </row>
    <row r="45337" spans="43:43" x14ac:dyDescent="0.2">
      <c r="AQ45337" s="31"/>
    </row>
    <row r="45338" spans="43:43" x14ac:dyDescent="0.2">
      <c r="AQ45338" s="31"/>
    </row>
    <row r="45339" spans="43:43" x14ac:dyDescent="0.2">
      <c r="AQ45339" s="31"/>
    </row>
    <row r="45340" spans="43:43" x14ac:dyDescent="0.2">
      <c r="AQ45340" s="31"/>
    </row>
    <row r="45341" spans="43:43" x14ac:dyDescent="0.2">
      <c r="AQ45341" s="31"/>
    </row>
    <row r="45342" spans="43:43" x14ac:dyDescent="0.2">
      <c r="AQ45342" s="31"/>
    </row>
    <row r="45343" spans="43:43" x14ac:dyDescent="0.2">
      <c r="AQ45343" s="31"/>
    </row>
    <row r="45344" spans="43:43" x14ac:dyDescent="0.2">
      <c r="AQ45344" s="31"/>
    </row>
    <row r="45345" spans="43:43" x14ac:dyDescent="0.2">
      <c r="AQ45345" s="31"/>
    </row>
    <row r="45346" spans="43:43" x14ac:dyDescent="0.2">
      <c r="AQ45346" s="31"/>
    </row>
    <row r="45347" spans="43:43" x14ac:dyDescent="0.2">
      <c r="AQ45347" s="31"/>
    </row>
    <row r="45348" spans="43:43" x14ac:dyDescent="0.2">
      <c r="AQ45348" s="31"/>
    </row>
    <row r="45349" spans="43:43" x14ac:dyDescent="0.2">
      <c r="AQ45349" s="31"/>
    </row>
    <row r="45350" spans="43:43" x14ac:dyDescent="0.2">
      <c r="AQ45350" s="31"/>
    </row>
    <row r="45351" spans="43:43" x14ac:dyDescent="0.2">
      <c r="AQ45351" s="31"/>
    </row>
    <row r="45352" spans="43:43" x14ac:dyDescent="0.2">
      <c r="AQ45352" s="31"/>
    </row>
    <row r="45353" spans="43:43" x14ac:dyDescent="0.2">
      <c r="AQ45353" s="31"/>
    </row>
    <row r="45354" spans="43:43" x14ac:dyDescent="0.2">
      <c r="AQ45354" s="31"/>
    </row>
    <row r="45355" spans="43:43" x14ac:dyDescent="0.2">
      <c r="AQ45355" s="31"/>
    </row>
    <row r="45356" spans="43:43" x14ac:dyDescent="0.2">
      <c r="AQ45356" s="31"/>
    </row>
    <row r="45357" spans="43:43" x14ac:dyDescent="0.2">
      <c r="AQ45357" s="31"/>
    </row>
    <row r="45358" spans="43:43" x14ac:dyDescent="0.2">
      <c r="AQ45358" s="31"/>
    </row>
    <row r="45359" spans="43:43" x14ac:dyDescent="0.2">
      <c r="AQ45359" s="31"/>
    </row>
    <row r="45360" spans="43:43" x14ac:dyDescent="0.2">
      <c r="AQ45360" s="31"/>
    </row>
    <row r="45361" spans="43:43" x14ac:dyDescent="0.2">
      <c r="AQ45361" s="31"/>
    </row>
    <row r="45362" spans="43:43" x14ac:dyDescent="0.2">
      <c r="AQ45362" s="31"/>
    </row>
    <row r="45363" spans="43:43" x14ac:dyDescent="0.2">
      <c r="AQ45363" s="31"/>
    </row>
    <row r="45364" spans="43:43" x14ac:dyDescent="0.2">
      <c r="AQ45364" s="31"/>
    </row>
    <row r="45365" spans="43:43" x14ac:dyDescent="0.2">
      <c r="AQ45365" s="31"/>
    </row>
    <row r="45366" spans="43:43" x14ac:dyDescent="0.2">
      <c r="AQ45366" s="31"/>
    </row>
    <row r="45367" spans="43:43" x14ac:dyDescent="0.2">
      <c r="AQ45367" s="31"/>
    </row>
    <row r="45368" spans="43:43" x14ac:dyDescent="0.2">
      <c r="AQ45368" s="31"/>
    </row>
    <row r="45369" spans="43:43" x14ac:dyDescent="0.2">
      <c r="AQ45369" s="31"/>
    </row>
    <row r="45370" spans="43:43" x14ac:dyDescent="0.2">
      <c r="AQ45370" s="31"/>
    </row>
    <row r="45371" spans="43:43" x14ac:dyDescent="0.2">
      <c r="AQ45371" s="31"/>
    </row>
    <row r="45372" spans="43:43" x14ac:dyDescent="0.2">
      <c r="AQ45372" s="31"/>
    </row>
    <row r="45373" spans="43:43" x14ac:dyDescent="0.2">
      <c r="AQ45373" s="31"/>
    </row>
    <row r="45374" spans="43:43" x14ac:dyDescent="0.2">
      <c r="AQ45374" s="31"/>
    </row>
    <row r="45375" spans="43:43" x14ac:dyDescent="0.2">
      <c r="AQ45375" s="31"/>
    </row>
    <row r="45376" spans="43:43" x14ac:dyDescent="0.2">
      <c r="AQ45376" s="31"/>
    </row>
    <row r="45377" spans="43:43" x14ac:dyDescent="0.2">
      <c r="AQ45377" s="31"/>
    </row>
    <row r="45378" spans="43:43" x14ac:dyDescent="0.2">
      <c r="AQ45378" s="31"/>
    </row>
    <row r="45379" spans="43:43" x14ac:dyDescent="0.2">
      <c r="AQ45379" s="31"/>
    </row>
    <row r="45380" spans="43:43" x14ac:dyDescent="0.2">
      <c r="AQ45380" s="31"/>
    </row>
    <row r="45381" spans="43:43" x14ac:dyDescent="0.2">
      <c r="AQ45381" s="31"/>
    </row>
    <row r="45382" spans="43:43" x14ac:dyDescent="0.2">
      <c r="AQ45382" s="31"/>
    </row>
    <row r="45383" spans="43:43" x14ac:dyDescent="0.2">
      <c r="AQ45383" s="31"/>
    </row>
    <row r="45384" spans="43:43" x14ac:dyDescent="0.2">
      <c r="AQ45384" s="31"/>
    </row>
    <row r="45385" spans="43:43" x14ac:dyDescent="0.2">
      <c r="AQ45385" s="31"/>
    </row>
    <row r="45386" spans="43:43" x14ac:dyDescent="0.2">
      <c r="AQ45386" s="31"/>
    </row>
    <row r="45387" spans="43:43" x14ac:dyDescent="0.2">
      <c r="AQ45387" s="31"/>
    </row>
    <row r="45388" spans="43:43" x14ac:dyDescent="0.2">
      <c r="AQ45388" s="31"/>
    </row>
    <row r="45389" spans="43:43" x14ac:dyDescent="0.2">
      <c r="AQ45389" s="31"/>
    </row>
    <row r="45390" spans="43:43" x14ac:dyDescent="0.2">
      <c r="AQ45390" s="31"/>
    </row>
    <row r="45391" spans="43:43" x14ac:dyDescent="0.2">
      <c r="AQ45391" s="31"/>
    </row>
    <row r="45392" spans="43:43" x14ac:dyDescent="0.2">
      <c r="AQ45392" s="31"/>
    </row>
    <row r="45393" spans="43:43" x14ac:dyDescent="0.2">
      <c r="AQ45393" s="31"/>
    </row>
    <row r="45394" spans="43:43" x14ac:dyDescent="0.2">
      <c r="AQ45394" s="31"/>
    </row>
    <row r="45395" spans="43:43" x14ac:dyDescent="0.2">
      <c r="AQ45395" s="31"/>
    </row>
    <row r="45396" spans="43:43" x14ac:dyDescent="0.2">
      <c r="AQ45396" s="31"/>
    </row>
    <row r="45397" spans="43:43" x14ac:dyDescent="0.2">
      <c r="AQ45397" s="31"/>
    </row>
    <row r="45398" spans="43:43" x14ac:dyDescent="0.2">
      <c r="AQ45398" s="31"/>
    </row>
    <row r="45399" spans="43:43" x14ac:dyDescent="0.2">
      <c r="AQ45399" s="31"/>
    </row>
    <row r="45400" spans="43:43" x14ac:dyDescent="0.2">
      <c r="AQ45400" s="31"/>
    </row>
    <row r="45401" spans="43:43" x14ac:dyDescent="0.2">
      <c r="AQ45401" s="31"/>
    </row>
    <row r="45402" spans="43:43" x14ac:dyDescent="0.2">
      <c r="AQ45402" s="31"/>
    </row>
    <row r="45403" spans="43:43" x14ac:dyDescent="0.2">
      <c r="AQ45403" s="31"/>
    </row>
    <row r="45404" spans="43:43" x14ac:dyDescent="0.2">
      <c r="AQ45404" s="31"/>
    </row>
    <row r="45405" spans="43:43" x14ac:dyDescent="0.2">
      <c r="AQ45405" s="31"/>
    </row>
    <row r="45406" spans="43:43" x14ac:dyDescent="0.2">
      <c r="AQ45406" s="31"/>
    </row>
    <row r="45407" spans="43:43" x14ac:dyDescent="0.2">
      <c r="AQ45407" s="31"/>
    </row>
    <row r="45408" spans="43:43" x14ac:dyDescent="0.2">
      <c r="AQ45408" s="31"/>
    </row>
    <row r="45409" spans="43:43" x14ac:dyDescent="0.2">
      <c r="AQ45409" s="31"/>
    </row>
    <row r="45410" spans="43:43" x14ac:dyDescent="0.2">
      <c r="AQ45410" s="31"/>
    </row>
    <row r="45411" spans="43:43" x14ac:dyDescent="0.2">
      <c r="AQ45411" s="31"/>
    </row>
    <row r="45412" spans="43:43" x14ac:dyDescent="0.2">
      <c r="AQ45412" s="31"/>
    </row>
    <row r="45413" spans="43:43" x14ac:dyDescent="0.2">
      <c r="AQ45413" s="31"/>
    </row>
    <row r="45414" spans="43:43" x14ac:dyDescent="0.2">
      <c r="AQ45414" s="31"/>
    </row>
    <row r="45415" spans="43:43" x14ac:dyDescent="0.2">
      <c r="AQ45415" s="31"/>
    </row>
    <row r="45416" spans="43:43" x14ac:dyDescent="0.2">
      <c r="AQ45416" s="31"/>
    </row>
    <row r="45417" spans="43:43" x14ac:dyDescent="0.2">
      <c r="AQ45417" s="31"/>
    </row>
    <row r="45418" spans="43:43" x14ac:dyDescent="0.2">
      <c r="AQ45418" s="31"/>
    </row>
    <row r="45419" spans="43:43" x14ac:dyDescent="0.2">
      <c r="AQ45419" s="31"/>
    </row>
    <row r="45420" spans="43:43" x14ac:dyDescent="0.2">
      <c r="AQ45420" s="31"/>
    </row>
    <row r="45421" spans="43:43" x14ac:dyDescent="0.2">
      <c r="AQ45421" s="31"/>
    </row>
    <row r="45422" spans="43:43" x14ac:dyDescent="0.2">
      <c r="AQ45422" s="31"/>
    </row>
    <row r="45423" spans="43:43" x14ac:dyDescent="0.2">
      <c r="AQ45423" s="31"/>
    </row>
    <row r="45424" spans="43:43" x14ac:dyDescent="0.2">
      <c r="AQ45424" s="31"/>
    </row>
    <row r="45425" spans="43:43" x14ac:dyDescent="0.2">
      <c r="AQ45425" s="31"/>
    </row>
    <row r="45426" spans="43:43" x14ac:dyDescent="0.2">
      <c r="AQ45426" s="31"/>
    </row>
    <row r="45427" spans="43:43" x14ac:dyDescent="0.2">
      <c r="AQ45427" s="31"/>
    </row>
    <row r="45428" spans="43:43" x14ac:dyDescent="0.2">
      <c r="AQ45428" s="31"/>
    </row>
    <row r="45429" spans="43:43" x14ac:dyDescent="0.2">
      <c r="AQ45429" s="31"/>
    </row>
    <row r="45430" spans="43:43" x14ac:dyDescent="0.2">
      <c r="AQ45430" s="31"/>
    </row>
    <row r="45431" spans="43:43" x14ac:dyDescent="0.2">
      <c r="AQ45431" s="31"/>
    </row>
    <row r="45432" spans="43:43" x14ac:dyDescent="0.2">
      <c r="AQ45432" s="31"/>
    </row>
    <row r="45433" spans="43:43" x14ac:dyDescent="0.2">
      <c r="AQ45433" s="31"/>
    </row>
    <row r="45434" spans="43:43" x14ac:dyDescent="0.2">
      <c r="AQ45434" s="31"/>
    </row>
    <row r="45435" spans="43:43" x14ac:dyDescent="0.2">
      <c r="AQ45435" s="31"/>
    </row>
    <row r="45436" spans="43:43" x14ac:dyDescent="0.2">
      <c r="AQ45436" s="31"/>
    </row>
    <row r="45437" spans="43:43" x14ac:dyDescent="0.2">
      <c r="AQ45437" s="31"/>
    </row>
    <row r="45438" spans="43:43" x14ac:dyDescent="0.2">
      <c r="AQ45438" s="31"/>
    </row>
    <row r="45439" spans="43:43" x14ac:dyDescent="0.2">
      <c r="AQ45439" s="31"/>
    </row>
    <row r="45440" spans="43:43" x14ac:dyDescent="0.2">
      <c r="AQ45440" s="31"/>
    </row>
    <row r="45441" spans="43:43" x14ac:dyDescent="0.2">
      <c r="AQ45441" s="31"/>
    </row>
    <row r="45442" spans="43:43" x14ac:dyDescent="0.2">
      <c r="AQ45442" s="31"/>
    </row>
    <row r="45443" spans="43:43" x14ac:dyDescent="0.2">
      <c r="AQ45443" s="31"/>
    </row>
    <row r="45444" spans="43:43" x14ac:dyDescent="0.2">
      <c r="AQ45444" s="31"/>
    </row>
    <row r="45445" spans="43:43" x14ac:dyDescent="0.2">
      <c r="AQ45445" s="31"/>
    </row>
    <row r="45446" spans="43:43" x14ac:dyDescent="0.2">
      <c r="AQ45446" s="31"/>
    </row>
    <row r="45447" spans="43:43" x14ac:dyDescent="0.2">
      <c r="AQ45447" s="31"/>
    </row>
    <row r="45448" spans="43:43" x14ac:dyDescent="0.2">
      <c r="AQ45448" s="31"/>
    </row>
    <row r="45449" spans="43:43" x14ac:dyDescent="0.2">
      <c r="AQ45449" s="31"/>
    </row>
    <row r="45450" spans="43:43" x14ac:dyDescent="0.2">
      <c r="AQ45450" s="31"/>
    </row>
    <row r="45451" spans="43:43" x14ac:dyDescent="0.2">
      <c r="AQ45451" s="31"/>
    </row>
    <row r="45452" spans="43:43" x14ac:dyDescent="0.2">
      <c r="AQ45452" s="31"/>
    </row>
    <row r="45453" spans="43:43" x14ac:dyDescent="0.2">
      <c r="AQ45453" s="31"/>
    </row>
    <row r="45454" spans="43:43" x14ac:dyDescent="0.2">
      <c r="AQ45454" s="31"/>
    </row>
    <row r="45455" spans="43:43" x14ac:dyDescent="0.2">
      <c r="AQ45455" s="31"/>
    </row>
    <row r="45456" spans="43:43" x14ac:dyDescent="0.2">
      <c r="AQ45456" s="31"/>
    </row>
    <row r="45457" spans="43:43" x14ac:dyDescent="0.2">
      <c r="AQ45457" s="31"/>
    </row>
    <row r="45458" spans="43:43" x14ac:dyDescent="0.2">
      <c r="AQ45458" s="31"/>
    </row>
    <row r="45459" spans="43:43" x14ac:dyDescent="0.2">
      <c r="AQ45459" s="31"/>
    </row>
    <row r="45460" spans="43:43" x14ac:dyDescent="0.2">
      <c r="AQ45460" s="31"/>
    </row>
    <row r="45461" spans="43:43" x14ac:dyDescent="0.2">
      <c r="AQ45461" s="31"/>
    </row>
    <row r="45462" spans="43:43" x14ac:dyDescent="0.2">
      <c r="AQ45462" s="31"/>
    </row>
    <row r="45463" spans="43:43" x14ac:dyDescent="0.2">
      <c r="AQ45463" s="31"/>
    </row>
    <row r="45464" spans="43:43" x14ac:dyDescent="0.2">
      <c r="AQ45464" s="31"/>
    </row>
    <row r="45465" spans="43:43" x14ac:dyDescent="0.2">
      <c r="AQ45465" s="31"/>
    </row>
    <row r="45466" spans="43:43" x14ac:dyDescent="0.2">
      <c r="AQ45466" s="31"/>
    </row>
    <row r="45467" spans="43:43" x14ac:dyDescent="0.2">
      <c r="AQ45467" s="31"/>
    </row>
    <row r="45468" spans="43:43" x14ac:dyDescent="0.2">
      <c r="AQ45468" s="31"/>
    </row>
    <row r="45469" spans="43:43" x14ac:dyDescent="0.2">
      <c r="AQ45469" s="31"/>
    </row>
    <row r="45470" spans="43:43" x14ac:dyDescent="0.2">
      <c r="AQ45470" s="31"/>
    </row>
    <row r="45471" spans="43:43" x14ac:dyDescent="0.2">
      <c r="AQ45471" s="31"/>
    </row>
    <row r="45472" spans="43:43" x14ac:dyDescent="0.2">
      <c r="AQ45472" s="31"/>
    </row>
    <row r="45473" spans="43:43" x14ac:dyDescent="0.2">
      <c r="AQ45473" s="31"/>
    </row>
    <row r="45474" spans="43:43" x14ac:dyDescent="0.2">
      <c r="AQ45474" s="31"/>
    </row>
    <row r="45475" spans="43:43" x14ac:dyDescent="0.2">
      <c r="AQ45475" s="31"/>
    </row>
    <row r="45476" spans="43:43" x14ac:dyDescent="0.2">
      <c r="AQ45476" s="31"/>
    </row>
    <row r="45477" spans="43:43" x14ac:dyDescent="0.2">
      <c r="AQ45477" s="31"/>
    </row>
    <row r="45478" spans="43:43" x14ac:dyDescent="0.2">
      <c r="AQ45478" s="31"/>
    </row>
    <row r="45479" spans="43:43" x14ac:dyDescent="0.2">
      <c r="AQ45479" s="31"/>
    </row>
    <row r="45480" spans="43:43" x14ac:dyDescent="0.2">
      <c r="AQ45480" s="31"/>
    </row>
    <row r="45481" spans="43:43" x14ac:dyDescent="0.2">
      <c r="AQ45481" s="31"/>
    </row>
    <row r="45482" spans="43:43" x14ac:dyDescent="0.2">
      <c r="AQ45482" s="31"/>
    </row>
    <row r="45483" spans="43:43" x14ac:dyDescent="0.2">
      <c r="AQ45483" s="31"/>
    </row>
    <row r="45484" spans="43:43" x14ac:dyDescent="0.2">
      <c r="AQ45484" s="31"/>
    </row>
    <row r="45485" spans="43:43" x14ac:dyDescent="0.2">
      <c r="AQ45485" s="31"/>
    </row>
    <row r="45486" spans="43:43" x14ac:dyDescent="0.2">
      <c r="AQ45486" s="31"/>
    </row>
    <row r="45487" spans="43:43" x14ac:dyDescent="0.2">
      <c r="AQ45487" s="31"/>
    </row>
    <row r="45488" spans="43:43" x14ac:dyDescent="0.2">
      <c r="AQ45488" s="31"/>
    </row>
    <row r="45489" spans="43:43" x14ac:dyDescent="0.2">
      <c r="AQ45489" s="31"/>
    </row>
    <row r="45490" spans="43:43" x14ac:dyDescent="0.2">
      <c r="AQ45490" s="31"/>
    </row>
    <row r="45491" spans="43:43" x14ac:dyDescent="0.2">
      <c r="AQ45491" s="31"/>
    </row>
    <row r="45492" spans="43:43" x14ac:dyDescent="0.2">
      <c r="AQ45492" s="31"/>
    </row>
    <row r="45493" spans="43:43" x14ac:dyDescent="0.2">
      <c r="AQ45493" s="31"/>
    </row>
    <row r="45494" spans="43:43" x14ac:dyDescent="0.2">
      <c r="AQ45494" s="31"/>
    </row>
    <row r="45495" spans="43:43" x14ac:dyDescent="0.2">
      <c r="AQ45495" s="31"/>
    </row>
    <row r="45496" spans="43:43" x14ac:dyDescent="0.2">
      <c r="AQ45496" s="31"/>
    </row>
    <row r="45497" spans="43:43" x14ac:dyDescent="0.2">
      <c r="AQ45497" s="31"/>
    </row>
    <row r="45498" spans="43:43" x14ac:dyDescent="0.2">
      <c r="AQ45498" s="31"/>
    </row>
    <row r="45499" spans="43:43" x14ac:dyDescent="0.2">
      <c r="AQ45499" s="31"/>
    </row>
    <row r="45500" spans="43:43" x14ac:dyDescent="0.2">
      <c r="AQ45500" s="31"/>
    </row>
    <row r="45501" spans="43:43" x14ac:dyDescent="0.2">
      <c r="AQ45501" s="31"/>
    </row>
    <row r="45502" spans="43:43" x14ac:dyDescent="0.2">
      <c r="AQ45502" s="31"/>
    </row>
    <row r="45503" spans="43:43" x14ac:dyDescent="0.2">
      <c r="AQ45503" s="31"/>
    </row>
    <row r="45504" spans="43:43" x14ac:dyDescent="0.2">
      <c r="AQ45504" s="31"/>
    </row>
    <row r="45505" spans="43:43" x14ac:dyDescent="0.2">
      <c r="AQ45505" s="31"/>
    </row>
    <row r="45506" spans="43:43" x14ac:dyDescent="0.2">
      <c r="AQ45506" s="31"/>
    </row>
    <row r="45507" spans="43:43" x14ac:dyDescent="0.2">
      <c r="AQ45507" s="31"/>
    </row>
    <row r="45508" spans="43:43" x14ac:dyDescent="0.2">
      <c r="AQ45508" s="31"/>
    </row>
    <row r="45509" spans="43:43" x14ac:dyDescent="0.2">
      <c r="AQ45509" s="31"/>
    </row>
    <row r="45510" spans="43:43" x14ac:dyDescent="0.2">
      <c r="AQ45510" s="31"/>
    </row>
    <row r="45511" spans="43:43" x14ac:dyDescent="0.2">
      <c r="AQ45511" s="31"/>
    </row>
    <row r="45512" spans="43:43" x14ac:dyDescent="0.2">
      <c r="AQ45512" s="31"/>
    </row>
    <row r="45513" spans="43:43" x14ac:dyDescent="0.2">
      <c r="AQ45513" s="31"/>
    </row>
    <row r="45514" spans="43:43" x14ac:dyDescent="0.2">
      <c r="AQ45514" s="31"/>
    </row>
    <row r="45515" spans="43:43" x14ac:dyDescent="0.2">
      <c r="AQ45515" s="31"/>
    </row>
    <row r="45516" spans="43:43" x14ac:dyDescent="0.2">
      <c r="AQ45516" s="31"/>
    </row>
    <row r="45517" spans="43:43" x14ac:dyDescent="0.2">
      <c r="AQ45517" s="31"/>
    </row>
    <row r="45518" spans="43:43" x14ac:dyDescent="0.2">
      <c r="AQ45518" s="31"/>
    </row>
    <row r="45519" spans="43:43" x14ac:dyDescent="0.2">
      <c r="AQ45519" s="31"/>
    </row>
    <row r="45520" spans="43:43" x14ac:dyDescent="0.2">
      <c r="AQ45520" s="31"/>
    </row>
    <row r="45521" spans="43:43" x14ac:dyDescent="0.2">
      <c r="AQ45521" s="31"/>
    </row>
    <row r="45522" spans="43:43" x14ac:dyDescent="0.2">
      <c r="AQ45522" s="31"/>
    </row>
    <row r="45523" spans="43:43" x14ac:dyDescent="0.2">
      <c r="AQ45523" s="31"/>
    </row>
    <row r="45524" spans="43:43" x14ac:dyDescent="0.2">
      <c r="AQ45524" s="31"/>
    </row>
    <row r="45525" spans="43:43" x14ac:dyDescent="0.2">
      <c r="AQ45525" s="31"/>
    </row>
    <row r="45526" spans="43:43" x14ac:dyDescent="0.2">
      <c r="AQ45526" s="31"/>
    </row>
    <row r="45527" spans="43:43" x14ac:dyDescent="0.2">
      <c r="AQ45527" s="31"/>
    </row>
    <row r="45528" spans="43:43" x14ac:dyDescent="0.2">
      <c r="AQ45528" s="31"/>
    </row>
    <row r="45529" spans="43:43" x14ac:dyDescent="0.2">
      <c r="AQ45529" s="31"/>
    </row>
    <row r="45530" spans="43:43" x14ac:dyDescent="0.2">
      <c r="AQ45530" s="31"/>
    </row>
    <row r="45531" spans="43:43" x14ac:dyDescent="0.2">
      <c r="AQ45531" s="31"/>
    </row>
    <row r="45532" spans="43:43" x14ac:dyDescent="0.2">
      <c r="AQ45532" s="31"/>
    </row>
    <row r="45533" spans="43:43" x14ac:dyDescent="0.2">
      <c r="AQ45533" s="31"/>
    </row>
    <row r="45534" spans="43:43" x14ac:dyDescent="0.2">
      <c r="AQ45534" s="31"/>
    </row>
    <row r="45535" spans="43:43" x14ac:dyDescent="0.2">
      <c r="AQ45535" s="31"/>
    </row>
    <row r="45536" spans="43:43" x14ac:dyDescent="0.2">
      <c r="AQ45536" s="31"/>
    </row>
    <row r="45537" spans="43:43" x14ac:dyDescent="0.2">
      <c r="AQ45537" s="31"/>
    </row>
    <row r="45538" spans="43:43" x14ac:dyDescent="0.2">
      <c r="AQ45538" s="31"/>
    </row>
    <row r="45539" spans="43:43" x14ac:dyDescent="0.2">
      <c r="AQ45539" s="31"/>
    </row>
    <row r="45540" spans="43:43" x14ac:dyDescent="0.2">
      <c r="AQ45540" s="31"/>
    </row>
    <row r="45541" spans="43:43" x14ac:dyDescent="0.2">
      <c r="AQ45541" s="31"/>
    </row>
    <row r="45542" spans="43:43" x14ac:dyDescent="0.2">
      <c r="AQ45542" s="31"/>
    </row>
    <row r="45543" spans="43:43" x14ac:dyDescent="0.2">
      <c r="AQ45543" s="31"/>
    </row>
    <row r="45544" spans="43:43" x14ac:dyDescent="0.2">
      <c r="AQ45544" s="31"/>
    </row>
    <row r="45545" spans="43:43" x14ac:dyDescent="0.2">
      <c r="AQ45545" s="31"/>
    </row>
    <row r="45546" spans="43:43" x14ac:dyDescent="0.2">
      <c r="AQ45546" s="31"/>
    </row>
    <row r="45547" spans="43:43" x14ac:dyDescent="0.2">
      <c r="AQ45547" s="31"/>
    </row>
    <row r="45548" spans="43:43" x14ac:dyDescent="0.2">
      <c r="AQ45548" s="31"/>
    </row>
    <row r="45549" spans="43:43" x14ac:dyDescent="0.2">
      <c r="AQ45549" s="31"/>
    </row>
    <row r="45550" spans="43:43" x14ac:dyDescent="0.2">
      <c r="AQ45550" s="31"/>
    </row>
    <row r="45551" spans="43:43" x14ac:dyDescent="0.2">
      <c r="AQ45551" s="31"/>
    </row>
    <row r="45552" spans="43:43" x14ac:dyDescent="0.2">
      <c r="AQ45552" s="31"/>
    </row>
    <row r="45553" spans="43:43" x14ac:dyDescent="0.2">
      <c r="AQ45553" s="31"/>
    </row>
    <row r="45554" spans="43:43" x14ac:dyDescent="0.2">
      <c r="AQ45554" s="31"/>
    </row>
    <row r="45555" spans="43:43" x14ac:dyDescent="0.2">
      <c r="AQ45555" s="31"/>
    </row>
    <row r="45556" spans="43:43" x14ac:dyDescent="0.2">
      <c r="AQ45556" s="31"/>
    </row>
    <row r="45557" spans="43:43" x14ac:dyDescent="0.2">
      <c r="AQ45557" s="31"/>
    </row>
    <row r="45558" spans="43:43" x14ac:dyDescent="0.2">
      <c r="AQ45558" s="31"/>
    </row>
    <row r="45559" spans="43:43" x14ac:dyDescent="0.2">
      <c r="AQ45559" s="31"/>
    </row>
    <row r="45560" spans="43:43" x14ac:dyDescent="0.2">
      <c r="AQ45560" s="31"/>
    </row>
    <row r="45561" spans="43:43" x14ac:dyDescent="0.2">
      <c r="AQ45561" s="31"/>
    </row>
    <row r="45562" spans="43:43" x14ac:dyDescent="0.2">
      <c r="AQ45562" s="31"/>
    </row>
    <row r="45563" spans="43:43" x14ac:dyDescent="0.2">
      <c r="AQ45563" s="31"/>
    </row>
    <row r="45564" spans="43:43" x14ac:dyDescent="0.2">
      <c r="AQ45564" s="31"/>
    </row>
    <row r="45565" spans="43:43" x14ac:dyDescent="0.2">
      <c r="AQ45565" s="31"/>
    </row>
    <row r="45566" spans="43:43" x14ac:dyDescent="0.2">
      <c r="AQ45566" s="31"/>
    </row>
    <row r="45567" spans="43:43" x14ac:dyDescent="0.2">
      <c r="AQ45567" s="31"/>
    </row>
    <row r="45568" spans="43:43" x14ac:dyDescent="0.2">
      <c r="AQ45568" s="31"/>
    </row>
    <row r="45569" spans="43:43" x14ac:dyDescent="0.2">
      <c r="AQ45569" s="31"/>
    </row>
    <row r="45570" spans="43:43" x14ac:dyDescent="0.2">
      <c r="AQ45570" s="31"/>
    </row>
    <row r="45571" spans="43:43" x14ac:dyDescent="0.2">
      <c r="AQ45571" s="31"/>
    </row>
    <row r="45572" spans="43:43" x14ac:dyDescent="0.2">
      <c r="AQ45572" s="31"/>
    </row>
    <row r="45573" spans="43:43" x14ac:dyDescent="0.2">
      <c r="AQ45573" s="31"/>
    </row>
    <row r="45574" spans="43:43" x14ac:dyDescent="0.2">
      <c r="AQ45574" s="31"/>
    </row>
    <row r="45575" spans="43:43" x14ac:dyDescent="0.2">
      <c r="AQ45575" s="31"/>
    </row>
    <row r="45576" spans="43:43" x14ac:dyDescent="0.2">
      <c r="AQ45576" s="31"/>
    </row>
    <row r="45577" spans="43:43" x14ac:dyDescent="0.2">
      <c r="AQ45577" s="31"/>
    </row>
    <row r="45578" spans="43:43" x14ac:dyDescent="0.2">
      <c r="AQ45578" s="31"/>
    </row>
    <row r="45579" spans="43:43" x14ac:dyDescent="0.2">
      <c r="AQ45579" s="31"/>
    </row>
    <row r="45580" spans="43:43" x14ac:dyDescent="0.2">
      <c r="AQ45580" s="31"/>
    </row>
    <row r="45581" spans="43:43" x14ac:dyDescent="0.2">
      <c r="AQ45581" s="31"/>
    </row>
    <row r="45582" spans="43:43" x14ac:dyDescent="0.2">
      <c r="AQ45582" s="31"/>
    </row>
    <row r="45583" spans="43:43" x14ac:dyDescent="0.2">
      <c r="AQ45583" s="31"/>
    </row>
    <row r="45584" spans="43:43" x14ac:dyDescent="0.2">
      <c r="AQ45584" s="31"/>
    </row>
    <row r="45585" spans="43:43" x14ac:dyDescent="0.2">
      <c r="AQ45585" s="31"/>
    </row>
    <row r="45586" spans="43:43" x14ac:dyDescent="0.2">
      <c r="AQ45586" s="31"/>
    </row>
    <row r="45587" spans="43:43" x14ac:dyDescent="0.2">
      <c r="AQ45587" s="31"/>
    </row>
    <row r="45588" spans="43:43" x14ac:dyDescent="0.2">
      <c r="AQ45588" s="31"/>
    </row>
    <row r="45589" spans="43:43" x14ac:dyDescent="0.2">
      <c r="AQ45589" s="31"/>
    </row>
    <row r="45590" spans="43:43" x14ac:dyDescent="0.2">
      <c r="AQ45590" s="31"/>
    </row>
    <row r="45591" spans="43:43" x14ac:dyDescent="0.2">
      <c r="AQ45591" s="31"/>
    </row>
    <row r="45592" spans="43:43" x14ac:dyDescent="0.2">
      <c r="AQ45592" s="31"/>
    </row>
    <row r="45593" spans="43:43" x14ac:dyDescent="0.2">
      <c r="AQ45593" s="31"/>
    </row>
    <row r="45594" spans="43:43" x14ac:dyDescent="0.2">
      <c r="AQ45594" s="31"/>
    </row>
    <row r="45595" spans="43:43" x14ac:dyDescent="0.2">
      <c r="AQ45595" s="31"/>
    </row>
    <row r="45596" spans="43:43" x14ac:dyDescent="0.2">
      <c r="AQ45596" s="31"/>
    </row>
    <row r="45597" spans="43:43" x14ac:dyDescent="0.2">
      <c r="AQ45597" s="31"/>
    </row>
    <row r="45598" spans="43:43" x14ac:dyDescent="0.2">
      <c r="AQ45598" s="31"/>
    </row>
    <row r="45599" spans="43:43" x14ac:dyDescent="0.2">
      <c r="AQ45599" s="31"/>
    </row>
    <row r="45600" spans="43:43" x14ac:dyDescent="0.2">
      <c r="AQ45600" s="31"/>
    </row>
    <row r="45601" spans="43:43" x14ac:dyDescent="0.2">
      <c r="AQ45601" s="31"/>
    </row>
    <row r="45602" spans="43:43" x14ac:dyDescent="0.2">
      <c r="AQ45602" s="31"/>
    </row>
    <row r="45603" spans="43:43" x14ac:dyDescent="0.2">
      <c r="AQ45603" s="31"/>
    </row>
    <row r="45604" spans="43:43" x14ac:dyDescent="0.2">
      <c r="AQ45604" s="31"/>
    </row>
    <row r="45605" spans="43:43" x14ac:dyDescent="0.2">
      <c r="AQ45605" s="31"/>
    </row>
    <row r="45606" spans="43:43" x14ac:dyDescent="0.2">
      <c r="AQ45606" s="31"/>
    </row>
    <row r="45607" spans="43:43" x14ac:dyDescent="0.2">
      <c r="AQ45607" s="31"/>
    </row>
    <row r="45608" spans="43:43" x14ac:dyDescent="0.2">
      <c r="AQ45608" s="31"/>
    </row>
    <row r="45609" spans="43:43" x14ac:dyDescent="0.2">
      <c r="AQ45609" s="31"/>
    </row>
    <row r="45610" spans="43:43" x14ac:dyDescent="0.2">
      <c r="AQ45610" s="31"/>
    </row>
    <row r="45611" spans="43:43" x14ac:dyDescent="0.2">
      <c r="AQ45611" s="31"/>
    </row>
    <row r="45612" spans="43:43" x14ac:dyDescent="0.2">
      <c r="AQ45612" s="31"/>
    </row>
    <row r="45613" spans="43:43" x14ac:dyDescent="0.2">
      <c r="AQ45613" s="31"/>
    </row>
    <row r="45614" spans="43:43" x14ac:dyDescent="0.2">
      <c r="AQ45614" s="31"/>
    </row>
    <row r="45615" spans="43:43" x14ac:dyDescent="0.2">
      <c r="AQ45615" s="31"/>
    </row>
    <row r="45616" spans="43:43" x14ac:dyDescent="0.2">
      <c r="AQ45616" s="31"/>
    </row>
    <row r="45617" spans="43:43" x14ac:dyDescent="0.2">
      <c r="AQ45617" s="31"/>
    </row>
    <row r="45618" spans="43:43" x14ac:dyDescent="0.2">
      <c r="AQ45618" s="31"/>
    </row>
    <row r="45619" spans="43:43" x14ac:dyDescent="0.2">
      <c r="AQ45619" s="31"/>
    </row>
    <row r="45620" spans="43:43" x14ac:dyDescent="0.2">
      <c r="AQ45620" s="31"/>
    </row>
    <row r="45621" spans="43:43" x14ac:dyDescent="0.2">
      <c r="AQ45621" s="31"/>
    </row>
    <row r="45622" spans="43:43" x14ac:dyDescent="0.2">
      <c r="AQ45622" s="31"/>
    </row>
    <row r="45623" spans="43:43" x14ac:dyDescent="0.2">
      <c r="AQ45623" s="31"/>
    </row>
    <row r="45624" spans="43:43" x14ac:dyDescent="0.2">
      <c r="AQ45624" s="31"/>
    </row>
    <row r="45625" spans="43:43" x14ac:dyDescent="0.2">
      <c r="AQ45625" s="31"/>
    </row>
    <row r="45626" spans="43:43" x14ac:dyDescent="0.2">
      <c r="AQ45626" s="31"/>
    </row>
    <row r="45627" spans="43:43" x14ac:dyDescent="0.2">
      <c r="AQ45627" s="31"/>
    </row>
    <row r="45628" spans="43:43" x14ac:dyDescent="0.2">
      <c r="AQ45628" s="31"/>
    </row>
    <row r="45629" spans="43:43" x14ac:dyDescent="0.2">
      <c r="AQ45629" s="31"/>
    </row>
    <row r="45630" spans="43:43" x14ac:dyDescent="0.2">
      <c r="AQ45630" s="31"/>
    </row>
    <row r="45631" spans="43:43" x14ac:dyDescent="0.2">
      <c r="AQ45631" s="31"/>
    </row>
    <row r="45632" spans="43:43" x14ac:dyDescent="0.2">
      <c r="AQ45632" s="31"/>
    </row>
    <row r="45633" spans="43:43" x14ac:dyDescent="0.2">
      <c r="AQ45633" s="31"/>
    </row>
    <row r="45634" spans="43:43" x14ac:dyDescent="0.2">
      <c r="AQ45634" s="31"/>
    </row>
    <row r="45635" spans="43:43" x14ac:dyDescent="0.2">
      <c r="AQ45635" s="31"/>
    </row>
    <row r="45636" spans="43:43" x14ac:dyDescent="0.2">
      <c r="AQ45636" s="31"/>
    </row>
    <row r="45637" spans="43:43" x14ac:dyDescent="0.2">
      <c r="AQ45637" s="31"/>
    </row>
    <row r="45638" spans="43:43" x14ac:dyDescent="0.2">
      <c r="AQ45638" s="31"/>
    </row>
    <row r="45639" spans="43:43" x14ac:dyDescent="0.2">
      <c r="AQ45639" s="31"/>
    </row>
    <row r="45640" spans="43:43" x14ac:dyDescent="0.2">
      <c r="AQ45640" s="31"/>
    </row>
    <row r="45641" spans="43:43" x14ac:dyDescent="0.2">
      <c r="AQ45641" s="31"/>
    </row>
    <row r="45642" spans="43:43" x14ac:dyDescent="0.2">
      <c r="AQ45642" s="31"/>
    </row>
    <row r="45643" spans="43:43" x14ac:dyDescent="0.2">
      <c r="AQ45643" s="31"/>
    </row>
    <row r="45644" spans="43:43" x14ac:dyDescent="0.2">
      <c r="AQ45644" s="31"/>
    </row>
    <row r="45645" spans="43:43" x14ac:dyDescent="0.2">
      <c r="AQ45645" s="31"/>
    </row>
    <row r="45646" spans="43:43" x14ac:dyDescent="0.2">
      <c r="AQ45646" s="31"/>
    </row>
    <row r="45647" spans="43:43" x14ac:dyDescent="0.2">
      <c r="AQ45647" s="31"/>
    </row>
    <row r="45648" spans="43:43" x14ac:dyDescent="0.2">
      <c r="AQ45648" s="31"/>
    </row>
    <row r="45649" spans="43:43" x14ac:dyDescent="0.2">
      <c r="AQ45649" s="31"/>
    </row>
    <row r="45650" spans="43:43" x14ac:dyDescent="0.2">
      <c r="AQ45650" s="31"/>
    </row>
    <row r="45651" spans="43:43" x14ac:dyDescent="0.2">
      <c r="AQ45651" s="31"/>
    </row>
    <row r="45652" spans="43:43" x14ac:dyDescent="0.2">
      <c r="AQ45652" s="31"/>
    </row>
    <row r="45653" spans="43:43" x14ac:dyDescent="0.2">
      <c r="AQ45653" s="31"/>
    </row>
    <row r="45654" spans="43:43" x14ac:dyDescent="0.2">
      <c r="AQ45654" s="31"/>
    </row>
    <row r="45655" spans="43:43" x14ac:dyDescent="0.2">
      <c r="AQ45655" s="31"/>
    </row>
    <row r="45656" spans="43:43" x14ac:dyDescent="0.2">
      <c r="AQ45656" s="31"/>
    </row>
    <row r="45657" spans="43:43" x14ac:dyDescent="0.2">
      <c r="AQ45657" s="31"/>
    </row>
    <row r="45658" spans="43:43" x14ac:dyDescent="0.2">
      <c r="AQ45658" s="31"/>
    </row>
    <row r="45659" spans="43:43" x14ac:dyDescent="0.2">
      <c r="AQ45659" s="31"/>
    </row>
    <row r="45660" spans="43:43" x14ac:dyDescent="0.2">
      <c r="AQ45660" s="31"/>
    </row>
    <row r="45661" spans="43:43" x14ac:dyDescent="0.2">
      <c r="AQ45661" s="31"/>
    </row>
    <row r="45662" spans="43:43" x14ac:dyDescent="0.2">
      <c r="AQ45662" s="31"/>
    </row>
    <row r="45663" spans="43:43" x14ac:dyDescent="0.2">
      <c r="AQ45663" s="31"/>
    </row>
    <row r="45664" spans="43:43" x14ac:dyDescent="0.2">
      <c r="AQ45664" s="31"/>
    </row>
    <row r="45665" spans="43:43" x14ac:dyDescent="0.2">
      <c r="AQ45665" s="31"/>
    </row>
    <row r="45666" spans="43:43" x14ac:dyDescent="0.2">
      <c r="AQ45666" s="31"/>
    </row>
    <row r="45667" spans="43:43" x14ac:dyDescent="0.2">
      <c r="AQ45667" s="31"/>
    </row>
    <row r="45668" spans="43:43" x14ac:dyDescent="0.2">
      <c r="AQ45668" s="31"/>
    </row>
    <row r="45669" spans="43:43" x14ac:dyDescent="0.2">
      <c r="AQ45669" s="31"/>
    </row>
    <row r="45670" spans="43:43" x14ac:dyDescent="0.2">
      <c r="AQ45670" s="31"/>
    </row>
    <row r="45671" spans="43:43" x14ac:dyDescent="0.2">
      <c r="AQ45671" s="31"/>
    </row>
    <row r="45672" spans="43:43" x14ac:dyDescent="0.2">
      <c r="AQ45672" s="31"/>
    </row>
    <row r="45673" spans="43:43" x14ac:dyDescent="0.2">
      <c r="AQ45673" s="31"/>
    </row>
    <row r="45674" spans="43:43" x14ac:dyDescent="0.2">
      <c r="AQ45674" s="31"/>
    </row>
    <row r="45675" spans="43:43" x14ac:dyDescent="0.2">
      <c r="AQ45675" s="31"/>
    </row>
    <row r="45676" spans="43:43" x14ac:dyDescent="0.2">
      <c r="AQ45676" s="31"/>
    </row>
    <row r="45677" spans="43:43" x14ac:dyDescent="0.2">
      <c r="AQ45677" s="31"/>
    </row>
    <row r="45678" spans="43:43" x14ac:dyDescent="0.2">
      <c r="AQ45678" s="31"/>
    </row>
    <row r="45679" spans="43:43" x14ac:dyDescent="0.2">
      <c r="AQ45679" s="31"/>
    </row>
    <row r="45680" spans="43:43" x14ac:dyDescent="0.2">
      <c r="AQ45680" s="31"/>
    </row>
    <row r="45681" spans="43:43" x14ac:dyDescent="0.2">
      <c r="AQ45681" s="31"/>
    </row>
    <row r="45682" spans="43:43" x14ac:dyDescent="0.2">
      <c r="AQ45682" s="31"/>
    </row>
    <row r="45683" spans="43:43" x14ac:dyDescent="0.2">
      <c r="AQ45683" s="31"/>
    </row>
    <row r="45684" spans="43:43" x14ac:dyDescent="0.2">
      <c r="AQ45684" s="31"/>
    </row>
    <row r="45685" spans="43:43" x14ac:dyDescent="0.2">
      <c r="AQ45685" s="31"/>
    </row>
    <row r="45686" spans="43:43" x14ac:dyDescent="0.2">
      <c r="AQ45686" s="31"/>
    </row>
    <row r="45687" spans="43:43" x14ac:dyDescent="0.2">
      <c r="AQ45687" s="31"/>
    </row>
    <row r="45688" spans="43:43" x14ac:dyDescent="0.2">
      <c r="AQ45688" s="31"/>
    </row>
    <row r="45689" spans="43:43" x14ac:dyDescent="0.2">
      <c r="AQ45689" s="31"/>
    </row>
    <row r="45690" spans="43:43" x14ac:dyDescent="0.2">
      <c r="AQ45690" s="31"/>
    </row>
    <row r="45691" spans="43:43" x14ac:dyDescent="0.2">
      <c r="AQ45691" s="31"/>
    </row>
    <row r="45692" spans="43:43" x14ac:dyDescent="0.2">
      <c r="AQ45692" s="31"/>
    </row>
    <row r="45693" spans="43:43" x14ac:dyDescent="0.2">
      <c r="AQ45693" s="31"/>
    </row>
    <row r="45694" spans="43:43" x14ac:dyDescent="0.2">
      <c r="AQ45694" s="31"/>
    </row>
    <row r="45695" spans="43:43" x14ac:dyDescent="0.2">
      <c r="AQ45695" s="31"/>
    </row>
    <row r="45696" spans="43:43" x14ac:dyDescent="0.2">
      <c r="AQ45696" s="31"/>
    </row>
    <row r="45697" spans="43:43" x14ac:dyDescent="0.2">
      <c r="AQ45697" s="31"/>
    </row>
    <row r="45698" spans="43:43" x14ac:dyDescent="0.2">
      <c r="AQ45698" s="31"/>
    </row>
    <row r="45699" spans="43:43" x14ac:dyDescent="0.2">
      <c r="AQ45699" s="31"/>
    </row>
    <row r="45700" spans="43:43" x14ac:dyDescent="0.2">
      <c r="AQ45700" s="31"/>
    </row>
    <row r="45701" spans="43:43" x14ac:dyDescent="0.2">
      <c r="AQ45701" s="31"/>
    </row>
    <row r="45702" spans="43:43" x14ac:dyDescent="0.2">
      <c r="AQ45702" s="31"/>
    </row>
    <row r="45703" spans="43:43" x14ac:dyDescent="0.2">
      <c r="AQ45703" s="31"/>
    </row>
    <row r="45704" spans="43:43" x14ac:dyDescent="0.2">
      <c r="AQ45704" s="31"/>
    </row>
    <row r="45705" spans="43:43" x14ac:dyDescent="0.2">
      <c r="AQ45705" s="31"/>
    </row>
    <row r="45706" spans="43:43" x14ac:dyDescent="0.2">
      <c r="AQ45706" s="31"/>
    </row>
    <row r="45707" spans="43:43" x14ac:dyDescent="0.2">
      <c r="AQ45707" s="31"/>
    </row>
    <row r="45708" spans="43:43" x14ac:dyDescent="0.2">
      <c r="AQ45708" s="31"/>
    </row>
    <row r="45709" spans="43:43" x14ac:dyDescent="0.2">
      <c r="AQ45709" s="31"/>
    </row>
    <row r="45710" spans="43:43" x14ac:dyDescent="0.2">
      <c r="AQ45710" s="31"/>
    </row>
    <row r="45711" spans="43:43" x14ac:dyDescent="0.2">
      <c r="AQ45711" s="31"/>
    </row>
    <row r="45712" spans="43:43" x14ac:dyDescent="0.2">
      <c r="AQ45712" s="31"/>
    </row>
    <row r="45713" spans="43:43" x14ac:dyDescent="0.2">
      <c r="AQ45713" s="31"/>
    </row>
    <row r="45714" spans="43:43" x14ac:dyDescent="0.2">
      <c r="AQ45714" s="31"/>
    </row>
    <row r="45715" spans="43:43" x14ac:dyDescent="0.2">
      <c r="AQ45715" s="31"/>
    </row>
    <row r="45716" spans="43:43" x14ac:dyDescent="0.2">
      <c r="AQ45716" s="31"/>
    </row>
    <row r="45717" spans="43:43" x14ac:dyDescent="0.2">
      <c r="AQ45717" s="31"/>
    </row>
    <row r="45718" spans="43:43" x14ac:dyDescent="0.2">
      <c r="AQ45718" s="31"/>
    </row>
    <row r="45719" spans="43:43" x14ac:dyDescent="0.2">
      <c r="AQ45719" s="31"/>
    </row>
    <row r="45720" spans="43:43" x14ac:dyDescent="0.2">
      <c r="AQ45720" s="31"/>
    </row>
    <row r="45721" spans="43:43" x14ac:dyDescent="0.2">
      <c r="AQ45721" s="31"/>
    </row>
    <row r="45722" spans="43:43" x14ac:dyDescent="0.2">
      <c r="AQ45722" s="31"/>
    </row>
    <row r="45723" spans="43:43" x14ac:dyDescent="0.2">
      <c r="AQ45723" s="31"/>
    </row>
    <row r="45724" spans="43:43" x14ac:dyDescent="0.2">
      <c r="AQ45724" s="31"/>
    </row>
    <row r="45725" spans="43:43" x14ac:dyDescent="0.2">
      <c r="AQ45725" s="31"/>
    </row>
    <row r="45726" spans="43:43" x14ac:dyDescent="0.2">
      <c r="AQ45726" s="31"/>
    </row>
    <row r="45727" spans="43:43" x14ac:dyDescent="0.2">
      <c r="AQ45727" s="31"/>
    </row>
    <row r="45728" spans="43:43" x14ac:dyDescent="0.2">
      <c r="AQ45728" s="31"/>
    </row>
    <row r="45729" spans="43:43" x14ac:dyDescent="0.2">
      <c r="AQ45729" s="31"/>
    </row>
    <row r="45730" spans="43:43" x14ac:dyDescent="0.2">
      <c r="AQ45730" s="31"/>
    </row>
    <row r="45731" spans="43:43" x14ac:dyDescent="0.2">
      <c r="AQ45731" s="31"/>
    </row>
    <row r="45732" spans="43:43" x14ac:dyDescent="0.2">
      <c r="AQ45732" s="31"/>
    </row>
    <row r="45733" spans="43:43" x14ac:dyDescent="0.2">
      <c r="AQ45733" s="31"/>
    </row>
    <row r="45734" spans="43:43" x14ac:dyDescent="0.2">
      <c r="AQ45734" s="31"/>
    </row>
    <row r="45735" spans="43:43" x14ac:dyDescent="0.2">
      <c r="AQ45735" s="31"/>
    </row>
    <row r="45736" spans="43:43" x14ac:dyDescent="0.2">
      <c r="AQ45736" s="31"/>
    </row>
    <row r="45737" spans="43:43" x14ac:dyDescent="0.2">
      <c r="AQ45737" s="31"/>
    </row>
    <row r="45738" spans="43:43" x14ac:dyDescent="0.2">
      <c r="AQ45738" s="31"/>
    </row>
    <row r="45739" spans="43:43" x14ac:dyDescent="0.2">
      <c r="AQ45739" s="31"/>
    </row>
    <row r="45740" spans="43:43" x14ac:dyDescent="0.2">
      <c r="AQ45740" s="31"/>
    </row>
    <row r="45741" spans="43:43" x14ac:dyDescent="0.2">
      <c r="AQ45741" s="31"/>
    </row>
    <row r="45742" spans="43:43" x14ac:dyDescent="0.2">
      <c r="AQ45742" s="31"/>
    </row>
    <row r="45743" spans="43:43" x14ac:dyDescent="0.2">
      <c r="AQ45743" s="31"/>
    </row>
    <row r="45744" spans="43:43" x14ac:dyDescent="0.2">
      <c r="AQ45744" s="31"/>
    </row>
    <row r="45745" spans="43:43" x14ac:dyDescent="0.2">
      <c r="AQ45745" s="31"/>
    </row>
    <row r="45746" spans="43:43" x14ac:dyDescent="0.2">
      <c r="AQ45746" s="31"/>
    </row>
    <row r="45747" spans="43:43" x14ac:dyDescent="0.2">
      <c r="AQ45747" s="31"/>
    </row>
    <row r="45748" spans="43:43" x14ac:dyDescent="0.2">
      <c r="AQ45748" s="31"/>
    </row>
    <row r="45749" spans="43:43" x14ac:dyDescent="0.2">
      <c r="AQ45749" s="31"/>
    </row>
    <row r="45750" spans="43:43" x14ac:dyDescent="0.2">
      <c r="AQ45750" s="31"/>
    </row>
    <row r="45751" spans="43:43" x14ac:dyDescent="0.2">
      <c r="AQ45751" s="31"/>
    </row>
    <row r="45752" spans="43:43" x14ac:dyDescent="0.2">
      <c r="AQ45752" s="31"/>
    </row>
    <row r="45753" spans="43:43" x14ac:dyDescent="0.2">
      <c r="AQ45753" s="31"/>
    </row>
    <row r="45754" spans="43:43" x14ac:dyDescent="0.2">
      <c r="AQ45754" s="31"/>
    </row>
    <row r="45755" spans="43:43" x14ac:dyDescent="0.2">
      <c r="AQ45755" s="31"/>
    </row>
    <row r="45756" spans="43:43" x14ac:dyDescent="0.2">
      <c r="AQ45756" s="31"/>
    </row>
    <row r="45757" spans="43:43" x14ac:dyDescent="0.2">
      <c r="AQ45757" s="31"/>
    </row>
    <row r="45758" spans="43:43" x14ac:dyDescent="0.2">
      <c r="AQ45758" s="31"/>
    </row>
    <row r="45759" spans="43:43" x14ac:dyDescent="0.2">
      <c r="AQ45759" s="31"/>
    </row>
    <row r="45760" spans="43:43" x14ac:dyDescent="0.2">
      <c r="AQ45760" s="31"/>
    </row>
    <row r="45761" spans="43:43" x14ac:dyDescent="0.2">
      <c r="AQ45761" s="31"/>
    </row>
    <row r="45762" spans="43:43" x14ac:dyDescent="0.2">
      <c r="AQ45762" s="31"/>
    </row>
    <row r="45763" spans="43:43" x14ac:dyDescent="0.2">
      <c r="AQ45763" s="31"/>
    </row>
    <row r="45764" spans="43:43" x14ac:dyDescent="0.2">
      <c r="AQ45764" s="31"/>
    </row>
    <row r="45765" spans="43:43" x14ac:dyDescent="0.2">
      <c r="AQ45765" s="31"/>
    </row>
    <row r="45766" spans="43:43" x14ac:dyDescent="0.2">
      <c r="AQ45766" s="31"/>
    </row>
    <row r="45767" spans="43:43" x14ac:dyDescent="0.2">
      <c r="AQ45767" s="31"/>
    </row>
    <row r="45768" spans="43:43" x14ac:dyDescent="0.2">
      <c r="AQ45768" s="31"/>
    </row>
    <row r="45769" spans="43:43" x14ac:dyDescent="0.2">
      <c r="AQ45769" s="31"/>
    </row>
    <row r="45770" spans="43:43" x14ac:dyDescent="0.2">
      <c r="AQ45770" s="31"/>
    </row>
    <row r="45771" spans="43:43" x14ac:dyDescent="0.2">
      <c r="AQ45771" s="31"/>
    </row>
    <row r="45772" spans="43:43" x14ac:dyDescent="0.2">
      <c r="AQ45772" s="31"/>
    </row>
    <row r="45773" spans="43:43" x14ac:dyDescent="0.2">
      <c r="AQ45773" s="31"/>
    </row>
    <row r="45774" spans="43:43" x14ac:dyDescent="0.2">
      <c r="AQ45774" s="31"/>
    </row>
    <row r="45775" spans="43:43" x14ac:dyDescent="0.2">
      <c r="AQ45775" s="31"/>
    </row>
    <row r="45776" spans="43:43" x14ac:dyDescent="0.2">
      <c r="AQ45776" s="31"/>
    </row>
    <row r="45777" spans="43:43" x14ac:dyDescent="0.2">
      <c r="AQ45777" s="31"/>
    </row>
    <row r="45778" spans="43:43" x14ac:dyDescent="0.2">
      <c r="AQ45778" s="31"/>
    </row>
    <row r="45779" spans="43:43" x14ac:dyDescent="0.2">
      <c r="AQ45779" s="31"/>
    </row>
    <row r="45780" spans="43:43" x14ac:dyDescent="0.2">
      <c r="AQ45780" s="31"/>
    </row>
    <row r="45781" spans="43:43" x14ac:dyDescent="0.2">
      <c r="AQ45781" s="31"/>
    </row>
    <row r="45782" spans="43:43" x14ac:dyDescent="0.2">
      <c r="AQ45782" s="31"/>
    </row>
    <row r="45783" spans="43:43" x14ac:dyDescent="0.2">
      <c r="AQ45783" s="31"/>
    </row>
    <row r="45784" spans="43:43" x14ac:dyDescent="0.2">
      <c r="AQ45784" s="31"/>
    </row>
    <row r="45785" spans="43:43" x14ac:dyDescent="0.2">
      <c r="AQ45785" s="31"/>
    </row>
    <row r="45786" spans="43:43" x14ac:dyDescent="0.2">
      <c r="AQ45786" s="31"/>
    </row>
    <row r="45787" spans="43:43" x14ac:dyDescent="0.2">
      <c r="AQ45787" s="31"/>
    </row>
    <row r="45788" spans="43:43" x14ac:dyDescent="0.2">
      <c r="AQ45788" s="31"/>
    </row>
    <row r="45789" spans="43:43" x14ac:dyDescent="0.2">
      <c r="AQ45789" s="31"/>
    </row>
    <row r="45790" spans="43:43" x14ac:dyDescent="0.2">
      <c r="AQ45790" s="31"/>
    </row>
    <row r="45791" spans="43:43" x14ac:dyDescent="0.2">
      <c r="AQ45791" s="31"/>
    </row>
    <row r="45792" spans="43:43" x14ac:dyDescent="0.2">
      <c r="AQ45792" s="31"/>
    </row>
    <row r="45793" spans="43:43" x14ac:dyDescent="0.2">
      <c r="AQ45793" s="31"/>
    </row>
    <row r="45794" spans="43:43" x14ac:dyDescent="0.2">
      <c r="AQ45794" s="31"/>
    </row>
    <row r="45795" spans="43:43" x14ac:dyDescent="0.2">
      <c r="AQ45795" s="31"/>
    </row>
    <row r="45796" spans="43:43" x14ac:dyDescent="0.2">
      <c r="AQ45796" s="31"/>
    </row>
    <row r="45797" spans="43:43" x14ac:dyDescent="0.2">
      <c r="AQ45797" s="31"/>
    </row>
    <row r="45798" spans="43:43" x14ac:dyDescent="0.2">
      <c r="AQ45798" s="31"/>
    </row>
    <row r="45799" spans="43:43" x14ac:dyDescent="0.2">
      <c r="AQ45799" s="31"/>
    </row>
    <row r="45800" spans="43:43" x14ac:dyDescent="0.2">
      <c r="AQ45800" s="31"/>
    </row>
    <row r="45801" spans="43:43" x14ac:dyDescent="0.2">
      <c r="AQ45801" s="31"/>
    </row>
    <row r="45802" spans="43:43" x14ac:dyDescent="0.2">
      <c r="AQ45802" s="31"/>
    </row>
    <row r="45803" spans="43:43" x14ac:dyDescent="0.2">
      <c r="AQ45803" s="31"/>
    </row>
    <row r="45804" spans="43:43" x14ac:dyDescent="0.2">
      <c r="AQ45804" s="31"/>
    </row>
    <row r="45805" spans="43:43" x14ac:dyDescent="0.2">
      <c r="AQ45805" s="31"/>
    </row>
    <row r="45806" spans="43:43" x14ac:dyDescent="0.2">
      <c r="AQ45806" s="31"/>
    </row>
    <row r="45807" spans="43:43" x14ac:dyDescent="0.2">
      <c r="AQ45807" s="31"/>
    </row>
    <row r="45808" spans="43:43" x14ac:dyDescent="0.2">
      <c r="AQ45808" s="31"/>
    </row>
    <row r="45809" spans="43:43" x14ac:dyDescent="0.2">
      <c r="AQ45809" s="31"/>
    </row>
    <row r="45810" spans="43:43" x14ac:dyDescent="0.2">
      <c r="AQ45810" s="31"/>
    </row>
    <row r="45811" spans="43:43" x14ac:dyDescent="0.2">
      <c r="AQ45811" s="31"/>
    </row>
    <row r="45812" spans="43:43" x14ac:dyDescent="0.2">
      <c r="AQ45812" s="31"/>
    </row>
    <row r="45813" spans="43:43" x14ac:dyDescent="0.2">
      <c r="AQ45813" s="31"/>
    </row>
    <row r="45814" spans="43:43" x14ac:dyDescent="0.2">
      <c r="AQ45814" s="31"/>
    </row>
    <row r="45815" spans="43:43" x14ac:dyDescent="0.2">
      <c r="AQ45815" s="31"/>
    </row>
    <row r="45816" spans="43:43" x14ac:dyDescent="0.2">
      <c r="AQ45816" s="31"/>
    </row>
    <row r="45817" spans="43:43" x14ac:dyDescent="0.2">
      <c r="AQ45817" s="31"/>
    </row>
    <row r="45818" spans="43:43" x14ac:dyDescent="0.2">
      <c r="AQ45818" s="31"/>
    </row>
    <row r="45819" spans="43:43" x14ac:dyDescent="0.2">
      <c r="AQ45819" s="31"/>
    </row>
    <row r="45820" spans="43:43" x14ac:dyDescent="0.2">
      <c r="AQ45820" s="31"/>
    </row>
    <row r="45821" spans="43:43" x14ac:dyDescent="0.2">
      <c r="AQ45821" s="31"/>
    </row>
    <row r="45822" spans="43:43" x14ac:dyDescent="0.2">
      <c r="AQ45822" s="31"/>
    </row>
    <row r="45823" spans="43:43" x14ac:dyDescent="0.2">
      <c r="AQ45823" s="31"/>
    </row>
    <row r="45824" spans="43:43" x14ac:dyDescent="0.2">
      <c r="AQ45824" s="31"/>
    </row>
    <row r="45825" spans="43:43" x14ac:dyDescent="0.2">
      <c r="AQ45825" s="31"/>
    </row>
    <row r="45826" spans="43:43" x14ac:dyDescent="0.2">
      <c r="AQ45826" s="31"/>
    </row>
    <row r="45827" spans="43:43" x14ac:dyDescent="0.2">
      <c r="AQ45827" s="31"/>
    </row>
    <row r="45828" spans="43:43" x14ac:dyDescent="0.2">
      <c r="AQ45828" s="31"/>
    </row>
    <row r="45829" spans="43:43" x14ac:dyDescent="0.2">
      <c r="AQ45829" s="31"/>
    </row>
    <row r="45830" spans="43:43" x14ac:dyDescent="0.2">
      <c r="AQ45830" s="31"/>
    </row>
    <row r="45831" spans="43:43" x14ac:dyDescent="0.2">
      <c r="AQ45831" s="31"/>
    </row>
    <row r="45832" spans="43:43" x14ac:dyDescent="0.2">
      <c r="AQ45832" s="31"/>
    </row>
    <row r="45833" spans="43:43" x14ac:dyDescent="0.2">
      <c r="AQ45833" s="31"/>
    </row>
    <row r="45834" spans="43:43" x14ac:dyDescent="0.2">
      <c r="AQ45834" s="31"/>
    </row>
    <row r="45835" spans="43:43" x14ac:dyDescent="0.2">
      <c r="AQ45835" s="31"/>
    </row>
    <row r="45836" spans="43:43" x14ac:dyDescent="0.2">
      <c r="AQ45836" s="31"/>
    </row>
    <row r="45837" spans="43:43" x14ac:dyDescent="0.2">
      <c r="AQ45837" s="31"/>
    </row>
    <row r="45838" spans="43:43" x14ac:dyDescent="0.2">
      <c r="AQ45838" s="31"/>
    </row>
    <row r="45839" spans="43:43" x14ac:dyDescent="0.2">
      <c r="AQ45839" s="31"/>
    </row>
    <row r="45840" spans="43:43" x14ac:dyDescent="0.2">
      <c r="AQ45840" s="31"/>
    </row>
    <row r="45841" spans="43:43" x14ac:dyDescent="0.2">
      <c r="AQ45841" s="31"/>
    </row>
    <row r="45842" spans="43:43" x14ac:dyDescent="0.2">
      <c r="AQ45842" s="31"/>
    </row>
    <row r="45843" spans="43:43" x14ac:dyDescent="0.2">
      <c r="AQ45843" s="31"/>
    </row>
    <row r="45844" spans="43:43" x14ac:dyDescent="0.2">
      <c r="AQ45844" s="31"/>
    </row>
    <row r="45845" spans="43:43" x14ac:dyDescent="0.2">
      <c r="AQ45845" s="31"/>
    </row>
    <row r="45846" spans="43:43" x14ac:dyDescent="0.2">
      <c r="AQ45846" s="31"/>
    </row>
    <row r="45847" spans="43:43" x14ac:dyDescent="0.2">
      <c r="AQ45847" s="31"/>
    </row>
    <row r="45848" spans="43:43" x14ac:dyDescent="0.2">
      <c r="AQ45848" s="31"/>
    </row>
    <row r="45849" spans="43:43" x14ac:dyDescent="0.2">
      <c r="AQ45849" s="31"/>
    </row>
    <row r="45850" spans="43:43" x14ac:dyDescent="0.2">
      <c r="AQ45850" s="31"/>
    </row>
    <row r="45851" spans="43:43" x14ac:dyDescent="0.2">
      <c r="AQ45851" s="31"/>
    </row>
    <row r="45852" spans="43:43" x14ac:dyDescent="0.2">
      <c r="AQ45852" s="31"/>
    </row>
    <row r="45853" spans="43:43" x14ac:dyDescent="0.2">
      <c r="AQ45853" s="31"/>
    </row>
    <row r="45854" spans="43:43" x14ac:dyDescent="0.2">
      <c r="AQ45854" s="31"/>
    </row>
    <row r="45855" spans="43:43" x14ac:dyDescent="0.2">
      <c r="AQ45855" s="31"/>
    </row>
    <row r="45856" spans="43:43" x14ac:dyDescent="0.2">
      <c r="AQ45856" s="31"/>
    </row>
    <row r="45857" spans="43:43" x14ac:dyDescent="0.2">
      <c r="AQ45857" s="31"/>
    </row>
    <row r="45858" spans="43:43" x14ac:dyDescent="0.2">
      <c r="AQ45858" s="31"/>
    </row>
    <row r="45859" spans="43:43" x14ac:dyDescent="0.2">
      <c r="AQ45859" s="31"/>
    </row>
    <row r="45860" spans="43:43" x14ac:dyDescent="0.2">
      <c r="AQ45860" s="31"/>
    </row>
    <row r="45861" spans="43:43" x14ac:dyDescent="0.2">
      <c r="AQ45861" s="31"/>
    </row>
    <row r="45862" spans="43:43" x14ac:dyDescent="0.2">
      <c r="AQ45862" s="31"/>
    </row>
    <row r="45863" spans="43:43" x14ac:dyDescent="0.2">
      <c r="AQ45863" s="31"/>
    </row>
    <row r="45864" spans="43:43" x14ac:dyDescent="0.2">
      <c r="AQ45864" s="31"/>
    </row>
    <row r="45865" spans="43:43" x14ac:dyDescent="0.2">
      <c r="AQ45865" s="31"/>
    </row>
    <row r="45866" spans="43:43" x14ac:dyDescent="0.2">
      <c r="AQ45866" s="31"/>
    </row>
    <row r="45867" spans="43:43" x14ac:dyDescent="0.2">
      <c r="AQ45867" s="31"/>
    </row>
    <row r="45868" spans="43:43" x14ac:dyDescent="0.2">
      <c r="AQ45868" s="31"/>
    </row>
    <row r="45869" spans="43:43" x14ac:dyDescent="0.2">
      <c r="AQ45869" s="31"/>
    </row>
    <row r="45870" spans="43:43" x14ac:dyDescent="0.2">
      <c r="AQ45870" s="31"/>
    </row>
    <row r="45871" spans="43:43" x14ac:dyDescent="0.2">
      <c r="AQ45871" s="31"/>
    </row>
    <row r="45872" spans="43:43" x14ac:dyDescent="0.2">
      <c r="AQ45872" s="31"/>
    </row>
    <row r="45873" spans="43:43" x14ac:dyDescent="0.2">
      <c r="AQ45873" s="31"/>
    </row>
    <row r="45874" spans="43:43" x14ac:dyDescent="0.2">
      <c r="AQ45874" s="31"/>
    </row>
    <row r="45875" spans="43:43" x14ac:dyDescent="0.2">
      <c r="AQ45875" s="31"/>
    </row>
    <row r="45876" spans="43:43" x14ac:dyDescent="0.2">
      <c r="AQ45876" s="31"/>
    </row>
    <row r="45877" spans="43:43" x14ac:dyDescent="0.2">
      <c r="AQ45877" s="31"/>
    </row>
    <row r="45878" spans="43:43" x14ac:dyDescent="0.2">
      <c r="AQ45878" s="31"/>
    </row>
    <row r="45879" spans="43:43" x14ac:dyDescent="0.2">
      <c r="AQ45879" s="31"/>
    </row>
    <row r="45880" spans="43:43" x14ac:dyDescent="0.2">
      <c r="AQ45880" s="31"/>
    </row>
    <row r="45881" spans="43:43" x14ac:dyDescent="0.2">
      <c r="AQ45881" s="31"/>
    </row>
    <row r="45882" spans="43:43" x14ac:dyDescent="0.2">
      <c r="AQ45882" s="31"/>
    </row>
    <row r="45883" spans="43:43" x14ac:dyDescent="0.2">
      <c r="AQ45883" s="31"/>
    </row>
    <row r="45884" spans="43:43" x14ac:dyDescent="0.2">
      <c r="AQ45884" s="31"/>
    </row>
    <row r="45885" spans="43:43" x14ac:dyDescent="0.2">
      <c r="AQ45885" s="31"/>
    </row>
    <row r="45886" spans="43:43" x14ac:dyDescent="0.2">
      <c r="AQ45886" s="31"/>
    </row>
    <row r="45887" spans="43:43" x14ac:dyDescent="0.2">
      <c r="AQ45887" s="31"/>
    </row>
    <row r="45888" spans="43:43" x14ac:dyDescent="0.2">
      <c r="AQ45888" s="31"/>
    </row>
    <row r="45889" spans="43:43" x14ac:dyDescent="0.2">
      <c r="AQ45889" s="31"/>
    </row>
    <row r="45890" spans="43:43" x14ac:dyDescent="0.2">
      <c r="AQ45890" s="31"/>
    </row>
    <row r="45891" spans="43:43" x14ac:dyDescent="0.2">
      <c r="AQ45891" s="31"/>
    </row>
    <row r="45892" spans="43:43" x14ac:dyDescent="0.2">
      <c r="AQ45892" s="31"/>
    </row>
    <row r="45893" spans="43:43" x14ac:dyDescent="0.2">
      <c r="AQ45893" s="31"/>
    </row>
    <row r="45894" spans="43:43" x14ac:dyDescent="0.2">
      <c r="AQ45894" s="31"/>
    </row>
    <row r="45895" spans="43:43" x14ac:dyDescent="0.2">
      <c r="AQ45895" s="31"/>
    </row>
    <row r="45896" spans="43:43" x14ac:dyDescent="0.2">
      <c r="AQ45896" s="31"/>
    </row>
    <row r="45897" spans="43:43" x14ac:dyDescent="0.2">
      <c r="AQ45897" s="31"/>
    </row>
    <row r="45898" spans="43:43" x14ac:dyDescent="0.2">
      <c r="AQ45898" s="31"/>
    </row>
    <row r="45899" spans="43:43" x14ac:dyDescent="0.2">
      <c r="AQ45899" s="31"/>
    </row>
    <row r="45900" spans="43:43" x14ac:dyDescent="0.2">
      <c r="AQ45900" s="31"/>
    </row>
    <row r="45901" spans="43:43" x14ac:dyDescent="0.2">
      <c r="AQ45901" s="31"/>
    </row>
    <row r="45902" spans="43:43" x14ac:dyDescent="0.2">
      <c r="AQ45902" s="31"/>
    </row>
    <row r="45903" spans="43:43" x14ac:dyDescent="0.2">
      <c r="AQ45903" s="31"/>
    </row>
    <row r="45904" spans="43:43" x14ac:dyDescent="0.2">
      <c r="AQ45904" s="31"/>
    </row>
    <row r="45905" spans="43:43" x14ac:dyDescent="0.2">
      <c r="AQ45905" s="31"/>
    </row>
    <row r="45906" spans="43:43" x14ac:dyDescent="0.2">
      <c r="AQ45906" s="31"/>
    </row>
    <row r="45907" spans="43:43" x14ac:dyDescent="0.2">
      <c r="AQ45907" s="31"/>
    </row>
    <row r="45908" spans="43:43" x14ac:dyDescent="0.2">
      <c r="AQ45908" s="31"/>
    </row>
    <row r="45909" spans="43:43" x14ac:dyDescent="0.2">
      <c r="AQ45909" s="31"/>
    </row>
    <row r="45910" spans="43:43" x14ac:dyDescent="0.2">
      <c r="AQ45910" s="31"/>
    </row>
    <row r="45911" spans="43:43" x14ac:dyDescent="0.2">
      <c r="AQ45911" s="31"/>
    </row>
    <row r="45912" spans="43:43" x14ac:dyDescent="0.2">
      <c r="AQ45912" s="31"/>
    </row>
    <row r="45913" spans="43:43" x14ac:dyDescent="0.2">
      <c r="AQ45913" s="31"/>
    </row>
    <row r="45914" spans="43:43" x14ac:dyDescent="0.2">
      <c r="AQ45914" s="31"/>
    </row>
    <row r="45915" spans="43:43" x14ac:dyDescent="0.2">
      <c r="AQ45915" s="31"/>
    </row>
    <row r="45916" spans="43:43" x14ac:dyDescent="0.2">
      <c r="AQ45916" s="31"/>
    </row>
    <row r="45917" spans="43:43" x14ac:dyDescent="0.2">
      <c r="AQ45917" s="31"/>
    </row>
    <row r="45918" spans="43:43" x14ac:dyDescent="0.2">
      <c r="AQ45918" s="31"/>
    </row>
    <row r="45919" spans="43:43" x14ac:dyDescent="0.2">
      <c r="AQ45919" s="31"/>
    </row>
    <row r="45920" spans="43:43" x14ac:dyDescent="0.2">
      <c r="AQ45920" s="31"/>
    </row>
    <row r="45921" spans="43:43" x14ac:dyDescent="0.2">
      <c r="AQ45921" s="31"/>
    </row>
    <row r="45922" spans="43:43" x14ac:dyDescent="0.2">
      <c r="AQ45922" s="31"/>
    </row>
    <row r="45923" spans="43:43" x14ac:dyDescent="0.2">
      <c r="AQ45923" s="31"/>
    </row>
    <row r="45924" spans="43:43" x14ac:dyDescent="0.2">
      <c r="AQ45924" s="31"/>
    </row>
    <row r="45925" spans="43:43" x14ac:dyDescent="0.2">
      <c r="AQ45925" s="31"/>
    </row>
    <row r="45926" spans="43:43" x14ac:dyDescent="0.2">
      <c r="AQ45926" s="31"/>
    </row>
    <row r="45927" spans="43:43" x14ac:dyDescent="0.2">
      <c r="AQ45927" s="31"/>
    </row>
    <row r="45928" spans="43:43" x14ac:dyDescent="0.2">
      <c r="AQ45928" s="31"/>
    </row>
    <row r="45929" spans="43:43" x14ac:dyDescent="0.2">
      <c r="AQ45929" s="31"/>
    </row>
    <row r="45930" spans="43:43" x14ac:dyDescent="0.2">
      <c r="AQ45930" s="31"/>
    </row>
    <row r="45931" spans="43:43" x14ac:dyDescent="0.2">
      <c r="AQ45931" s="31"/>
    </row>
    <row r="45932" spans="43:43" x14ac:dyDescent="0.2">
      <c r="AQ45932" s="31"/>
    </row>
    <row r="45933" spans="43:43" x14ac:dyDescent="0.2">
      <c r="AQ45933" s="31"/>
    </row>
    <row r="45934" spans="43:43" x14ac:dyDescent="0.2">
      <c r="AQ45934" s="31"/>
    </row>
    <row r="45935" spans="43:43" x14ac:dyDescent="0.2">
      <c r="AQ45935" s="31"/>
    </row>
    <row r="45936" spans="43:43" x14ac:dyDescent="0.2">
      <c r="AQ45936" s="31"/>
    </row>
    <row r="45937" spans="43:43" x14ac:dyDescent="0.2">
      <c r="AQ45937" s="31"/>
    </row>
    <row r="45938" spans="43:43" x14ac:dyDescent="0.2">
      <c r="AQ45938" s="31"/>
    </row>
    <row r="45939" spans="43:43" x14ac:dyDescent="0.2">
      <c r="AQ45939" s="31"/>
    </row>
    <row r="45940" spans="43:43" x14ac:dyDescent="0.2">
      <c r="AQ45940" s="31"/>
    </row>
    <row r="45941" spans="43:43" x14ac:dyDescent="0.2">
      <c r="AQ45941" s="31"/>
    </row>
    <row r="45942" spans="43:43" x14ac:dyDescent="0.2">
      <c r="AQ45942" s="31"/>
    </row>
    <row r="45943" spans="43:43" x14ac:dyDescent="0.2">
      <c r="AQ45943" s="31"/>
    </row>
    <row r="45944" spans="43:43" x14ac:dyDescent="0.2">
      <c r="AQ45944" s="31"/>
    </row>
    <row r="45945" spans="43:43" x14ac:dyDescent="0.2">
      <c r="AQ45945" s="31"/>
    </row>
    <row r="45946" spans="43:43" x14ac:dyDescent="0.2">
      <c r="AQ45946" s="31"/>
    </row>
    <row r="45947" spans="43:43" x14ac:dyDescent="0.2">
      <c r="AQ45947" s="31"/>
    </row>
    <row r="45948" spans="43:43" x14ac:dyDescent="0.2">
      <c r="AQ45948" s="31"/>
    </row>
    <row r="45949" spans="43:43" x14ac:dyDescent="0.2">
      <c r="AQ45949" s="31"/>
    </row>
    <row r="45950" spans="43:43" x14ac:dyDescent="0.2">
      <c r="AQ45950" s="31"/>
    </row>
    <row r="45951" spans="43:43" x14ac:dyDescent="0.2">
      <c r="AQ45951" s="31"/>
    </row>
    <row r="45952" spans="43:43" x14ac:dyDescent="0.2">
      <c r="AQ45952" s="31"/>
    </row>
    <row r="45953" spans="43:43" x14ac:dyDescent="0.2">
      <c r="AQ45953" s="31"/>
    </row>
    <row r="45954" spans="43:43" x14ac:dyDescent="0.2">
      <c r="AQ45954" s="31"/>
    </row>
    <row r="45955" spans="43:43" x14ac:dyDescent="0.2">
      <c r="AQ45955" s="31"/>
    </row>
    <row r="45956" spans="43:43" x14ac:dyDescent="0.2">
      <c r="AQ45956" s="31"/>
    </row>
    <row r="45957" spans="43:43" x14ac:dyDescent="0.2">
      <c r="AQ45957" s="31"/>
    </row>
    <row r="45958" spans="43:43" x14ac:dyDescent="0.2">
      <c r="AQ45958" s="31"/>
    </row>
    <row r="45959" spans="43:43" x14ac:dyDescent="0.2">
      <c r="AQ45959" s="31"/>
    </row>
    <row r="45960" spans="43:43" x14ac:dyDescent="0.2">
      <c r="AQ45960" s="31"/>
    </row>
    <row r="45961" spans="43:43" x14ac:dyDescent="0.2">
      <c r="AQ45961" s="31"/>
    </row>
    <row r="45962" spans="43:43" x14ac:dyDescent="0.2">
      <c r="AQ45962" s="31"/>
    </row>
    <row r="45963" spans="43:43" x14ac:dyDescent="0.2">
      <c r="AQ45963" s="31"/>
    </row>
    <row r="45964" spans="43:43" x14ac:dyDescent="0.2">
      <c r="AQ45964" s="31"/>
    </row>
    <row r="45965" spans="43:43" x14ac:dyDescent="0.2">
      <c r="AQ45965" s="31"/>
    </row>
    <row r="45966" spans="43:43" x14ac:dyDescent="0.2">
      <c r="AQ45966" s="31"/>
    </row>
    <row r="45967" spans="43:43" x14ac:dyDescent="0.2">
      <c r="AQ45967" s="31"/>
    </row>
    <row r="45968" spans="43:43" x14ac:dyDescent="0.2">
      <c r="AQ45968" s="31"/>
    </row>
    <row r="45969" spans="43:43" x14ac:dyDescent="0.2">
      <c r="AQ45969" s="31"/>
    </row>
    <row r="45970" spans="43:43" x14ac:dyDescent="0.2">
      <c r="AQ45970" s="31"/>
    </row>
    <row r="45971" spans="43:43" x14ac:dyDescent="0.2">
      <c r="AQ45971" s="31"/>
    </row>
    <row r="45972" spans="43:43" x14ac:dyDescent="0.2">
      <c r="AQ45972" s="31"/>
    </row>
    <row r="45973" spans="43:43" x14ac:dyDescent="0.2">
      <c r="AQ45973" s="31"/>
    </row>
    <row r="45974" spans="43:43" x14ac:dyDescent="0.2">
      <c r="AQ45974" s="31"/>
    </row>
    <row r="45975" spans="43:43" x14ac:dyDescent="0.2">
      <c r="AQ45975" s="31"/>
    </row>
    <row r="45976" spans="43:43" x14ac:dyDescent="0.2">
      <c r="AQ45976" s="31"/>
    </row>
    <row r="45977" spans="43:43" x14ac:dyDescent="0.2">
      <c r="AQ45977" s="31"/>
    </row>
    <row r="45978" spans="43:43" x14ac:dyDescent="0.2">
      <c r="AQ45978" s="31"/>
    </row>
    <row r="45979" spans="43:43" x14ac:dyDescent="0.2">
      <c r="AQ45979" s="31"/>
    </row>
    <row r="45980" spans="43:43" x14ac:dyDescent="0.2">
      <c r="AQ45980" s="31"/>
    </row>
    <row r="45981" spans="43:43" x14ac:dyDescent="0.2">
      <c r="AQ45981" s="31"/>
    </row>
    <row r="45982" spans="43:43" x14ac:dyDescent="0.2">
      <c r="AQ45982" s="31"/>
    </row>
    <row r="45983" spans="43:43" x14ac:dyDescent="0.2">
      <c r="AQ45983" s="31"/>
    </row>
    <row r="45984" spans="43:43" x14ac:dyDescent="0.2">
      <c r="AQ45984" s="31"/>
    </row>
    <row r="45985" spans="43:43" x14ac:dyDescent="0.2">
      <c r="AQ45985" s="31"/>
    </row>
    <row r="45986" spans="43:43" x14ac:dyDescent="0.2">
      <c r="AQ45986" s="31"/>
    </row>
    <row r="45987" spans="43:43" x14ac:dyDescent="0.2">
      <c r="AQ45987" s="31"/>
    </row>
    <row r="45988" spans="43:43" x14ac:dyDescent="0.2">
      <c r="AQ45988" s="31"/>
    </row>
    <row r="45989" spans="43:43" x14ac:dyDescent="0.2">
      <c r="AQ45989" s="31"/>
    </row>
    <row r="45990" spans="43:43" x14ac:dyDescent="0.2">
      <c r="AQ45990" s="31"/>
    </row>
    <row r="45991" spans="43:43" x14ac:dyDescent="0.2">
      <c r="AQ45991" s="31"/>
    </row>
    <row r="45992" spans="43:43" x14ac:dyDescent="0.2">
      <c r="AQ45992" s="31"/>
    </row>
    <row r="45993" spans="43:43" x14ac:dyDescent="0.2">
      <c r="AQ45993" s="31"/>
    </row>
    <row r="45994" spans="43:43" x14ac:dyDescent="0.2">
      <c r="AQ45994" s="31"/>
    </row>
    <row r="45995" spans="43:43" x14ac:dyDescent="0.2">
      <c r="AQ45995" s="31"/>
    </row>
    <row r="45996" spans="43:43" x14ac:dyDescent="0.2">
      <c r="AQ45996" s="31"/>
    </row>
    <row r="45997" spans="43:43" x14ac:dyDescent="0.2">
      <c r="AQ45997" s="31"/>
    </row>
    <row r="45998" spans="43:43" x14ac:dyDescent="0.2">
      <c r="AQ45998" s="31"/>
    </row>
    <row r="45999" spans="43:43" x14ac:dyDescent="0.2">
      <c r="AQ45999" s="31"/>
    </row>
    <row r="46000" spans="43:43" x14ac:dyDescent="0.2">
      <c r="AQ46000" s="31"/>
    </row>
    <row r="46001" spans="43:43" x14ac:dyDescent="0.2">
      <c r="AQ46001" s="31"/>
    </row>
    <row r="46002" spans="43:43" x14ac:dyDescent="0.2">
      <c r="AQ46002" s="31"/>
    </row>
    <row r="46003" spans="43:43" x14ac:dyDescent="0.2">
      <c r="AQ46003" s="31"/>
    </row>
    <row r="46004" spans="43:43" x14ac:dyDescent="0.2">
      <c r="AQ46004" s="31"/>
    </row>
    <row r="46005" spans="43:43" x14ac:dyDescent="0.2">
      <c r="AQ46005" s="31"/>
    </row>
    <row r="46006" spans="43:43" x14ac:dyDescent="0.2">
      <c r="AQ46006" s="31"/>
    </row>
    <row r="46007" spans="43:43" x14ac:dyDescent="0.2">
      <c r="AQ46007" s="31"/>
    </row>
    <row r="46008" spans="43:43" x14ac:dyDescent="0.2">
      <c r="AQ46008" s="31"/>
    </row>
    <row r="46009" spans="43:43" x14ac:dyDescent="0.2">
      <c r="AQ46009" s="31"/>
    </row>
    <row r="46010" spans="43:43" x14ac:dyDescent="0.2">
      <c r="AQ46010" s="31"/>
    </row>
    <row r="46011" spans="43:43" x14ac:dyDescent="0.2">
      <c r="AQ46011" s="31"/>
    </row>
    <row r="46012" spans="43:43" x14ac:dyDescent="0.2">
      <c r="AQ46012" s="31"/>
    </row>
    <row r="46013" spans="43:43" x14ac:dyDescent="0.2">
      <c r="AQ46013" s="31"/>
    </row>
    <row r="46014" spans="43:43" x14ac:dyDescent="0.2">
      <c r="AQ46014" s="31"/>
    </row>
    <row r="46015" spans="43:43" x14ac:dyDescent="0.2">
      <c r="AQ46015" s="31"/>
    </row>
    <row r="46016" spans="43:43" x14ac:dyDescent="0.2">
      <c r="AQ46016" s="31"/>
    </row>
    <row r="46017" spans="43:43" x14ac:dyDescent="0.2">
      <c r="AQ46017" s="31"/>
    </row>
    <row r="46018" spans="43:43" x14ac:dyDescent="0.2">
      <c r="AQ46018" s="31"/>
    </row>
    <row r="46019" spans="43:43" x14ac:dyDescent="0.2">
      <c r="AQ46019" s="31"/>
    </row>
    <row r="46020" spans="43:43" x14ac:dyDescent="0.2">
      <c r="AQ46020" s="31"/>
    </row>
    <row r="46021" spans="43:43" x14ac:dyDescent="0.2">
      <c r="AQ46021" s="31"/>
    </row>
    <row r="46022" spans="43:43" x14ac:dyDescent="0.2">
      <c r="AQ46022" s="31"/>
    </row>
    <row r="46023" spans="43:43" x14ac:dyDescent="0.2">
      <c r="AQ46023" s="31"/>
    </row>
    <row r="46024" spans="43:43" x14ac:dyDescent="0.2">
      <c r="AQ46024" s="31"/>
    </row>
    <row r="46025" spans="43:43" x14ac:dyDescent="0.2">
      <c r="AQ46025" s="31"/>
    </row>
    <row r="46026" spans="43:43" x14ac:dyDescent="0.2">
      <c r="AQ46026" s="31"/>
    </row>
    <row r="46027" spans="43:43" x14ac:dyDescent="0.2">
      <c r="AQ46027" s="31"/>
    </row>
    <row r="46028" spans="43:43" x14ac:dyDescent="0.2">
      <c r="AQ46028" s="31"/>
    </row>
    <row r="46029" spans="43:43" x14ac:dyDescent="0.2">
      <c r="AQ46029" s="31"/>
    </row>
    <row r="46030" spans="43:43" x14ac:dyDescent="0.2">
      <c r="AQ46030" s="31"/>
    </row>
    <row r="46031" spans="43:43" x14ac:dyDescent="0.2">
      <c r="AQ46031" s="31"/>
    </row>
    <row r="46032" spans="43:43" x14ac:dyDescent="0.2">
      <c r="AQ46032" s="31"/>
    </row>
    <row r="46033" spans="43:43" x14ac:dyDescent="0.2">
      <c r="AQ46033" s="31"/>
    </row>
    <row r="46034" spans="43:43" x14ac:dyDescent="0.2">
      <c r="AQ46034" s="31"/>
    </row>
    <row r="46035" spans="43:43" x14ac:dyDescent="0.2">
      <c r="AQ46035" s="31"/>
    </row>
    <row r="46036" spans="43:43" x14ac:dyDescent="0.2">
      <c r="AQ46036" s="31"/>
    </row>
    <row r="46037" spans="43:43" x14ac:dyDescent="0.2">
      <c r="AQ46037" s="31"/>
    </row>
    <row r="46038" spans="43:43" x14ac:dyDescent="0.2">
      <c r="AQ46038" s="31"/>
    </row>
    <row r="46039" spans="43:43" x14ac:dyDescent="0.2">
      <c r="AQ46039" s="31"/>
    </row>
    <row r="46040" spans="43:43" x14ac:dyDescent="0.2">
      <c r="AQ46040" s="31"/>
    </row>
    <row r="46041" spans="43:43" x14ac:dyDescent="0.2">
      <c r="AQ46041" s="31"/>
    </row>
    <row r="46042" spans="43:43" x14ac:dyDescent="0.2">
      <c r="AQ46042" s="31"/>
    </row>
    <row r="46043" spans="43:43" x14ac:dyDescent="0.2">
      <c r="AQ46043" s="31"/>
    </row>
    <row r="46044" spans="43:43" x14ac:dyDescent="0.2">
      <c r="AQ46044" s="31"/>
    </row>
    <row r="46045" spans="43:43" x14ac:dyDescent="0.2">
      <c r="AQ46045" s="31"/>
    </row>
    <row r="46046" spans="43:43" x14ac:dyDescent="0.2">
      <c r="AQ46046" s="31"/>
    </row>
    <row r="46047" spans="43:43" x14ac:dyDescent="0.2">
      <c r="AQ46047" s="31"/>
    </row>
    <row r="46048" spans="43:43" x14ac:dyDescent="0.2">
      <c r="AQ46048" s="31"/>
    </row>
    <row r="46049" spans="43:43" x14ac:dyDescent="0.2">
      <c r="AQ46049" s="31"/>
    </row>
    <row r="46050" spans="43:43" x14ac:dyDescent="0.2">
      <c r="AQ46050" s="31"/>
    </row>
    <row r="46051" spans="43:43" x14ac:dyDescent="0.2">
      <c r="AQ46051" s="31"/>
    </row>
    <row r="46052" spans="43:43" x14ac:dyDescent="0.2">
      <c r="AQ46052" s="31"/>
    </row>
    <row r="46053" spans="43:43" x14ac:dyDescent="0.2">
      <c r="AQ46053" s="31"/>
    </row>
    <row r="46054" spans="43:43" x14ac:dyDescent="0.2">
      <c r="AQ46054" s="31"/>
    </row>
    <row r="46055" spans="43:43" x14ac:dyDescent="0.2">
      <c r="AQ46055" s="31"/>
    </row>
    <row r="46056" spans="43:43" x14ac:dyDescent="0.2">
      <c r="AQ46056" s="31"/>
    </row>
    <row r="46057" spans="43:43" x14ac:dyDescent="0.2">
      <c r="AQ46057" s="31"/>
    </row>
    <row r="46058" spans="43:43" x14ac:dyDescent="0.2">
      <c r="AQ46058" s="31"/>
    </row>
    <row r="46059" spans="43:43" x14ac:dyDescent="0.2">
      <c r="AQ46059" s="31"/>
    </row>
    <row r="46060" spans="43:43" x14ac:dyDescent="0.2">
      <c r="AQ46060" s="31"/>
    </row>
    <row r="46061" spans="43:43" x14ac:dyDescent="0.2">
      <c r="AQ46061" s="31"/>
    </row>
    <row r="46062" spans="43:43" x14ac:dyDescent="0.2">
      <c r="AQ46062" s="31"/>
    </row>
    <row r="46063" spans="43:43" x14ac:dyDescent="0.2">
      <c r="AQ46063" s="31"/>
    </row>
    <row r="46064" spans="43:43" x14ac:dyDescent="0.2">
      <c r="AQ46064" s="31"/>
    </row>
    <row r="46065" spans="43:43" x14ac:dyDescent="0.2">
      <c r="AQ46065" s="31"/>
    </row>
    <row r="46066" spans="43:43" x14ac:dyDescent="0.2">
      <c r="AQ46066" s="31"/>
    </row>
    <row r="46067" spans="43:43" x14ac:dyDescent="0.2">
      <c r="AQ46067" s="31"/>
    </row>
    <row r="46068" spans="43:43" x14ac:dyDescent="0.2">
      <c r="AQ46068" s="31"/>
    </row>
    <row r="46069" spans="43:43" x14ac:dyDescent="0.2">
      <c r="AQ46069" s="31"/>
    </row>
    <row r="46070" spans="43:43" x14ac:dyDescent="0.2">
      <c r="AQ46070" s="31"/>
    </row>
    <row r="46071" spans="43:43" x14ac:dyDescent="0.2">
      <c r="AQ46071" s="31"/>
    </row>
    <row r="46072" spans="43:43" x14ac:dyDescent="0.2">
      <c r="AQ46072" s="31"/>
    </row>
    <row r="46073" spans="43:43" x14ac:dyDescent="0.2">
      <c r="AQ46073" s="31"/>
    </row>
    <row r="46074" spans="43:43" x14ac:dyDescent="0.2">
      <c r="AQ46074" s="31"/>
    </row>
    <row r="46075" spans="43:43" x14ac:dyDescent="0.2">
      <c r="AQ46075" s="31"/>
    </row>
    <row r="46076" spans="43:43" x14ac:dyDescent="0.2">
      <c r="AQ46076" s="31"/>
    </row>
    <row r="46077" spans="43:43" x14ac:dyDescent="0.2">
      <c r="AQ46077" s="31"/>
    </row>
    <row r="46078" spans="43:43" x14ac:dyDescent="0.2">
      <c r="AQ46078" s="31"/>
    </row>
    <row r="46079" spans="43:43" x14ac:dyDescent="0.2">
      <c r="AQ46079" s="31"/>
    </row>
    <row r="46080" spans="43:43" x14ac:dyDescent="0.2">
      <c r="AQ46080" s="31"/>
    </row>
    <row r="46081" spans="43:43" x14ac:dyDescent="0.2">
      <c r="AQ46081" s="31"/>
    </row>
    <row r="46082" spans="43:43" x14ac:dyDescent="0.2">
      <c r="AQ46082" s="31"/>
    </row>
    <row r="46083" spans="43:43" x14ac:dyDescent="0.2">
      <c r="AQ46083" s="31"/>
    </row>
    <row r="46084" spans="43:43" x14ac:dyDescent="0.2">
      <c r="AQ46084" s="31"/>
    </row>
    <row r="46085" spans="43:43" x14ac:dyDescent="0.2">
      <c r="AQ46085" s="31"/>
    </row>
    <row r="46086" spans="43:43" x14ac:dyDescent="0.2">
      <c r="AQ46086" s="31"/>
    </row>
    <row r="46087" spans="43:43" x14ac:dyDescent="0.2">
      <c r="AQ46087" s="31"/>
    </row>
    <row r="46088" spans="43:43" x14ac:dyDescent="0.2">
      <c r="AQ46088" s="31"/>
    </row>
    <row r="46089" spans="43:43" x14ac:dyDescent="0.2">
      <c r="AQ46089" s="31"/>
    </row>
    <row r="46090" spans="43:43" x14ac:dyDescent="0.2">
      <c r="AQ46090" s="31"/>
    </row>
    <row r="46091" spans="43:43" x14ac:dyDescent="0.2">
      <c r="AQ46091" s="31"/>
    </row>
    <row r="46092" spans="43:43" x14ac:dyDescent="0.2">
      <c r="AQ46092" s="31"/>
    </row>
    <row r="46093" spans="43:43" x14ac:dyDescent="0.2">
      <c r="AQ46093" s="31"/>
    </row>
    <row r="46094" spans="43:43" x14ac:dyDescent="0.2">
      <c r="AQ46094" s="31"/>
    </row>
    <row r="46095" spans="43:43" x14ac:dyDescent="0.2">
      <c r="AQ46095" s="31"/>
    </row>
    <row r="46096" spans="43:43" x14ac:dyDescent="0.2">
      <c r="AQ46096" s="31"/>
    </row>
    <row r="46097" spans="43:43" x14ac:dyDescent="0.2">
      <c r="AQ46097" s="31"/>
    </row>
    <row r="46098" spans="43:43" x14ac:dyDescent="0.2">
      <c r="AQ46098" s="31"/>
    </row>
    <row r="46099" spans="43:43" x14ac:dyDescent="0.2">
      <c r="AQ46099" s="31"/>
    </row>
    <row r="46100" spans="43:43" x14ac:dyDescent="0.2">
      <c r="AQ46100" s="31"/>
    </row>
    <row r="46101" spans="43:43" x14ac:dyDescent="0.2">
      <c r="AQ46101" s="31"/>
    </row>
    <row r="46102" spans="43:43" x14ac:dyDescent="0.2">
      <c r="AQ46102" s="31"/>
    </row>
    <row r="46103" spans="43:43" x14ac:dyDescent="0.2">
      <c r="AQ46103" s="31"/>
    </row>
    <row r="46104" spans="43:43" x14ac:dyDescent="0.2">
      <c r="AQ46104" s="31"/>
    </row>
    <row r="46105" spans="43:43" x14ac:dyDescent="0.2">
      <c r="AQ46105" s="31"/>
    </row>
    <row r="46106" spans="43:43" x14ac:dyDescent="0.2">
      <c r="AQ46106" s="31"/>
    </row>
    <row r="46107" spans="43:43" x14ac:dyDescent="0.2">
      <c r="AQ46107" s="31"/>
    </row>
    <row r="46108" spans="43:43" x14ac:dyDescent="0.2">
      <c r="AQ46108" s="31"/>
    </row>
    <row r="46109" spans="43:43" x14ac:dyDescent="0.2">
      <c r="AQ46109" s="31"/>
    </row>
    <row r="46110" spans="43:43" x14ac:dyDescent="0.2">
      <c r="AQ46110" s="31"/>
    </row>
    <row r="46111" spans="43:43" x14ac:dyDescent="0.2">
      <c r="AQ46111" s="31"/>
    </row>
    <row r="46112" spans="43:43" x14ac:dyDescent="0.2">
      <c r="AQ46112" s="31"/>
    </row>
    <row r="46113" spans="43:43" x14ac:dyDescent="0.2">
      <c r="AQ46113" s="31"/>
    </row>
    <row r="46114" spans="43:43" x14ac:dyDescent="0.2">
      <c r="AQ46114" s="31"/>
    </row>
    <row r="46115" spans="43:43" x14ac:dyDescent="0.2">
      <c r="AQ46115" s="31"/>
    </row>
    <row r="46116" spans="43:43" x14ac:dyDescent="0.2">
      <c r="AQ46116" s="31"/>
    </row>
    <row r="46117" spans="43:43" x14ac:dyDescent="0.2">
      <c r="AQ46117" s="31"/>
    </row>
    <row r="46118" spans="43:43" x14ac:dyDescent="0.2">
      <c r="AQ46118" s="31"/>
    </row>
    <row r="46119" spans="43:43" x14ac:dyDescent="0.2">
      <c r="AQ46119" s="31"/>
    </row>
    <row r="46120" spans="43:43" x14ac:dyDescent="0.2">
      <c r="AQ46120" s="31"/>
    </row>
    <row r="46121" spans="43:43" x14ac:dyDescent="0.2">
      <c r="AQ46121" s="31"/>
    </row>
    <row r="46122" spans="43:43" x14ac:dyDescent="0.2">
      <c r="AQ46122" s="31"/>
    </row>
    <row r="46123" spans="43:43" x14ac:dyDescent="0.2">
      <c r="AQ46123" s="31"/>
    </row>
    <row r="46124" spans="43:43" x14ac:dyDescent="0.2">
      <c r="AQ46124" s="31"/>
    </row>
    <row r="46125" spans="43:43" x14ac:dyDescent="0.2">
      <c r="AQ46125" s="31"/>
    </row>
    <row r="46126" spans="43:43" x14ac:dyDescent="0.2">
      <c r="AQ46126" s="31"/>
    </row>
    <row r="46127" spans="43:43" x14ac:dyDescent="0.2">
      <c r="AQ46127" s="31"/>
    </row>
    <row r="46128" spans="43:43" x14ac:dyDescent="0.2">
      <c r="AQ46128" s="31"/>
    </row>
    <row r="46129" spans="43:43" x14ac:dyDescent="0.2">
      <c r="AQ46129" s="31"/>
    </row>
    <row r="46130" spans="43:43" x14ac:dyDescent="0.2">
      <c r="AQ46130" s="31"/>
    </row>
    <row r="46131" spans="43:43" x14ac:dyDescent="0.2">
      <c r="AQ46131" s="31"/>
    </row>
    <row r="46132" spans="43:43" x14ac:dyDescent="0.2">
      <c r="AQ46132" s="31"/>
    </row>
    <row r="46133" spans="43:43" x14ac:dyDescent="0.2">
      <c r="AQ46133" s="31"/>
    </row>
    <row r="46134" spans="43:43" x14ac:dyDescent="0.2">
      <c r="AQ46134" s="31"/>
    </row>
    <row r="46135" spans="43:43" x14ac:dyDescent="0.2">
      <c r="AQ46135" s="31"/>
    </row>
    <row r="46136" spans="43:43" x14ac:dyDescent="0.2">
      <c r="AQ46136" s="31"/>
    </row>
    <row r="46137" spans="43:43" x14ac:dyDescent="0.2">
      <c r="AQ46137" s="31"/>
    </row>
    <row r="46138" spans="43:43" x14ac:dyDescent="0.2">
      <c r="AQ46138" s="31"/>
    </row>
    <row r="46139" spans="43:43" x14ac:dyDescent="0.2">
      <c r="AQ46139" s="31"/>
    </row>
    <row r="46140" spans="43:43" x14ac:dyDescent="0.2">
      <c r="AQ46140" s="31"/>
    </row>
    <row r="46141" spans="43:43" x14ac:dyDescent="0.2">
      <c r="AQ46141" s="31"/>
    </row>
    <row r="46142" spans="43:43" x14ac:dyDescent="0.2">
      <c r="AQ46142" s="31"/>
    </row>
    <row r="46143" spans="43:43" x14ac:dyDescent="0.2">
      <c r="AQ46143" s="31"/>
    </row>
    <row r="46144" spans="43:43" x14ac:dyDescent="0.2">
      <c r="AQ46144" s="31"/>
    </row>
    <row r="46145" spans="43:43" x14ac:dyDescent="0.2">
      <c r="AQ46145" s="31"/>
    </row>
    <row r="46146" spans="43:43" x14ac:dyDescent="0.2">
      <c r="AQ46146" s="31"/>
    </row>
    <row r="46147" spans="43:43" x14ac:dyDescent="0.2">
      <c r="AQ46147" s="31"/>
    </row>
    <row r="46148" spans="43:43" x14ac:dyDescent="0.2">
      <c r="AQ46148" s="31"/>
    </row>
    <row r="46149" spans="43:43" x14ac:dyDescent="0.2">
      <c r="AQ46149" s="31"/>
    </row>
    <row r="46150" spans="43:43" x14ac:dyDescent="0.2">
      <c r="AQ46150" s="31"/>
    </row>
    <row r="46151" spans="43:43" x14ac:dyDescent="0.2">
      <c r="AQ46151" s="31"/>
    </row>
    <row r="46152" spans="43:43" x14ac:dyDescent="0.2">
      <c r="AQ46152" s="31"/>
    </row>
    <row r="46153" spans="43:43" x14ac:dyDescent="0.2">
      <c r="AQ46153" s="31"/>
    </row>
    <row r="46154" spans="43:43" x14ac:dyDescent="0.2">
      <c r="AQ46154" s="31"/>
    </row>
    <row r="46155" spans="43:43" x14ac:dyDescent="0.2">
      <c r="AQ46155" s="31"/>
    </row>
    <row r="46156" spans="43:43" x14ac:dyDescent="0.2">
      <c r="AQ46156" s="31"/>
    </row>
    <row r="46157" spans="43:43" x14ac:dyDescent="0.2">
      <c r="AQ46157" s="31"/>
    </row>
    <row r="46158" spans="43:43" x14ac:dyDescent="0.2">
      <c r="AQ46158" s="31"/>
    </row>
    <row r="46159" spans="43:43" x14ac:dyDescent="0.2">
      <c r="AQ46159" s="31"/>
    </row>
    <row r="46160" spans="43:43" x14ac:dyDescent="0.2">
      <c r="AQ46160" s="31"/>
    </row>
    <row r="46161" spans="43:43" x14ac:dyDescent="0.2">
      <c r="AQ46161" s="31"/>
    </row>
    <row r="46162" spans="43:43" x14ac:dyDescent="0.2">
      <c r="AQ46162" s="31"/>
    </row>
    <row r="46163" spans="43:43" x14ac:dyDescent="0.2">
      <c r="AQ46163" s="31"/>
    </row>
    <row r="46164" spans="43:43" x14ac:dyDescent="0.2">
      <c r="AQ46164" s="31"/>
    </row>
    <row r="46165" spans="43:43" x14ac:dyDescent="0.2">
      <c r="AQ46165" s="31"/>
    </row>
    <row r="46166" spans="43:43" x14ac:dyDescent="0.2">
      <c r="AQ46166" s="31"/>
    </row>
    <row r="46167" spans="43:43" x14ac:dyDescent="0.2">
      <c r="AQ46167" s="31"/>
    </row>
    <row r="46168" spans="43:43" x14ac:dyDescent="0.2">
      <c r="AQ46168" s="31"/>
    </row>
    <row r="46169" spans="43:43" x14ac:dyDescent="0.2">
      <c r="AQ46169" s="31"/>
    </row>
    <row r="46170" spans="43:43" x14ac:dyDescent="0.2">
      <c r="AQ46170" s="31"/>
    </row>
    <row r="46171" spans="43:43" x14ac:dyDescent="0.2">
      <c r="AQ46171" s="31"/>
    </row>
    <row r="46172" spans="43:43" x14ac:dyDescent="0.2">
      <c r="AQ46172" s="31"/>
    </row>
    <row r="46173" spans="43:43" x14ac:dyDescent="0.2">
      <c r="AQ46173" s="31"/>
    </row>
    <row r="46174" spans="43:43" x14ac:dyDescent="0.2">
      <c r="AQ46174" s="31"/>
    </row>
    <row r="46175" spans="43:43" x14ac:dyDescent="0.2">
      <c r="AQ46175" s="31"/>
    </row>
    <row r="46176" spans="43:43" x14ac:dyDescent="0.2">
      <c r="AQ46176" s="31"/>
    </row>
    <row r="46177" spans="43:43" x14ac:dyDescent="0.2">
      <c r="AQ46177" s="31"/>
    </row>
    <row r="46178" spans="43:43" x14ac:dyDescent="0.2">
      <c r="AQ46178" s="31"/>
    </row>
    <row r="46179" spans="43:43" x14ac:dyDescent="0.2">
      <c r="AQ46179" s="31"/>
    </row>
    <row r="46180" spans="43:43" x14ac:dyDescent="0.2">
      <c r="AQ46180" s="31"/>
    </row>
    <row r="46181" spans="43:43" x14ac:dyDescent="0.2">
      <c r="AQ46181" s="31"/>
    </row>
    <row r="46182" spans="43:43" x14ac:dyDescent="0.2">
      <c r="AQ46182" s="31"/>
    </row>
    <row r="46183" spans="43:43" x14ac:dyDescent="0.2">
      <c r="AQ46183" s="31"/>
    </row>
    <row r="46184" spans="43:43" x14ac:dyDescent="0.2">
      <c r="AQ46184" s="31"/>
    </row>
    <row r="46185" spans="43:43" x14ac:dyDescent="0.2">
      <c r="AQ46185" s="31"/>
    </row>
    <row r="46186" spans="43:43" x14ac:dyDescent="0.2">
      <c r="AQ46186" s="31"/>
    </row>
    <row r="46187" spans="43:43" x14ac:dyDescent="0.2">
      <c r="AQ46187" s="31"/>
    </row>
    <row r="46188" spans="43:43" x14ac:dyDescent="0.2">
      <c r="AQ46188" s="31"/>
    </row>
    <row r="46189" spans="43:43" x14ac:dyDescent="0.2">
      <c r="AQ46189" s="31"/>
    </row>
    <row r="46190" spans="43:43" x14ac:dyDescent="0.2">
      <c r="AQ46190" s="31"/>
    </row>
    <row r="46191" spans="43:43" x14ac:dyDescent="0.2">
      <c r="AQ46191" s="31"/>
    </row>
    <row r="46192" spans="43:43" x14ac:dyDescent="0.2">
      <c r="AQ46192" s="31"/>
    </row>
    <row r="46193" spans="43:43" x14ac:dyDescent="0.2">
      <c r="AQ46193" s="31"/>
    </row>
    <row r="46194" spans="43:43" x14ac:dyDescent="0.2">
      <c r="AQ46194" s="31"/>
    </row>
    <row r="46195" spans="43:43" x14ac:dyDescent="0.2">
      <c r="AQ46195" s="31"/>
    </row>
    <row r="46196" spans="43:43" x14ac:dyDescent="0.2">
      <c r="AQ46196" s="31"/>
    </row>
    <row r="46197" spans="43:43" x14ac:dyDescent="0.2">
      <c r="AQ46197" s="31"/>
    </row>
    <row r="46198" spans="43:43" x14ac:dyDescent="0.2">
      <c r="AQ46198" s="31"/>
    </row>
    <row r="46199" spans="43:43" x14ac:dyDescent="0.2">
      <c r="AQ46199" s="31"/>
    </row>
    <row r="46200" spans="43:43" x14ac:dyDescent="0.2">
      <c r="AQ46200" s="31"/>
    </row>
    <row r="46201" spans="43:43" x14ac:dyDescent="0.2">
      <c r="AQ46201" s="31"/>
    </row>
    <row r="46202" spans="43:43" x14ac:dyDescent="0.2">
      <c r="AQ46202" s="31"/>
    </row>
    <row r="46203" spans="43:43" x14ac:dyDescent="0.2">
      <c r="AQ46203" s="31"/>
    </row>
    <row r="46204" spans="43:43" x14ac:dyDescent="0.2">
      <c r="AQ46204" s="31"/>
    </row>
    <row r="46205" spans="43:43" x14ac:dyDescent="0.2">
      <c r="AQ46205" s="31"/>
    </row>
    <row r="46206" spans="43:43" x14ac:dyDescent="0.2">
      <c r="AQ46206" s="31"/>
    </row>
    <row r="46207" spans="43:43" x14ac:dyDescent="0.2">
      <c r="AQ46207" s="31"/>
    </row>
    <row r="46208" spans="43:43" x14ac:dyDescent="0.2">
      <c r="AQ46208" s="31"/>
    </row>
    <row r="46209" spans="43:43" x14ac:dyDescent="0.2">
      <c r="AQ46209" s="31"/>
    </row>
    <row r="46210" spans="43:43" x14ac:dyDescent="0.2">
      <c r="AQ46210" s="31"/>
    </row>
    <row r="46211" spans="43:43" x14ac:dyDescent="0.2">
      <c r="AQ46211" s="31"/>
    </row>
    <row r="46212" spans="43:43" x14ac:dyDescent="0.2">
      <c r="AQ46212" s="31"/>
    </row>
    <row r="46213" spans="43:43" x14ac:dyDescent="0.2">
      <c r="AQ46213" s="31"/>
    </row>
    <row r="46214" spans="43:43" x14ac:dyDescent="0.2">
      <c r="AQ46214" s="31"/>
    </row>
    <row r="46215" spans="43:43" x14ac:dyDescent="0.2">
      <c r="AQ46215" s="31"/>
    </row>
    <row r="46216" spans="43:43" x14ac:dyDescent="0.2">
      <c r="AQ46216" s="31"/>
    </row>
    <row r="46217" spans="43:43" x14ac:dyDescent="0.2">
      <c r="AQ46217" s="31"/>
    </row>
    <row r="46218" spans="43:43" x14ac:dyDescent="0.2">
      <c r="AQ46218" s="31"/>
    </row>
    <row r="46219" spans="43:43" x14ac:dyDescent="0.2">
      <c r="AQ46219" s="31"/>
    </row>
    <row r="46220" spans="43:43" x14ac:dyDescent="0.2">
      <c r="AQ46220" s="31"/>
    </row>
    <row r="46221" spans="43:43" x14ac:dyDescent="0.2">
      <c r="AQ46221" s="31"/>
    </row>
    <row r="46222" spans="43:43" x14ac:dyDescent="0.2">
      <c r="AQ46222" s="31"/>
    </row>
    <row r="46223" spans="43:43" x14ac:dyDescent="0.2">
      <c r="AQ46223" s="31"/>
    </row>
    <row r="46224" spans="43:43" x14ac:dyDescent="0.2">
      <c r="AQ46224" s="31"/>
    </row>
    <row r="46225" spans="43:43" x14ac:dyDescent="0.2">
      <c r="AQ46225" s="31"/>
    </row>
    <row r="46226" spans="43:43" x14ac:dyDescent="0.2">
      <c r="AQ46226" s="31"/>
    </row>
    <row r="46227" spans="43:43" x14ac:dyDescent="0.2">
      <c r="AQ46227" s="31"/>
    </row>
    <row r="46228" spans="43:43" x14ac:dyDescent="0.2">
      <c r="AQ46228" s="31"/>
    </row>
    <row r="46229" spans="43:43" x14ac:dyDescent="0.2">
      <c r="AQ46229" s="31"/>
    </row>
    <row r="46230" spans="43:43" x14ac:dyDescent="0.2">
      <c r="AQ46230" s="31"/>
    </row>
    <row r="46231" spans="43:43" x14ac:dyDescent="0.2">
      <c r="AQ46231" s="31"/>
    </row>
    <row r="46232" spans="43:43" x14ac:dyDescent="0.2">
      <c r="AQ46232" s="31"/>
    </row>
    <row r="46233" spans="43:43" x14ac:dyDescent="0.2">
      <c r="AQ46233" s="31"/>
    </row>
    <row r="46234" spans="43:43" x14ac:dyDescent="0.2">
      <c r="AQ46234" s="31"/>
    </row>
    <row r="46235" spans="43:43" x14ac:dyDescent="0.2">
      <c r="AQ46235" s="31"/>
    </row>
    <row r="46236" spans="43:43" x14ac:dyDescent="0.2">
      <c r="AQ46236" s="31"/>
    </row>
    <row r="46237" spans="43:43" x14ac:dyDescent="0.2">
      <c r="AQ46237" s="31"/>
    </row>
    <row r="46238" spans="43:43" x14ac:dyDescent="0.2">
      <c r="AQ46238" s="31"/>
    </row>
    <row r="46239" spans="43:43" x14ac:dyDescent="0.2">
      <c r="AQ46239" s="31"/>
    </row>
    <row r="46240" spans="43:43" x14ac:dyDescent="0.2">
      <c r="AQ46240" s="31"/>
    </row>
    <row r="46241" spans="43:43" x14ac:dyDescent="0.2">
      <c r="AQ46241" s="31"/>
    </row>
    <row r="46242" spans="43:43" x14ac:dyDescent="0.2">
      <c r="AQ46242" s="31"/>
    </row>
    <row r="46243" spans="43:43" x14ac:dyDescent="0.2">
      <c r="AQ46243" s="31"/>
    </row>
    <row r="46244" spans="43:43" x14ac:dyDescent="0.2">
      <c r="AQ46244" s="31"/>
    </row>
    <row r="46245" spans="43:43" x14ac:dyDescent="0.2">
      <c r="AQ46245" s="31"/>
    </row>
    <row r="46246" spans="43:43" x14ac:dyDescent="0.2">
      <c r="AQ46246" s="31"/>
    </row>
    <row r="46247" spans="43:43" x14ac:dyDescent="0.2">
      <c r="AQ46247" s="31"/>
    </row>
    <row r="46248" spans="43:43" x14ac:dyDescent="0.2">
      <c r="AQ46248" s="31"/>
    </row>
    <row r="46249" spans="43:43" x14ac:dyDescent="0.2">
      <c r="AQ46249" s="31"/>
    </row>
    <row r="46250" spans="43:43" x14ac:dyDescent="0.2">
      <c r="AQ46250" s="31"/>
    </row>
    <row r="46251" spans="43:43" x14ac:dyDescent="0.2">
      <c r="AQ46251" s="31"/>
    </row>
    <row r="46252" spans="43:43" x14ac:dyDescent="0.2">
      <c r="AQ46252" s="31"/>
    </row>
    <row r="46253" spans="43:43" x14ac:dyDescent="0.2">
      <c r="AQ46253" s="31"/>
    </row>
    <row r="46254" spans="43:43" x14ac:dyDescent="0.2">
      <c r="AQ46254" s="31"/>
    </row>
    <row r="46255" spans="43:43" x14ac:dyDescent="0.2">
      <c r="AQ46255" s="31"/>
    </row>
    <row r="46256" spans="43:43" x14ac:dyDescent="0.2">
      <c r="AQ46256" s="31"/>
    </row>
    <row r="46257" spans="43:43" x14ac:dyDescent="0.2">
      <c r="AQ46257" s="31"/>
    </row>
    <row r="46258" spans="43:43" x14ac:dyDescent="0.2">
      <c r="AQ46258" s="31"/>
    </row>
    <row r="46259" spans="43:43" x14ac:dyDescent="0.2">
      <c r="AQ46259" s="31"/>
    </row>
    <row r="46260" spans="43:43" x14ac:dyDescent="0.2">
      <c r="AQ46260" s="31"/>
    </row>
    <row r="46261" spans="43:43" x14ac:dyDescent="0.2">
      <c r="AQ46261" s="31"/>
    </row>
    <row r="46262" spans="43:43" x14ac:dyDescent="0.2">
      <c r="AQ46262" s="31"/>
    </row>
    <row r="46263" spans="43:43" x14ac:dyDescent="0.2">
      <c r="AQ46263" s="31"/>
    </row>
    <row r="46264" spans="43:43" x14ac:dyDescent="0.2">
      <c r="AQ46264" s="31"/>
    </row>
    <row r="46265" spans="43:43" x14ac:dyDescent="0.2">
      <c r="AQ46265" s="31"/>
    </row>
    <row r="46266" spans="43:43" x14ac:dyDescent="0.2">
      <c r="AQ46266" s="31"/>
    </row>
    <row r="46267" spans="43:43" x14ac:dyDescent="0.2">
      <c r="AQ46267" s="31"/>
    </row>
    <row r="46268" spans="43:43" x14ac:dyDescent="0.2">
      <c r="AQ46268" s="31"/>
    </row>
    <row r="46269" spans="43:43" x14ac:dyDescent="0.2">
      <c r="AQ46269" s="31"/>
    </row>
    <row r="46270" spans="43:43" x14ac:dyDescent="0.2">
      <c r="AQ46270" s="31"/>
    </row>
    <row r="46271" spans="43:43" x14ac:dyDescent="0.2">
      <c r="AQ46271" s="31"/>
    </row>
    <row r="46272" spans="43:43" x14ac:dyDescent="0.2">
      <c r="AQ46272" s="31"/>
    </row>
    <row r="46273" spans="43:43" x14ac:dyDescent="0.2">
      <c r="AQ46273" s="31"/>
    </row>
    <row r="46274" spans="43:43" x14ac:dyDescent="0.2">
      <c r="AQ46274" s="31"/>
    </row>
    <row r="46275" spans="43:43" x14ac:dyDescent="0.2">
      <c r="AQ46275" s="31"/>
    </row>
    <row r="46276" spans="43:43" x14ac:dyDescent="0.2">
      <c r="AQ46276" s="31"/>
    </row>
    <row r="46277" spans="43:43" x14ac:dyDescent="0.2">
      <c r="AQ46277" s="31"/>
    </row>
    <row r="46278" spans="43:43" x14ac:dyDescent="0.2">
      <c r="AQ46278" s="31"/>
    </row>
    <row r="46279" spans="43:43" x14ac:dyDescent="0.2">
      <c r="AQ46279" s="31"/>
    </row>
    <row r="46280" spans="43:43" x14ac:dyDescent="0.2">
      <c r="AQ46280" s="31"/>
    </row>
    <row r="46281" spans="43:43" x14ac:dyDescent="0.2">
      <c r="AQ46281" s="31"/>
    </row>
    <row r="46282" spans="43:43" x14ac:dyDescent="0.2">
      <c r="AQ46282" s="31"/>
    </row>
    <row r="46283" spans="43:43" x14ac:dyDescent="0.2">
      <c r="AQ46283" s="31"/>
    </row>
    <row r="46284" spans="43:43" x14ac:dyDescent="0.2">
      <c r="AQ46284" s="31"/>
    </row>
    <row r="46285" spans="43:43" x14ac:dyDescent="0.2">
      <c r="AQ46285" s="31"/>
    </row>
    <row r="46286" spans="43:43" x14ac:dyDescent="0.2">
      <c r="AQ46286" s="31"/>
    </row>
    <row r="46287" spans="43:43" x14ac:dyDescent="0.2">
      <c r="AQ46287" s="31"/>
    </row>
    <row r="46288" spans="43:43" x14ac:dyDescent="0.2">
      <c r="AQ46288" s="31"/>
    </row>
    <row r="46289" spans="43:43" x14ac:dyDescent="0.2">
      <c r="AQ46289" s="31"/>
    </row>
    <row r="46290" spans="43:43" x14ac:dyDescent="0.2">
      <c r="AQ46290" s="31"/>
    </row>
    <row r="46291" spans="43:43" x14ac:dyDescent="0.2">
      <c r="AQ46291" s="31"/>
    </row>
    <row r="46292" spans="43:43" x14ac:dyDescent="0.2">
      <c r="AQ46292" s="31"/>
    </row>
    <row r="46293" spans="43:43" x14ac:dyDescent="0.2">
      <c r="AQ46293" s="31"/>
    </row>
    <row r="46294" spans="43:43" x14ac:dyDescent="0.2">
      <c r="AQ46294" s="31"/>
    </row>
    <row r="46295" spans="43:43" x14ac:dyDescent="0.2">
      <c r="AQ46295" s="31"/>
    </row>
    <row r="46296" spans="43:43" x14ac:dyDescent="0.2">
      <c r="AQ46296" s="31"/>
    </row>
    <row r="46297" spans="43:43" x14ac:dyDescent="0.2">
      <c r="AQ46297" s="31"/>
    </row>
    <row r="46298" spans="43:43" x14ac:dyDescent="0.2">
      <c r="AQ46298" s="31"/>
    </row>
    <row r="46299" spans="43:43" x14ac:dyDescent="0.2">
      <c r="AQ46299" s="31"/>
    </row>
    <row r="46300" spans="43:43" x14ac:dyDescent="0.2">
      <c r="AQ46300" s="31"/>
    </row>
    <row r="46301" spans="43:43" x14ac:dyDescent="0.2">
      <c r="AQ46301" s="31"/>
    </row>
    <row r="46302" spans="43:43" x14ac:dyDescent="0.2">
      <c r="AQ46302" s="31"/>
    </row>
    <row r="46303" spans="43:43" x14ac:dyDescent="0.2">
      <c r="AQ46303" s="31"/>
    </row>
    <row r="46304" spans="43:43" x14ac:dyDescent="0.2">
      <c r="AQ46304" s="31"/>
    </row>
    <row r="46305" spans="43:43" x14ac:dyDescent="0.2">
      <c r="AQ46305" s="31"/>
    </row>
    <row r="46306" spans="43:43" x14ac:dyDescent="0.2">
      <c r="AQ46306" s="31"/>
    </row>
    <row r="46307" spans="43:43" x14ac:dyDescent="0.2">
      <c r="AQ46307" s="31"/>
    </row>
    <row r="46308" spans="43:43" x14ac:dyDescent="0.2">
      <c r="AQ46308" s="31"/>
    </row>
    <row r="46309" spans="43:43" x14ac:dyDescent="0.2">
      <c r="AQ46309" s="31"/>
    </row>
    <row r="46310" spans="43:43" x14ac:dyDescent="0.2">
      <c r="AQ46310" s="31"/>
    </row>
    <row r="46311" spans="43:43" x14ac:dyDescent="0.2">
      <c r="AQ46311" s="31"/>
    </row>
    <row r="46312" spans="43:43" x14ac:dyDescent="0.2">
      <c r="AQ46312" s="31"/>
    </row>
    <row r="46313" spans="43:43" x14ac:dyDescent="0.2">
      <c r="AQ46313" s="31"/>
    </row>
    <row r="46314" spans="43:43" x14ac:dyDescent="0.2">
      <c r="AQ46314" s="31"/>
    </row>
    <row r="46315" spans="43:43" x14ac:dyDescent="0.2">
      <c r="AQ46315" s="31"/>
    </row>
    <row r="46316" spans="43:43" x14ac:dyDescent="0.2">
      <c r="AQ46316" s="31"/>
    </row>
    <row r="46317" spans="43:43" x14ac:dyDescent="0.2">
      <c r="AQ46317" s="31"/>
    </row>
    <row r="46318" spans="43:43" x14ac:dyDescent="0.2">
      <c r="AQ46318" s="31"/>
    </row>
    <row r="46319" spans="43:43" x14ac:dyDescent="0.2">
      <c r="AQ46319" s="31"/>
    </row>
    <row r="46320" spans="43:43" x14ac:dyDescent="0.2">
      <c r="AQ46320" s="31"/>
    </row>
    <row r="46321" spans="43:43" x14ac:dyDescent="0.2">
      <c r="AQ46321" s="31"/>
    </row>
    <row r="46322" spans="43:43" x14ac:dyDescent="0.2">
      <c r="AQ46322" s="31"/>
    </row>
    <row r="46323" spans="43:43" x14ac:dyDescent="0.2">
      <c r="AQ46323" s="31"/>
    </row>
    <row r="46324" spans="43:43" x14ac:dyDescent="0.2">
      <c r="AQ46324" s="31"/>
    </row>
    <row r="46325" spans="43:43" x14ac:dyDescent="0.2">
      <c r="AQ46325" s="31"/>
    </row>
    <row r="46326" spans="43:43" x14ac:dyDescent="0.2">
      <c r="AQ46326" s="31"/>
    </row>
    <row r="46327" spans="43:43" x14ac:dyDescent="0.2">
      <c r="AQ46327" s="31"/>
    </row>
    <row r="46328" spans="43:43" x14ac:dyDescent="0.2">
      <c r="AQ46328" s="31"/>
    </row>
    <row r="46329" spans="43:43" x14ac:dyDescent="0.2">
      <c r="AQ46329" s="31"/>
    </row>
    <row r="46330" spans="43:43" x14ac:dyDescent="0.2">
      <c r="AQ46330" s="31"/>
    </row>
    <row r="46331" spans="43:43" x14ac:dyDescent="0.2">
      <c r="AQ46331" s="31"/>
    </row>
    <row r="46332" spans="43:43" x14ac:dyDescent="0.2">
      <c r="AQ46332" s="31"/>
    </row>
    <row r="46333" spans="43:43" x14ac:dyDescent="0.2">
      <c r="AQ46333" s="31"/>
    </row>
    <row r="46334" spans="43:43" x14ac:dyDescent="0.2">
      <c r="AQ46334" s="31"/>
    </row>
    <row r="46335" spans="43:43" x14ac:dyDescent="0.2">
      <c r="AQ46335" s="31"/>
    </row>
    <row r="46336" spans="43:43" x14ac:dyDescent="0.2">
      <c r="AQ46336" s="31"/>
    </row>
    <row r="46337" spans="43:43" x14ac:dyDescent="0.2">
      <c r="AQ46337" s="31"/>
    </row>
    <row r="46338" spans="43:43" x14ac:dyDescent="0.2">
      <c r="AQ46338" s="31"/>
    </row>
    <row r="46339" spans="43:43" x14ac:dyDescent="0.2">
      <c r="AQ46339" s="31"/>
    </row>
    <row r="46340" spans="43:43" x14ac:dyDescent="0.2">
      <c r="AQ46340" s="31"/>
    </row>
    <row r="46341" spans="43:43" x14ac:dyDescent="0.2">
      <c r="AQ46341" s="31"/>
    </row>
    <row r="46342" spans="43:43" x14ac:dyDescent="0.2">
      <c r="AQ46342" s="31"/>
    </row>
    <row r="46343" spans="43:43" x14ac:dyDescent="0.2">
      <c r="AQ46343" s="31"/>
    </row>
    <row r="46344" spans="43:43" x14ac:dyDescent="0.2">
      <c r="AQ46344" s="31"/>
    </row>
    <row r="46345" spans="43:43" x14ac:dyDescent="0.2">
      <c r="AQ46345" s="31"/>
    </row>
    <row r="46346" spans="43:43" x14ac:dyDescent="0.2">
      <c r="AQ46346" s="31"/>
    </row>
    <row r="46347" spans="43:43" x14ac:dyDescent="0.2">
      <c r="AQ46347" s="31"/>
    </row>
    <row r="46348" spans="43:43" x14ac:dyDescent="0.2">
      <c r="AQ46348" s="31"/>
    </row>
    <row r="46349" spans="43:43" x14ac:dyDescent="0.2">
      <c r="AQ46349" s="31"/>
    </row>
    <row r="46350" spans="43:43" x14ac:dyDescent="0.2">
      <c r="AQ46350" s="31"/>
    </row>
    <row r="46351" spans="43:43" x14ac:dyDescent="0.2">
      <c r="AQ46351" s="31"/>
    </row>
    <row r="46352" spans="43:43" x14ac:dyDescent="0.2">
      <c r="AQ46352" s="31"/>
    </row>
    <row r="46353" spans="43:43" x14ac:dyDescent="0.2">
      <c r="AQ46353" s="31"/>
    </row>
    <row r="46354" spans="43:43" x14ac:dyDescent="0.2">
      <c r="AQ46354" s="31"/>
    </row>
    <row r="46355" spans="43:43" x14ac:dyDescent="0.2">
      <c r="AQ46355" s="31"/>
    </row>
    <row r="46356" spans="43:43" x14ac:dyDescent="0.2">
      <c r="AQ46356" s="31"/>
    </row>
    <row r="46357" spans="43:43" x14ac:dyDescent="0.2">
      <c r="AQ46357" s="31"/>
    </row>
    <row r="46358" spans="43:43" x14ac:dyDescent="0.2">
      <c r="AQ46358" s="31"/>
    </row>
    <row r="46359" spans="43:43" x14ac:dyDescent="0.2">
      <c r="AQ46359" s="31"/>
    </row>
    <row r="46360" spans="43:43" x14ac:dyDescent="0.2">
      <c r="AQ46360" s="31"/>
    </row>
    <row r="46361" spans="43:43" x14ac:dyDescent="0.2">
      <c r="AQ46361" s="31"/>
    </row>
    <row r="46362" spans="43:43" x14ac:dyDescent="0.2">
      <c r="AQ46362" s="31"/>
    </row>
    <row r="46363" spans="43:43" x14ac:dyDescent="0.2">
      <c r="AQ46363" s="31"/>
    </row>
    <row r="46364" spans="43:43" x14ac:dyDescent="0.2">
      <c r="AQ46364" s="31"/>
    </row>
    <row r="46365" spans="43:43" x14ac:dyDescent="0.2">
      <c r="AQ46365" s="31"/>
    </row>
    <row r="46366" spans="43:43" x14ac:dyDescent="0.2">
      <c r="AQ46366" s="31"/>
    </row>
    <row r="46367" spans="43:43" x14ac:dyDescent="0.2">
      <c r="AQ46367" s="31"/>
    </row>
    <row r="46368" spans="43:43" x14ac:dyDescent="0.2">
      <c r="AQ46368" s="31"/>
    </row>
    <row r="46369" spans="43:43" x14ac:dyDescent="0.2">
      <c r="AQ46369" s="31"/>
    </row>
    <row r="46370" spans="43:43" x14ac:dyDescent="0.2">
      <c r="AQ46370" s="31"/>
    </row>
    <row r="46371" spans="43:43" x14ac:dyDescent="0.2">
      <c r="AQ46371" s="31"/>
    </row>
    <row r="46372" spans="43:43" x14ac:dyDescent="0.2">
      <c r="AQ46372" s="31"/>
    </row>
    <row r="46373" spans="43:43" x14ac:dyDescent="0.2">
      <c r="AQ46373" s="31"/>
    </row>
    <row r="46374" spans="43:43" x14ac:dyDescent="0.2">
      <c r="AQ46374" s="31"/>
    </row>
    <row r="46375" spans="43:43" x14ac:dyDescent="0.2">
      <c r="AQ46375" s="31"/>
    </row>
    <row r="46376" spans="43:43" x14ac:dyDescent="0.2">
      <c r="AQ46376" s="31"/>
    </row>
    <row r="46377" spans="43:43" x14ac:dyDescent="0.2">
      <c r="AQ46377" s="31"/>
    </row>
    <row r="46378" spans="43:43" x14ac:dyDescent="0.2">
      <c r="AQ46378" s="31"/>
    </row>
    <row r="46379" spans="43:43" x14ac:dyDescent="0.2">
      <c r="AQ46379" s="31"/>
    </row>
    <row r="46380" spans="43:43" x14ac:dyDescent="0.2">
      <c r="AQ46380" s="31"/>
    </row>
    <row r="46381" spans="43:43" x14ac:dyDescent="0.2">
      <c r="AQ46381" s="31"/>
    </row>
    <row r="46382" spans="43:43" x14ac:dyDescent="0.2">
      <c r="AQ46382" s="31"/>
    </row>
    <row r="46383" spans="43:43" x14ac:dyDescent="0.2">
      <c r="AQ46383" s="31"/>
    </row>
    <row r="46384" spans="43:43" x14ac:dyDescent="0.2">
      <c r="AQ46384" s="31"/>
    </row>
    <row r="46385" spans="43:43" x14ac:dyDescent="0.2">
      <c r="AQ46385" s="31"/>
    </row>
    <row r="46386" spans="43:43" x14ac:dyDescent="0.2">
      <c r="AQ46386" s="31"/>
    </row>
    <row r="46387" spans="43:43" x14ac:dyDescent="0.2">
      <c r="AQ46387" s="31"/>
    </row>
    <row r="46388" spans="43:43" x14ac:dyDescent="0.2">
      <c r="AQ46388" s="31"/>
    </row>
    <row r="46389" spans="43:43" x14ac:dyDescent="0.2">
      <c r="AQ46389" s="31"/>
    </row>
    <row r="46390" spans="43:43" x14ac:dyDescent="0.2">
      <c r="AQ46390" s="31"/>
    </row>
    <row r="46391" spans="43:43" x14ac:dyDescent="0.2">
      <c r="AQ46391" s="31"/>
    </row>
    <row r="46392" spans="43:43" x14ac:dyDescent="0.2">
      <c r="AQ46392" s="31"/>
    </row>
    <row r="46393" spans="43:43" x14ac:dyDescent="0.2">
      <c r="AQ46393" s="31"/>
    </row>
    <row r="46394" spans="43:43" x14ac:dyDescent="0.2">
      <c r="AQ46394" s="31"/>
    </row>
    <row r="46395" spans="43:43" x14ac:dyDescent="0.2">
      <c r="AQ46395" s="31"/>
    </row>
    <row r="46396" spans="43:43" x14ac:dyDescent="0.2">
      <c r="AQ46396" s="31"/>
    </row>
    <row r="46397" spans="43:43" x14ac:dyDescent="0.2">
      <c r="AQ46397" s="31"/>
    </row>
    <row r="46398" spans="43:43" x14ac:dyDescent="0.2">
      <c r="AQ46398" s="31"/>
    </row>
    <row r="46399" spans="43:43" x14ac:dyDescent="0.2">
      <c r="AQ46399" s="31"/>
    </row>
    <row r="46400" spans="43:43" x14ac:dyDescent="0.2">
      <c r="AQ46400" s="31"/>
    </row>
    <row r="46401" spans="43:43" x14ac:dyDescent="0.2">
      <c r="AQ46401" s="31"/>
    </row>
    <row r="46402" spans="43:43" x14ac:dyDescent="0.2">
      <c r="AQ46402" s="31"/>
    </row>
    <row r="46403" spans="43:43" x14ac:dyDescent="0.2">
      <c r="AQ46403" s="31"/>
    </row>
    <row r="46404" spans="43:43" x14ac:dyDescent="0.2">
      <c r="AQ46404" s="31"/>
    </row>
    <row r="46405" spans="43:43" x14ac:dyDescent="0.2">
      <c r="AQ46405" s="31"/>
    </row>
    <row r="46406" spans="43:43" x14ac:dyDescent="0.2">
      <c r="AQ46406" s="31"/>
    </row>
    <row r="46407" spans="43:43" x14ac:dyDescent="0.2">
      <c r="AQ46407" s="31"/>
    </row>
    <row r="46408" spans="43:43" x14ac:dyDescent="0.2">
      <c r="AQ46408" s="31"/>
    </row>
    <row r="46409" spans="43:43" x14ac:dyDescent="0.2">
      <c r="AQ46409" s="31"/>
    </row>
    <row r="46410" spans="43:43" x14ac:dyDescent="0.2">
      <c r="AQ46410" s="31"/>
    </row>
    <row r="46411" spans="43:43" x14ac:dyDescent="0.2">
      <c r="AQ46411" s="31"/>
    </row>
    <row r="46412" spans="43:43" x14ac:dyDescent="0.2">
      <c r="AQ46412" s="31"/>
    </row>
    <row r="46413" spans="43:43" x14ac:dyDescent="0.2">
      <c r="AQ46413" s="31"/>
    </row>
    <row r="46414" spans="43:43" x14ac:dyDescent="0.2">
      <c r="AQ46414" s="31"/>
    </row>
    <row r="46415" spans="43:43" x14ac:dyDescent="0.2">
      <c r="AQ46415" s="31"/>
    </row>
    <row r="46416" spans="43:43" x14ac:dyDescent="0.2">
      <c r="AQ46416" s="31"/>
    </row>
    <row r="46417" spans="43:43" x14ac:dyDescent="0.2">
      <c r="AQ46417" s="31"/>
    </row>
    <row r="46418" spans="43:43" x14ac:dyDescent="0.2">
      <c r="AQ46418" s="31"/>
    </row>
    <row r="46419" spans="43:43" x14ac:dyDescent="0.2">
      <c r="AQ46419" s="31"/>
    </row>
    <row r="46420" spans="43:43" x14ac:dyDescent="0.2">
      <c r="AQ46420" s="31"/>
    </row>
    <row r="46421" spans="43:43" x14ac:dyDescent="0.2">
      <c r="AQ46421" s="31"/>
    </row>
    <row r="46422" spans="43:43" x14ac:dyDescent="0.2">
      <c r="AQ46422" s="31"/>
    </row>
    <row r="46423" spans="43:43" x14ac:dyDescent="0.2">
      <c r="AQ46423" s="31"/>
    </row>
    <row r="46424" spans="43:43" x14ac:dyDescent="0.2">
      <c r="AQ46424" s="31"/>
    </row>
    <row r="46425" spans="43:43" x14ac:dyDescent="0.2">
      <c r="AQ46425" s="31"/>
    </row>
    <row r="46426" spans="43:43" x14ac:dyDescent="0.2">
      <c r="AQ46426" s="31"/>
    </row>
    <row r="46427" spans="43:43" x14ac:dyDescent="0.2">
      <c r="AQ46427" s="31"/>
    </row>
    <row r="46428" spans="43:43" x14ac:dyDescent="0.2">
      <c r="AQ46428" s="31"/>
    </row>
    <row r="46429" spans="43:43" x14ac:dyDescent="0.2">
      <c r="AQ46429" s="31"/>
    </row>
    <row r="46430" spans="43:43" x14ac:dyDescent="0.2">
      <c r="AQ46430" s="31"/>
    </row>
    <row r="46431" spans="43:43" x14ac:dyDescent="0.2">
      <c r="AQ46431" s="31"/>
    </row>
    <row r="46432" spans="43:43" x14ac:dyDescent="0.2">
      <c r="AQ46432" s="31"/>
    </row>
    <row r="46433" spans="43:43" x14ac:dyDescent="0.2">
      <c r="AQ46433" s="31"/>
    </row>
    <row r="46434" spans="43:43" x14ac:dyDescent="0.2">
      <c r="AQ46434" s="31"/>
    </row>
    <row r="46435" spans="43:43" x14ac:dyDescent="0.2">
      <c r="AQ46435" s="31"/>
    </row>
    <row r="46436" spans="43:43" x14ac:dyDescent="0.2">
      <c r="AQ46436" s="31"/>
    </row>
    <row r="46437" spans="43:43" x14ac:dyDescent="0.2">
      <c r="AQ46437" s="31"/>
    </row>
    <row r="46438" spans="43:43" x14ac:dyDescent="0.2">
      <c r="AQ46438" s="31"/>
    </row>
    <row r="46439" spans="43:43" x14ac:dyDescent="0.2">
      <c r="AQ46439" s="31"/>
    </row>
    <row r="46440" spans="43:43" x14ac:dyDescent="0.2">
      <c r="AQ46440" s="31"/>
    </row>
    <row r="46441" spans="43:43" x14ac:dyDescent="0.2">
      <c r="AQ46441" s="31"/>
    </row>
    <row r="46442" spans="43:43" x14ac:dyDescent="0.2">
      <c r="AQ46442" s="31"/>
    </row>
    <row r="46443" spans="43:43" x14ac:dyDescent="0.2">
      <c r="AQ46443" s="31"/>
    </row>
    <row r="46444" spans="43:43" x14ac:dyDescent="0.2">
      <c r="AQ46444" s="31"/>
    </row>
    <row r="46445" spans="43:43" x14ac:dyDescent="0.2">
      <c r="AQ46445" s="31"/>
    </row>
    <row r="46446" spans="43:43" x14ac:dyDescent="0.2">
      <c r="AQ46446" s="31"/>
    </row>
    <row r="46447" spans="43:43" x14ac:dyDescent="0.2">
      <c r="AQ46447" s="31"/>
    </row>
    <row r="46448" spans="43:43" x14ac:dyDescent="0.2">
      <c r="AQ46448" s="31"/>
    </row>
    <row r="46449" spans="43:43" x14ac:dyDescent="0.2">
      <c r="AQ46449" s="31"/>
    </row>
    <row r="46450" spans="43:43" x14ac:dyDescent="0.2">
      <c r="AQ46450" s="31"/>
    </row>
    <row r="46451" spans="43:43" x14ac:dyDescent="0.2">
      <c r="AQ46451" s="31"/>
    </row>
    <row r="46452" spans="43:43" x14ac:dyDescent="0.2">
      <c r="AQ46452" s="31"/>
    </row>
    <row r="46453" spans="43:43" x14ac:dyDescent="0.2">
      <c r="AQ46453" s="31"/>
    </row>
    <row r="46454" spans="43:43" x14ac:dyDescent="0.2">
      <c r="AQ46454" s="31"/>
    </row>
    <row r="46455" spans="43:43" x14ac:dyDescent="0.2">
      <c r="AQ46455" s="31"/>
    </row>
    <row r="46456" spans="43:43" x14ac:dyDescent="0.2">
      <c r="AQ46456" s="31"/>
    </row>
    <row r="46457" spans="43:43" x14ac:dyDescent="0.2">
      <c r="AQ46457" s="31"/>
    </row>
    <row r="46458" spans="43:43" x14ac:dyDescent="0.2">
      <c r="AQ46458" s="31"/>
    </row>
    <row r="46459" spans="43:43" x14ac:dyDescent="0.2">
      <c r="AQ46459" s="31"/>
    </row>
    <row r="46460" spans="43:43" x14ac:dyDescent="0.2">
      <c r="AQ46460" s="31"/>
    </row>
    <row r="46461" spans="43:43" x14ac:dyDescent="0.2">
      <c r="AQ46461" s="31"/>
    </row>
    <row r="46462" spans="43:43" x14ac:dyDescent="0.2">
      <c r="AQ46462" s="31"/>
    </row>
    <row r="46463" spans="43:43" x14ac:dyDescent="0.2">
      <c r="AQ46463" s="31"/>
    </row>
    <row r="46464" spans="43:43" x14ac:dyDescent="0.2">
      <c r="AQ46464" s="31"/>
    </row>
    <row r="46465" spans="43:43" x14ac:dyDescent="0.2">
      <c r="AQ46465" s="31"/>
    </row>
    <row r="46466" spans="43:43" x14ac:dyDescent="0.2">
      <c r="AQ46466" s="31"/>
    </row>
    <row r="46467" spans="43:43" x14ac:dyDescent="0.2">
      <c r="AQ46467" s="31"/>
    </row>
    <row r="46468" spans="43:43" x14ac:dyDescent="0.2">
      <c r="AQ46468" s="31"/>
    </row>
    <row r="46469" spans="43:43" x14ac:dyDescent="0.2">
      <c r="AQ46469" s="31"/>
    </row>
    <row r="46470" spans="43:43" x14ac:dyDescent="0.2">
      <c r="AQ46470" s="31"/>
    </row>
    <row r="46471" spans="43:43" x14ac:dyDescent="0.2">
      <c r="AQ46471" s="31"/>
    </row>
    <row r="46472" spans="43:43" x14ac:dyDescent="0.2">
      <c r="AQ46472" s="31"/>
    </row>
    <row r="46473" spans="43:43" x14ac:dyDescent="0.2">
      <c r="AQ46473" s="31"/>
    </row>
    <row r="46474" spans="43:43" x14ac:dyDescent="0.2">
      <c r="AQ46474" s="31"/>
    </row>
    <row r="46475" spans="43:43" x14ac:dyDescent="0.2">
      <c r="AQ46475" s="31"/>
    </row>
    <row r="46476" spans="43:43" x14ac:dyDescent="0.2">
      <c r="AQ46476" s="31"/>
    </row>
    <row r="46477" spans="43:43" x14ac:dyDescent="0.2">
      <c r="AQ46477" s="31"/>
    </row>
    <row r="46478" spans="43:43" x14ac:dyDescent="0.2">
      <c r="AQ46478" s="31"/>
    </row>
    <row r="46479" spans="43:43" x14ac:dyDescent="0.2">
      <c r="AQ46479" s="31"/>
    </row>
    <row r="46480" spans="43:43" x14ac:dyDescent="0.2">
      <c r="AQ46480" s="31"/>
    </row>
    <row r="46481" spans="43:43" x14ac:dyDescent="0.2">
      <c r="AQ46481" s="31"/>
    </row>
    <row r="46482" spans="43:43" x14ac:dyDescent="0.2">
      <c r="AQ46482" s="31"/>
    </row>
    <row r="46483" spans="43:43" x14ac:dyDescent="0.2">
      <c r="AQ46483" s="31"/>
    </row>
    <row r="46484" spans="43:43" x14ac:dyDescent="0.2">
      <c r="AQ46484" s="31"/>
    </row>
    <row r="46485" spans="43:43" x14ac:dyDescent="0.2">
      <c r="AQ46485" s="31"/>
    </row>
    <row r="46486" spans="43:43" x14ac:dyDescent="0.2">
      <c r="AQ46486" s="31"/>
    </row>
    <row r="46487" spans="43:43" x14ac:dyDescent="0.2">
      <c r="AQ46487" s="31"/>
    </row>
    <row r="46488" spans="43:43" x14ac:dyDescent="0.2">
      <c r="AQ46488" s="31"/>
    </row>
    <row r="46489" spans="43:43" x14ac:dyDescent="0.2">
      <c r="AQ46489" s="31"/>
    </row>
    <row r="46490" spans="43:43" x14ac:dyDescent="0.2">
      <c r="AQ46490" s="31"/>
    </row>
    <row r="46491" spans="43:43" x14ac:dyDescent="0.2">
      <c r="AQ46491" s="31"/>
    </row>
    <row r="46492" spans="43:43" x14ac:dyDescent="0.2">
      <c r="AQ46492" s="31"/>
    </row>
    <row r="46493" spans="43:43" x14ac:dyDescent="0.2">
      <c r="AQ46493" s="31"/>
    </row>
    <row r="46494" spans="43:43" x14ac:dyDescent="0.2">
      <c r="AQ46494" s="31"/>
    </row>
    <row r="46495" spans="43:43" x14ac:dyDescent="0.2">
      <c r="AQ46495" s="31"/>
    </row>
    <row r="46496" spans="43:43" x14ac:dyDescent="0.2">
      <c r="AQ46496" s="31"/>
    </row>
    <row r="46497" spans="43:43" x14ac:dyDescent="0.2">
      <c r="AQ46497" s="31"/>
    </row>
    <row r="46498" spans="43:43" x14ac:dyDescent="0.2">
      <c r="AQ46498" s="31"/>
    </row>
    <row r="46499" spans="43:43" x14ac:dyDescent="0.2">
      <c r="AQ46499" s="31"/>
    </row>
    <row r="46500" spans="43:43" x14ac:dyDescent="0.2">
      <c r="AQ46500" s="31"/>
    </row>
    <row r="46501" spans="43:43" x14ac:dyDescent="0.2">
      <c r="AQ46501" s="31"/>
    </row>
    <row r="46502" spans="43:43" x14ac:dyDescent="0.2">
      <c r="AQ46502" s="31"/>
    </row>
    <row r="46503" spans="43:43" x14ac:dyDescent="0.2">
      <c r="AQ46503" s="31"/>
    </row>
    <row r="46504" spans="43:43" x14ac:dyDescent="0.2">
      <c r="AQ46504" s="31"/>
    </row>
    <row r="46505" spans="43:43" x14ac:dyDescent="0.2">
      <c r="AQ46505" s="31"/>
    </row>
    <row r="46506" spans="43:43" x14ac:dyDescent="0.2">
      <c r="AQ46506" s="31"/>
    </row>
    <row r="46507" spans="43:43" x14ac:dyDescent="0.2">
      <c r="AQ46507" s="31"/>
    </row>
    <row r="46508" spans="43:43" x14ac:dyDescent="0.2">
      <c r="AQ46508" s="31"/>
    </row>
    <row r="46509" spans="43:43" x14ac:dyDescent="0.2">
      <c r="AQ46509" s="31"/>
    </row>
    <row r="46510" spans="43:43" x14ac:dyDescent="0.2">
      <c r="AQ46510" s="31"/>
    </row>
    <row r="46511" spans="43:43" x14ac:dyDescent="0.2">
      <c r="AQ46511" s="31"/>
    </row>
    <row r="46512" spans="43:43" x14ac:dyDescent="0.2">
      <c r="AQ46512" s="31"/>
    </row>
    <row r="46513" spans="43:43" x14ac:dyDescent="0.2">
      <c r="AQ46513" s="31"/>
    </row>
    <row r="46514" spans="43:43" x14ac:dyDescent="0.2">
      <c r="AQ46514" s="31"/>
    </row>
    <row r="46515" spans="43:43" x14ac:dyDescent="0.2">
      <c r="AQ46515" s="31"/>
    </row>
    <row r="46516" spans="43:43" x14ac:dyDescent="0.2">
      <c r="AQ46516" s="31"/>
    </row>
    <row r="46517" spans="43:43" x14ac:dyDescent="0.2">
      <c r="AQ46517" s="31"/>
    </row>
    <row r="46518" spans="43:43" x14ac:dyDescent="0.2">
      <c r="AQ46518" s="31"/>
    </row>
    <row r="46519" spans="43:43" x14ac:dyDescent="0.2">
      <c r="AQ46519" s="31"/>
    </row>
    <row r="46520" spans="43:43" x14ac:dyDescent="0.2">
      <c r="AQ46520" s="31"/>
    </row>
    <row r="46521" spans="43:43" x14ac:dyDescent="0.2">
      <c r="AQ46521" s="31"/>
    </row>
    <row r="46522" spans="43:43" x14ac:dyDescent="0.2">
      <c r="AQ46522" s="31"/>
    </row>
    <row r="46523" spans="43:43" x14ac:dyDescent="0.2">
      <c r="AQ46523" s="31"/>
    </row>
    <row r="46524" spans="43:43" x14ac:dyDescent="0.2">
      <c r="AQ46524" s="31"/>
    </row>
    <row r="46525" spans="43:43" x14ac:dyDescent="0.2">
      <c r="AQ46525" s="31"/>
    </row>
    <row r="46526" spans="43:43" x14ac:dyDescent="0.2">
      <c r="AQ46526" s="31"/>
    </row>
    <row r="46527" spans="43:43" x14ac:dyDescent="0.2">
      <c r="AQ46527" s="31"/>
    </row>
    <row r="46528" spans="43:43" x14ac:dyDescent="0.2">
      <c r="AQ46528" s="31"/>
    </row>
    <row r="46529" spans="43:43" x14ac:dyDescent="0.2">
      <c r="AQ46529" s="31"/>
    </row>
    <row r="46530" spans="43:43" x14ac:dyDescent="0.2">
      <c r="AQ46530" s="31"/>
    </row>
    <row r="46531" spans="43:43" x14ac:dyDescent="0.2">
      <c r="AQ46531" s="31"/>
    </row>
    <row r="46532" spans="43:43" x14ac:dyDescent="0.2">
      <c r="AQ46532" s="31"/>
    </row>
    <row r="46533" spans="43:43" x14ac:dyDescent="0.2">
      <c r="AQ46533" s="31"/>
    </row>
    <row r="46534" spans="43:43" x14ac:dyDescent="0.2">
      <c r="AQ46534" s="31"/>
    </row>
    <row r="46535" spans="43:43" x14ac:dyDescent="0.2">
      <c r="AQ46535" s="31"/>
    </row>
    <row r="46536" spans="43:43" x14ac:dyDescent="0.2">
      <c r="AQ46536" s="31"/>
    </row>
    <row r="46537" spans="43:43" x14ac:dyDescent="0.2">
      <c r="AQ46537" s="31"/>
    </row>
    <row r="46538" spans="43:43" x14ac:dyDescent="0.2">
      <c r="AQ46538" s="31"/>
    </row>
    <row r="46539" spans="43:43" x14ac:dyDescent="0.2">
      <c r="AQ46539" s="31"/>
    </row>
    <row r="46540" spans="43:43" x14ac:dyDescent="0.2">
      <c r="AQ46540" s="31"/>
    </row>
    <row r="46541" spans="43:43" x14ac:dyDescent="0.2">
      <c r="AQ46541" s="31"/>
    </row>
    <row r="46542" spans="43:43" x14ac:dyDescent="0.2">
      <c r="AQ46542" s="31"/>
    </row>
    <row r="46543" spans="43:43" x14ac:dyDescent="0.2">
      <c r="AQ46543" s="31"/>
    </row>
    <row r="46544" spans="43:43" x14ac:dyDescent="0.2">
      <c r="AQ46544" s="31"/>
    </row>
    <row r="46545" spans="43:43" x14ac:dyDescent="0.2">
      <c r="AQ46545" s="31"/>
    </row>
    <row r="46546" spans="43:43" x14ac:dyDescent="0.2">
      <c r="AQ46546" s="31"/>
    </row>
    <row r="46547" spans="43:43" x14ac:dyDescent="0.2">
      <c r="AQ46547" s="31"/>
    </row>
    <row r="46548" spans="43:43" x14ac:dyDescent="0.2">
      <c r="AQ46548" s="31"/>
    </row>
    <row r="46549" spans="43:43" x14ac:dyDescent="0.2">
      <c r="AQ46549" s="31"/>
    </row>
    <row r="46550" spans="43:43" x14ac:dyDescent="0.2">
      <c r="AQ46550" s="31"/>
    </row>
    <row r="46551" spans="43:43" x14ac:dyDescent="0.2">
      <c r="AQ46551" s="31"/>
    </row>
    <row r="46552" spans="43:43" x14ac:dyDescent="0.2">
      <c r="AQ46552" s="31"/>
    </row>
    <row r="46553" spans="43:43" x14ac:dyDescent="0.2">
      <c r="AQ46553" s="31"/>
    </row>
    <row r="46554" spans="43:43" x14ac:dyDescent="0.2">
      <c r="AQ46554" s="31"/>
    </row>
    <row r="46555" spans="43:43" x14ac:dyDescent="0.2">
      <c r="AQ46555" s="31"/>
    </row>
    <row r="46556" spans="43:43" x14ac:dyDescent="0.2">
      <c r="AQ46556" s="31"/>
    </row>
    <row r="46557" spans="43:43" x14ac:dyDescent="0.2">
      <c r="AQ46557" s="31"/>
    </row>
    <row r="46558" spans="43:43" x14ac:dyDescent="0.2">
      <c r="AQ46558" s="31"/>
    </row>
    <row r="46559" spans="43:43" x14ac:dyDescent="0.2">
      <c r="AQ46559" s="31"/>
    </row>
    <row r="46560" spans="43:43" x14ac:dyDescent="0.2">
      <c r="AQ46560" s="31"/>
    </row>
    <row r="46561" spans="43:43" x14ac:dyDescent="0.2">
      <c r="AQ46561" s="31"/>
    </row>
    <row r="46562" spans="43:43" x14ac:dyDescent="0.2">
      <c r="AQ46562" s="31"/>
    </row>
    <row r="46563" spans="43:43" x14ac:dyDescent="0.2">
      <c r="AQ46563" s="31"/>
    </row>
    <row r="46564" spans="43:43" x14ac:dyDescent="0.2">
      <c r="AQ46564" s="31"/>
    </row>
    <row r="46565" spans="43:43" x14ac:dyDescent="0.2">
      <c r="AQ46565" s="31"/>
    </row>
    <row r="46566" spans="43:43" x14ac:dyDescent="0.2">
      <c r="AQ46566" s="31"/>
    </row>
    <row r="46567" spans="43:43" x14ac:dyDescent="0.2">
      <c r="AQ46567" s="31"/>
    </row>
    <row r="46568" spans="43:43" x14ac:dyDescent="0.2">
      <c r="AQ46568" s="31"/>
    </row>
    <row r="46569" spans="43:43" x14ac:dyDescent="0.2">
      <c r="AQ46569" s="31"/>
    </row>
    <row r="46570" spans="43:43" x14ac:dyDescent="0.2">
      <c r="AQ46570" s="31"/>
    </row>
    <row r="46571" spans="43:43" x14ac:dyDescent="0.2">
      <c r="AQ46571" s="31"/>
    </row>
    <row r="46572" spans="43:43" x14ac:dyDescent="0.2">
      <c r="AQ46572" s="31"/>
    </row>
    <row r="46573" spans="43:43" x14ac:dyDescent="0.2">
      <c r="AQ46573" s="31"/>
    </row>
    <row r="46574" spans="43:43" x14ac:dyDescent="0.2">
      <c r="AQ46574" s="31"/>
    </row>
    <row r="46575" spans="43:43" x14ac:dyDescent="0.2">
      <c r="AQ46575" s="31"/>
    </row>
    <row r="46576" spans="43:43" x14ac:dyDescent="0.2">
      <c r="AQ46576" s="31"/>
    </row>
    <row r="46577" spans="43:43" x14ac:dyDescent="0.2">
      <c r="AQ46577" s="31"/>
    </row>
    <row r="46578" spans="43:43" x14ac:dyDescent="0.2">
      <c r="AQ46578" s="31"/>
    </row>
    <row r="46579" spans="43:43" x14ac:dyDescent="0.2">
      <c r="AQ46579" s="31"/>
    </row>
    <row r="46580" spans="43:43" x14ac:dyDescent="0.2">
      <c r="AQ46580" s="31"/>
    </row>
    <row r="46581" spans="43:43" x14ac:dyDescent="0.2">
      <c r="AQ46581" s="31"/>
    </row>
    <row r="46582" spans="43:43" x14ac:dyDescent="0.2">
      <c r="AQ46582" s="31"/>
    </row>
    <row r="46583" spans="43:43" x14ac:dyDescent="0.2">
      <c r="AQ46583" s="31"/>
    </row>
    <row r="46584" spans="43:43" x14ac:dyDescent="0.2">
      <c r="AQ46584" s="31"/>
    </row>
    <row r="46585" spans="43:43" x14ac:dyDescent="0.2">
      <c r="AQ46585" s="31"/>
    </row>
    <row r="46586" spans="43:43" x14ac:dyDescent="0.2">
      <c r="AQ46586" s="31"/>
    </row>
    <row r="46587" spans="43:43" x14ac:dyDescent="0.2">
      <c r="AQ46587" s="31"/>
    </row>
    <row r="46588" spans="43:43" x14ac:dyDescent="0.2">
      <c r="AQ46588" s="31"/>
    </row>
    <row r="46589" spans="43:43" x14ac:dyDescent="0.2">
      <c r="AQ46589" s="31"/>
    </row>
    <row r="46590" spans="43:43" x14ac:dyDescent="0.2">
      <c r="AQ46590" s="31"/>
    </row>
    <row r="46591" spans="43:43" x14ac:dyDescent="0.2">
      <c r="AQ46591" s="31"/>
    </row>
    <row r="46592" spans="43:43" x14ac:dyDescent="0.2">
      <c r="AQ46592" s="31"/>
    </row>
    <row r="46593" spans="43:43" x14ac:dyDescent="0.2">
      <c r="AQ46593" s="31"/>
    </row>
    <row r="46594" spans="43:43" x14ac:dyDescent="0.2">
      <c r="AQ46594" s="31"/>
    </row>
    <row r="46595" spans="43:43" x14ac:dyDescent="0.2">
      <c r="AQ46595" s="31"/>
    </row>
    <row r="46596" spans="43:43" x14ac:dyDescent="0.2">
      <c r="AQ46596" s="31"/>
    </row>
    <row r="46597" spans="43:43" x14ac:dyDescent="0.2">
      <c r="AQ46597" s="31"/>
    </row>
    <row r="46598" spans="43:43" x14ac:dyDescent="0.2">
      <c r="AQ46598" s="31"/>
    </row>
    <row r="46599" spans="43:43" x14ac:dyDescent="0.2">
      <c r="AQ46599" s="31"/>
    </row>
    <row r="46600" spans="43:43" x14ac:dyDescent="0.2">
      <c r="AQ46600" s="31"/>
    </row>
    <row r="46601" spans="43:43" x14ac:dyDescent="0.2">
      <c r="AQ46601" s="31"/>
    </row>
    <row r="46602" spans="43:43" x14ac:dyDescent="0.2">
      <c r="AQ46602" s="31"/>
    </row>
    <row r="46603" spans="43:43" x14ac:dyDescent="0.2">
      <c r="AQ46603" s="31"/>
    </row>
    <row r="46604" spans="43:43" x14ac:dyDescent="0.2">
      <c r="AQ46604" s="31"/>
    </row>
    <row r="46605" spans="43:43" x14ac:dyDescent="0.2">
      <c r="AQ46605" s="31"/>
    </row>
    <row r="46606" spans="43:43" x14ac:dyDescent="0.2">
      <c r="AQ46606" s="31"/>
    </row>
    <row r="46607" spans="43:43" x14ac:dyDescent="0.2">
      <c r="AQ46607" s="31"/>
    </row>
    <row r="46608" spans="43:43" x14ac:dyDescent="0.2">
      <c r="AQ46608" s="31"/>
    </row>
    <row r="46609" spans="43:43" x14ac:dyDescent="0.2">
      <c r="AQ46609" s="31"/>
    </row>
    <row r="46610" spans="43:43" x14ac:dyDescent="0.2">
      <c r="AQ46610" s="31"/>
    </row>
    <row r="46611" spans="43:43" x14ac:dyDescent="0.2">
      <c r="AQ46611" s="31"/>
    </row>
    <row r="46612" spans="43:43" x14ac:dyDescent="0.2">
      <c r="AQ46612" s="31"/>
    </row>
    <row r="46613" spans="43:43" x14ac:dyDescent="0.2">
      <c r="AQ46613" s="31"/>
    </row>
    <row r="46614" spans="43:43" x14ac:dyDescent="0.2">
      <c r="AQ46614" s="31"/>
    </row>
    <row r="46615" spans="43:43" x14ac:dyDescent="0.2">
      <c r="AQ46615" s="31"/>
    </row>
    <row r="46616" spans="43:43" x14ac:dyDescent="0.2">
      <c r="AQ46616" s="31"/>
    </row>
    <row r="46617" spans="43:43" x14ac:dyDescent="0.2">
      <c r="AQ46617" s="31"/>
    </row>
    <row r="46618" spans="43:43" x14ac:dyDescent="0.2">
      <c r="AQ46618" s="31"/>
    </row>
    <row r="46619" spans="43:43" x14ac:dyDescent="0.2">
      <c r="AQ46619" s="31"/>
    </row>
    <row r="46620" spans="43:43" x14ac:dyDescent="0.2">
      <c r="AQ46620" s="31"/>
    </row>
    <row r="46621" spans="43:43" x14ac:dyDescent="0.2">
      <c r="AQ46621" s="31"/>
    </row>
    <row r="46622" spans="43:43" x14ac:dyDescent="0.2">
      <c r="AQ46622" s="31"/>
    </row>
    <row r="46623" spans="43:43" x14ac:dyDescent="0.2">
      <c r="AQ46623" s="31"/>
    </row>
    <row r="46624" spans="43:43" x14ac:dyDescent="0.2">
      <c r="AQ46624" s="31"/>
    </row>
    <row r="46625" spans="43:43" x14ac:dyDescent="0.2">
      <c r="AQ46625" s="31"/>
    </row>
    <row r="46626" spans="43:43" x14ac:dyDescent="0.2">
      <c r="AQ46626" s="31"/>
    </row>
    <row r="46627" spans="43:43" x14ac:dyDescent="0.2">
      <c r="AQ46627" s="31"/>
    </row>
    <row r="46628" spans="43:43" x14ac:dyDescent="0.2">
      <c r="AQ46628" s="31"/>
    </row>
    <row r="46629" spans="43:43" x14ac:dyDescent="0.2">
      <c r="AQ46629" s="31"/>
    </row>
    <row r="46630" spans="43:43" x14ac:dyDescent="0.2">
      <c r="AQ46630" s="31"/>
    </row>
    <row r="46631" spans="43:43" x14ac:dyDescent="0.2">
      <c r="AQ46631" s="31"/>
    </row>
    <row r="46632" spans="43:43" x14ac:dyDescent="0.2">
      <c r="AQ46632" s="31"/>
    </row>
    <row r="46633" spans="43:43" x14ac:dyDescent="0.2">
      <c r="AQ46633" s="31"/>
    </row>
    <row r="46634" spans="43:43" x14ac:dyDescent="0.2">
      <c r="AQ46634" s="31"/>
    </row>
    <row r="46635" spans="43:43" x14ac:dyDescent="0.2">
      <c r="AQ46635" s="31"/>
    </row>
    <row r="46636" spans="43:43" x14ac:dyDescent="0.2">
      <c r="AQ46636" s="31"/>
    </row>
    <row r="46637" spans="43:43" x14ac:dyDescent="0.2">
      <c r="AQ46637" s="31"/>
    </row>
    <row r="46638" spans="43:43" x14ac:dyDescent="0.2">
      <c r="AQ46638" s="31"/>
    </row>
    <row r="46639" spans="43:43" x14ac:dyDescent="0.2">
      <c r="AQ46639" s="31"/>
    </row>
    <row r="46640" spans="43:43" x14ac:dyDescent="0.2">
      <c r="AQ46640" s="31"/>
    </row>
    <row r="46641" spans="43:43" x14ac:dyDescent="0.2">
      <c r="AQ46641" s="31"/>
    </row>
    <row r="46642" spans="43:43" x14ac:dyDescent="0.2">
      <c r="AQ46642" s="31"/>
    </row>
    <row r="46643" spans="43:43" x14ac:dyDescent="0.2">
      <c r="AQ46643" s="31"/>
    </row>
    <row r="46644" spans="43:43" x14ac:dyDescent="0.2">
      <c r="AQ46644" s="31"/>
    </row>
    <row r="46645" spans="43:43" x14ac:dyDescent="0.2">
      <c r="AQ46645" s="31"/>
    </row>
    <row r="46646" spans="43:43" x14ac:dyDescent="0.2">
      <c r="AQ46646" s="31"/>
    </row>
    <row r="46647" spans="43:43" x14ac:dyDescent="0.2">
      <c r="AQ46647" s="31"/>
    </row>
    <row r="46648" spans="43:43" x14ac:dyDescent="0.2">
      <c r="AQ46648" s="31"/>
    </row>
    <row r="46649" spans="43:43" x14ac:dyDescent="0.2">
      <c r="AQ46649" s="31"/>
    </row>
    <row r="46650" spans="43:43" x14ac:dyDescent="0.2">
      <c r="AQ46650" s="31"/>
    </row>
    <row r="46651" spans="43:43" x14ac:dyDescent="0.2">
      <c r="AQ46651" s="31"/>
    </row>
    <row r="46652" spans="43:43" x14ac:dyDescent="0.2">
      <c r="AQ46652" s="31"/>
    </row>
    <row r="46653" spans="43:43" x14ac:dyDescent="0.2">
      <c r="AQ46653" s="31"/>
    </row>
    <row r="46654" spans="43:43" x14ac:dyDescent="0.2">
      <c r="AQ46654" s="31"/>
    </row>
    <row r="46655" spans="43:43" x14ac:dyDescent="0.2">
      <c r="AQ46655" s="31"/>
    </row>
    <row r="46656" spans="43:43" x14ac:dyDescent="0.2">
      <c r="AQ46656" s="31"/>
    </row>
    <row r="46657" spans="43:43" x14ac:dyDescent="0.2">
      <c r="AQ46657" s="31"/>
    </row>
    <row r="46658" spans="43:43" x14ac:dyDescent="0.2">
      <c r="AQ46658" s="31"/>
    </row>
    <row r="46659" spans="43:43" x14ac:dyDescent="0.2">
      <c r="AQ46659" s="31"/>
    </row>
    <row r="46660" spans="43:43" x14ac:dyDescent="0.2">
      <c r="AQ46660" s="31"/>
    </row>
    <row r="46661" spans="43:43" x14ac:dyDescent="0.2">
      <c r="AQ46661" s="31"/>
    </row>
    <row r="46662" spans="43:43" x14ac:dyDescent="0.2">
      <c r="AQ46662" s="31"/>
    </row>
    <row r="46663" spans="43:43" x14ac:dyDescent="0.2">
      <c r="AQ46663" s="31"/>
    </row>
    <row r="46664" spans="43:43" x14ac:dyDescent="0.2">
      <c r="AQ46664" s="31"/>
    </row>
    <row r="46665" spans="43:43" x14ac:dyDescent="0.2">
      <c r="AQ46665" s="31"/>
    </row>
    <row r="46666" spans="43:43" x14ac:dyDescent="0.2">
      <c r="AQ46666" s="31"/>
    </row>
    <row r="46667" spans="43:43" x14ac:dyDescent="0.2">
      <c r="AQ46667" s="31"/>
    </row>
    <row r="46668" spans="43:43" x14ac:dyDescent="0.2">
      <c r="AQ46668" s="31"/>
    </row>
    <row r="46669" spans="43:43" x14ac:dyDescent="0.2">
      <c r="AQ46669" s="31"/>
    </row>
    <row r="46670" spans="43:43" x14ac:dyDescent="0.2">
      <c r="AQ46670" s="31"/>
    </row>
    <row r="46671" spans="43:43" x14ac:dyDescent="0.2">
      <c r="AQ46671" s="31"/>
    </row>
    <row r="46672" spans="43:43" x14ac:dyDescent="0.2">
      <c r="AQ46672" s="31"/>
    </row>
    <row r="46673" spans="43:43" x14ac:dyDescent="0.2">
      <c r="AQ46673" s="31"/>
    </row>
    <row r="46674" spans="43:43" x14ac:dyDescent="0.2">
      <c r="AQ46674" s="31"/>
    </row>
    <row r="46675" spans="43:43" x14ac:dyDescent="0.2">
      <c r="AQ46675" s="31"/>
    </row>
    <row r="46676" spans="43:43" x14ac:dyDescent="0.2">
      <c r="AQ46676" s="31"/>
    </row>
    <row r="46677" spans="43:43" x14ac:dyDescent="0.2">
      <c r="AQ46677" s="31"/>
    </row>
    <row r="46678" spans="43:43" x14ac:dyDescent="0.2">
      <c r="AQ46678" s="31"/>
    </row>
    <row r="46679" spans="43:43" x14ac:dyDescent="0.2">
      <c r="AQ46679" s="31"/>
    </row>
    <row r="46680" spans="43:43" x14ac:dyDescent="0.2">
      <c r="AQ46680" s="31"/>
    </row>
    <row r="46681" spans="43:43" x14ac:dyDescent="0.2">
      <c r="AQ46681" s="31"/>
    </row>
    <row r="46682" spans="43:43" x14ac:dyDescent="0.2">
      <c r="AQ46682" s="31"/>
    </row>
    <row r="46683" spans="43:43" x14ac:dyDescent="0.2">
      <c r="AQ46683" s="31"/>
    </row>
    <row r="46684" spans="43:43" x14ac:dyDescent="0.2">
      <c r="AQ46684" s="31"/>
    </row>
    <row r="46685" spans="43:43" x14ac:dyDescent="0.2">
      <c r="AQ46685" s="31"/>
    </row>
    <row r="46686" spans="43:43" x14ac:dyDescent="0.2">
      <c r="AQ46686" s="31"/>
    </row>
    <row r="46687" spans="43:43" x14ac:dyDescent="0.2">
      <c r="AQ46687" s="31"/>
    </row>
    <row r="46688" spans="43:43" x14ac:dyDescent="0.2">
      <c r="AQ46688" s="31"/>
    </row>
    <row r="46689" spans="43:43" x14ac:dyDescent="0.2">
      <c r="AQ46689" s="31"/>
    </row>
    <row r="46690" spans="43:43" x14ac:dyDescent="0.2">
      <c r="AQ46690" s="31"/>
    </row>
    <row r="46691" spans="43:43" x14ac:dyDescent="0.2">
      <c r="AQ46691" s="31"/>
    </row>
    <row r="46692" spans="43:43" x14ac:dyDescent="0.2">
      <c r="AQ46692" s="31"/>
    </row>
    <row r="46693" spans="43:43" x14ac:dyDescent="0.2">
      <c r="AQ46693" s="31"/>
    </row>
    <row r="46694" spans="43:43" x14ac:dyDescent="0.2">
      <c r="AQ46694" s="31"/>
    </row>
    <row r="46695" spans="43:43" x14ac:dyDescent="0.2">
      <c r="AQ46695" s="31"/>
    </row>
    <row r="46696" spans="43:43" x14ac:dyDescent="0.2">
      <c r="AQ46696" s="31"/>
    </row>
    <row r="46697" spans="43:43" x14ac:dyDescent="0.2">
      <c r="AQ46697" s="31"/>
    </row>
    <row r="46698" spans="43:43" x14ac:dyDescent="0.2">
      <c r="AQ46698" s="31"/>
    </row>
    <row r="46699" spans="43:43" x14ac:dyDescent="0.2">
      <c r="AQ46699" s="31"/>
    </row>
    <row r="46700" spans="43:43" x14ac:dyDescent="0.2">
      <c r="AQ46700" s="31"/>
    </row>
    <row r="46701" spans="43:43" x14ac:dyDescent="0.2">
      <c r="AQ46701" s="31"/>
    </row>
    <row r="46702" spans="43:43" x14ac:dyDescent="0.2">
      <c r="AQ46702" s="31"/>
    </row>
    <row r="46703" spans="43:43" x14ac:dyDescent="0.2">
      <c r="AQ46703" s="31"/>
    </row>
    <row r="46704" spans="43:43" x14ac:dyDescent="0.2">
      <c r="AQ46704" s="31"/>
    </row>
    <row r="46705" spans="43:43" x14ac:dyDescent="0.2">
      <c r="AQ46705" s="31"/>
    </row>
    <row r="46706" spans="43:43" x14ac:dyDescent="0.2">
      <c r="AQ46706" s="31"/>
    </row>
    <row r="46707" spans="43:43" x14ac:dyDescent="0.2">
      <c r="AQ46707" s="31"/>
    </row>
    <row r="46708" spans="43:43" x14ac:dyDescent="0.2">
      <c r="AQ46708" s="31"/>
    </row>
    <row r="46709" spans="43:43" x14ac:dyDescent="0.2">
      <c r="AQ46709" s="31"/>
    </row>
    <row r="46710" spans="43:43" x14ac:dyDescent="0.2">
      <c r="AQ46710" s="31"/>
    </row>
    <row r="46711" spans="43:43" x14ac:dyDescent="0.2">
      <c r="AQ46711" s="31"/>
    </row>
    <row r="46712" spans="43:43" x14ac:dyDescent="0.2">
      <c r="AQ46712" s="31"/>
    </row>
    <row r="46713" spans="43:43" x14ac:dyDescent="0.2">
      <c r="AQ46713" s="31"/>
    </row>
    <row r="46714" spans="43:43" x14ac:dyDescent="0.2">
      <c r="AQ46714" s="31"/>
    </row>
    <row r="46715" spans="43:43" x14ac:dyDescent="0.2">
      <c r="AQ46715" s="31"/>
    </row>
    <row r="46716" spans="43:43" x14ac:dyDescent="0.2">
      <c r="AQ46716" s="31"/>
    </row>
    <row r="46717" spans="43:43" x14ac:dyDescent="0.2">
      <c r="AQ46717" s="31"/>
    </row>
    <row r="46718" spans="43:43" x14ac:dyDescent="0.2">
      <c r="AQ46718" s="31"/>
    </row>
    <row r="46719" spans="43:43" x14ac:dyDescent="0.2">
      <c r="AQ46719" s="31"/>
    </row>
    <row r="46720" spans="43:43" x14ac:dyDescent="0.2">
      <c r="AQ46720" s="31"/>
    </row>
    <row r="46721" spans="43:43" x14ac:dyDescent="0.2">
      <c r="AQ46721" s="31"/>
    </row>
    <row r="46722" spans="43:43" x14ac:dyDescent="0.2">
      <c r="AQ46722" s="31"/>
    </row>
    <row r="46723" spans="43:43" x14ac:dyDescent="0.2">
      <c r="AQ46723" s="31"/>
    </row>
    <row r="46724" spans="43:43" x14ac:dyDescent="0.2">
      <c r="AQ46724" s="31"/>
    </row>
    <row r="46725" spans="43:43" x14ac:dyDescent="0.2">
      <c r="AQ46725" s="31"/>
    </row>
    <row r="46726" spans="43:43" x14ac:dyDescent="0.2">
      <c r="AQ46726" s="31"/>
    </row>
    <row r="46727" spans="43:43" x14ac:dyDescent="0.2">
      <c r="AQ46727" s="31"/>
    </row>
    <row r="46728" spans="43:43" x14ac:dyDescent="0.2">
      <c r="AQ46728" s="31"/>
    </row>
    <row r="46729" spans="43:43" x14ac:dyDescent="0.2">
      <c r="AQ46729" s="31"/>
    </row>
    <row r="46730" spans="43:43" x14ac:dyDescent="0.2">
      <c r="AQ46730" s="31"/>
    </row>
    <row r="46731" spans="43:43" x14ac:dyDescent="0.2">
      <c r="AQ46731" s="31"/>
    </row>
    <row r="46732" spans="43:43" x14ac:dyDescent="0.2">
      <c r="AQ46732" s="31"/>
    </row>
    <row r="46733" spans="43:43" x14ac:dyDescent="0.2">
      <c r="AQ46733" s="31"/>
    </row>
    <row r="46734" spans="43:43" x14ac:dyDescent="0.2">
      <c r="AQ46734" s="31"/>
    </row>
    <row r="46735" spans="43:43" x14ac:dyDescent="0.2">
      <c r="AQ46735" s="31"/>
    </row>
    <row r="46736" spans="43:43" x14ac:dyDescent="0.2">
      <c r="AQ46736" s="31"/>
    </row>
    <row r="46737" spans="43:43" x14ac:dyDescent="0.2">
      <c r="AQ46737" s="31"/>
    </row>
    <row r="46738" spans="43:43" x14ac:dyDescent="0.2">
      <c r="AQ46738" s="31"/>
    </row>
    <row r="46739" spans="43:43" x14ac:dyDescent="0.2">
      <c r="AQ46739" s="31"/>
    </row>
    <row r="46740" spans="43:43" x14ac:dyDescent="0.2">
      <c r="AQ46740" s="31"/>
    </row>
    <row r="46741" spans="43:43" x14ac:dyDescent="0.2">
      <c r="AQ46741" s="31"/>
    </row>
    <row r="46742" spans="43:43" x14ac:dyDescent="0.2">
      <c r="AQ46742" s="31"/>
    </row>
    <row r="46743" spans="43:43" x14ac:dyDescent="0.2">
      <c r="AQ46743" s="31"/>
    </row>
    <row r="46744" spans="43:43" x14ac:dyDescent="0.2">
      <c r="AQ46744" s="31"/>
    </row>
    <row r="46745" spans="43:43" x14ac:dyDescent="0.2">
      <c r="AQ46745" s="31"/>
    </row>
    <row r="46746" spans="43:43" x14ac:dyDescent="0.2">
      <c r="AQ46746" s="31"/>
    </row>
    <row r="46747" spans="43:43" x14ac:dyDescent="0.2">
      <c r="AQ46747" s="31"/>
    </row>
    <row r="46748" spans="43:43" x14ac:dyDescent="0.2">
      <c r="AQ46748" s="31"/>
    </row>
    <row r="46749" spans="43:43" x14ac:dyDescent="0.2">
      <c r="AQ46749" s="31"/>
    </row>
    <row r="46750" spans="43:43" x14ac:dyDescent="0.2">
      <c r="AQ46750" s="31"/>
    </row>
    <row r="46751" spans="43:43" x14ac:dyDescent="0.2">
      <c r="AQ46751" s="31"/>
    </row>
    <row r="46752" spans="43:43" x14ac:dyDescent="0.2">
      <c r="AQ46752" s="31"/>
    </row>
    <row r="46753" spans="43:43" x14ac:dyDescent="0.2">
      <c r="AQ46753" s="31"/>
    </row>
    <row r="46754" spans="43:43" x14ac:dyDescent="0.2">
      <c r="AQ46754" s="31"/>
    </row>
    <row r="46755" spans="43:43" x14ac:dyDescent="0.2">
      <c r="AQ46755" s="31"/>
    </row>
    <row r="46756" spans="43:43" x14ac:dyDescent="0.2">
      <c r="AQ46756" s="31"/>
    </row>
    <row r="46757" spans="43:43" x14ac:dyDescent="0.2">
      <c r="AQ46757" s="31"/>
    </row>
    <row r="46758" spans="43:43" x14ac:dyDescent="0.2">
      <c r="AQ46758" s="31"/>
    </row>
    <row r="46759" spans="43:43" x14ac:dyDescent="0.2">
      <c r="AQ46759" s="31"/>
    </row>
    <row r="46760" spans="43:43" x14ac:dyDescent="0.2">
      <c r="AQ46760" s="31"/>
    </row>
    <row r="46761" spans="43:43" x14ac:dyDescent="0.2">
      <c r="AQ46761" s="31"/>
    </row>
    <row r="46762" spans="43:43" x14ac:dyDescent="0.2">
      <c r="AQ46762" s="31"/>
    </row>
    <row r="46763" spans="43:43" x14ac:dyDescent="0.2">
      <c r="AQ46763" s="31"/>
    </row>
    <row r="46764" spans="43:43" x14ac:dyDescent="0.2">
      <c r="AQ46764" s="31"/>
    </row>
    <row r="46765" spans="43:43" x14ac:dyDescent="0.2">
      <c r="AQ46765" s="31"/>
    </row>
    <row r="46766" spans="43:43" x14ac:dyDescent="0.2">
      <c r="AQ46766" s="31"/>
    </row>
    <row r="46767" spans="43:43" x14ac:dyDescent="0.2">
      <c r="AQ46767" s="31"/>
    </row>
    <row r="46768" spans="43:43" x14ac:dyDescent="0.2">
      <c r="AQ46768" s="31"/>
    </row>
    <row r="46769" spans="43:43" x14ac:dyDescent="0.2">
      <c r="AQ46769" s="31"/>
    </row>
    <row r="46770" spans="43:43" x14ac:dyDescent="0.2">
      <c r="AQ46770" s="31"/>
    </row>
    <row r="46771" spans="43:43" x14ac:dyDescent="0.2">
      <c r="AQ46771" s="31"/>
    </row>
    <row r="46772" spans="43:43" x14ac:dyDescent="0.2">
      <c r="AQ46772" s="31"/>
    </row>
    <row r="46773" spans="43:43" x14ac:dyDescent="0.2">
      <c r="AQ46773" s="31"/>
    </row>
    <row r="46774" spans="43:43" x14ac:dyDescent="0.2">
      <c r="AQ46774" s="31"/>
    </row>
    <row r="46775" spans="43:43" x14ac:dyDescent="0.2">
      <c r="AQ46775" s="31"/>
    </row>
    <row r="46776" spans="43:43" x14ac:dyDescent="0.2">
      <c r="AQ46776" s="31"/>
    </row>
    <row r="46777" spans="43:43" x14ac:dyDescent="0.2">
      <c r="AQ46777" s="31"/>
    </row>
    <row r="46778" spans="43:43" x14ac:dyDescent="0.2">
      <c r="AQ46778" s="31"/>
    </row>
    <row r="46779" spans="43:43" x14ac:dyDescent="0.2">
      <c r="AQ46779" s="31"/>
    </row>
    <row r="46780" spans="43:43" x14ac:dyDescent="0.2">
      <c r="AQ46780" s="31"/>
    </row>
    <row r="46781" spans="43:43" x14ac:dyDescent="0.2">
      <c r="AQ46781" s="31"/>
    </row>
    <row r="46782" spans="43:43" x14ac:dyDescent="0.2">
      <c r="AQ46782" s="31"/>
    </row>
    <row r="46783" spans="43:43" x14ac:dyDescent="0.2">
      <c r="AQ46783" s="31"/>
    </row>
    <row r="46784" spans="43:43" x14ac:dyDescent="0.2">
      <c r="AQ46784" s="31"/>
    </row>
    <row r="46785" spans="43:43" x14ac:dyDescent="0.2">
      <c r="AQ46785" s="31"/>
    </row>
    <row r="46786" spans="43:43" x14ac:dyDescent="0.2">
      <c r="AQ46786" s="31"/>
    </row>
    <row r="46787" spans="43:43" x14ac:dyDescent="0.2">
      <c r="AQ46787" s="31"/>
    </row>
    <row r="46788" spans="43:43" x14ac:dyDescent="0.2">
      <c r="AQ46788" s="31"/>
    </row>
    <row r="46789" spans="43:43" x14ac:dyDescent="0.2">
      <c r="AQ46789" s="31"/>
    </row>
    <row r="46790" spans="43:43" x14ac:dyDescent="0.2">
      <c r="AQ46790" s="31"/>
    </row>
    <row r="46791" spans="43:43" x14ac:dyDescent="0.2">
      <c r="AQ46791" s="31"/>
    </row>
    <row r="46792" spans="43:43" x14ac:dyDescent="0.2">
      <c r="AQ46792" s="31"/>
    </row>
    <row r="46793" spans="43:43" x14ac:dyDescent="0.2">
      <c r="AQ46793" s="31"/>
    </row>
    <row r="46794" spans="43:43" x14ac:dyDescent="0.2">
      <c r="AQ46794" s="31"/>
    </row>
    <row r="46795" spans="43:43" x14ac:dyDescent="0.2">
      <c r="AQ46795" s="31"/>
    </row>
    <row r="46796" spans="43:43" x14ac:dyDescent="0.2">
      <c r="AQ46796" s="31"/>
    </row>
    <row r="46797" spans="43:43" x14ac:dyDescent="0.2">
      <c r="AQ46797" s="31"/>
    </row>
    <row r="46798" spans="43:43" x14ac:dyDescent="0.2">
      <c r="AQ46798" s="31"/>
    </row>
    <row r="46799" spans="43:43" x14ac:dyDescent="0.2">
      <c r="AQ46799" s="31"/>
    </row>
    <row r="46800" spans="43:43" x14ac:dyDescent="0.2">
      <c r="AQ46800" s="31"/>
    </row>
    <row r="46801" spans="43:43" x14ac:dyDescent="0.2">
      <c r="AQ46801" s="31"/>
    </row>
    <row r="46802" spans="43:43" x14ac:dyDescent="0.2">
      <c r="AQ46802" s="31"/>
    </row>
    <row r="46803" spans="43:43" x14ac:dyDescent="0.2">
      <c r="AQ46803" s="31"/>
    </row>
    <row r="46804" spans="43:43" x14ac:dyDescent="0.2">
      <c r="AQ46804" s="31"/>
    </row>
    <row r="46805" spans="43:43" x14ac:dyDescent="0.2">
      <c r="AQ46805" s="31"/>
    </row>
    <row r="46806" spans="43:43" x14ac:dyDescent="0.2">
      <c r="AQ46806" s="31"/>
    </row>
    <row r="46807" spans="43:43" x14ac:dyDescent="0.2">
      <c r="AQ46807" s="31"/>
    </row>
    <row r="46808" spans="43:43" x14ac:dyDescent="0.2">
      <c r="AQ46808" s="31"/>
    </row>
    <row r="46809" spans="43:43" x14ac:dyDescent="0.2">
      <c r="AQ46809" s="31"/>
    </row>
    <row r="46810" spans="43:43" x14ac:dyDescent="0.2">
      <c r="AQ46810" s="31"/>
    </row>
    <row r="46811" spans="43:43" x14ac:dyDescent="0.2">
      <c r="AQ46811" s="31"/>
    </row>
    <row r="46812" spans="43:43" x14ac:dyDescent="0.2">
      <c r="AQ46812" s="31"/>
    </row>
    <row r="46813" spans="43:43" x14ac:dyDescent="0.2">
      <c r="AQ46813" s="31"/>
    </row>
    <row r="46814" spans="43:43" x14ac:dyDescent="0.2">
      <c r="AQ46814" s="31"/>
    </row>
    <row r="46815" spans="43:43" x14ac:dyDescent="0.2">
      <c r="AQ46815" s="31"/>
    </row>
    <row r="46816" spans="43:43" x14ac:dyDescent="0.2">
      <c r="AQ46816" s="31"/>
    </row>
    <row r="46817" spans="43:43" x14ac:dyDescent="0.2">
      <c r="AQ46817" s="31"/>
    </row>
    <row r="46818" spans="43:43" x14ac:dyDescent="0.2">
      <c r="AQ46818" s="31"/>
    </row>
    <row r="46819" spans="43:43" x14ac:dyDescent="0.2">
      <c r="AQ46819" s="31"/>
    </row>
    <row r="46820" spans="43:43" x14ac:dyDescent="0.2">
      <c r="AQ46820" s="31"/>
    </row>
    <row r="46821" spans="43:43" x14ac:dyDescent="0.2">
      <c r="AQ46821" s="31"/>
    </row>
    <row r="46822" spans="43:43" x14ac:dyDescent="0.2">
      <c r="AQ46822" s="31"/>
    </row>
    <row r="46823" spans="43:43" x14ac:dyDescent="0.2">
      <c r="AQ46823" s="31"/>
    </row>
    <row r="46824" spans="43:43" x14ac:dyDescent="0.2">
      <c r="AQ46824" s="31"/>
    </row>
    <row r="46825" spans="43:43" x14ac:dyDescent="0.2">
      <c r="AQ46825" s="31"/>
    </row>
    <row r="46826" spans="43:43" x14ac:dyDescent="0.2">
      <c r="AQ46826" s="31"/>
    </row>
    <row r="46827" spans="43:43" x14ac:dyDescent="0.2">
      <c r="AQ46827" s="31"/>
    </row>
    <row r="46828" spans="43:43" x14ac:dyDescent="0.2">
      <c r="AQ46828" s="31"/>
    </row>
    <row r="46829" spans="43:43" x14ac:dyDescent="0.2">
      <c r="AQ46829" s="31"/>
    </row>
    <row r="46830" spans="43:43" x14ac:dyDescent="0.2">
      <c r="AQ46830" s="31"/>
    </row>
    <row r="46831" spans="43:43" x14ac:dyDescent="0.2">
      <c r="AQ46831" s="31"/>
    </row>
    <row r="46832" spans="43:43" x14ac:dyDescent="0.2">
      <c r="AQ46832" s="31"/>
    </row>
    <row r="46833" spans="43:43" x14ac:dyDescent="0.2">
      <c r="AQ46833" s="31"/>
    </row>
    <row r="46834" spans="43:43" x14ac:dyDescent="0.2">
      <c r="AQ46834" s="31"/>
    </row>
    <row r="46835" spans="43:43" x14ac:dyDescent="0.2">
      <c r="AQ46835" s="31"/>
    </row>
    <row r="46836" spans="43:43" x14ac:dyDescent="0.2">
      <c r="AQ46836" s="31"/>
    </row>
    <row r="46837" spans="43:43" x14ac:dyDescent="0.2">
      <c r="AQ46837" s="31"/>
    </row>
    <row r="46838" spans="43:43" x14ac:dyDescent="0.2">
      <c r="AQ46838" s="31"/>
    </row>
    <row r="46839" spans="43:43" x14ac:dyDescent="0.2">
      <c r="AQ46839" s="31"/>
    </row>
    <row r="46840" spans="43:43" x14ac:dyDescent="0.2">
      <c r="AQ46840" s="31"/>
    </row>
    <row r="46841" spans="43:43" x14ac:dyDescent="0.2">
      <c r="AQ46841" s="31"/>
    </row>
    <row r="46842" spans="43:43" x14ac:dyDescent="0.2">
      <c r="AQ46842" s="31"/>
    </row>
    <row r="46843" spans="43:43" x14ac:dyDescent="0.2">
      <c r="AQ46843" s="31"/>
    </row>
    <row r="46844" spans="43:43" x14ac:dyDescent="0.2">
      <c r="AQ46844" s="31"/>
    </row>
    <row r="46845" spans="43:43" x14ac:dyDescent="0.2">
      <c r="AQ46845" s="31"/>
    </row>
    <row r="46846" spans="43:43" x14ac:dyDescent="0.2">
      <c r="AQ46846" s="31"/>
    </row>
    <row r="46847" spans="43:43" x14ac:dyDescent="0.2">
      <c r="AQ46847" s="31"/>
    </row>
    <row r="46848" spans="43:43" x14ac:dyDescent="0.2">
      <c r="AQ46848" s="31"/>
    </row>
    <row r="46849" spans="43:43" x14ac:dyDescent="0.2">
      <c r="AQ46849" s="31"/>
    </row>
    <row r="46850" spans="43:43" x14ac:dyDescent="0.2">
      <c r="AQ46850" s="31"/>
    </row>
    <row r="46851" spans="43:43" x14ac:dyDescent="0.2">
      <c r="AQ46851" s="31"/>
    </row>
    <row r="46852" spans="43:43" x14ac:dyDescent="0.2">
      <c r="AQ46852" s="31"/>
    </row>
    <row r="46853" spans="43:43" x14ac:dyDescent="0.2">
      <c r="AQ46853" s="31"/>
    </row>
    <row r="46854" spans="43:43" x14ac:dyDescent="0.2">
      <c r="AQ46854" s="31"/>
    </row>
    <row r="46855" spans="43:43" x14ac:dyDescent="0.2">
      <c r="AQ46855" s="31"/>
    </row>
    <row r="46856" spans="43:43" x14ac:dyDescent="0.2">
      <c r="AQ46856" s="31"/>
    </row>
    <row r="46857" spans="43:43" x14ac:dyDescent="0.2">
      <c r="AQ46857" s="31"/>
    </row>
    <row r="46858" spans="43:43" x14ac:dyDescent="0.2">
      <c r="AQ46858" s="31"/>
    </row>
    <row r="46859" spans="43:43" x14ac:dyDescent="0.2">
      <c r="AQ46859" s="31"/>
    </row>
    <row r="46860" spans="43:43" x14ac:dyDescent="0.2">
      <c r="AQ46860" s="31"/>
    </row>
    <row r="46861" spans="43:43" x14ac:dyDescent="0.2">
      <c r="AQ46861" s="31"/>
    </row>
    <row r="46862" spans="43:43" x14ac:dyDescent="0.2">
      <c r="AQ46862" s="31"/>
    </row>
    <row r="46863" spans="43:43" x14ac:dyDescent="0.2">
      <c r="AQ46863" s="31"/>
    </row>
    <row r="46864" spans="43:43" x14ac:dyDescent="0.2">
      <c r="AQ46864" s="31"/>
    </row>
    <row r="46865" spans="43:43" x14ac:dyDescent="0.2">
      <c r="AQ46865" s="31"/>
    </row>
    <row r="46866" spans="43:43" x14ac:dyDescent="0.2">
      <c r="AQ46866" s="31"/>
    </row>
    <row r="46867" spans="43:43" x14ac:dyDescent="0.2">
      <c r="AQ46867" s="31"/>
    </row>
    <row r="46868" spans="43:43" x14ac:dyDescent="0.2">
      <c r="AQ46868" s="31"/>
    </row>
    <row r="46869" spans="43:43" x14ac:dyDescent="0.2">
      <c r="AQ46869" s="31"/>
    </row>
    <row r="46870" spans="43:43" x14ac:dyDescent="0.2">
      <c r="AQ46870" s="31"/>
    </row>
    <row r="46871" spans="43:43" x14ac:dyDescent="0.2">
      <c r="AQ46871" s="31"/>
    </row>
    <row r="46872" spans="43:43" x14ac:dyDescent="0.2">
      <c r="AQ46872" s="31"/>
    </row>
    <row r="46873" spans="43:43" x14ac:dyDescent="0.2">
      <c r="AQ46873" s="31"/>
    </row>
    <row r="46874" spans="43:43" x14ac:dyDescent="0.2">
      <c r="AQ46874" s="31"/>
    </row>
    <row r="46875" spans="43:43" x14ac:dyDescent="0.2">
      <c r="AQ46875" s="31"/>
    </row>
    <row r="46876" spans="43:43" x14ac:dyDescent="0.2">
      <c r="AQ46876" s="31"/>
    </row>
    <row r="46877" spans="43:43" x14ac:dyDescent="0.2">
      <c r="AQ46877" s="31"/>
    </row>
    <row r="46878" spans="43:43" x14ac:dyDescent="0.2">
      <c r="AQ46878" s="31"/>
    </row>
    <row r="46879" spans="43:43" x14ac:dyDescent="0.2">
      <c r="AQ46879" s="31"/>
    </row>
    <row r="46880" spans="43:43" x14ac:dyDescent="0.2">
      <c r="AQ46880" s="31"/>
    </row>
    <row r="46881" spans="43:43" x14ac:dyDescent="0.2">
      <c r="AQ46881" s="31"/>
    </row>
    <row r="46882" spans="43:43" x14ac:dyDescent="0.2">
      <c r="AQ46882" s="31"/>
    </row>
    <row r="46883" spans="43:43" x14ac:dyDescent="0.2">
      <c r="AQ46883" s="31"/>
    </row>
    <row r="46884" spans="43:43" x14ac:dyDescent="0.2">
      <c r="AQ46884" s="31"/>
    </row>
    <row r="46885" spans="43:43" x14ac:dyDescent="0.2">
      <c r="AQ46885" s="31"/>
    </row>
    <row r="46886" spans="43:43" x14ac:dyDescent="0.2">
      <c r="AQ46886" s="31"/>
    </row>
    <row r="46887" spans="43:43" x14ac:dyDescent="0.2">
      <c r="AQ46887" s="31"/>
    </row>
    <row r="46888" spans="43:43" x14ac:dyDescent="0.2">
      <c r="AQ46888" s="31"/>
    </row>
    <row r="46889" spans="43:43" x14ac:dyDescent="0.2">
      <c r="AQ46889" s="31"/>
    </row>
    <row r="46890" spans="43:43" x14ac:dyDescent="0.2">
      <c r="AQ46890" s="31"/>
    </row>
    <row r="46891" spans="43:43" x14ac:dyDescent="0.2">
      <c r="AQ46891" s="31"/>
    </row>
    <row r="46892" spans="43:43" x14ac:dyDescent="0.2">
      <c r="AQ46892" s="31"/>
    </row>
    <row r="46893" spans="43:43" x14ac:dyDescent="0.2">
      <c r="AQ46893" s="31"/>
    </row>
    <row r="46894" spans="43:43" x14ac:dyDescent="0.2">
      <c r="AQ46894" s="31"/>
    </row>
    <row r="46895" spans="43:43" x14ac:dyDescent="0.2">
      <c r="AQ46895" s="31"/>
    </row>
    <row r="46896" spans="43:43" x14ac:dyDescent="0.2">
      <c r="AQ46896" s="31"/>
    </row>
    <row r="46897" spans="43:43" x14ac:dyDescent="0.2">
      <c r="AQ46897" s="31"/>
    </row>
    <row r="46898" spans="43:43" x14ac:dyDescent="0.2">
      <c r="AQ46898" s="31"/>
    </row>
    <row r="46899" spans="43:43" x14ac:dyDescent="0.2">
      <c r="AQ46899" s="31"/>
    </row>
    <row r="46900" spans="43:43" x14ac:dyDescent="0.2">
      <c r="AQ46900" s="31"/>
    </row>
    <row r="46901" spans="43:43" x14ac:dyDescent="0.2">
      <c r="AQ46901" s="31"/>
    </row>
    <row r="46902" spans="43:43" x14ac:dyDescent="0.2">
      <c r="AQ46902" s="31"/>
    </row>
    <row r="46903" spans="43:43" x14ac:dyDescent="0.2">
      <c r="AQ46903" s="31"/>
    </row>
    <row r="46904" spans="43:43" x14ac:dyDescent="0.2">
      <c r="AQ46904" s="31"/>
    </row>
    <row r="46905" spans="43:43" x14ac:dyDescent="0.2">
      <c r="AQ46905" s="31"/>
    </row>
    <row r="46906" spans="43:43" x14ac:dyDescent="0.2">
      <c r="AQ46906" s="31"/>
    </row>
    <row r="46907" spans="43:43" x14ac:dyDescent="0.2">
      <c r="AQ46907" s="31"/>
    </row>
    <row r="46908" spans="43:43" x14ac:dyDescent="0.2">
      <c r="AQ46908" s="31"/>
    </row>
    <row r="46909" spans="43:43" x14ac:dyDescent="0.2">
      <c r="AQ46909" s="31"/>
    </row>
    <row r="46910" spans="43:43" x14ac:dyDescent="0.2">
      <c r="AQ46910" s="31"/>
    </row>
    <row r="46911" spans="43:43" x14ac:dyDescent="0.2">
      <c r="AQ46911" s="31"/>
    </row>
    <row r="46912" spans="43:43" x14ac:dyDescent="0.2">
      <c r="AQ46912" s="31"/>
    </row>
    <row r="46913" spans="43:43" x14ac:dyDescent="0.2">
      <c r="AQ46913" s="31"/>
    </row>
    <row r="46914" spans="43:43" x14ac:dyDescent="0.2">
      <c r="AQ46914" s="31"/>
    </row>
    <row r="46915" spans="43:43" x14ac:dyDescent="0.2">
      <c r="AQ46915" s="31"/>
    </row>
    <row r="46916" spans="43:43" x14ac:dyDescent="0.2">
      <c r="AQ46916" s="31"/>
    </row>
    <row r="46917" spans="43:43" x14ac:dyDescent="0.2">
      <c r="AQ46917" s="31"/>
    </row>
    <row r="46918" spans="43:43" x14ac:dyDescent="0.2">
      <c r="AQ46918" s="31"/>
    </row>
    <row r="46919" spans="43:43" x14ac:dyDescent="0.2">
      <c r="AQ46919" s="31"/>
    </row>
    <row r="46920" spans="43:43" x14ac:dyDescent="0.2">
      <c r="AQ46920" s="31"/>
    </row>
    <row r="46921" spans="43:43" x14ac:dyDescent="0.2">
      <c r="AQ46921" s="31"/>
    </row>
    <row r="46922" spans="43:43" x14ac:dyDescent="0.2">
      <c r="AQ46922" s="31"/>
    </row>
    <row r="46923" spans="43:43" x14ac:dyDescent="0.2">
      <c r="AQ46923" s="31"/>
    </row>
    <row r="46924" spans="43:43" x14ac:dyDescent="0.2">
      <c r="AQ46924" s="31"/>
    </row>
    <row r="46925" spans="43:43" x14ac:dyDescent="0.2">
      <c r="AQ46925" s="31"/>
    </row>
    <row r="46926" spans="43:43" x14ac:dyDescent="0.2">
      <c r="AQ46926" s="31"/>
    </row>
    <row r="46927" spans="43:43" x14ac:dyDescent="0.2">
      <c r="AQ46927" s="31"/>
    </row>
    <row r="46928" spans="43:43" x14ac:dyDescent="0.2">
      <c r="AQ46928" s="31"/>
    </row>
    <row r="46929" spans="43:43" x14ac:dyDescent="0.2">
      <c r="AQ46929" s="31"/>
    </row>
    <row r="46930" spans="43:43" x14ac:dyDescent="0.2">
      <c r="AQ46930" s="31"/>
    </row>
    <row r="46931" spans="43:43" x14ac:dyDescent="0.2">
      <c r="AQ46931" s="31"/>
    </row>
    <row r="46932" spans="43:43" x14ac:dyDescent="0.2">
      <c r="AQ46932" s="31"/>
    </row>
    <row r="46933" spans="43:43" x14ac:dyDescent="0.2">
      <c r="AQ46933" s="31"/>
    </row>
    <row r="46934" spans="43:43" x14ac:dyDescent="0.2">
      <c r="AQ46934" s="31"/>
    </row>
    <row r="46935" spans="43:43" x14ac:dyDescent="0.2">
      <c r="AQ46935" s="31"/>
    </row>
    <row r="46936" spans="43:43" x14ac:dyDescent="0.2">
      <c r="AQ46936" s="31"/>
    </row>
    <row r="46937" spans="43:43" x14ac:dyDescent="0.2">
      <c r="AQ46937" s="31"/>
    </row>
    <row r="46938" spans="43:43" x14ac:dyDescent="0.2">
      <c r="AQ46938" s="31"/>
    </row>
    <row r="46939" spans="43:43" x14ac:dyDescent="0.2">
      <c r="AQ46939" s="31"/>
    </row>
    <row r="46940" spans="43:43" x14ac:dyDescent="0.2">
      <c r="AQ46940" s="31"/>
    </row>
    <row r="46941" spans="43:43" x14ac:dyDescent="0.2">
      <c r="AQ46941" s="31"/>
    </row>
    <row r="46942" spans="43:43" x14ac:dyDescent="0.2">
      <c r="AQ46942" s="31"/>
    </row>
    <row r="46943" spans="43:43" x14ac:dyDescent="0.2">
      <c r="AQ46943" s="31"/>
    </row>
    <row r="46944" spans="43:43" x14ac:dyDescent="0.2">
      <c r="AQ46944" s="31"/>
    </row>
    <row r="46945" spans="43:43" x14ac:dyDescent="0.2">
      <c r="AQ46945" s="31"/>
    </row>
    <row r="46946" spans="43:43" x14ac:dyDescent="0.2">
      <c r="AQ46946" s="31"/>
    </row>
    <row r="46947" spans="43:43" x14ac:dyDescent="0.2">
      <c r="AQ46947" s="31"/>
    </row>
    <row r="46948" spans="43:43" x14ac:dyDescent="0.2">
      <c r="AQ46948" s="31"/>
    </row>
    <row r="46949" spans="43:43" x14ac:dyDescent="0.2">
      <c r="AQ46949" s="31"/>
    </row>
    <row r="46950" spans="43:43" x14ac:dyDescent="0.2">
      <c r="AQ46950" s="31"/>
    </row>
    <row r="46951" spans="43:43" x14ac:dyDescent="0.2">
      <c r="AQ46951" s="31"/>
    </row>
    <row r="46952" spans="43:43" x14ac:dyDescent="0.2">
      <c r="AQ46952" s="31"/>
    </row>
    <row r="46953" spans="43:43" x14ac:dyDescent="0.2">
      <c r="AQ46953" s="31"/>
    </row>
    <row r="46954" spans="43:43" x14ac:dyDescent="0.2">
      <c r="AQ46954" s="31"/>
    </row>
    <row r="46955" spans="43:43" x14ac:dyDescent="0.2">
      <c r="AQ46955" s="31"/>
    </row>
    <row r="46956" spans="43:43" x14ac:dyDescent="0.2">
      <c r="AQ46956" s="31"/>
    </row>
    <row r="46957" spans="43:43" x14ac:dyDescent="0.2">
      <c r="AQ46957" s="31"/>
    </row>
    <row r="46958" spans="43:43" x14ac:dyDescent="0.2">
      <c r="AQ46958" s="31"/>
    </row>
    <row r="46959" spans="43:43" x14ac:dyDescent="0.2">
      <c r="AQ46959" s="31"/>
    </row>
    <row r="46960" spans="43:43" x14ac:dyDescent="0.2">
      <c r="AQ46960" s="31"/>
    </row>
    <row r="46961" spans="43:43" x14ac:dyDescent="0.2">
      <c r="AQ46961" s="31"/>
    </row>
    <row r="46962" spans="43:43" x14ac:dyDescent="0.2">
      <c r="AQ46962" s="31"/>
    </row>
    <row r="46963" spans="43:43" x14ac:dyDescent="0.2">
      <c r="AQ46963" s="31"/>
    </row>
    <row r="46964" spans="43:43" x14ac:dyDescent="0.2">
      <c r="AQ46964" s="31"/>
    </row>
    <row r="46965" spans="43:43" x14ac:dyDescent="0.2">
      <c r="AQ46965" s="31"/>
    </row>
    <row r="46966" spans="43:43" x14ac:dyDescent="0.2">
      <c r="AQ46966" s="31"/>
    </row>
    <row r="46967" spans="43:43" x14ac:dyDescent="0.2">
      <c r="AQ46967" s="31"/>
    </row>
    <row r="46968" spans="43:43" x14ac:dyDescent="0.2">
      <c r="AQ46968" s="31"/>
    </row>
    <row r="46969" spans="43:43" x14ac:dyDescent="0.2">
      <c r="AQ46969" s="31"/>
    </row>
    <row r="46970" spans="43:43" x14ac:dyDescent="0.2">
      <c r="AQ46970" s="31"/>
    </row>
    <row r="46971" spans="43:43" x14ac:dyDescent="0.2">
      <c r="AQ46971" s="31"/>
    </row>
    <row r="46972" spans="43:43" x14ac:dyDescent="0.2">
      <c r="AQ46972" s="31"/>
    </row>
    <row r="46973" spans="43:43" x14ac:dyDescent="0.2">
      <c r="AQ46973" s="31"/>
    </row>
    <row r="46974" spans="43:43" x14ac:dyDescent="0.2">
      <c r="AQ46974" s="31"/>
    </row>
    <row r="46975" spans="43:43" x14ac:dyDescent="0.2">
      <c r="AQ46975" s="31"/>
    </row>
    <row r="46976" spans="43:43" x14ac:dyDescent="0.2">
      <c r="AQ46976" s="31"/>
    </row>
    <row r="46977" spans="43:43" x14ac:dyDescent="0.2">
      <c r="AQ46977" s="31"/>
    </row>
    <row r="46978" spans="43:43" x14ac:dyDescent="0.2">
      <c r="AQ46978" s="31"/>
    </row>
    <row r="46979" spans="43:43" x14ac:dyDescent="0.2">
      <c r="AQ46979" s="31"/>
    </row>
    <row r="46980" spans="43:43" x14ac:dyDescent="0.2">
      <c r="AQ46980" s="31"/>
    </row>
    <row r="46981" spans="43:43" x14ac:dyDescent="0.2">
      <c r="AQ46981" s="31"/>
    </row>
    <row r="46982" spans="43:43" x14ac:dyDescent="0.2">
      <c r="AQ46982" s="31"/>
    </row>
    <row r="46983" spans="43:43" x14ac:dyDescent="0.2">
      <c r="AQ46983" s="31"/>
    </row>
    <row r="46984" spans="43:43" x14ac:dyDescent="0.2">
      <c r="AQ46984" s="31"/>
    </row>
    <row r="46985" spans="43:43" x14ac:dyDescent="0.2">
      <c r="AQ46985" s="31"/>
    </row>
    <row r="46986" spans="43:43" x14ac:dyDescent="0.2">
      <c r="AQ46986" s="31"/>
    </row>
    <row r="46987" spans="43:43" x14ac:dyDescent="0.2">
      <c r="AQ46987" s="31"/>
    </row>
    <row r="46988" spans="43:43" x14ac:dyDescent="0.2">
      <c r="AQ46988" s="31"/>
    </row>
    <row r="46989" spans="43:43" x14ac:dyDescent="0.2">
      <c r="AQ46989" s="31"/>
    </row>
    <row r="46990" spans="43:43" x14ac:dyDescent="0.2">
      <c r="AQ46990" s="31"/>
    </row>
    <row r="46991" spans="43:43" x14ac:dyDescent="0.2">
      <c r="AQ46991" s="31"/>
    </row>
    <row r="46992" spans="43:43" x14ac:dyDescent="0.2">
      <c r="AQ46992" s="31"/>
    </row>
    <row r="46993" spans="43:43" x14ac:dyDescent="0.2">
      <c r="AQ46993" s="31"/>
    </row>
    <row r="46994" spans="43:43" x14ac:dyDescent="0.2">
      <c r="AQ46994" s="31"/>
    </row>
    <row r="46995" spans="43:43" x14ac:dyDescent="0.2">
      <c r="AQ46995" s="31"/>
    </row>
    <row r="46996" spans="43:43" x14ac:dyDescent="0.2">
      <c r="AQ46996" s="31"/>
    </row>
    <row r="46997" spans="43:43" x14ac:dyDescent="0.2">
      <c r="AQ46997" s="31"/>
    </row>
    <row r="46998" spans="43:43" x14ac:dyDescent="0.2">
      <c r="AQ46998" s="31"/>
    </row>
    <row r="46999" spans="43:43" x14ac:dyDescent="0.2">
      <c r="AQ46999" s="31"/>
    </row>
    <row r="47000" spans="43:43" x14ac:dyDescent="0.2">
      <c r="AQ47000" s="31"/>
    </row>
    <row r="47001" spans="43:43" x14ac:dyDescent="0.2">
      <c r="AQ47001" s="31"/>
    </row>
    <row r="47002" spans="43:43" x14ac:dyDescent="0.2">
      <c r="AQ47002" s="31"/>
    </row>
    <row r="47003" spans="43:43" x14ac:dyDescent="0.2">
      <c r="AQ47003" s="31"/>
    </row>
    <row r="47004" spans="43:43" x14ac:dyDescent="0.2">
      <c r="AQ47004" s="31"/>
    </row>
    <row r="47005" spans="43:43" x14ac:dyDescent="0.2">
      <c r="AQ47005" s="31"/>
    </row>
    <row r="47006" spans="43:43" x14ac:dyDescent="0.2">
      <c r="AQ47006" s="31"/>
    </row>
    <row r="47007" spans="43:43" x14ac:dyDescent="0.2">
      <c r="AQ47007" s="31"/>
    </row>
    <row r="47008" spans="43:43" x14ac:dyDescent="0.2">
      <c r="AQ47008" s="31"/>
    </row>
    <row r="47009" spans="43:43" x14ac:dyDescent="0.2">
      <c r="AQ47009" s="31"/>
    </row>
    <row r="47010" spans="43:43" x14ac:dyDescent="0.2">
      <c r="AQ47010" s="31"/>
    </row>
    <row r="47011" spans="43:43" x14ac:dyDescent="0.2">
      <c r="AQ47011" s="31"/>
    </row>
    <row r="47012" spans="43:43" x14ac:dyDescent="0.2">
      <c r="AQ47012" s="31"/>
    </row>
    <row r="47013" spans="43:43" x14ac:dyDescent="0.2">
      <c r="AQ47013" s="31"/>
    </row>
    <row r="47014" spans="43:43" x14ac:dyDescent="0.2">
      <c r="AQ47014" s="31"/>
    </row>
    <row r="47015" spans="43:43" x14ac:dyDescent="0.2">
      <c r="AQ47015" s="31"/>
    </row>
    <row r="47016" spans="43:43" x14ac:dyDescent="0.2">
      <c r="AQ47016" s="31"/>
    </row>
    <row r="47017" spans="43:43" x14ac:dyDescent="0.2">
      <c r="AQ47017" s="31"/>
    </row>
    <row r="47018" spans="43:43" x14ac:dyDescent="0.2">
      <c r="AQ47018" s="31"/>
    </row>
    <row r="47019" spans="43:43" x14ac:dyDescent="0.2">
      <c r="AQ47019" s="31"/>
    </row>
    <row r="47020" spans="43:43" x14ac:dyDescent="0.2">
      <c r="AQ47020" s="31"/>
    </row>
    <row r="47021" spans="43:43" x14ac:dyDescent="0.2">
      <c r="AQ47021" s="31"/>
    </row>
    <row r="47022" spans="43:43" x14ac:dyDescent="0.2">
      <c r="AQ47022" s="31"/>
    </row>
    <row r="47023" spans="43:43" x14ac:dyDescent="0.2">
      <c r="AQ47023" s="31"/>
    </row>
    <row r="47024" spans="43:43" x14ac:dyDescent="0.2">
      <c r="AQ47024" s="31"/>
    </row>
    <row r="47025" spans="43:43" x14ac:dyDescent="0.2">
      <c r="AQ47025" s="31"/>
    </row>
    <row r="47026" spans="43:43" x14ac:dyDescent="0.2">
      <c r="AQ47026" s="31"/>
    </row>
    <row r="47027" spans="43:43" x14ac:dyDescent="0.2">
      <c r="AQ47027" s="31"/>
    </row>
    <row r="47028" spans="43:43" x14ac:dyDescent="0.2">
      <c r="AQ47028" s="31"/>
    </row>
    <row r="47029" spans="43:43" x14ac:dyDescent="0.2">
      <c r="AQ47029" s="31"/>
    </row>
    <row r="47030" spans="43:43" x14ac:dyDescent="0.2">
      <c r="AQ47030" s="31"/>
    </row>
    <row r="47031" spans="43:43" x14ac:dyDescent="0.2">
      <c r="AQ47031" s="31"/>
    </row>
    <row r="47032" spans="43:43" x14ac:dyDescent="0.2">
      <c r="AQ47032" s="31"/>
    </row>
    <row r="47033" spans="43:43" x14ac:dyDescent="0.2">
      <c r="AQ47033" s="31"/>
    </row>
    <row r="47034" spans="43:43" x14ac:dyDescent="0.2">
      <c r="AQ47034" s="31"/>
    </row>
    <row r="47035" spans="43:43" x14ac:dyDescent="0.2">
      <c r="AQ47035" s="31"/>
    </row>
    <row r="47036" spans="43:43" x14ac:dyDescent="0.2">
      <c r="AQ47036" s="31"/>
    </row>
    <row r="47037" spans="43:43" x14ac:dyDescent="0.2">
      <c r="AQ47037" s="31"/>
    </row>
    <row r="47038" spans="43:43" x14ac:dyDescent="0.2">
      <c r="AQ47038" s="31"/>
    </row>
    <row r="47039" spans="43:43" x14ac:dyDescent="0.2">
      <c r="AQ47039" s="31"/>
    </row>
    <row r="47040" spans="43:43" x14ac:dyDescent="0.2">
      <c r="AQ47040" s="31"/>
    </row>
    <row r="47041" spans="43:43" x14ac:dyDescent="0.2">
      <c r="AQ47041" s="31"/>
    </row>
    <row r="47042" spans="43:43" x14ac:dyDescent="0.2">
      <c r="AQ47042" s="31"/>
    </row>
    <row r="47043" spans="43:43" x14ac:dyDescent="0.2">
      <c r="AQ47043" s="31"/>
    </row>
    <row r="47044" spans="43:43" x14ac:dyDescent="0.2">
      <c r="AQ47044" s="31"/>
    </row>
    <row r="47045" spans="43:43" x14ac:dyDescent="0.2">
      <c r="AQ47045" s="31"/>
    </row>
    <row r="47046" spans="43:43" x14ac:dyDescent="0.2">
      <c r="AQ47046" s="31"/>
    </row>
    <row r="47047" spans="43:43" x14ac:dyDescent="0.2">
      <c r="AQ47047" s="31"/>
    </row>
    <row r="47048" spans="43:43" x14ac:dyDescent="0.2">
      <c r="AQ47048" s="31"/>
    </row>
    <row r="47049" spans="43:43" x14ac:dyDescent="0.2">
      <c r="AQ47049" s="31"/>
    </row>
    <row r="47050" spans="43:43" x14ac:dyDescent="0.2">
      <c r="AQ47050" s="31"/>
    </row>
    <row r="47051" spans="43:43" x14ac:dyDescent="0.2">
      <c r="AQ47051" s="31"/>
    </row>
    <row r="47052" spans="43:43" x14ac:dyDescent="0.2">
      <c r="AQ47052" s="31"/>
    </row>
    <row r="47053" spans="43:43" x14ac:dyDescent="0.2">
      <c r="AQ47053" s="31"/>
    </row>
    <row r="47054" spans="43:43" x14ac:dyDescent="0.2">
      <c r="AQ47054" s="31"/>
    </row>
    <row r="47055" spans="43:43" x14ac:dyDescent="0.2">
      <c r="AQ47055" s="31"/>
    </row>
    <row r="47056" spans="43:43" x14ac:dyDescent="0.2">
      <c r="AQ47056" s="31"/>
    </row>
    <row r="47057" spans="43:43" x14ac:dyDescent="0.2">
      <c r="AQ47057" s="31"/>
    </row>
    <row r="47058" spans="43:43" x14ac:dyDescent="0.2">
      <c r="AQ47058" s="31"/>
    </row>
    <row r="47059" spans="43:43" x14ac:dyDescent="0.2">
      <c r="AQ47059" s="31"/>
    </row>
    <row r="47060" spans="43:43" x14ac:dyDescent="0.2">
      <c r="AQ47060" s="31"/>
    </row>
    <row r="47061" spans="43:43" x14ac:dyDescent="0.2">
      <c r="AQ47061" s="31"/>
    </row>
    <row r="47062" spans="43:43" x14ac:dyDescent="0.2">
      <c r="AQ47062" s="31"/>
    </row>
    <row r="47063" spans="43:43" x14ac:dyDescent="0.2">
      <c r="AQ47063" s="31"/>
    </row>
    <row r="47064" spans="43:43" x14ac:dyDescent="0.2">
      <c r="AQ47064" s="31"/>
    </row>
    <row r="47065" spans="43:43" x14ac:dyDescent="0.2">
      <c r="AQ47065" s="31"/>
    </row>
    <row r="47066" spans="43:43" x14ac:dyDescent="0.2">
      <c r="AQ47066" s="31"/>
    </row>
    <row r="47067" spans="43:43" x14ac:dyDescent="0.2">
      <c r="AQ47067" s="31"/>
    </row>
    <row r="47068" spans="43:43" x14ac:dyDescent="0.2">
      <c r="AQ47068" s="31"/>
    </row>
    <row r="47069" spans="43:43" x14ac:dyDescent="0.2">
      <c r="AQ47069" s="31"/>
    </row>
    <row r="47070" spans="43:43" x14ac:dyDescent="0.2">
      <c r="AQ47070" s="31"/>
    </row>
    <row r="47071" spans="43:43" x14ac:dyDescent="0.2">
      <c r="AQ47071" s="31"/>
    </row>
    <row r="47072" spans="43:43" x14ac:dyDescent="0.2">
      <c r="AQ47072" s="31"/>
    </row>
    <row r="47073" spans="43:43" x14ac:dyDescent="0.2">
      <c r="AQ47073" s="31"/>
    </row>
    <row r="47074" spans="43:43" x14ac:dyDescent="0.2">
      <c r="AQ47074" s="31"/>
    </row>
    <row r="47075" spans="43:43" x14ac:dyDescent="0.2">
      <c r="AQ47075" s="31"/>
    </row>
    <row r="47076" spans="43:43" x14ac:dyDescent="0.2">
      <c r="AQ47076" s="31"/>
    </row>
    <row r="47077" spans="43:43" x14ac:dyDescent="0.2">
      <c r="AQ47077" s="31"/>
    </row>
    <row r="47078" spans="43:43" x14ac:dyDescent="0.2">
      <c r="AQ47078" s="31"/>
    </row>
    <row r="47079" spans="43:43" x14ac:dyDescent="0.2">
      <c r="AQ47079" s="31"/>
    </row>
    <row r="47080" spans="43:43" x14ac:dyDescent="0.2">
      <c r="AQ47080" s="31"/>
    </row>
    <row r="47081" spans="43:43" x14ac:dyDescent="0.2">
      <c r="AQ47081" s="31"/>
    </row>
    <row r="47082" spans="43:43" x14ac:dyDescent="0.2">
      <c r="AQ47082" s="31"/>
    </row>
    <row r="47083" spans="43:43" x14ac:dyDescent="0.2">
      <c r="AQ47083" s="31"/>
    </row>
    <row r="47084" spans="43:43" x14ac:dyDescent="0.2">
      <c r="AQ47084" s="31"/>
    </row>
    <row r="47085" spans="43:43" x14ac:dyDescent="0.2">
      <c r="AQ47085" s="31"/>
    </row>
    <row r="47086" spans="43:43" x14ac:dyDescent="0.2">
      <c r="AQ47086" s="31"/>
    </row>
    <row r="47087" spans="43:43" x14ac:dyDescent="0.2">
      <c r="AQ47087" s="31"/>
    </row>
    <row r="47088" spans="43:43" x14ac:dyDescent="0.2">
      <c r="AQ47088" s="31"/>
    </row>
    <row r="47089" spans="43:43" x14ac:dyDescent="0.2">
      <c r="AQ47089" s="31"/>
    </row>
    <row r="47090" spans="43:43" x14ac:dyDescent="0.2">
      <c r="AQ47090" s="31"/>
    </row>
    <row r="47091" spans="43:43" x14ac:dyDescent="0.2">
      <c r="AQ47091" s="31"/>
    </row>
    <row r="47092" spans="43:43" x14ac:dyDescent="0.2">
      <c r="AQ47092" s="31"/>
    </row>
    <row r="47093" spans="43:43" x14ac:dyDescent="0.2">
      <c r="AQ47093" s="31"/>
    </row>
    <row r="47094" spans="43:43" x14ac:dyDescent="0.2">
      <c r="AQ47094" s="31"/>
    </row>
    <row r="47095" spans="43:43" x14ac:dyDescent="0.2">
      <c r="AQ47095" s="31"/>
    </row>
    <row r="47096" spans="43:43" x14ac:dyDescent="0.2">
      <c r="AQ47096" s="31"/>
    </row>
    <row r="47097" spans="43:43" x14ac:dyDescent="0.2">
      <c r="AQ47097" s="31"/>
    </row>
    <row r="47098" spans="43:43" x14ac:dyDescent="0.2">
      <c r="AQ47098" s="31"/>
    </row>
    <row r="47099" spans="43:43" x14ac:dyDescent="0.2">
      <c r="AQ47099" s="31"/>
    </row>
    <row r="47100" spans="43:43" x14ac:dyDescent="0.2">
      <c r="AQ47100" s="31"/>
    </row>
    <row r="47101" spans="43:43" x14ac:dyDescent="0.2">
      <c r="AQ47101" s="31"/>
    </row>
    <row r="47102" spans="43:43" x14ac:dyDescent="0.2">
      <c r="AQ47102" s="31"/>
    </row>
    <row r="47103" spans="43:43" x14ac:dyDescent="0.2">
      <c r="AQ47103" s="31"/>
    </row>
    <row r="47104" spans="43:43" x14ac:dyDescent="0.2">
      <c r="AQ47104" s="31"/>
    </row>
    <row r="47105" spans="43:43" x14ac:dyDescent="0.2">
      <c r="AQ47105" s="31"/>
    </row>
    <row r="47106" spans="43:43" x14ac:dyDescent="0.2">
      <c r="AQ47106" s="31"/>
    </row>
    <row r="47107" spans="43:43" x14ac:dyDescent="0.2">
      <c r="AQ47107" s="31"/>
    </row>
    <row r="47108" spans="43:43" x14ac:dyDescent="0.2">
      <c r="AQ47108" s="31"/>
    </row>
    <row r="47109" spans="43:43" x14ac:dyDescent="0.2">
      <c r="AQ47109" s="31"/>
    </row>
    <row r="47110" spans="43:43" x14ac:dyDescent="0.2">
      <c r="AQ47110" s="31"/>
    </row>
    <row r="47111" spans="43:43" x14ac:dyDescent="0.2">
      <c r="AQ47111" s="31"/>
    </row>
    <row r="47112" spans="43:43" x14ac:dyDescent="0.2">
      <c r="AQ47112" s="31"/>
    </row>
    <row r="47113" spans="43:43" x14ac:dyDescent="0.2">
      <c r="AQ47113" s="31"/>
    </row>
    <row r="47114" spans="43:43" x14ac:dyDescent="0.2">
      <c r="AQ47114" s="31"/>
    </row>
    <row r="47115" spans="43:43" x14ac:dyDescent="0.2">
      <c r="AQ47115" s="31"/>
    </row>
    <row r="47116" spans="43:43" x14ac:dyDescent="0.2">
      <c r="AQ47116" s="31"/>
    </row>
    <row r="47117" spans="43:43" x14ac:dyDescent="0.2">
      <c r="AQ47117" s="31"/>
    </row>
    <row r="47118" spans="43:43" x14ac:dyDescent="0.2">
      <c r="AQ47118" s="31"/>
    </row>
    <row r="47119" spans="43:43" x14ac:dyDescent="0.2">
      <c r="AQ47119" s="31"/>
    </row>
    <row r="47120" spans="43:43" x14ac:dyDescent="0.2">
      <c r="AQ47120" s="31"/>
    </row>
    <row r="47121" spans="43:43" x14ac:dyDescent="0.2">
      <c r="AQ47121" s="31"/>
    </row>
    <row r="47122" spans="43:43" x14ac:dyDescent="0.2">
      <c r="AQ47122" s="31"/>
    </row>
    <row r="47123" spans="43:43" x14ac:dyDescent="0.2">
      <c r="AQ47123" s="31"/>
    </row>
    <row r="47124" spans="43:43" x14ac:dyDescent="0.2">
      <c r="AQ47124" s="31"/>
    </row>
    <row r="47125" spans="43:43" x14ac:dyDescent="0.2">
      <c r="AQ47125" s="31"/>
    </row>
    <row r="47126" spans="43:43" x14ac:dyDescent="0.2">
      <c r="AQ47126" s="31"/>
    </row>
    <row r="47127" spans="43:43" x14ac:dyDescent="0.2">
      <c r="AQ47127" s="31"/>
    </row>
    <row r="47128" spans="43:43" x14ac:dyDescent="0.2">
      <c r="AQ47128" s="31"/>
    </row>
    <row r="47129" spans="43:43" x14ac:dyDescent="0.2">
      <c r="AQ47129" s="31"/>
    </row>
    <row r="47130" spans="43:43" x14ac:dyDescent="0.2">
      <c r="AQ47130" s="31"/>
    </row>
    <row r="47131" spans="43:43" x14ac:dyDescent="0.2">
      <c r="AQ47131" s="31"/>
    </row>
    <row r="47132" spans="43:43" x14ac:dyDescent="0.2">
      <c r="AQ47132" s="31"/>
    </row>
    <row r="47133" spans="43:43" x14ac:dyDescent="0.2">
      <c r="AQ47133" s="31"/>
    </row>
    <row r="47134" spans="43:43" x14ac:dyDescent="0.2">
      <c r="AQ47134" s="31"/>
    </row>
    <row r="47135" spans="43:43" x14ac:dyDescent="0.2">
      <c r="AQ47135" s="31"/>
    </row>
    <row r="47136" spans="43:43" x14ac:dyDescent="0.2">
      <c r="AQ47136" s="31"/>
    </row>
    <row r="47137" spans="43:43" x14ac:dyDescent="0.2">
      <c r="AQ47137" s="31"/>
    </row>
    <row r="47138" spans="43:43" x14ac:dyDescent="0.2">
      <c r="AQ47138" s="31"/>
    </row>
    <row r="47139" spans="43:43" x14ac:dyDescent="0.2">
      <c r="AQ47139" s="31"/>
    </row>
    <row r="47140" spans="43:43" x14ac:dyDescent="0.2">
      <c r="AQ47140" s="31"/>
    </row>
    <row r="47141" spans="43:43" x14ac:dyDescent="0.2">
      <c r="AQ47141" s="31"/>
    </row>
    <row r="47142" spans="43:43" x14ac:dyDescent="0.2">
      <c r="AQ47142" s="31"/>
    </row>
    <row r="47143" spans="43:43" x14ac:dyDescent="0.2">
      <c r="AQ47143" s="31"/>
    </row>
    <row r="47144" spans="43:43" x14ac:dyDescent="0.2">
      <c r="AQ47144" s="31"/>
    </row>
    <row r="47145" spans="43:43" x14ac:dyDescent="0.2">
      <c r="AQ47145" s="31"/>
    </row>
    <row r="47146" spans="43:43" x14ac:dyDescent="0.2">
      <c r="AQ47146" s="31"/>
    </row>
    <row r="47147" spans="43:43" x14ac:dyDescent="0.2">
      <c r="AQ47147" s="31"/>
    </row>
    <row r="47148" spans="43:43" x14ac:dyDescent="0.2">
      <c r="AQ47148" s="31"/>
    </row>
    <row r="47149" spans="43:43" x14ac:dyDescent="0.2">
      <c r="AQ47149" s="31"/>
    </row>
    <row r="47150" spans="43:43" x14ac:dyDescent="0.2">
      <c r="AQ47150" s="31"/>
    </row>
    <row r="47151" spans="43:43" x14ac:dyDescent="0.2">
      <c r="AQ47151" s="31"/>
    </row>
    <row r="47152" spans="43:43" x14ac:dyDescent="0.2">
      <c r="AQ47152" s="31"/>
    </row>
    <row r="47153" spans="43:43" x14ac:dyDescent="0.2">
      <c r="AQ47153" s="31"/>
    </row>
    <row r="47154" spans="43:43" x14ac:dyDescent="0.2">
      <c r="AQ47154" s="31"/>
    </row>
    <row r="47155" spans="43:43" x14ac:dyDescent="0.2">
      <c r="AQ47155" s="31"/>
    </row>
    <row r="47156" spans="43:43" x14ac:dyDescent="0.2">
      <c r="AQ47156" s="31"/>
    </row>
    <row r="47157" spans="43:43" x14ac:dyDescent="0.2">
      <c r="AQ47157" s="31"/>
    </row>
    <row r="47158" spans="43:43" x14ac:dyDescent="0.2">
      <c r="AQ47158" s="31"/>
    </row>
    <row r="47159" spans="43:43" x14ac:dyDescent="0.2">
      <c r="AQ47159" s="31"/>
    </row>
    <row r="47160" spans="43:43" x14ac:dyDescent="0.2">
      <c r="AQ47160" s="31"/>
    </row>
    <row r="47161" spans="43:43" x14ac:dyDescent="0.2">
      <c r="AQ47161" s="31"/>
    </row>
    <row r="47162" spans="43:43" x14ac:dyDescent="0.2">
      <c r="AQ47162" s="31"/>
    </row>
    <row r="47163" spans="43:43" x14ac:dyDescent="0.2">
      <c r="AQ47163" s="31"/>
    </row>
    <row r="47164" spans="43:43" x14ac:dyDescent="0.2">
      <c r="AQ47164" s="31"/>
    </row>
    <row r="47165" spans="43:43" x14ac:dyDescent="0.2">
      <c r="AQ47165" s="31"/>
    </row>
    <row r="47166" spans="43:43" x14ac:dyDescent="0.2">
      <c r="AQ47166" s="31"/>
    </row>
    <row r="47167" spans="43:43" x14ac:dyDescent="0.2">
      <c r="AQ47167" s="31"/>
    </row>
    <row r="47168" spans="43:43" x14ac:dyDescent="0.2">
      <c r="AQ47168" s="31"/>
    </row>
    <row r="47169" spans="43:43" x14ac:dyDescent="0.2">
      <c r="AQ47169" s="31"/>
    </row>
    <row r="47170" spans="43:43" x14ac:dyDescent="0.2">
      <c r="AQ47170" s="31"/>
    </row>
    <row r="47171" spans="43:43" x14ac:dyDescent="0.2">
      <c r="AQ47171" s="31"/>
    </row>
    <row r="47172" spans="43:43" x14ac:dyDescent="0.2">
      <c r="AQ47172" s="31"/>
    </row>
    <row r="47173" spans="43:43" x14ac:dyDescent="0.2">
      <c r="AQ47173" s="31"/>
    </row>
    <row r="47174" spans="43:43" x14ac:dyDescent="0.2">
      <c r="AQ47174" s="31"/>
    </row>
    <row r="47175" spans="43:43" x14ac:dyDescent="0.2">
      <c r="AQ47175" s="31"/>
    </row>
    <row r="47176" spans="43:43" x14ac:dyDescent="0.2">
      <c r="AQ47176" s="31"/>
    </row>
    <row r="47177" spans="43:43" x14ac:dyDescent="0.2">
      <c r="AQ47177" s="31"/>
    </row>
    <row r="47178" spans="43:43" x14ac:dyDescent="0.2">
      <c r="AQ47178" s="31"/>
    </row>
    <row r="47179" spans="43:43" x14ac:dyDescent="0.2">
      <c r="AQ47179" s="31"/>
    </row>
    <row r="47180" spans="43:43" x14ac:dyDescent="0.2">
      <c r="AQ47180" s="31"/>
    </row>
    <row r="47181" spans="43:43" x14ac:dyDescent="0.2">
      <c r="AQ47181" s="31"/>
    </row>
    <row r="47182" spans="43:43" x14ac:dyDescent="0.2">
      <c r="AQ47182" s="31"/>
    </row>
    <row r="47183" spans="43:43" x14ac:dyDescent="0.2">
      <c r="AQ47183" s="31"/>
    </row>
    <row r="47184" spans="43:43" x14ac:dyDescent="0.2">
      <c r="AQ47184" s="31"/>
    </row>
    <row r="47185" spans="43:43" x14ac:dyDescent="0.2">
      <c r="AQ47185" s="31"/>
    </row>
    <row r="47186" spans="43:43" x14ac:dyDescent="0.2">
      <c r="AQ47186" s="31"/>
    </row>
    <row r="47187" spans="43:43" x14ac:dyDescent="0.2">
      <c r="AQ47187" s="31"/>
    </row>
    <row r="47188" spans="43:43" x14ac:dyDescent="0.2">
      <c r="AQ47188" s="31"/>
    </row>
    <row r="47189" spans="43:43" x14ac:dyDescent="0.2">
      <c r="AQ47189" s="31"/>
    </row>
    <row r="47190" spans="43:43" x14ac:dyDescent="0.2">
      <c r="AQ47190" s="31"/>
    </row>
    <row r="47191" spans="43:43" x14ac:dyDescent="0.2">
      <c r="AQ47191" s="31"/>
    </row>
    <row r="47192" spans="43:43" x14ac:dyDescent="0.2">
      <c r="AQ47192" s="31"/>
    </row>
    <row r="47193" spans="43:43" x14ac:dyDescent="0.2">
      <c r="AQ47193" s="31"/>
    </row>
    <row r="47194" spans="43:43" x14ac:dyDescent="0.2">
      <c r="AQ47194" s="31"/>
    </row>
    <row r="47195" spans="43:43" x14ac:dyDescent="0.2">
      <c r="AQ47195" s="31"/>
    </row>
    <row r="47196" spans="43:43" x14ac:dyDescent="0.2">
      <c r="AQ47196" s="31"/>
    </row>
    <row r="47197" spans="43:43" x14ac:dyDescent="0.2">
      <c r="AQ47197" s="31"/>
    </row>
    <row r="47198" spans="43:43" x14ac:dyDescent="0.2">
      <c r="AQ47198" s="31"/>
    </row>
    <row r="47199" spans="43:43" x14ac:dyDescent="0.2">
      <c r="AQ47199" s="31"/>
    </row>
    <row r="47200" spans="43:43" x14ac:dyDescent="0.2">
      <c r="AQ47200" s="31"/>
    </row>
    <row r="47201" spans="43:43" x14ac:dyDescent="0.2">
      <c r="AQ47201" s="31"/>
    </row>
    <row r="47202" spans="43:43" x14ac:dyDescent="0.2">
      <c r="AQ47202" s="31"/>
    </row>
    <row r="47203" spans="43:43" x14ac:dyDescent="0.2">
      <c r="AQ47203" s="31"/>
    </row>
    <row r="47204" spans="43:43" x14ac:dyDescent="0.2">
      <c r="AQ47204" s="31"/>
    </row>
    <row r="47205" spans="43:43" x14ac:dyDescent="0.2">
      <c r="AQ47205" s="31"/>
    </row>
    <row r="47206" spans="43:43" x14ac:dyDescent="0.2">
      <c r="AQ47206" s="31"/>
    </row>
    <row r="47207" spans="43:43" x14ac:dyDescent="0.2">
      <c r="AQ47207" s="31"/>
    </row>
    <row r="47208" spans="43:43" x14ac:dyDescent="0.2">
      <c r="AQ47208" s="31"/>
    </row>
    <row r="47209" spans="43:43" x14ac:dyDescent="0.2">
      <c r="AQ47209" s="31"/>
    </row>
    <row r="47210" spans="43:43" x14ac:dyDescent="0.2">
      <c r="AQ47210" s="31"/>
    </row>
    <row r="47211" spans="43:43" x14ac:dyDescent="0.2">
      <c r="AQ47211" s="31"/>
    </row>
    <row r="47212" spans="43:43" x14ac:dyDescent="0.2">
      <c r="AQ47212" s="31"/>
    </row>
    <row r="47213" spans="43:43" x14ac:dyDescent="0.2">
      <c r="AQ47213" s="31"/>
    </row>
    <row r="47214" spans="43:43" x14ac:dyDescent="0.2">
      <c r="AQ47214" s="31"/>
    </row>
    <row r="47215" spans="43:43" x14ac:dyDescent="0.2">
      <c r="AQ47215" s="31"/>
    </row>
    <row r="47216" spans="43:43" x14ac:dyDescent="0.2">
      <c r="AQ47216" s="31"/>
    </row>
    <row r="47217" spans="43:43" x14ac:dyDescent="0.2">
      <c r="AQ47217" s="31"/>
    </row>
    <row r="47218" spans="43:43" x14ac:dyDescent="0.2">
      <c r="AQ47218" s="31"/>
    </row>
    <row r="47219" spans="43:43" x14ac:dyDescent="0.2">
      <c r="AQ47219" s="31"/>
    </row>
    <row r="47220" spans="43:43" x14ac:dyDescent="0.2">
      <c r="AQ47220" s="31"/>
    </row>
    <row r="47221" spans="43:43" x14ac:dyDescent="0.2">
      <c r="AQ47221" s="31"/>
    </row>
    <row r="47222" spans="43:43" x14ac:dyDescent="0.2">
      <c r="AQ47222" s="31"/>
    </row>
    <row r="47223" spans="43:43" x14ac:dyDescent="0.2">
      <c r="AQ47223" s="31"/>
    </row>
    <row r="47224" spans="43:43" x14ac:dyDescent="0.2">
      <c r="AQ47224" s="31"/>
    </row>
    <row r="47225" spans="43:43" x14ac:dyDescent="0.2">
      <c r="AQ47225" s="31"/>
    </row>
    <row r="47226" spans="43:43" x14ac:dyDescent="0.2">
      <c r="AQ47226" s="31"/>
    </row>
    <row r="47227" spans="43:43" x14ac:dyDescent="0.2">
      <c r="AQ47227" s="31"/>
    </row>
    <row r="47228" spans="43:43" x14ac:dyDescent="0.2">
      <c r="AQ47228" s="31"/>
    </row>
    <row r="47229" spans="43:43" x14ac:dyDescent="0.2">
      <c r="AQ47229" s="31"/>
    </row>
    <row r="47230" spans="43:43" x14ac:dyDescent="0.2">
      <c r="AQ47230" s="31"/>
    </row>
    <row r="47231" spans="43:43" x14ac:dyDescent="0.2">
      <c r="AQ47231" s="31"/>
    </row>
    <row r="47232" spans="43:43" x14ac:dyDescent="0.2">
      <c r="AQ47232" s="31"/>
    </row>
    <row r="47233" spans="43:43" x14ac:dyDescent="0.2">
      <c r="AQ47233" s="31"/>
    </row>
    <row r="47234" spans="43:43" x14ac:dyDescent="0.2">
      <c r="AQ47234" s="31"/>
    </row>
    <row r="47235" spans="43:43" x14ac:dyDescent="0.2">
      <c r="AQ47235" s="31"/>
    </row>
    <row r="47236" spans="43:43" x14ac:dyDescent="0.2">
      <c r="AQ47236" s="31"/>
    </row>
    <row r="47237" spans="43:43" x14ac:dyDescent="0.2">
      <c r="AQ47237" s="31"/>
    </row>
    <row r="47238" spans="43:43" x14ac:dyDescent="0.2">
      <c r="AQ47238" s="31"/>
    </row>
    <row r="47239" spans="43:43" x14ac:dyDescent="0.2">
      <c r="AQ47239" s="31"/>
    </row>
    <row r="47240" spans="43:43" x14ac:dyDescent="0.2">
      <c r="AQ47240" s="31"/>
    </row>
    <row r="47241" spans="43:43" x14ac:dyDescent="0.2">
      <c r="AQ47241" s="31"/>
    </row>
    <row r="47242" spans="43:43" x14ac:dyDescent="0.2">
      <c r="AQ47242" s="31"/>
    </row>
    <row r="47243" spans="43:43" x14ac:dyDescent="0.2">
      <c r="AQ47243" s="31"/>
    </row>
    <row r="47244" spans="43:43" x14ac:dyDescent="0.2">
      <c r="AQ47244" s="31"/>
    </row>
    <row r="47245" spans="43:43" x14ac:dyDescent="0.2">
      <c r="AQ47245" s="31"/>
    </row>
    <row r="47246" spans="43:43" x14ac:dyDescent="0.2">
      <c r="AQ47246" s="31"/>
    </row>
    <row r="47247" spans="43:43" x14ac:dyDescent="0.2">
      <c r="AQ47247" s="31"/>
    </row>
    <row r="47248" spans="43:43" x14ac:dyDescent="0.2">
      <c r="AQ47248" s="31"/>
    </row>
    <row r="47249" spans="43:43" x14ac:dyDescent="0.2">
      <c r="AQ47249" s="31"/>
    </row>
    <row r="47250" spans="43:43" x14ac:dyDescent="0.2">
      <c r="AQ47250" s="31"/>
    </row>
    <row r="47251" spans="43:43" x14ac:dyDescent="0.2">
      <c r="AQ47251" s="31"/>
    </row>
    <row r="47252" spans="43:43" x14ac:dyDescent="0.2">
      <c r="AQ47252" s="31"/>
    </row>
    <row r="47253" spans="43:43" x14ac:dyDescent="0.2">
      <c r="AQ47253" s="31"/>
    </row>
    <row r="47254" spans="43:43" x14ac:dyDescent="0.2">
      <c r="AQ47254" s="31"/>
    </row>
    <row r="47255" spans="43:43" x14ac:dyDescent="0.2">
      <c r="AQ47255" s="31"/>
    </row>
    <row r="47256" spans="43:43" x14ac:dyDescent="0.2">
      <c r="AQ47256" s="31"/>
    </row>
    <row r="47257" spans="43:43" x14ac:dyDescent="0.2">
      <c r="AQ47257" s="31"/>
    </row>
    <row r="47258" spans="43:43" x14ac:dyDescent="0.2">
      <c r="AQ47258" s="31"/>
    </row>
    <row r="47259" spans="43:43" x14ac:dyDescent="0.2">
      <c r="AQ47259" s="31"/>
    </row>
    <row r="47260" spans="43:43" x14ac:dyDescent="0.2">
      <c r="AQ47260" s="31"/>
    </row>
    <row r="47261" spans="43:43" x14ac:dyDescent="0.2">
      <c r="AQ47261" s="31"/>
    </row>
    <row r="47262" spans="43:43" x14ac:dyDescent="0.2">
      <c r="AQ47262" s="31"/>
    </row>
    <row r="47263" spans="43:43" x14ac:dyDescent="0.2">
      <c r="AQ47263" s="31"/>
    </row>
    <row r="47264" spans="43:43" x14ac:dyDescent="0.2">
      <c r="AQ47264" s="31"/>
    </row>
    <row r="47265" spans="43:43" x14ac:dyDescent="0.2">
      <c r="AQ47265" s="31"/>
    </row>
    <row r="47266" spans="43:43" x14ac:dyDescent="0.2">
      <c r="AQ47266" s="31"/>
    </row>
    <row r="47267" spans="43:43" x14ac:dyDescent="0.2">
      <c r="AQ47267" s="31"/>
    </row>
    <row r="47268" spans="43:43" x14ac:dyDescent="0.2">
      <c r="AQ47268" s="31"/>
    </row>
    <row r="47269" spans="43:43" x14ac:dyDescent="0.2">
      <c r="AQ47269" s="31"/>
    </row>
    <row r="47270" spans="43:43" x14ac:dyDescent="0.2">
      <c r="AQ47270" s="31"/>
    </row>
    <row r="47271" spans="43:43" x14ac:dyDescent="0.2">
      <c r="AQ47271" s="31"/>
    </row>
    <row r="47272" spans="43:43" x14ac:dyDescent="0.2">
      <c r="AQ47272" s="31"/>
    </row>
    <row r="47273" spans="43:43" x14ac:dyDescent="0.2">
      <c r="AQ47273" s="31"/>
    </row>
    <row r="47274" spans="43:43" x14ac:dyDescent="0.2">
      <c r="AQ47274" s="31"/>
    </row>
    <row r="47275" spans="43:43" x14ac:dyDescent="0.2">
      <c r="AQ47275" s="31"/>
    </row>
    <row r="47276" spans="43:43" x14ac:dyDescent="0.2">
      <c r="AQ47276" s="31"/>
    </row>
    <row r="47277" spans="43:43" x14ac:dyDescent="0.2">
      <c r="AQ47277" s="31"/>
    </row>
    <row r="47278" spans="43:43" x14ac:dyDescent="0.2">
      <c r="AQ47278" s="31"/>
    </row>
    <row r="47279" spans="43:43" x14ac:dyDescent="0.2">
      <c r="AQ47279" s="31"/>
    </row>
    <row r="47280" spans="43:43" x14ac:dyDescent="0.2">
      <c r="AQ47280" s="31"/>
    </row>
    <row r="47281" spans="43:43" x14ac:dyDescent="0.2">
      <c r="AQ47281" s="31"/>
    </row>
    <row r="47282" spans="43:43" x14ac:dyDescent="0.2">
      <c r="AQ47282" s="31"/>
    </row>
    <row r="47283" spans="43:43" x14ac:dyDescent="0.2">
      <c r="AQ47283" s="31"/>
    </row>
    <row r="47284" spans="43:43" x14ac:dyDescent="0.2">
      <c r="AQ47284" s="31"/>
    </row>
    <row r="47285" spans="43:43" x14ac:dyDescent="0.2">
      <c r="AQ47285" s="31"/>
    </row>
    <row r="47286" spans="43:43" x14ac:dyDescent="0.2">
      <c r="AQ47286" s="31"/>
    </row>
    <row r="47287" spans="43:43" x14ac:dyDescent="0.2">
      <c r="AQ47287" s="31"/>
    </row>
    <row r="47288" spans="43:43" x14ac:dyDescent="0.2">
      <c r="AQ47288" s="31"/>
    </row>
    <row r="47289" spans="43:43" x14ac:dyDescent="0.2">
      <c r="AQ47289" s="31"/>
    </row>
    <row r="47290" spans="43:43" x14ac:dyDescent="0.2">
      <c r="AQ47290" s="31"/>
    </row>
    <row r="47291" spans="43:43" x14ac:dyDescent="0.2">
      <c r="AQ47291" s="31"/>
    </row>
    <row r="47292" spans="43:43" x14ac:dyDescent="0.2">
      <c r="AQ47292" s="31"/>
    </row>
    <row r="47293" spans="43:43" x14ac:dyDescent="0.2">
      <c r="AQ47293" s="31"/>
    </row>
    <row r="47294" spans="43:43" x14ac:dyDescent="0.2">
      <c r="AQ47294" s="31"/>
    </row>
    <row r="47295" spans="43:43" x14ac:dyDescent="0.2">
      <c r="AQ47295" s="31"/>
    </row>
    <row r="47296" spans="43:43" x14ac:dyDescent="0.2">
      <c r="AQ47296" s="31"/>
    </row>
    <row r="47297" spans="43:43" x14ac:dyDescent="0.2">
      <c r="AQ47297" s="31"/>
    </row>
    <row r="47298" spans="43:43" x14ac:dyDescent="0.2">
      <c r="AQ47298" s="31"/>
    </row>
    <row r="47299" spans="43:43" x14ac:dyDescent="0.2">
      <c r="AQ47299" s="31"/>
    </row>
    <row r="47300" spans="43:43" x14ac:dyDescent="0.2">
      <c r="AQ47300" s="31"/>
    </row>
    <row r="47301" spans="43:43" x14ac:dyDescent="0.2">
      <c r="AQ47301" s="31"/>
    </row>
    <row r="47302" spans="43:43" x14ac:dyDescent="0.2">
      <c r="AQ47302" s="31"/>
    </row>
    <row r="47303" spans="43:43" x14ac:dyDescent="0.2">
      <c r="AQ47303" s="31"/>
    </row>
    <row r="47304" spans="43:43" x14ac:dyDescent="0.2">
      <c r="AQ47304" s="31"/>
    </row>
    <row r="47305" spans="43:43" x14ac:dyDescent="0.2">
      <c r="AQ47305" s="31"/>
    </row>
    <row r="47306" spans="43:43" x14ac:dyDescent="0.2">
      <c r="AQ47306" s="31"/>
    </row>
    <row r="47307" spans="43:43" x14ac:dyDescent="0.2">
      <c r="AQ47307" s="31"/>
    </row>
    <row r="47308" spans="43:43" x14ac:dyDescent="0.2">
      <c r="AQ47308" s="31"/>
    </row>
    <row r="47309" spans="43:43" x14ac:dyDescent="0.2">
      <c r="AQ47309" s="31"/>
    </row>
    <row r="47310" spans="43:43" x14ac:dyDescent="0.2">
      <c r="AQ47310" s="31"/>
    </row>
    <row r="47311" spans="43:43" x14ac:dyDescent="0.2">
      <c r="AQ47311" s="31"/>
    </row>
    <row r="47312" spans="43:43" x14ac:dyDescent="0.2">
      <c r="AQ47312" s="31"/>
    </row>
    <row r="47313" spans="43:43" x14ac:dyDescent="0.2">
      <c r="AQ47313" s="31"/>
    </row>
    <row r="47314" spans="43:43" x14ac:dyDescent="0.2">
      <c r="AQ47314" s="31"/>
    </row>
    <row r="47315" spans="43:43" x14ac:dyDescent="0.2">
      <c r="AQ47315" s="31"/>
    </row>
    <row r="47316" spans="43:43" x14ac:dyDescent="0.2">
      <c r="AQ47316" s="31"/>
    </row>
    <row r="47317" spans="43:43" x14ac:dyDescent="0.2">
      <c r="AQ47317" s="31"/>
    </row>
    <row r="47318" spans="43:43" x14ac:dyDescent="0.2">
      <c r="AQ47318" s="31"/>
    </row>
    <row r="47319" spans="43:43" x14ac:dyDescent="0.2">
      <c r="AQ47319" s="31"/>
    </row>
    <row r="47320" spans="43:43" x14ac:dyDescent="0.2">
      <c r="AQ47320" s="31"/>
    </row>
    <row r="47321" spans="43:43" x14ac:dyDescent="0.2">
      <c r="AQ47321" s="31"/>
    </row>
    <row r="47322" spans="43:43" x14ac:dyDescent="0.2">
      <c r="AQ47322" s="31"/>
    </row>
    <row r="47323" spans="43:43" x14ac:dyDescent="0.2">
      <c r="AQ47323" s="31"/>
    </row>
    <row r="47324" spans="43:43" x14ac:dyDescent="0.2">
      <c r="AQ47324" s="31"/>
    </row>
    <row r="47325" spans="43:43" x14ac:dyDescent="0.2">
      <c r="AQ47325" s="31"/>
    </row>
    <row r="47326" spans="43:43" x14ac:dyDescent="0.2">
      <c r="AQ47326" s="31"/>
    </row>
    <row r="47327" spans="43:43" x14ac:dyDescent="0.2">
      <c r="AQ47327" s="31"/>
    </row>
    <row r="47328" spans="43:43" x14ac:dyDescent="0.2">
      <c r="AQ47328" s="31"/>
    </row>
    <row r="47329" spans="43:43" x14ac:dyDescent="0.2">
      <c r="AQ47329" s="31"/>
    </row>
    <row r="47330" spans="43:43" x14ac:dyDescent="0.2">
      <c r="AQ47330" s="31"/>
    </row>
    <row r="47331" spans="43:43" x14ac:dyDescent="0.2">
      <c r="AQ47331" s="31"/>
    </row>
    <row r="47332" spans="43:43" x14ac:dyDescent="0.2">
      <c r="AQ47332" s="31"/>
    </row>
    <row r="47333" spans="43:43" x14ac:dyDescent="0.2">
      <c r="AQ47333" s="31"/>
    </row>
    <row r="47334" spans="43:43" x14ac:dyDescent="0.2">
      <c r="AQ47334" s="31"/>
    </row>
    <row r="47335" spans="43:43" x14ac:dyDescent="0.2">
      <c r="AQ47335" s="31"/>
    </row>
    <row r="47336" spans="43:43" x14ac:dyDescent="0.2">
      <c r="AQ47336" s="31"/>
    </row>
    <row r="47337" spans="43:43" x14ac:dyDescent="0.2">
      <c r="AQ47337" s="31"/>
    </row>
    <row r="47338" spans="43:43" x14ac:dyDescent="0.2">
      <c r="AQ47338" s="31"/>
    </row>
    <row r="47339" spans="43:43" x14ac:dyDescent="0.2">
      <c r="AQ47339" s="31"/>
    </row>
    <row r="47340" spans="43:43" x14ac:dyDescent="0.2">
      <c r="AQ47340" s="31"/>
    </row>
    <row r="47341" spans="43:43" x14ac:dyDescent="0.2">
      <c r="AQ47341" s="31"/>
    </row>
    <row r="47342" spans="43:43" x14ac:dyDescent="0.2">
      <c r="AQ47342" s="31"/>
    </row>
    <row r="47343" spans="43:43" x14ac:dyDescent="0.2">
      <c r="AQ47343" s="31"/>
    </row>
    <row r="47344" spans="43:43" x14ac:dyDescent="0.2">
      <c r="AQ47344" s="31"/>
    </row>
    <row r="47345" spans="43:43" x14ac:dyDescent="0.2">
      <c r="AQ47345" s="31"/>
    </row>
    <row r="47346" spans="43:43" x14ac:dyDescent="0.2">
      <c r="AQ47346" s="31"/>
    </row>
    <row r="47347" spans="43:43" x14ac:dyDescent="0.2">
      <c r="AQ47347" s="31"/>
    </row>
    <row r="47348" spans="43:43" x14ac:dyDescent="0.2">
      <c r="AQ47348" s="31"/>
    </row>
    <row r="47349" spans="43:43" x14ac:dyDescent="0.2">
      <c r="AQ47349" s="31"/>
    </row>
    <row r="47350" spans="43:43" x14ac:dyDescent="0.2">
      <c r="AQ47350" s="31"/>
    </row>
    <row r="47351" spans="43:43" x14ac:dyDescent="0.2">
      <c r="AQ47351" s="31"/>
    </row>
    <row r="47352" spans="43:43" x14ac:dyDescent="0.2">
      <c r="AQ47352" s="31"/>
    </row>
    <row r="47353" spans="43:43" x14ac:dyDescent="0.2">
      <c r="AQ47353" s="31"/>
    </row>
    <row r="47354" spans="43:43" x14ac:dyDescent="0.2">
      <c r="AQ47354" s="31"/>
    </row>
    <row r="47355" spans="43:43" x14ac:dyDescent="0.2">
      <c r="AQ47355" s="31"/>
    </row>
    <row r="47356" spans="43:43" x14ac:dyDescent="0.2">
      <c r="AQ47356" s="31"/>
    </row>
    <row r="47357" spans="43:43" x14ac:dyDescent="0.2">
      <c r="AQ47357" s="31"/>
    </row>
    <row r="47358" spans="43:43" x14ac:dyDescent="0.2">
      <c r="AQ47358" s="31"/>
    </row>
    <row r="47359" spans="43:43" x14ac:dyDescent="0.2">
      <c r="AQ47359" s="31"/>
    </row>
    <row r="47360" spans="43:43" x14ac:dyDescent="0.2">
      <c r="AQ47360" s="31"/>
    </row>
    <row r="47361" spans="43:43" x14ac:dyDescent="0.2">
      <c r="AQ47361" s="31"/>
    </row>
    <row r="47362" spans="43:43" x14ac:dyDescent="0.2">
      <c r="AQ47362" s="31"/>
    </row>
    <row r="47363" spans="43:43" x14ac:dyDescent="0.2">
      <c r="AQ47363" s="31"/>
    </row>
    <row r="47364" spans="43:43" x14ac:dyDescent="0.2">
      <c r="AQ47364" s="31"/>
    </row>
    <row r="47365" spans="43:43" x14ac:dyDescent="0.2">
      <c r="AQ47365" s="31"/>
    </row>
    <row r="47366" spans="43:43" x14ac:dyDescent="0.2">
      <c r="AQ47366" s="31"/>
    </row>
    <row r="47367" spans="43:43" x14ac:dyDescent="0.2">
      <c r="AQ47367" s="31"/>
    </row>
    <row r="47368" spans="43:43" x14ac:dyDescent="0.2">
      <c r="AQ47368" s="31"/>
    </row>
    <row r="47369" spans="43:43" x14ac:dyDescent="0.2">
      <c r="AQ47369" s="31"/>
    </row>
    <row r="47370" spans="43:43" x14ac:dyDescent="0.2">
      <c r="AQ47370" s="31"/>
    </row>
    <row r="47371" spans="43:43" x14ac:dyDescent="0.2">
      <c r="AQ47371" s="31"/>
    </row>
    <row r="47372" spans="43:43" x14ac:dyDescent="0.2">
      <c r="AQ47372" s="31"/>
    </row>
    <row r="47373" spans="43:43" x14ac:dyDescent="0.2">
      <c r="AQ47373" s="31"/>
    </row>
    <row r="47374" spans="43:43" x14ac:dyDescent="0.2">
      <c r="AQ47374" s="31"/>
    </row>
    <row r="47375" spans="43:43" x14ac:dyDescent="0.2">
      <c r="AQ47375" s="31"/>
    </row>
    <row r="47376" spans="43:43" x14ac:dyDescent="0.2">
      <c r="AQ47376" s="31"/>
    </row>
    <row r="47377" spans="43:43" x14ac:dyDescent="0.2">
      <c r="AQ47377" s="31"/>
    </row>
    <row r="47378" spans="43:43" x14ac:dyDescent="0.2">
      <c r="AQ47378" s="31"/>
    </row>
    <row r="47379" spans="43:43" x14ac:dyDescent="0.2">
      <c r="AQ47379" s="31"/>
    </row>
    <row r="47380" spans="43:43" x14ac:dyDescent="0.2">
      <c r="AQ47380" s="31"/>
    </row>
    <row r="47381" spans="43:43" x14ac:dyDescent="0.2">
      <c r="AQ47381" s="31"/>
    </row>
    <row r="47382" spans="43:43" x14ac:dyDescent="0.2">
      <c r="AQ47382" s="31"/>
    </row>
    <row r="47383" spans="43:43" x14ac:dyDescent="0.2">
      <c r="AQ47383" s="31"/>
    </row>
    <row r="47384" spans="43:43" x14ac:dyDescent="0.2">
      <c r="AQ47384" s="31"/>
    </row>
    <row r="47385" spans="43:43" x14ac:dyDescent="0.2">
      <c r="AQ47385" s="31"/>
    </row>
    <row r="47386" spans="43:43" x14ac:dyDescent="0.2">
      <c r="AQ47386" s="31"/>
    </row>
    <row r="47387" spans="43:43" x14ac:dyDescent="0.2">
      <c r="AQ47387" s="31"/>
    </row>
    <row r="47388" spans="43:43" x14ac:dyDescent="0.2">
      <c r="AQ47388" s="31"/>
    </row>
    <row r="47389" spans="43:43" x14ac:dyDescent="0.2">
      <c r="AQ47389" s="31"/>
    </row>
    <row r="47390" spans="43:43" x14ac:dyDescent="0.2">
      <c r="AQ47390" s="31"/>
    </row>
    <row r="47391" spans="43:43" x14ac:dyDescent="0.2">
      <c r="AQ47391" s="31"/>
    </row>
    <row r="47392" spans="43:43" x14ac:dyDescent="0.2">
      <c r="AQ47392" s="31"/>
    </row>
    <row r="47393" spans="43:43" x14ac:dyDescent="0.2">
      <c r="AQ47393" s="31"/>
    </row>
    <row r="47394" spans="43:43" x14ac:dyDescent="0.2">
      <c r="AQ47394" s="31"/>
    </row>
    <row r="47395" spans="43:43" x14ac:dyDescent="0.2">
      <c r="AQ47395" s="31"/>
    </row>
    <row r="47396" spans="43:43" x14ac:dyDescent="0.2">
      <c r="AQ47396" s="31"/>
    </row>
    <row r="47397" spans="43:43" x14ac:dyDescent="0.2">
      <c r="AQ47397" s="31"/>
    </row>
    <row r="47398" spans="43:43" x14ac:dyDescent="0.2">
      <c r="AQ47398" s="31"/>
    </row>
    <row r="47399" spans="43:43" x14ac:dyDescent="0.2">
      <c r="AQ47399" s="31"/>
    </row>
    <row r="47400" spans="43:43" x14ac:dyDescent="0.2">
      <c r="AQ47400" s="31"/>
    </row>
    <row r="47401" spans="43:43" x14ac:dyDescent="0.2">
      <c r="AQ47401" s="31"/>
    </row>
    <row r="47402" spans="43:43" x14ac:dyDescent="0.2">
      <c r="AQ47402" s="31"/>
    </row>
    <row r="47403" spans="43:43" x14ac:dyDescent="0.2">
      <c r="AQ47403" s="31"/>
    </row>
    <row r="47404" spans="43:43" x14ac:dyDescent="0.2">
      <c r="AQ47404" s="31"/>
    </row>
    <row r="47405" spans="43:43" x14ac:dyDescent="0.2">
      <c r="AQ47405" s="31"/>
    </row>
    <row r="47406" spans="43:43" x14ac:dyDescent="0.2">
      <c r="AQ47406" s="31"/>
    </row>
    <row r="47407" spans="43:43" x14ac:dyDescent="0.2">
      <c r="AQ47407" s="31"/>
    </row>
    <row r="47408" spans="43:43" x14ac:dyDescent="0.2">
      <c r="AQ47408" s="31"/>
    </row>
    <row r="47409" spans="43:43" x14ac:dyDescent="0.2">
      <c r="AQ47409" s="31"/>
    </row>
    <row r="47410" spans="43:43" x14ac:dyDescent="0.2">
      <c r="AQ47410" s="31"/>
    </row>
    <row r="47411" spans="43:43" x14ac:dyDescent="0.2">
      <c r="AQ47411" s="31"/>
    </row>
    <row r="47412" spans="43:43" x14ac:dyDescent="0.2">
      <c r="AQ47412" s="31"/>
    </row>
    <row r="47413" spans="43:43" x14ac:dyDescent="0.2">
      <c r="AQ47413" s="31"/>
    </row>
    <row r="47414" spans="43:43" x14ac:dyDescent="0.2">
      <c r="AQ47414" s="31"/>
    </row>
    <row r="47415" spans="43:43" x14ac:dyDescent="0.2">
      <c r="AQ47415" s="31"/>
    </row>
    <row r="47416" spans="43:43" x14ac:dyDescent="0.2">
      <c r="AQ47416" s="31"/>
    </row>
    <row r="47417" spans="43:43" x14ac:dyDescent="0.2">
      <c r="AQ47417" s="31"/>
    </row>
    <row r="47418" spans="43:43" x14ac:dyDescent="0.2">
      <c r="AQ47418" s="31"/>
    </row>
    <row r="47419" spans="43:43" x14ac:dyDescent="0.2">
      <c r="AQ47419" s="31"/>
    </row>
    <row r="47420" spans="43:43" x14ac:dyDescent="0.2">
      <c r="AQ47420" s="31"/>
    </row>
    <row r="47421" spans="43:43" x14ac:dyDescent="0.2">
      <c r="AQ47421" s="31"/>
    </row>
    <row r="47422" spans="43:43" x14ac:dyDescent="0.2">
      <c r="AQ47422" s="31"/>
    </row>
    <row r="47423" spans="43:43" x14ac:dyDescent="0.2">
      <c r="AQ47423" s="31"/>
    </row>
    <row r="47424" spans="43:43" x14ac:dyDescent="0.2">
      <c r="AQ47424" s="31"/>
    </row>
    <row r="47425" spans="43:43" x14ac:dyDescent="0.2">
      <c r="AQ47425" s="31"/>
    </row>
    <row r="47426" spans="43:43" x14ac:dyDescent="0.2">
      <c r="AQ47426" s="31"/>
    </row>
    <row r="47427" spans="43:43" x14ac:dyDescent="0.2">
      <c r="AQ47427" s="31"/>
    </row>
    <row r="47428" spans="43:43" x14ac:dyDescent="0.2">
      <c r="AQ47428" s="31"/>
    </row>
    <row r="47429" spans="43:43" x14ac:dyDescent="0.2">
      <c r="AQ47429" s="31"/>
    </row>
    <row r="47430" spans="43:43" x14ac:dyDescent="0.2">
      <c r="AQ47430" s="31"/>
    </row>
    <row r="47431" spans="43:43" x14ac:dyDescent="0.2">
      <c r="AQ47431" s="31"/>
    </row>
    <row r="47432" spans="43:43" x14ac:dyDescent="0.2">
      <c r="AQ47432" s="31"/>
    </row>
    <row r="47433" spans="43:43" x14ac:dyDescent="0.2">
      <c r="AQ47433" s="31"/>
    </row>
    <row r="47434" spans="43:43" x14ac:dyDescent="0.2">
      <c r="AQ47434" s="31"/>
    </row>
    <row r="47435" spans="43:43" x14ac:dyDescent="0.2">
      <c r="AQ47435" s="31"/>
    </row>
    <row r="47436" spans="43:43" x14ac:dyDescent="0.2">
      <c r="AQ47436" s="31"/>
    </row>
    <row r="47437" spans="43:43" x14ac:dyDescent="0.2">
      <c r="AQ47437" s="31"/>
    </row>
    <row r="47438" spans="43:43" x14ac:dyDescent="0.2">
      <c r="AQ47438" s="31"/>
    </row>
    <row r="47439" spans="43:43" x14ac:dyDescent="0.2">
      <c r="AQ47439" s="31"/>
    </row>
    <row r="47440" spans="43:43" x14ac:dyDescent="0.2">
      <c r="AQ47440" s="31"/>
    </row>
    <row r="47441" spans="43:43" x14ac:dyDescent="0.2">
      <c r="AQ47441" s="31"/>
    </row>
    <row r="47442" spans="43:43" x14ac:dyDescent="0.2">
      <c r="AQ47442" s="31"/>
    </row>
    <row r="47443" spans="43:43" x14ac:dyDescent="0.2">
      <c r="AQ47443" s="31"/>
    </row>
    <row r="47444" spans="43:43" x14ac:dyDescent="0.2">
      <c r="AQ47444" s="31"/>
    </row>
    <row r="47445" spans="43:43" x14ac:dyDescent="0.2">
      <c r="AQ47445" s="31"/>
    </row>
    <row r="47446" spans="43:43" x14ac:dyDescent="0.2">
      <c r="AQ47446" s="31"/>
    </row>
    <row r="47447" spans="43:43" x14ac:dyDescent="0.2">
      <c r="AQ47447" s="31"/>
    </row>
    <row r="47448" spans="43:43" x14ac:dyDescent="0.2">
      <c r="AQ47448" s="31"/>
    </row>
    <row r="47449" spans="43:43" x14ac:dyDescent="0.2">
      <c r="AQ47449" s="31"/>
    </row>
    <row r="47450" spans="43:43" x14ac:dyDescent="0.2">
      <c r="AQ47450" s="31"/>
    </row>
    <row r="47451" spans="43:43" x14ac:dyDescent="0.2">
      <c r="AQ47451" s="31"/>
    </row>
    <row r="47452" spans="43:43" x14ac:dyDescent="0.2">
      <c r="AQ47452" s="31"/>
    </row>
    <row r="47453" spans="43:43" x14ac:dyDescent="0.2">
      <c r="AQ47453" s="31"/>
    </row>
    <row r="47454" spans="43:43" x14ac:dyDescent="0.2">
      <c r="AQ47454" s="31"/>
    </row>
    <row r="47455" spans="43:43" x14ac:dyDescent="0.2">
      <c r="AQ47455" s="31"/>
    </row>
    <row r="47456" spans="43:43" x14ac:dyDescent="0.2">
      <c r="AQ47456" s="31"/>
    </row>
    <row r="47457" spans="43:43" x14ac:dyDescent="0.2">
      <c r="AQ47457" s="31"/>
    </row>
    <row r="47458" spans="43:43" x14ac:dyDescent="0.2">
      <c r="AQ47458" s="31"/>
    </row>
    <row r="47459" spans="43:43" x14ac:dyDescent="0.2">
      <c r="AQ47459" s="31"/>
    </row>
    <row r="47460" spans="43:43" x14ac:dyDescent="0.2">
      <c r="AQ47460" s="31"/>
    </row>
    <row r="47461" spans="43:43" x14ac:dyDescent="0.2">
      <c r="AQ47461" s="31"/>
    </row>
    <row r="47462" spans="43:43" x14ac:dyDescent="0.2">
      <c r="AQ47462" s="31"/>
    </row>
    <row r="47463" spans="43:43" x14ac:dyDescent="0.2">
      <c r="AQ47463" s="31"/>
    </row>
    <row r="47464" spans="43:43" x14ac:dyDescent="0.2">
      <c r="AQ47464" s="31"/>
    </row>
    <row r="47465" spans="43:43" x14ac:dyDescent="0.2">
      <c r="AQ47465" s="31"/>
    </row>
    <row r="47466" spans="43:43" x14ac:dyDescent="0.2">
      <c r="AQ47466" s="31"/>
    </row>
    <row r="47467" spans="43:43" x14ac:dyDescent="0.2">
      <c r="AQ47467" s="31"/>
    </row>
    <row r="47468" spans="43:43" x14ac:dyDescent="0.2">
      <c r="AQ47468" s="31"/>
    </row>
    <row r="47469" spans="43:43" x14ac:dyDescent="0.2">
      <c r="AQ47469" s="31"/>
    </row>
    <row r="47470" spans="43:43" x14ac:dyDescent="0.2">
      <c r="AQ47470" s="31"/>
    </row>
    <row r="47471" spans="43:43" x14ac:dyDescent="0.2">
      <c r="AQ47471" s="31"/>
    </row>
    <row r="47472" spans="43:43" x14ac:dyDescent="0.2">
      <c r="AQ47472" s="31"/>
    </row>
    <row r="47473" spans="43:43" x14ac:dyDescent="0.2">
      <c r="AQ47473" s="31"/>
    </row>
    <row r="47474" spans="43:43" x14ac:dyDescent="0.2">
      <c r="AQ47474" s="31"/>
    </row>
    <row r="47475" spans="43:43" x14ac:dyDescent="0.2">
      <c r="AQ47475" s="31"/>
    </row>
    <row r="47476" spans="43:43" x14ac:dyDescent="0.2">
      <c r="AQ47476" s="31"/>
    </row>
    <row r="47477" spans="43:43" x14ac:dyDescent="0.2">
      <c r="AQ47477" s="31"/>
    </row>
    <row r="47478" spans="43:43" x14ac:dyDescent="0.2">
      <c r="AQ47478" s="31"/>
    </row>
    <row r="47479" spans="43:43" x14ac:dyDescent="0.2">
      <c r="AQ47479" s="31"/>
    </row>
    <row r="47480" spans="43:43" x14ac:dyDescent="0.2">
      <c r="AQ47480" s="31"/>
    </row>
    <row r="47481" spans="43:43" x14ac:dyDescent="0.2">
      <c r="AQ47481" s="31"/>
    </row>
    <row r="47482" spans="43:43" x14ac:dyDescent="0.2">
      <c r="AQ47482" s="31"/>
    </row>
    <row r="47483" spans="43:43" x14ac:dyDescent="0.2">
      <c r="AQ47483" s="31"/>
    </row>
    <row r="47484" spans="43:43" x14ac:dyDescent="0.2">
      <c r="AQ47484" s="31"/>
    </row>
    <row r="47485" spans="43:43" x14ac:dyDescent="0.2">
      <c r="AQ47485" s="31"/>
    </row>
    <row r="47486" spans="43:43" x14ac:dyDescent="0.2">
      <c r="AQ47486" s="31"/>
    </row>
    <row r="47487" spans="43:43" x14ac:dyDescent="0.2">
      <c r="AQ47487" s="31"/>
    </row>
    <row r="47488" spans="43:43" x14ac:dyDescent="0.2">
      <c r="AQ47488" s="31"/>
    </row>
    <row r="47489" spans="43:43" x14ac:dyDescent="0.2">
      <c r="AQ47489" s="31"/>
    </row>
    <row r="47490" spans="43:43" x14ac:dyDescent="0.2">
      <c r="AQ47490" s="31"/>
    </row>
    <row r="47491" spans="43:43" x14ac:dyDescent="0.2">
      <c r="AQ47491" s="31"/>
    </row>
    <row r="47492" spans="43:43" x14ac:dyDescent="0.2">
      <c r="AQ47492" s="31"/>
    </row>
    <row r="47493" spans="43:43" x14ac:dyDescent="0.2">
      <c r="AQ47493" s="31"/>
    </row>
    <row r="47494" spans="43:43" x14ac:dyDescent="0.2">
      <c r="AQ47494" s="31"/>
    </row>
    <row r="47495" spans="43:43" x14ac:dyDescent="0.2">
      <c r="AQ47495" s="31"/>
    </row>
    <row r="47496" spans="43:43" x14ac:dyDescent="0.2">
      <c r="AQ47496" s="31"/>
    </row>
    <row r="47497" spans="43:43" x14ac:dyDescent="0.2">
      <c r="AQ47497" s="31"/>
    </row>
    <row r="47498" spans="43:43" x14ac:dyDescent="0.2">
      <c r="AQ47498" s="31"/>
    </row>
    <row r="47499" spans="43:43" x14ac:dyDescent="0.2">
      <c r="AQ47499" s="31"/>
    </row>
    <row r="47500" spans="43:43" x14ac:dyDescent="0.2">
      <c r="AQ47500" s="31"/>
    </row>
    <row r="47501" spans="43:43" x14ac:dyDescent="0.2">
      <c r="AQ47501" s="31"/>
    </row>
    <row r="47502" spans="43:43" x14ac:dyDescent="0.2">
      <c r="AQ47502" s="31"/>
    </row>
    <row r="47503" spans="43:43" x14ac:dyDescent="0.2">
      <c r="AQ47503" s="31"/>
    </row>
    <row r="47504" spans="43:43" x14ac:dyDescent="0.2">
      <c r="AQ47504" s="31"/>
    </row>
    <row r="47505" spans="43:43" x14ac:dyDescent="0.2">
      <c r="AQ47505" s="31"/>
    </row>
    <row r="47506" spans="43:43" x14ac:dyDescent="0.2">
      <c r="AQ47506" s="31"/>
    </row>
    <row r="47507" spans="43:43" x14ac:dyDescent="0.2">
      <c r="AQ47507" s="31"/>
    </row>
    <row r="47508" spans="43:43" x14ac:dyDescent="0.2">
      <c r="AQ47508" s="31"/>
    </row>
    <row r="47509" spans="43:43" x14ac:dyDescent="0.2">
      <c r="AQ47509" s="31"/>
    </row>
    <row r="47510" spans="43:43" x14ac:dyDescent="0.2">
      <c r="AQ47510" s="31"/>
    </row>
    <row r="47511" spans="43:43" x14ac:dyDescent="0.2">
      <c r="AQ47511" s="31"/>
    </row>
    <row r="47512" spans="43:43" x14ac:dyDescent="0.2">
      <c r="AQ47512" s="31"/>
    </row>
    <row r="47513" spans="43:43" x14ac:dyDescent="0.2">
      <c r="AQ47513" s="31"/>
    </row>
    <row r="47514" spans="43:43" x14ac:dyDescent="0.2">
      <c r="AQ47514" s="31"/>
    </row>
    <row r="47515" spans="43:43" x14ac:dyDescent="0.2">
      <c r="AQ47515" s="31"/>
    </row>
    <row r="47516" spans="43:43" x14ac:dyDescent="0.2">
      <c r="AQ47516" s="31"/>
    </row>
    <row r="47517" spans="43:43" x14ac:dyDescent="0.2">
      <c r="AQ47517" s="31"/>
    </row>
    <row r="47518" spans="43:43" x14ac:dyDescent="0.2">
      <c r="AQ47518" s="31"/>
    </row>
    <row r="47519" spans="43:43" x14ac:dyDescent="0.2">
      <c r="AQ47519" s="31"/>
    </row>
    <row r="47520" spans="43:43" x14ac:dyDescent="0.2">
      <c r="AQ47520" s="31"/>
    </row>
    <row r="47521" spans="43:43" x14ac:dyDescent="0.2">
      <c r="AQ47521" s="31"/>
    </row>
    <row r="47522" spans="43:43" x14ac:dyDescent="0.2">
      <c r="AQ47522" s="31"/>
    </row>
    <row r="47523" spans="43:43" x14ac:dyDescent="0.2">
      <c r="AQ47523" s="31"/>
    </row>
    <row r="47524" spans="43:43" x14ac:dyDescent="0.2">
      <c r="AQ47524" s="31"/>
    </row>
    <row r="47525" spans="43:43" x14ac:dyDescent="0.2">
      <c r="AQ47525" s="31"/>
    </row>
    <row r="47526" spans="43:43" x14ac:dyDescent="0.2">
      <c r="AQ47526" s="31"/>
    </row>
    <row r="47527" spans="43:43" x14ac:dyDescent="0.2">
      <c r="AQ47527" s="31"/>
    </row>
    <row r="47528" spans="43:43" x14ac:dyDescent="0.2">
      <c r="AQ47528" s="31"/>
    </row>
    <row r="47529" spans="43:43" x14ac:dyDescent="0.2">
      <c r="AQ47529" s="31"/>
    </row>
    <row r="47530" spans="43:43" x14ac:dyDescent="0.2">
      <c r="AQ47530" s="31"/>
    </row>
    <row r="47531" spans="43:43" x14ac:dyDescent="0.2">
      <c r="AQ47531" s="31"/>
    </row>
    <row r="47532" spans="43:43" x14ac:dyDescent="0.2">
      <c r="AQ47532" s="31"/>
    </row>
    <row r="47533" spans="43:43" x14ac:dyDescent="0.2">
      <c r="AQ47533" s="31"/>
    </row>
    <row r="47534" spans="43:43" x14ac:dyDescent="0.2">
      <c r="AQ47534" s="31"/>
    </row>
    <row r="47535" spans="43:43" x14ac:dyDescent="0.2">
      <c r="AQ47535" s="31"/>
    </row>
    <row r="47536" spans="43:43" x14ac:dyDescent="0.2">
      <c r="AQ47536" s="31"/>
    </row>
    <row r="47537" spans="43:43" x14ac:dyDescent="0.2">
      <c r="AQ47537" s="31"/>
    </row>
    <row r="47538" spans="43:43" x14ac:dyDescent="0.2">
      <c r="AQ47538" s="31"/>
    </row>
    <row r="47539" spans="43:43" x14ac:dyDescent="0.2">
      <c r="AQ47539" s="31"/>
    </row>
    <row r="47540" spans="43:43" x14ac:dyDescent="0.2">
      <c r="AQ47540" s="31"/>
    </row>
    <row r="47541" spans="43:43" x14ac:dyDescent="0.2">
      <c r="AQ47541" s="31"/>
    </row>
    <row r="47542" spans="43:43" x14ac:dyDescent="0.2">
      <c r="AQ47542" s="31"/>
    </row>
    <row r="47543" spans="43:43" x14ac:dyDescent="0.2">
      <c r="AQ47543" s="31"/>
    </row>
    <row r="47544" spans="43:43" x14ac:dyDescent="0.2">
      <c r="AQ47544" s="31"/>
    </row>
    <row r="47545" spans="43:43" x14ac:dyDescent="0.2">
      <c r="AQ47545" s="31"/>
    </row>
    <row r="47546" spans="43:43" x14ac:dyDescent="0.2">
      <c r="AQ47546" s="31"/>
    </row>
    <row r="47547" spans="43:43" x14ac:dyDescent="0.2">
      <c r="AQ47547" s="31"/>
    </row>
    <row r="47548" spans="43:43" x14ac:dyDescent="0.2">
      <c r="AQ47548" s="31"/>
    </row>
    <row r="47549" spans="43:43" x14ac:dyDescent="0.2">
      <c r="AQ47549" s="31"/>
    </row>
    <row r="47550" spans="43:43" x14ac:dyDescent="0.2">
      <c r="AQ47550" s="31"/>
    </row>
    <row r="47551" spans="43:43" x14ac:dyDescent="0.2">
      <c r="AQ47551" s="31"/>
    </row>
    <row r="47552" spans="43:43" x14ac:dyDescent="0.2">
      <c r="AQ47552" s="31"/>
    </row>
    <row r="47553" spans="43:43" x14ac:dyDescent="0.2">
      <c r="AQ47553" s="31"/>
    </row>
    <row r="47554" spans="43:43" x14ac:dyDescent="0.2">
      <c r="AQ47554" s="31"/>
    </row>
    <row r="47555" spans="43:43" x14ac:dyDescent="0.2">
      <c r="AQ47555" s="31"/>
    </row>
    <row r="47556" spans="43:43" x14ac:dyDescent="0.2">
      <c r="AQ47556" s="31"/>
    </row>
    <row r="47557" spans="43:43" x14ac:dyDescent="0.2">
      <c r="AQ47557" s="31"/>
    </row>
    <row r="47558" spans="43:43" x14ac:dyDescent="0.2">
      <c r="AQ47558" s="31"/>
    </row>
    <row r="47559" spans="43:43" x14ac:dyDescent="0.2">
      <c r="AQ47559" s="31"/>
    </row>
    <row r="47560" spans="43:43" x14ac:dyDescent="0.2">
      <c r="AQ47560" s="31"/>
    </row>
    <row r="47561" spans="43:43" x14ac:dyDescent="0.2">
      <c r="AQ47561" s="31"/>
    </row>
    <row r="47562" spans="43:43" x14ac:dyDescent="0.2">
      <c r="AQ47562" s="31"/>
    </row>
    <row r="47563" spans="43:43" x14ac:dyDescent="0.2">
      <c r="AQ47563" s="31"/>
    </row>
    <row r="47564" spans="43:43" x14ac:dyDescent="0.2">
      <c r="AQ47564" s="31"/>
    </row>
    <row r="47565" spans="43:43" x14ac:dyDescent="0.2">
      <c r="AQ47565" s="31"/>
    </row>
    <row r="47566" spans="43:43" x14ac:dyDescent="0.2">
      <c r="AQ47566" s="31"/>
    </row>
    <row r="47567" spans="43:43" x14ac:dyDescent="0.2">
      <c r="AQ47567" s="31"/>
    </row>
    <row r="47568" spans="43:43" x14ac:dyDescent="0.2">
      <c r="AQ47568" s="31"/>
    </row>
    <row r="47569" spans="43:43" x14ac:dyDescent="0.2">
      <c r="AQ47569" s="31"/>
    </row>
    <row r="47570" spans="43:43" x14ac:dyDescent="0.2">
      <c r="AQ47570" s="31"/>
    </row>
    <row r="47571" spans="43:43" x14ac:dyDescent="0.2">
      <c r="AQ47571" s="31"/>
    </row>
    <row r="47572" spans="43:43" x14ac:dyDescent="0.2">
      <c r="AQ47572" s="31"/>
    </row>
    <row r="47573" spans="43:43" x14ac:dyDescent="0.2">
      <c r="AQ47573" s="31"/>
    </row>
    <row r="47574" spans="43:43" x14ac:dyDescent="0.2">
      <c r="AQ47574" s="31"/>
    </row>
    <row r="47575" spans="43:43" x14ac:dyDescent="0.2">
      <c r="AQ47575" s="31"/>
    </row>
    <row r="47576" spans="43:43" x14ac:dyDescent="0.2">
      <c r="AQ47576" s="31"/>
    </row>
    <row r="47577" spans="43:43" x14ac:dyDescent="0.2">
      <c r="AQ47577" s="31"/>
    </row>
    <row r="47578" spans="43:43" x14ac:dyDescent="0.2">
      <c r="AQ47578" s="31"/>
    </row>
    <row r="47579" spans="43:43" x14ac:dyDescent="0.2">
      <c r="AQ47579" s="31"/>
    </row>
    <row r="47580" spans="43:43" x14ac:dyDescent="0.2">
      <c r="AQ47580" s="31"/>
    </row>
    <row r="47581" spans="43:43" x14ac:dyDescent="0.2">
      <c r="AQ47581" s="31"/>
    </row>
    <row r="47582" spans="43:43" x14ac:dyDescent="0.2">
      <c r="AQ47582" s="31"/>
    </row>
    <row r="47583" spans="43:43" x14ac:dyDescent="0.2">
      <c r="AQ47583" s="31"/>
    </row>
    <row r="47584" spans="43:43" x14ac:dyDescent="0.2">
      <c r="AQ47584" s="31"/>
    </row>
    <row r="47585" spans="43:43" x14ac:dyDescent="0.2">
      <c r="AQ47585" s="31"/>
    </row>
    <row r="47586" spans="43:43" x14ac:dyDescent="0.2">
      <c r="AQ47586" s="31"/>
    </row>
    <row r="47587" spans="43:43" x14ac:dyDescent="0.2">
      <c r="AQ47587" s="31"/>
    </row>
    <row r="47588" spans="43:43" x14ac:dyDescent="0.2">
      <c r="AQ47588" s="31"/>
    </row>
    <row r="47589" spans="43:43" x14ac:dyDescent="0.2">
      <c r="AQ47589" s="31"/>
    </row>
    <row r="47590" spans="43:43" x14ac:dyDescent="0.2">
      <c r="AQ47590" s="31"/>
    </row>
    <row r="47591" spans="43:43" x14ac:dyDescent="0.2">
      <c r="AQ47591" s="31"/>
    </row>
    <row r="47592" spans="43:43" x14ac:dyDescent="0.2">
      <c r="AQ47592" s="31"/>
    </row>
    <row r="47593" spans="43:43" x14ac:dyDescent="0.2">
      <c r="AQ47593" s="31"/>
    </row>
    <row r="47594" spans="43:43" x14ac:dyDescent="0.2">
      <c r="AQ47594" s="31"/>
    </row>
    <row r="47595" spans="43:43" x14ac:dyDescent="0.2">
      <c r="AQ47595" s="31"/>
    </row>
    <row r="47596" spans="43:43" x14ac:dyDescent="0.2">
      <c r="AQ47596" s="31"/>
    </row>
    <row r="47597" spans="43:43" x14ac:dyDescent="0.2">
      <c r="AQ47597" s="31"/>
    </row>
    <row r="47598" spans="43:43" x14ac:dyDescent="0.2">
      <c r="AQ47598" s="31"/>
    </row>
    <row r="47599" spans="43:43" x14ac:dyDescent="0.2">
      <c r="AQ47599" s="31"/>
    </row>
    <row r="47600" spans="43:43" x14ac:dyDescent="0.2">
      <c r="AQ47600" s="31"/>
    </row>
    <row r="47601" spans="43:43" x14ac:dyDescent="0.2">
      <c r="AQ47601" s="31"/>
    </row>
    <row r="47602" spans="43:43" x14ac:dyDescent="0.2">
      <c r="AQ47602" s="31"/>
    </row>
    <row r="47603" spans="43:43" x14ac:dyDescent="0.2">
      <c r="AQ47603" s="31"/>
    </row>
    <row r="47604" spans="43:43" x14ac:dyDescent="0.2">
      <c r="AQ47604" s="31"/>
    </row>
    <row r="47605" spans="43:43" x14ac:dyDescent="0.2">
      <c r="AQ47605" s="31"/>
    </row>
    <row r="47606" spans="43:43" x14ac:dyDescent="0.2">
      <c r="AQ47606" s="31"/>
    </row>
    <row r="47607" spans="43:43" x14ac:dyDescent="0.2">
      <c r="AQ47607" s="31"/>
    </row>
    <row r="47608" spans="43:43" x14ac:dyDescent="0.2">
      <c r="AQ47608" s="31"/>
    </row>
    <row r="47609" spans="43:43" x14ac:dyDescent="0.2">
      <c r="AQ47609" s="31"/>
    </row>
    <row r="47610" spans="43:43" x14ac:dyDescent="0.2">
      <c r="AQ47610" s="31"/>
    </row>
    <row r="47611" spans="43:43" x14ac:dyDescent="0.2">
      <c r="AQ47611" s="31"/>
    </row>
    <row r="47612" spans="43:43" x14ac:dyDescent="0.2">
      <c r="AQ47612" s="31"/>
    </row>
    <row r="47613" spans="43:43" x14ac:dyDescent="0.2">
      <c r="AQ47613" s="31"/>
    </row>
    <row r="47614" spans="43:43" x14ac:dyDescent="0.2">
      <c r="AQ47614" s="31"/>
    </row>
    <row r="47615" spans="43:43" x14ac:dyDescent="0.2">
      <c r="AQ47615" s="31"/>
    </row>
    <row r="47616" spans="43:43" x14ac:dyDescent="0.2">
      <c r="AQ47616" s="31"/>
    </row>
    <row r="47617" spans="43:43" x14ac:dyDescent="0.2">
      <c r="AQ47617" s="31"/>
    </row>
    <row r="47618" spans="43:43" x14ac:dyDescent="0.2">
      <c r="AQ47618" s="31"/>
    </row>
    <row r="47619" spans="43:43" x14ac:dyDescent="0.2">
      <c r="AQ47619" s="31"/>
    </row>
    <row r="47620" spans="43:43" x14ac:dyDescent="0.2">
      <c r="AQ47620" s="31"/>
    </row>
    <row r="47621" spans="43:43" x14ac:dyDescent="0.2">
      <c r="AQ47621" s="31"/>
    </row>
    <row r="47622" spans="43:43" x14ac:dyDescent="0.2">
      <c r="AQ47622" s="31"/>
    </row>
    <row r="47623" spans="43:43" x14ac:dyDescent="0.2">
      <c r="AQ47623" s="31"/>
    </row>
    <row r="47624" spans="43:43" x14ac:dyDescent="0.2">
      <c r="AQ47624" s="31"/>
    </row>
    <row r="47625" spans="43:43" x14ac:dyDescent="0.2">
      <c r="AQ47625" s="31"/>
    </row>
    <row r="47626" spans="43:43" x14ac:dyDescent="0.2">
      <c r="AQ47626" s="31"/>
    </row>
    <row r="47627" spans="43:43" x14ac:dyDescent="0.2">
      <c r="AQ47627" s="31"/>
    </row>
    <row r="47628" spans="43:43" x14ac:dyDescent="0.2">
      <c r="AQ47628" s="31"/>
    </row>
    <row r="47629" spans="43:43" x14ac:dyDescent="0.2">
      <c r="AQ47629" s="31"/>
    </row>
    <row r="47630" spans="43:43" x14ac:dyDescent="0.2">
      <c r="AQ47630" s="31"/>
    </row>
    <row r="47631" spans="43:43" x14ac:dyDescent="0.2">
      <c r="AQ47631" s="31"/>
    </row>
    <row r="47632" spans="43:43" x14ac:dyDescent="0.2">
      <c r="AQ47632" s="31"/>
    </row>
    <row r="47633" spans="43:43" x14ac:dyDescent="0.2">
      <c r="AQ47633" s="31"/>
    </row>
    <row r="47634" spans="43:43" x14ac:dyDescent="0.2">
      <c r="AQ47634" s="31"/>
    </row>
    <row r="47635" spans="43:43" x14ac:dyDescent="0.2">
      <c r="AQ47635" s="31"/>
    </row>
    <row r="47636" spans="43:43" x14ac:dyDescent="0.2">
      <c r="AQ47636" s="31"/>
    </row>
    <row r="47637" spans="43:43" x14ac:dyDescent="0.2">
      <c r="AQ47637" s="31"/>
    </row>
    <row r="47638" spans="43:43" x14ac:dyDescent="0.2">
      <c r="AQ47638" s="31"/>
    </row>
    <row r="47639" spans="43:43" x14ac:dyDescent="0.2">
      <c r="AQ47639" s="31"/>
    </row>
    <row r="47640" spans="43:43" x14ac:dyDescent="0.2">
      <c r="AQ47640" s="31"/>
    </row>
    <row r="47641" spans="43:43" x14ac:dyDescent="0.2">
      <c r="AQ47641" s="31"/>
    </row>
    <row r="47642" spans="43:43" x14ac:dyDescent="0.2">
      <c r="AQ47642" s="31"/>
    </row>
    <row r="47643" spans="43:43" x14ac:dyDescent="0.2">
      <c r="AQ47643" s="31"/>
    </row>
    <row r="47644" spans="43:43" x14ac:dyDescent="0.2">
      <c r="AQ47644" s="31"/>
    </row>
    <row r="47645" spans="43:43" x14ac:dyDescent="0.2">
      <c r="AQ47645" s="31"/>
    </row>
    <row r="47646" spans="43:43" x14ac:dyDescent="0.2">
      <c r="AQ47646" s="31"/>
    </row>
    <row r="47647" spans="43:43" x14ac:dyDescent="0.2">
      <c r="AQ47647" s="31"/>
    </row>
    <row r="47648" spans="43:43" x14ac:dyDescent="0.2">
      <c r="AQ47648" s="31"/>
    </row>
    <row r="47649" spans="43:43" x14ac:dyDescent="0.2">
      <c r="AQ47649" s="31"/>
    </row>
    <row r="47650" spans="43:43" x14ac:dyDescent="0.2">
      <c r="AQ47650" s="31"/>
    </row>
    <row r="47651" spans="43:43" x14ac:dyDescent="0.2">
      <c r="AQ47651" s="31"/>
    </row>
    <row r="47652" spans="43:43" x14ac:dyDescent="0.2">
      <c r="AQ47652" s="31"/>
    </row>
    <row r="47653" spans="43:43" x14ac:dyDescent="0.2">
      <c r="AQ47653" s="31"/>
    </row>
    <row r="47654" spans="43:43" x14ac:dyDescent="0.2">
      <c r="AQ47654" s="31"/>
    </row>
    <row r="47655" spans="43:43" x14ac:dyDescent="0.2">
      <c r="AQ47655" s="31"/>
    </row>
    <row r="47656" spans="43:43" x14ac:dyDescent="0.2">
      <c r="AQ47656" s="31"/>
    </row>
    <row r="47657" spans="43:43" x14ac:dyDescent="0.2">
      <c r="AQ47657" s="31"/>
    </row>
    <row r="47658" spans="43:43" x14ac:dyDescent="0.2">
      <c r="AQ47658" s="31"/>
    </row>
    <row r="47659" spans="43:43" x14ac:dyDescent="0.2">
      <c r="AQ47659" s="31"/>
    </row>
    <row r="47660" spans="43:43" x14ac:dyDescent="0.2">
      <c r="AQ47660" s="31"/>
    </row>
    <row r="47661" spans="43:43" x14ac:dyDescent="0.2">
      <c r="AQ47661" s="31"/>
    </row>
    <row r="47662" spans="43:43" x14ac:dyDescent="0.2">
      <c r="AQ47662" s="31"/>
    </row>
    <row r="47663" spans="43:43" x14ac:dyDescent="0.2">
      <c r="AQ47663" s="31"/>
    </row>
    <row r="47664" spans="43:43" x14ac:dyDescent="0.2">
      <c r="AQ47664" s="31"/>
    </row>
    <row r="47665" spans="43:43" x14ac:dyDescent="0.2">
      <c r="AQ47665" s="31"/>
    </row>
    <row r="47666" spans="43:43" x14ac:dyDescent="0.2">
      <c r="AQ47666" s="31"/>
    </row>
    <row r="47667" spans="43:43" x14ac:dyDescent="0.2">
      <c r="AQ47667" s="31"/>
    </row>
    <row r="47668" spans="43:43" x14ac:dyDescent="0.2">
      <c r="AQ47668" s="31"/>
    </row>
    <row r="47669" spans="43:43" x14ac:dyDescent="0.2">
      <c r="AQ47669" s="31"/>
    </row>
    <row r="47670" spans="43:43" x14ac:dyDescent="0.2">
      <c r="AQ47670" s="31"/>
    </row>
    <row r="47671" spans="43:43" x14ac:dyDescent="0.2">
      <c r="AQ47671" s="31"/>
    </row>
    <row r="47672" spans="43:43" x14ac:dyDescent="0.2">
      <c r="AQ47672" s="31"/>
    </row>
    <row r="47673" spans="43:43" x14ac:dyDescent="0.2">
      <c r="AQ47673" s="31"/>
    </row>
    <row r="47674" spans="43:43" x14ac:dyDescent="0.2">
      <c r="AQ47674" s="31"/>
    </row>
    <row r="47675" spans="43:43" x14ac:dyDescent="0.2">
      <c r="AQ47675" s="31"/>
    </row>
    <row r="47676" spans="43:43" x14ac:dyDescent="0.2">
      <c r="AQ47676" s="31"/>
    </row>
    <row r="47677" spans="43:43" x14ac:dyDescent="0.2">
      <c r="AQ47677" s="31"/>
    </row>
    <row r="47678" spans="43:43" x14ac:dyDescent="0.2">
      <c r="AQ47678" s="31"/>
    </row>
    <row r="47679" spans="43:43" x14ac:dyDescent="0.2">
      <c r="AQ47679" s="31"/>
    </row>
    <row r="47680" spans="43:43" x14ac:dyDescent="0.2">
      <c r="AQ47680" s="31"/>
    </row>
    <row r="47681" spans="43:43" x14ac:dyDescent="0.2">
      <c r="AQ47681" s="31"/>
    </row>
    <row r="47682" spans="43:43" x14ac:dyDescent="0.2">
      <c r="AQ47682" s="31"/>
    </row>
    <row r="47683" spans="43:43" x14ac:dyDescent="0.2">
      <c r="AQ47683" s="31"/>
    </row>
    <row r="47684" spans="43:43" x14ac:dyDescent="0.2">
      <c r="AQ47684" s="31"/>
    </row>
    <row r="47685" spans="43:43" x14ac:dyDescent="0.2">
      <c r="AQ47685" s="31"/>
    </row>
    <row r="47686" spans="43:43" x14ac:dyDescent="0.2">
      <c r="AQ47686" s="31"/>
    </row>
    <row r="47687" spans="43:43" x14ac:dyDescent="0.2">
      <c r="AQ47687" s="31"/>
    </row>
    <row r="47688" spans="43:43" x14ac:dyDescent="0.2">
      <c r="AQ47688" s="31"/>
    </row>
    <row r="47689" spans="43:43" x14ac:dyDescent="0.2">
      <c r="AQ47689" s="31"/>
    </row>
    <row r="47690" spans="43:43" x14ac:dyDescent="0.2">
      <c r="AQ47690" s="31"/>
    </row>
    <row r="47691" spans="43:43" x14ac:dyDescent="0.2">
      <c r="AQ47691" s="31"/>
    </row>
    <row r="47692" spans="43:43" x14ac:dyDescent="0.2">
      <c r="AQ47692" s="31"/>
    </row>
    <row r="47693" spans="43:43" x14ac:dyDescent="0.2">
      <c r="AQ47693" s="31"/>
    </row>
    <row r="47694" spans="43:43" x14ac:dyDescent="0.2">
      <c r="AQ47694" s="31"/>
    </row>
    <row r="47695" spans="43:43" x14ac:dyDescent="0.2">
      <c r="AQ47695" s="31"/>
    </row>
    <row r="47696" spans="43:43" x14ac:dyDescent="0.2">
      <c r="AQ47696" s="31"/>
    </row>
    <row r="47697" spans="43:43" x14ac:dyDescent="0.2">
      <c r="AQ47697" s="31"/>
    </row>
    <row r="47698" spans="43:43" x14ac:dyDescent="0.2">
      <c r="AQ47698" s="31"/>
    </row>
    <row r="47699" spans="43:43" x14ac:dyDescent="0.2">
      <c r="AQ47699" s="31"/>
    </row>
    <row r="47700" spans="43:43" x14ac:dyDescent="0.2">
      <c r="AQ47700" s="31"/>
    </row>
    <row r="47701" spans="43:43" x14ac:dyDescent="0.2">
      <c r="AQ47701" s="31"/>
    </row>
    <row r="47702" spans="43:43" x14ac:dyDescent="0.2">
      <c r="AQ47702" s="31"/>
    </row>
    <row r="47703" spans="43:43" x14ac:dyDescent="0.2">
      <c r="AQ47703" s="31"/>
    </row>
    <row r="47704" spans="43:43" x14ac:dyDescent="0.2">
      <c r="AQ47704" s="31"/>
    </row>
    <row r="47705" spans="43:43" x14ac:dyDescent="0.2">
      <c r="AQ47705" s="31"/>
    </row>
    <row r="47706" spans="43:43" x14ac:dyDescent="0.2">
      <c r="AQ47706" s="31"/>
    </row>
    <row r="47707" spans="43:43" x14ac:dyDescent="0.2">
      <c r="AQ47707" s="31"/>
    </row>
    <row r="47708" spans="43:43" x14ac:dyDescent="0.2">
      <c r="AQ47708" s="31"/>
    </row>
    <row r="47709" spans="43:43" x14ac:dyDescent="0.2">
      <c r="AQ47709" s="31"/>
    </row>
    <row r="47710" spans="43:43" x14ac:dyDescent="0.2">
      <c r="AQ47710" s="31"/>
    </row>
    <row r="47711" spans="43:43" x14ac:dyDescent="0.2">
      <c r="AQ47711" s="31"/>
    </row>
    <row r="47712" spans="43:43" x14ac:dyDescent="0.2">
      <c r="AQ47712" s="31"/>
    </row>
    <row r="47713" spans="43:43" x14ac:dyDescent="0.2">
      <c r="AQ47713" s="31"/>
    </row>
    <row r="47714" spans="43:43" x14ac:dyDescent="0.2">
      <c r="AQ47714" s="31"/>
    </row>
    <row r="47715" spans="43:43" x14ac:dyDescent="0.2">
      <c r="AQ47715" s="31"/>
    </row>
    <row r="47716" spans="43:43" x14ac:dyDescent="0.2">
      <c r="AQ47716" s="31"/>
    </row>
    <row r="47717" spans="43:43" x14ac:dyDescent="0.2">
      <c r="AQ47717" s="31"/>
    </row>
    <row r="47718" spans="43:43" x14ac:dyDescent="0.2">
      <c r="AQ47718" s="31"/>
    </row>
    <row r="47719" spans="43:43" x14ac:dyDescent="0.2">
      <c r="AQ47719" s="31"/>
    </row>
    <row r="47720" spans="43:43" x14ac:dyDescent="0.2">
      <c r="AQ47720" s="31"/>
    </row>
    <row r="47721" spans="43:43" x14ac:dyDescent="0.2">
      <c r="AQ47721" s="31"/>
    </row>
    <row r="47722" spans="43:43" x14ac:dyDescent="0.2">
      <c r="AQ47722" s="31"/>
    </row>
    <row r="47723" spans="43:43" x14ac:dyDescent="0.2">
      <c r="AQ47723" s="31"/>
    </row>
    <row r="47724" spans="43:43" x14ac:dyDescent="0.2">
      <c r="AQ47724" s="31"/>
    </row>
    <row r="47725" spans="43:43" x14ac:dyDescent="0.2">
      <c r="AQ47725" s="31"/>
    </row>
    <row r="47726" spans="43:43" x14ac:dyDescent="0.2">
      <c r="AQ47726" s="31"/>
    </row>
    <row r="47727" spans="43:43" x14ac:dyDescent="0.2">
      <c r="AQ47727" s="31"/>
    </row>
    <row r="47728" spans="43:43" x14ac:dyDescent="0.2">
      <c r="AQ47728" s="31"/>
    </row>
    <row r="47729" spans="43:43" x14ac:dyDescent="0.2">
      <c r="AQ47729" s="31"/>
    </row>
    <row r="47730" spans="43:43" x14ac:dyDescent="0.2">
      <c r="AQ47730" s="31"/>
    </row>
    <row r="47731" spans="43:43" x14ac:dyDescent="0.2">
      <c r="AQ47731" s="31"/>
    </row>
    <row r="47732" spans="43:43" x14ac:dyDescent="0.2">
      <c r="AQ47732" s="31"/>
    </row>
    <row r="47733" spans="43:43" x14ac:dyDescent="0.2">
      <c r="AQ47733" s="31"/>
    </row>
    <row r="47734" spans="43:43" x14ac:dyDescent="0.2">
      <c r="AQ47734" s="31"/>
    </row>
    <row r="47735" spans="43:43" x14ac:dyDescent="0.2">
      <c r="AQ47735" s="31"/>
    </row>
    <row r="47736" spans="43:43" x14ac:dyDescent="0.2">
      <c r="AQ47736" s="31"/>
    </row>
    <row r="47737" spans="43:43" x14ac:dyDescent="0.2">
      <c r="AQ47737" s="31"/>
    </row>
    <row r="47738" spans="43:43" x14ac:dyDescent="0.2">
      <c r="AQ47738" s="31"/>
    </row>
    <row r="47739" spans="43:43" x14ac:dyDescent="0.2">
      <c r="AQ47739" s="31"/>
    </row>
    <row r="47740" spans="43:43" x14ac:dyDescent="0.2">
      <c r="AQ47740" s="31"/>
    </row>
    <row r="47741" spans="43:43" x14ac:dyDescent="0.2">
      <c r="AQ47741" s="31"/>
    </row>
    <row r="47742" spans="43:43" x14ac:dyDescent="0.2">
      <c r="AQ47742" s="31"/>
    </row>
    <row r="47743" spans="43:43" x14ac:dyDescent="0.2">
      <c r="AQ47743" s="31"/>
    </row>
    <row r="47744" spans="43:43" x14ac:dyDescent="0.2">
      <c r="AQ47744" s="31"/>
    </row>
    <row r="47745" spans="43:43" x14ac:dyDescent="0.2">
      <c r="AQ47745" s="31"/>
    </row>
    <row r="47746" spans="43:43" x14ac:dyDescent="0.2">
      <c r="AQ47746" s="31"/>
    </row>
    <row r="47747" spans="43:43" x14ac:dyDescent="0.2">
      <c r="AQ47747" s="31"/>
    </row>
    <row r="47748" spans="43:43" x14ac:dyDescent="0.2">
      <c r="AQ47748" s="31"/>
    </row>
    <row r="47749" spans="43:43" x14ac:dyDescent="0.2">
      <c r="AQ47749" s="31"/>
    </row>
    <row r="47750" spans="43:43" x14ac:dyDescent="0.2">
      <c r="AQ47750" s="31"/>
    </row>
    <row r="47751" spans="43:43" x14ac:dyDescent="0.2">
      <c r="AQ47751" s="31"/>
    </row>
    <row r="47752" spans="43:43" x14ac:dyDescent="0.2">
      <c r="AQ47752" s="31"/>
    </row>
    <row r="47753" spans="43:43" x14ac:dyDescent="0.2">
      <c r="AQ47753" s="31"/>
    </row>
    <row r="47754" spans="43:43" x14ac:dyDescent="0.2">
      <c r="AQ47754" s="31"/>
    </row>
    <row r="47755" spans="43:43" x14ac:dyDescent="0.2">
      <c r="AQ47755" s="31"/>
    </row>
    <row r="47756" spans="43:43" x14ac:dyDescent="0.2">
      <c r="AQ47756" s="31"/>
    </row>
    <row r="47757" spans="43:43" x14ac:dyDescent="0.2">
      <c r="AQ47757" s="31"/>
    </row>
    <row r="47758" spans="43:43" x14ac:dyDescent="0.2">
      <c r="AQ47758" s="31"/>
    </row>
    <row r="47759" spans="43:43" x14ac:dyDescent="0.2">
      <c r="AQ47759" s="31"/>
    </row>
    <row r="47760" spans="43:43" x14ac:dyDescent="0.2">
      <c r="AQ47760" s="31"/>
    </row>
    <row r="47761" spans="43:43" x14ac:dyDescent="0.2">
      <c r="AQ47761" s="31"/>
    </row>
    <row r="47762" spans="43:43" x14ac:dyDescent="0.2">
      <c r="AQ47762" s="31"/>
    </row>
    <row r="47763" spans="43:43" x14ac:dyDescent="0.2">
      <c r="AQ47763" s="31"/>
    </row>
    <row r="47764" spans="43:43" x14ac:dyDescent="0.2">
      <c r="AQ47764" s="31"/>
    </row>
    <row r="47765" spans="43:43" x14ac:dyDescent="0.2">
      <c r="AQ47765" s="31"/>
    </row>
    <row r="47766" spans="43:43" x14ac:dyDescent="0.2">
      <c r="AQ47766" s="31"/>
    </row>
    <row r="47767" spans="43:43" x14ac:dyDescent="0.2">
      <c r="AQ47767" s="31"/>
    </row>
    <row r="47768" spans="43:43" x14ac:dyDescent="0.2">
      <c r="AQ47768" s="31"/>
    </row>
    <row r="47769" spans="43:43" x14ac:dyDescent="0.2">
      <c r="AQ47769" s="31"/>
    </row>
    <row r="47770" spans="43:43" x14ac:dyDescent="0.2">
      <c r="AQ47770" s="31"/>
    </row>
    <row r="47771" spans="43:43" x14ac:dyDescent="0.2">
      <c r="AQ47771" s="31"/>
    </row>
    <row r="47772" spans="43:43" x14ac:dyDescent="0.2">
      <c r="AQ47772" s="31"/>
    </row>
    <row r="47773" spans="43:43" x14ac:dyDescent="0.2">
      <c r="AQ47773" s="31"/>
    </row>
    <row r="47774" spans="43:43" x14ac:dyDescent="0.2">
      <c r="AQ47774" s="31"/>
    </row>
    <row r="47775" spans="43:43" x14ac:dyDescent="0.2">
      <c r="AQ47775" s="31"/>
    </row>
    <row r="47776" spans="43:43" x14ac:dyDescent="0.2">
      <c r="AQ47776" s="31"/>
    </row>
    <row r="47777" spans="43:43" x14ac:dyDescent="0.2">
      <c r="AQ47777" s="31"/>
    </row>
    <row r="47778" spans="43:43" x14ac:dyDescent="0.2">
      <c r="AQ47778" s="31"/>
    </row>
    <row r="47779" spans="43:43" x14ac:dyDescent="0.2">
      <c r="AQ47779" s="31"/>
    </row>
    <row r="47780" spans="43:43" x14ac:dyDescent="0.2">
      <c r="AQ47780" s="31"/>
    </row>
    <row r="47781" spans="43:43" x14ac:dyDescent="0.2">
      <c r="AQ47781" s="31"/>
    </row>
    <row r="47782" spans="43:43" x14ac:dyDescent="0.2">
      <c r="AQ47782" s="31"/>
    </row>
    <row r="47783" spans="43:43" x14ac:dyDescent="0.2">
      <c r="AQ47783" s="31"/>
    </row>
    <row r="47784" spans="43:43" x14ac:dyDescent="0.2">
      <c r="AQ47784" s="31"/>
    </row>
    <row r="47785" spans="43:43" x14ac:dyDescent="0.2">
      <c r="AQ47785" s="31"/>
    </row>
    <row r="47786" spans="43:43" x14ac:dyDescent="0.2">
      <c r="AQ47786" s="31"/>
    </row>
    <row r="47787" spans="43:43" x14ac:dyDescent="0.2">
      <c r="AQ47787" s="31"/>
    </row>
    <row r="47788" spans="43:43" x14ac:dyDescent="0.2">
      <c r="AQ47788" s="31"/>
    </row>
    <row r="47789" spans="43:43" x14ac:dyDescent="0.2">
      <c r="AQ47789" s="31"/>
    </row>
    <row r="47790" spans="43:43" x14ac:dyDescent="0.2">
      <c r="AQ47790" s="31"/>
    </row>
    <row r="47791" spans="43:43" x14ac:dyDescent="0.2">
      <c r="AQ47791" s="31"/>
    </row>
    <row r="47792" spans="43:43" x14ac:dyDescent="0.2">
      <c r="AQ47792" s="31"/>
    </row>
    <row r="47793" spans="43:43" x14ac:dyDescent="0.2">
      <c r="AQ47793" s="31"/>
    </row>
    <row r="47794" spans="43:43" x14ac:dyDescent="0.2">
      <c r="AQ47794" s="31"/>
    </row>
    <row r="47795" spans="43:43" x14ac:dyDescent="0.2">
      <c r="AQ47795" s="31"/>
    </row>
    <row r="47796" spans="43:43" x14ac:dyDescent="0.2">
      <c r="AQ47796" s="31"/>
    </row>
    <row r="47797" spans="43:43" x14ac:dyDescent="0.2">
      <c r="AQ47797" s="31"/>
    </row>
    <row r="47798" spans="43:43" x14ac:dyDescent="0.2">
      <c r="AQ47798" s="31"/>
    </row>
    <row r="47799" spans="43:43" x14ac:dyDescent="0.2">
      <c r="AQ47799" s="31"/>
    </row>
    <row r="47800" spans="43:43" x14ac:dyDescent="0.2">
      <c r="AQ47800" s="31"/>
    </row>
    <row r="47801" spans="43:43" x14ac:dyDescent="0.2">
      <c r="AQ47801" s="31"/>
    </row>
    <row r="47802" spans="43:43" x14ac:dyDescent="0.2">
      <c r="AQ47802" s="31"/>
    </row>
    <row r="47803" spans="43:43" x14ac:dyDescent="0.2">
      <c r="AQ47803" s="31"/>
    </row>
    <row r="47804" spans="43:43" x14ac:dyDescent="0.2">
      <c r="AQ47804" s="31"/>
    </row>
    <row r="47805" spans="43:43" x14ac:dyDescent="0.2">
      <c r="AQ47805" s="31"/>
    </row>
    <row r="47806" spans="43:43" x14ac:dyDescent="0.2">
      <c r="AQ47806" s="31"/>
    </row>
    <row r="47807" spans="43:43" x14ac:dyDescent="0.2">
      <c r="AQ47807" s="31"/>
    </row>
    <row r="47808" spans="43:43" x14ac:dyDescent="0.2">
      <c r="AQ47808" s="31"/>
    </row>
    <row r="47809" spans="43:43" x14ac:dyDescent="0.2">
      <c r="AQ47809" s="31"/>
    </row>
    <row r="47810" spans="43:43" x14ac:dyDescent="0.2">
      <c r="AQ47810" s="31"/>
    </row>
    <row r="47811" spans="43:43" x14ac:dyDescent="0.2">
      <c r="AQ47811" s="31"/>
    </row>
    <row r="47812" spans="43:43" x14ac:dyDescent="0.2">
      <c r="AQ47812" s="31"/>
    </row>
    <row r="47813" spans="43:43" x14ac:dyDescent="0.2">
      <c r="AQ47813" s="31"/>
    </row>
    <row r="47814" spans="43:43" x14ac:dyDescent="0.2">
      <c r="AQ47814" s="31"/>
    </row>
    <row r="47815" spans="43:43" x14ac:dyDescent="0.2">
      <c r="AQ47815" s="31"/>
    </row>
    <row r="47816" spans="43:43" x14ac:dyDescent="0.2">
      <c r="AQ47816" s="31"/>
    </row>
    <row r="47817" spans="43:43" x14ac:dyDescent="0.2">
      <c r="AQ47817" s="31"/>
    </row>
    <row r="47818" spans="43:43" x14ac:dyDescent="0.2">
      <c r="AQ47818" s="31"/>
    </row>
    <row r="47819" spans="43:43" x14ac:dyDescent="0.2">
      <c r="AQ47819" s="31"/>
    </row>
    <row r="47820" spans="43:43" x14ac:dyDescent="0.2">
      <c r="AQ47820" s="31"/>
    </row>
    <row r="47821" spans="43:43" x14ac:dyDescent="0.2">
      <c r="AQ47821" s="31"/>
    </row>
    <row r="47822" spans="43:43" x14ac:dyDescent="0.2">
      <c r="AQ47822" s="31"/>
    </row>
    <row r="47823" spans="43:43" x14ac:dyDescent="0.2">
      <c r="AQ47823" s="31"/>
    </row>
    <row r="47824" spans="43:43" x14ac:dyDescent="0.2">
      <c r="AQ47824" s="31"/>
    </row>
    <row r="47825" spans="43:43" x14ac:dyDescent="0.2">
      <c r="AQ47825" s="31"/>
    </row>
    <row r="47826" spans="43:43" x14ac:dyDescent="0.2">
      <c r="AQ47826" s="31"/>
    </row>
    <row r="47827" spans="43:43" x14ac:dyDescent="0.2">
      <c r="AQ47827" s="31"/>
    </row>
    <row r="47828" spans="43:43" x14ac:dyDescent="0.2">
      <c r="AQ47828" s="31"/>
    </row>
    <row r="47829" spans="43:43" x14ac:dyDescent="0.2">
      <c r="AQ47829" s="31"/>
    </row>
    <row r="47830" spans="43:43" x14ac:dyDescent="0.2">
      <c r="AQ47830" s="31"/>
    </row>
    <row r="47831" spans="43:43" x14ac:dyDescent="0.2">
      <c r="AQ47831" s="31"/>
    </row>
    <row r="47832" spans="43:43" x14ac:dyDescent="0.2">
      <c r="AQ47832" s="31"/>
    </row>
    <row r="47833" spans="43:43" x14ac:dyDescent="0.2">
      <c r="AQ47833" s="31"/>
    </row>
    <row r="47834" spans="43:43" x14ac:dyDescent="0.2">
      <c r="AQ47834" s="31"/>
    </row>
    <row r="47835" spans="43:43" x14ac:dyDescent="0.2">
      <c r="AQ47835" s="31"/>
    </row>
    <row r="47836" spans="43:43" x14ac:dyDescent="0.2">
      <c r="AQ47836" s="31"/>
    </row>
    <row r="47837" spans="43:43" x14ac:dyDescent="0.2">
      <c r="AQ47837" s="31"/>
    </row>
    <row r="47838" spans="43:43" x14ac:dyDescent="0.2">
      <c r="AQ47838" s="31"/>
    </row>
    <row r="47839" spans="43:43" x14ac:dyDescent="0.2">
      <c r="AQ47839" s="31"/>
    </row>
    <row r="47840" spans="43:43" x14ac:dyDescent="0.2">
      <c r="AQ47840" s="31"/>
    </row>
    <row r="47841" spans="43:43" x14ac:dyDescent="0.2">
      <c r="AQ47841" s="31"/>
    </row>
    <row r="47842" spans="43:43" x14ac:dyDescent="0.2">
      <c r="AQ47842" s="31"/>
    </row>
    <row r="47843" spans="43:43" x14ac:dyDescent="0.2">
      <c r="AQ47843" s="31"/>
    </row>
    <row r="47844" spans="43:43" x14ac:dyDescent="0.2">
      <c r="AQ47844" s="31"/>
    </row>
    <row r="47845" spans="43:43" x14ac:dyDescent="0.2">
      <c r="AQ47845" s="31"/>
    </row>
    <row r="47846" spans="43:43" x14ac:dyDescent="0.2">
      <c r="AQ47846" s="31"/>
    </row>
    <row r="47847" spans="43:43" x14ac:dyDescent="0.2">
      <c r="AQ47847" s="31"/>
    </row>
    <row r="47848" spans="43:43" x14ac:dyDescent="0.2">
      <c r="AQ47848" s="31"/>
    </row>
    <row r="47849" spans="43:43" x14ac:dyDescent="0.2">
      <c r="AQ47849" s="31"/>
    </row>
    <row r="47850" spans="43:43" x14ac:dyDescent="0.2">
      <c r="AQ47850" s="31"/>
    </row>
    <row r="47851" spans="43:43" x14ac:dyDescent="0.2">
      <c r="AQ47851" s="31"/>
    </row>
    <row r="47852" spans="43:43" x14ac:dyDescent="0.2">
      <c r="AQ47852" s="31"/>
    </row>
    <row r="47853" spans="43:43" x14ac:dyDescent="0.2">
      <c r="AQ47853" s="31"/>
    </row>
    <row r="47854" spans="43:43" x14ac:dyDescent="0.2">
      <c r="AQ47854" s="31"/>
    </row>
    <row r="47855" spans="43:43" x14ac:dyDescent="0.2">
      <c r="AQ47855" s="31"/>
    </row>
    <row r="47856" spans="43:43" x14ac:dyDescent="0.2">
      <c r="AQ47856" s="31"/>
    </row>
    <row r="47857" spans="43:43" x14ac:dyDescent="0.2">
      <c r="AQ47857" s="31"/>
    </row>
    <row r="47858" spans="43:43" x14ac:dyDescent="0.2">
      <c r="AQ47858" s="31"/>
    </row>
    <row r="47859" spans="43:43" x14ac:dyDescent="0.2">
      <c r="AQ47859" s="31"/>
    </row>
    <row r="47860" spans="43:43" x14ac:dyDescent="0.2">
      <c r="AQ47860" s="31"/>
    </row>
    <row r="47861" spans="43:43" x14ac:dyDescent="0.2">
      <c r="AQ47861" s="31"/>
    </row>
    <row r="47862" spans="43:43" x14ac:dyDescent="0.2">
      <c r="AQ47862" s="31"/>
    </row>
    <row r="47863" spans="43:43" x14ac:dyDescent="0.2">
      <c r="AQ47863" s="31"/>
    </row>
    <row r="47864" spans="43:43" x14ac:dyDescent="0.2">
      <c r="AQ47864" s="31"/>
    </row>
    <row r="47865" spans="43:43" x14ac:dyDescent="0.2">
      <c r="AQ47865" s="31"/>
    </row>
    <row r="47866" spans="43:43" x14ac:dyDescent="0.2">
      <c r="AQ47866" s="31"/>
    </row>
    <row r="47867" spans="43:43" x14ac:dyDescent="0.2">
      <c r="AQ47867" s="31"/>
    </row>
    <row r="47868" spans="43:43" x14ac:dyDescent="0.2">
      <c r="AQ47868" s="31"/>
    </row>
    <row r="47869" spans="43:43" x14ac:dyDescent="0.2">
      <c r="AQ47869" s="31"/>
    </row>
    <row r="47870" spans="43:43" x14ac:dyDescent="0.2">
      <c r="AQ47870" s="31"/>
    </row>
    <row r="47871" spans="43:43" x14ac:dyDescent="0.2">
      <c r="AQ47871" s="31"/>
    </row>
    <row r="47872" spans="43:43" x14ac:dyDescent="0.2">
      <c r="AQ47872" s="31"/>
    </row>
    <row r="47873" spans="43:43" x14ac:dyDescent="0.2">
      <c r="AQ47873" s="31"/>
    </row>
    <row r="47874" spans="43:43" x14ac:dyDescent="0.2">
      <c r="AQ47874" s="31"/>
    </row>
    <row r="47875" spans="43:43" x14ac:dyDescent="0.2">
      <c r="AQ47875" s="31"/>
    </row>
    <row r="47876" spans="43:43" x14ac:dyDescent="0.2">
      <c r="AQ47876" s="31"/>
    </row>
    <row r="47877" spans="43:43" x14ac:dyDescent="0.2">
      <c r="AQ47877" s="31"/>
    </row>
    <row r="47878" spans="43:43" x14ac:dyDescent="0.2">
      <c r="AQ47878" s="31"/>
    </row>
    <row r="47879" spans="43:43" x14ac:dyDescent="0.2">
      <c r="AQ47879" s="31"/>
    </row>
    <row r="47880" spans="43:43" x14ac:dyDescent="0.2">
      <c r="AQ47880" s="31"/>
    </row>
    <row r="47881" spans="43:43" x14ac:dyDescent="0.2">
      <c r="AQ47881" s="31"/>
    </row>
    <row r="47882" spans="43:43" x14ac:dyDescent="0.2">
      <c r="AQ47882" s="31"/>
    </row>
    <row r="47883" spans="43:43" x14ac:dyDescent="0.2">
      <c r="AQ47883" s="31"/>
    </row>
    <row r="47884" spans="43:43" x14ac:dyDescent="0.2">
      <c r="AQ47884" s="31"/>
    </row>
    <row r="47885" spans="43:43" x14ac:dyDescent="0.2">
      <c r="AQ47885" s="31"/>
    </row>
    <row r="47886" spans="43:43" x14ac:dyDescent="0.2">
      <c r="AQ47886" s="31"/>
    </row>
    <row r="47887" spans="43:43" x14ac:dyDescent="0.2">
      <c r="AQ47887" s="31"/>
    </row>
    <row r="47888" spans="43:43" x14ac:dyDescent="0.2">
      <c r="AQ47888" s="31"/>
    </row>
    <row r="47889" spans="43:43" x14ac:dyDescent="0.2">
      <c r="AQ47889" s="31"/>
    </row>
    <row r="47890" spans="43:43" x14ac:dyDescent="0.2">
      <c r="AQ47890" s="31"/>
    </row>
    <row r="47891" spans="43:43" x14ac:dyDescent="0.2">
      <c r="AQ47891" s="31"/>
    </row>
    <row r="47892" spans="43:43" x14ac:dyDescent="0.2">
      <c r="AQ47892" s="31"/>
    </row>
    <row r="47893" spans="43:43" x14ac:dyDescent="0.2">
      <c r="AQ47893" s="31"/>
    </row>
    <row r="47894" spans="43:43" x14ac:dyDescent="0.2">
      <c r="AQ47894" s="31"/>
    </row>
    <row r="47895" spans="43:43" x14ac:dyDescent="0.2">
      <c r="AQ47895" s="31"/>
    </row>
    <row r="47896" spans="43:43" x14ac:dyDescent="0.2">
      <c r="AQ47896" s="31"/>
    </row>
    <row r="47897" spans="43:43" x14ac:dyDescent="0.2">
      <c r="AQ47897" s="31"/>
    </row>
    <row r="47898" spans="43:43" x14ac:dyDescent="0.2">
      <c r="AQ47898" s="31"/>
    </row>
    <row r="47899" spans="43:43" x14ac:dyDescent="0.2">
      <c r="AQ47899" s="31"/>
    </row>
    <row r="47900" spans="43:43" x14ac:dyDescent="0.2">
      <c r="AQ47900" s="31"/>
    </row>
    <row r="47901" spans="43:43" x14ac:dyDescent="0.2">
      <c r="AQ47901" s="31"/>
    </row>
    <row r="47902" spans="43:43" x14ac:dyDescent="0.2">
      <c r="AQ47902" s="31"/>
    </row>
    <row r="47903" spans="43:43" x14ac:dyDescent="0.2">
      <c r="AQ47903" s="31"/>
    </row>
    <row r="47904" spans="43:43" x14ac:dyDescent="0.2">
      <c r="AQ47904" s="31"/>
    </row>
    <row r="47905" spans="43:43" x14ac:dyDescent="0.2">
      <c r="AQ47905" s="31"/>
    </row>
    <row r="47906" spans="43:43" x14ac:dyDescent="0.2">
      <c r="AQ47906" s="31"/>
    </row>
    <row r="47907" spans="43:43" x14ac:dyDescent="0.2">
      <c r="AQ47907" s="31"/>
    </row>
    <row r="47908" spans="43:43" x14ac:dyDescent="0.2">
      <c r="AQ47908" s="31"/>
    </row>
    <row r="47909" spans="43:43" x14ac:dyDescent="0.2">
      <c r="AQ47909" s="31"/>
    </row>
    <row r="47910" spans="43:43" x14ac:dyDescent="0.2">
      <c r="AQ47910" s="31"/>
    </row>
    <row r="47911" spans="43:43" x14ac:dyDescent="0.2">
      <c r="AQ47911" s="31"/>
    </row>
    <row r="47912" spans="43:43" x14ac:dyDescent="0.2">
      <c r="AQ47912" s="31"/>
    </row>
    <row r="47913" spans="43:43" x14ac:dyDescent="0.2">
      <c r="AQ47913" s="31"/>
    </row>
    <row r="47914" spans="43:43" x14ac:dyDescent="0.2">
      <c r="AQ47914" s="31"/>
    </row>
    <row r="47915" spans="43:43" x14ac:dyDescent="0.2">
      <c r="AQ47915" s="31"/>
    </row>
    <row r="47916" spans="43:43" x14ac:dyDescent="0.2">
      <c r="AQ47916" s="31"/>
    </row>
    <row r="47917" spans="43:43" x14ac:dyDescent="0.2">
      <c r="AQ47917" s="31"/>
    </row>
    <row r="47918" spans="43:43" x14ac:dyDescent="0.2">
      <c r="AQ47918" s="31"/>
    </row>
    <row r="47919" spans="43:43" x14ac:dyDescent="0.2">
      <c r="AQ47919" s="31"/>
    </row>
    <row r="47920" spans="43:43" x14ac:dyDescent="0.2">
      <c r="AQ47920" s="31"/>
    </row>
    <row r="47921" spans="43:43" x14ac:dyDescent="0.2">
      <c r="AQ47921" s="31"/>
    </row>
    <row r="47922" spans="43:43" x14ac:dyDescent="0.2">
      <c r="AQ47922" s="31"/>
    </row>
    <row r="47923" spans="43:43" x14ac:dyDescent="0.2">
      <c r="AQ47923" s="31"/>
    </row>
    <row r="47924" spans="43:43" x14ac:dyDescent="0.2">
      <c r="AQ47924" s="31"/>
    </row>
    <row r="47925" spans="43:43" x14ac:dyDescent="0.2">
      <c r="AQ47925" s="31"/>
    </row>
    <row r="47926" spans="43:43" x14ac:dyDescent="0.2">
      <c r="AQ47926" s="31"/>
    </row>
    <row r="47927" spans="43:43" x14ac:dyDescent="0.2">
      <c r="AQ47927" s="31"/>
    </row>
    <row r="47928" spans="43:43" x14ac:dyDescent="0.2">
      <c r="AQ47928" s="31"/>
    </row>
    <row r="47929" spans="43:43" x14ac:dyDescent="0.2">
      <c r="AQ47929" s="31"/>
    </row>
    <row r="47930" spans="43:43" x14ac:dyDescent="0.2">
      <c r="AQ47930" s="31"/>
    </row>
    <row r="47931" spans="43:43" x14ac:dyDescent="0.2">
      <c r="AQ47931" s="31"/>
    </row>
    <row r="47932" spans="43:43" x14ac:dyDescent="0.2">
      <c r="AQ47932" s="31"/>
    </row>
    <row r="47933" spans="43:43" x14ac:dyDescent="0.2">
      <c r="AQ47933" s="31"/>
    </row>
    <row r="47934" spans="43:43" x14ac:dyDescent="0.2">
      <c r="AQ47934" s="31"/>
    </row>
    <row r="47935" spans="43:43" x14ac:dyDescent="0.2">
      <c r="AQ47935" s="31"/>
    </row>
    <row r="47936" spans="43:43" x14ac:dyDescent="0.2">
      <c r="AQ47936" s="31"/>
    </row>
    <row r="47937" spans="43:43" x14ac:dyDescent="0.2">
      <c r="AQ47937" s="31"/>
    </row>
    <row r="47938" spans="43:43" x14ac:dyDescent="0.2">
      <c r="AQ47938" s="31"/>
    </row>
    <row r="47939" spans="43:43" x14ac:dyDescent="0.2">
      <c r="AQ47939" s="31"/>
    </row>
    <row r="47940" spans="43:43" x14ac:dyDescent="0.2">
      <c r="AQ47940" s="31"/>
    </row>
    <row r="47941" spans="43:43" x14ac:dyDescent="0.2">
      <c r="AQ47941" s="31"/>
    </row>
    <row r="47942" spans="43:43" x14ac:dyDescent="0.2">
      <c r="AQ47942" s="31"/>
    </row>
    <row r="47943" spans="43:43" x14ac:dyDescent="0.2">
      <c r="AQ47943" s="31"/>
    </row>
    <row r="47944" spans="43:43" x14ac:dyDescent="0.2">
      <c r="AQ47944" s="31"/>
    </row>
    <row r="47945" spans="43:43" x14ac:dyDescent="0.2">
      <c r="AQ47945" s="31"/>
    </row>
    <row r="47946" spans="43:43" x14ac:dyDescent="0.2">
      <c r="AQ47946" s="31"/>
    </row>
    <row r="47947" spans="43:43" x14ac:dyDescent="0.2">
      <c r="AQ47947" s="31"/>
    </row>
    <row r="47948" spans="43:43" x14ac:dyDescent="0.2">
      <c r="AQ47948" s="31"/>
    </row>
    <row r="47949" spans="43:43" x14ac:dyDescent="0.2">
      <c r="AQ47949" s="31"/>
    </row>
    <row r="47950" spans="43:43" x14ac:dyDescent="0.2">
      <c r="AQ47950" s="31"/>
    </row>
    <row r="47951" spans="43:43" x14ac:dyDescent="0.2">
      <c r="AQ47951" s="31"/>
    </row>
    <row r="47952" spans="43:43" x14ac:dyDescent="0.2">
      <c r="AQ47952" s="31"/>
    </row>
    <row r="47953" spans="43:43" x14ac:dyDescent="0.2">
      <c r="AQ47953" s="31"/>
    </row>
    <row r="47954" spans="43:43" x14ac:dyDescent="0.2">
      <c r="AQ47954" s="31"/>
    </row>
    <row r="47955" spans="43:43" x14ac:dyDescent="0.2">
      <c r="AQ47955" s="31"/>
    </row>
    <row r="47956" spans="43:43" x14ac:dyDescent="0.2">
      <c r="AQ47956" s="31"/>
    </row>
    <row r="47957" spans="43:43" x14ac:dyDescent="0.2">
      <c r="AQ47957" s="31"/>
    </row>
    <row r="47958" spans="43:43" x14ac:dyDescent="0.2">
      <c r="AQ47958" s="31"/>
    </row>
    <row r="47959" spans="43:43" x14ac:dyDescent="0.2">
      <c r="AQ47959" s="31"/>
    </row>
    <row r="47960" spans="43:43" x14ac:dyDescent="0.2">
      <c r="AQ47960" s="31"/>
    </row>
    <row r="47961" spans="43:43" x14ac:dyDescent="0.2">
      <c r="AQ47961" s="31"/>
    </row>
    <row r="47962" spans="43:43" x14ac:dyDescent="0.2">
      <c r="AQ47962" s="31"/>
    </row>
    <row r="47963" spans="43:43" x14ac:dyDescent="0.2">
      <c r="AQ47963" s="31"/>
    </row>
    <row r="47964" spans="43:43" x14ac:dyDescent="0.2">
      <c r="AQ47964" s="31"/>
    </row>
    <row r="47965" spans="43:43" x14ac:dyDescent="0.2">
      <c r="AQ47965" s="31"/>
    </row>
    <row r="47966" spans="43:43" x14ac:dyDescent="0.2">
      <c r="AQ47966" s="31"/>
    </row>
    <row r="47967" spans="43:43" x14ac:dyDescent="0.2">
      <c r="AQ47967" s="31"/>
    </row>
    <row r="47968" spans="43:43" x14ac:dyDescent="0.2">
      <c r="AQ47968" s="31"/>
    </row>
    <row r="47969" spans="43:43" x14ac:dyDescent="0.2">
      <c r="AQ47969" s="31"/>
    </row>
    <row r="47970" spans="43:43" x14ac:dyDescent="0.2">
      <c r="AQ47970" s="31"/>
    </row>
    <row r="47971" spans="43:43" x14ac:dyDescent="0.2">
      <c r="AQ47971" s="31"/>
    </row>
    <row r="47972" spans="43:43" x14ac:dyDescent="0.2">
      <c r="AQ47972" s="31"/>
    </row>
    <row r="47973" spans="43:43" x14ac:dyDescent="0.2">
      <c r="AQ47973" s="31"/>
    </row>
    <row r="47974" spans="43:43" x14ac:dyDescent="0.2">
      <c r="AQ47974" s="31"/>
    </row>
    <row r="47975" spans="43:43" x14ac:dyDescent="0.2">
      <c r="AQ47975" s="31"/>
    </row>
    <row r="47976" spans="43:43" x14ac:dyDescent="0.2">
      <c r="AQ47976" s="31"/>
    </row>
    <row r="47977" spans="43:43" x14ac:dyDescent="0.2">
      <c r="AQ47977" s="31"/>
    </row>
    <row r="47978" spans="43:43" x14ac:dyDescent="0.2">
      <c r="AQ47978" s="31"/>
    </row>
    <row r="47979" spans="43:43" x14ac:dyDescent="0.2">
      <c r="AQ47979" s="31"/>
    </row>
    <row r="47980" spans="43:43" x14ac:dyDescent="0.2">
      <c r="AQ47980" s="31"/>
    </row>
    <row r="47981" spans="43:43" x14ac:dyDescent="0.2">
      <c r="AQ47981" s="31"/>
    </row>
    <row r="47982" spans="43:43" x14ac:dyDescent="0.2">
      <c r="AQ47982" s="31"/>
    </row>
    <row r="47983" spans="43:43" x14ac:dyDescent="0.2">
      <c r="AQ47983" s="31"/>
    </row>
    <row r="47984" spans="43:43" x14ac:dyDescent="0.2">
      <c r="AQ47984" s="31"/>
    </row>
    <row r="47985" spans="43:43" x14ac:dyDescent="0.2">
      <c r="AQ47985" s="31"/>
    </row>
    <row r="47986" spans="43:43" x14ac:dyDescent="0.2">
      <c r="AQ47986" s="31"/>
    </row>
    <row r="47987" spans="43:43" x14ac:dyDescent="0.2">
      <c r="AQ47987" s="31"/>
    </row>
    <row r="47988" spans="43:43" x14ac:dyDescent="0.2">
      <c r="AQ47988" s="31"/>
    </row>
    <row r="47989" spans="43:43" x14ac:dyDescent="0.2">
      <c r="AQ47989" s="31"/>
    </row>
    <row r="47990" spans="43:43" x14ac:dyDescent="0.2">
      <c r="AQ47990" s="31"/>
    </row>
    <row r="47991" spans="43:43" x14ac:dyDescent="0.2">
      <c r="AQ47991" s="31"/>
    </row>
    <row r="47992" spans="43:43" x14ac:dyDescent="0.2">
      <c r="AQ47992" s="31"/>
    </row>
    <row r="47993" spans="43:43" x14ac:dyDescent="0.2">
      <c r="AQ47993" s="31"/>
    </row>
    <row r="47994" spans="43:43" x14ac:dyDescent="0.2">
      <c r="AQ47994" s="31"/>
    </row>
    <row r="47995" spans="43:43" x14ac:dyDescent="0.2">
      <c r="AQ47995" s="31"/>
    </row>
    <row r="47996" spans="43:43" x14ac:dyDescent="0.2">
      <c r="AQ47996" s="31"/>
    </row>
    <row r="47997" spans="43:43" x14ac:dyDescent="0.2">
      <c r="AQ47997" s="31"/>
    </row>
    <row r="47998" spans="43:43" x14ac:dyDescent="0.2">
      <c r="AQ47998" s="31"/>
    </row>
    <row r="47999" spans="43:43" x14ac:dyDescent="0.2">
      <c r="AQ47999" s="31"/>
    </row>
    <row r="48000" spans="43:43" x14ac:dyDescent="0.2">
      <c r="AQ48000" s="31"/>
    </row>
    <row r="48001" spans="43:43" x14ac:dyDescent="0.2">
      <c r="AQ48001" s="31"/>
    </row>
    <row r="48002" spans="43:43" x14ac:dyDescent="0.2">
      <c r="AQ48002" s="31"/>
    </row>
    <row r="48003" spans="43:43" x14ac:dyDescent="0.2">
      <c r="AQ48003" s="31"/>
    </row>
    <row r="48004" spans="43:43" x14ac:dyDescent="0.2">
      <c r="AQ48004" s="31"/>
    </row>
    <row r="48005" spans="43:43" x14ac:dyDescent="0.2">
      <c r="AQ48005" s="31"/>
    </row>
    <row r="48006" spans="43:43" x14ac:dyDescent="0.2">
      <c r="AQ48006" s="31"/>
    </row>
    <row r="48007" spans="43:43" x14ac:dyDescent="0.2">
      <c r="AQ48007" s="31"/>
    </row>
    <row r="48008" spans="43:43" x14ac:dyDescent="0.2">
      <c r="AQ48008" s="31"/>
    </row>
    <row r="48009" spans="43:43" x14ac:dyDescent="0.2">
      <c r="AQ48009" s="31"/>
    </row>
    <row r="48010" spans="43:43" x14ac:dyDescent="0.2">
      <c r="AQ48010" s="31"/>
    </row>
    <row r="48011" spans="43:43" x14ac:dyDescent="0.2">
      <c r="AQ48011" s="31"/>
    </row>
    <row r="48012" spans="43:43" x14ac:dyDescent="0.2">
      <c r="AQ48012" s="31"/>
    </row>
    <row r="48013" spans="43:43" x14ac:dyDescent="0.2">
      <c r="AQ48013" s="31"/>
    </row>
    <row r="48014" spans="43:43" x14ac:dyDescent="0.2">
      <c r="AQ48014" s="31"/>
    </row>
    <row r="48015" spans="43:43" x14ac:dyDescent="0.2">
      <c r="AQ48015" s="31"/>
    </row>
    <row r="48016" spans="43:43" x14ac:dyDescent="0.2">
      <c r="AQ48016" s="31"/>
    </row>
    <row r="48017" spans="43:43" x14ac:dyDescent="0.2">
      <c r="AQ48017" s="31"/>
    </row>
    <row r="48018" spans="43:43" x14ac:dyDescent="0.2">
      <c r="AQ48018" s="31"/>
    </row>
    <row r="48019" spans="43:43" x14ac:dyDescent="0.2">
      <c r="AQ48019" s="31"/>
    </row>
    <row r="48020" spans="43:43" x14ac:dyDescent="0.2">
      <c r="AQ48020" s="31"/>
    </row>
    <row r="48021" spans="43:43" x14ac:dyDescent="0.2">
      <c r="AQ48021" s="31"/>
    </row>
    <row r="48022" spans="43:43" x14ac:dyDescent="0.2">
      <c r="AQ48022" s="31"/>
    </row>
    <row r="48023" spans="43:43" x14ac:dyDescent="0.2">
      <c r="AQ48023" s="31"/>
    </row>
    <row r="48024" spans="43:43" x14ac:dyDescent="0.2">
      <c r="AQ48024" s="31"/>
    </row>
    <row r="48025" spans="43:43" x14ac:dyDescent="0.2">
      <c r="AQ48025" s="31"/>
    </row>
    <row r="48026" spans="43:43" x14ac:dyDescent="0.2">
      <c r="AQ48026" s="31"/>
    </row>
    <row r="48027" spans="43:43" x14ac:dyDescent="0.2">
      <c r="AQ48027" s="31"/>
    </row>
    <row r="48028" spans="43:43" x14ac:dyDescent="0.2">
      <c r="AQ48028" s="31"/>
    </row>
    <row r="48029" spans="43:43" x14ac:dyDescent="0.2">
      <c r="AQ48029" s="31"/>
    </row>
    <row r="48030" spans="43:43" x14ac:dyDescent="0.2">
      <c r="AQ48030" s="31"/>
    </row>
    <row r="48031" spans="43:43" x14ac:dyDescent="0.2">
      <c r="AQ48031" s="31"/>
    </row>
    <row r="48032" spans="43:43" x14ac:dyDescent="0.2">
      <c r="AQ48032" s="31"/>
    </row>
    <row r="48033" spans="43:43" x14ac:dyDescent="0.2">
      <c r="AQ48033" s="31"/>
    </row>
    <row r="48034" spans="43:43" x14ac:dyDescent="0.2">
      <c r="AQ48034" s="31"/>
    </row>
    <row r="48035" spans="43:43" x14ac:dyDescent="0.2">
      <c r="AQ48035" s="31"/>
    </row>
    <row r="48036" spans="43:43" x14ac:dyDescent="0.2">
      <c r="AQ48036" s="31"/>
    </row>
    <row r="48037" spans="43:43" x14ac:dyDescent="0.2">
      <c r="AQ48037" s="31"/>
    </row>
    <row r="48038" spans="43:43" x14ac:dyDescent="0.2">
      <c r="AQ48038" s="31"/>
    </row>
    <row r="48039" spans="43:43" x14ac:dyDescent="0.2">
      <c r="AQ48039" s="31"/>
    </row>
    <row r="48040" spans="43:43" x14ac:dyDescent="0.2">
      <c r="AQ48040" s="31"/>
    </row>
    <row r="48041" spans="43:43" x14ac:dyDescent="0.2">
      <c r="AQ48041" s="31"/>
    </row>
    <row r="48042" spans="43:43" x14ac:dyDescent="0.2">
      <c r="AQ48042" s="31"/>
    </row>
    <row r="48043" spans="43:43" x14ac:dyDescent="0.2">
      <c r="AQ48043" s="31"/>
    </row>
    <row r="48044" spans="43:43" x14ac:dyDescent="0.2">
      <c r="AQ48044" s="31"/>
    </row>
    <row r="48045" spans="43:43" x14ac:dyDescent="0.2">
      <c r="AQ48045" s="31"/>
    </row>
    <row r="48046" spans="43:43" x14ac:dyDescent="0.2">
      <c r="AQ48046" s="31"/>
    </row>
    <row r="48047" spans="43:43" x14ac:dyDescent="0.2">
      <c r="AQ48047" s="31"/>
    </row>
    <row r="48048" spans="43:43" x14ac:dyDescent="0.2">
      <c r="AQ48048" s="31"/>
    </row>
    <row r="48049" spans="43:43" x14ac:dyDescent="0.2">
      <c r="AQ48049" s="31"/>
    </row>
    <row r="48050" spans="43:43" x14ac:dyDescent="0.2">
      <c r="AQ48050" s="31"/>
    </row>
    <row r="48051" spans="43:43" x14ac:dyDescent="0.2">
      <c r="AQ48051" s="31"/>
    </row>
    <row r="48052" spans="43:43" x14ac:dyDescent="0.2">
      <c r="AQ48052" s="31"/>
    </row>
    <row r="48053" spans="43:43" x14ac:dyDescent="0.2">
      <c r="AQ48053" s="31"/>
    </row>
    <row r="48054" spans="43:43" x14ac:dyDescent="0.2">
      <c r="AQ48054" s="31"/>
    </row>
    <row r="48055" spans="43:43" x14ac:dyDescent="0.2">
      <c r="AQ48055" s="31"/>
    </row>
    <row r="48056" spans="43:43" x14ac:dyDescent="0.2">
      <c r="AQ48056" s="31"/>
    </row>
    <row r="48057" spans="43:43" x14ac:dyDescent="0.2">
      <c r="AQ48057" s="31"/>
    </row>
    <row r="48058" spans="43:43" x14ac:dyDescent="0.2">
      <c r="AQ48058" s="31"/>
    </row>
    <row r="48059" spans="43:43" x14ac:dyDescent="0.2">
      <c r="AQ48059" s="31"/>
    </row>
    <row r="48060" spans="43:43" x14ac:dyDescent="0.2">
      <c r="AQ48060" s="31"/>
    </row>
    <row r="48061" spans="43:43" x14ac:dyDescent="0.2">
      <c r="AQ48061" s="31"/>
    </row>
    <row r="48062" spans="43:43" x14ac:dyDescent="0.2">
      <c r="AQ48062" s="31"/>
    </row>
    <row r="48063" spans="43:43" x14ac:dyDescent="0.2">
      <c r="AQ48063" s="31"/>
    </row>
    <row r="48064" spans="43:43" x14ac:dyDescent="0.2">
      <c r="AQ48064" s="31"/>
    </row>
    <row r="48065" spans="43:43" x14ac:dyDescent="0.2">
      <c r="AQ48065" s="31"/>
    </row>
    <row r="48066" spans="43:43" x14ac:dyDescent="0.2">
      <c r="AQ48066" s="31"/>
    </row>
    <row r="48067" spans="43:43" x14ac:dyDescent="0.2">
      <c r="AQ48067" s="31"/>
    </row>
    <row r="48068" spans="43:43" x14ac:dyDescent="0.2">
      <c r="AQ48068" s="31"/>
    </row>
    <row r="48069" spans="43:43" x14ac:dyDescent="0.2">
      <c r="AQ48069" s="31"/>
    </row>
    <row r="48070" spans="43:43" x14ac:dyDescent="0.2">
      <c r="AQ48070" s="31"/>
    </row>
    <row r="48071" spans="43:43" x14ac:dyDescent="0.2">
      <c r="AQ48071" s="31"/>
    </row>
    <row r="48072" spans="43:43" x14ac:dyDescent="0.2">
      <c r="AQ48072" s="31"/>
    </row>
    <row r="48073" spans="43:43" x14ac:dyDescent="0.2">
      <c r="AQ48073" s="31"/>
    </row>
    <row r="48074" spans="43:43" x14ac:dyDescent="0.2">
      <c r="AQ48074" s="31"/>
    </row>
    <row r="48075" spans="43:43" x14ac:dyDescent="0.2">
      <c r="AQ48075" s="31"/>
    </row>
    <row r="48076" spans="43:43" x14ac:dyDescent="0.2">
      <c r="AQ48076" s="31"/>
    </row>
    <row r="48077" spans="43:43" x14ac:dyDescent="0.2">
      <c r="AQ48077" s="31"/>
    </row>
    <row r="48078" spans="43:43" x14ac:dyDescent="0.2">
      <c r="AQ48078" s="31"/>
    </row>
    <row r="48079" spans="43:43" x14ac:dyDescent="0.2">
      <c r="AQ48079" s="31"/>
    </row>
    <row r="48080" spans="43:43" x14ac:dyDescent="0.2">
      <c r="AQ48080" s="31"/>
    </row>
    <row r="48081" spans="43:43" x14ac:dyDescent="0.2">
      <c r="AQ48081" s="31"/>
    </row>
    <row r="48082" spans="43:43" x14ac:dyDescent="0.2">
      <c r="AQ48082" s="31"/>
    </row>
    <row r="48083" spans="43:43" x14ac:dyDescent="0.2">
      <c r="AQ48083" s="31"/>
    </row>
    <row r="48084" spans="43:43" x14ac:dyDescent="0.2">
      <c r="AQ48084" s="31"/>
    </row>
    <row r="48085" spans="43:43" x14ac:dyDescent="0.2">
      <c r="AQ48085" s="31"/>
    </row>
    <row r="48086" spans="43:43" x14ac:dyDescent="0.2">
      <c r="AQ48086" s="31"/>
    </row>
    <row r="48087" spans="43:43" x14ac:dyDescent="0.2">
      <c r="AQ48087" s="31"/>
    </row>
    <row r="48088" spans="43:43" x14ac:dyDescent="0.2">
      <c r="AQ48088" s="31"/>
    </row>
    <row r="48089" spans="43:43" x14ac:dyDescent="0.2">
      <c r="AQ48089" s="31"/>
    </row>
    <row r="48090" spans="43:43" x14ac:dyDescent="0.2">
      <c r="AQ48090" s="31"/>
    </row>
    <row r="48091" spans="43:43" x14ac:dyDescent="0.2">
      <c r="AQ48091" s="31"/>
    </row>
    <row r="48092" spans="43:43" x14ac:dyDescent="0.2">
      <c r="AQ48092" s="31"/>
    </row>
    <row r="48093" spans="43:43" x14ac:dyDescent="0.2">
      <c r="AQ48093" s="31"/>
    </row>
    <row r="48094" spans="43:43" x14ac:dyDescent="0.2">
      <c r="AQ48094" s="31"/>
    </row>
    <row r="48095" spans="43:43" x14ac:dyDescent="0.2">
      <c r="AQ48095" s="31"/>
    </row>
    <row r="48096" spans="43:43" x14ac:dyDescent="0.2">
      <c r="AQ48096" s="31"/>
    </row>
    <row r="48097" spans="43:43" x14ac:dyDescent="0.2">
      <c r="AQ48097" s="31"/>
    </row>
    <row r="48098" spans="43:43" x14ac:dyDescent="0.2">
      <c r="AQ48098" s="31"/>
    </row>
    <row r="48099" spans="43:43" x14ac:dyDescent="0.2">
      <c r="AQ48099" s="31"/>
    </row>
    <row r="48100" spans="43:43" x14ac:dyDescent="0.2">
      <c r="AQ48100" s="31"/>
    </row>
    <row r="48101" spans="43:43" x14ac:dyDescent="0.2">
      <c r="AQ48101" s="31"/>
    </row>
    <row r="48102" spans="43:43" x14ac:dyDescent="0.2">
      <c r="AQ48102" s="31"/>
    </row>
    <row r="48103" spans="43:43" x14ac:dyDescent="0.2">
      <c r="AQ48103" s="31"/>
    </row>
    <row r="48104" spans="43:43" x14ac:dyDescent="0.2">
      <c r="AQ48104" s="31"/>
    </row>
    <row r="48105" spans="43:43" x14ac:dyDescent="0.2">
      <c r="AQ48105" s="31"/>
    </row>
    <row r="48106" spans="43:43" x14ac:dyDescent="0.2">
      <c r="AQ48106" s="31"/>
    </row>
    <row r="48107" spans="43:43" x14ac:dyDescent="0.2">
      <c r="AQ48107" s="31"/>
    </row>
    <row r="48108" spans="43:43" x14ac:dyDescent="0.2">
      <c r="AQ48108" s="31"/>
    </row>
    <row r="48109" spans="43:43" x14ac:dyDescent="0.2">
      <c r="AQ48109" s="31"/>
    </row>
    <row r="48110" spans="43:43" x14ac:dyDescent="0.2">
      <c r="AQ48110" s="31"/>
    </row>
    <row r="48111" spans="43:43" x14ac:dyDescent="0.2">
      <c r="AQ48111" s="31"/>
    </row>
    <row r="48112" spans="43:43" x14ac:dyDescent="0.2">
      <c r="AQ48112" s="31"/>
    </row>
    <row r="48113" spans="43:43" x14ac:dyDescent="0.2">
      <c r="AQ48113" s="31"/>
    </row>
    <row r="48114" spans="43:43" x14ac:dyDescent="0.2">
      <c r="AQ48114" s="31"/>
    </row>
    <row r="48115" spans="43:43" x14ac:dyDescent="0.2">
      <c r="AQ48115" s="31"/>
    </row>
    <row r="48116" spans="43:43" x14ac:dyDescent="0.2">
      <c r="AQ48116" s="31"/>
    </row>
    <row r="48117" spans="43:43" x14ac:dyDescent="0.2">
      <c r="AQ48117" s="31"/>
    </row>
    <row r="48118" spans="43:43" x14ac:dyDescent="0.2">
      <c r="AQ48118" s="31"/>
    </row>
    <row r="48119" spans="43:43" x14ac:dyDescent="0.2">
      <c r="AQ48119" s="31"/>
    </row>
    <row r="48120" spans="43:43" x14ac:dyDescent="0.2">
      <c r="AQ48120" s="31"/>
    </row>
    <row r="48121" spans="43:43" x14ac:dyDescent="0.2">
      <c r="AQ48121" s="31"/>
    </row>
    <row r="48122" spans="43:43" x14ac:dyDescent="0.2">
      <c r="AQ48122" s="31"/>
    </row>
    <row r="48123" spans="43:43" x14ac:dyDescent="0.2">
      <c r="AQ48123" s="31"/>
    </row>
    <row r="48124" spans="43:43" x14ac:dyDescent="0.2">
      <c r="AQ48124" s="31"/>
    </row>
    <row r="48125" spans="43:43" x14ac:dyDescent="0.2">
      <c r="AQ48125" s="31"/>
    </row>
    <row r="48126" spans="43:43" x14ac:dyDescent="0.2">
      <c r="AQ48126" s="31"/>
    </row>
    <row r="48127" spans="43:43" x14ac:dyDescent="0.2">
      <c r="AQ48127" s="31"/>
    </row>
    <row r="48128" spans="43:43" x14ac:dyDescent="0.2">
      <c r="AQ48128" s="31"/>
    </row>
    <row r="48129" spans="43:43" x14ac:dyDescent="0.2">
      <c r="AQ48129" s="31"/>
    </row>
    <row r="48130" spans="43:43" x14ac:dyDescent="0.2">
      <c r="AQ48130" s="31"/>
    </row>
    <row r="48131" spans="43:43" x14ac:dyDescent="0.2">
      <c r="AQ48131" s="31"/>
    </row>
    <row r="48132" spans="43:43" x14ac:dyDescent="0.2">
      <c r="AQ48132" s="31"/>
    </row>
    <row r="48133" spans="43:43" x14ac:dyDescent="0.2">
      <c r="AQ48133" s="31"/>
    </row>
    <row r="48134" spans="43:43" x14ac:dyDescent="0.2">
      <c r="AQ48134" s="31"/>
    </row>
    <row r="48135" spans="43:43" x14ac:dyDescent="0.2">
      <c r="AQ48135" s="31"/>
    </row>
    <row r="48136" spans="43:43" x14ac:dyDescent="0.2">
      <c r="AQ48136" s="31"/>
    </row>
    <row r="48137" spans="43:43" x14ac:dyDescent="0.2">
      <c r="AQ48137" s="31"/>
    </row>
    <row r="48138" spans="43:43" x14ac:dyDescent="0.2">
      <c r="AQ48138" s="31"/>
    </row>
    <row r="48139" spans="43:43" x14ac:dyDescent="0.2">
      <c r="AQ48139" s="31"/>
    </row>
    <row r="48140" spans="43:43" x14ac:dyDescent="0.2">
      <c r="AQ48140" s="31"/>
    </row>
    <row r="48141" spans="43:43" x14ac:dyDescent="0.2">
      <c r="AQ48141" s="31"/>
    </row>
    <row r="48142" spans="43:43" x14ac:dyDescent="0.2">
      <c r="AQ48142" s="31"/>
    </row>
    <row r="48143" spans="43:43" x14ac:dyDescent="0.2">
      <c r="AQ48143" s="31"/>
    </row>
    <row r="48144" spans="43:43" x14ac:dyDescent="0.2">
      <c r="AQ48144" s="31"/>
    </row>
    <row r="48145" spans="43:43" x14ac:dyDescent="0.2">
      <c r="AQ48145" s="31"/>
    </row>
    <row r="48146" spans="43:43" x14ac:dyDescent="0.2">
      <c r="AQ48146" s="31"/>
    </row>
    <row r="48147" spans="43:43" x14ac:dyDescent="0.2">
      <c r="AQ48147" s="31"/>
    </row>
    <row r="48148" spans="43:43" x14ac:dyDescent="0.2">
      <c r="AQ48148" s="31"/>
    </row>
    <row r="48149" spans="43:43" x14ac:dyDescent="0.2">
      <c r="AQ48149" s="31"/>
    </row>
    <row r="48150" spans="43:43" x14ac:dyDescent="0.2">
      <c r="AQ48150" s="31"/>
    </row>
    <row r="48151" spans="43:43" x14ac:dyDescent="0.2">
      <c r="AQ48151" s="31"/>
    </row>
    <row r="48152" spans="43:43" x14ac:dyDescent="0.2">
      <c r="AQ48152" s="31"/>
    </row>
    <row r="48153" spans="43:43" x14ac:dyDescent="0.2">
      <c r="AQ48153" s="31"/>
    </row>
    <row r="48154" spans="43:43" x14ac:dyDescent="0.2">
      <c r="AQ48154" s="31"/>
    </row>
    <row r="48155" spans="43:43" x14ac:dyDescent="0.2">
      <c r="AQ48155" s="31"/>
    </row>
    <row r="48156" spans="43:43" x14ac:dyDescent="0.2">
      <c r="AQ48156" s="31"/>
    </row>
    <row r="48157" spans="43:43" x14ac:dyDescent="0.2">
      <c r="AQ48157" s="31"/>
    </row>
    <row r="48158" spans="43:43" x14ac:dyDescent="0.2">
      <c r="AQ48158" s="31"/>
    </row>
    <row r="48159" spans="43:43" x14ac:dyDescent="0.2">
      <c r="AQ48159" s="31"/>
    </row>
    <row r="48160" spans="43:43" x14ac:dyDescent="0.2">
      <c r="AQ48160" s="31"/>
    </row>
    <row r="48161" spans="43:43" x14ac:dyDescent="0.2">
      <c r="AQ48161" s="31"/>
    </row>
    <row r="48162" spans="43:43" x14ac:dyDescent="0.2">
      <c r="AQ48162" s="31"/>
    </row>
    <row r="48163" spans="43:43" x14ac:dyDescent="0.2">
      <c r="AQ48163" s="31"/>
    </row>
    <row r="48164" spans="43:43" x14ac:dyDescent="0.2">
      <c r="AQ48164" s="31"/>
    </row>
    <row r="48165" spans="43:43" x14ac:dyDescent="0.2">
      <c r="AQ48165" s="31"/>
    </row>
    <row r="48166" spans="43:43" x14ac:dyDescent="0.2">
      <c r="AQ48166" s="31"/>
    </row>
    <row r="48167" spans="43:43" x14ac:dyDescent="0.2">
      <c r="AQ48167" s="31"/>
    </row>
    <row r="48168" spans="43:43" x14ac:dyDescent="0.2">
      <c r="AQ48168" s="31"/>
    </row>
    <row r="48169" spans="43:43" x14ac:dyDescent="0.2">
      <c r="AQ48169" s="31"/>
    </row>
    <row r="48170" spans="43:43" x14ac:dyDescent="0.2">
      <c r="AQ48170" s="31"/>
    </row>
    <row r="48171" spans="43:43" x14ac:dyDescent="0.2">
      <c r="AQ48171" s="31"/>
    </row>
    <row r="48172" spans="43:43" x14ac:dyDescent="0.2">
      <c r="AQ48172" s="31"/>
    </row>
    <row r="48173" spans="43:43" x14ac:dyDescent="0.2">
      <c r="AQ48173" s="31"/>
    </row>
    <row r="48174" spans="43:43" x14ac:dyDescent="0.2">
      <c r="AQ48174" s="31"/>
    </row>
    <row r="48175" spans="43:43" x14ac:dyDescent="0.2">
      <c r="AQ48175" s="31"/>
    </row>
    <row r="48176" spans="43:43" x14ac:dyDescent="0.2">
      <c r="AQ48176" s="31"/>
    </row>
    <row r="48177" spans="43:43" x14ac:dyDescent="0.2">
      <c r="AQ48177" s="31"/>
    </row>
    <row r="48178" spans="43:43" x14ac:dyDescent="0.2">
      <c r="AQ48178" s="31"/>
    </row>
    <row r="48179" spans="43:43" x14ac:dyDescent="0.2">
      <c r="AQ48179" s="31"/>
    </row>
    <row r="48180" spans="43:43" x14ac:dyDescent="0.2">
      <c r="AQ48180" s="31"/>
    </row>
    <row r="48181" spans="43:43" x14ac:dyDescent="0.2">
      <c r="AQ48181" s="31"/>
    </row>
    <row r="48182" spans="43:43" x14ac:dyDescent="0.2">
      <c r="AQ48182" s="31"/>
    </row>
    <row r="48183" spans="43:43" x14ac:dyDescent="0.2">
      <c r="AQ48183" s="31"/>
    </row>
    <row r="48184" spans="43:43" x14ac:dyDescent="0.2">
      <c r="AQ48184" s="31"/>
    </row>
    <row r="48185" spans="43:43" x14ac:dyDescent="0.2">
      <c r="AQ48185" s="31"/>
    </row>
    <row r="48186" spans="43:43" x14ac:dyDescent="0.2">
      <c r="AQ48186" s="31"/>
    </row>
    <row r="48187" spans="43:43" x14ac:dyDescent="0.2">
      <c r="AQ48187" s="31"/>
    </row>
    <row r="48188" spans="43:43" x14ac:dyDescent="0.2">
      <c r="AQ48188" s="31"/>
    </row>
    <row r="48189" spans="43:43" x14ac:dyDescent="0.2">
      <c r="AQ48189" s="31"/>
    </row>
    <row r="48190" spans="43:43" x14ac:dyDescent="0.2">
      <c r="AQ48190" s="31"/>
    </row>
    <row r="48191" spans="43:43" x14ac:dyDescent="0.2">
      <c r="AQ48191" s="31"/>
    </row>
    <row r="48192" spans="43:43" x14ac:dyDescent="0.2">
      <c r="AQ48192" s="31"/>
    </row>
    <row r="48193" spans="43:43" x14ac:dyDescent="0.2">
      <c r="AQ48193" s="31"/>
    </row>
    <row r="48194" spans="43:43" x14ac:dyDescent="0.2">
      <c r="AQ48194" s="31"/>
    </row>
    <row r="48195" spans="43:43" x14ac:dyDescent="0.2">
      <c r="AQ48195" s="31"/>
    </row>
    <row r="48196" spans="43:43" x14ac:dyDescent="0.2">
      <c r="AQ48196" s="31"/>
    </row>
    <row r="48197" spans="43:43" x14ac:dyDescent="0.2">
      <c r="AQ48197" s="31"/>
    </row>
    <row r="48198" spans="43:43" x14ac:dyDescent="0.2">
      <c r="AQ48198" s="31"/>
    </row>
    <row r="48199" spans="43:43" x14ac:dyDescent="0.2">
      <c r="AQ48199" s="31"/>
    </row>
    <row r="48200" spans="43:43" x14ac:dyDescent="0.2">
      <c r="AQ48200" s="31"/>
    </row>
    <row r="48201" spans="43:43" x14ac:dyDescent="0.2">
      <c r="AQ48201" s="31"/>
    </row>
    <row r="48202" spans="43:43" x14ac:dyDescent="0.2">
      <c r="AQ48202" s="31"/>
    </row>
    <row r="48203" spans="43:43" x14ac:dyDescent="0.2">
      <c r="AQ48203" s="31"/>
    </row>
    <row r="48204" spans="43:43" x14ac:dyDescent="0.2">
      <c r="AQ48204" s="31"/>
    </row>
    <row r="48205" spans="43:43" x14ac:dyDescent="0.2">
      <c r="AQ48205" s="31"/>
    </row>
    <row r="48206" spans="43:43" x14ac:dyDescent="0.2">
      <c r="AQ48206" s="31"/>
    </row>
    <row r="48207" spans="43:43" x14ac:dyDescent="0.2">
      <c r="AQ48207" s="31"/>
    </row>
    <row r="48208" spans="43:43" x14ac:dyDescent="0.2">
      <c r="AQ48208" s="31"/>
    </row>
    <row r="48209" spans="43:43" x14ac:dyDescent="0.2">
      <c r="AQ48209" s="31"/>
    </row>
    <row r="48210" spans="43:43" x14ac:dyDescent="0.2">
      <c r="AQ48210" s="31"/>
    </row>
    <row r="48211" spans="43:43" x14ac:dyDescent="0.2">
      <c r="AQ48211" s="31"/>
    </row>
    <row r="48212" spans="43:43" x14ac:dyDescent="0.2">
      <c r="AQ48212" s="31"/>
    </row>
    <row r="48213" spans="43:43" x14ac:dyDescent="0.2">
      <c r="AQ48213" s="31"/>
    </row>
    <row r="48214" spans="43:43" x14ac:dyDescent="0.2">
      <c r="AQ48214" s="31"/>
    </row>
    <row r="48215" spans="43:43" x14ac:dyDescent="0.2">
      <c r="AQ48215" s="31"/>
    </row>
    <row r="48216" spans="43:43" x14ac:dyDescent="0.2">
      <c r="AQ48216" s="31"/>
    </row>
    <row r="48217" spans="43:43" x14ac:dyDescent="0.2">
      <c r="AQ48217" s="31"/>
    </row>
    <row r="48218" spans="43:43" x14ac:dyDescent="0.2">
      <c r="AQ48218" s="31"/>
    </row>
    <row r="48219" spans="43:43" x14ac:dyDescent="0.2">
      <c r="AQ48219" s="31"/>
    </row>
    <row r="48220" spans="43:43" x14ac:dyDescent="0.2">
      <c r="AQ48220" s="31"/>
    </row>
    <row r="48221" spans="43:43" x14ac:dyDescent="0.2">
      <c r="AQ48221" s="31"/>
    </row>
    <row r="48222" spans="43:43" x14ac:dyDescent="0.2">
      <c r="AQ48222" s="31"/>
    </row>
    <row r="48223" spans="43:43" x14ac:dyDescent="0.2">
      <c r="AQ48223" s="31"/>
    </row>
    <row r="48224" spans="43:43" x14ac:dyDescent="0.2">
      <c r="AQ48224" s="31"/>
    </row>
    <row r="48225" spans="43:43" x14ac:dyDescent="0.2">
      <c r="AQ48225" s="31"/>
    </row>
    <row r="48226" spans="43:43" x14ac:dyDescent="0.2">
      <c r="AQ48226" s="31"/>
    </row>
    <row r="48227" spans="43:43" x14ac:dyDescent="0.2">
      <c r="AQ48227" s="31"/>
    </row>
    <row r="48228" spans="43:43" x14ac:dyDescent="0.2">
      <c r="AQ48228" s="31"/>
    </row>
    <row r="48229" spans="43:43" x14ac:dyDescent="0.2">
      <c r="AQ48229" s="31"/>
    </row>
    <row r="48230" spans="43:43" x14ac:dyDescent="0.2">
      <c r="AQ48230" s="31"/>
    </row>
    <row r="48231" spans="43:43" x14ac:dyDescent="0.2">
      <c r="AQ48231" s="31"/>
    </row>
    <row r="48232" spans="43:43" x14ac:dyDescent="0.2">
      <c r="AQ48232" s="31"/>
    </row>
    <row r="48233" spans="43:43" x14ac:dyDescent="0.2">
      <c r="AQ48233" s="31"/>
    </row>
    <row r="48234" spans="43:43" x14ac:dyDescent="0.2">
      <c r="AQ48234" s="31"/>
    </row>
    <row r="48235" spans="43:43" x14ac:dyDescent="0.2">
      <c r="AQ48235" s="31"/>
    </row>
    <row r="48236" spans="43:43" x14ac:dyDescent="0.2">
      <c r="AQ48236" s="31"/>
    </row>
    <row r="48237" spans="43:43" x14ac:dyDescent="0.2">
      <c r="AQ48237" s="31"/>
    </row>
    <row r="48238" spans="43:43" x14ac:dyDescent="0.2">
      <c r="AQ48238" s="31"/>
    </row>
    <row r="48239" spans="43:43" x14ac:dyDescent="0.2">
      <c r="AQ48239" s="31"/>
    </row>
    <row r="48240" spans="43:43" x14ac:dyDescent="0.2">
      <c r="AQ48240" s="31"/>
    </row>
    <row r="48241" spans="43:43" x14ac:dyDescent="0.2">
      <c r="AQ48241" s="31"/>
    </row>
    <row r="48242" spans="43:43" x14ac:dyDescent="0.2">
      <c r="AQ48242" s="31"/>
    </row>
    <row r="48243" spans="43:43" x14ac:dyDescent="0.2">
      <c r="AQ48243" s="31"/>
    </row>
    <row r="48244" spans="43:43" x14ac:dyDescent="0.2">
      <c r="AQ48244" s="31"/>
    </row>
    <row r="48245" spans="43:43" x14ac:dyDescent="0.2">
      <c r="AQ48245" s="31"/>
    </row>
    <row r="48246" spans="43:43" x14ac:dyDescent="0.2">
      <c r="AQ48246" s="31"/>
    </row>
    <row r="48247" spans="43:43" x14ac:dyDescent="0.2">
      <c r="AQ48247" s="31"/>
    </row>
    <row r="48248" spans="43:43" x14ac:dyDescent="0.2">
      <c r="AQ48248" s="31"/>
    </row>
    <row r="48249" spans="43:43" x14ac:dyDescent="0.2">
      <c r="AQ48249" s="31"/>
    </row>
    <row r="48250" spans="43:43" x14ac:dyDescent="0.2">
      <c r="AQ48250" s="31"/>
    </row>
    <row r="48251" spans="43:43" x14ac:dyDescent="0.2">
      <c r="AQ48251" s="31"/>
    </row>
    <row r="48252" spans="43:43" x14ac:dyDescent="0.2">
      <c r="AQ48252" s="31"/>
    </row>
    <row r="48253" spans="43:43" x14ac:dyDescent="0.2">
      <c r="AQ48253" s="31"/>
    </row>
    <row r="48254" spans="43:43" x14ac:dyDescent="0.2">
      <c r="AQ48254" s="31"/>
    </row>
    <row r="48255" spans="43:43" x14ac:dyDescent="0.2">
      <c r="AQ48255" s="31"/>
    </row>
    <row r="48256" spans="43:43" x14ac:dyDescent="0.2">
      <c r="AQ48256" s="31"/>
    </row>
    <row r="48257" spans="43:43" x14ac:dyDescent="0.2">
      <c r="AQ48257" s="31"/>
    </row>
    <row r="48258" spans="43:43" x14ac:dyDescent="0.2">
      <c r="AQ48258" s="31"/>
    </row>
    <row r="48259" spans="43:43" x14ac:dyDescent="0.2">
      <c r="AQ48259" s="31"/>
    </row>
    <row r="48260" spans="43:43" x14ac:dyDescent="0.2">
      <c r="AQ48260" s="31"/>
    </row>
    <row r="48261" spans="43:43" x14ac:dyDescent="0.2">
      <c r="AQ48261" s="31"/>
    </row>
    <row r="48262" spans="43:43" x14ac:dyDescent="0.2">
      <c r="AQ48262" s="31"/>
    </row>
    <row r="48263" spans="43:43" x14ac:dyDescent="0.2">
      <c r="AQ48263" s="31"/>
    </row>
    <row r="48264" spans="43:43" x14ac:dyDescent="0.2">
      <c r="AQ48264" s="31"/>
    </row>
    <row r="48265" spans="43:43" x14ac:dyDescent="0.2">
      <c r="AQ48265" s="31"/>
    </row>
    <row r="48266" spans="43:43" x14ac:dyDescent="0.2">
      <c r="AQ48266" s="31"/>
    </row>
    <row r="48267" spans="43:43" x14ac:dyDescent="0.2">
      <c r="AQ48267" s="31"/>
    </row>
    <row r="48268" spans="43:43" x14ac:dyDescent="0.2">
      <c r="AQ48268" s="31"/>
    </row>
    <row r="48269" spans="43:43" x14ac:dyDescent="0.2">
      <c r="AQ48269" s="31"/>
    </row>
    <row r="48270" spans="43:43" x14ac:dyDescent="0.2">
      <c r="AQ48270" s="31"/>
    </row>
    <row r="48271" spans="43:43" x14ac:dyDescent="0.2">
      <c r="AQ48271" s="31"/>
    </row>
    <row r="48272" spans="43:43" x14ac:dyDescent="0.2">
      <c r="AQ48272" s="31"/>
    </row>
    <row r="48273" spans="43:43" x14ac:dyDescent="0.2">
      <c r="AQ48273" s="31"/>
    </row>
    <row r="48274" spans="43:43" x14ac:dyDescent="0.2">
      <c r="AQ48274" s="31"/>
    </row>
    <row r="48275" spans="43:43" x14ac:dyDescent="0.2">
      <c r="AQ48275" s="31"/>
    </row>
    <row r="48276" spans="43:43" x14ac:dyDescent="0.2">
      <c r="AQ48276" s="31"/>
    </row>
    <row r="48277" spans="43:43" x14ac:dyDescent="0.2">
      <c r="AQ48277" s="31"/>
    </row>
    <row r="48278" spans="43:43" x14ac:dyDescent="0.2">
      <c r="AQ48278" s="31"/>
    </row>
    <row r="48279" spans="43:43" x14ac:dyDescent="0.2">
      <c r="AQ48279" s="31"/>
    </row>
    <row r="48280" spans="43:43" x14ac:dyDescent="0.2">
      <c r="AQ48280" s="31"/>
    </row>
    <row r="48281" spans="43:43" x14ac:dyDescent="0.2">
      <c r="AQ48281" s="31"/>
    </row>
    <row r="48282" spans="43:43" x14ac:dyDescent="0.2">
      <c r="AQ48282" s="31"/>
    </row>
    <row r="48283" spans="43:43" x14ac:dyDescent="0.2">
      <c r="AQ48283" s="31"/>
    </row>
    <row r="48284" spans="43:43" x14ac:dyDescent="0.2">
      <c r="AQ48284" s="31"/>
    </row>
    <row r="48285" spans="43:43" x14ac:dyDescent="0.2">
      <c r="AQ48285" s="31"/>
    </row>
    <row r="48286" spans="43:43" x14ac:dyDescent="0.2">
      <c r="AQ48286" s="31"/>
    </row>
    <row r="48287" spans="43:43" x14ac:dyDescent="0.2">
      <c r="AQ48287" s="31"/>
    </row>
    <row r="48288" spans="43:43" x14ac:dyDescent="0.2">
      <c r="AQ48288" s="31"/>
    </row>
    <row r="48289" spans="43:43" x14ac:dyDescent="0.2">
      <c r="AQ48289" s="31"/>
    </row>
    <row r="48290" spans="43:43" x14ac:dyDescent="0.2">
      <c r="AQ48290" s="31"/>
    </row>
    <row r="48291" spans="43:43" x14ac:dyDescent="0.2">
      <c r="AQ48291" s="31"/>
    </row>
    <row r="48292" spans="43:43" x14ac:dyDescent="0.2">
      <c r="AQ48292" s="31"/>
    </row>
    <row r="48293" spans="43:43" x14ac:dyDescent="0.2">
      <c r="AQ48293" s="31"/>
    </row>
    <row r="48294" spans="43:43" x14ac:dyDescent="0.2">
      <c r="AQ48294" s="31"/>
    </row>
    <row r="48295" spans="43:43" x14ac:dyDescent="0.2">
      <c r="AQ48295" s="31"/>
    </row>
    <row r="48296" spans="43:43" x14ac:dyDescent="0.2">
      <c r="AQ48296" s="31"/>
    </row>
    <row r="48297" spans="43:43" x14ac:dyDescent="0.2">
      <c r="AQ48297" s="31"/>
    </row>
    <row r="48298" spans="43:43" x14ac:dyDescent="0.2">
      <c r="AQ48298" s="31"/>
    </row>
    <row r="48299" spans="43:43" x14ac:dyDescent="0.2">
      <c r="AQ48299" s="31"/>
    </row>
    <row r="48300" spans="43:43" x14ac:dyDescent="0.2">
      <c r="AQ48300" s="31"/>
    </row>
    <row r="48301" spans="43:43" x14ac:dyDescent="0.2">
      <c r="AQ48301" s="31"/>
    </row>
    <row r="48302" spans="43:43" x14ac:dyDescent="0.2">
      <c r="AQ48302" s="31"/>
    </row>
    <row r="48303" spans="43:43" x14ac:dyDescent="0.2">
      <c r="AQ48303" s="31"/>
    </row>
    <row r="48304" spans="43:43" x14ac:dyDescent="0.2">
      <c r="AQ48304" s="31"/>
    </row>
    <row r="48305" spans="43:43" x14ac:dyDescent="0.2">
      <c r="AQ48305" s="31"/>
    </row>
    <row r="48306" spans="43:43" x14ac:dyDescent="0.2">
      <c r="AQ48306" s="31"/>
    </row>
    <row r="48307" spans="43:43" x14ac:dyDescent="0.2">
      <c r="AQ48307" s="31"/>
    </row>
    <row r="48308" spans="43:43" x14ac:dyDescent="0.2">
      <c r="AQ48308" s="31"/>
    </row>
    <row r="48309" spans="43:43" x14ac:dyDescent="0.2">
      <c r="AQ48309" s="31"/>
    </row>
    <row r="48310" spans="43:43" x14ac:dyDescent="0.2">
      <c r="AQ48310" s="31"/>
    </row>
    <row r="48311" spans="43:43" x14ac:dyDescent="0.2">
      <c r="AQ48311" s="31"/>
    </row>
    <row r="48312" spans="43:43" x14ac:dyDescent="0.2">
      <c r="AQ48312" s="31"/>
    </row>
    <row r="48313" spans="43:43" x14ac:dyDescent="0.2">
      <c r="AQ48313" s="31"/>
    </row>
    <row r="48314" spans="43:43" x14ac:dyDescent="0.2">
      <c r="AQ48314" s="31"/>
    </row>
    <row r="48315" spans="43:43" x14ac:dyDescent="0.2">
      <c r="AQ48315" s="31"/>
    </row>
    <row r="48316" spans="43:43" x14ac:dyDescent="0.2">
      <c r="AQ48316" s="31"/>
    </row>
    <row r="48317" spans="43:43" x14ac:dyDescent="0.2">
      <c r="AQ48317" s="31"/>
    </row>
    <row r="48318" spans="43:43" x14ac:dyDescent="0.2">
      <c r="AQ48318" s="31"/>
    </row>
    <row r="48319" spans="43:43" x14ac:dyDescent="0.2">
      <c r="AQ48319" s="31"/>
    </row>
    <row r="48320" spans="43:43" x14ac:dyDescent="0.2">
      <c r="AQ48320" s="31"/>
    </row>
    <row r="48321" spans="43:43" x14ac:dyDescent="0.2">
      <c r="AQ48321" s="31"/>
    </row>
    <row r="48322" spans="43:43" x14ac:dyDescent="0.2">
      <c r="AQ48322" s="31"/>
    </row>
    <row r="48323" spans="43:43" x14ac:dyDescent="0.2">
      <c r="AQ48323" s="31"/>
    </row>
    <row r="48324" spans="43:43" x14ac:dyDescent="0.2">
      <c r="AQ48324" s="31"/>
    </row>
    <row r="48325" spans="43:43" x14ac:dyDescent="0.2">
      <c r="AQ48325" s="31"/>
    </row>
    <row r="48326" spans="43:43" x14ac:dyDescent="0.2">
      <c r="AQ48326" s="31"/>
    </row>
    <row r="48327" spans="43:43" x14ac:dyDescent="0.2">
      <c r="AQ48327" s="31"/>
    </row>
    <row r="48328" spans="43:43" x14ac:dyDescent="0.2">
      <c r="AQ48328" s="31"/>
    </row>
    <row r="48329" spans="43:43" x14ac:dyDescent="0.2">
      <c r="AQ48329" s="31"/>
    </row>
    <row r="48330" spans="43:43" x14ac:dyDescent="0.2">
      <c r="AQ48330" s="31"/>
    </row>
    <row r="48331" spans="43:43" x14ac:dyDescent="0.2">
      <c r="AQ48331" s="31"/>
    </row>
    <row r="48332" spans="43:43" x14ac:dyDescent="0.2">
      <c r="AQ48332" s="31"/>
    </row>
    <row r="48333" spans="43:43" x14ac:dyDescent="0.2">
      <c r="AQ48333" s="31"/>
    </row>
    <row r="48334" spans="43:43" x14ac:dyDescent="0.2">
      <c r="AQ48334" s="31"/>
    </row>
    <row r="48335" spans="43:43" x14ac:dyDescent="0.2">
      <c r="AQ48335" s="31"/>
    </row>
    <row r="48336" spans="43:43" x14ac:dyDescent="0.2">
      <c r="AQ48336" s="31"/>
    </row>
    <row r="48337" spans="43:43" x14ac:dyDescent="0.2">
      <c r="AQ48337" s="31"/>
    </row>
    <row r="48338" spans="43:43" x14ac:dyDescent="0.2">
      <c r="AQ48338" s="31"/>
    </row>
    <row r="48339" spans="43:43" x14ac:dyDescent="0.2">
      <c r="AQ48339" s="31"/>
    </row>
    <row r="48340" spans="43:43" x14ac:dyDescent="0.2">
      <c r="AQ48340" s="31"/>
    </row>
    <row r="48341" spans="43:43" x14ac:dyDescent="0.2">
      <c r="AQ48341" s="31"/>
    </row>
    <row r="48342" spans="43:43" x14ac:dyDescent="0.2">
      <c r="AQ48342" s="31"/>
    </row>
    <row r="48343" spans="43:43" x14ac:dyDescent="0.2">
      <c r="AQ48343" s="31"/>
    </row>
    <row r="48344" spans="43:43" x14ac:dyDescent="0.2">
      <c r="AQ48344" s="31"/>
    </row>
    <row r="48345" spans="43:43" x14ac:dyDescent="0.2">
      <c r="AQ48345" s="31"/>
    </row>
    <row r="48346" spans="43:43" x14ac:dyDescent="0.2">
      <c r="AQ48346" s="31"/>
    </row>
    <row r="48347" spans="43:43" x14ac:dyDescent="0.2">
      <c r="AQ48347" s="31"/>
    </row>
    <row r="48348" spans="43:43" x14ac:dyDescent="0.2">
      <c r="AQ48348" s="31"/>
    </row>
    <row r="48349" spans="43:43" x14ac:dyDescent="0.2">
      <c r="AQ48349" s="31"/>
    </row>
    <row r="48350" spans="43:43" x14ac:dyDescent="0.2">
      <c r="AQ48350" s="31"/>
    </row>
    <row r="48351" spans="43:43" x14ac:dyDescent="0.2">
      <c r="AQ48351" s="31"/>
    </row>
    <row r="48352" spans="43:43" x14ac:dyDescent="0.2">
      <c r="AQ48352" s="31"/>
    </row>
    <row r="48353" spans="43:43" x14ac:dyDescent="0.2">
      <c r="AQ48353" s="31"/>
    </row>
    <row r="48354" spans="43:43" x14ac:dyDescent="0.2">
      <c r="AQ48354" s="31"/>
    </row>
    <row r="48355" spans="43:43" x14ac:dyDescent="0.2">
      <c r="AQ48355" s="31"/>
    </row>
    <row r="48356" spans="43:43" x14ac:dyDescent="0.2">
      <c r="AQ48356" s="31"/>
    </row>
    <row r="48357" spans="43:43" x14ac:dyDescent="0.2">
      <c r="AQ48357" s="31"/>
    </row>
    <row r="48358" spans="43:43" x14ac:dyDescent="0.2">
      <c r="AQ48358" s="31"/>
    </row>
    <row r="48359" spans="43:43" x14ac:dyDescent="0.2">
      <c r="AQ48359" s="31"/>
    </row>
    <row r="48360" spans="43:43" x14ac:dyDescent="0.2">
      <c r="AQ48360" s="31"/>
    </row>
    <row r="48361" spans="43:43" x14ac:dyDescent="0.2">
      <c r="AQ48361" s="31"/>
    </row>
    <row r="48362" spans="43:43" x14ac:dyDescent="0.2">
      <c r="AQ48362" s="31"/>
    </row>
    <row r="48363" spans="43:43" x14ac:dyDescent="0.2">
      <c r="AQ48363" s="31"/>
    </row>
    <row r="48364" spans="43:43" x14ac:dyDescent="0.2">
      <c r="AQ48364" s="31"/>
    </row>
    <row r="48365" spans="43:43" x14ac:dyDescent="0.2">
      <c r="AQ48365" s="31"/>
    </row>
    <row r="48366" spans="43:43" x14ac:dyDescent="0.2">
      <c r="AQ48366" s="31"/>
    </row>
    <row r="48367" spans="43:43" x14ac:dyDescent="0.2">
      <c r="AQ48367" s="31"/>
    </row>
    <row r="48368" spans="43:43" x14ac:dyDescent="0.2">
      <c r="AQ48368" s="31"/>
    </row>
    <row r="48369" spans="43:43" x14ac:dyDescent="0.2">
      <c r="AQ48369" s="31"/>
    </row>
    <row r="48370" spans="43:43" x14ac:dyDescent="0.2">
      <c r="AQ48370" s="31"/>
    </row>
    <row r="48371" spans="43:43" x14ac:dyDescent="0.2">
      <c r="AQ48371" s="31"/>
    </row>
    <row r="48372" spans="43:43" x14ac:dyDescent="0.2">
      <c r="AQ48372" s="31"/>
    </row>
    <row r="48373" spans="43:43" x14ac:dyDescent="0.2">
      <c r="AQ48373" s="31"/>
    </row>
    <row r="48374" spans="43:43" x14ac:dyDescent="0.2">
      <c r="AQ48374" s="31"/>
    </row>
    <row r="48375" spans="43:43" x14ac:dyDescent="0.2">
      <c r="AQ48375" s="31"/>
    </row>
    <row r="48376" spans="43:43" x14ac:dyDescent="0.2">
      <c r="AQ48376" s="31"/>
    </row>
    <row r="48377" spans="43:43" x14ac:dyDescent="0.2">
      <c r="AQ48377" s="31"/>
    </row>
    <row r="48378" spans="43:43" x14ac:dyDescent="0.2">
      <c r="AQ48378" s="31"/>
    </row>
    <row r="48379" spans="43:43" x14ac:dyDescent="0.2">
      <c r="AQ48379" s="31"/>
    </row>
    <row r="48380" spans="43:43" x14ac:dyDescent="0.2">
      <c r="AQ48380" s="31"/>
    </row>
    <row r="48381" spans="43:43" x14ac:dyDescent="0.2">
      <c r="AQ48381" s="31"/>
    </row>
    <row r="48382" spans="43:43" x14ac:dyDescent="0.2">
      <c r="AQ48382" s="31"/>
    </row>
    <row r="48383" spans="43:43" x14ac:dyDescent="0.2">
      <c r="AQ48383" s="31"/>
    </row>
    <row r="48384" spans="43:43" x14ac:dyDescent="0.2">
      <c r="AQ48384" s="31"/>
    </row>
    <row r="48385" spans="43:43" x14ac:dyDescent="0.2">
      <c r="AQ48385" s="31"/>
    </row>
    <row r="48386" spans="43:43" x14ac:dyDescent="0.2">
      <c r="AQ48386" s="31"/>
    </row>
    <row r="48387" spans="43:43" x14ac:dyDescent="0.2">
      <c r="AQ48387" s="31"/>
    </row>
    <row r="48388" spans="43:43" x14ac:dyDescent="0.2">
      <c r="AQ48388" s="31"/>
    </row>
    <row r="48389" spans="43:43" x14ac:dyDescent="0.2">
      <c r="AQ48389" s="31"/>
    </row>
    <row r="48390" spans="43:43" x14ac:dyDescent="0.2">
      <c r="AQ48390" s="31"/>
    </row>
    <row r="48391" spans="43:43" x14ac:dyDescent="0.2">
      <c r="AQ48391" s="31"/>
    </row>
    <row r="48392" spans="43:43" x14ac:dyDescent="0.2">
      <c r="AQ48392" s="31"/>
    </row>
    <row r="48393" spans="43:43" x14ac:dyDescent="0.2">
      <c r="AQ48393" s="31"/>
    </row>
    <row r="48394" spans="43:43" x14ac:dyDescent="0.2">
      <c r="AQ48394" s="31"/>
    </row>
    <row r="48395" spans="43:43" x14ac:dyDescent="0.2">
      <c r="AQ48395" s="31"/>
    </row>
    <row r="48396" spans="43:43" x14ac:dyDescent="0.2">
      <c r="AQ48396" s="31"/>
    </row>
    <row r="48397" spans="43:43" x14ac:dyDescent="0.2">
      <c r="AQ48397" s="31"/>
    </row>
    <row r="48398" spans="43:43" x14ac:dyDescent="0.2">
      <c r="AQ48398" s="31"/>
    </row>
    <row r="48399" spans="43:43" x14ac:dyDescent="0.2">
      <c r="AQ48399" s="31"/>
    </row>
    <row r="48400" spans="43:43" x14ac:dyDescent="0.2">
      <c r="AQ48400" s="31"/>
    </row>
    <row r="48401" spans="43:43" x14ac:dyDescent="0.2">
      <c r="AQ48401" s="31"/>
    </row>
    <row r="48402" spans="43:43" x14ac:dyDescent="0.2">
      <c r="AQ48402" s="31"/>
    </row>
    <row r="48403" spans="43:43" x14ac:dyDescent="0.2">
      <c r="AQ48403" s="31"/>
    </row>
    <row r="48404" spans="43:43" x14ac:dyDescent="0.2">
      <c r="AQ48404" s="31"/>
    </row>
    <row r="48405" spans="43:43" x14ac:dyDescent="0.2">
      <c r="AQ48405" s="31"/>
    </row>
    <row r="48406" spans="43:43" x14ac:dyDescent="0.2">
      <c r="AQ48406" s="31"/>
    </row>
    <row r="48407" spans="43:43" x14ac:dyDescent="0.2">
      <c r="AQ48407" s="31"/>
    </row>
    <row r="48408" spans="43:43" x14ac:dyDescent="0.2">
      <c r="AQ48408" s="31"/>
    </row>
    <row r="48409" spans="43:43" x14ac:dyDescent="0.2">
      <c r="AQ48409" s="31"/>
    </row>
    <row r="48410" spans="43:43" x14ac:dyDescent="0.2">
      <c r="AQ48410" s="31"/>
    </row>
    <row r="48411" spans="43:43" x14ac:dyDescent="0.2">
      <c r="AQ48411" s="31"/>
    </row>
    <row r="48412" spans="43:43" x14ac:dyDescent="0.2">
      <c r="AQ48412" s="31"/>
    </row>
    <row r="48413" spans="43:43" x14ac:dyDescent="0.2">
      <c r="AQ48413" s="31"/>
    </row>
    <row r="48414" spans="43:43" x14ac:dyDescent="0.2">
      <c r="AQ48414" s="31"/>
    </row>
    <row r="48415" spans="43:43" x14ac:dyDescent="0.2">
      <c r="AQ48415" s="31"/>
    </row>
    <row r="48416" spans="43:43" x14ac:dyDescent="0.2">
      <c r="AQ48416" s="31"/>
    </row>
    <row r="48417" spans="43:43" x14ac:dyDescent="0.2">
      <c r="AQ48417" s="31"/>
    </row>
    <row r="48418" spans="43:43" x14ac:dyDescent="0.2">
      <c r="AQ48418" s="31"/>
    </row>
    <row r="48419" spans="43:43" x14ac:dyDescent="0.2">
      <c r="AQ48419" s="31"/>
    </row>
    <row r="48420" spans="43:43" x14ac:dyDescent="0.2">
      <c r="AQ48420" s="31"/>
    </row>
    <row r="48421" spans="43:43" x14ac:dyDescent="0.2">
      <c r="AQ48421" s="31"/>
    </row>
    <row r="48422" spans="43:43" x14ac:dyDescent="0.2">
      <c r="AQ48422" s="31"/>
    </row>
    <row r="48423" spans="43:43" x14ac:dyDescent="0.2">
      <c r="AQ48423" s="31"/>
    </row>
    <row r="48424" spans="43:43" x14ac:dyDescent="0.2">
      <c r="AQ48424" s="31"/>
    </row>
    <row r="48425" spans="43:43" x14ac:dyDescent="0.2">
      <c r="AQ48425" s="31"/>
    </row>
    <row r="48426" spans="43:43" x14ac:dyDescent="0.2">
      <c r="AQ48426" s="31"/>
    </row>
    <row r="48427" spans="43:43" x14ac:dyDescent="0.2">
      <c r="AQ48427" s="31"/>
    </row>
    <row r="48428" spans="43:43" x14ac:dyDescent="0.2">
      <c r="AQ48428" s="31"/>
    </row>
    <row r="48429" spans="43:43" x14ac:dyDescent="0.2">
      <c r="AQ48429" s="31"/>
    </row>
    <row r="48430" spans="43:43" x14ac:dyDescent="0.2">
      <c r="AQ48430" s="31"/>
    </row>
    <row r="48431" spans="43:43" x14ac:dyDescent="0.2">
      <c r="AQ48431" s="31"/>
    </row>
    <row r="48432" spans="43:43" x14ac:dyDescent="0.2">
      <c r="AQ48432" s="31"/>
    </row>
    <row r="48433" spans="43:43" x14ac:dyDescent="0.2">
      <c r="AQ48433" s="31"/>
    </row>
    <row r="48434" spans="43:43" x14ac:dyDescent="0.2">
      <c r="AQ48434" s="31"/>
    </row>
    <row r="48435" spans="43:43" x14ac:dyDescent="0.2">
      <c r="AQ48435" s="31"/>
    </row>
    <row r="48436" spans="43:43" x14ac:dyDescent="0.2">
      <c r="AQ48436" s="31"/>
    </row>
    <row r="48437" spans="43:43" x14ac:dyDescent="0.2">
      <c r="AQ48437" s="31"/>
    </row>
    <row r="48438" spans="43:43" x14ac:dyDescent="0.2">
      <c r="AQ48438" s="31"/>
    </row>
    <row r="48439" spans="43:43" x14ac:dyDescent="0.2">
      <c r="AQ48439" s="31"/>
    </row>
    <row r="48440" spans="43:43" x14ac:dyDescent="0.2">
      <c r="AQ48440" s="31"/>
    </row>
    <row r="48441" spans="43:43" x14ac:dyDescent="0.2">
      <c r="AQ48441" s="31"/>
    </row>
    <row r="48442" spans="43:43" x14ac:dyDescent="0.2">
      <c r="AQ48442" s="31"/>
    </row>
    <row r="48443" spans="43:43" x14ac:dyDescent="0.2">
      <c r="AQ48443" s="31"/>
    </row>
    <row r="48444" spans="43:43" x14ac:dyDescent="0.2">
      <c r="AQ48444" s="31"/>
    </row>
    <row r="48445" spans="43:43" x14ac:dyDescent="0.2">
      <c r="AQ48445" s="31"/>
    </row>
    <row r="48446" spans="43:43" x14ac:dyDescent="0.2">
      <c r="AQ48446" s="31"/>
    </row>
    <row r="48447" spans="43:43" x14ac:dyDescent="0.2">
      <c r="AQ48447" s="31"/>
    </row>
    <row r="48448" spans="43:43" x14ac:dyDescent="0.2">
      <c r="AQ48448" s="31"/>
    </row>
    <row r="48449" spans="43:43" x14ac:dyDescent="0.2">
      <c r="AQ48449" s="31"/>
    </row>
    <row r="48450" spans="43:43" x14ac:dyDescent="0.2">
      <c r="AQ48450" s="31"/>
    </row>
    <row r="48451" spans="43:43" x14ac:dyDescent="0.2">
      <c r="AQ48451" s="31"/>
    </row>
    <row r="48452" spans="43:43" x14ac:dyDescent="0.2">
      <c r="AQ48452" s="31"/>
    </row>
    <row r="48453" spans="43:43" x14ac:dyDescent="0.2">
      <c r="AQ48453" s="31"/>
    </row>
    <row r="48454" spans="43:43" x14ac:dyDescent="0.2">
      <c r="AQ48454" s="31"/>
    </row>
    <row r="48455" spans="43:43" x14ac:dyDescent="0.2">
      <c r="AQ48455" s="31"/>
    </row>
    <row r="48456" spans="43:43" x14ac:dyDescent="0.2">
      <c r="AQ48456" s="31"/>
    </row>
    <row r="48457" spans="43:43" x14ac:dyDescent="0.2">
      <c r="AQ48457" s="31"/>
    </row>
    <row r="48458" spans="43:43" x14ac:dyDescent="0.2">
      <c r="AQ48458" s="31"/>
    </row>
    <row r="48459" spans="43:43" x14ac:dyDescent="0.2">
      <c r="AQ48459" s="31"/>
    </row>
    <row r="48460" spans="43:43" x14ac:dyDescent="0.2">
      <c r="AQ48460" s="31"/>
    </row>
    <row r="48461" spans="43:43" x14ac:dyDescent="0.2">
      <c r="AQ48461" s="31"/>
    </row>
    <row r="48462" spans="43:43" x14ac:dyDescent="0.2">
      <c r="AQ48462" s="31"/>
    </row>
    <row r="48463" spans="43:43" x14ac:dyDescent="0.2">
      <c r="AQ48463" s="31"/>
    </row>
    <row r="48464" spans="43:43" x14ac:dyDescent="0.2">
      <c r="AQ48464" s="31"/>
    </row>
    <row r="48465" spans="43:43" x14ac:dyDescent="0.2">
      <c r="AQ48465" s="31"/>
    </row>
    <row r="48466" spans="43:43" x14ac:dyDescent="0.2">
      <c r="AQ48466" s="31"/>
    </row>
    <row r="48467" spans="43:43" x14ac:dyDescent="0.2">
      <c r="AQ48467" s="31"/>
    </row>
    <row r="48468" spans="43:43" x14ac:dyDescent="0.2">
      <c r="AQ48468" s="31"/>
    </row>
    <row r="48469" spans="43:43" x14ac:dyDescent="0.2">
      <c r="AQ48469" s="31"/>
    </row>
    <row r="48470" spans="43:43" x14ac:dyDescent="0.2">
      <c r="AQ48470" s="31"/>
    </row>
    <row r="48471" spans="43:43" x14ac:dyDescent="0.2">
      <c r="AQ48471" s="31"/>
    </row>
    <row r="48472" spans="43:43" x14ac:dyDescent="0.2">
      <c r="AQ48472" s="31"/>
    </row>
    <row r="48473" spans="43:43" x14ac:dyDescent="0.2">
      <c r="AQ48473" s="31"/>
    </row>
    <row r="48474" spans="43:43" x14ac:dyDescent="0.2">
      <c r="AQ48474" s="31"/>
    </row>
    <row r="48475" spans="43:43" x14ac:dyDescent="0.2">
      <c r="AQ48475" s="31"/>
    </row>
    <row r="48476" spans="43:43" x14ac:dyDescent="0.2">
      <c r="AQ48476" s="31"/>
    </row>
    <row r="48477" spans="43:43" x14ac:dyDescent="0.2">
      <c r="AQ48477" s="31"/>
    </row>
    <row r="48478" spans="43:43" x14ac:dyDescent="0.2">
      <c r="AQ48478" s="31"/>
    </row>
    <row r="48479" spans="43:43" x14ac:dyDescent="0.2">
      <c r="AQ48479" s="31"/>
    </row>
    <row r="48480" spans="43:43" x14ac:dyDescent="0.2">
      <c r="AQ48480" s="31"/>
    </row>
    <row r="48481" spans="43:43" x14ac:dyDescent="0.2">
      <c r="AQ48481" s="31"/>
    </row>
    <row r="48482" spans="43:43" x14ac:dyDescent="0.2">
      <c r="AQ48482" s="31"/>
    </row>
    <row r="48483" spans="43:43" x14ac:dyDescent="0.2">
      <c r="AQ48483" s="31"/>
    </row>
    <row r="48484" spans="43:43" x14ac:dyDescent="0.2">
      <c r="AQ48484" s="31"/>
    </row>
    <row r="48485" spans="43:43" x14ac:dyDescent="0.2">
      <c r="AQ48485" s="31"/>
    </row>
    <row r="48486" spans="43:43" x14ac:dyDescent="0.2">
      <c r="AQ48486" s="31"/>
    </row>
    <row r="48487" spans="43:43" x14ac:dyDescent="0.2">
      <c r="AQ48487" s="31"/>
    </row>
    <row r="48488" spans="43:43" x14ac:dyDescent="0.2">
      <c r="AQ48488" s="31"/>
    </row>
    <row r="48489" spans="43:43" x14ac:dyDescent="0.2">
      <c r="AQ48489" s="31"/>
    </row>
    <row r="48490" spans="43:43" x14ac:dyDescent="0.2">
      <c r="AQ48490" s="31"/>
    </row>
    <row r="48491" spans="43:43" x14ac:dyDescent="0.2">
      <c r="AQ48491" s="31"/>
    </row>
    <row r="48492" spans="43:43" x14ac:dyDescent="0.2">
      <c r="AQ48492" s="31"/>
    </row>
    <row r="48493" spans="43:43" x14ac:dyDescent="0.2">
      <c r="AQ48493" s="31"/>
    </row>
    <row r="48494" spans="43:43" x14ac:dyDescent="0.2">
      <c r="AQ48494" s="31"/>
    </row>
    <row r="48495" spans="43:43" x14ac:dyDescent="0.2">
      <c r="AQ48495" s="31"/>
    </row>
    <row r="48496" spans="43:43" x14ac:dyDescent="0.2">
      <c r="AQ48496" s="31"/>
    </row>
    <row r="48497" spans="43:43" x14ac:dyDescent="0.2">
      <c r="AQ48497" s="31"/>
    </row>
    <row r="48498" spans="43:43" x14ac:dyDescent="0.2">
      <c r="AQ48498" s="31"/>
    </row>
    <row r="48499" spans="43:43" x14ac:dyDescent="0.2">
      <c r="AQ48499" s="31"/>
    </row>
    <row r="48500" spans="43:43" x14ac:dyDescent="0.2">
      <c r="AQ48500" s="31"/>
    </row>
    <row r="48501" spans="43:43" x14ac:dyDescent="0.2">
      <c r="AQ48501" s="31"/>
    </row>
    <row r="48502" spans="43:43" x14ac:dyDescent="0.2">
      <c r="AQ48502" s="31"/>
    </row>
    <row r="48503" spans="43:43" x14ac:dyDescent="0.2">
      <c r="AQ48503" s="31"/>
    </row>
    <row r="48504" spans="43:43" x14ac:dyDescent="0.2">
      <c r="AQ48504" s="31"/>
    </row>
    <row r="48505" spans="43:43" x14ac:dyDescent="0.2">
      <c r="AQ48505" s="31"/>
    </row>
    <row r="48506" spans="43:43" x14ac:dyDescent="0.2">
      <c r="AQ48506" s="31"/>
    </row>
    <row r="48507" spans="43:43" x14ac:dyDescent="0.2">
      <c r="AQ48507" s="31"/>
    </row>
    <row r="48508" spans="43:43" x14ac:dyDescent="0.2">
      <c r="AQ48508" s="31"/>
    </row>
    <row r="48509" spans="43:43" x14ac:dyDescent="0.2">
      <c r="AQ48509" s="31"/>
    </row>
    <row r="48510" spans="43:43" x14ac:dyDescent="0.2">
      <c r="AQ48510" s="31"/>
    </row>
    <row r="48511" spans="43:43" x14ac:dyDescent="0.2">
      <c r="AQ48511" s="31"/>
    </row>
    <row r="48512" spans="43:43" x14ac:dyDescent="0.2">
      <c r="AQ48512" s="31"/>
    </row>
    <row r="48513" spans="43:43" x14ac:dyDescent="0.2">
      <c r="AQ48513" s="31"/>
    </row>
    <row r="48514" spans="43:43" x14ac:dyDescent="0.2">
      <c r="AQ48514" s="31"/>
    </row>
    <row r="48515" spans="43:43" x14ac:dyDescent="0.2">
      <c r="AQ48515" s="31"/>
    </row>
    <row r="48516" spans="43:43" x14ac:dyDescent="0.2">
      <c r="AQ48516" s="31"/>
    </row>
    <row r="48517" spans="43:43" x14ac:dyDescent="0.2">
      <c r="AQ48517" s="31"/>
    </row>
    <row r="48518" spans="43:43" x14ac:dyDescent="0.2">
      <c r="AQ48518" s="31"/>
    </row>
    <row r="48519" spans="43:43" x14ac:dyDescent="0.2">
      <c r="AQ48519" s="31"/>
    </row>
    <row r="48520" spans="43:43" x14ac:dyDescent="0.2">
      <c r="AQ48520" s="31"/>
    </row>
    <row r="48521" spans="43:43" x14ac:dyDescent="0.2">
      <c r="AQ48521" s="31"/>
    </row>
    <row r="48522" spans="43:43" x14ac:dyDescent="0.2">
      <c r="AQ48522" s="31"/>
    </row>
    <row r="48523" spans="43:43" x14ac:dyDescent="0.2">
      <c r="AQ48523" s="31"/>
    </row>
    <row r="48524" spans="43:43" x14ac:dyDescent="0.2">
      <c r="AQ48524" s="31"/>
    </row>
    <row r="48525" spans="43:43" x14ac:dyDescent="0.2">
      <c r="AQ48525" s="31"/>
    </row>
    <row r="48526" spans="43:43" x14ac:dyDescent="0.2">
      <c r="AQ48526" s="31"/>
    </row>
    <row r="48527" spans="43:43" x14ac:dyDescent="0.2">
      <c r="AQ48527" s="31"/>
    </row>
    <row r="48528" spans="43:43" x14ac:dyDescent="0.2">
      <c r="AQ48528" s="31"/>
    </row>
    <row r="48529" spans="43:43" x14ac:dyDescent="0.2">
      <c r="AQ48529" s="31"/>
    </row>
    <row r="48530" spans="43:43" x14ac:dyDescent="0.2">
      <c r="AQ48530" s="31"/>
    </row>
    <row r="48531" spans="43:43" x14ac:dyDescent="0.2">
      <c r="AQ48531" s="31"/>
    </row>
    <row r="48532" spans="43:43" x14ac:dyDescent="0.2">
      <c r="AQ48532" s="31"/>
    </row>
    <row r="48533" spans="43:43" x14ac:dyDescent="0.2">
      <c r="AQ48533" s="31"/>
    </row>
    <row r="48534" spans="43:43" x14ac:dyDescent="0.2">
      <c r="AQ48534" s="31"/>
    </row>
    <row r="48535" spans="43:43" x14ac:dyDescent="0.2">
      <c r="AQ48535" s="31"/>
    </row>
    <row r="48536" spans="43:43" x14ac:dyDescent="0.2">
      <c r="AQ48536" s="31"/>
    </row>
    <row r="48537" spans="43:43" x14ac:dyDescent="0.2">
      <c r="AQ48537" s="31"/>
    </row>
    <row r="48538" spans="43:43" x14ac:dyDescent="0.2">
      <c r="AQ48538" s="31"/>
    </row>
    <row r="48539" spans="43:43" x14ac:dyDescent="0.2">
      <c r="AQ48539" s="31"/>
    </row>
    <row r="48540" spans="43:43" x14ac:dyDescent="0.2">
      <c r="AQ48540" s="31"/>
    </row>
    <row r="48541" spans="43:43" x14ac:dyDescent="0.2">
      <c r="AQ48541" s="31"/>
    </row>
    <row r="48542" spans="43:43" x14ac:dyDescent="0.2">
      <c r="AQ48542" s="31"/>
    </row>
    <row r="48543" spans="43:43" x14ac:dyDescent="0.2">
      <c r="AQ48543" s="31"/>
    </row>
    <row r="48544" spans="43:43" x14ac:dyDescent="0.2">
      <c r="AQ48544" s="31"/>
    </row>
    <row r="48545" spans="43:43" x14ac:dyDescent="0.2">
      <c r="AQ48545" s="31"/>
    </row>
    <row r="48546" spans="43:43" x14ac:dyDescent="0.2">
      <c r="AQ48546" s="31"/>
    </row>
    <row r="48547" spans="43:43" x14ac:dyDescent="0.2">
      <c r="AQ48547" s="31"/>
    </row>
    <row r="48548" spans="43:43" x14ac:dyDescent="0.2">
      <c r="AQ48548" s="31"/>
    </row>
    <row r="48549" spans="43:43" x14ac:dyDescent="0.2">
      <c r="AQ48549" s="31"/>
    </row>
    <row r="48550" spans="43:43" x14ac:dyDescent="0.2">
      <c r="AQ48550" s="31"/>
    </row>
    <row r="48551" spans="43:43" x14ac:dyDescent="0.2">
      <c r="AQ48551" s="31"/>
    </row>
    <row r="48552" spans="43:43" x14ac:dyDescent="0.2">
      <c r="AQ48552" s="31"/>
    </row>
    <row r="48553" spans="43:43" x14ac:dyDescent="0.2">
      <c r="AQ48553" s="31"/>
    </row>
    <row r="48554" spans="43:43" x14ac:dyDescent="0.2">
      <c r="AQ48554" s="31"/>
    </row>
    <row r="48555" spans="43:43" x14ac:dyDescent="0.2">
      <c r="AQ48555" s="31"/>
    </row>
    <row r="48556" spans="43:43" x14ac:dyDescent="0.2">
      <c r="AQ48556" s="31"/>
    </row>
    <row r="48557" spans="43:43" x14ac:dyDescent="0.2">
      <c r="AQ48557" s="31"/>
    </row>
    <row r="48558" spans="43:43" x14ac:dyDescent="0.2">
      <c r="AQ48558" s="31"/>
    </row>
    <row r="48559" spans="43:43" x14ac:dyDescent="0.2">
      <c r="AQ48559" s="31"/>
    </row>
    <row r="48560" spans="43:43" x14ac:dyDescent="0.2">
      <c r="AQ48560" s="31"/>
    </row>
    <row r="48561" spans="43:43" x14ac:dyDescent="0.2">
      <c r="AQ48561" s="31"/>
    </row>
    <row r="48562" spans="43:43" x14ac:dyDescent="0.2">
      <c r="AQ48562" s="31"/>
    </row>
    <row r="48563" spans="43:43" x14ac:dyDescent="0.2">
      <c r="AQ48563" s="31"/>
    </row>
    <row r="48564" spans="43:43" x14ac:dyDescent="0.2">
      <c r="AQ48564" s="31"/>
    </row>
    <row r="48565" spans="43:43" x14ac:dyDescent="0.2">
      <c r="AQ48565" s="31"/>
    </row>
    <row r="48566" spans="43:43" x14ac:dyDescent="0.2">
      <c r="AQ48566" s="31"/>
    </row>
    <row r="48567" spans="43:43" x14ac:dyDescent="0.2">
      <c r="AQ48567" s="31"/>
    </row>
    <row r="48568" spans="43:43" x14ac:dyDescent="0.2">
      <c r="AQ48568" s="31"/>
    </row>
    <row r="48569" spans="43:43" x14ac:dyDescent="0.2">
      <c r="AQ48569" s="31"/>
    </row>
    <row r="48570" spans="43:43" x14ac:dyDescent="0.2">
      <c r="AQ48570" s="31"/>
    </row>
    <row r="48571" spans="43:43" x14ac:dyDescent="0.2">
      <c r="AQ48571" s="31"/>
    </row>
    <row r="48572" spans="43:43" x14ac:dyDescent="0.2">
      <c r="AQ48572" s="31"/>
    </row>
    <row r="48573" spans="43:43" x14ac:dyDescent="0.2">
      <c r="AQ48573" s="31"/>
    </row>
    <row r="48574" spans="43:43" x14ac:dyDescent="0.2">
      <c r="AQ48574" s="31"/>
    </row>
    <row r="48575" spans="43:43" x14ac:dyDescent="0.2">
      <c r="AQ48575" s="31"/>
    </row>
    <row r="48576" spans="43:43" x14ac:dyDescent="0.2">
      <c r="AQ48576" s="31"/>
    </row>
    <row r="48577" spans="43:43" x14ac:dyDescent="0.2">
      <c r="AQ48577" s="31"/>
    </row>
    <row r="48578" spans="43:43" x14ac:dyDescent="0.2">
      <c r="AQ48578" s="31"/>
    </row>
    <row r="48579" spans="43:43" x14ac:dyDescent="0.2">
      <c r="AQ48579" s="31"/>
    </row>
    <row r="48580" spans="43:43" x14ac:dyDescent="0.2">
      <c r="AQ48580" s="31"/>
    </row>
    <row r="48581" spans="43:43" x14ac:dyDescent="0.2">
      <c r="AQ48581" s="31"/>
    </row>
    <row r="48582" spans="43:43" x14ac:dyDescent="0.2">
      <c r="AQ48582" s="31"/>
    </row>
    <row r="48583" spans="43:43" x14ac:dyDescent="0.2">
      <c r="AQ48583" s="31"/>
    </row>
    <row r="48584" spans="43:43" x14ac:dyDescent="0.2">
      <c r="AQ48584" s="31"/>
    </row>
    <row r="48585" spans="43:43" x14ac:dyDescent="0.2">
      <c r="AQ48585" s="31"/>
    </row>
    <row r="48586" spans="43:43" x14ac:dyDescent="0.2">
      <c r="AQ48586" s="31"/>
    </row>
    <row r="48587" spans="43:43" x14ac:dyDescent="0.2">
      <c r="AQ48587" s="31"/>
    </row>
    <row r="48588" spans="43:43" x14ac:dyDescent="0.2">
      <c r="AQ48588" s="31"/>
    </row>
    <row r="48589" spans="43:43" x14ac:dyDescent="0.2">
      <c r="AQ48589" s="31"/>
    </row>
    <row r="48590" spans="43:43" x14ac:dyDescent="0.2">
      <c r="AQ48590" s="31"/>
    </row>
    <row r="48591" spans="43:43" x14ac:dyDescent="0.2">
      <c r="AQ48591" s="31"/>
    </row>
    <row r="48592" spans="43:43" x14ac:dyDescent="0.2">
      <c r="AQ48592" s="31"/>
    </row>
    <row r="48593" spans="43:43" x14ac:dyDescent="0.2">
      <c r="AQ48593" s="31"/>
    </row>
    <row r="48594" spans="43:43" x14ac:dyDescent="0.2">
      <c r="AQ48594" s="31"/>
    </row>
    <row r="48595" spans="43:43" x14ac:dyDescent="0.2">
      <c r="AQ48595" s="31"/>
    </row>
    <row r="48596" spans="43:43" x14ac:dyDescent="0.2">
      <c r="AQ48596" s="31"/>
    </row>
    <row r="48597" spans="43:43" x14ac:dyDescent="0.2">
      <c r="AQ48597" s="31"/>
    </row>
    <row r="48598" spans="43:43" x14ac:dyDescent="0.2">
      <c r="AQ48598" s="31"/>
    </row>
    <row r="48599" spans="43:43" x14ac:dyDescent="0.2">
      <c r="AQ48599" s="31"/>
    </row>
    <row r="48600" spans="43:43" x14ac:dyDescent="0.2">
      <c r="AQ48600" s="31"/>
    </row>
    <row r="48601" spans="43:43" x14ac:dyDescent="0.2">
      <c r="AQ48601" s="31"/>
    </row>
    <row r="48602" spans="43:43" x14ac:dyDescent="0.2">
      <c r="AQ48602" s="31"/>
    </row>
    <row r="48603" spans="43:43" x14ac:dyDescent="0.2">
      <c r="AQ48603" s="31"/>
    </row>
    <row r="48604" spans="43:43" x14ac:dyDescent="0.2">
      <c r="AQ48604" s="31"/>
    </row>
    <row r="48605" spans="43:43" x14ac:dyDescent="0.2">
      <c r="AQ48605" s="31"/>
    </row>
    <row r="48606" spans="43:43" x14ac:dyDescent="0.2">
      <c r="AQ48606" s="31"/>
    </row>
    <row r="48607" spans="43:43" x14ac:dyDescent="0.2">
      <c r="AQ48607" s="31"/>
    </row>
    <row r="48608" spans="43:43" x14ac:dyDescent="0.2">
      <c r="AQ48608" s="31"/>
    </row>
    <row r="48609" spans="43:43" x14ac:dyDescent="0.2">
      <c r="AQ48609" s="31"/>
    </row>
    <row r="48610" spans="43:43" x14ac:dyDescent="0.2">
      <c r="AQ48610" s="31"/>
    </row>
    <row r="48611" spans="43:43" x14ac:dyDescent="0.2">
      <c r="AQ48611" s="31"/>
    </row>
    <row r="48612" spans="43:43" x14ac:dyDescent="0.2">
      <c r="AQ48612" s="31"/>
    </row>
    <row r="48613" spans="43:43" x14ac:dyDescent="0.2">
      <c r="AQ48613" s="31"/>
    </row>
    <row r="48614" spans="43:43" x14ac:dyDescent="0.2">
      <c r="AQ48614" s="31"/>
    </row>
    <row r="48615" spans="43:43" x14ac:dyDescent="0.2">
      <c r="AQ48615" s="31"/>
    </row>
    <row r="48616" spans="43:43" x14ac:dyDescent="0.2">
      <c r="AQ48616" s="31"/>
    </row>
    <row r="48617" spans="43:43" x14ac:dyDescent="0.2">
      <c r="AQ48617" s="31"/>
    </row>
    <row r="48618" spans="43:43" x14ac:dyDescent="0.2">
      <c r="AQ48618" s="31"/>
    </row>
    <row r="48619" spans="43:43" x14ac:dyDescent="0.2">
      <c r="AQ48619" s="31"/>
    </row>
    <row r="48620" spans="43:43" x14ac:dyDescent="0.2">
      <c r="AQ48620" s="31"/>
    </row>
    <row r="48621" spans="43:43" x14ac:dyDescent="0.2">
      <c r="AQ48621" s="31"/>
    </row>
    <row r="48622" spans="43:43" x14ac:dyDescent="0.2">
      <c r="AQ48622" s="31"/>
    </row>
    <row r="48623" spans="43:43" x14ac:dyDescent="0.2">
      <c r="AQ48623" s="31"/>
    </row>
    <row r="48624" spans="43:43" x14ac:dyDescent="0.2">
      <c r="AQ48624" s="31"/>
    </row>
    <row r="48625" spans="43:43" x14ac:dyDescent="0.2">
      <c r="AQ48625" s="31"/>
    </row>
    <row r="48626" spans="43:43" x14ac:dyDescent="0.2">
      <c r="AQ48626" s="31"/>
    </row>
    <row r="48627" spans="43:43" x14ac:dyDescent="0.2">
      <c r="AQ48627" s="31"/>
    </row>
    <row r="48628" spans="43:43" x14ac:dyDescent="0.2">
      <c r="AQ48628" s="31"/>
    </row>
    <row r="48629" spans="43:43" x14ac:dyDescent="0.2">
      <c r="AQ48629" s="31"/>
    </row>
    <row r="48630" spans="43:43" x14ac:dyDescent="0.2">
      <c r="AQ48630" s="31"/>
    </row>
    <row r="48631" spans="43:43" x14ac:dyDescent="0.2">
      <c r="AQ48631" s="31"/>
    </row>
    <row r="48632" spans="43:43" x14ac:dyDescent="0.2">
      <c r="AQ48632" s="31"/>
    </row>
    <row r="48633" spans="43:43" x14ac:dyDescent="0.2">
      <c r="AQ48633" s="31"/>
    </row>
    <row r="48634" spans="43:43" x14ac:dyDescent="0.2">
      <c r="AQ48634" s="31"/>
    </row>
    <row r="48635" spans="43:43" x14ac:dyDescent="0.2">
      <c r="AQ48635" s="31"/>
    </row>
    <row r="48636" spans="43:43" x14ac:dyDescent="0.2">
      <c r="AQ48636" s="31"/>
    </row>
    <row r="48637" spans="43:43" x14ac:dyDescent="0.2">
      <c r="AQ48637" s="31"/>
    </row>
    <row r="48638" spans="43:43" x14ac:dyDescent="0.2">
      <c r="AQ48638" s="31"/>
    </row>
    <row r="48639" spans="43:43" x14ac:dyDescent="0.2">
      <c r="AQ48639" s="31"/>
    </row>
    <row r="48640" spans="43:43" x14ac:dyDescent="0.2">
      <c r="AQ48640" s="31"/>
    </row>
    <row r="48641" spans="43:43" x14ac:dyDescent="0.2">
      <c r="AQ48641" s="31"/>
    </row>
    <row r="48642" spans="43:43" x14ac:dyDescent="0.2">
      <c r="AQ48642" s="31"/>
    </row>
    <row r="48643" spans="43:43" x14ac:dyDescent="0.2">
      <c r="AQ48643" s="31"/>
    </row>
    <row r="48644" spans="43:43" x14ac:dyDescent="0.2">
      <c r="AQ48644" s="31"/>
    </row>
    <row r="48645" spans="43:43" x14ac:dyDescent="0.2">
      <c r="AQ48645" s="31"/>
    </row>
    <row r="48646" spans="43:43" x14ac:dyDescent="0.2">
      <c r="AQ48646" s="31"/>
    </row>
    <row r="48647" spans="43:43" x14ac:dyDescent="0.2">
      <c r="AQ48647" s="31"/>
    </row>
    <row r="48648" spans="43:43" x14ac:dyDescent="0.2">
      <c r="AQ48648" s="31"/>
    </row>
    <row r="48649" spans="43:43" x14ac:dyDescent="0.2">
      <c r="AQ48649" s="31"/>
    </row>
    <row r="48650" spans="43:43" x14ac:dyDescent="0.2">
      <c r="AQ48650" s="31"/>
    </row>
    <row r="48651" spans="43:43" x14ac:dyDescent="0.2">
      <c r="AQ48651" s="31"/>
    </row>
    <row r="48652" spans="43:43" x14ac:dyDescent="0.2">
      <c r="AQ48652" s="31"/>
    </row>
    <row r="48653" spans="43:43" x14ac:dyDescent="0.2">
      <c r="AQ48653" s="31"/>
    </row>
    <row r="48654" spans="43:43" x14ac:dyDescent="0.2">
      <c r="AQ48654" s="31"/>
    </row>
    <row r="48655" spans="43:43" x14ac:dyDescent="0.2">
      <c r="AQ48655" s="31"/>
    </row>
    <row r="48656" spans="43:43" x14ac:dyDescent="0.2">
      <c r="AQ48656" s="31"/>
    </row>
    <row r="48657" spans="43:43" x14ac:dyDescent="0.2">
      <c r="AQ48657" s="31"/>
    </row>
    <row r="48658" spans="43:43" x14ac:dyDescent="0.2">
      <c r="AQ48658" s="31"/>
    </row>
    <row r="48659" spans="43:43" x14ac:dyDescent="0.2">
      <c r="AQ48659" s="31"/>
    </row>
    <row r="48660" spans="43:43" x14ac:dyDescent="0.2">
      <c r="AQ48660" s="31"/>
    </row>
    <row r="48661" spans="43:43" x14ac:dyDescent="0.2">
      <c r="AQ48661" s="31"/>
    </row>
    <row r="48662" spans="43:43" x14ac:dyDescent="0.2">
      <c r="AQ48662" s="31"/>
    </row>
    <row r="48663" spans="43:43" x14ac:dyDescent="0.2">
      <c r="AQ48663" s="31"/>
    </row>
    <row r="48664" spans="43:43" x14ac:dyDescent="0.2">
      <c r="AQ48664" s="31"/>
    </row>
    <row r="48665" spans="43:43" x14ac:dyDescent="0.2">
      <c r="AQ48665" s="31"/>
    </row>
    <row r="48666" spans="43:43" x14ac:dyDescent="0.2">
      <c r="AQ48666" s="31"/>
    </row>
    <row r="48667" spans="43:43" x14ac:dyDescent="0.2">
      <c r="AQ48667" s="31"/>
    </row>
    <row r="48668" spans="43:43" x14ac:dyDescent="0.2">
      <c r="AQ48668" s="31"/>
    </row>
    <row r="48669" spans="43:43" x14ac:dyDescent="0.2">
      <c r="AQ48669" s="31"/>
    </row>
    <row r="48670" spans="43:43" x14ac:dyDescent="0.2">
      <c r="AQ48670" s="31"/>
    </row>
    <row r="48671" spans="43:43" x14ac:dyDescent="0.2">
      <c r="AQ48671" s="31"/>
    </row>
    <row r="48672" spans="43:43" x14ac:dyDescent="0.2">
      <c r="AQ48672" s="31"/>
    </row>
    <row r="48673" spans="43:43" x14ac:dyDescent="0.2">
      <c r="AQ48673" s="31"/>
    </row>
    <row r="48674" spans="43:43" x14ac:dyDescent="0.2">
      <c r="AQ48674" s="31"/>
    </row>
    <row r="48675" spans="43:43" x14ac:dyDescent="0.2">
      <c r="AQ48675" s="31"/>
    </row>
    <row r="48676" spans="43:43" x14ac:dyDescent="0.2">
      <c r="AQ48676" s="31"/>
    </row>
    <row r="48677" spans="43:43" x14ac:dyDescent="0.2">
      <c r="AQ48677" s="31"/>
    </row>
    <row r="48678" spans="43:43" x14ac:dyDescent="0.2">
      <c r="AQ48678" s="31"/>
    </row>
    <row r="48679" spans="43:43" x14ac:dyDescent="0.2">
      <c r="AQ48679" s="31"/>
    </row>
    <row r="48680" spans="43:43" x14ac:dyDescent="0.2">
      <c r="AQ48680" s="31"/>
    </row>
    <row r="48681" spans="43:43" x14ac:dyDescent="0.2">
      <c r="AQ48681" s="31"/>
    </row>
    <row r="48682" spans="43:43" x14ac:dyDescent="0.2">
      <c r="AQ48682" s="31"/>
    </row>
    <row r="48683" spans="43:43" x14ac:dyDescent="0.2">
      <c r="AQ48683" s="31"/>
    </row>
    <row r="48684" spans="43:43" x14ac:dyDescent="0.2">
      <c r="AQ48684" s="31"/>
    </row>
    <row r="48685" spans="43:43" x14ac:dyDescent="0.2">
      <c r="AQ48685" s="31"/>
    </row>
    <row r="48686" spans="43:43" x14ac:dyDescent="0.2">
      <c r="AQ48686" s="31"/>
    </row>
    <row r="48687" spans="43:43" x14ac:dyDescent="0.2">
      <c r="AQ48687" s="31"/>
    </row>
    <row r="48688" spans="43:43" x14ac:dyDescent="0.2">
      <c r="AQ48688" s="31"/>
    </row>
    <row r="48689" spans="43:43" x14ac:dyDescent="0.2">
      <c r="AQ48689" s="31"/>
    </row>
    <row r="48690" spans="43:43" x14ac:dyDescent="0.2">
      <c r="AQ48690" s="31"/>
    </row>
    <row r="48691" spans="43:43" x14ac:dyDescent="0.2">
      <c r="AQ48691" s="31"/>
    </row>
    <row r="48692" spans="43:43" x14ac:dyDescent="0.2">
      <c r="AQ48692" s="31"/>
    </row>
    <row r="48693" spans="43:43" x14ac:dyDescent="0.2">
      <c r="AQ48693" s="31"/>
    </row>
    <row r="48694" spans="43:43" x14ac:dyDescent="0.2">
      <c r="AQ48694" s="31"/>
    </row>
    <row r="48695" spans="43:43" x14ac:dyDescent="0.2">
      <c r="AQ48695" s="31"/>
    </row>
    <row r="48696" spans="43:43" x14ac:dyDescent="0.2">
      <c r="AQ48696" s="31"/>
    </row>
    <row r="48697" spans="43:43" x14ac:dyDescent="0.2">
      <c r="AQ48697" s="31"/>
    </row>
    <row r="48698" spans="43:43" x14ac:dyDescent="0.2">
      <c r="AQ48698" s="31"/>
    </row>
    <row r="48699" spans="43:43" x14ac:dyDescent="0.2">
      <c r="AQ48699" s="31"/>
    </row>
    <row r="48700" spans="43:43" x14ac:dyDescent="0.2">
      <c r="AQ48700" s="31"/>
    </row>
    <row r="48701" spans="43:43" x14ac:dyDescent="0.2">
      <c r="AQ48701" s="31"/>
    </row>
    <row r="48702" spans="43:43" x14ac:dyDescent="0.2">
      <c r="AQ48702" s="31"/>
    </row>
    <row r="48703" spans="43:43" x14ac:dyDescent="0.2">
      <c r="AQ48703" s="31"/>
    </row>
    <row r="48704" spans="43:43" x14ac:dyDescent="0.2">
      <c r="AQ48704" s="31"/>
    </row>
    <row r="48705" spans="43:43" x14ac:dyDescent="0.2">
      <c r="AQ48705" s="31"/>
    </row>
    <row r="48706" spans="43:43" x14ac:dyDescent="0.2">
      <c r="AQ48706" s="31"/>
    </row>
    <row r="48707" spans="43:43" x14ac:dyDescent="0.2">
      <c r="AQ48707" s="31"/>
    </row>
    <row r="48708" spans="43:43" x14ac:dyDescent="0.2">
      <c r="AQ48708" s="31"/>
    </row>
    <row r="48709" spans="43:43" x14ac:dyDescent="0.2">
      <c r="AQ48709" s="31"/>
    </row>
    <row r="48710" spans="43:43" x14ac:dyDescent="0.2">
      <c r="AQ48710" s="31"/>
    </row>
    <row r="48711" spans="43:43" x14ac:dyDescent="0.2">
      <c r="AQ48711" s="31"/>
    </row>
    <row r="48712" spans="43:43" x14ac:dyDescent="0.2">
      <c r="AQ48712" s="31"/>
    </row>
    <row r="48713" spans="43:43" x14ac:dyDescent="0.2">
      <c r="AQ48713" s="31"/>
    </row>
    <row r="48714" spans="43:43" x14ac:dyDescent="0.2">
      <c r="AQ48714" s="31"/>
    </row>
    <row r="48715" spans="43:43" x14ac:dyDescent="0.2">
      <c r="AQ48715" s="31"/>
    </row>
    <row r="48716" spans="43:43" x14ac:dyDescent="0.2">
      <c r="AQ48716" s="31"/>
    </row>
    <row r="48717" spans="43:43" x14ac:dyDescent="0.2">
      <c r="AQ48717" s="31"/>
    </row>
    <row r="48718" spans="43:43" x14ac:dyDescent="0.2">
      <c r="AQ48718" s="31"/>
    </row>
    <row r="48719" spans="43:43" x14ac:dyDescent="0.2">
      <c r="AQ48719" s="31"/>
    </row>
    <row r="48720" spans="43:43" x14ac:dyDescent="0.2">
      <c r="AQ48720" s="31"/>
    </row>
    <row r="48721" spans="43:43" x14ac:dyDescent="0.2">
      <c r="AQ48721" s="31"/>
    </row>
    <row r="48722" spans="43:43" x14ac:dyDescent="0.2">
      <c r="AQ48722" s="31"/>
    </row>
    <row r="48723" spans="43:43" x14ac:dyDescent="0.2">
      <c r="AQ48723" s="31"/>
    </row>
    <row r="48724" spans="43:43" x14ac:dyDescent="0.2">
      <c r="AQ48724" s="31"/>
    </row>
    <row r="48725" spans="43:43" x14ac:dyDescent="0.2">
      <c r="AQ48725" s="31"/>
    </row>
    <row r="48726" spans="43:43" x14ac:dyDescent="0.2">
      <c r="AQ48726" s="31"/>
    </row>
    <row r="48727" spans="43:43" x14ac:dyDescent="0.2">
      <c r="AQ48727" s="31"/>
    </row>
    <row r="48728" spans="43:43" x14ac:dyDescent="0.2">
      <c r="AQ48728" s="31"/>
    </row>
    <row r="48729" spans="43:43" x14ac:dyDescent="0.2">
      <c r="AQ48729" s="31"/>
    </row>
    <row r="48730" spans="43:43" x14ac:dyDescent="0.2">
      <c r="AQ48730" s="31"/>
    </row>
    <row r="48731" spans="43:43" x14ac:dyDescent="0.2">
      <c r="AQ48731" s="31"/>
    </row>
    <row r="48732" spans="43:43" x14ac:dyDescent="0.2">
      <c r="AQ48732" s="31"/>
    </row>
    <row r="48733" spans="43:43" x14ac:dyDescent="0.2">
      <c r="AQ48733" s="31"/>
    </row>
    <row r="48734" spans="43:43" x14ac:dyDescent="0.2">
      <c r="AQ48734" s="31"/>
    </row>
    <row r="48735" spans="43:43" x14ac:dyDescent="0.2">
      <c r="AQ48735" s="31"/>
    </row>
    <row r="48736" spans="43:43" x14ac:dyDescent="0.2">
      <c r="AQ48736" s="31"/>
    </row>
    <row r="48737" spans="43:43" x14ac:dyDescent="0.2">
      <c r="AQ48737" s="31"/>
    </row>
    <row r="48738" spans="43:43" x14ac:dyDescent="0.2">
      <c r="AQ48738" s="31"/>
    </row>
    <row r="48739" spans="43:43" x14ac:dyDescent="0.2">
      <c r="AQ48739" s="31"/>
    </row>
    <row r="48740" spans="43:43" x14ac:dyDescent="0.2">
      <c r="AQ48740" s="31"/>
    </row>
    <row r="48741" spans="43:43" x14ac:dyDescent="0.2">
      <c r="AQ48741" s="31"/>
    </row>
    <row r="48742" spans="43:43" x14ac:dyDescent="0.2">
      <c r="AQ48742" s="31"/>
    </row>
    <row r="48743" spans="43:43" x14ac:dyDescent="0.2">
      <c r="AQ48743" s="31"/>
    </row>
    <row r="48744" spans="43:43" x14ac:dyDescent="0.2">
      <c r="AQ48744" s="31"/>
    </row>
    <row r="48745" spans="43:43" x14ac:dyDescent="0.2">
      <c r="AQ48745" s="31"/>
    </row>
    <row r="48746" spans="43:43" x14ac:dyDescent="0.2">
      <c r="AQ48746" s="31"/>
    </row>
    <row r="48747" spans="43:43" x14ac:dyDescent="0.2">
      <c r="AQ48747" s="31"/>
    </row>
    <row r="48748" spans="43:43" x14ac:dyDescent="0.2">
      <c r="AQ48748" s="31"/>
    </row>
    <row r="48749" spans="43:43" x14ac:dyDescent="0.2">
      <c r="AQ48749" s="31"/>
    </row>
    <row r="48750" spans="43:43" x14ac:dyDescent="0.2">
      <c r="AQ48750" s="31"/>
    </row>
    <row r="48751" spans="43:43" x14ac:dyDescent="0.2">
      <c r="AQ48751" s="31"/>
    </row>
    <row r="48752" spans="43:43" x14ac:dyDescent="0.2">
      <c r="AQ48752" s="31"/>
    </row>
    <row r="48753" spans="43:43" x14ac:dyDescent="0.2">
      <c r="AQ48753" s="31"/>
    </row>
    <row r="48754" spans="43:43" x14ac:dyDescent="0.2">
      <c r="AQ48754" s="31"/>
    </row>
    <row r="48755" spans="43:43" x14ac:dyDescent="0.2">
      <c r="AQ48755" s="31"/>
    </row>
    <row r="48756" spans="43:43" x14ac:dyDescent="0.2">
      <c r="AQ48756" s="31"/>
    </row>
    <row r="48757" spans="43:43" x14ac:dyDescent="0.2">
      <c r="AQ48757" s="31"/>
    </row>
    <row r="48758" spans="43:43" x14ac:dyDescent="0.2">
      <c r="AQ48758" s="31"/>
    </row>
    <row r="48759" spans="43:43" x14ac:dyDescent="0.2">
      <c r="AQ48759" s="31"/>
    </row>
    <row r="48760" spans="43:43" x14ac:dyDescent="0.2">
      <c r="AQ48760" s="31"/>
    </row>
    <row r="48761" spans="43:43" x14ac:dyDescent="0.2">
      <c r="AQ48761" s="31"/>
    </row>
    <row r="48762" spans="43:43" x14ac:dyDescent="0.2">
      <c r="AQ48762" s="31"/>
    </row>
    <row r="48763" spans="43:43" x14ac:dyDescent="0.2">
      <c r="AQ48763" s="31"/>
    </row>
    <row r="48764" spans="43:43" x14ac:dyDescent="0.2">
      <c r="AQ48764" s="31"/>
    </row>
    <row r="48765" spans="43:43" x14ac:dyDescent="0.2">
      <c r="AQ48765" s="31"/>
    </row>
    <row r="48766" spans="43:43" x14ac:dyDescent="0.2">
      <c r="AQ48766" s="31"/>
    </row>
    <row r="48767" spans="43:43" x14ac:dyDescent="0.2">
      <c r="AQ48767" s="31"/>
    </row>
    <row r="48768" spans="43:43" x14ac:dyDescent="0.2">
      <c r="AQ48768" s="31"/>
    </row>
    <row r="48769" spans="43:43" x14ac:dyDescent="0.2">
      <c r="AQ48769" s="31"/>
    </row>
    <row r="48770" spans="43:43" x14ac:dyDescent="0.2">
      <c r="AQ48770" s="31"/>
    </row>
    <row r="48771" spans="43:43" x14ac:dyDescent="0.2">
      <c r="AQ48771" s="31"/>
    </row>
    <row r="48772" spans="43:43" x14ac:dyDescent="0.2">
      <c r="AQ48772" s="31"/>
    </row>
    <row r="48773" spans="43:43" x14ac:dyDescent="0.2">
      <c r="AQ48773" s="31"/>
    </row>
    <row r="48774" spans="43:43" x14ac:dyDescent="0.2">
      <c r="AQ48774" s="31"/>
    </row>
    <row r="48775" spans="43:43" x14ac:dyDescent="0.2">
      <c r="AQ48775" s="31"/>
    </row>
    <row r="48776" spans="43:43" x14ac:dyDescent="0.2">
      <c r="AQ48776" s="31"/>
    </row>
    <row r="48777" spans="43:43" x14ac:dyDescent="0.2">
      <c r="AQ48777" s="31"/>
    </row>
    <row r="48778" spans="43:43" x14ac:dyDescent="0.2">
      <c r="AQ48778" s="31"/>
    </row>
    <row r="48779" spans="43:43" x14ac:dyDescent="0.2">
      <c r="AQ48779" s="31"/>
    </row>
    <row r="48780" spans="43:43" x14ac:dyDescent="0.2">
      <c r="AQ48780" s="31"/>
    </row>
    <row r="48781" spans="43:43" x14ac:dyDescent="0.2">
      <c r="AQ48781" s="31"/>
    </row>
    <row r="48782" spans="43:43" x14ac:dyDescent="0.2">
      <c r="AQ48782" s="31"/>
    </row>
    <row r="48783" spans="43:43" x14ac:dyDescent="0.2">
      <c r="AQ48783" s="31"/>
    </row>
    <row r="48784" spans="43:43" x14ac:dyDescent="0.2">
      <c r="AQ48784" s="31"/>
    </row>
    <row r="48785" spans="43:43" x14ac:dyDescent="0.2">
      <c r="AQ48785" s="31"/>
    </row>
    <row r="48786" spans="43:43" x14ac:dyDescent="0.2">
      <c r="AQ48786" s="31"/>
    </row>
    <row r="48787" spans="43:43" x14ac:dyDescent="0.2">
      <c r="AQ48787" s="31"/>
    </row>
    <row r="48788" spans="43:43" x14ac:dyDescent="0.2">
      <c r="AQ48788" s="31"/>
    </row>
    <row r="48789" spans="43:43" x14ac:dyDescent="0.2">
      <c r="AQ48789" s="31"/>
    </row>
    <row r="48790" spans="43:43" x14ac:dyDescent="0.2">
      <c r="AQ48790" s="31"/>
    </row>
    <row r="48791" spans="43:43" x14ac:dyDescent="0.2">
      <c r="AQ48791" s="31"/>
    </row>
    <row r="48792" spans="43:43" x14ac:dyDescent="0.2">
      <c r="AQ48792" s="31"/>
    </row>
    <row r="48793" spans="43:43" x14ac:dyDescent="0.2">
      <c r="AQ48793" s="31"/>
    </row>
    <row r="48794" spans="43:43" x14ac:dyDescent="0.2">
      <c r="AQ48794" s="31"/>
    </row>
    <row r="48795" spans="43:43" x14ac:dyDescent="0.2">
      <c r="AQ48795" s="31"/>
    </row>
    <row r="48796" spans="43:43" x14ac:dyDescent="0.2">
      <c r="AQ48796" s="31"/>
    </row>
    <row r="48797" spans="43:43" x14ac:dyDescent="0.2">
      <c r="AQ48797" s="31"/>
    </row>
    <row r="48798" spans="43:43" x14ac:dyDescent="0.2">
      <c r="AQ48798" s="31"/>
    </row>
    <row r="48799" spans="43:43" x14ac:dyDescent="0.2">
      <c r="AQ48799" s="31"/>
    </row>
    <row r="48800" spans="43:43" x14ac:dyDescent="0.2">
      <c r="AQ48800" s="31"/>
    </row>
    <row r="48801" spans="43:43" x14ac:dyDescent="0.2">
      <c r="AQ48801" s="31"/>
    </row>
    <row r="48802" spans="43:43" x14ac:dyDescent="0.2">
      <c r="AQ48802" s="31"/>
    </row>
    <row r="48803" spans="43:43" x14ac:dyDescent="0.2">
      <c r="AQ48803" s="31"/>
    </row>
    <row r="48804" spans="43:43" x14ac:dyDescent="0.2">
      <c r="AQ48804" s="31"/>
    </row>
    <row r="48805" spans="43:43" x14ac:dyDescent="0.2">
      <c r="AQ48805" s="31"/>
    </row>
    <row r="48806" spans="43:43" x14ac:dyDescent="0.2">
      <c r="AQ48806" s="31"/>
    </row>
    <row r="48807" spans="43:43" x14ac:dyDescent="0.2">
      <c r="AQ48807" s="31"/>
    </row>
    <row r="48808" spans="43:43" x14ac:dyDescent="0.2">
      <c r="AQ48808" s="31"/>
    </row>
    <row r="48809" spans="43:43" x14ac:dyDescent="0.2">
      <c r="AQ48809" s="31"/>
    </row>
    <row r="48810" spans="43:43" x14ac:dyDescent="0.2">
      <c r="AQ48810" s="31"/>
    </row>
    <row r="48811" spans="43:43" x14ac:dyDescent="0.2">
      <c r="AQ48811" s="31"/>
    </row>
    <row r="48812" spans="43:43" x14ac:dyDescent="0.2">
      <c r="AQ48812" s="31"/>
    </row>
    <row r="48813" spans="43:43" x14ac:dyDescent="0.2">
      <c r="AQ48813" s="31"/>
    </row>
    <row r="48814" spans="43:43" x14ac:dyDescent="0.2">
      <c r="AQ48814" s="31"/>
    </row>
    <row r="48815" spans="43:43" x14ac:dyDescent="0.2">
      <c r="AQ48815" s="31"/>
    </row>
    <row r="48816" spans="43:43" x14ac:dyDescent="0.2">
      <c r="AQ48816" s="31"/>
    </row>
    <row r="48817" spans="43:43" x14ac:dyDescent="0.2">
      <c r="AQ48817" s="31"/>
    </row>
    <row r="48818" spans="43:43" x14ac:dyDescent="0.2">
      <c r="AQ48818" s="31"/>
    </row>
    <row r="48819" spans="43:43" x14ac:dyDescent="0.2">
      <c r="AQ48819" s="31"/>
    </row>
    <row r="48820" spans="43:43" x14ac:dyDescent="0.2">
      <c r="AQ48820" s="31"/>
    </row>
    <row r="48821" spans="43:43" x14ac:dyDescent="0.2">
      <c r="AQ48821" s="31"/>
    </row>
    <row r="48822" spans="43:43" x14ac:dyDescent="0.2">
      <c r="AQ48822" s="31"/>
    </row>
    <row r="48823" spans="43:43" x14ac:dyDescent="0.2">
      <c r="AQ48823" s="31"/>
    </row>
    <row r="48824" spans="43:43" x14ac:dyDescent="0.2">
      <c r="AQ48824" s="31"/>
    </row>
    <row r="48825" spans="43:43" x14ac:dyDescent="0.2">
      <c r="AQ48825" s="31"/>
    </row>
    <row r="48826" spans="43:43" x14ac:dyDescent="0.2">
      <c r="AQ48826" s="31"/>
    </row>
    <row r="48827" spans="43:43" x14ac:dyDescent="0.2">
      <c r="AQ48827" s="31"/>
    </row>
    <row r="48828" spans="43:43" x14ac:dyDescent="0.2">
      <c r="AQ48828" s="31"/>
    </row>
    <row r="48829" spans="43:43" x14ac:dyDescent="0.2">
      <c r="AQ48829" s="31"/>
    </row>
    <row r="48830" spans="43:43" x14ac:dyDescent="0.2">
      <c r="AQ48830" s="31"/>
    </row>
    <row r="48831" spans="43:43" x14ac:dyDescent="0.2">
      <c r="AQ48831" s="31"/>
    </row>
    <row r="48832" spans="43:43" x14ac:dyDescent="0.2">
      <c r="AQ48832" s="31"/>
    </row>
    <row r="48833" spans="43:43" x14ac:dyDescent="0.2">
      <c r="AQ48833" s="31"/>
    </row>
    <row r="48834" spans="43:43" x14ac:dyDescent="0.2">
      <c r="AQ48834" s="31"/>
    </row>
    <row r="48835" spans="43:43" x14ac:dyDescent="0.2">
      <c r="AQ48835" s="31"/>
    </row>
    <row r="48836" spans="43:43" x14ac:dyDescent="0.2">
      <c r="AQ48836" s="31"/>
    </row>
    <row r="48837" spans="43:43" x14ac:dyDescent="0.2">
      <c r="AQ48837" s="31"/>
    </row>
    <row r="48838" spans="43:43" x14ac:dyDescent="0.2">
      <c r="AQ48838" s="31"/>
    </row>
    <row r="48839" spans="43:43" x14ac:dyDescent="0.2">
      <c r="AQ48839" s="31"/>
    </row>
    <row r="48840" spans="43:43" x14ac:dyDescent="0.2">
      <c r="AQ48840" s="31"/>
    </row>
    <row r="48841" spans="43:43" x14ac:dyDescent="0.2">
      <c r="AQ48841" s="31"/>
    </row>
    <row r="48842" spans="43:43" x14ac:dyDescent="0.2">
      <c r="AQ48842" s="31"/>
    </row>
    <row r="48843" spans="43:43" x14ac:dyDescent="0.2">
      <c r="AQ48843" s="31"/>
    </row>
    <row r="48844" spans="43:43" x14ac:dyDescent="0.2">
      <c r="AQ48844" s="31"/>
    </row>
    <row r="48845" spans="43:43" x14ac:dyDescent="0.2">
      <c r="AQ48845" s="31"/>
    </row>
    <row r="48846" spans="43:43" x14ac:dyDescent="0.2">
      <c r="AQ48846" s="31"/>
    </row>
    <row r="48847" spans="43:43" x14ac:dyDescent="0.2">
      <c r="AQ48847" s="31"/>
    </row>
    <row r="48848" spans="43:43" x14ac:dyDescent="0.2">
      <c r="AQ48848" s="31"/>
    </row>
    <row r="48849" spans="43:43" x14ac:dyDescent="0.2">
      <c r="AQ48849" s="31"/>
    </row>
    <row r="48850" spans="43:43" x14ac:dyDescent="0.2">
      <c r="AQ48850" s="31"/>
    </row>
    <row r="48851" spans="43:43" x14ac:dyDescent="0.2">
      <c r="AQ48851" s="31"/>
    </row>
    <row r="48852" spans="43:43" x14ac:dyDescent="0.2">
      <c r="AQ48852" s="31"/>
    </row>
    <row r="48853" spans="43:43" x14ac:dyDescent="0.2">
      <c r="AQ48853" s="31"/>
    </row>
    <row r="48854" spans="43:43" x14ac:dyDescent="0.2">
      <c r="AQ48854" s="31"/>
    </row>
    <row r="48855" spans="43:43" x14ac:dyDescent="0.2">
      <c r="AQ48855" s="31"/>
    </row>
    <row r="48856" spans="43:43" x14ac:dyDescent="0.2">
      <c r="AQ48856" s="31"/>
    </row>
    <row r="48857" spans="43:43" x14ac:dyDescent="0.2">
      <c r="AQ48857" s="31"/>
    </row>
    <row r="48858" spans="43:43" x14ac:dyDescent="0.2">
      <c r="AQ48858" s="31"/>
    </row>
    <row r="48859" spans="43:43" x14ac:dyDescent="0.2">
      <c r="AQ48859" s="31"/>
    </row>
    <row r="48860" spans="43:43" x14ac:dyDescent="0.2">
      <c r="AQ48860" s="31"/>
    </row>
    <row r="48861" spans="43:43" x14ac:dyDescent="0.2">
      <c r="AQ48861" s="31"/>
    </row>
    <row r="48862" spans="43:43" x14ac:dyDescent="0.2">
      <c r="AQ48862" s="31"/>
    </row>
    <row r="48863" spans="43:43" x14ac:dyDescent="0.2">
      <c r="AQ48863" s="31"/>
    </row>
    <row r="48864" spans="43:43" x14ac:dyDescent="0.2">
      <c r="AQ48864" s="31"/>
    </row>
    <row r="48865" spans="43:43" x14ac:dyDescent="0.2">
      <c r="AQ48865" s="31"/>
    </row>
    <row r="48866" spans="43:43" x14ac:dyDescent="0.2">
      <c r="AQ48866" s="31"/>
    </row>
    <row r="48867" spans="43:43" x14ac:dyDescent="0.2">
      <c r="AQ48867" s="31"/>
    </row>
    <row r="48868" spans="43:43" x14ac:dyDescent="0.2">
      <c r="AQ48868" s="31"/>
    </row>
    <row r="48869" spans="43:43" x14ac:dyDescent="0.2">
      <c r="AQ48869" s="31"/>
    </row>
    <row r="48870" spans="43:43" x14ac:dyDescent="0.2">
      <c r="AQ48870" s="31"/>
    </row>
    <row r="48871" spans="43:43" x14ac:dyDescent="0.2">
      <c r="AQ48871" s="31"/>
    </row>
    <row r="48872" spans="43:43" x14ac:dyDescent="0.2">
      <c r="AQ48872" s="31"/>
    </row>
    <row r="48873" spans="43:43" x14ac:dyDescent="0.2">
      <c r="AQ48873" s="31"/>
    </row>
    <row r="48874" spans="43:43" x14ac:dyDescent="0.2">
      <c r="AQ48874" s="31"/>
    </row>
    <row r="48875" spans="43:43" x14ac:dyDescent="0.2">
      <c r="AQ48875" s="31"/>
    </row>
    <row r="48876" spans="43:43" x14ac:dyDescent="0.2">
      <c r="AQ48876" s="31"/>
    </row>
    <row r="48877" spans="43:43" x14ac:dyDescent="0.2">
      <c r="AQ48877" s="31"/>
    </row>
    <row r="48878" spans="43:43" x14ac:dyDescent="0.2">
      <c r="AQ48878" s="31"/>
    </row>
    <row r="48879" spans="43:43" x14ac:dyDescent="0.2">
      <c r="AQ48879" s="31"/>
    </row>
    <row r="48880" spans="43:43" x14ac:dyDescent="0.2">
      <c r="AQ48880" s="31"/>
    </row>
    <row r="48881" spans="43:43" x14ac:dyDescent="0.2">
      <c r="AQ48881" s="31"/>
    </row>
    <row r="48882" spans="43:43" x14ac:dyDescent="0.2">
      <c r="AQ48882" s="31"/>
    </row>
    <row r="48883" spans="43:43" x14ac:dyDescent="0.2">
      <c r="AQ48883" s="31"/>
    </row>
    <row r="48884" spans="43:43" x14ac:dyDescent="0.2">
      <c r="AQ48884" s="31"/>
    </row>
    <row r="48885" spans="43:43" x14ac:dyDescent="0.2">
      <c r="AQ48885" s="31"/>
    </row>
    <row r="48886" spans="43:43" x14ac:dyDescent="0.2">
      <c r="AQ48886" s="31"/>
    </row>
    <row r="48887" spans="43:43" x14ac:dyDescent="0.2">
      <c r="AQ48887" s="31"/>
    </row>
    <row r="48888" spans="43:43" x14ac:dyDescent="0.2">
      <c r="AQ48888" s="31"/>
    </row>
    <row r="48889" spans="43:43" x14ac:dyDescent="0.2">
      <c r="AQ48889" s="31"/>
    </row>
    <row r="48890" spans="43:43" x14ac:dyDescent="0.2">
      <c r="AQ48890" s="31"/>
    </row>
    <row r="48891" spans="43:43" x14ac:dyDescent="0.2">
      <c r="AQ48891" s="31"/>
    </row>
    <row r="48892" spans="43:43" x14ac:dyDescent="0.2">
      <c r="AQ48892" s="31"/>
    </row>
    <row r="48893" spans="43:43" x14ac:dyDescent="0.2">
      <c r="AQ48893" s="31"/>
    </row>
    <row r="48894" spans="43:43" x14ac:dyDescent="0.2">
      <c r="AQ48894" s="31"/>
    </row>
    <row r="48895" spans="43:43" x14ac:dyDescent="0.2">
      <c r="AQ48895" s="31"/>
    </row>
    <row r="48896" spans="43:43" x14ac:dyDescent="0.2">
      <c r="AQ48896" s="31"/>
    </row>
    <row r="48897" spans="43:43" x14ac:dyDescent="0.2">
      <c r="AQ48897" s="31"/>
    </row>
    <row r="48898" spans="43:43" x14ac:dyDescent="0.2">
      <c r="AQ48898" s="31"/>
    </row>
    <row r="48899" spans="43:43" x14ac:dyDescent="0.2">
      <c r="AQ48899" s="31"/>
    </row>
    <row r="48900" spans="43:43" x14ac:dyDescent="0.2">
      <c r="AQ48900" s="31"/>
    </row>
    <row r="48901" spans="43:43" x14ac:dyDescent="0.2">
      <c r="AQ48901" s="31"/>
    </row>
    <row r="48902" spans="43:43" x14ac:dyDescent="0.2">
      <c r="AQ48902" s="31"/>
    </row>
    <row r="48903" spans="43:43" x14ac:dyDescent="0.2">
      <c r="AQ48903" s="31"/>
    </row>
    <row r="48904" spans="43:43" x14ac:dyDescent="0.2">
      <c r="AQ48904" s="31"/>
    </row>
    <row r="48905" spans="43:43" x14ac:dyDescent="0.2">
      <c r="AQ48905" s="31"/>
    </row>
    <row r="48906" spans="43:43" x14ac:dyDescent="0.2">
      <c r="AQ48906" s="31"/>
    </row>
    <row r="48907" spans="43:43" x14ac:dyDescent="0.2">
      <c r="AQ48907" s="31"/>
    </row>
    <row r="48908" spans="43:43" x14ac:dyDescent="0.2">
      <c r="AQ48908" s="31"/>
    </row>
    <row r="48909" spans="43:43" x14ac:dyDescent="0.2">
      <c r="AQ48909" s="31"/>
    </row>
    <row r="48910" spans="43:43" x14ac:dyDescent="0.2">
      <c r="AQ48910" s="31"/>
    </row>
    <row r="48911" spans="43:43" x14ac:dyDescent="0.2">
      <c r="AQ48911" s="31"/>
    </row>
    <row r="48912" spans="43:43" x14ac:dyDescent="0.2">
      <c r="AQ48912" s="31"/>
    </row>
    <row r="48913" spans="43:43" x14ac:dyDescent="0.2">
      <c r="AQ48913" s="31"/>
    </row>
    <row r="48914" spans="43:43" x14ac:dyDescent="0.2">
      <c r="AQ48914" s="31"/>
    </row>
    <row r="48915" spans="43:43" x14ac:dyDescent="0.2">
      <c r="AQ48915" s="31"/>
    </row>
    <row r="48916" spans="43:43" x14ac:dyDescent="0.2">
      <c r="AQ48916" s="31"/>
    </row>
    <row r="48917" spans="43:43" x14ac:dyDescent="0.2">
      <c r="AQ48917" s="31"/>
    </row>
    <row r="48918" spans="43:43" x14ac:dyDescent="0.2">
      <c r="AQ48918" s="31"/>
    </row>
    <row r="48919" spans="43:43" x14ac:dyDescent="0.2">
      <c r="AQ48919" s="31"/>
    </row>
    <row r="48920" spans="43:43" x14ac:dyDescent="0.2">
      <c r="AQ48920" s="31"/>
    </row>
    <row r="48921" spans="43:43" x14ac:dyDescent="0.2">
      <c r="AQ48921" s="31"/>
    </row>
    <row r="48922" spans="43:43" x14ac:dyDescent="0.2">
      <c r="AQ48922" s="31"/>
    </row>
    <row r="48923" spans="43:43" x14ac:dyDescent="0.2">
      <c r="AQ48923" s="31"/>
    </row>
    <row r="48924" spans="43:43" x14ac:dyDescent="0.2">
      <c r="AQ48924" s="31"/>
    </row>
    <row r="48925" spans="43:43" x14ac:dyDescent="0.2">
      <c r="AQ48925" s="31"/>
    </row>
    <row r="48926" spans="43:43" x14ac:dyDescent="0.2">
      <c r="AQ48926" s="31"/>
    </row>
    <row r="48927" spans="43:43" x14ac:dyDescent="0.2">
      <c r="AQ48927" s="31"/>
    </row>
    <row r="48928" spans="43:43" x14ac:dyDescent="0.2">
      <c r="AQ48928" s="31"/>
    </row>
    <row r="48929" spans="43:43" x14ac:dyDescent="0.2">
      <c r="AQ48929" s="31"/>
    </row>
    <row r="48930" spans="43:43" x14ac:dyDescent="0.2">
      <c r="AQ48930" s="31"/>
    </row>
    <row r="48931" spans="43:43" x14ac:dyDescent="0.2">
      <c r="AQ48931" s="31"/>
    </row>
    <row r="48932" spans="43:43" x14ac:dyDescent="0.2">
      <c r="AQ48932" s="31"/>
    </row>
    <row r="48933" spans="43:43" x14ac:dyDescent="0.2">
      <c r="AQ48933" s="31"/>
    </row>
    <row r="48934" spans="43:43" x14ac:dyDescent="0.2">
      <c r="AQ48934" s="31"/>
    </row>
    <row r="48935" spans="43:43" x14ac:dyDescent="0.2">
      <c r="AQ48935" s="31"/>
    </row>
    <row r="48936" spans="43:43" x14ac:dyDescent="0.2">
      <c r="AQ48936" s="31"/>
    </row>
    <row r="48937" spans="43:43" x14ac:dyDescent="0.2">
      <c r="AQ48937" s="31"/>
    </row>
    <row r="48938" spans="43:43" x14ac:dyDescent="0.2">
      <c r="AQ48938" s="31"/>
    </row>
    <row r="48939" spans="43:43" x14ac:dyDescent="0.2">
      <c r="AQ48939" s="31"/>
    </row>
    <row r="48940" spans="43:43" x14ac:dyDescent="0.2">
      <c r="AQ48940" s="31"/>
    </row>
    <row r="48941" spans="43:43" x14ac:dyDescent="0.2">
      <c r="AQ48941" s="31"/>
    </row>
    <row r="48942" spans="43:43" x14ac:dyDescent="0.2">
      <c r="AQ48942" s="31"/>
    </row>
    <row r="48943" spans="43:43" x14ac:dyDescent="0.2">
      <c r="AQ48943" s="31"/>
    </row>
    <row r="48944" spans="43:43" x14ac:dyDescent="0.2">
      <c r="AQ48944" s="31"/>
    </row>
    <row r="48945" spans="43:43" x14ac:dyDescent="0.2">
      <c r="AQ48945" s="31"/>
    </row>
    <row r="48946" spans="43:43" x14ac:dyDescent="0.2">
      <c r="AQ48946" s="31"/>
    </row>
    <row r="48947" spans="43:43" x14ac:dyDescent="0.2">
      <c r="AQ48947" s="31"/>
    </row>
    <row r="48948" spans="43:43" x14ac:dyDescent="0.2">
      <c r="AQ48948" s="31"/>
    </row>
    <row r="48949" spans="43:43" x14ac:dyDescent="0.2">
      <c r="AQ48949" s="31"/>
    </row>
    <row r="48950" spans="43:43" x14ac:dyDescent="0.2">
      <c r="AQ48950" s="31"/>
    </row>
    <row r="48951" spans="43:43" x14ac:dyDescent="0.2">
      <c r="AQ48951" s="31"/>
    </row>
    <row r="48952" spans="43:43" x14ac:dyDescent="0.2">
      <c r="AQ48952" s="31"/>
    </row>
    <row r="48953" spans="43:43" x14ac:dyDescent="0.2">
      <c r="AQ48953" s="31"/>
    </row>
    <row r="48954" spans="43:43" x14ac:dyDescent="0.2">
      <c r="AQ48954" s="31"/>
    </row>
    <row r="48955" spans="43:43" x14ac:dyDescent="0.2">
      <c r="AQ48955" s="31"/>
    </row>
    <row r="48956" spans="43:43" x14ac:dyDescent="0.2">
      <c r="AQ48956" s="31"/>
    </row>
    <row r="48957" spans="43:43" x14ac:dyDescent="0.2">
      <c r="AQ48957" s="31"/>
    </row>
    <row r="48958" spans="43:43" x14ac:dyDescent="0.2">
      <c r="AQ48958" s="31"/>
    </row>
    <row r="48959" spans="43:43" x14ac:dyDescent="0.2">
      <c r="AQ48959" s="31"/>
    </row>
    <row r="48960" spans="43:43" x14ac:dyDescent="0.2">
      <c r="AQ48960" s="31"/>
    </row>
    <row r="48961" spans="43:43" x14ac:dyDescent="0.2">
      <c r="AQ48961" s="31"/>
    </row>
    <row r="48962" spans="43:43" x14ac:dyDescent="0.2">
      <c r="AQ48962" s="31"/>
    </row>
    <row r="48963" spans="43:43" x14ac:dyDescent="0.2">
      <c r="AQ48963" s="31"/>
    </row>
    <row r="48964" spans="43:43" x14ac:dyDescent="0.2">
      <c r="AQ48964" s="31"/>
    </row>
    <row r="48965" spans="43:43" x14ac:dyDescent="0.2">
      <c r="AQ48965" s="31"/>
    </row>
    <row r="48966" spans="43:43" x14ac:dyDescent="0.2">
      <c r="AQ48966" s="31"/>
    </row>
    <row r="48967" spans="43:43" x14ac:dyDescent="0.2">
      <c r="AQ48967" s="31"/>
    </row>
    <row r="48968" spans="43:43" x14ac:dyDescent="0.2">
      <c r="AQ48968" s="31"/>
    </row>
    <row r="48969" spans="43:43" x14ac:dyDescent="0.2">
      <c r="AQ48969" s="31"/>
    </row>
    <row r="48970" spans="43:43" x14ac:dyDescent="0.2">
      <c r="AQ48970" s="31"/>
    </row>
    <row r="48971" spans="43:43" x14ac:dyDescent="0.2">
      <c r="AQ48971" s="31"/>
    </row>
    <row r="48972" spans="43:43" x14ac:dyDescent="0.2">
      <c r="AQ48972" s="31"/>
    </row>
    <row r="48973" spans="43:43" x14ac:dyDescent="0.2">
      <c r="AQ48973" s="31"/>
    </row>
    <row r="48974" spans="43:43" x14ac:dyDescent="0.2">
      <c r="AQ48974" s="31"/>
    </row>
    <row r="48975" spans="43:43" x14ac:dyDescent="0.2">
      <c r="AQ48975" s="31"/>
    </row>
    <row r="48976" spans="43:43" x14ac:dyDescent="0.2">
      <c r="AQ48976" s="31"/>
    </row>
    <row r="48977" spans="43:43" x14ac:dyDescent="0.2">
      <c r="AQ48977" s="31"/>
    </row>
    <row r="48978" spans="43:43" x14ac:dyDescent="0.2">
      <c r="AQ48978" s="31"/>
    </row>
    <row r="48979" spans="43:43" x14ac:dyDescent="0.2">
      <c r="AQ48979" s="31"/>
    </row>
    <row r="48980" spans="43:43" x14ac:dyDescent="0.2">
      <c r="AQ48980" s="31"/>
    </row>
    <row r="48981" spans="43:43" x14ac:dyDescent="0.2">
      <c r="AQ48981" s="31"/>
    </row>
    <row r="48982" spans="43:43" x14ac:dyDescent="0.2">
      <c r="AQ48982" s="31"/>
    </row>
    <row r="48983" spans="43:43" x14ac:dyDescent="0.2">
      <c r="AQ48983" s="31"/>
    </row>
    <row r="48984" spans="43:43" x14ac:dyDescent="0.2">
      <c r="AQ48984" s="31"/>
    </row>
    <row r="48985" spans="43:43" x14ac:dyDescent="0.2">
      <c r="AQ48985" s="31"/>
    </row>
    <row r="48986" spans="43:43" x14ac:dyDescent="0.2">
      <c r="AQ48986" s="31"/>
    </row>
    <row r="48987" spans="43:43" x14ac:dyDescent="0.2">
      <c r="AQ48987" s="31"/>
    </row>
    <row r="48988" spans="43:43" x14ac:dyDescent="0.2">
      <c r="AQ48988" s="31"/>
    </row>
    <row r="48989" spans="43:43" x14ac:dyDescent="0.2">
      <c r="AQ48989" s="31"/>
    </row>
    <row r="48990" spans="43:43" x14ac:dyDescent="0.2">
      <c r="AQ48990" s="31"/>
    </row>
    <row r="48991" spans="43:43" x14ac:dyDescent="0.2">
      <c r="AQ48991" s="31"/>
    </row>
    <row r="48992" spans="43:43" x14ac:dyDescent="0.2">
      <c r="AQ48992" s="31"/>
    </row>
    <row r="48993" spans="43:43" x14ac:dyDescent="0.2">
      <c r="AQ48993" s="31"/>
    </row>
    <row r="48994" spans="43:43" x14ac:dyDescent="0.2">
      <c r="AQ48994" s="31"/>
    </row>
    <row r="48995" spans="43:43" x14ac:dyDescent="0.2">
      <c r="AQ48995" s="31"/>
    </row>
    <row r="48996" spans="43:43" x14ac:dyDescent="0.2">
      <c r="AQ48996" s="31"/>
    </row>
    <row r="48997" spans="43:43" x14ac:dyDescent="0.2">
      <c r="AQ48997" s="31"/>
    </row>
    <row r="48998" spans="43:43" x14ac:dyDescent="0.2">
      <c r="AQ48998" s="31"/>
    </row>
    <row r="48999" spans="43:43" x14ac:dyDescent="0.2">
      <c r="AQ48999" s="31"/>
    </row>
    <row r="49000" spans="43:43" x14ac:dyDescent="0.2">
      <c r="AQ49000" s="31"/>
    </row>
    <row r="49001" spans="43:43" x14ac:dyDescent="0.2">
      <c r="AQ49001" s="31"/>
    </row>
    <row r="49002" spans="43:43" x14ac:dyDescent="0.2">
      <c r="AQ49002" s="31"/>
    </row>
    <row r="49003" spans="43:43" x14ac:dyDescent="0.2">
      <c r="AQ49003" s="31"/>
    </row>
    <row r="49004" spans="43:43" x14ac:dyDescent="0.2">
      <c r="AQ49004" s="31"/>
    </row>
    <row r="49005" spans="43:43" x14ac:dyDescent="0.2">
      <c r="AQ49005" s="31"/>
    </row>
    <row r="49006" spans="43:43" x14ac:dyDescent="0.2">
      <c r="AQ49006" s="31"/>
    </row>
    <row r="49007" spans="43:43" x14ac:dyDescent="0.2">
      <c r="AQ49007" s="31"/>
    </row>
    <row r="49008" spans="43:43" x14ac:dyDescent="0.2">
      <c r="AQ49008" s="31"/>
    </row>
    <row r="49009" spans="43:43" x14ac:dyDescent="0.2">
      <c r="AQ49009" s="31"/>
    </row>
    <row r="49010" spans="43:43" x14ac:dyDescent="0.2">
      <c r="AQ49010" s="31"/>
    </row>
    <row r="49011" spans="43:43" x14ac:dyDescent="0.2">
      <c r="AQ49011" s="31"/>
    </row>
    <row r="49012" spans="43:43" x14ac:dyDescent="0.2">
      <c r="AQ49012" s="31"/>
    </row>
    <row r="49013" spans="43:43" x14ac:dyDescent="0.2">
      <c r="AQ49013" s="31"/>
    </row>
    <row r="49014" spans="43:43" x14ac:dyDescent="0.2">
      <c r="AQ49014" s="31"/>
    </row>
    <row r="49015" spans="43:43" x14ac:dyDescent="0.2">
      <c r="AQ49015" s="31"/>
    </row>
    <row r="49016" spans="43:43" x14ac:dyDescent="0.2">
      <c r="AQ49016" s="31"/>
    </row>
    <row r="49017" spans="43:43" x14ac:dyDescent="0.2">
      <c r="AQ49017" s="31"/>
    </row>
    <row r="49018" spans="43:43" x14ac:dyDescent="0.2">
      <c r="AQ49018" s="31"/>
    </row>
    <row r="49019" spans="43:43" x14ac:dyDescent="0.2">
      <c r="AQ49019" s="31"/>
    </row>
    <row r="49020" spans="43:43" x14ac:dyDescent="0.2">
      <c r="AQ49020" s="31"/>
    </row>
    <row r="49021" spans="43:43" x14ac:dyDescent="0.2">
      <c r="AQ49021" s="31"/>
    </row>
    <row r="49022" spans="43:43" x14ac:dyDescent="0.2">
      <c r="AQ49022" s="31"/>
    </row>
    <row r="49023" spans="43:43" x14ac:dyDescent="0.2">
      <c r="AQ49023" s="31"/>
    </row>
    <row r="49024" spans="43:43" x14ac:dyDescent="0.2">
      <c r="AQ49024" s="31"/>
    </row>
    <row r="49025" spans="43:43" x14ac:dyDescent="0.2">
      <c r="AQ49025" s="31"/>
    </row>
    <row r="49026" spans="43:43" x14ac:dyDescent="0.2">
      <c r="AQ49026" s="31"/>
    </row>
    <row r="49027" spans="43:43" x14ac:dyDescent="0.2">
      <c r="AQ49027" s="31"/>
    </row>
    <row r="49028" spans="43:43" x14ac:dyDescent="0.2">
      <c r="AQ49028" s="31"/>
    </row>
    <row r="49029" spans="43:43" x14ac:dyDescent="0.2">
      <c r="AQ49029" s="31"/>
    </row>
    <row r="49030" spans="43:43" x14ac:dyDescent="0.2">
      <c r="AQ49030" s="31"/>
    </row>
    <row r="49031" spans="43:43" x14ac:dyDescent="0.2">
      <c r="AQ49031" s="31"/>
    </row>
    <row r="49032" spans="43:43" x14ac:dyDescent="0.2">
      <c r="AQ49032" s="31"/>
    </row>
    <row r="49033" spans="43:43" x14ac:dyDescent="0.2">
      <c r="AQ49033" s="31"/>
    </row>
    <row r="49034" spans="43:43" x14ac:dyDescent="0.2">
      <c r="AQ49034" s="31"/>
    </row>
    <row r="49035" spans="43:43" x14ac:dyDescent="0.2">
      <c r="AQ49035" s="31"/>
    </row>
    <row r="49036" spans="43:43" x14ac:dyDescent="0.2">
      <c r="AQ49036" s="31"/>
    </row>
    <row r="49037" spans="43:43" x14ac:dyDescent="0.2">
      <c r="AQ49037" s="31"/>
    </row>
    <row r="49038" spans="43:43" x14ac:dyDescent="0.2">
      <c r="AQ49038" s="31"/>
    </row>
    <row r="49039" spans="43:43" x14ac:dyDescent="0.2">
      <c r="AQ49039" s="31"/>
    </row>
    <row r="49040" spans="43:43" x14ac:dyDescent="0.2">
      <c r="AQ49040" s="31"/>
    </row>
    <row r="49041" spans="43:43" x14ac:dyDescent="0.2">
      <c r="AQ49041" s="31"/>
    </row>
    <row r="49042" spans="43:43" x14ac:dyDescent="0.2">
      <c r="AQ49042" s="31"/>
    </row>
    <row r="49043" spans="43:43" x14ac:dyDescent="0.2">
      <c r="AQ49043" s="31"/>
    </row>
    <row r="49044" spans="43:43" x14ac:dyDescent="0.2">
      <c r="AQ49044" s="31"/>
    </row>
    <row r="49045" spans="43:43" x14ac:dyDescent="0.2">
      <c r="AQ49045" s="31"/>
    </row>
    <row r="49046" spans="43:43" x14ac:dyDescent="0.2">
      <c r="AQ49046" s="31"/>
    </row>
    <row r="49047" spans="43:43" x14ac:dyDescent="0.2">
      <c r="AQ49047" s="31"/>
    </row>
    <row r="49048" spans="43:43" x14ac:dyDescent="0.2">
      <c r="AQ49048" s="31"/>
    </row>
    <row r="49049" spans="43:43" x14ac:dyDescent="0.2">
      <c r="AQ49049" s="31"/>
    </row>
    <row r="49050" spans="43:43" x14ac:dyDescent="0.2">
      <c r="AQ49050" s="31"/>
    </row>
    <row r="49051" spans="43:43" x14ac:dyDescent="0.2">
      <c r="AQ49051" s="31"/>
    </row>
    <row r="49052" spans="43:43" x14ac:dyDescent="0.2">
      <c r="AQ49052" s="31"/>
    </row>
    <row r="49053" spans="43:43" x14ac:dyDescent="0.2">
      <c r="AQ49053" s="31"/>
    </row>
    <row r="49054" spans="43:43" x14ac:dyDescent="0.2">
      <c r="AQ49054" s="31"/>
    </row>
    <row r="49055" spans="43:43" x14ac:dyDescent="0.2">
      <c r="AQ49055" s="31"/>
    </row>
    <row r="49056" spans="43:43" x14ac:dyDescent="0.2">
      <c r="AQ49056" s="31"/>
    </row>
    <row r="49057" spans="43:43" x14ac:dyDescent="0.2">
      <c r="AQ49057" s="31"/>
    </row>
    <row r="49058" spans="43:43" x14ac:dyDescent="0.2">
      <c r="AQ49058" s="31"/>
    </row>
    <row r="49059" spans="43:43" x14ac:dyDescent="0.2">
      <c r="AQ49059" s="31"/>
    </row>
    <row r="49060" spans="43:43" x14ac:dyDescent="0.2">
      <c r="AQ49060" s="31"/>
    </row>
    <row r="49061" spans="43:43" x14ac:dyDescent="0.2">
      <c r="AQ49061" s="31"/>
    </row>
    <row r="49062" spans="43:43" x14ac:dyDescent="0.2">
      <c r="AQ49062" s="31"/>
    </row>
    <row r="49063" spans="43:43" x14ac:dyDescent="0.2">
      <c r="AQ49063" s="31"/>
    </row>
    <row r="49064" spans="43:43" x14ac:dyDescent="0.2">
      <c r="AQ49064" s="31"/>
    </row>
    <row r="49065" spans="43:43" x14ac:dyDescent="0.2">
      <c r="AQ49065" s="31"/>
    </row>
    <row r="49066" spans="43:43" x14ac:dyDescent="0.2">
      <c r="AQ49066" s="31"/>
    </row>
    <row r="49067" spans="43:43" x14ac:dyDescent="0.2">
      <c r="AQ49067" s="31"/>
    </row>
    <row r="49068" spans="43:43" x14ac:dyDescent="0.2">
      <c r="AQ49068" s="31"/>
    </row>
    <row r="49069" spans="43:43" x14ac:dyDescent="0.2">
      <c r="AQ49069" s="31"/>
    </row>
    <row r="49070" spans="43:43" x14ac:dyDescent="0.2">
      <c r="AQ49070" s="31"/>
    </row>
    <row r="49071" spans="43:43" x14ac:dyDescent="0.2">
      <c r="AQ49071" s="31"/>
    </row>
    <row r="49072" spans="43:43" x14ac:dyDescent="0.2">
      <c r="AQ49072" s="31"/>
    </row>
    <row r="49073" spans="43:43" x14ac:dyDescent="0.2">
      <c r="AQ49073" s="31"/>
    </row>
    <row r="49074" spans="43:43" x14ac:dyDescent="0.2">
      <c r="AQ49074" s="31"/>
    </row>
    <row r="49075" spans="43:43" x14ac:dyDescent="0.2">
      <c r="AQ49075" s="31"/>
    </row>
    <row r="49076" spans="43:43" x14ac:dyDescent="0.2">
      <c r="AQ49076" s="31"/>
    </row>
    <row r="49077" spans="43:43" x14ac:dyDescent="0.2">
      <c r="AQ49077" s="31"/>
    </row>
    <row r="49078" spans="43:43" x14ac:dyDescent="0.2">
      <c r="AQ49078" s="31"/>
    </row>
    <row r="49079" spans="43:43" x14ac:dyDescent="0.2">
      <c r="AQ49079" s="31"/>
    </row>
    <row r="49080" spans="43:43" x14ac:dyDescent="0.2">
      <c r="AQ49080" s="31"/>
    </row>
    <row r="49081" spans="43:43" x14ac:dyDescent="0.2">
      <c r="AQ49081" s="31"/>
    </row>
    <row r="49082" spans="43:43" x14ac:dyDescent="0.2">
      <c r="AQ49082" s="31"/>
    </row>
    <row r="49083" spans="43:43" x14ac:dyDescent="0.2">
      <c r="AQ49083" s="31"/>
    </row>
    <row r="49084" spans="43:43" x14ac:dyDescent="0.2">
      <c r="AQ49084" s="31"/>
    </row>
    <row r="49085" spans="43:43" x14ac:dyDescent="0.2">
      <c r="AQ49085" s="31"/>
    </row>
    <row r="49086" spans="43:43" x14ac:dyDescent="0.2">
      <c r="AQ49086" s="31"/>
    </row>
    <row r="49087" spans="43:43" x14ac:dyDescent="0.2">
      <c r="AQ49087" s="31"/>
    </row>
    <row r="49088" spans="43:43" x14ac:dyDescent="0.2">
      <c r="AQ49088" s="31"/>
    </row>
    <row r="49089" spans="43:43" x14ac:dyDescent="0.2">
      <c r="AQ49089" s="31"/>
    </row>
    <row r="49090" spans="43:43" x14ac:dyDescent="0.2">
      <c r="AQ49090" s="31"/>
    </row>
    <row r="49091" spans="43:43" x14ac:dyDescent="0.2">
      <c r="AQ49091" s="31"/>
    </row>
    <row r="49092" spans="43:43" x14ac:dyDescent="0.2">
      <c r="AQ49092" s="31"/>
    </row>
    <row r="49093" spans="43:43" x14ac:dyDescent="0.2">
      <c r="AQ49093" s="31"/>
    </row>
    <row r="49094" spans="43:43" x14ac:dyDescent="0.2">
      <c r="AQ49094" s="31"/>
    </row>
    <row r="49095" spans="43:43" x14ac:dyDescent="0.2">
      <c r="AQ49095" s="31"/>
    </row>
    <row r="49096" spans="43:43" x14ac:dyDescent="0.2">
      <c r="AQ49096" s="31"/>
    </row>
    <row r="49097" spans="43:43" x14ac:dyDescent="0.2">
      <c r="AQ49097" s="31"/>
    </row>
    <row r="49098" spans="43:43" x14ac:dyDescent="0.2">
      <c r="AQ49098" s="31"/>
    </row>
    <row r="49099" spans="43:43" x14ac:dyDescent="0.2">
      <c r="AQ49099" s="31"/>
    </row>
    <row r="49100" spans="43:43" x14ac:dyDescent="0.2">
      <c r="AQ49100" s="31"/>
    </row>
    <row r="49101" spans="43:43" x14ac:dyDescent="0.2">
      <c r="AQ49101" s="31"/>
    </row>
    <row r="49102" spans="43:43" x14ac:dyDescent="0.2">
      <c r="AQ49102" s="31"/>
    </row>
    <row r="49103" spans="43:43" x14ac:dyDescent="0.2">
      <c r="AQ49103" s="31"/>
    </row>
    <row r="49104" spans="43:43" x14ac:dyDescent="0.2">
      <c r="AQ49104" s="31"/>
    </row>
    <row r="49105" spans="43:43" x14ac:dyDescent="0.2">
      <c r="AQ49105" s="31"/>
    </row>
    <row r="49106" spans="43:43" x14ac:dyDescent="0.2">
      <c r="AQ49106" s="31"/>
    </row>
    <row r="49107" spans="43:43" x14ac:dyDescent="0.2">
      <c r="AQ49107" s="31"/>
    </row>
    <row r="49108" spans="43:43" x14ac:dyDescent="0.2">
      <c r="AQ49108" s="31"/>
    </row>
    <row r="49109" spans="43:43" x14ac:dyDescent="0.2">
      <c r="AQ49109" s="31"/>
    </row>
    <row r="49110" spans="43:43" x14ac:dyDescent="0.2">
      <c r="AQ49110" s="31"/>
    </row>
    <row r="49111" spans="43:43" x14ac:dyDescent="0.2">
      <c r="AQ49111" s="31"/>
    </row>
    <row r="49112" spans="43:43" x14ac:dyDescent="0.2">
      <c r="AQ49112" s="31"/>
    </row>
    <row r="49113" spans="43:43" x14ac:dyDescent="0.2">
      <c r="AQ49113" s="31"/>
    </row>
    <row r="49114" spans="43:43" x14ac:dyDescent="0.2">
      <c r="AQ49114" s="31"/>
    </row>
    <row r="49115" spans="43:43" x14ac:dyDescent="0.2">
      <c r="AQ49115" s="31"/>
    </row>
    <row r="49116" spans="43:43" x14ac:dyDescent="0.2">
      <c r="AQ49116" s="31"/>
    </row>
    <row r="49117" spans="43:43" x14ac:dyDescent="0.2">
      <c r="AQ49117" s="31"/>
    </row>
    <row r="49118" spans="43:43" x14ac:dyDescent="0.2">
      <c r="AQ49118" s="31"/>
    </row>
    <row r="49119" spans="43:43" x14ac:dyDescent="0.2">
      <c r="AQ49119" s="31"/>
    </row>
    <row r="49120" spans="43:43" x14ac:dyDescent="0.2">
      <c r="AQ49120" s="31"/>
    </row>
    <row r="49121" spans="43:43" x14ac:dyDescent="0.2">
      <c r="AQ49121" s="31"/>
    </row>
    <row r="49122" spans="43:43" x14ac:dyDescent="0.2">
      <c r="AQ49122" s="31"/>
    </row>
    <row r="49123" spans="43:43" x14ac:dyDescent="0.2">
      <c r="AQ49123" s="31"/>
    </row>
    <row r="49124" spans="43:43" x14ac:dyDescent="0.2">
      <c r="AQ49124" s="31"/>
    </row>
    <row r="49125" spans="43:43" x14ac:dyDescent="0.2">
      <c r="AQ49125" s="31"/>
    </row>
    <row r="49126" spans="43:43" x14ac:dyDescent="0.2">
      <c r="AQ49126" s="31"/>
    </row>
    <row r="49127" spans="43:43" x14ac:dyDescent="0.2">
      <c r="AQ49127" s="31"/>
    </row>
    <row r="49128" spans="43:43" x14ac:dyDescent="0.2">
      <c r="AQ49128" s="31"/>
    </row>
    <row r="49129" spans="43:43" x14ac:dyDescent="0.2">
      <c r="AQ49129" s="31"/>
    </row>
    <row r="49130" spans="43:43" x14ac:dyDescent="0.2">
      <c r="AQ49130" s="31"/>
    </row>
    <row r="49131" spans="43:43" x14ac:dyDescent="0.2">
      <c r="AQ49131" s="31"/>
    </row>
    <row r="49132" spans="43:43" x14ac:dyDescent="0.2">
      <c r="AQ49132" s="31"/>
    </row>
    <row r="49133" spans="43:43" x14ac:dyDescent="0.2">
      <c r="AQ49133" s="31"/>
    </row>
    <row r="49134" spans="43:43" x14ac:dyDescent="0.2">
      <c r="AQ49134" s="31"/>
    </row>
    <row r="49135" spans="43:43" x14ac:dyDescent="0.2">
      <c r="AQ49135" s="31"/>
    </row>
    <row r="49136" spans="43:43" x14ac:dyDescent="0.2">
      <c r="AQ49136" s="31"/>
    </row>
    <row r="49137" spans="43:43" x14ac:dyDescent="0.2">
      <c r="AQ49137" s="31"/>
    </row>
    <row r="49138" spans="43:43" x14ac:dyDescent="0.2">
      <c r="AQ49138" s="31"/>
    </row>
    <row r="49139" spans="43:43" x14ac:dyDescent="0.2">
      <c r="AQ49139" s="31"/>
    </row>
    <row r="49140" spans="43:43" x14ac:dyDescent="0.2">
      <c r="AQ49140" s="31"/>
    </row>
    <row r="49141" spans="43:43" x14ac:dyDescent="0.2">
      <c r="AQ49141" s="31"/>
    </row>
    <row r="49142" spans="43:43" x14ac:dyDescent="0.2">
      <c r="AQ49142" s="31"/>
    </row>
    <row r="49143" spans="43:43" x14ac:dyDescent="0.2">
      <c r="AQ49143" s="31"/>
    </row>
    <row r="49144" spans="43:43" x14ac:dyDescent="0.2">
      <c r="AQ49144" s="31"/>
    </row>
    <row r="49145" spans="43:43" x14ac:dyDescent="0.2">
      <c r="AQ49145" s="31"/>
    </row>
    <row r="49146" spans="43:43" x14ac:dyDescent="0.2">
      <c r="AQ49146" s="31"/>
    </row>
    <row r="49147" spans="43:43" x14ac:dyDescent="0.2">
      <c r="AQ49147" s="31"/>
    </row>
    <row r="49148" spans="43:43" x14ac:dyDescent="0.2">
      <c r="AQ49148" s="31"/>
    </row>
    <row r="49149" spans="43:43" x14ac:dyDescent="0.2">
      <c r="AQ49149" s="31"/>
    </row>
    <row r="49150" spans="43:43" x14ac:dyDescent="0.2">
      <c r="AQ49150" s="31"/>
    </row>
    <row r="49151" spans="43:43" x14ac:dyDescent="0.2">
      <c r="AQ49151" s="31"/>
    </row>
    <row r="49152" spans="43:43" x14ac:dyDescent="0.2">
      <c r="AQ49152" s="31"/>
    </row>
    <row r="49153" spans="43:43" x14ac:dyDescent="0.2">
      <c r="AQ49153" s="31"/>
    </row>
    <row r="49154" spans="43:43" x14ac:dyDescent="0.2">
      <c r="AQ49154" s="31"/>
    </row>
    <row r="49155" spans="43:43" x14ac:dyDescent="0.2">
      <c r="AQ49155" s="31"/>
    </row>
    <row r="49156" spans="43:43" x14ac:dyDescent="0.2">
      <c r="AQ49156" s="31"/>
    </row>
    <row r="49157" spans="43:43" x14ac:dyDescent="0.2">
      <c r="AQ49157" s="31"/>
    </row>
    <row r="49158" spans="43:43" x14ac:dyDescent="0.2">
      <c r="AQ49158" s="31"/>
    </row>
    <row r="49159" spans="43:43" x14ac:dyDescent="0.2">
      <c r="AQ49159" s="31"/>
    </row>
    <row r="49160" spans="43:43" x14ac:dyDescent="0.2">
      <c r="AQ49160" s="31"/>
    </row>
    <row r="49161" spans="43:43" x14ac:dyDescent="0.2">
      <c r="AQ49161" s="31"/>
    </row>
    <row r="49162" spans="43:43" x14ac:dyDescent="0.2">
      <c r="AQ49162" s="31"/>
    </row>
    <row r="49163" spans="43:43" x14ac:dyDescent="0.2">
      <c r="AQ49163" s="31"/>
    </row>
    <row r="49164" spans="43:43" x14ac:dyDescent="0.2">
      <c r="AQ49164" s="31"/>
    </row>
    <row r="49165" spans="43:43" x14ac:dyDescent="0.2">
      <c r="AQ49165" s="31"/>
    </row>
    <row r="49166" spans="43:43" x14ac:dyDescent="0.2">
      <c r="AQ49166" s="31"/>
    </row>
    <row r="49167" spans="43:43" x14ac:dyDescent="0.2">
      <c r="AQ49167" s="31"/>
    </row>
    <row r="49168" spans="43:43" x14ac:dyDescent="0.2">
      <c r="AQ49168" s="31"/>
    </row>
    <row r="49169" spans="43:43" x14ac:dyDescent="0.2">
      <c r="AQ49169" s="31"/>
    </row>
    <row r="49170" spans="43:43" x14ac:dyDescent="0.2">
      <c r="AQ49170" s="31"/>
    </row>
    <row r="49171" spans="43:43" x14ac:dyDescent="0.2">
      <c r="AQ49171" s="31"/>
    </row>
    <row r="49172" spans="43:43" x14ac:dyDescent="0.2">
      <c r="AQ49172" s="31"/>
    </row>
    <row r="49173" spans="43:43" x14ac:dyDescent="0.2">
      <c r="AQ49173" s="31"/>
    </row>
    <row r="49174" spans="43:43" x14ac:dyDescent="0.2">
      <c r="AQ49174" s="31"/>
    </row>
    <row r="49175" spans="43:43" x14ac:dyDescent="0.2">
      <c r="AQ49175" s="31"/>
    </row>
    <row r="49176" spans="43:43" x14ac:dyDescent="0.2">
      <c r="AQ49176" s="31"/>
    </row>
    <row r="49177" spans="43:43" x14ac:dyDescent="0.2">
      <c r="AQ49177" s="31"/>
    </row>
    <row r="49178" spans="43:43" x14ac:dyDescent="0.2">
      <c r="AQ49178" s="31"/>
    </row>
    <row r="49179" spans="43:43" x14ac:dyDescent="0.2">
      <c r="AQ49179" s="31"/>
    </row>
    <row r="49180" spans="43:43" x14ac:dyDescent="0.2">
      <c r="AQ49180" s="31"/>
    </row>
    <row r="49181" spans="43:43" x14ac:dyDescent="0.2">
      <c r="AQ49181" s="31"/>
    </row>
    <row r="49182" spans="43:43" x14ac:dyDescent="0.2">
      <c r="AQ49182" s="31"/>
    </row>
    <row r="49183" spans="43:43" x14ac:dyDescent="0.2">
      <c r="AQ49183" s="31"/>
    </row>
    <row r="49184" spans="43:43" x14ac:dyDescent="0.2">
      <c r="AQ49184" s="31"/>
    </row>
    <row r="49185" spans="43:43" x14ac:dyDescent="0.2">
      <c r="AQ49185" s="31"/>
    </row>
    <row r="49186" spans="43:43" x14ac:dyDescent="0.2">
      <c r="AQ49186" s="31"/>
    </row>
    <row r="49187" spans="43:43" x14ac:dyDescent="0.2">
      <c r="AQ49187" s="31"/>
    </row>
    <row r="49188" spans="43:43" x14ac:dyDescent="0.2">
      <c r="AQ49188" s="31"/>
    </row>
    <row r="49189" spans="43:43" x14ac:dyDescent="0.2">
      <c r="AQ49189" s="31"/>
    </row>
    <row r="49190" spans="43:43" x14ac:dyDescent="0.2">
      <c r="AQ49190" s="31"/>
    </row>
    <row r="49191" spans="43:43" x14ac:dyDescent="0.2">
      <c r="AQ49191" s="31"/>
    </row>
    <row r="49192" spans="43:43" x14ac:dyDescent="0.2">
      <c r="AQ49192" s="31"/>
    </row>
    <row r="49193" spans="43:43" x14ac:dyDescent="0.2">
      <c r="AQ49193" s="31"/>
    </row>
    <row r="49194" spans="43:43" x14ac:dyDescent="0.2">
      <c r="AQ49194" s="31"/>
    </row>
    <row r="49195" spans="43:43" x14ac:dyDescent="0.2">
      <c r="AQ49195" s="31"/>
    </row>
    <row r="49196" spans="43:43" x14ac:dyDescent="0.2">
      <c r="AQ49196" s="31"/>
    </row>
    <row r="49197" spans="43:43" x14ac:dyDescent="0.2">
      <c r="AQ49197" s="31"/>
    </row>
    <row r="49198" spans="43:43" x14ac:dyDescent="0.2">
      <c r="AQ49198" s="31"/>
    </row>
    <row r="49199" spans="43:43" x14ac:dyDescent="0.2">
      <c r="AQ49199" s="31"/>
    </row>
    <row r="49200" spans="43:43" x14ac:dyDescent="0.2">
      <c r="AQ49200" s="31"/>
    </row>
    <row r="49201" spans="43:43" x14ac:dyDescent="0.2">
      <c r="AQ49201" s="31"/>
    </row>
    <row r="49202" spans="43:43" x14ac:dyDescent="0.2">
      <c r="AQ49202" s="31"/>
    </row>
    <row r="49203" spans="43:43" x14ac:dyDescent="0.2">
      <c r="AQ49203" s="31"/>
    </row>
    <row r="49204" spans="43:43" x14ac:dyDescent="0.2">
      <c r="AQ49204" s="31"/>
    </row>
    <row r="49205" spans="43:43" x14ac:dyDescent="0.2">
      <c r="AQ49205" s="31"/>
    </row>
    <row r="49206" spans="43:43" x14ac:dyDescent="0.2">
      <c r="AQ49206" s="31"/>
    </row>
    <row r="49207" spans="43:43" x14ac:dyDescent="0.2">
      <c r="AQ49207" s="31"/>
    </row>
    <row r="49208" spans="43:43" x14ac:dyDescent="0.2">
      <c r="AQ49208" s="31"/>
    </row>
    <row r="49209" spans="43:43" x14ac:dyDescent="0.2">
      <c r="AQ49209" s="31"/>
    </row>
    <row r="49210" spans="43:43" x14ac:dyDescent="0.2">
      <c r="AQ49210" s="31"/>
    </row>
    <row r="49211" spans="43:43" x14ac:dyDescent="0.2">
      <c r="AQ49211" s="31"/>
    </row>
    <row r="49212" spans="43:43" x14ac:dyDescent="0.2">
      <c r="AQ49212" s="31"/>
    </row>
    <row r="49213" spans="43:43" x14ac:dyDescent="0.2">
      <c r="AQ49213" s="31"/>
    </row>
    <row r="49214" spans="43:43" x14ac:dyDescent="0.2">
      <c r="AQ49214" s="31"/>
    </row>
    <row r="49215" spans="43:43" x14ac:dyDescent="0.2">
      <c r="AQ49215" s="31"/>
    </row>
    <row r="49216" spans="43:43" x14ac:dyDescent="0.2">
      <c r="AQ49216" s="31"/>
    </row>
    <row r="49217" spans="43:43" x14ac:dyDescent="0.2">
      <c r="AQ49217" s="31"/>
    </row>
    <row r="49218" spans="43:43" x14ac:dyDescent="0.2">
      <c r="AQ49218" s="31"/>
    </row>
    <row r="49219" spans="43:43" x14ac:dyDescent="0.2">
      <c r="AQ49219" s="31"/>
    </row>
    <row r="49220" spans="43:43" x14ac:dyDescent="0.2">
      <c r="AQ49220" s="31"/>
    </row>
    <row r="49221" spans="43:43" x14ac:dyDescent="0.2">
      <c r="AQ49221" s="31"/>
    </row>
    <row r="49222" spans="43:43" x14ac:dyDescent="0.2">
      <c r="AQ49222" s="31"/>
    </row>
    <row r="49223" spans="43:43" x14ac:dyDescent="0.2">
      <c r="AQ49223" s="31"/>
    </row>
    <row r="49224" spans="43:43" x14ac:dyDescent="0.2">
      <c r="AQ49224" s="31"/>
    </row>
    <row r="49225" spans="43:43" x14ac:dyDescent="0.2">
      <c r="AQ49225" s="31"/>
    </row>
    <row r="49226" spans="43:43" x14ac:dyDescent="0.2">
      <c r="AQ49226" s="31"/>
    </row>
    <row r="49227" spans="43:43" x14ac:dyDescent="0.2">
      <c r="AQ49227" s="31"/>
    </row>
    <row r="49228" spans="43:43" x14ac:dyDescent="0.2">
      <c r="AQ49228" s="31"/>
    </row>
    <row r="49229" spans="43:43" x14ac:dyDescent="0.2">
      <c r="AQ49229" s="31"/>
    </row>
    <row r="49230" spans="43:43" x14ac:dyDescent="0.2">
      <c r="AQ49230" s="31"/>
    </row>
    <row r="49231" spans="43:43" x14ac:dyDescent="0.2">
      <c r="AQ49231" s="31"/>
    </row>
    <row r="49232" spans="43:43" x14ac:dyDescent="0.2">
      <c r="AQ49232" s="31"/>
    </row>
    <row r="49233" spans="43:43" x14ac:dyDescent="0.2">
      <c r="AQ49233" s="31"/>
    </row>
    <row r="49234" spans="43:43" x14ac:dyDescent="0.2">
      <c r="AQ49234" s="31"/>
    </row>
    <row r="49235" spans="43:43" x14ac:dyDescent="0.2">
      <c r="AQ49235" s="31"/>
    </row>
    <row r="49236" spans="43:43" x14ac:dyDescent="0.2">
      <c r="AQ49236" s="31"/>
    </row>
    <row r="49237" spans="43:43" x14ac:dyDescent="0.2">
      <c r="AQ49237" s="31"/>
    </row>
    <row r="49238" spans="43:43" x14ac:dyDescent="0.2">
      <c r="AQ49238" s="31"/>
    </row>
    <row r="49239" spans="43:43" x14ac:dyDescent="0.2">
      <c r="AQ49239" s="31"/>
    </row>
    <row r="49240" spans="43:43" x14ac:dyDescent="0.2">
      <c r="AQ49240" s="31"/>
    </row>
    <row r="49241" spans="43:43" x14ac:dyDescent="0.2">
      <c r="AQ49241" s="31"/>
    </row>
    <row r="49242" spans="43:43" x14ac:dyDescent="0.2">
      <c r="AQ49242" s="31"/>
    </row>
    <row r="49243" spans="43:43" x14ac:dyDescent="0.2">
      <c r="AQ49243" s="31"/>
    </row>
    <row r="49244" spans="43:43" x14ac:dyDescent="0.2">
      <c r="AQ49244" s="31"/>
    </row>
    <row r="49245" spans="43:43" x14ac:dyDescent="0.2">
      <c r="AQ49245" s="31"/>
    </row>
    <row r="49246" spans="43:43" x14ac:dyDescent="0.2">
      <c r="AQ49246" s="31"/>
    </row>
    <row r="49247" spans="43:43" x14ac:dyDescent="0.2">
      <c r="AQ49247" s="31"/>
    </row>
    <row r="49248" spans="43:43" x14ac:dyDescent="0.2">
      <c r="AQ49248" s="31"/>
    </row>
    <row r="49249" spans="43:43" x14ac:dyDescent="0.2">
      <c r="AQ49249" s="31"/>
    </row>
    <row r="49250" spans="43:43" x14ac:dyDescent="0.2">
      <c r="AQ49250" s="31"/>
    </row>
    <row r="49251" spans="43:43" x14ac:dyDescent="0.2">
      <c r="AQ49251" s="31"/>
    </row>
    <row r="49252" spans="43:43" x14ac:dyDescent="0.2">
      <c r="AQ49252" s="31"/>
    </row>
    <row r="49253" spans="43:43" x14ac:dyDescent="0.2">
      <c r="AQ49253" s="31"/>
    </row>
    <row r="49254" spans="43:43" x14ac:dyDescent="0.2">
      <c r="AQ49254" s="31"/>
    </row>
    <row r="49255" spans="43:43" x14ac:dyDescent="0.2">
      <c r="AQ49255" s="31"/>
    </row>
    <row r="49256" spans="43:43" x14ac:dyDescent="0.2">
      <c r="AQ49256" s="31"/>
    </row>
    <row r="49257" spans="43:43" x14ac:dyDescent="0.2">
      <c r="AQ49257" s="31"/>
    </row>
    <row r="49258" spans="43:43" x14ac:dyDescent="0.2">
      <c r="AQ49258" s="31"/>
    </row>
    <row r="49259" spans="43:43" x14ac:dyDescent="0.2">
      <c r="AQ49259" s="31"/>
    </row>
    <row r="49260" spans="43:43" x14ac:dyDescent="0.2">
      <c r="AQ49260" s="31"/>
    </row>
    <row r="49261" spans="43:43" x14ac:dyDescent="0.2">
      <c r="AQ49261" s="31"/>
    </row>
    <row r="49262" spans="43:43" x14ac:dyDescent="0.2">
      <c r="AQ49262" s="31"/>
    </row>
    <row r="49263" spans="43:43" x14ac:dyDescent="0.2">
      <c r="AQ49263" s="31"/>
    </row>
    <row r="49264" spans="43:43" x14ac:dyDescent="0.2">
      <c r="AQ49264" s="31"/>
    </row>
    <row r="49265" spans="43:43" x14ac:dyDescent="0.2">
      <c r="AQ49265" s="31"/>
    </row>
    <row r="49266" spans="43:43" x14ac:dyDescent="0.2">
      <c r="AQ49266" s="31"/>
    </row>
    <row r="49267" spans="43:43" x14ac:dyDescent="0.2">
      <c r="AQ49267" s="31"/>
    </row>
    <row r="49268" spans="43:43" x14ac:dyDescent="0.2">
      <c r="AQ49268" s="31"/>
    </row>
    <row r="49269" spans="43:43" x14ac:dyDescent="0.2">
      <c r="AQ49269" s="31"/>
    </row>
    <row r="49270" spans="43:43" x14ac:dyDescent="0.2">
      <c r="AQ49270" s="31"/>
    </row>
    <row r="49271" spans="43:43" x14ac:dyDescent="0.2">
      <c r="AQ49271" s="31"/>
    </row>
    <row r="49272" spans="43:43" x14ac:dyDescent="0.2">
      <c r="AQ49272" s="31"/>
    </row>
    <row r="49273" spans="43:43" x14ac:dyDescent="0.2">
      <c r="AQ49273" s="31"/>
    </row>
    <row r="49274" spans="43:43" x14ac:dyDescent="0.2">
      <c r="AQ49274" s="31"/>
    </row>
    <row r="49275" spans="43:43" x14ac:dyDescent="0.2">
      <c r="AQ49275" s="31"/>
    </row>
    <row r="49276" spans="43:43" x14ac:dyDescent="0.2">
      <c r="AQ49276" s="31"/>
    </row>
    <row r="49277" spans="43:43" x14ac:dyDescent="0.2">
      <c r="AQ49277" s="31"/>
    </row>
    <row r="49278" spans="43:43" x14ac:dyDescent="0.2">
      <c r="AQ49278" s="31"/>
    </row>
    <row r="49279" spans="43:43" x14ac:dyDescent="0.2">
      <c r="AQ49279" s="31"/>
    </row>
    <row r="49280" spans="43:43" x14ac:dyDescent="0.2">
      <c r="AQ49280" s="31"/>
    </row>
    <row r="49281" spans="43:43" x14ac:dyDescent="0.2">
      <c r="AQ49281" s="31"/>
    </row>
    <row r="49282" spans="43:43" x14ac:dyDescent="0.2">
      <c r="AQ49282" s="31"/>
    </row>
    <row r="49283" spans="43:43" x14ac:dyDescent="0.2">
      <c r="AQ49283" s="31"/>
    </row>
    <row r="49284" spans="43:43" x14ac:dyDescent="0.2">
      <c r="AQ49284" s="31"/>
    </row>
    <row r="49285" spans="43:43" x14ac:dyDescent="0.2">
      <c r="AQ49285" s="31"/>
    </row>
    <row r="49286" spans="43:43" x14ac:dyDescent="0.2">
      <c r="AQ49286" s="31"/>
    </row>
    <row r="49287" spans="43:43" x14ac:dyDescent="0.2">
      <c r="AQ49287" s="31"/>
    </row>
    <row r="49288" spans="43:43" x14ac:dyDescent="0.2">
      <c r="AQ49288" s="31"/>
    </row>
    <row r="49289" spans="43:43" x14ac:dyDescent="0.2">
      <c r="AQ49289" s="31"/>
    </row>
    <row r="49290" spans="43:43" x14ac:dyDescent="0.2">
      <c r="AQ49290" s="31"/>
    </row>
    <row r="49291" spans="43:43" x14ac:dyDescent="0.2">
      <c r="AQ49291" s="31"/>
    </row>
    <row r="49292" spans="43:43" x14ac:dyDescent="0.2">
      <c r="AQ49292" s="31"/>
    </row>
    <row r="49293" spans="43:43" x14ac:dyDescent="0.2">
      <c r="AQ49293" s="31"/>
    </row>
    <row r="49294" spans="43:43" x14ac:dyDescent="0.2">
      <c r="AQ49294" s="31"/>
    </row>
    <row r="49295" spans="43:43" x14ac:dyDescent="0.2">
      <c r="AQ49295" s="31"/>
    </row>
    <row r="49296" spans="43:43" x14ac:dyDescent="0.2">
      <c r="AQ49296" s="31"/>
    </row>
    <row r="49297" spans="43:43" x14ac:dyDescent="0.2">
      <c r="AQ49297" s="31"/>
    </row>
    <row r="49298" spans="43:43" x14ac:dyDescent="0.2">
      <c r="AQ49298" s="31"/>
    </row>
    <row r="49299" spans="43:43" x14ac:dyDescent="0.2">
      <c r="AQ49299" s="31"/>
    </row>
    <row r="49300" spans="43:43" x14ac:dyDescent="0.2">
      <c r="AQ49300" s="31"/>
    </row>
    <row r="49301" spans="43:43" x14ac:dyDescent="0.2">
      <c r="AQ49301" s="31"/>
    </row>
    <row r="49302" spans="43:43" x14ac:dyDescent="0.2">
      <c r="AQ49302" s="31"/>
    </row>
    <row r="49303" spans="43:43" x14ac:dyDescent="0.2">
      <c r="AQ49303" s="31"/>
    </row>
    <row r="49304" spans="43:43" x14ac:dyDescent="0.2">
      <c r="AQ49304" s="31"/>
    </row>
    <row r="49305" spans="43:43" x14ac:dyDescent="0.2">
      <c r="AQ49305" s="31"/>
    </row>
    <row r="49306" spans="43:43" x14ac:dyDescent="0.2">
      <c r="AQ49306" s="31"/>
    </row>
    <row r="49307" spans="43:43" x14ac:dyDescent="0.2">
      <c r="AQ49307" s="31"/>
    </row>
    <row r="49308" spans="43:43" x14ac:dyDescent="0.2">
      <c r="AQ49308" s="31"/>
    </row>
    <row r="49309" spans="43:43" x14ac:dyDescent="0.2">
      <c r="AQ49309" s="31"/>
    </row>
    <row r="49310" spans="43:43" x14ac:dyDescent="0.2">
      <c r="AQ49310" s="31"/>
    </row>
    <row r="49311" spans="43:43" x14ac:dyDescent="0.2">
      <c r="AQ49311" s="31"/>
    </row>
    <row r="49312" spans="43:43" x14ac:dyDescent="0.2">
      <c r="AQ49312" s="31"/>
    </row>
    <row r="49313" spans="43:43" x14ac:dyDescent="0.2">
      <c r="AQ49313" s="31"/>
    </row>
    <row r="49314" spans="43:43" x14ac:dyDescent="0.2">
      <c r="AQ49314" s="31"/>
    </row>
    <row r="49315" spans="43:43" x14ac:dyDescent="0.2">
      <c r="AQ49315" s="31"/>
    </row>
    <row r="49316" spans="43:43" x14ac:dyDescent="0.2">
      <c r="AQ49316" s="31"/>
    </row>
    <row r="49317" spans="43:43" x14ac:dyDescent="0.2">
      <c r="AQ49317" s="31"/>
    </row>
    <row r="49318" spans="43:43" x14ac:dyDescent="0.2">
      <c r="AQ49318" s="31"/>
    </row>
    <row r="49319" spans="43:43" x14ac:dyDescent="0.2">
      <c r="AQ49319" s="31"/>
    </row>
    <row r="49320" spans="43:43" x14ac:dyDescent="0.2">
      <c r="AQ49320" s="31"/>
    </row>
    <row r="49321" spans="43:43" x14ac:dyDescent="0.2">
      <c r="AQ49321" s="31"/>
    </row>
    <row r="49322" spans="43:43" x14ac:dyDescent="0.2">
      <c r="AQ49322" s="31"/>
    </row>
    <row r="49323" spans="43:43" x14ac:dyDescent="0.2">
      <c r="AQ49323" s="31"/>
    </row>
    <row r="49324" spans="43:43" x14ac:dyDescent="0.2">
      <c r="AQ49324" s="31"/>
    </row>
    <row r="49325" spans="43:43" x14ac:dyDescent="0.2">
      <c r="AQ49325" s="31"/>
    </row>
    <row r="49326" spans="43:43" x14ac:dyDescent="0.2">
      <c r="AQ49326" s="31"/>
    </row>
    <row r="49327" spans="43:43" x14ac:dyDescent="0.2">
      <c r="AQ49327" s="31"/>
    </row>
    <row r="49328" spans="43:43" x14ac:dyDescent="0.2">
      <c r="AQ49328" s="31"/>
    </row>
    <row r="49329" spans="43:43" x14ac:dyDescent="0.2">
      <c r="AQ49329" s="31"/>
    </row>
    <row r="49330" spans="43:43" x14ac:dyDescent="0.2">
      <c r="AQ49330" s="31"/>
    </row>
    <row r="49331" spans="43:43" x14ac:dyDescent="0.2">
      <c r="AQ49331" s="31"/>
    </row>
    <row r="49332" spans="43:43" x14ac:dyDescent="0.2">
      <c r="AQ49332" s="31"/>
    </row>
    <row r="49333" spans="43:43" x14ac:dyDescent="0.2">
      <c r="AQ49333" s="31"/>
    </row>
    <row r="49334" spans="43:43" x14ac:dyDescent="0.2">
      <c r="AQ49334" s="31"/>
    </row>
    <row r="49335" spans="43:43" x14ac:dyDescent="0.2">
      <c r="AQ49335" s="31"/>
    </row>
    <row r="49336" spans="43:43" x14ac:dyDescent="0.2">
      <c r="AQ49336" s="31"/>
    </row>
    <row r="49337" spans="43:43" x14ac:dyDescent="0.2">
      <c r="AQ49337" s="31"/>
    </row>
    <row r="49338" spans="43:43" x14ac:dyDescent="0.2">
      <c r="AQ49338" s="31"/>
    </row>
    <row r="49339" spans="43:43" x14ac:dyDescent="0.2">
      <c r="AQ49339" s="31"/>
    </row>
    <row r="49340" spans="43:43" x14ac:dyDescent="0.2">
      <c r="AQ49340" s="31"/>
    </row>
    <row r="49341" spans="43:43" x14ac:dyDescent="0.2">
      <c r="AQ49341" s="31"/>
    </row>
    <row r="49342" spans="43:43" x14ac:dyDescent="0.2">
      <c r="AQ49342" s="31"/>
    </row>
    <row r="49343" spans="43:43" x14ac:dyDescent="0.2">
      <c r="AQ49343" s="31"/>
    </row>
    <row r="49344" spans="43:43" x14ac:dyDescent="0.2">
      <c r="AQ49344" s="31"/>
    </row>
    <row r="49345" spans="43:43" x14ac:dyDescent="0.2">
      <c r="AQ49345" s="31"/>
    </row>
    <row r="49346" spans="43:43" x14ac:dyDescent="0.2">
      <c r="AQ49346" s="31"/>
    </row>
    <row r="49347" spans="43:43" x14ac:dyDescent="0.2">
      <c r="AQ49347" s="31"/>
    </row>
    <row r="49348" spans="43:43" x14ac:dyDescent="0.2">
      <c r="AQ49348" s="31"/>
    </row>
    <row r="49349" spans="43:43" x14ac:dyDescent="0.2">
      <c r="AQ49349" s="31"/>
    </row>
    <row r="49350" spans="43:43" x14ac:dyDescent="0.2">
      <c r="AQ49350" s="31"/>
    </row>
    <row r="49351" spans="43:43" x14ac:dyDescent="0.2">
      <c r="AQ49351" s="31"/>
    </row>
    <row r="49352" spans="43:43" x14ac:dyDescent="0.2">
      <c r="AQ49352" s="31"/>
    </row>
    <row r="49353" spans="43:43" x14ac:dyDescent="0.2">
      <c r="AQ49353" s="31"/>
    </row>
    <row r="49354" spans="43:43" x14ac:dyDescent="0.2">
      <c r="AQ49354" s="31"/>
    </row>
    <row r="49355" spans="43:43" x14ac:dyDescent="0.2">
      <c r="AQ49355" s="31"/>
    </row>
    <row r="49356" spans="43:43" x14ac:dyDescent="0.2">
      <c r="AQ49356" s="31"/>
    </row>
    <row r="49357" spans="43:43" x14ac:dyDescent="0.2">
      <c r="AQ49357" s="31"/>
    </row>
    <row r="49358" spans="43:43" x14ac:dyDescent="0.2">
      <c r="AQ49358" s="31"/>
    </row>
    <row r="49359" spans="43:43" x14ac:dyDescent="0.2">
      <c r="AQ49359" s="31"/>
    </row>
    <row r="49360" spans="43:43" x14ac:dyDescent="0.2">
      <c r="AQ49360" s="31"/>
    </row>
    <row r="49361" spans="43:43" x14ac:dyDescent="0.2">
      <c r="AQ49361" s="31"/>
    </row>
    <row r="49362" spans="43:43" x14ac:dyDescent="0.2">
      <c r="AQ49362" s="31"/>
    </row>
    <row r="49363" spans="43:43" x14ac:dyDescent="0.2">
      <c r="AQ49363" s="31"/>
    </row>
    <row r="49364" spans="43:43" x14ac:dyDescent="0.2">
      <c r="AQ49364" s="31"/>
    </row>
    <row r="49365" spans="43:43" x14ac:dyDescent="0.2">
      <c r="AQ49365" s="31"/>
    </row>
    <row r="49366" spans="43:43" x14ac:dyDescent="0.2">
      <c r="AQ49366" s="31"/>
    </row>
    <row r="49367" spans="43:43" x14ac:dyDescent="0.2">
      <c r="AQ49367" s="31"/>
    </row>
    <row r="49368" spans="43:43" x14ac:dyDescent="0.2">
      <c r="AQ49368" s="31"/>
    </row>
    <row r="49369" spans="43:43" x14ac:dyDescent="0.2">
      <c r="AQ49369" s="31"/>
    </row>
    <row r="49370" spans="43:43" x14ac:dyDescent="0.2">
      <c r="AQ49370" s="31"/>
    </row>
    <row r="49371" spans="43:43" x14ac:dyDescent="0.2">
      <c r="AQ49371" s="31"/>
    </row>
    <row r="49372" spans="43:43" x14ac:dyDescent="0.2">
      <c r="AQ49372" s="31"/>
    </row>
    <row r="49373" spans="43:43" x14ac:dyDescent="0.2">
      <c r="AQ49373" s="31"/>
    </row>
    <row r="49374" spans="43:43" x14ac:dyDescent="0.2">
      <c r="AQ49374" s="31"/>
    </row>
    <row r="49375" spans="43:43" x14ac:dyDescent="0.2">
      <c r="AQ49375" s="31"/>
    </row>
    <row r="49376" spans="43:43" x14ac:dyDescent="0.2">
      <c r="AQ49376" s="31"/>
    </row>
    <row r="49377" spans="43:43" x14ac:dyDescent="0.2">
      <c r="AQ49377" s="31"/>
    </row>
    <row r="49378" spans="43:43" x14ac:dyDescent="0.2">
      <c r="AQ49378" s="31"/>
    </row>
    <row r="49379" spans="43:43" x14ac:dyDescent="0.2">
      <c r="AQ49379" s="31"/>
    </row>
    <row r="49380" spans="43:43" x14ac:dyDescent="0.2">
      <c r="AQ49380" s="31"/>
    </row>
    <row r="49381" spans="43:43" x14ac:dyDescent="0.2">
      <c r="AQ49381" s="31"/>
    </row>
    <row r="49382" spans="43:43" x14ac:dyDescent="0.2">
      <c r="AQ49382" s="31"/>
    </row>
    <row r="49383" spans="43:43" x14ac:dyDescent="0.2">
      <c r="AQ49383" s="31"/>
    </row>
    <row r="49384" spans="43:43" x14ac:dyDescent="0.2">
      <c r="AQ49384" s="31"/>
    </row>
    <row r="49385" spans="43:43" x14ac:dyDescent="0.2">
      <c r="AQ49385" s="31"/>
    </row>
    <row r="49386" spans="43:43" x14ac:dyDescent="0.2">
      <c r="AQ49386" s="31"/>
    </row>
    <row r="49387" spans="43:43" x14ac:dyDescent="0.2">
      <c r="AQ49387" s="31"/>
    </row>
    <row r="49388" spans="43:43" x14ac:dyDescent="0.2">
      <c r="AQ49388" s="31"/>
    </row>
    <row r="49389" spans="43:43" x14ac:dyDescent="0.2">
      <c r="AQ49389" s="31"/>
    </row>
    <row r="49390" spans="43:43" x14ac:dyDescent="0.2">
      <c r="AQ49390" s="31"/>
    </row>
    <row r="49391" spans="43:43" x14ac:dyDescent="0.2">
      <c r="AQ49391" s="31"/>
    </row>
    <row r="49392" spans="43:43" x14ac:dyDescent="0.2">
      <c r="AQ49392" s="31"/>
    </row>
    <row r="49393" spans="43:43" x14ac:dyDescent="0.2">
      <c r="AQ49393" s="31"/>
    </row>
    <row r="49394" spans="43:43" x14ac:dyDescent="0.2">
      <c r="AQ49394" s="31"/>
    </row>
    <row r="49395" spans="43:43" x14ac:dyDescent="0.2">
      <c r="AQ49395" s="31"/>
    </row>
    <row r="49396" spans="43:43" x14ac:dyDescent="0.2">
      <c r="AQ49396" s="31"/>
    </row>
    <row r="49397" spans="43:43" x14ac:dyDescent="0.2">
      <c r="AQ49397" s="31"/>
    </row>
    <row r="49398" spans="43:43" x14ac:dyDescent="0.2">
      <c r="AQ49398" s="31"/>
    </row>
    <row r="49399" spans="43:43" x14ac:dyDescent="0.2">
      <c r="AQ49399" s="31"/>
    </row>
    <row r="49400" spans="43:43" x14ac:dyDescent="0.2">
      <c r="AQ49400" s="31"/>
    </row>
    <row r="49401" spans="43:43" x14ac:dyDescent="0.2">
      <c r="AQ49401" s="31"/>
    </row>
    <row r="49402" spans="43:43" x14ac:dyDescent="0.2">
      <c r="AQ49402" s="31"/>
    </row>
    <row r="49403" spans="43:43" x14ac:dyDescent="0.2">
      <c r="AQ49403" s="31"/>
    </row>
    <row r="49404" spans="43:43" x14ac:dyDescent="0.2">
      <c r="AQ49404" s="31"/>
    </row>
    <row r="49405" spans="43:43" x14ac:dyDescent="0.2">
      <c r="AQ49405" s="31"/>
    </row>
    <row r="49406" spans="43:43" x14ac:dyDescent="0.2">
      <c r="AQ49406" s="31"/>
    </row>
    <row r="49407" spans="43:43" x14ac:dyDescent="0.2">
      <c r="AQ49407" s="31"/>
    </row>
    <row r="49408" spans="43:43" x14ac:dyDescent="0.2">
      <c r="AQ49408" s="31"/>
    </row>
    <row r="49409" spans="43:43" x14ac:dyDescent="0.2">
      <c r="AQ49409" s="31"/>
    </row>
    <row r="49410" spans="43:43" x14ac:dyDescent="0.2">
      <c r="AQ49410" s="31"/>
    </row>
    <row r="49411" spans="43:43" x14ac:dyDescent="0.2">
      <c r="AQ49411" s="31"/>
    </row>
    <row r="49412" spans="43:43" x14ac:dyDescent="0.2">
      <c r="AQ49412" s="31"/>
    </row>
    <row r="49413" spans="43:43" x14ac:dyDescent="0.2">
      <c r="AQ49413" s="31"/>
    </row>
    <row r="49414" spans="43:43" x14ac:dyDescent="0.2">
      <c r="AQ49414" s="31"/>
    </row>
    <row r="49415" spans="43:43" x14ac:dyDescent="0.2">
      <c r="AQ49415" s="31"/>
    </row>
    <row r="49416" spans="43:43" x14ac:dyDescent="0.2">
      <c r="AQ49416" s="31"/>
    </row>
    <row r="49417" spans="43:43" x14ac:dyDescent="0.2">
      <c r="AQ49417" s="31"/>
    </row>
    <row r="49418" spans="43:43" x14ac:dyDescent="0.2">
      <c r="AQ49418" s="31"/>
    </row>
    <row r="49419" spans="43:43" x14ac:dyDescent="0.2">
      <c r="AQ49419" s="31"/>
    </row>
    <row r="49420" spans="43:43" x14ac:dyDescent="0.2">
      <c r="AQ49420" s="31"/>
    </row>
    <row r="49421" spans="43:43" x14ac:dyDescent="0.2">
      <c r="AQ49421" s="31"/>
    </row>
    <row r="49422" spans="43:43" x14ac:dyDescent="0.2">
      <c r="AQ49422" s="31"/>
    </row>
    <row r="49423" spans="43:43" x14ac:dyDescent="0.2">
      <c r="AQ49423" s="31"/>
    </row>
    <row r="49424" spans="43:43" x14ac:dyDescent="0.2">
      <c r="AQ49424" s="31"/>
    </row>
    <row r="49425" spans="43:43" x14ac:dyDescent="0.2">
      <c r="AQ49425" s="31"/>
    </row>
    <row r="49426" spans="43:43" x14ac:dyDescent="0.2">
      <c r="AQ49426" s="31"/>
    </row>
    <row r="49427" spans="43:43" x14ac:dyDescent="0.2">
      <c r="AQ49427" s="31"/>
    </row>
    <row r="49428" spans="43:43" x14ac:dyDescent="0.2">
      <c r="AQ49428" s="31"/>
    </row>
    <row r="49429" spans="43:43" x14ac:dyDescent="0.2">
      <c r="AQ49429" s="31"/>
    </row>
    <row r="49430" spans="43:43" x14ac:dyDescent="0.2">
      <c r="AQ49430" s="31"/>
    </row>
    <row r="49431" spans="43:43" x14ac:dyDescent="0.2">
      <c r="AQ49431" s="31"/>
    </row>
    <row r="49432" spans="43:43" x14ac:dyDescent="0.2">
      <c r="AQ49432" s="31"/>
    </row>
    <row r="49433" spans="43:43" x14ac:dyDescent="0.2">
      <c r="AQ49433" s="31"/>
    </row>
    <row r="49434" spans="43:43" x14ac:dyDescent="0.2">
      <c r="AQ49434" s="31"/>
    </row>
    <row r="49435" spans="43:43" x14ac:dyDescent="0.2">
      <c r="AQ49435" s="31"/>
    </row>
    <row r="49436" spans="43:43" x14ac:dyDescent="0.2">
      <c r="AQ49436" s="31"/>
    </row>
    <row r="49437" spans="43:43" x14ac:dyDescent="0.2">
      <c r="AQ49437" s="31"/>
    </row>
    <row r="49438" spans="43:43" x14ac:dyDescent="0.2">
      <c r="AQ49438" s="31"/>
    </row>
    <row r="49439" spans="43:43" x14ac:dyDescent="0.2">
      <c r="AQ49439" s="31"/>
    </row>
    <row r="49440" spans="43:43" x14ac:dyDescent="0.2">
      <c r="AQ49440" s="31"/>
    </row>
    <row r="49441" spans="43:43" x14ac:dyDescent="0.2">
      <c r="AQ49441" s="31"/>
    </row>
    <row r="49442" spans="43:43" x14ac:dyDescent="0.2">
      <c r="AQ49442" s="31"/>
    </row>
    <row r="49443" spans="43:43" x14ac:dyDescent="0.2">
      <c r="AQ49443" s="31"/>
    </row>
    <row r="49444" spans="43:43" x14ac:dyDescent="0.2">
      <c r="AQ49444" s="31"/>
    </row>
    <row r="49445" spans="43:43" x14ac:dyDescent="0.2">
      <c r="AQ49445" s="31"/>
    </row>
    <row r="49446" spans="43:43" x14ac:dyDescent="0.2">
      <c r="AQ49446" s="31"/>
    </row>
    <row r="49447" spans="43:43" x14ac:dyDescent="0.2">
      <c r="AQ49447" s="31"/>
    </row>
    <row r="49448" spans="43:43" x14ac:dyDescent="0.2">
      <c r="AQ49448" s="31"/>
    </row>
    <row r="49449" spans="43:43" x14ac:dyDescent="0.2">
      <c r="AQ49449" s="31"/>
    </row>
    <row r="49450" spans="43:43" x14ac:dyDescent="0.2">
      <c r="AQ49450" s="31"/>
    </row>
    <row r="49451" spans="43:43" x14ac:dyDescent="0.2">
      <c r="AQ49451" s="31"/>
    </row>
    <row r="49452" spans="43:43" x14ac:dyDescent="0.2">
      <c r="AQ49452" s="31"/>
    </row>
    <row r="49453" spans="43:43" x14ac:dyDescent="0.2">
      <c r="AQ49453" s="31"/>
    </row>
    <row r="49454" spans="43:43" x14ac:dyDescent="0.2">
      <c r="AQ49454" s="31"/>
    </row>
    <row r="49455" spans="43:43" x14ac:dyDescent="0.2">
      <c r="AQ49455" s="31"/>
    </row>
    <row r="49456" spans="43:43" x14ac:dyDescent="0.2">
      <c r="AQ49456" s="31"/>
    </row>
    <row r="49457" spans="43:43" x14ac:dyDescent="0.2">
      <c r="AQ49457" s="31"/>
    </row>
    <row r="49458" spans="43:43" x14ac:dyDescent="0.2">
      <c r="AQ49458" s="31"/>
    </row>
    <row r="49459" spans="43:43" x14ac:dyDescent="0.2">
      <c r="AQ49459" s="31"/>
    </row>
    <row r="49460" spans="43:43" x14ac:dyDescent="0.2">
      <c r="AQ49460" s="31"/>
    </row>
    <row r="49461" spans="43:43" x14ac:dyDescent="0.2">
      <c r="AQ49461" s="31"/>
    </row>
    <row r="49462" spans="43:43" x14ac:dyDescent="0.2">
      <c r="AQ49462" s="31"/>
    </row>
    <row r="49463" spans="43:43" x14ac:dyDescent="0.2">
      <c r="AQ49463" s="31"/>
    </row>
    <row r="49464" spans="43:43" x14ac:dyDescent="0.2">
      <c r="AQ49464" s="31"/>
    </row>
    <row r="49465" spans="43:43" x14ac:dyDescent="0.2">
      <c r="AQ49465" s="31"/>
    </row>
    <row r="49466" spans="43:43" x14ac:dyDescent="0.2">
      <c r="AQ49466" s="31"/>
    </row>
    <row r="49467" spans="43:43" x14ac:dyDescent="0.2">
      <c r="AQ49467" s="31"/>
    </row>
    <row r="49468" spans="43:43" x14ac:dyDescent="0.2">
      <c r="AQ49468" s="31"/>
    </row>
    <row r="49469" spans="43:43" x14ac:dyDescent="0.2">
      <c r="AQ49469" s="31"/>
    </row>
    <row r="49470" spans="43:43" x14ac:dyDescent="0.2">
      <c r="AQ49470" s="31"/>
    </row>
    <row r="49471" spans="43:43" x14ac:dyDescent="0.2">
      <c r="AQ49471" s="31"/>
    </row>
    <row r="49472" spans="43:43" x14ac:dyDescent="0.2">
      <c r="AQ49472" s="31"/>
    </row>
    <row r="49473" spans="43:43" x14ac:dyDescent="0.2">
      <c r="AQ49473" s="31"/>
    </row>
    <row r="49474" spans="43:43" x14ac:dyDescent="0.2">
      <c r="AQ49474" s="31"/>
    </row>
    <row r="49475" spans="43:43" x14ac:dyDescent="0.2">
      <c r="AQ49475" s="31"/>
    </row>
    <row r="49476" spans="43:43" x14ac:dyDescent="0.2">
      <c r="AQ49476" s="31"/>
    </row>
    <row r="49477" spans="43:43" x14ac:dyDescent="0.2">
      <c r="AQ49477" s="31"/>
    </row>
    <row r="49478" spans="43:43" x14ac:dyDescent="0.2">
      <c r="AQ49478" s="31"/>
    </row>
    <row r="49479" spans="43:43" x14ac:dyDescent="0.2">
      <c r="AQ49479" s="31"/>
    </row>
    <row r="49480" spans="43:43" x14ac:dyDescent="0.2">
      <c r="AQ49480" s="31"/>
    </row>
    <row r="49481" spans="43:43" x14ac:dyDescent="0.2">
      <c r="AQ49481" s="31"/>
    </row>
    <row r="49482" spans="43:43" x14ac:dyDescent="0.2">
      <c r="AQ49482" s="31"/>
    </row>
    <row r="49483" spans="43:43" x14ac:dyDescent="0.2">
      <c r="AQ49483" s="31"/>
    </row>
    <row r="49484" spans="43:43" x14ac:dyDescent="0.2">
      <c r="AQ49484" s="31"/>
    </row>
    <row r="49485" spans="43:43" x14ac:dyDescent="0.2">
      <c r="AQ49485" s="31"/>
    </row>
    <row r="49486" spans="43:43" x14ac:dyDescent="0.2">
      <c r="AQ49486" s="31"/>
    </row>
    <row r="49487" spans="43:43" x14ac:dyDescent="0.2">
      <c r="AQ49487" s="31"/>
    </row>
    <row r="49488" spans="43:43" x14ac:dyDescent="0.2">
      <c r="AQ49488" s="31"/>
    </row>
    <row r="49489" spans="43:43" x14ac:dyDescent="0.2">
      <c r="AQ49489" s="31"/>
    </row>
    <row r="49490" spans="43:43" x14ac:dyDescent="0.2">
      <c r="AQ49490" s="31"/>
    </row>
    <row r="49491" spans="43:43" x14ac:dyDescent="0.2">
      <c r="AQ49491" s="31"/>
    </row>
    <row r="49492" spans="43:43" x14ac:dyDescent="0.2">
      <c r="AQ49492" s="31"/>
    </row>
    <row r="49493" spans="43:43" x14ac:dyDescent="0.2">
      <c r="AQ49493" s="31"/>
    </row>
    <row r="49494" spans="43:43" x14ac:dyDescent="0.2">
      <c r="AQ49494" s="31"/>
    </row>
    <row r="49495" spans="43:43" x14ac:dyDescent="0.2">
      <c r="AQ49495" s="31"/>
    </row>
    <row r="49496" spans="43:43" x14ac:dyDescent="0.2">
      <c r="AQ49496" s="31"/>
    </row>
    <row r="49497" spans="43:43" x14ac:dyDescent="0.2">
      <c r="AQ49497" s="31"/>
    </row>
    <row r="49498" spans="43:43" x14ac:dyDescent="0.2">
      <c r="AQ49498" s="31"/>
    </row>
    <row r="49499" spans="43:43" x14ac:dyDescent="0.2">
      <c r="AQ49499" s="31"/>
    </row>
    <row r="49500" spans="43:43" x14ac:dyDescent="0.2">
      <c r="AQ49500" s="31"/>
    </row>
    <row r="49501" spans="43:43" x14ac:dyDescent="0.2">
      <c r="AQ49501" s="31"/>
    </row>
    <row r="49502" spans="43:43" x14ac:dyDescent="0.2">
      <c r="AQ49502" s="31"/>
    </row>
    <row r="49503" spans="43:43" x14ac:dyDescent="0.2">
      <c r="AQ49503" s="31"/>
    </row>
    <row r="49504" spans="43:43" x14ac:dyDescent="0.2">
      <c r="AQ49504" s="31"/>
    </row>
    <row r="49505" spans="43:43" x14ac:dyDescent="0.2">
      <c r="AQ49505" s="31"/>
    </row>
    <row r="49506" spans="43:43" x14ac:dyDescent="0.2">
      <c r="AQ49506" s="31"/>
    </row>
    <row r="49507" spans="43:43" x14ac:dyDescent="0.2">
      <c r="AQ49507" s="31"/>
    </row>
    <row r="49508" spans="43:43" x14ac:dyDescent="0.2">
      <c r="AQ49508" s="31"/>
    </row>
    <row r="49509" spans="43:43" x14ac:dyDescent="0.2">
      <c r="AQ49509" s="31"/>
    </row>
    <row r="49510" spans="43:43" x14ac:dyDescent="0.2">
      <c r="AQ49510" s="31"/>
    </row>
    <row r="49511" spans="43:43" x14ac:dyDescent="0.2">
      <c r="AQ49511" s="31"/>
    </row>
    <row r="49512" spans="43:43" x14ac:dyDescent="0.2">
      <c r="AQ49512" s="31"/>
    </row>
    <row r="49513" spans="43:43" x14ac:dyDescent="0.2">
      <c r="AQ49513" s="31"/>
    </row>
    <row r="49514" spans="43:43" x14ac:dyDescent="0.2">
      <c r="AQ49514" s="31"/>
    </row>
    <row r="49515" spans="43:43" x14ac:dyDescent="0.2">
      <c r="AQ49515" s="31"/>
    </row>
    <row r="49516" spans="43:43" x14ac:dyDescent="0.2">
      <c r="AQ49516" s="31"/>
    </row>
    <row r="49517" spans="43:43" x14ac:dyDescent="0.2">
      <c r="AQ49517" s="31"/>
    </row>
    <row r="49518" spans="43:43" x14ac:dyDescent="0.2">
      <c r="AQ49518" s="31"/>
    </row>
    <row r="49519" spans="43:43" x14ac:dyDescent="0.2">
      <c r="AQ49519" s="31"/>
    </row>
    <row r="49520" spans="43:43" x14ac:dyDescent="0.2">
      <c r="AQ49520" s="31"/>
    </row>
    <row r="49521" spans="43:43" x14ac:dyDescent="0.2">
      <c r="AQ49521" s="31"/>
    </row>
    <row r="49522" spans="43:43" x14ac:dyDescent="0.2">
      <c r="AQ49522" s="31"/>
    </row>
    <row r="49523" spans="43:43" x14ac:dyDescent="0.2">
      <c r="AQ49523" s="31"/>
    </row>
    <row r="49524" spans="43:43" x14ac:dyDescent="0.2">
      <c r="AQ49524" s="31"/>
    </row>
    <row r="49525" spans="43:43" x14ac:dyDescent="0.2">
      <c r="AQ49525" s="31"/>
    </row>
    <row r="49526" spans="43:43" x14ac:dyDescent="0.2">
      <c r="AQ49526" s="31"/>
    </row>
    <row r="49527" spans="43:43" x14ac:dyDescent="0.2">
      <c r="AQ49527" s="31"/>
    </row>
    <row r="49528" spans="43:43" x14ac:dyDescent="0.2">
      <c r="AQ49528" s="31"/>
    </row>
    <row r="49529" spans="43:43" x14ac:dyDescent="0.2">
      <c r="AQ49529" s="31"/>
    </row>
    <row r="49530" spans="43:43" x14ac:dyDescent="0.2">
      <c r="AQ49530" s="31"/>
    </row>
    <row r="49531" spans="43:43" x14ac:dyDescent="0.2">
      <c r="AQ49531" s="31"/>
    </row>
    <row r="49532" spans="43:43" x14ac:dyDescent="0.2">
      <c r="AQ49532" s="31"/>
    </row>
    <row r="49533" spans="43:43" x14ac:dyDescent="0.2">
      <c r="AQ49533" s="31"/>
    </row>
    <row r="49534" spans="43:43" x14ac:dyDescent="0.2">
      <c r="AQ49534" s="31"/>
    </row>
    <row r="49535" spans="43:43" x14ac:dyDescent="0.2">
      <c r="AQ49535" s="31"/>
    </row>
    <row r="49536" spans="43:43" x14ac:dyDescent="0.2">
      <c r="AQ49536" s="31"/>
    </row>
    <row r="49537" spans="43:43" x14ac:dyDescent="0.2">
      <c r="AQ49537" s="31"/>
    </row>
    <row r="49538" spans="43:43" x14ac:dyDescent="0.2">
      <c r="AQ49538" s="31"/>
    </row>
    <row r="49539" spans="43:43" x14ac:dyDescent="0.2">
      <c r="AQ49539" s="31"/>
    </row>
    <row r="49540" spans="43:43" x14ac:dyDescent="0.2">
      <c r="AQ49540" s="31"/>
    </row>
    <row r="49541" spans="43:43" x14ac:dyDescent="0.2">
      <c r="AQ49541" s="31"/>
    </row>
    <row r="49542" spans="43:43" x14ac:dyDescent="0.2">
      <c r="AQ49542" s="31"/>
    </row>
    <row r="49543" spans="43:43" x14ac:dyDescent="0.2">
      <c r="AQ49543" s="31"/>
    </row>
    <row r="49544" spans="43:43" x14ac:dyDescent="0.2">
      <c r="AQ49544" s="31"/>
    </row>
    <row r="49545" spans="43:43" x14ac:dyDescent="0.2">
      <c r="AQ49545" s="31"/>
    </row>
    <row r="49546" spans="43:43" x14ac:dyDescent="0.2">
      <c r="AQ49546" s="31"/>
    </row>
    <row r="49547" spans="43:43" x14ac:dyDescent="0.2">
      <c r="AQ49547" s="31"/>
    </row>
    <row r="49548" spans="43:43" x14ac:dyDescent="0.2">
      <c r="AQ49548" s="31"/>
    </row>
    <row r="49549" spans="43:43" x14ac:dyDescent="0.2">
      <c r="AQ49549" s="31"/>
    </row>
    <row r="49550" spans="43:43" x14ac:dyDescent="0.2">
      <c r="AQ49550" s="31"/>
    </row>
    <row r="49551" spans="43:43" x14ac:dyDescent="0.2">
      <c r="AQ49551" s="31"/>
    </row>
    <row r="49552" spans="43:43" x14ac:dyDescent="0.2">
      <c r="AQ49552" s="31"/>
    </row>
    <row r="49553" spans="43:43" x14ac:dyDescent="0.2">
      <c r="AQ49553" s="31"/>
    </row>
    <row r="49554" spans="43:43" x14ac:dyDescent="0.2">
      <c r="AQ49554" s="31"/>
    </row>
    <row r="49555" spans="43:43" x14ac:dyDescent="0.2">
      <c r="AQ49555" s="31"/>
    </row>
    <row r="49556" spans="43:43" x14ac:dyDescent="0.2">
      <c r="AQ49556" s="31"/>
    </row>
    <row r="49557" spans="43:43" x14ac:dyDescent="0.2">
      <c r="AQ49557" s="31"/>
    </row>
    <row r="49558" spans="43:43" x14ac:dyDescent="0.2">
      <c r="AQ49558" s="31"/>
    </row>
    <row r="49559" spans="43:43" x14ac:dyDescent="0.2">
      <c r="AQ49559" s="31"/>
    </row>
    <row r="49560" spans="43:43" x14ac:dyDescent="0.2">
      <c r="AQ49560" s="31"/>
    </row>
    <row r="49561" spans="43:43" x14ac:dyDescent="0.2">
      <c r="AQ49561" s="31"/>
    </row>
    <row r="49562" spans="43:43" x14ac:dyDescent="0.2">
      <c r="AQ49562" s="31"/>
    </row>
    <row r="49563" spans="43:43" x14ac:dyDescent="0.2">
      <c r="AQ49563" s="31"/>
    </row>
    <row r="49564" spans="43:43" x14ac:dyDescent="0.2">
      <c r="AQ49564" s="31"/>
    </row>
    <row r="49565" spans="43:43" x14ac:dyDescent="0.2">
      <c r="AQ49565" s="31"/>
    </row>
    <row r="49566" spans="43:43" x14ac:dyDescent="0.2">
      <c r="AQ49566" s="31"/>
    </row>
    <row r="49567" spans="43:43" x14ac:dyDescent="0.2">
      <c r="AQ49567" s="31"/>
    </row>
    <row r="49568" spans="43:43" x14ac:dyDescent="0.2">
      <c r="AQ49568" s="31"/>
    </row>
    <row r="49569" spans="43:43" x14ac:dyDescent="0.2">
      <c r="AQ49569" s="31"/>
    </row>
    <row r="49570" spans="43:43" x14ac:dyDescent="0.2">
      <c r="AQ49570" s="31"/>
    </row>
    <row r="49571" spans="43:43" x14ac:dyDescent="0.2">
      <c r="AQ49571" s="31"/>
    </row>
    <row r="49572" spans="43:43" x14ac:dyDescent="0.2">
      <c r="AQ49572" s="31"/>
    </row>
    <row r="49573" spans="43:43" x14ac:dyDescent="0.2">
      <c r="AQ49573" s="31"/>
    </row>
    <row r="49574" spans="43:43" x14ac:dyDescent="0.2">
      <c r="AQ49574" s="31"/>
    </row>
    <row r="49575" spans="43:43" x14ac:dyDescent="0.2">
      <c r="AQ49575" s="31"/>
    </row>
    <row r="49576" spans="43:43" x14ac:dyDescent="0.2">
      <c r="AQ49576" s="31"/>
    </row>
    <row r="49577" spans="43:43" x14ac:dyDescent="0.2">
      <c r="AQ49577" s="31"/>
    </row>
    <row r="49578" spans="43:43" x14ac:dyDescent="0.2">
      <c r="AQ49578" s="31"/>
    </row>
    <row r="49579" spans="43:43" x14ac:dyDescent="0.2">
      <c r="AQ49579" s="31"/>
    </row>
    <row r="49580" spans="43:43" x14ac:dyDescent="0.2">
      <c r="AQ49580" s="31"/>
    </row>
    <row r="49581" spans="43:43" x14ac:dyDescent="0.2">
      <c r="AQ49581" s="31"/>
    </row>
    <row r="49582" spans="43:43" x14ac:dyDescent="0.2">
      <c r="AQ49582" s="31"/>
    </row>
    <row r="49583" spans="43:43" x14ac:dyDescent="0.2">
      <c r="AQ49583" s="31"/>
    </row>
    <row r="49584" spans="43:43" x14ac:dyDescent="0.2">
      <c r="AQ49584" s="31"/>
    </row>
    <row r="49585" spans="43:43" x14ac:dyDescent="0.2">
      <c r="AQ49585" s="31"/>
    </row>
    <row r="49586" spans="43:43" x14ac:dyDescent="0.2">
      <c r="AQ49586" s="31"/>
    </row>
    <row r="49587" spans="43:43" x14ac:dyDescent="0.2">
      <c r="AQ49587" s="31"/>
    </row>
    <row r="49588" spans="43:43" x14ac:dyDescent="0.2">
      <c r="AQ49588" s="31"/>
    </row>
    <row r="49589" spans="43:43" x14ac:dyDescent="0.2">
      <c r="AQ49589" s="31"/>
    </row>
    <row r="49590" spans="43:43" x14ac:dyDescent="0.2">
      <c r="AQ49590" s="31"/>
    </row>
    <row r="49591" spans="43:43" x14ac:dyDescent="0.2">
      <c r="AQ49591" s="31"/>
    </row>
    <row r="49592" spans="43:43" x14ac:dyDescent="0.2">
      <c r="AQ49592" s="31"/>
    </row>
    <row r="49593" spans="43:43" x14ac:dyDescent="0.2">
      <c r="AQ49593" s="31"/>
    </row>
    <row r="49594" spans="43:43" x14ac:dyDescent="0.2">
      <c r="AQ49594" s="31"/>
    </row>
    <row r="49595" spans="43:43" x14ac:dyDescent="0.2">
      <c r="AQ49595" s="31"/>
    </row>
    <row r="49596" spans="43:43" x14ac:dyDescent="0.2">
      <c r="AQ49596" s="31"/>
    </row>
    <row r="49597" spans="43:43" x14ac:dyDescent="0.2">
      <c r="AQ49597" s="31"/>
    </row>
    <row r="49598" spans="43:43" x14ac:dyDescent="0.2">
      <c r="AQ49598" s="31"/>
    </row>
    <row r="49599" spans="43:43" x14ac:dyDescent="0.2">
      <c r="AQ49599" s="31"/>
    </row>
    <row r="49600" spans="43:43" x14ac:dyDescent="0.2">
      <c r="AQ49600" s="31"/>
    </row>
    <row r="49601" spans="43:43" x14ac:dyDescent="0.2">
      <c r="AQ49601" s="31"/>
    </row>
    <row r="49602" spans="43:43" x14ac:dyDescent="0.2">
      <c r="AQ49602" s="31"/>
    </row>
    <row r="49603" spans="43:43" x14ac:dyDescent="0.2">
      <c r="AQ49603" s="31"/>
    </row>
    <row r="49604" spans="43:43" x14ac:dyDescent="0.2">
      <c r="AQ49604" s="31"/>
    </row>
    <row r="49605" spans="43:43" x14ac:dyDescent="0.2">
      <c r="AQ49605" s="31"/>
    </row>
    <row r="49606" spans="43:43" x14ac:dyDescent="0.2">
      <c r="AQ49606" s="31"/>
    </row>
    <row r="49607" spans="43:43" x14ac:dyDescent="0.2">
      <c r="AQ49607" s="31"/>
    </row>
    <row r="49608" spans="43:43" x14ac:dyDescent="0.2">
      <c r="AQ49608" s="31"/>
    </row>
    <row r="49609" spans="43:43" x14ac:dyDescent="0.2">
      <c r="AQ49609" s="31"/>
    </row>
    <row r="49610" spans="43:43" x14ac:dyDescent="0.2">
      <c r="AQ49610" s="31"/>
    </row>
    <row r="49611" spans="43:43" x14ac:dyDescent="0.2">
      <c r="AQ49611" s="31"/>
    </row>
    <row r="49612" spans="43:43" x14ac:dyDescent="0.2">
      <c r="AQ49612" s="31"/>
    </row>
    <row r="49613" spans="43:43" x14ac:dyDescent="0.2">
      <c r="AQ49613" s="31"/>
    </row>
    <row r="49614" spans="43:43" x14ac:dyDescent="0.2">
      <c r="AQ49614" s="31"/>
    </row>
    <row r="49615" spans="43:43" x14ac:dyDescent="0.2">
      <c r="AQ49615" s="31"/>
    </row>
    <row r="49616" spans="43:43" x14ac:dyDescent="0.2">
      <c r="AQ49616" s="31"/>
    </row>
    <row r="49617" spans="43:43" x14ac:dyDescent="0.2">
      <c r="AQ49617" s="31"/>
    </row>
    <row r="49618" spans="43:43" x14ac:dyDescent="0.2">
      <c r="AQ49618" s="31"/>
    </row>
    <row r="49619" spans="43:43" x14ac:dyDescent="0.2">
      <c r="AQ49619" s="31"/>
    </row>
    <row r="49620" spans="43:43" x14ac:dyDescent="0.2">
      <c r="AQ49620" s="31"/>
    </row>
    <row r="49621" spans="43:43" x14ac:dyDescent="0.2">
      <c r="AQ49621" s="31"/>
    </row>
    <row r="49622" spans="43:43" x14ac:dyDescent="0.2">
      <c r="AQ49622" s="31"/>
    </row>
    <row r="49623" spans="43:43" x14ac:dyDescent="0.2">
      <c r="AQ49623" s="31"/>
    </row>
    <row r="49624" spans="43:43" x14ac:dyDescent="0.2">
      <c r="AQ49624" s="31"/>
    </row>
    <row r="49625" spans="43:43" x14ac:dyDescent="0.2">
      <c r="AQ49625" s="31"/>
    </row>
    <row r="49626" spans="43:43" x14ac:dyDescent="0.2">
      <c r="AQ49626" s="31"/>
    </row>
    <row r="49627" spans="43:43" x14ac:dyDescent="0.2">
      <c r="AQ49627" s="31"/>
    </row>
    <row r="49628" spans="43:43" x14ac:dyDescent="0.2">
      <c r="AQ49628" s="31"/>
    </row>
    <row r="49629" spans="43:43" x14ac:dyDescent="0.2">
      <c r="AQ49629" s="31"/>
    </row>
    <row r="49630" spans="43:43" x14ac:dyDescent="0.2">
      <c r="AQ49630" s="31"/>
    </row>
    <row r="49631" spans="43:43" x14ac:dyDescent="0.2">
      <c r="AQ49631" s="31"/>
    </row>
    <row r="49632" spans="43:43" x14ac:dyDescent="0.2">
      <c r="AQ49632" s="31"/>
    </row>
    <row r="49633" spans="43:43" x14ac:dyDescent="0.2">
      <c r="AQ49633" s="31"/>
    </row>
    <row r="49634" spans="43:43" x14ac:dyDescent="0.2">
      <c r="AQ49634" s="31"/>
    </row>
    <row r="49635" spans="43:43" x14ac:dyDescent="0.2">
      <c r="AQ49635" s="31"/>
    </row>
    <row r="49636" spans="43:43" x14ac:dyDescent="0.2">
      <c r="AQ49636" s="31"/>
    </row>
    <row r="49637" spans="43:43" x14ac:dyDescent="0.2">
      <c r="AQ49637" s="31"/>
    </row>
    <row r="49638" spans="43:43" x14ac:dyDescent="0.2">
      <c r="AQ49638" s="31"/>
    </row>
    <row r="49639" spans="43:43" x14ac:dyDescent="0.2">
      <c r="AQ49639" s="31"/>
    </row>
    <row r="49640" spans="43:43" x14ac:dyDescent="0.2">
      <c r="AQ49640" s="31"/>
    </row>
    <row r="49641" spans="43:43" x14ac:dyDescent="0.2">
      <c r="AQ49641" s="31"/>
    </row>
    <row r="49642" spans="43:43" x14ac:dyDescent="0.2">
      <c r="AQ49642" s="31"/>
    </row>
    <row r="49643" spans="43:43" x14ac:dyDescent="0.2">
      <c r="AQ49643" s="31"/>
    </row>
    <row r="49644" spans="43:43" x14ac:dyDescent="0.2">
      <c r="AQ49644" s="31"/>
    </row>
    <row r="49645" spans="43:43" x14ac:dyDescent="0.2">
      <c r="AQ49645" s="31"/>
    </row>
    <row r="49646" spans="43:43" x14ac:dyDescent="0.2">
      <c r="AQ49646" s="31"/>
    </row>
    <row r="49647" spans="43:43" x14ac:dyDescent="0.2">
      <c r="AQ49647" s="31"/>
    </row>
    <row r="49648" spans="43:43" x14ac:dyDescent="0.2">
      <c r="AQ49648" s="31"/>
    </row>
    <row r="49649" spans="43:43" x14ac:dyDescent="0.2">
      <c r="AQ49649" s="31"/>
    </row>
    <row r="49650" spans="43:43" x14ac:dyDescent="0.2">
      <c r="AQ49650" s="31"/>
    </row>
    <row r="49651" spans="43:43" x14ac:dyDescent="0.2">
      <c r="AQ49651" s="31"/>
    </row>
    <row r="49652" spans="43:43" x14ac:dyDescent="0.2">
      <c r="AQ49652" s="31"/>
    </row>
    <row r="49653" spans="43:43" x14ac:dyDescent="0.2">
      <c r="AQ49653" s="31"/>
    </row>
    <row r="49654" spans="43:43" x14ac:dyDescent="0.2">
      <c r="AQ49654" s="31"/>
    </row>
    <row r="49655" spans="43:43" x14ac:dyDescent="0.2">
      <c r="AQ49655" s="31"/>
    </row>
    <row r="49656" spans="43:43" x14ac:dyDescent="0.2">
      <c r="AQ49656" s="31"/>
    </row>
    <row r="49657" spans="43:43" x14ac:dyDescent="0.2">
      <c r="AQ49657" s="31"/>
    </row>
    <row r="49658" spans="43:43" x14ac:dyDescent="0.2">
      <c r="AQ49658" s="31"/>
    </row>
    <row r="49659" spans="43:43" x14ac:dyDescent="0.2">
      <c r="AQ49659" s="31"/>
    </row>
    <row r="49660" spans="43:43" x14ac:dyDescent="0.2">
      <c r="AQ49660" s="31"/>
    </row>
    <row r="49661" spans="43:43" x14ac:dyDescent="0.2">
      <c r="AQ49661" s="31"/>
    </row>
    <row r="49662" spans="43:43" x14ac:dyDescent="0.2">
      <c r="AQ49662" s="31"/>
    </row>
    <row r="49663" spans="43:43" x14ac:dyDescent="0.2">
      <c r="AQ49663" s="31"/>
    </row>
    <row r="49664" spans="43:43" x14ac:dyDescent="0.2">
      <c r="AQ49664" s="31"/>
    </row>
    <row r="49665" spans="43:43" x14ac:dyDescent="0.2">
      <c r="AQ49665" s="31"/>
    </row>
    <row r="49666" spans="43:43" x14ac:dyDescent="0.2">
      <c r="AQ49666" s="31"/>
    </row>
    <row r="49667" spans="43:43" x14ac:dyDescent="0.2">
      <c r="AQ49667" s="31"/>
    </row>
    <row r="49668" spans="43:43" x14ac:dyDescent="0.2">
      <c r="AQ49668" s="31"/>
    </row>
    <row r="49669" spans="43:43" x14ac:dyDescent="0.2">
      <c r="AQ49669" s="31"/>
    </row>
    <row r="49670" spans="43:43" x14ac:dyDescent="0.2">
      <c r="AQ49670" s="31"/>
    </row>
    <row r="49671" spans="43:43" x14ac:dyDescent="0.2">
      <c r="AQ49671" s="31"/>
    </row>
    <row r="49672" spans="43:43" x14ac:dyDescent="0.2">
      <c r="AQ49672" s="31"/>
    </row>
    <row r="49673" spans="43:43" x14ac:dyDescent="0.2">
      <c r="AQ49673" s="31"/>
    </row>
    <row r="49674" spans="43:43" x14ac:dyDescent="0.2">
      <c r="AQ49674" s="31"/>
    </row>
    <row r="49675" spans="43:43" x14ac:dyDescent="0.2">
      <c r="AQ49675" s="31"/>
    </row>
    <row r="49676" spans="43:43" x14ac:dyDescent="0.2">
      <c r="AQ49676" s="31"/>
    </row>
    <row r="49677" spans="43:43" x14ac:dyDescent="0.2">
      <c r="AQ49677" s="31"/>
    </row>
    <row r="49678" spans="43:43" x14ac:dyDescent="0.2">
      <c r="AQ49678" s="31"/>
    </row>
    <row r="49679" spans="43:43" x14ac:dyDescent="0.2">
      <c r="AQ49679" s="31"/>
    </row>
    <row r="49680" spans="43:43" x14ac:dyDescent="0.2">
      <c r="AQ49680" s="31"/>
    </row>
    <row r="49681" spans="43:43" x14ac:dyDescent="0.2">
      <c r="AQ49681" s="31"/>
    </row>
    <row r="49682" spans="43:43" x14ac:dyDescent="0.2">
      <c r="AQ49682" s="31"/>
    </row>
    <row r="49683" spans="43:43" x14ac:dyDescent="0.2">
      <c r="AQ49683" s="31"/>
    </row>
    <row r="49684" spans="43:43" x14ac:dyDescent="0.2">
      <c r="AQ49684" s="31"/>
    </row>
    <row r="49685" spans="43:43" x14ac:dyDescent="0.2">
      <c r="AQ49685" s="31"/>
    </row>
    <row r="49686" spans="43:43" x14ac:dyDescent="0.2">
      <c r="AQ49686" s="31"/>
    </row>
    <row r="49687" spans="43:43" x14ac:dyDescent="0.2">
      <c r="AQ49687" s="31"/>
    </row>
    <row r="49688" spans="43:43" x14ac:dyDescent="0.2">
      <c r="AQ49688" s="31"/>
    </row>
    <row r="49689" spans="43:43" x14ac:dyDescent="0.2">
      <c r="AQ49689" s="31"/>
    </row>
    <row r="49690" spans="43:43" x14ac:dyDescent="0.2">
      <c r="AQ49690" s="31"/>
    </row>
    <row r="49691" spans="43:43" x14ac:dyDescent="0.2">
      <c r="AQ49691" s="31"/>
    </row>
    <row r="49692" spans="43:43" x14ac:dyDescent="0.2">
      <c r="AQ49692" s="31"/>
    </row>
    <row r="49693" spans="43:43" x14ac:dyDescent="0.2">
      <c r="AQ49693" s="31"/>
    </row>
    <row r="49694" spans="43:43" x14ac:dyDescent="0.2">
      <c r="AQ49694" s="31"/>
    </row>
    <row r="49695" spans="43:43" x14ac:dyDescent="0.2">
      <c r="AQ49695" s="31"/>
    </row>
    <row r="49696" spans="43:43" x14ac:dyDescent="0.2">
      <c r="AQ49696" s="31"/>
    </row>
    <row r="49697" spans="43:43" x14ac:dyDescent="0.2">
      <c r="AQ49697" s="31"/>
    </row>
    <row r="49698" spans="43:43" x14ac:dyDescent="0.2">
      <c r="AQ49698" s="31"/>
    </row>
    <row r="49699" spans="43:43" x14ac:dyDescent="0.2">
      <c r="AQ49699" s="31"/>
    </row>
    <row r="49700" spans="43:43" x14ac:dyDescent="0.2">
      <c r="AQ49700" s="31"/>
    </row>
    <row r="49701" spans="43:43" x14ac:dyDescent="0.2">
      <c r="AQ49701" s="31"/>
    </row>
    <row r="49702" spans="43:43" x14ac:dyDescent="0.2">
      <c r="AQ49702" s="31"/>
    </row>
    <row r="49703" spans="43:43" x14ac:dyDescent="0.2">
      <c r="AQ49703" s="31"/>
    </row>
    <row r="49704" spans="43:43" x14ac:dyDescent="0.2">
      <c r="AQ49704" s="31"/>
    </row>
    <row r="49705" spans="43:43" x14ac:dyDescent="0.2">
      <c r="AQ49705" s="31"/>
    </row>
    <row r="49706" spans="43:43" x14ac:dyDescent="0.2">
      <c r="AQ49706" s="31"/>
    </row>
    <row r="49707" spans="43:43" x14ac:dyDescent="0.2">
      <c r="AQ49707" s="31"/>
    </row>
    <row r="49708" spans="43:43" x14ac:dyDescent="0.2">
      <c r="AQ49708" s="31"/>
    </row>
    <row r="49709" spans="43:43" x14ac:dyDescent="0.2">
      <c r="AQ49709" s="31"/>
    </row>
    <row r="49710" spans="43:43" x14ac:dyDescent="0.2">
      <c r="AQ49710" s="31"/>
    </row>
    <row r="49711" spans="43:43" x14ac:dyDescent="0.2">
      <c r="AQ49711" s="31"/>
    </row>
    <row r="49712" spans="43:43" x14ac:dyDescent="0.2">
      <c r="AQ49712" s="31"/>
    </row>
    <row r="49713" spans="43:43" x14ac:dyDescent="0.2">
      <c r="AQ49713" s="31"/>
    </row>
    <row r="49714" spans="43:43" x14ac:dyDescent="0.2">
      <c r="AQ49714" s="31"/>
    </row>
    <row r="49715" spans="43:43" x14ac:dyDescent="0.2">
      <c r="AQ49715" s="31"/>
    </row>
    <row r="49716" spans="43:43" x14ac:dyDescent="0.2">
      <c r="AQ49716" s="31"/>
    </row>
    <row r="49717" spans="43:43" x14ac:dyDescent="0.2">
      <c r="AQ49717" s="31"/>
    </row>
    <row r="49718" spans="43:43" x14ac:dyDescent="0.2">
      <c r="AQ49718" s="31"/>
    </row>
    <row r="49719" spans="43:43" x14ac:dyDescent="0.2">
      <c r="AQ49719" s="31"/>
    </row>
    <row r="49720" spans="43:43" x14ac:dyDescent="0.2">
      <c r="AQ49720" s="31"/>
    </row>
    <row r="49721" spans="43:43" x14ac:dyDescent="0.2">
      <c r="AQ49721" s="31"/>
    </row>
    <row r="49722" spans="43:43" x14ac:dyDescent="0.2">
      <c r="AQ49722" s="31"/>
    </row>
    <row r="49723" spans="43:43" x14ac:dyDescent="0.2">
      <c r="AQ49723" s="31"/>
    </row>
    <row r="49724" spans="43:43" x14ac:dyDescent="0.2">
      <c r="AQ49724" s="31"/>
    </row>
    <row r="49725" spans="43:43" x14ac:dyDescent="0.2">
      <c r="AQ49725" s="31"/>
    </row>
    <row r="49726" spans="43:43" x14ac:dyDescent="0.2">
      <c r="AQ49726" s="31"/>
    </row>
    <row r="49727" spans="43:43" x14ac:dyDescent="0.2">
      <c r="AQ49727" s="31"/>
    </row>
    <row r="49728" spans="43:43" x14ac:dyDescent="0.2">
      <c r="AQ49728" s="31"/>
    </row>
    <row r="49729" spans="43:43" x14ac:dyDescent="0.2">
      <c r="AQ49729" s="31"/>
    </row>
    <row r="49730" spans="43:43" x14ac:dyDescent="0.2">
      <c r="AQ49730" s="31"/>
    </row>
    <row r="49731" spans="43:43" x14ac:dyDescent="0.2">
      <c r="AQ49731" s="31"/>
    </row>
    <row r="49732" spans="43:43" x14ac:dyDescent="0.2">
      <c r="AQ49732" s="31"/>
    </row>
    <row r="49733" spans="43:43" x14ac:dyDescent="0.2">
      <c r="AQ49733" s="31"/>
    </row>
    <row r="49734" spans="43:43" x14ac:dyDescent="0.2">
      <c r="AQ49734" s="31"/>
    </row>
    <row r="49735" spans="43:43" x14ac:dyDescent="0.2">
      <c r="AQ49735" s="31"/>
    </row>
    <row r="49736" spans="43:43" x14ac:dyDescent="0.2">
      <c r="AQ49736" s="31"/>
    </row>
    <row r="49737" spans="43:43" x14ac:dyDescent="0.2">
      <c r="AQ49737" s="31"/>
    </row>
    <row r="49738" spans="43:43" x14ac:dyDescent="0.2">
      <c r="AQ49738" s="31"/>
    </row>
    <row r="49739" spans="43:43" x14ac:dyDescent="0.2">
      <c r="AQ49739" s="31"/>
    </row>
    <row r="49740" spans="43:43" x14ac:dyDescent="0.2">
      <c r="AQ49740" s="31"/>
    </row>
    <row r="49741" spans="43:43" x14ac:dyDescent="0.2">
      <c r="AQ49741" s="31"/>
    </row>
    <row r="49742" spans="43:43" x14ac:dyDescent="0.2">
      <c r="AQ49742" s="31"/>
    </row>
    <row r="49743" spans="43:43" x14ac:dyDescent="0.2">
      <c r="AQ49743" s="31"/>
    </row>
    <row r="49744" spans="43:43" x14ac:dyDescent="0.2">
      <c r="AQ49744" s="31"/>
    </row>
    <row r="49745" spans="43:43" x14ac:dyDescent="0.2">
      <c r="AQ49745" s="31"/>
    </row>
    <row r="49746" spans="43:43" x14ac:dyDescent="0.2">
      <c r="AQ49746" s="31"/>
    </row>
    <row r="49747" spans="43:43" x14ac:dyDescent="0.2">
      <c r="AQ49747" s="31"/>
    </row>
    <row r="49748" spans="43:43" x14ac:dyDescent="0.2">
      <c r="AQ49748" s="31"/>
    </row>
    <row r="49749" spans="43:43" x14ac:dyDescent="0.2">
      <c r="AQ49749" s="31"/>
    </row>
    <row r="49750" spans="43:43" x14ac:dyDescent="0.2">
      <c r="AQ49750" s="31"/>
    </row>
    <row r="49751" spans="43:43" x14ac:dyDescent="0.2">
      <c r="AQ49751" s="31"/>
    </row>
    <row r="49752" spans="43:43" x14ac:dyDescent="0.2">
      <c r="AQ49752" s="31"/>
    </row>
    <row r="49753" spans="43:43" x14ac:dyDescent="0.2">
      <c r="AQ49753" s="31"/>
    </row>
    <row r="49754" spans="43:43" x14ac:dyDescent="0.2">
      <c r="AQ49754" s="31"/>
    </row>
    <row r="49755" spans="43:43" x14ac:dyDescent="0.2">
      <c r="AQ49755" s="31"/>
    </row>
    <row r="49756" spans="43:43" x14ac:dyDescent="0.2">
      <c r="AQ49756" s="31"/>
    </row>
    <row r="49757" spans="43:43" x14ac:dyDescent="0.2">
      <c r="AQ49757" s="31"/>
    </row>
    <row r="49758" spans="43:43" x14ac:dyDescent="0.2">
      <c r="AQ49758" s="31"/>
    </row>
    <row r="49759" spans="43:43" x14ac:dyDescent="0.2">
      <c r="AQ49759" s="31"/>
    </row>
    <row r="49760" spans="43:43" x14ac:dyDescent="0.2">
      <c r="AQ49760" s="31"/>
    </row>
    <row r="49761" spans="43:43" x14ac:dyDescent="0.2">
      <c r="AQ49761" s="31"/>
    </row>
    <row r="49762" spans="43:43" x14ac:dyDescent="0.2">
      <c r="AQ49762" s="31"/>
    </row>
    <row r="49763" spans="43:43" x14ac:dyDescent="0.2">
      <c r="AQ49763" s="31"/>
    </row>
    <row r="49764" spans="43:43" x14ac:dyDescent="0.2">
      <c r="AQ49764" s="31"/>
    </row>
    <row r="49765" spans="43:43" x14ac:dyDescent="0.2">
      <c r="AQ49765" s="31"/>
    </row>
    <row r="49766" spans="43:43" x14ac:dyDescent="0.2">
      <c r="AQ49766" s="31"/>
    </row>
    <row r="49767" spans="43:43" x14ac:dyDescent="0.2">
      <c r="AQ49767" s="31"/>
    </row>
    <row r="49768" spans="43:43" x14ac:dyDescent="0.2">
      <c r="AQ49768" s="31"/>
    </row>
    <row r="49769" spans="43:43" x14ac:dyDescent="0.2">
      <c r="AQ49769" s="31"/>
    </row>
    <row r="49770" spans="43:43" x14ac:dyDescent="0.2">
      <c r="AQ49770" s="31"/>
    </row>
    <row r="49771" spans="43:43" x14ac:dyDescent="0.2">
      <c r="AQ49771" s="31"/>
    </row>
    <row r="49772" spans="43:43" x14ac:dyDescent="0.2">
      <c r="AQ49772" s="31"/>
    </row>
    <row r="49773" spans="43:43" x14ac:dyDescent="0.2">
      <c r="AQ49773" s="31"/>
    </row>
    <row r="49774" spans="43:43" x14ac:dyDescent="0.2">
      <c r="AQ49774" s="31"/>
    </row>
    <row r="49775" spans="43:43" x14ac:dyDescent="0.2">
      <c r="AQ49775" s="31"/>
    </row>
    <row r="49776" spans="43:43" x14ac:dyDescent="0.2">
      <c r="AQ49776" s="31"/>
    </row>
    <row r="49777" spans="43:43" x14ac:dyDescent="0.2">
      <c r="AQ49777" s="31"/>
    </row>
    <row r="49778" spans="43:43" x14ac:dyDescent="0.2">
      <c r="AQ49778" s="31"/>
    </row>
    <row r="49779" spans="43:43" x14ac:dyDescent="0.2">
      <c r="AQ49779" s="31"/>
    </row>
    <row r="49780" spans="43:43" x14ac:dyDescent="0.2">
      <c r="AQ49780" s="31"/>
    </row>
    <row r="49781" spans="43:43" x14ac:dyDescent="0.2">
      <c r="AQ49781" s="31"/>
    </row>
    <row r="49782" spans="43:43" x14ac:dyDescent="0.2">
      <c r="AQ49782" s="31"/>
    </row>
    <row r="49783" spans="43:43" x14ac:dyDescent="0.2">
      <c r="AQ49783" s="31"/>
    </row>
    <row r="49784" spans="43:43" x14ac:dyDescent="0.2">
      <c r="AQ49784" s="31"/>
    </row>
    <row r="49785" spans="43:43" x14ac:dyDescent="0.2">
      <c r="AQ49785" s="31"/>
    </row>
    <row r="49786" spans="43:43" x14ac:dyDescent="0.2">
      <c r="AQ49786" s="31"/>
    </row>
    <row r="49787" spans="43:43" x14ac:dyDescent="0.2">
      <c r="AQ49787" s="31"/>
    </row>
    <row r="49788" spans="43:43" x14ac:dyDescent="0.2">
      <c r="AQ49788" s="31"/>
    </row>
    <row r="49789" spans="43:43" x14ac:dyDescent="0.2">
      <c r="AQ49789" s="31"/>
    </row>
    <row r="49790" spans="43:43" x14ac:dyDescent="0.2">
      <c r="AQ49790" s="31"/>
    </row>
    <row r="49791" spans="43:43" x14ac:dyDescent="0.2">
      <c r="AQ49791" s="31"/>
    </row>
    <row r="49792" spans="43:43" x14ac:dyDescent="0.2">
      <c r="AQ49792" s="31"/>
    </row>
    <row r="49793" spans="43:43" x14ac:dyDescent="0.2">
      <c r="AQ49793" s="31"/>
    </row>
    <row r="49794" spans="43:43" x14ac:dyDescent="0.2">
      <c r="AQ49794" s="31"/>
    </row>
    <row r="49795" spans="43:43" x14ac:dyDescent="0.2">
      <c r="AQ49795" s="31"/>
    </row>
    <row r="49796" spans="43:43" x14ac:dyDescent="0.2">
      <c r="AQ49796" s="31"/>
    </row>
    <row r="49797" spans="43:43" x14ac:dyDescent="0.2">
      <c r="AQ49797" s="31"/>
    </row>
    <row r="49798" spans="43:43" x14ac:dyDescent="0.2">
      <c r="AQ49798" s="31"/>
    </row>
    <row r="49799" spans="43:43" x14ac:dyDescent="0.2">
      <c r="AQ49799" s="31"/>
    </row>
    <row r="49800" spans="43:43" x14ac:dyDescent="0.2">
      <c r="AQ49800" s="31"/>
    </row>
    <row r="49801" spans="43:43" x14ac:dyDescent="0.2">
      <c r="AQ49801" s="31"/>
    </row>
    <row r="49802" spans="43:43" x14ac:dyDescent="0.2">
      <c r="AQ49802" s="31"/>
    </row>
    <row r="49803" spans="43:43" x14ac:dyDescent="0.2">
      <c r="AQ49803" s="31"/>
    </row>
    <row r="49804" spans="43:43" x14ac:dyDescent="0.2">
      <c r="AQ49804" s="31"/>
    </row>
    <row r="49805" spans="43:43" x14ac:dyDescent="0.2">
      <c r="AQ49805" s="31"/>
    </row>
    <row r="49806" spans="43:43" x14ac:dyDescent="0.2">
      <c r="AQ49806" s="31"/>
    </row>
    <row r="49807" spans="43:43" x14ac:dyDescent="0.2">
      <c r="AQ49807" s="31"/>
    </row>
    <row r="49808" spans="43:43" x14ac:dyDescent="0.2">
      <c r="AQ49808" s="31"/>
    </row>
    <row r="49809" spans="43:43" x14ac:dyDescent="0.2">
      <c r="AQ49809" s="31"/>
    </row>
    <row r="49810" spans="43:43" x14ac:dyDescent="0.2">
      <c r="AQ49810" s="31"/>
    </row>
    <row r="49811" spans="43:43" x14ac:dyDescent="0.2">
      <c r="AQ49811" s="31"/>
    </row>
    <row r="49812" spans="43:43" x14ac:dyDescent="0.2">
      <c r="AQ49812" s="31"/>
    </row>
    <row r="49813" spans="43:43" x14ac:dyDescent="0.2">
      <c r="AQ49813" s="31"/>
    </row>
    <row r="49814" spans="43:43" x14ac:dyDescent="0.2">
      <c r="AQ49814" s="31"/>
    </row>
    <row r="49815" spans="43:43" x14ac:dyDescent="0.2">
      <c r="AQ49815" s="31"/>
    </row>
    <row r="49816" spans="43:43" x14ac:dyDescent="0.2">
      <c r="AQ49816" s="31"/>
    </row>
    <row r="49817" spans="43:43" x14ac:dyDescent="0.2">
      <c r="AQ49817" s="31"/>
    </row>
    <row r="49818" spans="43:43" x14ac:dyDescent="0.2">
      <c r="AQ49818" s="31"/>
    </row>
    <row r="49819" spans="43:43" x14ac:dyDescent="0.2">
      <c r="AQ49819" s="31"/>
    </row>
    <row r="49820" spans="43:43" x14ac:dyDescent="0.2">
      <c r="AQ49820" s="31"/>
    </row>
    <row r="49821" spans="43:43" x14ac:dyDescent="0.2">
      <c r="AQ49821" s="31"/>
    </row>
    <row r="49822" spans="43:43" x14ac:dyDescent="0.2">
      <c r="AQ49822" s="31"/>
    </row>
    <row r="49823" spans="43:43" x14ac:dyDescent="0.2">
      <c r="AQ49823" s="31"/>
    </row>
    <row r="49824" spans="43:43" x14ac:dyDescent="0.2">
      <c r="AQ49824" s="31"/>
    </row>
    <row r="49825" spans="43:43" x14ac:dyDescent="0.2">
      <c r="AQ49825" s="31"/>
    </row>
    <row r="49826" spans="43:43" x14ac:dyDescent="0.2">
      <c r="AQ49826" s="31"/>
    </row>
    <row r="49827" spans="43:43" x14ac:dyDescent="0.2">
      <c r="AQ49827" s="31"/>
    </row>
    <row r="49828" spans="43:43" x14ac:dyDescent="0.2">
      <c r="AQ49828" s="31"/>
    </row>
    <row r="49829" spans="43:43" x14ac:dyDescent="0.2">
      <c r="AQ49829" s="31"/>
    </row>
    <row r="49830" spans="43:43" x14ac:dyDescent="0.2">
      <c r="AQ49830" s="31"/>
    </row>
    <row r="49831" spans="43:43" x14ac:dyDescent="0.2">
      <c r="AQ49831" s="31"/>
    </row>
    <row r="49832" spans="43:43" x14ac:dyDescent="0.2">
      <c r="AQ49832" s="31"/>
    </row>
    <row r="49833" spans="43:43" x14ac:dyDescent="0.2">
      <c r="AQ49833" s="31"/>
    </row>
    <row r="49834" spans="43:43" x14ac:dyDescent="0.2">
      <c r="AQ49834" s="31"/>
    </row>
    <row r="49835" spans="43:43" x14ac:dyDescent="0.2">
      <c r="AQ49835" s="31"/>
    </row>
    <row r="49836" spans="43:43" x14ac:dyDescent="0.2">
      <c r="AQ49836" s="31"/>
    </row>
    <row r="49837" spans="43:43" x14ac:dyDescent="0.2">
      <c r="AQ49837" s="31"/>
    </row>
    <row r="49838" spans="43:43" x14ac:dyDescent="0.2">
      <c r="AQ49838" s="31"/>
    </row>
    <row r="49839" spans="43:43" x14ac:dyDescent="0.2">
      <c r="AQ49839" s="31"/>
    </row>
    <row r="49840" spans="43:43" x14ac:dyDescent="0.2">
      <c r="AQ49840" s="31"/>
    </row>
    <row r="49841" spans="43:43" x14ac:dyDescent="0.2">
      <c r="AQ49841" s="31"/>
    </row>
    <row r="49842" spans="43:43" x14ac:dyDescent="0.2">
      <c r="AQ49842" s="31"/>
    </row>
    <row r="49843" spans="43:43" x14ac:dyDescent="0.2">
      <c r="AQ49843" s="31"/>
    </row>
    <row r="49844" spans="43:43" x14ac:dyDescent="0.2">
      <c r="AQ49844" s="31"/>
    </row>
    <row r="49845" spans="43:43" x14ac:dyDescent="0.2">
      <c r="AQ49845" s="31"/>
    </row>
    <row r="49846" spans="43:43" x14ac:dyDescent="0.2">
      <c r="AQ49846" s="31"/>
    </row>
    <row r="49847" spans="43:43" x14ac:dyDescent="0.2">
      <c r="AQ49847" s="31"/>
    </row>
    <row r="49848" spans="43:43" x14ac:dyDescent="0.2">
      <c r="AQ49848" s="31"/>
    </row>
    <row r="49849" spans="43:43" x14ac:dyDescent="0.2">
      <c r="AQ49849" s="31"/>
    </row>
    <row r="49850" spans="43:43" x14ac:dyDescent="0.2">
      <c r="AQ49850" s="31"/>
    </row>
    <row r="49851" spans="43:43" x14ac:dyDescent="0.2">
      <c r="AQ49851" s="31"/>
    </row>
    <row r="49852" spans="43:43" x14ac:dyDescent="0.2">
      <c r="AQ49852" s="31"/>
    </row>
    <row r="49853" spans="43:43" x14ac:dyDescent="0.2">
      <c r="AQ49853" s="31"/>
    </row>
    <row r="49854" spans="43:43" x14ac:dyDescent="0.2">
      <c r="AQ49854" s="31"/>
    </row>
    <row r="49855" spans="43:43" x14ac:dyDescent="0.2">
      <c r="AQ49855" s="31"/>
    </row>
    <row r="49856" spans="43:43" x14ac:dyDescent="0.2">
      <c r="AQ49856" s="31"/>
    </row>
    <row r="49857" spans="43:43" x14ac:dyDescent="0.2">
      <c r="AQ49857" s="31"/>
    </row>
    <row r="49858" spans="43:43" x14ac:dyDescent="0.2">
      <c r="AQ49858" s="31"/>
    </row>
    <row r="49859" spans="43:43" x14ac:dyDescent="0.2">
      <c r="AQ49859" s="31"/>
    </row>
    <row r="49860" spans="43:43" x14ac:dyDescent="0.2">
      <c r="AQ49860" s="31"/>
    </row>
    <row r="49861" spans="43:43" x14ac:dyDescent="0.2">
      <c r="AQ49861" s="31"/>
    </row>
    <row r="49862" spans="43:43" x14ac:dyDescent="0.2">
      <c r="AQ49862" s="31"/>
    </row>
    <row r="49863" spans="43:43" x14ac:dyDescent="0.2">
      <c r="AQ49863" s="31"/>
    </row>
    <row r="49864" spans="43:43" x14ac:dyDescent="0.2">
      <c r="AQ49864" s="31"/>
    </row>
    <row r="49865" spans="43:43" x14ac:dyDescent="0.2">
      <c r="AQ49865" s="31"/>
    </row>
    <row r="49866" spans="43:43" x14ac:dyDescent="0.2">
      <c r="AQ49866" s="31"/>
    </row>
    <row r="49867" spans="43:43" x14ac:dyDescent="0.2">
      <c r="AQ49867" s="31"/>
    </row>
    <row r="49868" spans="43:43" x14ac:dyDescent="0.2">
      <c r="AQ49868" s="31"/>
    </row>
    <row r="49869" spans="43:43" x14ac:dyDescent="0.2">
      <c r="AQ49869" s="31"/>
    </row>
    <row r="49870" spans="43:43" x14ac:dyDescent="0.2">
      <c r="AQ49870" s="31"/>
    </row>
    <row r="49871" spans="43:43" x14ac:dyDescent="0.2">
      <c r="AQ49871" s="31"/>
    </row>
    <row r="49872" spans="43:43" x14ac:dyDescent="0.2">
      <c r="AQ49872" s="31"/>
    </row>
    <row r="49873" spans="43:43" x14ac:dyDescent="0.2">
      <c r="AQ49873" s="31"/>
    </row>
    <row r="49874" spans="43:43" x14ac:dyDescent="0.2">
      <c r="AQ49874" s="31"/>
    </row>
    <row r="49875" spans="43:43" x14ac:dyDescent="0.2">
      <c r="AQ49875" s="31"/>
    </row>
    <row r="49876" spans="43:43" x14ac:dyDescent="0.2">
      <c r="AQ49876" s="31"/>
    </row>
    <row r="49877" spans="43:43" x14ac:dyDescent="0.2">
      <c r="AQ49877" s="31"/>
    </row>
    <row r="49878" spans="43:43" x14ac:dyDescent="0.2">
      <c r="AQ49878" s="31"/>
    </row>
    <row r="49879" spans="43:43" x14ac:dyDescent="0.2">
      <c r="AQ49879" s="31"/>
    </row>
    <row r="49880" spans="43:43" x14ac:dyDescent="0.2">
      <c r="AQ49880" s="31"/>
    </row>
    <row r="49881" spans="43:43" x14ac:dyDescent="0.2">
      <c r="AQ49881" s="31"/>
    </row>
    <row r="49882" spans="43:43" x14ac:dyDescent="0.2">
      <c r="AQ49882" s="31"/>
    </row>
    <row r="49883" spans="43:43" x14ac:dyDescent="0.2">
      <c r="AQ49883" s="31"/>
    </row>
    <row r="49884" spans="43:43" x14ac:dyDescent="0.2">
      <c r="AQ49884" s="31"/>
    </row>
    <row r="49885" spans="43:43" x14ac:dyDescent="0.2">
      <c r="AQ49885" s="31"/>
    </row>
    <row r="49886" spans="43:43" x14ac:dyDescent="0.2">
      <c r="AQ49886" s="31"/>
    </row>
    <row r="49887" spans="43:43" x14ac:dyDescent="0.2">
      <c r="AQ49887" s="31"/>
    </row>
    <row r="49888" spans="43:43" x14ac:dyDescent="0.2">
      <c r="AQ49888" s="31"/>
    </row>
    <row r="49889" spans="43:43" x14ac:dyDescent="0.2">
      <c r="AQ49889" s="31"/>
    </row>
    <row r="49890" spans="43:43" x14ac:dyDescent="0.2">
      <c r="AQ49890" s="31"/>
    </row>
    <row r="49891" spans="43:43" x14ac:dyDescent="0.2">
      <c r="AQ49891" s="31"/>
    </row>
    <row r="49892" spans="43:43" x14ac:dyDescent="0.2">
      <c r="AQ49892" s="31"/>
    </row>
    <row r="49893" spans="43:43" x14ac:dyDescent="0.2">
      <c r="AQ49893" s="31"/>
    </row>
    <row r="49894" spans="43:43" x14ac:dyDescent="0.2">
      <c r="AQ49894" s="31"/>
    </row>
    <row r="49895" spans="43:43" x14ac:dyDescent="0.2">
      <c r="AQ49895" s="31"/>
    </row>
    <row r="49896" spans="43:43" x14ac:dyDescent="0.2">
      <c r="AQ49896" s="31"/>
    </row>
    <row r="49897" spans="43:43" x14ac:dyDescent="0.2">
      <c r="AQ49897" s="31"/>
    </row>
    <row r="49898" spans="43:43" x14ac:dyDescent="0.2">
      <c r="AQ49898" s="31"/>
    </row>
    <row r="49899" spans="43:43" x14ac:dyDescent="0.2">
      <c r="AQ49899" s="31"/>
    </row>
    <row r="49900" spans="43:43" x14ac:dyDescent="0.2">
      <c r="AQ49900" s="31"/>
    </row>
    <row r="49901" spans="43:43" x14ac:dyDescent="0.2">
      <c r="AQ49901" s="31"/>
    </row>
    <row r="49902" spans="43:43" x14ac:dyDescent="0.2">
      <c r="AQ49902" s="31"/>
    </row>
    <row r="49903" spans="43:43" x14ac:dyDescent="0.2">
      <c r="AQ49903" s="31"/>
    </row>
    <row r="49904" spans="43:43" x14ac:dyDescent="0.2">
      <c r="AQ49904" s="31"/>
    </row>
    <row r="49905" spans="43:43" x14ac:dyDescent="0.2">
      <c r="AQ49905" s="31"/>
    </row>
    <row r="49906" spans="43:43" x14ac:dyDescent="0.2">
      <c r="AQ49906" s="31"/>
    </row>
    <row r="49907" spans="43:43" x14ac:dyDescent="0.2">
      <c r="AQ49907" s="31"/>
    </row>
    <row r="49908" spans="43:43" x14ac:dyDescent="0.2">
      <c r="AQ49908" s="31"/>
    </row>
    <row r="49909" spans="43:43" x14ac:dyDescent="0.2">
      <c r="AQ49909" s="31"/>
    </row>
    <row r="49910" spans="43:43" x14ac:dyDescent="0.2">
      <c r="AQ49910" s="31"/>
    </row>
    <row r="49911" spans="43:43" x14ac:dyDescent="0.2">
      <c r="AQ49911" s="31"/>
    </row>
    <row r="49912" spans="43:43" x14ac:dyDescent="0.2">
      <c r="AQ49912" s="31"/>
    </row>
    <row r="49913" spans="43:43" x14ac:dyDescent="0.2">
      <c r="AQ49913" s="31"/>
    </row>
    <row r="49914" spans="43:43" x14ac:dyDescent="0.2">
      <c r="AQ49914" s="31"/>
    </row>
    <row r="49915" spans="43:43" x14ac:dyDescent="0.2">
      <c r="AQ49915" s="31"/>
    </row>
    <row r="49916" spans="43:43" x14ac:dyDescent="0.2">
      <c r="AQ49916" s="31"/>
    </row>
    <row r="49917" spans="43:43" x14ac:dyDescent="0.2">
      <c r="AQ49917" s="31"/>
    </row>
    <row r="49918" spans="43:43" x14ac:dyDescent="0.2">
      <c r="AQ49918" s="31"/>
    </row>
    <row r="49919" spans="43:43" x14ac:dyDescent="0.2">
      <c r="AQ49919" s="31"/>
    </row>
    <row r="49920" spans="43:43" x14ac:dyDescent="0.2">
      <c r="AQ49920" s="31"/>
    </row>
    <row r="49921" spans="43:43" x14ac:dyDescent="0.2">
      <c r="AQ49921" s="31"/>
    </row>
    <row r="49922" spans="43:43" x14ac:dyDescent="0.2">
      <c r="AQ49922" s="31"/>
    </row>
    <row r="49923" spans="43:43" x14ac:dyDescent="0.2">
      <c r="AQ49923" s="31"/>
    </row>
    <row r="49924" spans="43:43" x14ac:dyDescent="0.2">
      <c r="AQ49924" s="31"/>
    </row>
    <row r="49925" spans="43:43" x14ac:dyDescent="0.2">
      <c r="AQ49925" s="31"/>
    </row>
    <row r="49926" spans="43:43" x14ac:dyDescent="0.2">
      <c r="AQ49926" s="31"/>
    </row>
    <row r="49927" spans="43:43" x14ac:dyDescent="0.2">
      <c r="AQ49927" s="31"/>
    </row>
    <row r="49928" spans="43:43" x14ac:dyDescent="0.2">
      <c r="AQ49928" s="31"/>
    </row>
    <row r="49929" spans="43:43" x14ac:dyDescent="0.2">
      <c r="AQ49929" s="31"/>
    </row>
    <row r="49930" spans="43:43" x14ac:dyDescent="0.2">
      <c r="AQ49930" s="31"/>
    </row>
    <row r="49931" spans="43:43" x14ac:dyDescent="0.2">
      <c r="AQ49931" s="31"/>
    </row>
    <row r="49932" spans="43:43" x14ac:dyDescent="0.2">
      <c r="AQ49932" s="31"/>
    </row>
    <row r="49933" spans="43:43" x14ac:dyDescent="0.2">
      <c r="AQ49933" s="31"/>
    </row>
    <row r="49934" spans="43:43" x14ac:dyDescent="0.2">
      <c r="AQ49934" s="31"/>
    </row>
    <row r="49935" spans="43:43" x14ac:dyDescent="0.2">
      <c r="AQ49935" s="31"/>
    </row>
    <row r="49936" spans="43:43" x14ac:dyDescent="0.2">
      <c r="AQ49936" s="31"/>
    </row>
    <row r="49937" spans="43:43" x14ac:dyDescent="0.2">
      <c r="AQ49937" s="31"/>
    </row>
    <row r="49938" spans="43:43" x14ac:dyDescent="0.2">
      <c r="AQ49938" s="31"/>
    </row>
    <row r="49939" spans="43:43" x14ac:dyDescent="0.2">
      <c r="AQ49939" s="31"/>
    </row>
    <row r="49940" spans="43:43" x14ac:dyDescent="0.2">
      <c r="AQ49940" s="31"/>
    </row>
    <row r="49941" spans="43:43" x14ac:dyDescent="0.2">
      <c r="AQ49941" s="31"/>
    </row>
    <row r="49942" spans="43:43" x14ac:dyDescent="0.2">
      <c r="AQ49942" s="31"/>
    </row>
    <row r="49943" spans="43:43" x14ac:dyDescent="0.2">
      <c r="AQ49943" s="31"/>
    </row>
    <row r="49944" spans="43:43" x14ac:dyDescent="0.2">
      <c r="AQ49944" s="31"/>
    </row>
    <row r="49945" spans="43:43" x14ac:dyDescent="0.2">
      <c r="AQ49945" s="31"/>
    </row>
    <row r="49946" spans="43:43" x14ac:dyDescent="0.2">
      <c r="AQ49946" s="31"/>
    </row>
    <row r="49947" spans="43:43" x14ac:dyDescent="0.2">
      <c r="AQ49947" s="31"/>
    </row>
    <row r="49948" spans="43:43" x14ac:dyDescent="0.2">
      <c r="AQ49948" s="31"/>
    </row>
    <row r="49949" spans="43:43" x14ac:dyDescent="0.2">
      <c r="AQ49949" s="31"/>
    </row>
    <row r="49950" spans="43:43" x14ac:dyDescent="0.2">
      <c r="AQ49950" s="31"/>
    </row>
    <row r="49951" spans="43:43" x14ac:dyDescent="0.2">
      <c r="AQ49951" s="31"/>
    </row>
    <row r="49952" spans="43:43" x14ac:dyDescent="0.2">
      <c r="AQ49952" s="31"/>
    </row>
    <row r="49953" spans="43:43" x14ac:dyDescent="0.2">
      <c r="AQ49953" s="31"/>
    </row>
    <row r="49954" spans="43:43" x14ac:dyDescent="0.2">
      <c r="AQ49954" s="31"/>
    </row>
    <row r="49955" spans="43:43" x14ac:dyDescent="0.2">
      <c r="AQ49955" s="31"/>
    </row>
    <row r="49956" spans="43:43" x14ac:dyDescent="0.2">
      <c r="AQ49956" s="31"/>
    </row>
    <row r="49957" spans="43:43" x14ac:dyDescent="0.2">
      <c r="AQ49957" s="31"/>
    </row>
    <row r="49958" spans="43:43" x14ac:dyDescent="0.2">
      <c r="AQ49958" s="31"/>
    </row>
    <row r="49959" spans="43:43" x14ac:dyDescent="0.2">
      <c r="AQ49959" s="31"/>
    </row>
    <row r="49960" spans="43:43" x14ac:dyDescent="0.2">
      <c r="AQ49960" s="31"/>
    </row>
    <row r="49961" spans="43:43" x14ac:dyDescent="0.2">
      <c r="AQ49961" s="31"/>
    </row>
    <row r="49962" spans="43:43" x14ac:dyDescent="0.2">
      <c r="AQ49962" s="31"/>
    </row>
    <row r="49963" spans="43:43" x14ac:dyDescent="0.2">
      <c r="AQ49963" s="31"/>
    </row>
    <row r="49964" spans="43:43" x14ac:dyDescent="0.2">
      <c r="AQ49964" s="31"/>
    </row>
    <row r="49965" spans="43:43" x14ac:dyDescent="0.2">
      <c r="AQ49965" s="31"/>
    </row>
    <row r="49966" spans="43:43" x14ac:dyDescent="0.2">
      <c r="AQ49966" s="31"/>
    </row>
    <row r="49967" spans="43:43" x14ac:dyDescent="0.2">
      <c r="AQ49967" s="31"/>
    </row>
    <row r="49968" spans="43:43" x14ac:dyDescent="0.2">
      <c r="AQ49968" s="31"/>
    </row>
    <row r="49969" spans="43:43" x14ac:dyDescent="0.2">
      <c r="AQ49969" s="31"/>
    </row>
    <row r="49970" spans="43:43" x14ac:dyDescent="0.2">
      <c r="AQ49970" s="31"/>
    </row>
    <row r="49971" spans="43:43" x14ac:dyDescent="0.2">
      <c r="AQ49971" s="31"/>
    </row>
    <row r="49972" spans="43:43" x14ac:dyDescent="0.2">
      <c r="AQ49972" s="31"/>
    </row>
    <row r="49973" spans="43:43" x14ac:dyDescent="0.2">
      <c r="AQ49973" s="31"/>
    </row>
    <row r="49974" spans="43:43" x14ac:dyDescent="0.2">
      <c r="AQ49974" s="31"/>
    </row>
    <row r="49975" spans="43:43" x14ac:dyDescent="0.2">
      <c r="AQ49975" s="31"/>
    </row>
    <row r="49976" spans="43:43" x14ac:dyDescent="0.2">
      <c r="AQ49976" s="31"/>
    </row>
    <row r="49977" spans="43:43" x14ac:dyDescent="0.2">
      <c r="AQ49977" s="31"/>
    </row>
    <row r="49978" spans="43:43" x14ac:dyDescent="0.2">
      <c r="AQ49978" s="31"/>
    </row>
    <row r="49979" spans="43:43" x14ac:dyDescent="0.2">
      <c r="AQ49979" s="31"/>
    </row>
    <row r="49980" spans="43:43" x14ac:dyDescent="0.2">
      <c r="AQ49980" s="31"/>
    </row>
    <row r="49981" spans="43:43" x14ac:dyDescent="0.2">
      <c r="AQ49981" s="31"/>
    </row>
    <row r="49982" spans="43:43" x14ac:dyDescent="0.2">
      <c r="AQ49982" s="31"/>
    </row>
    <row r="49983" spans="43:43" x14ac:dyDescent="0.2">
      <c r="AQ49983" s="31"/>
    </row>
    <row r="49984" spans="43:43" x14ac:dyDescent="0.2">
      <c r="AQ49984" s="31"/>
    </row>
    <row r="49985" spans="43:43" x14ac:dyDescent="0.2">
      <c r="AQ49985" s="31"/>
    </row>
    <row r="49986" spans="43:43" x14ac:dyDescent="0.2">
      <c r="AQ49986" s="31"/>
    </row>
    <row r="49987" spans="43:43" x14ac:dyDescent="0.2">
      <c r="AQ49987" s="31"/>
    </row>
    <row r="49988" spans="43:43" x14ac:dyDescent="0.2">
      <c r="AQ49988" s="31"/>
    </row>
    <row r="49989" spans="43:43" x14ac:dyDescent="0.2">
      <c r="AQ49989" s="31"/>
    </row>
    <row r="49990" spans="43:43" x14ac:dyDescent="0.2">
      <c r="AQ49990" s="31"/>
    </row>
    <row r="49991" spans="43:43" x14ac:dyDescent="0.2">
      <c r="AQ49991" s="31"/>
    </row>
    <row r="49992" spans="43:43" x14ac:dyDescent="0.2">
      <c r="AQ49992" s="31"/>
    </row>
    <row r="49993" spans="43:43" x14ac:dyDescent="0.2">
      <c r="AQ49993" s="31"/>
    </row>
    <row r="49994" spans="43:43" x14ac:dyDescent="0.2">
      <c r="AQ49994" s="31"/>
    </row>
    <row r="49995" spans="43:43" x14ac:dyDescent="0.2">
      <c r="AQ49995" s="31"/>
    </row>
    <row r="49996" spans="43:43" x14ac:dyDescent="0.2">
      <c r="AQ49996" s="31"/>
    </row>
    <row r="49997" spans="43:43" x14ac:dyDescent="0.2">
      <c r="AQ49997" s="31"/>
    </row>
    <row r="49998" spans="43:43" x14ac:dyDescent="0.2">
      <c r="AQ49998" s="31"/>
    </row>
    <row r="49999" spans="43:43" x14ac:dyDescent="0.2">
      <c r="AQ49999" s="31"/>
    </row>
    <row r="50000" spans="43:43" x14ac:dyDescent="0.2">
      <c r="AQ50000" s="31"/>
    </row>
    <row r="50001" spans="43:43" x14ac:dyDescent="0.2">
      <c r="AQ50001" s="31"/>
    </row>
    <row r="50002" spans="43:43" x14ac:dyDescent="0.2">
      <c r="AQ50002" s="31"/>
    </row>
    <row r="50003" spans="43:43" x14ac:dyDescent="0.2">
      <c r="AQ50003" s="31"/>
    </row>
    <row r="50004" spans="43:43" x14ac:dyDescent="0.2">
      <c r="AQ50004" s="31"/>
    </row>
    <row r="50005" spans="43:43" x14ac:dyDescent="0.2">
      <c r="AQ50005" s="31"/>
    </row>
    <row r="50006" spans="43:43" x14ac:dyDescent="0.2">
      <c r="AQ50006" s="31"/>
    </row>
    <row r="50007" spans="43:43" x14ac:dyDescent="0.2">
      <c r="AQ50007" s="31"/>
    </row>
    <row r="50008" spans="43:43" x14ac:dyDescent="0.2">
      <c r="AQ50008" s="31"/>
    </row>
    <row r="50009" spans="43:43" x14ac:dyDescent="0.2">
      <c r="AQ50009" s="31"/>
    </row>
    <row r="50010" spans="43:43" x14ac:dyDescent="0.2">
      <c r="AQ50010" s="31"/>
    </row>
    <row r="50011" spans="43:43" x14ac:dyDescent="0.2">
      <c r="AQ50011" s="31"/>
    </row>
    <row r="50012" spans="43:43" x14ac:dyDescent="0.2">
      <c r="AQ50012" s="31"/>
    </row>
    <row r="50013" spans="43:43" x14ac:dyDescent="0.2">
      <c r="AQ50013" s="31"/>
    </row>
    <row r="50014" spans="43:43" x14ac:dyDescent="0.2">
      <c r="AQ50014" s="31"/>
    </row>
    <row r="50015" spans="43:43" x14ac:dyDescent="0.2">
      <c r="AQ50015" s="31"/>
    </row>
    <row r="50016" spans="43:43" x14ac:dyDescent="0.2">
      <c r="AQ50016" s="31"/>
    </row>
    <row r="50017" spans="43:43" x14ac:dyDescent="0.2">
      <c r="AQ50017" s="31"/>
    </row>
    <row r="50018" spans="43:43" x14ac:dyDescent="0.2">
      <c r="AQ50018" s="31"/>
    </row>
    <row r="50019" spans="43:43" x14ac:dyDescent="0.2">
      <c r="AQ50019" s="31"/>
    </row>
    <row r="50020" spans="43:43" x14ac:dyDescent="0.2">
      <c r="AQ50020" s="31"/>
    </row>
    <row r="50021" spans="43:43" x14ac:dyDescent="0.2">
      <c r="AQ50021" s="31"/>
    </row>
    <row r="50022" spans="43:43" x14ac:dyDescent="0.2">
      <c r="AQ50022" s="31"/>
    </row>
    <row r="50023" spans="43:43" x14ac:dyDescent="0.2">
      <c r="AQ50023" s="31"/>
    </row>
    <row r="50024" spans="43:43" x14ac:dyDescent="0.2">
      <c r="AQ50024" s="31"/>
    </row>
    <row r="50025" spans="43:43" x14ac:dyDescent="0.2">
      <c r="AQ50025" s="31"/>
    </row>
    <row r="50026" spans="43:43" x14ac:dyDescent="0.2">
      <c r="AQ50026" s="31"/>
    </row>
    <row r="50027" spans="43:43" x14ac:dyDescent="0.2">
      <c r="AQ50027" s="31"/>
    </row>
    <row r="50028" spans="43:43" x14ac:dyDescent="0.2">
      <c r="AQ50028" s="31"/>
    </row>
    <row r="50029" spans="43:43" x14ac:dyDescent="0.2">
      <c r="AQ50029" s="31"/>
    </row>
    <row r="50030" spans="43:43" x14ac:dyDescent="0.2">
      <c r="AQ50030" s="31"/>
    </row>
    <row r="50031" spans="43:43" x14ac:dyDescent="0.2">
      <c r="AQ50031" s="31"/>
    </row>
    <row r="50032" spans="43:43" x14ac:dyDescent="0.2">
      <c r="AQ50032" s="31"/>
    </row>
    <row r="50033" spans="43:43" x14ac:dyDescent="0.2">
      <c r="AQ50033" s="31"/>
    </row>
    <row r="50034" spans="43:43" x14ac:dyDescent="0.2">
      <c r="AQ50034" s="31"/>
    </row>
    <row r="50035" spans="43:43" x14ac:dyDescent="0.2">
      <c r="AQ50035" s="31"/>
    </row>
    <row r="50036" spans="43:43" x14ac:dyDescent="0.2">
      <c r="AQ50036" s="31"/>
    </row>
    <row r="50037" spans="43:43" x14ac:dyDescent="0.2">
      <c r="AQ50037" s="31"/>
    </row>
    <row r="50038" spans="43:43" x14ac:dyDescent="0.2">
      <c r="AQ50038" s="31"/>
    </row>
    <row r="50039" spans="43:43" x14ac:dyDescent="0.2">
      <c r="AQ50039" s="31"/>
    </row>
    <row r="50040" spans="43:43" x14ac:dyDescent="0.2">
      <c r="AQ50040" s="31"/>
    </row>
    <row r="50041" spans="43:43" x14ac:dyDescent="0.2">
      <c r="AQ50041" s="31"/>
    </row>
    <row r="50042" spans="43:43" x14ac:dyDescent="0.2">
      <c r="AQ50042" s="31"/>
    </row>
    <row r="50043" spans="43:43" x14ac:dyDescent="0.2">
      <c r="AQ50043" s="31"/>
    </row>
    <row r="50044" spans="43:43" x14ac:dyDescent="0.2">
      <c r="AQ50044" s="31"/>
    </row>
    <row r="50045" spans="43:43" x14ac:dyDescent="0.2">
      <c r="AQ50045" s="31"/>
    </row>
    <row r="50046" spans="43:43" x14ac:dyDescent="0.2">
      <c r="AQ50046" s="31"/>
    </row>
    <row r="50047" spans="43:43" x14ac:dyDescent="0.2">
      <c r="AQ50047" s="31"/>
    </row>
    <row r="50048" spans="43:43" x14ac:dyDescent="0.2">
      <c r="AQ50048" s="31"/>
    </row>
    <row r="50049" spans="43:43" x14ac:dyDescent="0.2">
      <c r="AQ50049" s="31"/>
    </row>
    <row r="50050" spans="43:43" x14ac:dyDescent="0.2">
      <c r="AQ50050" s="31"/>
    </row>
    <row r="50051" spans="43:43" x14ac:dyDescent="0.2">
      <c r="AQ50051" s="31"/>
    </row>
    <row r="50052" spans="43:43" x14ac:dyDescent="0.2">
      <c r="AQ50052" s="31"/>
    </row>
    <row r="50053" spans="43:43" x14ac:dyDescent="0.2">
      <c r="AQ50053" s="31"/>
    </row>
    <row r="50054" spans="43:43" x14ac:dyDescent="0.2">
      <c r="AQ50054" s="31"/>
    </row>
    <row r="50055" spans="43:43" x14ac:dyDescent="0.2">
      <c r="AQ50055" s="31"/>
    </row>
    <row r="50056" spans="43:43" x14ac:dyDescent="0.2">
      <c r="AQ50056" s="31"/>
    </row>
    <row r="50057" spans="43:43" x14ac:dyDescent="0.2">
      <c r="AQ50057" s="31"/>
    </row>
    <row r="50058" spans="43:43" x14ac:dyDescent="0.2">
      <c r="AQ50058" s="31"/>
    </row>
    <row r="50059" spans="43:43" x14ac:dyDescent="0.2">
      <c r="AQ50059" s="31"/>
    </row>
    <row r="50060" spans="43:43" x14ac:dyDescent="0.2">
      <c r="AQ50060" s="31"/>
    </row>
    <row r="50061" spans="43:43" x14ac:dyDescent="0.2">
      <c r="AQ50061" s="31"/>
    </row>
    <row r="50062" spans="43:43" x14ac:dyDescent="0.2">
      <c r="AQ50062" s="31"/>
    </row>
    <row r="50063" spans="43:43" x14ac:dyDescent="0.2">
      <c r="AQ50063" s="31"/>
    </row>
    <row r="50064" spans="43:43" x14ac:dyDescent="0.2">
      <c r="AQ50064" s="31"/>
    </row>
    <row r="50065" spans="43:43" x14ac:dyDescent="0.2">
      <c r="AQ50065" s="31"/>
    </row>
    <row r="50066" spans="43:43" x14ac:dyDescent="0.2">
      <c r="AQ50066" s="31"/>
    </row>
    <row r="50067" spans="43:43" x14ac:dyDescent="0.2">
      <c r="AQ50067" s="31"/>
    </row>
    <row r="50068" spans="43:43" x14ac:dyDescent="0.2">
      <c r="AQ50068" s="31"/>
    </row>
    <row r="50069" spans="43:43" x14ac:dyDescent="0.2">
      <c r="AQ50069" s="31"/>
    </row>
    <row r="50070" spans="43:43" x14ac:dyDescent="0.2">
      <c r="AQ50070" s="31"/>
    </row>
    <row r="50071" spans="43:43" x14ac:dyDescent="0.2">
      <c r="AQ50071" s="31"/>
    </row>
    <row r="50072" spans="43:43" x14ac:dyDescent="0.2">
      <c r="AQ50072" s="31"/>
    </row>
    <row r="50073" spans="43:43" x14ac:dyDescent="0.2">
      <c r="AQ50073" s="31"/>
    </row>
    <row r="50074" spans="43:43" x14ac:dyDescent="0.2">
      <c r="AQ50074" s="31"/>
    </row>
    <row r="50075" spans="43:43" x14ac:dyDescent="0.2">
      <c r="AQ50075" s="31"/>
    </row>
    <row r="50076" spans="43:43" x14ac:dyDescent="0.2">
      <c r="AQ50076" s="31"/>
    </row>
    <row r="50077" spans="43:43" x14ac:dyDescent="0.2">
      <c r="AQ50077" s="31"/>
    </row>
    <row r="50078" spans="43:43" x14ac:dyDescent="0.2">
      <c r="AQ50078" s="31"/>
    </row>
    <row r="50079" spans="43:43" x14ac:dyDescent="0.2">
      <c r="AQ50079" s="31"/>
    </row>
    <row r="50080" spans="43:43" x14ac:dyDescent="0.2">
      <c r="AQ50080" s="31"/>
    </row>
    <row r="50081" spans="43:43" x14ac:dyDescent="0.2">
      <c r="AQ50081" s="31"/>
    </row>
    <row r="50082" spans="43:43" x14ac:dyDescent="0.2">
      <c r="AQ50082" s="31"/>
    </row>
    <row r="50083" spans="43:43" x14ac:dyDescent="0.2">
      <c r="AQ50083" s="31"/>
    </row>
    <row r="50084" spans="43:43" x14ac:dyDescent="0.2">
      <c r="AQ50084" s="31"/>
    </row>
    <row r="50085" spans="43:43" x14ac:dyDescent="0.2">
      <c r="AQ50085" s="31"/>
    </row>
    <row r="50086" spans="43:43" x14ac:dyDescent="0.2">
      <c r="AQ50086" s="31"/>
    </row>
    <row r="50087" spans="43:43" x14ac:dyDescent="0.2">
      <c r="AQ50087" s="31"/>
    </row>
    <row r="50088" spans="43:43" x14ac:dyDescent="0.2">
      <c r="AQ50088" s="31"/>
    </row>
    <row r="50089" spans="43:43" x14ac:dyDescent="0.2">
      <c r="AQ50089" s="31"/>
    </row>
    <row r="50090" spans="43:43" x14ac:dyDescent="0.2">
      <c r="AQ50090" s="31"/>
    </row>
    <row r="50091" spans="43:43" x14ac:dyDescent="0.2">
      <c r="AQ50091" s="31"/>
    </row>
    <row r="50092" spans="43:43" x14ac:dyDescent="0.2">
      <c r="AQ50092" s="31"/>
    </row>
    <row r="50093" spans="43:43" x14ac:dyDescent="0.2">
      <c r="AQ50093" s="31"/>
    </row>
    <row r="50094" spans="43:43" x14ac:dyDescent="0.2">
      <c r="AQ50094" s="31"/>
    </row>
    <row r="50095" spans="43:43" x14ac:dyDescent="0.2">
      <c r="AQ50095" s="31"/>
    </row>
    <row r="50096" spans="43:43" x14ac:dyDescent="0.2">
      <c r="AQ50096" s="31"/>
    </row>
    <row r="50097" spans="43:43" x14ac:dyDescent="0.2">
      <c r="AQ50097" s="31"/>
    </row>
    <row r="50098" spans="43:43" x14ac:dyDescent="0.2">
      <c r="AQ50098" s="31"/>
    </row>
    <row r="50099" spans="43:43" x14ac:dyDescent="0.2">
      <c r="AQ50099" s="31"/>
    </row>
    <row r="50100" spans="43:43" x14ac:dyDescent="0.2">
      <c r="AQ50100" s="31"/>
    </row>
    <row r="50101" spans="43:43" x14ac:dyDescent="0.2">
      <c r="AQ50101" s="31"/>
    </row>
    <row r="50102" spans="43:43" x14ac:dyDescent="0.2">
      <c r="AQ50102" s="31"/>
    </row>
    <row r="50103" spans="43:43" x14ac:dyDescent="0.2">
      <c r="AQ50103" s="31"/>
    </row>
    <row r="50104" spans="43:43" x14ac:dyDescent="0.2">
      <c r="AQ50104" s="31"/>
    </row>
    <row r="50105" spans="43:43" x14ac:dyDescent="0.2">
      <c r="AQ50105" s="31"/>
    </row>
    <row r="50106" spans="43:43" x14ac:dyDescent="0.2">
      <c r="AQ50106" s="31"/>
    </row>
    <row r="50107" spans="43:43" x14ac:dyDescent="0.2">
      <c r="AQ50107" s="31"/>
    </row>
    <row r="50108" spans="43:43" x14ac:dyDescent="0.2">
      <c r="AQ50108" s="31"/>
    </row>
    <row r="50109" spans="43:43" x14ac:dyDescent="0.2">
      <c r="AQ50109" s="31"/>
    </row>
    <row r="50110" spans="43:43" x14ac:dyDescent="0.2">
      <c r="AQ50110" s="31"/>
    </row>
    <row r="50111" spans="43:43" x14ac:dyDescent="0.2">
      <c r="AQ50111" s="31"/>
    </row>
    <row r="50112" spans="43:43" x14ac:dyDescent="0.2">
      <c r="AQ50112" s="31"/>
    </row>
    <row r="50113" spans="43:43" x14ac:dyDescent="0.2">
      <c r="AQ50113" s="31"/>
    </row>
    <row r="50114" spans="43:43" x14ac:dyDescent="0.2">
      <c r="AQ50114" s="31"/>
    </row>
    <row r="50115" spans="43:43" x14ac:dyDescent="0.2">
      <c r="AQ50115" s="31"/>
    </row>
    <row r="50116" spans="43:43" x14ac:dyDescent="0.2">
      <c r="AQ50116" s="31"/>
    </row>
    <row r="50117" spans="43:43" x14ac:dyDescent="0.2">
      <c r="AQ50117" s="31"/>
    </row>
    <row r="50118" spans="43:43" x14ac:dyDescent="0.2">
      <c r="AQ50118" s="31"/>
    </row>
    <row r="50119" spans="43:43" x14ac:dyDescent="0.2">
      <c r="AQ50119" s="31"/>
    </row>
    <row r="50120" spans="43:43" x14ac:dyDescent="0.2">
      <c r="AQ50120" s="31"/>
    </row>
    <row r="50121" spans="43:43" x14ac:dyDescent="0.2">
      <c r="AQ50121" s="31"/>
    </row>
    <row r="50122" spans="43:43" x14ac:dyDescent="0.2">
      <c r="AQ50122" s="31"/>
    </row>
    <row r="50123" spans="43:43" x14ac:dyDescent="0.2">
      <c r="AQ50123" s="31"/>
    </row>
    <row r="50124" spans="43:43" x14ac:dyDescent="0.2">
      <c r="AQ50124" s="31"/>
    </row>
    <row r="50125" spans="43:43" x14ac:dyDescent="0.2">
      <c r="AQ50125" s="31"/>
    </row>
    <row r="50126" spans="43:43" x14ac:dyDescent="0.2">
      <c r="AQ50126" s="31"/>
    </row>
    <row r="50127" spans="43:43" x14ac:dyDescent="0.2">
      <c r="AQ50127" s="31"/>
    </row>
    <row r="50128" spans="43:43" x14ac:dyDescent="0.2">
      <c r="AQ50128" s="31"/>
    </row>
    <row r="50129" spans="43:43" x14ac:dyDescent="0.2">
      <c r="AQ50129" s="31"/>
    </row>
    <row r="50130" spans="43:43" x14ac:dyDescent="0.2">
      <c r="AQ50130" s="31"/>
    </row>
    <row r="50131" spans="43:43" x14ac:dyDescent="0.2">
      <c r="AQ50131" s="31"/>
    </row>
    <row r="50132" spans="43:43" x14ac:dyDescent="0.2">
      <c r="AQ50132" s="31"/>
    </row>
    <row r="50133" spans="43:43" x14ac:dyDescent="0.2">
      <c r="AQ50133" s="31"/>
    </row>
    <row r="50134" spans="43:43" x14ac:dyDescent="0.2">
      <c r="AQ50134" s="31"/>
    </row>
    <row r="50135" spans="43:43" x14ac:dyDescent="0.2">
      <c r="AQ50135" s="31"/>
    </row>
    <row r="50136" spans="43:43" x14ac:dyDescent="0.2">
      <c r="AQ50136" s="31"/>
    </row>
    <row r="50137" spans="43:43" x14ac:dyDescent="0.2">
      <c r="AQ50137" s="31"/>
    </row>
    <row r="50138" spans="43:43" x14ac:dyDescent="0.2">
      <c r="AQ50138" s="31"/>
    </row>
    <row r="50139" spans="43:43" x14ac:dyDescent="0.2">
      <c r="AQ50139" s="31"/>
    </row>
    <row r="50140" spans="43:43" x14ac:dyDescent="0.2">
      <c r="AQ50140" s="31"/>
    </row>
    <row r="50141" spans="43:43" x14ac:dyDescent="0.2">
      <c r="AQ50141" s="31"/>
    </row>
    <row r="50142" spans="43:43" x14ac:dyDescent="0.2">
      <c r="AQ50142" s="31"/>
    </row>
    <row r="50143" spans="43:43" x14ac:dyDescent="0.2">
      <c r="AQ50143" s="31"/>
    </row>
    <row r="50144" spans="43:43" x14ac:dyDescent="0.2">
      <c r="AQ50144" s="31"/>
    </row>
    <row r="50145" spans="43:43" x14ac:dyDescent="0.2">
      <c r="AQ50145" s="31"/>
    </row>
    <row r="50146" spans="43:43" x14ac:dyDescent="0.2">
      <c r="AQ50146" s="31"/>
    </row>
    <row r="50147" spans="43:43" x14ac:dyDescent="0.2">
      <c r="AQ50147" s="31"/>
    </row>
    <row r="50148" spans="43:43" x14ac:dyDescent="0.2">
      <c r="AQ50148" s="31"/>
    </row>
    <row r="50149" spans="43:43" x14ac:dyDescent="0.2">
      <c r="AQ50149" s="31"/>
    </row>
    <row r="50150" spans="43:43" x14ac:dyDescent="0.2">
      <c r="AQ50150" s="31"/>
    </row>
    <row r="50151" spans="43:43" x14ac:dyDescent="0.2">
      <c r="AQ50151" s="31"/>
    </row>
    <row r="50152" spans="43:43" x14ac:dyDescent="0.2">
      <c r="AQ50152" s="31"/>
    </row>
    <row r="50153" spans="43:43" x14ac:dyDescent="0.2">
      <c r="AQ50153" s="31"/>
    </row>
    <row r="50154" spans="43:43" x14ac:dyDescent="0.2">
      <c r="AQ50154" s="31"/>
    </row>
    <row r="50155" spans="43:43" x14ac:dyDescent="0.2">
      <c r="AQ50155" s="31"/>
    </row>
    <row r="50156" spans="43:43" x14ac:dyDescent="0.2">
      <c r="AQ50156" s="31"/>
    </row>
    <row r="50157" spans="43:43" x14ac:dyDescent="0.2">
      <c r="AQ50157" s="31"/>
    </row>
    <row r="50158" spans="43:43" x14ac:dyDescent="0.2">
      <c r="AQ50158" s="31"/>
    </row>
    <row r="50159" spans="43:43" x14ac:dyDescent="0.2">
      <c r="AQ50159" s="31"/>
    </row>
    <row r="50160" spans="43:43" x14ac:dyDescent="0.2">
      <c r="AQ50160" s="31"/>
    </row>
    <row r="50161" spans="43:43" x14ac:dyDescent="0.2">
      <c r="AQ50161" s="31"/>
    </row>
    <row r="50162" spans="43:43" x14ac:dyDescent="0.2">
      <c r="AQ50162" s="31"/>
    </row>
    <row r="50163" spans="43:43" x14ac:dyDescent="0.2">
      <c r="AQ50163" s="31"/>
    </row>
    <row r="50164" spans="43:43" x14ac:dyDescent="0.2">
      <c r="AQ50164" s="31"/>
    </row>
    <row r="50165" spans="43:43" x14ac:dyDescent="0.2">
      <c r="AQ50165" s="31"/>
    </row>
    <row r="50166" spans="43:43" x14ac:dyDescent="0.2">
      <c r="AQ50166" s="31"/>
    </row>
    <row r="50167" spans="43:43" x14ac:dyDescent="0.2">
      <c r="AQ50167" s="31"/>
    </row>
    <row r="50168" spans="43:43" x14ac:dyDescent="0.2">
      <c r="AQ50168" s="31"/>
    </row>
    <row r="50169" spans="43:43" x14ac:dyDescent="0.2">
      <c r="AQ50169" s="31"/>
    </row>
    <row r="50170" spans="43:43" x14ac:dyDescent="0.2">
      <c r="AQ50170" s="31"/>
    </row>
    <row r="50171" spans="43:43" x14ac:dyDescent="0.2">
      <c r="AQ50171" s="31"/>
    </row>
    <row r="50172" spans="43:43" x14ac:dyDescent="0.2">
      <c r="AQ50172" s="31"/>
    </row>
    <row r="50173" spans="43:43" x14ac:dyDescent="0.2">
      <c r="AQ50173" s="31"/>
    </row>
    <row r="50174" spans="43:43" x14ac:dyDescent="0.2">
      <c r="AQ50174" s="31"/>
    </row>
    <row r="50175" spans="43:43" x14ac:dyDescent="0.2">
      <c r="AQ50175" s="31"/>
    </row>
    <row r="50176" spans="43:43" x14ac:dyDescent="0.2">
      <c r="AQ50176" s="31"/>
    </row>
    <row r="50177" spans="43:43" x14ac:dyDescent="0.2">
      <c r="AQ50177" s="31"/>
    </row>
    <row r="50178" spans="43:43" x14ac:dyDescent="0.2">
      <c r="AQ50178" s="31"/>
    </row>
    <row r="50179" spans="43:43" x14ac:dyDescent="0.2">
      <c r="AQ50179" s="31"/>
    </row>
    <row r="50180" spans="43:43" x14ac:dyDescent="0.2">
      <c r="AQ50180" s="31"/>
    </row>
    <row r="50181" spans="43:43" x14ac:dyDescent="0.2">
      <c r="AQ50181" s="31"/>
    </row>
    <row r="50182" spans="43:43" x14ac:dyDescent="0.2">
      <c r="AQ50182" s="31"/>
    </row>
    <row r="50183" spans="43:43" x14ac:dyDescent="0.2">
      <c r="AQ50183" s="31"/>
    </row>
    <row r="50184" spans="43:43" x14ac:dyDescent="0.2">
      <c r="AQ50184" s="31"/>
    </row>
    <row r="50185" spans="43:43" x14ac:dyDescent="0.2">
      <c r="AQ50185" s="31"/>
    </row>
    <row r="50186" spans="43:43" x14ac:dyDescent="0.2">
      <c r="AQ50186" s="31"/>
    </row>
    <row r="50187" spans="43:43" x14ac:dyDescent="0.2">
      <c r="AQ50187" s="31"/>
    </row>
    <row r="50188" spans="43:43" x14ac:dyDescent="0.2">
      <c r="AQ50188" s="31"/>
    </row>
    <row r="50189" spans="43:43" x14ac:dyDescent="0.2">
      <c r="AQ50189" s="31"/>
    </row>
    <row r="50190" spans="43:43" x14ac:dyDescent="0.2">
      <c r="AQ50190" s="31"/>
    </row>
    <row r="50191" spans="43:43" x14ac:dyDescent="0.2">
      <c r="AQ50191" s="31"/>
    </row>
    <row r="50192" spans="43:43" x14ac:dyDescent="0.2">
      <c r="AQ50192" s="31"/>
    </row>
    <row r="50193" spans="43:43" x14ac:dyDescent="0.2">
      <c r="AQ50193" s="31"/>
    </row>
    <row r="50194" spans="43:43" x14ac:dyDescent="0.2">
      <c r="AQ50194" s="31"/>
    </row>
    <row r="50195" spans="43:43" x14ac:dyDescent="0.2">
      <c r="AQ50195" s="31"/>
    </row>
    <row r="50196" spans="43:43" x14ac:dyDescent="0.2">
      <c r="AQ50196" s="31"/>
    </row>
    <row r="50197" spans="43:43" x14ac:dyDescent="0.2">
      <c r="AQ50197" s="31"/>
    </row>
    <row r="50198" spans="43:43" x14ac:dyDescent="0.2">
      <c r="AQ50198" s="31"/>
    </row>
    <row r="50199" spans="43:43" x14ac:dyDescent="0.2">
      <c r="AQ50199" s="31"/>
    </row>
    <row r="50200" spans="43:43" x14ac:dyDescent="0.2">
      <c r="AQ50200" s="31"/>
    </row>
    <row r="50201" spans="43:43" x14ac:dyDescent="0.2">
      <c r="AQ50201" s="31"/>
    </row>
    <row r="50202" spans="43:43" x14ac:dyDescent="0.2">
      <c r="AQ50202" s="31"/>
    </row>
    <row r="50203" spans="43:43" x14ac:dyDescent="0.2">
      <c r="AQ50203" s="31"/>
    </row>
    <row r="50204" spans="43:43" x14ac:dyDescent="0.2">
      <c r="AQ50204" s="31"/>
    </row>
    <row r="50205" spans="43:43" x14ac:dyDescent="0.2">
      <c r="AQ50205" s="31"/>
    </row>
    <row r="50206" spans="43:43" x14ac:dyDescent="0.2">
      <c r="AQ50206" s="31"/>
    </row>
    <row r="50207" spans="43:43" x14ac:dyDescent="0.2">
      <c r="AQ50207" s="31"/>
    </row>
    <row r="50208" spans="43:43" x14ac:dyDescent="0.2">
      <c r="AQ50208" s="31"/>
    </row>
    <row r="50209" spans="43:43" x14ac:dyDescent="0.2">
      <c r="AQ50209" s="31"/>
    </row>
    <row r="50210" spans="43:43" x14ac:dyDescent="0.2">
      <c r="AQ50210" s="31"/>
    </row>
    <row r="50211" spans="43:43" x14ac:dyDescent="0.2">
      <c r="AQ50211" s="31"/>
    </row>
    <row r="50212" spans="43:43" x14ac:dyDescent="0.2">
      <c r="AQ50212" s="31"/>
    </row>
    <row r="50213" spans="43:43" x14ac:dyDescent="0.2">
      <c r="AQ50213" s="31"/>
    </row>
    <row r="50214" spans="43:43" x14ac:dyDescent="0.2">
      <c r="AQ50214" s="31"/>
    </row>
    <row r="50215" spans="43:43" x14ac:dyDescent="0.2">
      <c r="AQ50215" s="31"/>
    </row>
    <row r="50216" spans="43:43" x14ac:dyDescent="0.2">
      <c r="AQ50216" s="31"/>
    </row>
    <row r="50217" spans="43:43" x14ac:dyDescent="0.2">
      <c r="AQ50217" s="31"/>
    </row>
    <row r="50218" spans="43:43" x14ac:dyDescent="0.2">
      <c r="AQ50218" s="31"/>
    </row>
    <row r="50219" spans="43:43" x14ac:dyDescent="0.2">
      <c r="AQ50219" s="31"/>
    </row>
    <row r="50220" spans="43:43" x14ac:dyDescent="0.2">
      <c r="AQ50220" s="31"/>
    </row>
    <row r="50221" spans="43:43" x14ac:dyDescent="0.2">
      <c r="AQ50221" s="31"/>
    </row>
    <row r="50222" spans="43:43" x14ac:dyDescent="0.2">
      <c r="AQ50222" s="31"/>
    </row>
    <row r="50223" spans="43:43" x14ac:dyDescent="0.2">
      <c r="AQ50223" s="31"/>
    </row>
    <row r="50224" spans="43:43" x14ac:dyDescent="0.2">
      <c r="AQ50224" s="31"/>
    </row>
    <row r="50225" spans="43:43" x14ac:dyDescent="0.2">
      <c r="AQ50225" s="31"/>
    </row>
    <row r="50226" spans="43:43" x14ac:dyDescent="0.2">
      <c r="AQ50226" s="31"/>
    </row>
    <row r="50227" spans="43:43" x14ac:dyDescent="0.2">
      <c r="AQ50227" s="31"/>
    </row>
    <row r="50228" spans="43:43" x14ac:dyDescent="0.2">
      <c r="AQ50228" s="31"/>
    </row>
    <row r="50229" spans="43:43" x14ac:dyDescent="0.2">
      <c r="AQ50229" s="31"/>
    </row>
    <row r="50230" spans="43:43" x14ac:dyDescent="0.2">
      <c r="AQ50230" s="31"/>
    </row>
    <row r="50231" spans="43:43" x14ac:dyDescent="0.2">
      <c r="AQ50231" s="31"/>
    </row>
    <row r="50232" spans="43:43" x14ac:dyDescent="0.2">
      <c r="AQ50232" s="31"/>
    </row>
    <row r="50233" spans="43:43" x14ac:dyDescent="0.2">
      <c r="AQ50233" s="31"/>
    </row>
    <row r="50234" spans="43:43" x14ac:dyDescent="0.2">
      <c r="AQ50234" s="31"/>
    </row>
    <row r="50235" spans="43:43" x14ac:dyDescent="0.2">
      <c r="AQ50235" s="31"/>
    </row>
    <row r="50236" spans="43:43" x14ac:dyDescent="0.2">
      <c r="AQ50236" s="31"/>
    </row>
    <row r="50237" spans="43:43" x14ac:dyDescent="0.2">
      <c r="AQ50237" s="31"/>
    </row>
    <row r="50238" spans="43:43" x14ac:dyDescent="0.2">
      <c r="AQ50238" s="31"/>
    </row>
    <row r="50239" spans="43:43" x14ac:dyDescent="0.2">
      <c r="AQ50239" s="31"/>
    </row>
    <row r="50240" spans="43:43" x14ac:dyDescent="0.2">
      <c r="AQ50240" s="31"/>
    </row>
    <row r="50241" spans="43:43" x14ac:dyDescent="0.2">
      <c r="AQ50241" s="31"/>
    </row>
    <row r="50242" spans="43:43" x14ac:dyDescent="0.2">
      <c r="AQ50242" s="31"/>
    </row>
    <row r="50243" spans="43:43" x14ac:dyDescent="0.2">
      <c r="AQ50243" s="31"/>
    </row>
    <row r="50244" spans="43:43" x14ac:dyDescent="0.2">
      <c r="AQ50244" s="31"/>
    </row>
    <row r="50245" spans="43:43" x14ac:dyDescent="0.2">
      <c r="AQ50245" s="31"/>
    </row>
    <row r="50246" spans="43:43" x14ac:dyDescent="0.2">
      <c r="AQ50246" s="31"/>
    </row>
    <row r="50247" spans="43:43" x14ac:dyDescent="0.2">
      <c r="AQ50247" s="31"/>
    </row>
    <row r="50248" spans="43:43" x14ac:dyDescent="0.2">
      <c r="AQ50248" s="31"/>
    </row>
    <row r="50249" spans="43:43" x14ac:dyDescent="0.2">
      <c r="AQ50249" s="31"/>
    </row>
    <row r="50250" spans="43:43" x14ac:dyDescent="0.2">
      <c r="AQ50250" s="31"/>
    </row>
    <row r="50251" spans="43:43" x14ac:dyDescent="0.2">
      <c r="AQ50251" s="31"/>
    </row>
    <row r="50252" spans="43:43" x14ac:dyDescent="0.2">
      <c r="AQ50252" s="31"/>
    </row>
    <row r="50253" spans="43:43" x14ac:dyDescent="0.2">
      <c r="AQ50253" s="31"/>
    </row>
    <row r="50254" spans="43:43" x14ac:dyDescent="0.2">
      <c r="AQ50254" s="31"/>
    </row>
    <row r="50255" spans="43:43" x14ac:dyDescent="0.2">
      <c r="AQ50255" s="31"/>
    </row>
    <row r="50256" spans="43:43" x14ac:dyDescent="0.2">
      <c r="AQ50256" s="31"/>
    </row>
    <row r="50257" spans="43:43" x14ac:dyDescent="0.2">
      <c r="AQ50257" s="31"/>
    </row>
    <row r="50258" spans="43:43" x14ac:dyDescent="0.2">
      <c r="AQ50258" s="31"/>
    </row>
    <row r="50259" spans="43:43" x14ac:dyDescent="0.2">
      <c r="AQ50259" s="31"/>
    </row>
    <row r="50260" spans="43:43" x14ac:dyDescent="0.2">
      <c r="AQ50260" s="31"/>
    </row>
    <row r="50261" spans="43:43" x14ac:dyDescent="0.2">
      <c r="AQ50261" s="31"/>
    </row>
    <row r="50262" spans="43:43" x14ac:dyDescent="0.2">
      <c r="AQ50262" s="31"/>
    </row>
    <row r="50263" spans="43:43" x14ac:dyDescent="0.2">
      <c r="AQ50263" s="31"/>
    </row>
    <row r="50264" spans="43:43" x14ac:dyDescent="0.2">
      <c r="AQ50264" s="31"/>
    </row>
    <row r="50265" spans="43:43" x14ac:dyDescent="0.2">
      <c r="AQ50265" s="31"/>
    </row>
    <row r="50266" spans="43:43" x14ac:dyDescent="0.2">
      <c r="AQ50266" s="31"/>
    </row>
    <row r="50267" spans="43:43" x14ac:dyDescent="0.2">
      <c r="AQ50267" s="31"/>
    </row>
    <row r="50268" spans="43:43" x14ac:dyDescent="0.2">
      <c r="AQ50268" s="31"/>
    </row>
    <row r="50269" spans="43:43" x14ac:dyDescent="0.2">
      <c r="AQ50269" s="31"/>
    </row>
    <row r="50270" spans="43:43" x14ac:dyDescent="0.2">
      <c r="AQ50270" s="31"/>
    </row>
    <row r="50271" spans="43:43" x14ac:dyDescent="0.2">
      <c r="AQ50271" s="31"/>
    </row>
    <row r="50272" spans="43:43" x14ac:dyDescent="0.2">
      <c r="AQ50272" s="31"/>
    </row>
    <row r="50273" spans="43:43" x14ac:dyDescent="0.2">
      <c r="AQ50273" s="31"/>
    </row>
    <row r="50274" spans="43:43" x14ac:dyDescent="0.2">
      <c r="AQ50274" s="31"/>
    </row>
    <row r="50275" spans="43:43" x14ac:dyDescent="0.2">
      <c r="AQ50275" s="31"/>
    </row>
    <row r="50276" spans="43:43" x14ac:dyDescent="0.2">
      <c r="AQ50276" s="31"/>
    </row>
    <row r="50277" spans="43:43" x14ac:dyDescent="0.2">
      <c r="AQ50277" s="31"/>
    </row>
    <row r="50278" spans="43:43" x14ac:dyDescent="0.2">
      <c r="AQ50278" s="31"/>
    </row>
    <row r="50279" spans="43:43" x14ac:dyDescent="0.2">
      <c r="AQ50279" s="31"/>
    </row>
    <row r="50280" spans="43:43" x14ac:dyDescent="0.2">
      <c r="AQ50280" s="31"/>
    </row>
    <row r="50281" spans="43:43" x14ac:dyDescent="0.2">
      <c r="AQ50281" s="31"/>
    </row>
    <row r="50282" spans="43:43" x14ac:dyDescent="0.2">
      <c r="AQ50282" s="31"/>
    </row>
    <row r="50283" spans="43:43" x14ac:dyDescent="0.2">
      <c r="AQ50283" s="31"/>
    </row>
    <row r="50284" spans="43:43" x14ac:dyDescent="0.2">
      <c r="AQ50284" s="31"/>
    </row>
    <row r="50285" spans="43:43" x14ac:dyDescent="0.2">
      <c r="AQ50285" s="31"/>
    </row>
    <row r="50286" spans="43:43" x14ac:dyDescent="0.2">
      <c r="AQ50286" s="31"/>
    </row>
    <row r="50287" spans="43:43" x14ac:dyDescent="0.2">
      <c r="AQ50287" s="31"/>
    </row>
    <row r="50288" spans="43:43" x14ac:dyDescent="0.2">
      <c r="AQ50288" s="31"/>
    </row>
    <row r="50289" spans="43:43" x14ac:dyDescent="0.2">
      <c r="AQ50289" s="31"/>
    </row>
    <row r="50290" spans="43:43" x14ac:dyDescent="0.2">
      <c r="AQ50290" s="31"/>
    </row>
    <row r="50291" spans="43:43" x14ac:dyDescent="0.2">
      <c r="AQ50291" s="31"/>
    </row>
    <row r="50292" spans="43:43" x14ac:dyDescent="0.2">
      <c r="AQ50292" s="31"/>
    </row>
    <row r="50293" spans="43:43" x14ac:dyDescent="0.2">
      <c r="AQ50293" s="31"/>
    </row>
    <row r="50294" spans="43:43" x14ac:dyDescent="0.2">
      <c r="AQ50294" s="31"/>
    </row>
    <row r="50295" spans="43:43" x14ac:dyDescent="0.2">
      <c r="AQ50295" s="31"/>
    </row>
    <row r="50296" spans="43:43" x14ac:dyDescent="0.2">
      <c r="AQ50296" s="31"/>
    </row>
    <row r="50297" spans="43:43" x14ac:dyDescent="0.2">
      <c r="AQ50297" s="31"/>
    </row>
    <row r="50298" spans="43:43" x14ac:dyDescent="0.2">
      <c r="AQ50298" s="31"/>
    </row>
    <row r="50299" spans="43:43" x14ac:dyDescent="0.2">
      <c r="AQ50299" s="31"/>
    </row>
    <row r="50300" spans="43:43" x14ac:dyDescent="0.2">
      <c r="AQ50300" s="31"/>
    </row>
    <row r="50301" spans="43:43" x14ac:dyDescent="0.2">
      <c r="AQ50301" s="31"/>
    </row>
    <row r="50302" spans="43:43" x14ac:dyDescent="0.2">
      <c r="AQ50302" s="31"/>
    </row>
    <row r="50303" spans="43:43" x14ac:dyDescent="0.2">
      <c r="AQ50303" s="31"/>
    </row>
    <row r="50304" spans="43:43" x14ac:dyDescent="0.2">
      <c r="AQ50304" s="31"/>
    </row>
    <row r="50305" spans="43:43" x14ac:dyDescent="0.2">
      <c r="AQ50305" s="31"/>
    </row>
    <row r="50306" spans="43:43" x14ac:dyDescent="0.2">
      <c r="AQ50306" s="31"/>
    </row>
    <row r="50307" spans="43:43" x14ac:dyDescent="0.2">
      <c r="AQ50307" s="31"/>
    </row>
    <row r="50308" spans="43:43" x14ac:dyDescent="0.2">
      <c r="AQ50308" s="31"/>
    </row>
    <row r="50309" spans="43:43" x14ac:dyDescent="0.2">
      <c r="AQ50309" s="31"/>
    </row>
    <row r="50310" spans="43:43" x14ac:dyDescent="0.2">
      <c r="AQ50310" s="31"/>
    </row>
    <row r="50311" spans="43:43" x14ac:dyDescent="0.2">
      <c r="AQ50311" s="31"/>
    </row>
    <row r="50312" spans="43:43" x14ac:dyDescent="0.2">
      <c r="AQ50312" s="31"/>
    </row>
    <row r="50313" spans="43:43" x14ac:dyDescent="0.2">
      <c r="AQ50313" s="31"/>
    </row>
    <row r="50314" spans="43:43" x14ac:dyDescent="0.2">
      <c r="AQ50314" s="31"/>
    </row>
    <row r="50315" spans="43:43" x14ac:dyDescent="0.2">
      <c r="AQ50315" s="31"/>
    </row>
    <row r="50316" spans="43:43" x14ac:dyDescent="0.2">
      <c r="AQ50316" s="31"/>
    </row>
    <row r="50317" spans="43:43" x14ac:dyDescent="0.2">
      <c r="AQ50317" s="31"/>
    </row>
    <row r="50318" spans="43:43" x14ac:dyDescent="0.2">
      <c r="AQ50318" s="31"/>
    </row>
    <row r="50319" spans="43:43" x14ac:dyDescent="0.2">
      <c r="AQ50319" s="31"/>
    </row>
    <row r="50320" spans="43:43" x14ac:dyDescent="0.2">
      <c r="AQ50320" s="31"/>
    </row>
    <row r="50321" spans="43:43" x14ac:dyDescent="0.2">
      <c r="AQ50321" s="31"/>
    </row>
    <row r="50322" spans="43:43" x14ac:dyDescent="0.2">
      <c r="AQ50322" s="31"/>
    </row>
    <row r="50323" spans="43:43" x14ac:dyDescent="0.2">
      <c r="AQ50323" s="31"/>
    </row>
    <row r="50324" spans="43:43" x14ac:dyDescent="0.2">
      <c r="AQ50324" s="31"/>
    </row>
    <row r="50325" spans="43:43" x14ac:dyDescent="0.2">
      <c r="AQ50325" s="31"/>
    </row>
    <row r="50326" spans="43:43" x14ac:dyDescent="0.2">
      <c r="AQ50326" s="31"/>
    </row>
    <row r="50327" spans="43:43" x14ac:dyDescent="0.2">
      <c r="AQ50327" s="31"/>
    </row>
    <row r="50328" spans="43:43" x14ac:dyDescent="0.2">
      <c r="AQ50328" s="31"/>
    </row>
    <row r="50329" spans="43:43" x14ac:dyDescent="0.2">
      <c r="AQ50329" s="31"/>
    </row>
    <row r="50330" spans="43:43" x14ac:dyDescent="0.2">
      <c r="AQ50330" s="31"/>
    </row>
    <row r="50331" spans="43:43" x14ac:dyDescent="0.2">
      <c r="AQ50331" s="31"/>
    </row>
    <row r="50332" spans="43:43" x14ac:dyDescent="0.2">
      <c r="AQ50332" s="31"/>
    </row>
    <row r="50333" spans="43:43" x14ac:dyDescent="0.2">
      <c r="AQ50333" s="31"/>
    </row>
    <row r="50334" spans="43:43" x14ac:dyDescent="0.2">
      <c r="AQ50334" s="31"/>
    </row>
    <row r="50335" spans="43:43" x14ac:dyDescent="0.2">
      <c r="AQ50335" s="31"/>
    </row>
    <row r="50336" spans="43:43" x14ac:dyDescent="0.2">
      <c r="AQ50336" s="31"/>
    </row>
    <row r="50337" spans="43:43" x14ac:dyDescent="0.2">
      <c r="AQ50337" s="31"/>
    </row>
    <row r="50338" spans="43:43" x14ac:dyDescent="0.2">
      <c r="AQ50338" s="31"/>
    </row>
    <row r="50339" spans="43:43" x14ac:dyDescent="0.2">
      <c r="AQ50339" s="31"/>
    </row>
    <row r="50340" spans="43:43" x14ac:dyDescent="0.2">
      <c r="AQ50340" s="31"/>
    </row>
    <row r="50341" spans="43:43" x14ac:dyDescent="0.2">
      <c r="AQ50341" s="31"/>
    </row>
    <row r="50342" spans="43:43" x14ac:dyDescent="0.2">
      <c r="AQ50342" s="31"/>
    </row>
    <row r="50343" spans="43:43" x14ac:dyDescent="0.2">
      <c r="AQ50343" s="31"/>
    </row>
    <row r="50344" spans="43:43" x14ac:dyDescent="0.2">
      <c r="AQ50344" s="31"/>
    </row>
    <row r="50345" spans="43:43" x14ac:dyDescent="0.2">
      <c r="AQ50345" s="31"/>
    </row>
    <row r="50346" spans="43:43" x14ac:dyDescent="0.2">
      <c r="AQ50346" s="31"/>
    </row>
    <row r="50347" spans="43:43" x14ac:dyDescent="0.2">
      <c r="AQ50347" s="31"/>
    </row>
    <row r="50348" spans="43:43" x14ac:dyDescent="0.2">
      <c r="AQ50348" s="31"/>
    </row>
    <row r="50349" spans="43:43" x14ac:dyDescent="0.2">
      <c r="AQ50349" s="31"/>
    </row>
    <row r="50350" spans="43:43" x14ac:dyDescent="0.2">
      <c r="AQ50350" s="31"/>
    </row>
    <row r="50351" spans="43:43" x14ac:dyDescent="0.2">
      <c r="AQ50351" s="31"/>
    </row>
    <row r="50352" spans="43:43" x14ac:dyDescent="0.2">
      <c r="AQ50352" s="31"/>
    </row>
    <row r="50353" spans="43:43" x14ac:dyDescent="0.2">
      <c r="AQ50353" s="31"/>
    </row>
    <row r="50354" spans="43:43" x14ac:dyDescent="0.2">
      <c r="AQ50354" s="31"/>
    </row>
    <row r="50355" spans="43:43" x14ac:dyDescent="0.2">
      <c r="AQ50355" s="31"/>
    </row>
    <row r="50356" spans="43:43" x14ac:dyDescent="0.2">
      <c r="AQ50356" s="31"/>
    </row>
    <row r="50357" spans="43:43" x14ac:dyDescent="0.2">
      <c r="AQ50357" s="31"/>
    </row>
    <row r="50358" spans="43:43" x14ac:dyDescent="0.2">
      <c r="AQ50358" s="31"/>
    </row>
    <row r="50359" spans="43:43" x14ac:dyDescent="0.2">
      <c r="AQ50359" s="31"/>
    </row>
    <row r="50360" spans="43:43" x14ac:dyDescent="0.2">
      <c r="AQ50360" s="31"/>
    </row>
    <row r="50361" spans="43:43" x14ac:dyDescent="0.2">
      <c r="AQ50361" s="31"/>
    </row>
    <row r="50362" spans="43:43" x14ac:dyDescent="0.2">
      <c r="AQ50362" s="31"/>
    </row>
    <row r="50363" spans="43:43" x14ac:dyDescent="0.2">
      <c r="AQ50363" s="31"/>
    </row>
    <row r="50364" spans="43:43" x14ac:dyDescent="0.2">
      <c r="AQ50364" s="31"/>
    </row>
    <row r="50365" spans="43:43" x14ac:dyDescent="0.2">
      <c r="AQ50365" s="31"/>
    </row>
    <row r="50366" spans="43:43" x14ac:dyDescent="0.2">
      <c r="AQ50366" s="31"/>
    </row>
    <row r="50367" spans="43:43" x14ac:dyDescent="0.2">
      <c r="AQ50367" s="31"/>
    </row>
    <row r="50368" spans="43:43" x14ac:dyDescent="0.2">
      <c r="AQ50368" s="31"/>
    </row>
    <row r="50369" spans="43:43" x14ac:dyDescent="0.2">
      <c r="AQ50369" s="31"/>
    </row>
    <row r="50370" spans="43:43" x14ac:dyDescent="0.2">
      <c r="AQ50370" s="31"/>
    </row>
    <row r="50371" spans="43:43" x14ac:dyDescent="0.2">
      <c r="AQ50371" s="31"/>
    </row>
    <row r="50372" spans="43:43" x14ac:dyDescent="0.2">
      <c r="AQ50372" s="31"/>
    </row>
    <row r="50373" spans="43:43" x14ac:dyDescent="0.2">
      <c r="AQ50373" s="31"/>
    </row>
    <row r="50374" spans="43:43" x14ac:dyDescent="0.2">
      <c r="AQ50374" s="31"/>
    </row>
    <row r="50375" spans="43:43" x14ac:dyDescent="0.2">
      <c r="AQ50375" s="31"/>
    </row>
    <row r="50376" spans="43:43" x14ac:dyDescent="0.2">
      <c r="AQ50376" s="31"/>
    </row>
    <row r="50377" spans="43:43" x14ac:dyDescent="0.2">
      <c r="AQ50377" s="31"/>
    </row>
    <row r="50378" spans="43:43" x14ac:dyDescent="0.2">
      <c r="AQ50378" s="31"/>
    </row>
    <row r="50379" spans="43:43" x14ac:dyDescent="0.2">
      <c r="AQ50379" s="31"/>
    </row>
    <row r="50380" spans="43:43" x14ac:dyDescent="0.2">
      <c r="AQ50380" s="31"/>
    </row>
    <row r="50381" spans="43:43" x14ac:dyDescent="0.2">
      <c r="AQ50381" s="31"/>
    </row>
    <row r="50382" spans="43:43" x14ac:dyDescent="0.2">
      <c r="AQ50382" s="31"/>
    </row>
    <row r="50383" spans="43:43" x14ac:dyDescent="0.2">
      <c r="AQ50383" s="31"/>
    </row>
    <row r="50384" spans="43:43" x14ac:dyDescent="0.2">
      <c r="AQ50384" s="31"/>
    </row>
    <row r="50385" spans="43:43" x14ac:dyDescent="0.2">
      <c r="AQ50385" s="31"/>
    </row>
    <row r="50386" spans="43:43" x14ac:dyDescent="0.2">
      <c r="AQ50386" s="31"/>
    </row>
    <row r="50387" spans="43:43" x14ac:dyDescent="0.2">
      <c r="AQ50387" s="31"/>
    </row>
    <row r="50388" spans="43:43" x14ac:dyDescent="0.2">
      <c r="AQ50388" s="31"/>
    </row>
    <row r="50389" spans="43:43" x14ac:dyDescent="0.2">
      <c r="AQ50389" s="31"/>
    </row>
    <row r="50390" spans="43:43" x14ac:dyDescent="0.2">
      <c r="AQ50390" s="31"/>
    </row>
    <row r="50391" spans="43:43" x14ac:dyDescent="0.2">
      <c r="AQ50391" s="31"/>
    </row>
    <row r="50392" spans="43:43" x14ac:dyDescent="0.2">
      <c r="AQ50392" s="31"/>
    </row>
    <row r="50393" spans="43:43" x14ac:dyDescent="0.2">
      <c r="AQ50393" s="31"/>
    </row>
    <row r="50394" spans="43:43" x14ac:dyDescent="0.2">
      <c r="AQ50394" s="31"/>
    </row>
    <row r="50395" spans="43:43" x14ac:dyDescent="0.2">
      <c r="AQ50395" s="31"/>
    </row>
    <row r="50396" spans="43:43" x14ac:dyDescent="0.2">
      <c r="AQ50396" s="31"/>
    </row>
    <row r="50397" spans="43:43" x14ac:dyDescent="0.2">
      <c r="AQ50397" s="31"/>
    </row>
    <row r="50398" spans="43:43" x14ac:dyDescent="0.2">
      <c r="AQ50398" s="31"/>
    </row>
    <row r="50399" spans="43:43" x14ac:dyDescent="0.2">
      <c r="AQ50399" s="31"/>
    </row>
    <row r="50400" spans="43:43" x14ac:dyDescent="0.2">
      <c r="AQ50400" s="31"/>
    </row>
    <row r="50401" spans="43:43" x14ac:dyDescent="0.2">
      <c r="AQ50401" s="31"/>
    </row>
    <row r="50402" spans="43:43" x14ac:dyDescent="0.2">
      <c r="AQ50402" s="31"/>
    </row>
    <row r="50403" spans="43:43" x14ac:dyDescent="0.2">
      <c r="AQ50403" s="31"/>
    </row>
    <row r="50404" spans="43:43" x14ac:dyDescent="0.2">
      <c r="AQ50404" s="31"/>
    </row>
    <row r="50405" spans="43:43" x14ac:dyDescent="0.2">
      <c r="AQ50405" s="31"/>
    </row>
    <row r="50406" spans="43:43" x14ac:dyDescent="0.2">
      <c r="AQ50406" s="31"/>
    </row>
    <row r="50407" spans="43:43" x14ac:dyDescent="0.2">
      <c r="AQ50407" s="31"/>
    </row>
    <row r="50408" spans="43:43" x14ac:dyDescent="0.2">
      <c r="AQ50408" s="31"/>
    </row>
    <row r="50409" spans="43:43" x14ac:dyDescent="0.2">
      <c r="AQ50409" s="31"/>
    </row>
    <row r="50410" spans="43:43" x14ac:dyDescent="0.2">
      <c r="AQ50410" s="31"/>
    </row>
    <row r="50411" spans="43:43" x14ac:dyDescent="0.2">
      <c r="AQ50411" s="31"/>
    </row>
    <row r="50412" spans="43:43" x14ac:dyDescent="0.2">
      <c r="AQ50412" s="31"/>
    </row>
    <row r="50413" spans="43:43" x14ac:dyDescent="0.2">
      <c r="AQ50413" s="31"/>
    </row>
    <row r="50414" spans="43:43" x14ac:dyDescent="0.2">
      <c r="AQ50414" s="31"/>
    </row>
    <row r="50415" spans="43:43" x14ac:dyDescent="0.2">
      <c r="AQ50415" s="31"/>
    </row>
    <row r="50416" spans="43:43" x14ac:dyDescent="0.2">
      <c r="AQ50416" s="31"/>
    </row>
    <row r="50417" spans="43:43" x14ac:dyDescent="0.2">
      <c r="AQ50417" s="31"/>
    </row>
    <row r="50418" spans="43:43" x14ac:dyDescent="0.2">
      <c r="AQ50418" s="31"/>
    </row>
    <row r="50419" spans="43:43" x14ac:dyDescent="0.2">
      <c r="AQ50419" s="31"/>
    </row>
    <row r="50420" spans="43:43" x14ac:dyDescent="0.2">
      <c r="AQ50420" s="31"/>
    </row>
    <row r="50421" spans="43:43" x14ac:dyDescent="0.2">
      <c r="AQ50421" s="31"/>
    </row>
    <row r="50422" spans="43:43" x14ac:dyDescent="0.2">
      <c r="AQ50422" s="31"/>
    </row>
    <row r="50423" spans="43:43" x14ac:dyDescent="0.2">
      <c r="AQ50423" s="31"/>
    </row>
    <row r="50424" spans="43:43" x14ac:dyDescent="0.2">
      <c r="AQ50424" s="31"/>
    </row>
    <row r="50425" spans="43:43" x14ac:dyDescent="0.2">
      <c r="AQ50425" s="31"/>
    </row>
    <row r="50426" spans="43:43" x14ac:dyDescent="0.2">
      <c r="AQ50426" s="31"/>
    </row>
    <row r="50427" spans="43:43" x14ac:dyDescent="0.2">
      <c r="AQ50427" s="31"/>
    </row>
    <row r="50428" spans="43:43" x14ac:dyDescent="0.2">
      <c r="AQ50428" s="31"/>
    </row>
    <row r="50429" spans="43:43" x14ac:dyDescent="0.2">
      <c r="AQ50429" s="31"/>
    </row>
    <row r="50430" spans="43:43" x14ac:dyDescent="0.2">
      <c r="AQ50430" s="31"/>
    </row>
    <row r="50431" spans="43:43" x14ac:dyDescent="0.2">
      <c r="AQ50431" s="31"/>
    </row>
    <row r="50432" spans="43:43" x14ac:dyDescent="0.2">
      <c r="AQ50432" s="31"/>
    </row>
    <row r="50433" spans="43:43" x14ac:dyDescent="0.2">
      <c r="AQ50433" s="31"/>
    </row>
    <row r="50434" spans="43:43" x14ac:dyDescent="0.2">
      <c r="AQ50434" s="31"/>
    </row>
    <row r="50435" spans="43:43" x14ac:dyDescent="0.2">
      <c r="AQ50435" s="31"/>
    </row>
    <row r="50436" spans="43:43" x14ac:dyDescent="0.2">
      <c r="AQ50436" s="31"/>
    </row>
    <row r="50437" spans="43:43" x14ac:dyDescent="0.2">
      <c r="AQ50437" s="31"/>
    </row>
    <row r="50438" spans="43:43" x14ac:dyDescent="0.2">
      <c r="AQ50438" s="31"/>
    </row>
    <row r="50439" spans="43:43" x14ac:dyDescent="0.2">
      <c r="AQ50439" s="31"/>
    </row>
    <row r="50440" spans="43:43" x14ac:dyDescent="0.2">
      <c r="AQ50440" s="31"/>
    </row>
    <row r="50441" spans="43:43" x14ac:dyDescent="0.2">
      <c r="AQ50441" s="31"/>
    </row>
    <row r="50442" spans="43:43" x14ac:dyDescent="0.2">
      <c r="AQ50442" s="31"/>
    </row>
    <row r="50443" spans="43:43" x14ac:dyDescent="0.2">
      <c r="AQ50443" s="31"/>
    </row>
    <row r="50444" spans="43:43" x14ac:dyDescent="0.2">
      <c r="AQ50444" s="31"/>
    </row>
    <row r="50445" spans="43:43" x14ac:dyDescent="0.2">
      <c r="AQ50445" s="31"/>
    </row>
    <row r="50446" spans="43:43" x14ac:dyDescent="0.2">
      <c r="AQ50446" s="31"/>
    </row>
    <row r="50447" spans="43:43" x14ac:dyDescent="0.2">
      <c r="AQ50447" s="31"/>
    </row>
    <row r="50448" spans="43:43" x14ac:dyDescent="0.2">
      <c r="AQ50448" s="31"/>
    </row>
    <row r="50449" spans="43:43" x14ac:dyDescent="0.2">
      <c r="AQ50449" s="31"/>
    </row>
    <row r="50450" spans="43:43" x14ac:dyDescent="0.2">
      <c r="AQ50450" s="31"/>
    </row>
    <row r="50451" spans="43:43" x14ac:dyDescent="0.2">
      <c r="AQ50451" s="31"/>
    </row>
    <row r="50452" spans="43:43" x14ac:dyDescent="0.2">
      <c r="AQ50452" s="31"/>
    </row>
    <row r="50453" spans="43:43" x14ac:dyDescent="0.2">
      <c r="AQ50453" s="31"/>
    </row>
    <row r="50454" spans="43:43" x14ac:dyDescent="0.2">
      <c r="AQ50454" s="31"/>
    </row>
    <row r="50455" spans="43:43" x14ac:dyDescent="0.2">
      <c r="AQ50455" s="31"/>
    </row>
    <row r="50456" spans="43:43" x14ac:dyDescent="0.2">
      <c r="AQ50456" s="31"/>
    </row>
    <row r="50457" spans="43:43" x14ac:dyDescent="0.2">
      <c r="AQ50457" s="31"/>
    </row>
    <row r="50458" spans="43:43" x14ac:dyDescent="0.2">
      <c r="AQ50458" s="31"/>
    </row>
    <row r="50459" spans="43:43" x14ac:dyDescent="0.2">
      <c r="AQ50459" s="31"/>
    </row>
    <row r="50460" spans="43:43" x14ac:dyDescent="0.2">
      <c r="AQ50460" s="31"/>
    </row>
    <row r="50461" spans="43:43" x14ac:dyDescent="0.2">
      <c r="AQ50461" s="31"/>
    </row>
    <row r="50462" spans="43:43" x14ac:dyDescent="0.2">
      <c r="AQ50462" s="31"/>
    </row>
    <row r="50463" spans="43:43" x14ac:dyDescent="0.2">
      <c r="AQ50463" s="31"/>
    </row>
    <row r="50464" spans="43:43" x14ac:dyDescent="0.2">
      <c r="AQ50464" s="31"/>
    </row>
    <row r="50465" spans="43:43" x14ac:dyDescent="0.2">
      <c r="AQ50465" s="31"/>
    </row>
    <row r="50466" spans="43:43" x14ac:dyDescent="0.2">
      <c r="AQ50466" s="31"/>
    </row>
    <row r="50467" spans="43:43" x14ac:dyDescent="0.2">
      <c r="AQ50467" s="31"/>
    </row>
    <row r="50468" spans="43:43" x14ac:dyDescent="0.2">
      <c r="AQ50468" s="31"/>
    </row>
    <row r="50469" spans="43:43" x14ac:dyDescent="0.2">
      <c r="AQ50469" s="31"/>
    </row>
    <row r="50470" spans="43:43" x14ac:dyDescent="0.2">
      <c r="AQ50470" s="31"/>
    </row>
    <row r="50471" spans="43:43" x14ac:dyDescent="0.2">
      <c r="AQ50471" s="31"/>
    </row>
    <row r="50472" spans="43:43" x14ac:dyDescent="0.2">
      <c r="AQ50472" s="31"/>
    </row>
    <row r="50473" spans="43:43" x14ac:dyDescent="0.2">
      <c r="AQ50473" s="31"/>
    </row>
    <row r="50474" spans="43:43" x14ac:dyDescent="0.2">
      <c r="AQ50474" s="31"/>
    </row>
    <row r="50475" spans="43:43" x14ac:dyDescent="0.2">
      <c r="AQ50475" s="31"/>
    </row>
    <row r="50476" spans="43:43" x14ac:dyDescent="0.2">
      <c r="AQ50476" s="31"/>
    </row>
    <row r="50477" spans="43:43" x14ac:dyDescent="0.2">
      <c r="AQ50477" s="31"/>
    </row>
    <row r="50478" spans="43:43" x14ac:dyDescent="0.2">
      <c r="AQ50478" s="31"/>
    </row>
    <row r="50479" spans="43:43" x14ac:dyDescent="0.2">
      <c r="AQ50479" s="31"/>
    </row>
    <row r="50480" spans="43:43" x14ac:dyDescent="0.2">
      <c r="AQ50480" s="31"/>
    </row>
    <row r="50481" spans="43:43" x14ac:dyDescent="0.2">
      <c r="AQ50481" s="31"/>
    </row>
    <row r="50482" spans="43:43" x14ac:dyDescent="0.2">
      <c r="AQ50482" s="31"/>
    </row>
    <row r="50483" spans="43:43" x14ac:dyDescent="0.2">
      <c r="AQ50483" s="31"/>
    </row>
    <row r="50484" spans="43:43" x14ac:dyDescent="0.2">
      <c r="AQ50484" s="31"/>
    </row>
    <row r="50485" spans="43:43" x14ac:dyDescent="0.2">
      <c r="AQ50485" s="31"/>
    </row>
    <row r="50486" spans="43:43" x14ac:dyDescent="0.2">
      <c r="AQ50486" s="31"/>
    </row>
    <row r="50487" spans="43:43" x14ac:dyDescent="0.2">
      <c r="AQ50487" s="31"/>
    </row>
    <row r="50488" spans="43:43" x14ac:dyDescent="0.2">
      <c r="AQ50488" s="31"/>
    </row>
    <row r="50489" spans="43:43" x14ac:dyDescent="0.2">
      <c r="AQ50489" s="31"/>
    </row>
    <row r="50490" spans="43:43" x14ac:dyDescent="0.2">
      <c r="AQ50490" s="31"/>
    </row>
    <row r="50491" spans="43:43" x14ac:dyDescent="0.2">
      <c r="AQ50491" s="31"/>
    </row>
    <row r="50492" spans="43:43" x14ac:dyDescent="0.2">
      <c r="AQ50492" s="31"/>
    </row>
    <row r="50493" spans="43:43" x14ac:dyDescent="0.2">
      <c r="AQ50493" s="31"/>
    </row>
    <row r="50494" spans="43:43" x14ac:dyDescent="0.2">
      <c r="AQ50494" s="31"/>
    </row>
    <row r="50495" spans="43:43" x14ac:dyDescent="0.2">
      <c r="AQ50495" s="31"/>
    </row>
    <row r="50496" spans="43:43" x14ac:dyDescent="0.2">
      <c r="AQ50496" s="31"/>
    </row>
    <row r="50497" spans="43:43" x14ac:dyDescent="0.2">
      <c r="AQ50497" s="31"/>
    </row>
    <row r="50498" spans="43:43" x14ac:dyDescent="0.2">
      <c r="AQ50498" s="31"/>
    </row>
    <row r="50499" spans="43:43" x14ac:dyDescent="0.2">
      <c r="AQ50499" s="31"/>
    </row>
    <row r="50500" spans="43:43" x14ac:dyDescent="0.2">
      <c r="AQ50500" s="31"/>
    </row>
    <row r="50501" spans="43:43" x14ac:dyDescent="0.2">
      <c r="AQ50501" s="31"/>
    </row>
    <row r="50502" spans="43:43" x14ac:dyDescent="0.2">
      <c r="AQ50502" s="31"/>
    </row>
    <row r="50503" spans="43:43" x14ac:dyDescent="0.2">
      <c r="AQ50503" s="31"/>
    </row>
    <row r="50504" spans="43:43" x14ac:dyDescent="0.2">
      <c r="AQ50504" s="31"/>
    </row>
    <row r="50505" spans="43:43" x14ac:dyDescent="0.2">
      <c r="AQ50505" s="31"/>
    </row>
    <row r="50506" spans="43:43" x14ac:dyDescent="0.2">
      <c r="AQ50506" s="31"/>
    </row>
    <row r="50507" spans="43:43" x14ac:dyDescent="0.2">
      <c r="AQ50507" s="31"/>
    </row>
    <row r="50508" spans="43:43" x14ac:dyDescent="0.2">
      <c r="AQ50508" s="31"/>
    </row>
    <row r="50509" spans="43:43" x14ac:dyDescent="0.2">
      <c r="AQ50509" s="31"/>
    </row>
    <row r="50510" spans="43:43" x14ac:dyDescent="0.2">
      <c r="AQ50510" s="31"/>
    </row>
    <row r="50511" spans="43:43" x14ac:dyDescent="0.2">
      <c r="AQ50511" s="31"/>
    </row>
    <row r="50512" spans="43:43" x14ac:dyDescent="0.2">
      <c r="AQ50512" s="31"/>
    </row>
    <row r="50513" spans="43:43" x14ac:dyDescent="0.2">
      <c r="AQ50513" s="31"/>
    </row>
    <row r="50514" spans="43:43" x14ac:dyDescent="0.2">
      <c r="AQ50514" s="31"/>
    </row>
    <row r="50515" spans="43:43" x14ac:dyDescent="0.2">
      <c r="AQ50515" s="31"/>
    </row>
    <row r="50516" spans="43:43" x14ac:dyDescent="0.2">
      <c r="AQ50516" s="31"/>
    </row>
    <row r="50517" spans="43:43" x14ac:dyDescent="0.2">
      <c r="AQ50517" s="31"/>
    </row>
    <row r="50518" spans="43:43" x14ac:dyDescent="0.2">
      <c r="AQ50518" s="31"/>
    </row>
    <row r="50519" spans="43:43" x14ac:dyDescent="0.2">
      <c r="AQ50519" s="31"/>
    </row>
    <row r="50520" spans="43:43" x14ac:dyDescent="0.2">
      <c r="AQ50520" s="31"/>
    </row>
    <row r="50521" spans="43:43" x14ac:dyDescent="0.2">
      <c r="AQ50521" s="31"/>
    </row>
    <row r="50522" spans="43:43" x14ac:dyDescent="0.2">
      <c r="AQ50522" s="31"/>
    </row>
    <row r="50523" spans="43:43" x14ac:dyDescent="0.2">
      <c r="AQ50523" s="31"/>
    </row>
    <row r="50524" spans="43:43" x14ac:dyDescent="0.2">
      <c r="AQ50524" s="31"/>
    </row>
    <row r="50525" spans="43:43" x14ac:dyDescent="0.2">
      <c r="AQ50525" s="31"/>
    </row>
    <row r="50526" spans="43:43" x14ac:dyDescent="0.2">
      <c r="AQ50526" s="31"/>
    </row>
    <row r="50527" spans="43:43" x14ac:dyDescent="0.2">
      <c r="AQ50527" s="31"/>
    </row>
    <row r="50528" spans="43:43" x14ac:dyDescent="0.2">
      <c r="AQ50528" s="31"/>
    </row>
    <row r="50529" spans="43:43" x14ac:dyDescent="0.2">
      <c r="AQ50529" s="31"/>
    </row>
    <row r="50530" spans="43:43" x14ac:dyDescent="0.2">
      <c r="AQ50530" s="31"/>
    </row>
    <row r="50531" spans="43:43" x14ac:dyDescent="0.2">
      <c r="AQ50531" s="31"/>
    </row>
    <row r="50532" spans="43:43" x14ac:dyDescent="0.2">
      <c r="AQ50532" s="31"/>
    </row>
    <row r="50533" spans="43:43" x14ac:dyDescent="0.2">
      <c r="AQ50533" s="31"/>
    </row>
    <row r="50534" spans="43:43" x14ac:dyDescent="0.2">
      <c r="AQ50534" s="31"/>
    </row>
    <row r="50535" spans="43:43" x14ac:dyDescent="0.2">
      <c r="AQ50535" s="31"/>
    </row>
    <row r="50536" spans="43:43" x14ac:dyDescent="0.2">
      <c r="AQ50536" s="31"/>
    </row>
    <row r="50537" spans="43:43" x14ac:dyDescent="0.2">
      <c r="AQ50537" s="31"/>
    </row>
    <row r="50538" spans="43:43" x14ac:dyDescent="0.2">
      <c r="AQ50538" s="31"/>
    </row>
    <row r="50539" spans="43:43" x14ac:dyDescent="0.2">
      <c r="AQ50539" s="31"/>
    </row>
    <row r="50540" spans="43:43" x14ac:dyDescent="0.2">
      <c r="AQ50540" s="31"/>
    </row>
    <row r="50541" spans="43:43" x14ac:dyDescent="0.2">
      <c r="AQ50541" s="31"/>
    </row>
    <row r="50542" spans="43:43" x14ac:dyDescent="0.2">
      <c r="AQ50542" s="31"/>
    </row>
    <row r="50543" spans="43:43" x14ac:dyDescent="0.2">
      <c r="AQ50543" s="31"/>
    </row>
    <row r="50544" spans="43:43" x14ac:dyDescent="0.2">
      <c r="AQ50544" s="31"/>
    </row>
    <row r="50545" spans="43:43" x14ac:dyDescent="0.2">
      <c r="AQ50545" s="31"/>
    </row>
    <row r="50546" spans="43:43" x14ac:dyDescent="0.2">
      <c r="AQ50546" s="31"/>
    </row>
    <row r="50547" spans="43:43" x14ac:dyDescent="0.2">
      <c r="AQ50547" s="31"/>
    </row>
    <row r="50548" spans="43:43" x14ac:dyDescent="0.2">
      <c r="AQ50548" s="31"/>
    </row>
    <row r="50549" spans="43:43" x14ac:dyDescent="0.2">
      <c r="AQ50549" s="31"/>
    </row>
    <row r="50550" spans="43:43" x14ac:dyDescent="0.2">
      <c r="AQ50550" s="31"/>
    </row>
    <row r="50551" spans="43:43" x14ac:dyDescent="0.2">
      <c r="AQ50551" s="31"/>
    </row>
    <row r="50552" spans="43:43" x14ac:dyDescent="0.2">
      <c r="AQ50552" s="31"/>
    </row>
    <row r="50553" spans="43:43" x14ac:dyDescent="0.2">
      <c r="AQ50553" s="31"/>
    </row>
    <row r="50554" spans="43:43" x14ac:dyDescent="0.2">
      <c r="AQ50554" s="31"/>
    </row>
    <row r="50555" spans="43:43" x14ac:dyDescent="0.2">
      <c r="AQ50555" s="31"/>
    </row>
    <row r="50556" spans="43:43" x14ac:dyDescent="0.2">
      <c r="AQ50556" s="31"/>
    </row>
    <row r="50557" spans="43:43" x14ac:dyDescent="0.2">
      <c r="AQ50557" s="31"/>
    </row>
    <row r="50558" spans="43:43" x14ac:dyDescent="0.2">
      <c r="AQ50558" s="31"/>
    </row>
    <row r="50559" spans="43:43" x14ac:dyDescent="0.2">
      <c r="AQ50559" s="31"/>
    </row>
    <row r="50560" spans="43:43" x14ac:dyDescent="0.2">
      <c r="AQ50560" s="31"/>
    </row>
    <row r="50561" spans="43:43" x14ac:dyDescent="0.2">
      <c r="AQ50561" s="31"/>
    </row>
    <row r="50562" spans="43:43" x14ac:dyDescent="0.2">
      <c r="AQ50562" s="31"/>
    </row>
    <row r="50563" spans="43:43" x14ac:dyDescent="0.2">
      <c r="AQ50563" s="31"/>
    </row>
    <row r="50564" spans="43:43" x14ac:dyDescent="0.2">
      <c r="AQ50564" s="31"/>
    </row>
    <row r="50565" spans="43:43" x14ac:dyDescent="0.2">
      <c r="AQ50565" s="31"/>
    </row>
    <row r="50566" spans="43:43" x14ac:dyDescent="0.2">
      <c r="AQ50566" s="31"/>
    </row>
    <row r="50567" spans="43:43" x14ac:dyDescent="0.2">
      <c r="AQ50567" s="31"/>
    </row>
    <row r="50568" spans="43:43" x14ac:dyDescent="0.2">
      <c r="AQ50568" s="31"/>
    </row>
    <row r="50569" spans="43:43" x14ac:dyDescent="0.2">
      <c r="AQ50569" s="31"/>
    </row>
    <row r="50570" spans="43:43" x14ac:dyDescent="0.2">
      <c r="AQ50570" s="31"/>
    </row>
    <row r="50571" spans="43:43" x14ac:dyDescent="0.2">
      <c r="AQ50571" s="31"/>
    </row>
    <row r="50572" spans="43:43" x14ac:dyDescent="0.2">
      <c r="AQ50572" s="31"/>
    </row>
    <row r="50573" spans="43:43" x14ac:dyDescent="0.2">
      <c r="AQ50573" s="31"/>
    </row>
    <row r="50574" spans="43:43" x14ac:dyDescent="0.2">
      <c r="AQ50574" s="31"/>
    </row>
    <row r="50575" spans="43:43" x14ac:dyDescent="0.2">
      <c r="AQ50575" s="31"/>
    </row>
    <row r="50576" spans="43:43" x14ac:dyDescent="0.2">
      <c r="AQ50576" s="31"/>
    </row>
    <row r="50577" spans="43:43" x14ac:dyDescent="0.2">
      <c r="AQ50577" s="31"/>
    </row>
    <row r="50578" spans="43:43" x14ac:dyDescent="0.2">
      <c r="AQ50578" s="31"/>
    </row>
    <row r="50579" spans="43:43" x14ac:dyDescent="0.2">
      <c r="AQ50579" s="31"/>
    </row>
    <row r="50580" spans="43:43" x14ac:dyDescent="0.2">
      <c r="AQ50580" s="31"/>
    </row>
    <row r="50581" spans="43:43" x14ac:dyDescent="0.2">
      <c r="AQ50581" s="31"/>
    </row>
    <row r="50582" spans="43:43" x14ac:dyDescent="0.2">
      <c r="AQ50582" s="31"/>
    </row>
    <row r="50583" spans="43:43" x14ac:dyDescent="0.2">
      <c r="AQ50583" s="31"/>
    </row>
    <row r="50584" spans="43:43" x14ac:dyDescent="0.2">
      <c r="AQ50584" s="31"/>
    </row>
    <row r="50585" spans="43:43" x14ac:dyDescent="0.2">
      <c r="AQ50585" s="31"/>
    </row>
    <row r="50586" spans="43:43" x14ac:dyDescent="0.2">
      <c r="AQ50586" s="31"/>
    </row>
    <row r="50587" spans="43:43" x14ac:dyDescent="0.2">
      <c r="AQ50587" s="31"/>
    </row>
    <row r="50588" spans="43:43" x14ac:dyDescent="0.2">
      <c r="AQ50588" s="31"/>
    </row>
    <row r="50589" spans="43:43" x14ac:dyDescent="0.2">
      <c r="AQ50589" s="31"/>
    </row>
    <row r="50590" spans="43:43" x14ac:dyDescent="0.2">
      <c r="AQ50590" s="31"/>
    </row>
    <row r="50591" spans="43:43" x14ac:dyDescent="0.2">
      <c r="AQ50591" s="31"/>
    </row>
    <row r="50592" spans="43:43" x14ac:dyDescent="0.2">
      <c r="AQ50592" s="31"/>
    </row>
    <row r="50593" spans="43:43" x14ac:dyDescent="0.2">
      <c r="AQ50593" s="31"/>
    </row>
    <row r="50594" spans="43:43" x14ac:dyDescent="0.2">
      <c r="AQ50594" s="31"/>
    </row>
    <row r="50595" spans="43:43" x14ac:dyDescent="0.2">
      <c r="AQ50595" s="31"/>
    </row>
    <row r="50596" spans="43:43" x14ac:dyDescent="0.2">
      <c r="AQ50596" s="31"/>
    </row>
    <row r="50597" spans="43:43" x14ac:dyDescent="0.2">
      <c r="AQ50597" s="31"/>
    </row>
    <row r="50598" spans="43:43" x14ac:dyDescent="0.2">
      <c r="AQ50598" s="31"/>
    </row>
    <row r="50599" spans="43:43" x14ac:dyDescent="0.2">
      <c r="AQ50599" s="31"/>
    </row>
    <row r="50600" spans="43:43" x14ac:dyDescent="0.2">
      <c r="AQ50600" s="31"/>
    </row>
    <row r="50601" spans="43:43" x14ac:dyDescent="0.2">
      <c r="AQ50601" s="31"/>
    </row>
    <row r="50602" spans="43:43" x14ac:dyDescent="0.2">
      <c r="AQ50602" s="31"/>
    </row>
    <row r="50603" spans="43:43" x14ac:dyDescent="0.2">
      <c r="AQ50603" s="31"/>
    </row>
    <row r="50604" spans="43:43" x14ac:dyDescent="0.2">
      <c r="AQ50604" s="31"/>
    </row>
    <row r="50605" spans="43:43" x14ac:dyDescent="0.2">
      <c r="AQ50605" s="31"/>
    </row>
    <row r="50606" spans="43:43" x14ac:dyDescent="0.2">
      <c r="AQ50606" s="31"/>
    </row>
    <row r="50607" spans="43:43" x14ac:dyDescent="0.2">
      <c r="AQ50607" s="31"/>
    </row>
    <row r="50608" spans="43:43" x14ac:dyDescent="0.2">
      <c r="AQ50608" s="31"/>
    </row>
    <row r="50609" spans="43:43" x14ac:dyDescent="0.2">
      <c r="AQ50609" s="31"/>
    </row>
    <row r="50610" spans="43:43" x14ac:dyDescent="0.2">
      <c r="AQ50610" s="31"/>
    </row>
    <row r="50611" spans="43:43" x14ac:dyDescent="0.2">
      <c r="AQ50611" s="31"/>
    </row>
    <row r="50612" spans="43:43" x14ac:dyDescent="0.2">
      <c r="AQ50612" s="31"/>
    </row>
    <row r="50613" spans="43:43" x14ac:dyDescent="0.2">
      <c r="AQ50613" s="31"/>
    </row>
    <row r="50614" spans="43:43" x14ac:dyDescent="0.2">
      <c r="AQ50614" s="31"/>
    </row>
    <row r="50615" spans="43:43" x14ac:dyDescent="0.2">
      <c r="AQ50615" s="31"/>
    </row>
    <row r="50616" spans="43:43" x14ac:dyDescent="0.2">
      <c r="AQ50616" s="31"/>
    </row>
    <row r="50617" spans="43:43" x14ac:dyDescent="0.2">
      <c r="AQ50617" s="31"/>
    </row>
    <row r="50618" spans="43:43" x14ac:dyDescent="0.2">
      <c r="AQ50618" s="31"/>
    </row>
    <row r="50619" spans="43:43" x14ac:dyDescent="0.2">
      <c r="AQ50619" s="31"/>
    </row>
    <row r="50620" spans="43:43" x14ac:dyDescent="0.2">
      <c r="AQ50620" s="31"/>
    </row>
    <row r="50621" spans="43:43" x14ac:dyDescent="0.2">
      <c r="AQ50621" s="31"/>
    </row>
    <row r="50622" spans="43:43" x14ac:dyDescent="0.2">
      <c r="AQ50622" s="31"/>
    </row>
    <row r="50623" spans="43:43" x14ac:dyDescent="0.2">
      <c r="AQ50623" s="31"/>
    </row>
    <row r="50624" spans="43:43" x14ac:dyDescent="0.2">
      <c r="AQ50624" s="31"/>
    </row>
    <row r="50625" spans="43:43" x14ac:dyDescent="0.2">
      <c r="AQ50625" s="31"/>
    </row>
    <row r="50626" spans="43:43" x14ac:dyDescent="0.2">
      <c r="AQ50626" s="31"/>
    </row>
    <row r="50627" spans="43:43" x14ac:dyDescent="0.2">
      <c r="AQ50627" s="31"/>
    </row>
    <row r="50628" spans="43:43" x14ac:dyDescent="0.2">
      <c r="AQ50628" s="31"/>
    </row>
    <row r="50629" spans="43:43" x14ac:dyDescent="0.2">
      <c r="AQ50629" s="31"/>
    </row>
    <row r="50630" spans="43:43" x14ac:dyDescent="0.2">
      <c r="AQ50630" s="31"/>
    </row>
    <row r="50631" spans="43:43" x14ac:dyDescent="0.2">
      <c r="AQ50631" s="31"/>
    </row>
    <row r="50632" spans="43:43" x14ac:dyDescent="0.2">
      <c r="AQ50632" s="31"/>
    </row>
    <row r="50633" spans="43:43" x14ac:dyDescent="0.2">
      <c r="AQ50633" s="31"/>
    </row>
    <row r="50634" spans="43:43" x14ac:dyDescent="0.2">
      <c r="AQ50634" s="31"/>
    </row>
    <row r="50635" spans="43:43" x14ac:dyDescent="0.2">
      <c r="AQ50635" s="31"/>
    </row>
    <row r="50636" spans="43:43" x14ac:dyDescent="0.2">
      <c r="AQ50636" s="31"/>
    </row>
    <row r="50637" spans="43:43" x14ac:dyDescent="0.2">
      <c r="AQ50637" s="31"/>
    </row>
    <row r="50638" spans="43:43" x14ac:dyDescent="0.2">
      <c r="AQ50638" s="31"/>
    </row>
    <row r="50639" spans="43:43" x14ac:dyDescent="0.2">
      <c r="AQ50639" s="31"/>
    </row>
    <row r="50640" spans="43:43" x14ac:dyDescent="0.2">
      <c r="AQ50640" s="31"/>
    </row>
    <row r="50641" spans="43:43" x14ac:dyDescent="0.2">
      <c r="AQ50641" s="31"/>
    </row>
    <row r="50642" spans="43:43" x14ac:dyDescent="0.2">
      <c r="AQ50642" s="31"/>
    </row>
    <row r="50643" spans="43:43" x14ac:dyDescent="0.2">
      <c r="AQ50643" s="31"/>
    </row>
    <row r="50644" spans="43:43" x14ac:dyDescent="0.2">
      <c r="AQ50644" s="31"/>
    </row>
    <row r="50645" spans="43:43" x14ac:dyDescent="0.2">
      <c r="AQ50645" s="31"/>
    </row>
    <row r="50646" spans="43:43" x14ac:dyDescent="0.2">
      <c r="AQ50646" s="31"/>
    </row>
    <row r="50647" spans="43:43" x14ac:dyDescent="0.2">
      <c r="AQ50647" s="31"/>
    </row>
    <row r="50648" spans="43:43" x14ac:dyDescent="0.2">
      <c r="AQ50648" s="31"/>
    </row>
    <row r="50649" spans="43:43" x14ac:dyDescent="0.2">
      <c r="AQ50649" s="31"/>
    </row>
    <row r="50650" spans="43:43" x14ac:dyDescent="0.2">
      <c r="AQ50650" s="31"/>
    </row>
    <row r="50651" spans="43:43" x14ac:dyDescent="0.2">
      <c r="AQ50651" s="31"/>
    </row>
    <row r="50652" spans="43:43" x14ac:dyDescent="0.2">
      <c r="AQ50652" s="31"/>
    </row>
    <row r="50653" spans="43:43" x14ac:dyDescent="0.2">
      <c r="AQ50653" s="31"/>
    </row>
    <row r="50654" spans="43:43" x14ac:dyDescent="0.2">
      <c r="AQ50654" s="31"/>
    </row>
    <row r="50655" spans="43:43" x14ac:dyDescent="0.2">
      <c r="AQ50655" s="31"/>
    </row>
    <row r="50656" spans="43:43" x14ac:dyDescent="0.2">
      <c r="AQ50656" s="31"/>
    </row>
    <row r="50657" spans="43:43" x14ac:dyDescent="0.2">
      <c r="AQ50657" s="31"/>
    </row>
    <row r="50658" spans="43:43" x14ac:dyDescent="0.2">
      <c r="AQ50658" s="31"/>
    </row>
    <row r="50659" spans="43:43" x14ac:dyDescent="0.2">
      <c r="AQ50659" s="31"/>
    </row>
    <row r="50660" spans="43:43" x14ac:dyDescent="0.2">
      <c r="AQ50660" s="31"/>
    </row>
    <row r="50661" spans="43:43" x14ac:dyDescent="0.2">
      <c r="AQ50661" s="31"/>
    </row>
    <row r="50662" spans="43:43" x14ac:dyDescent="0.2">
      <c r="AQ50662" s="31"/>
    </row>
    <row r="50663" spans="43:43" x14ac:dyDescent="0.2">
      <c r="AQ50663" s="31"/>
    </row>
    <row r="50664" spans="43:43" x14ac:dyDescent="0.2">
      <c r="AQ50664" s="31"/>
    </row>
    <row r="50665" spans="43:43" x14ac:dyDescent="0.2">
      <c r="AQ50665" s="31"/>
    </row>
    <row r="50666" spans="43:43" x14ac:dyDescent="0.2">
      <c r="AQ50666" s="31"/>
    </row>
    <row r="50667" spans="43:43" x14ac:dyDescent="0.2">
      <c r="AQ50667" s="31"/>
    </row>
    <row r="50668" spans="43:43" x14ac:dyDescent="0.2">
      <c r="AQ50668" s="31"/>
    </row>
    <row r="50669" spans="43:43" x14ac:dyDescent="0.2">
      <c r="AQ50669" s="31"/>
    </row>
    <row r="50670" spans="43:43" x14ac:dyDescent="0.2">
      <c r="AQ50670" s="31"/>
    </row>
    <row r="50671" spans="43:43" x14ac:dyDescent="0.2">
      <c r="AQ50671" s="31"/>
    </row>
    <row r="50672" spans="43:43" x14ac:dyDescent="0.2">
      <c r="AQ50672" s="31"/>
    </row>
    <row r="50673" spans="43:43" x14ac:dyDescent="0.2">
      <c r="AQ50673" s="31"/>
    </row>
    <row r="50674" spans="43:43" x14ac:dyDescent="0.2">
      <c r="AQ50674" s="31"/>
    </row>
    <row r="50675" spans="43:43" x14ac:dyDescent="0.2">
      <c r="AQ50675" s="31"/>
    </row>
    <row r="50676" spans="43:43" x14ac:dyDescent="0.2">
      <c r="AQ50676" s="31"/>
    </row>
    <row r="50677" spans="43:43" x14ac:dyDescent="0.2">
      <c r="AQ50677" s="31"/>
    </row>
    <row r="50678" spans="43:43" x14ac:dyDescent="0.2">
      <c r="AQ50678" s="31"/>
    </row>
    <row r="50679" spans="43:43" x14ac:dyDescent="0.2">
      <c r="AQ50679" s="31"/>
    </row>
    <row r="50680" spans="43:43" x14ac:dyDescent="0.2">
      <c r="AQ50680" s="31"/>
    </row>
    <row r="50681" spans="43:43" x14ac:dyDescent="0.2">
      <c r="AQ50681" s="31"/>
    </row>
    <row r="50682" spans="43:43" x14ac:dyDescent="0.2">
      <c r="AQ50682" s="31"/>
    </row>
    <row r="50683" spans="43:43" x14ac:dyDescent="0.2">
      <c r="AQ50683" s="31"/>
    </row>
    <row r="50684" spans="43:43" x14ac:dyDescent="0.2">
      <c r="AQ50684" s="31"/>
    </row>
    <row r="50685" spans="43:43" x14ac:dyDescent="0.2">
      <c r="AQ50685" s="31"/>
    </row>
    <row r="50686" spans="43:43" x14ac:dyDescent="0.2">
      <c r="AQ50686" s="31"/>
    </row>
    <row r="50687" spans="43:43" x14ac:dyDescent="0.2">
      <c r="AQ50687" s="31"/>
    </row>
    <row r="50688" spans="43:43" x14ac:dyDescent="0.2">
      <c r="AQ50688" s="31"/>
    </row>
    <row r="50689" spans="43:43" x14ac:dyDescent="0.2">
      <c r="AQ50689" s="31"/>
    </row>
    <row r="50690" spans="43:43" x14ac:dyDescent="0.2">
      <c r="AQ50690" s="31"/>
    </row>
    <row r="50691" spans="43:43" x14ac:dyDescent="0.2">
      <c r="AQ50691" s="31"/>
    </row>
    <row r="50692" spans="43:43" x14ac:dyDescent="0.2">
      <c r="AQ50692" s="31"/>
    </row>
    <row r="50693" spans="43:43" x14ac:dyDescent="0.2">
      <c r="AQ50693" s="31"/>
    </row>
    <row r="50694" spans="43:43" x14ac:dyDescent="0.2">
      <c r="AQ50694" s="31"/>
    </row>
    <row r="50695" spans="43:43" x14ac:dyDescent="0.2">
      <c r="AQ50695" s="31"/>
    </row>
    <row r="50696" spans="43:43" x14ac:dyDescent="0.2">
      <c r="AQ50696" s="31"/>
    </row>
    <row r="50697" spans="43:43" x14ac:dyDescent="0.2">
      <c r="AQ50697" s="31"/>
    </row>
    <row r="50698" spans="43:43" x14ac:dyDescent="0.2">
      <c r="AQ50698" s="31"/>
    </row>
    <row r="50699" spans="43:43" x14ac:dyDescent="0.2">
      <c r="AQ50699" s="31"/>
    </row>
    <row r="50700" spans="43:43" x14ac:dyDescent="0.2">
      <c r="AQ50700" s="31"/>
    </row>
    <row r="50701" spans="43:43" x14ac:dyDescent="0.2">
      <c r="AQ50701" s="31"/>
    </row>
    <row r="50702" spans="43:43" x14ac:dyDescent="0.2">
      <c r="AQ50702" s="31"/>
    </row>
    <row r="50703" spans="43:43" x14ac:dyDescent="0.2">
      <c r="AQ50703" s="31"/>
    </row>
    <row r="50704" spans="43:43" x14ac:dyDescent="0.2">
      <c r="AQ50704" s="31"/>
    </row>
    <row r="50705" spans="43:43" x14ac:dyDescent="0.2">
      <c r="AQ50705" s="31"/>
    </row>
    <row r="50706" spans="43:43" x14ac:dyDescent="0.2">
      <c r="AQ50706" s="31"/>
    </row>
    <row r="50707" spans="43:43" x14ac:dyDescent="0.2">
      <c r="AQ50707" s="31"/>
    </row>
    <row r="50708" spans="43:43" x14ac:dyDescent="0.2">
      <c r="AQ50708" s="31"/>
    </row>
    <row r="50709" spans="43:43" x14ac:dyDescent="0.2">
      <c r="AQ50709" s="31"/>
    </row>
    <row r="50710" spans="43:43" x14ac:dyDescent="0.2">
      <c r="AQ50710" s="31"/>
    </row>
    <row r="50711" spans="43:43" x14ac:dyDescent="0.2">
      <c r="AQ50711" s="31"/>
    </row>
    <row r="50712" spans="43:43" x14ac:dyDescent="0.2">
      <c r="AQ50712" s="31"/>
    </row>
    <row r="50713" spans="43:43" x14ac:dyDescent="0.2">
      <c r="AQ50713" s="31"/>
    </row>
    <row r="50714" spans="43:43" x14ac:dyDescent="0.2">
      <c r="AQ50714" s="31"/>
    </row>
    <row r="50715" spans="43:43" x14ac:dyDescent="0.2">
      <c r="AQ50715" s="31"/>
    </row>
    <row r="50716" spans="43:43" x14ac:dyDescent="0.2">
      <c r="AQ50716" s="31"/>
    </row>
    <row r="50717" spans="43:43" x14ac:dyDescent="0.2">
      <c r="AQ50717" s="31"/>
    </row>
    <row r="50718" spans="43:43" x14ac:dyDescent="0.2">
      <c r="AQ50718" s="31"/>
    </row>
    <row r="50719" spans="43:43" x14ac:dyDescent="0.2">
      <c r="AQ50719" s="31"/>
    </row>
    <row r="50720" spans="43:43" x14ac:dyDescent="0.2">
      <c r="AQ50720" s="31"/>
    </row>
    <row r="50721" spans="43:43" x14ac:dyDescent="0.2">
      <c r="AQ50721" s="31"/>
    </row>
    <row r="50722" spans="43:43" x14ac:dyDescent="0.2">
      <c r="AQ50722" s="31"/>
    </row>
    <row r="50723" spans="43:43" x14ac:dyDescent="0.2">
      <c r="AQ50723" s="31"/>
    </row>
    <row r="50724" spans="43:43" x14ac:dyDescent="0.2">
      <c r="AQ50724" s="31"/>
    </row>
    <row r="50725" spans="43:43" x14ac:dyDescent="0.2">
      <c r="AQ50725" s="31"/>
    </row>
    <row r="50726" spans="43:43" x14ac:dyDescent="0.2">
      <c r="AQ50726" s="31"/>
    </row>
    <row r="50727" spans="43:43" x14ac:dyDescent="0.2">
      <c r="AQ50727" s="31"/>
    </row>
    <row r="50728" spans="43:43" x14ac:dyDescent="0.2">
      <c r="AQ50728" s="31"/>
    </row>
    <row r="50729" spans="43:43" x14ac:dyDescent="0.2">
      <c r="AQ50729" s="31"/>
    </row>
    <row r="50730" spans="43:43" x14ac:dyDescent="0.2">
      <c r="AQ50730" s="31"/>
    </row>
    <row r="50731" spans="43:43" x14ac:dyDescent="0.2">
      <c r="AQ50731" s="31"/>
    </row>
    <row r="50732" spans="43:43" x14ac:dyDescent="0.2">
      <c r="AQ50732" s="31"/>
    </row>
    <row r="50733" spans="43:43" x14ac:dyDescent="0.2">
      <c r="AQ50733" s="31"/>
    </row>
    <row r="50734" spans="43:43" x14ac:dyDescent="0.2">
      <c r="AQ50734" s="31"/>
    </row>
    <row r="50735" spans="43:43" x14ac:dyDescent="0.2">
      <c r="AQ50735" s="31"/>
    </row>
    <row r="50736" spans="43:43" x14ac:dyDescent="0.2">
      <c r="AQ50736" s="31"/>
    </row>
    <row r="50737" spans="43:43" x14ac:dyDescent="0.2">
      <c r="AQ50737" s="31"/>
    </row>
    <row r="50738" spans="43:43" x14ac:dyDescent="0.2">
      <c r="AQ50738" s="31"/>
    </row>
    <row r="50739" spans="43:43" x14ac:dyDescent="0.2">
      <c r="AQ50739" s="31"/>
    </row>
    <row r="50740" spans="43:43" x14ac:dyDescent="0.2">
      <c r="AQ50740" s="31"/>
    </row>
    <row r="50741" spans="43:43" x14ac:dyDescent="0.2">
      <c r="AQ50741" s="31"/>
    </row>
    <row r="50742" spans="43:43" x14ac:dyDescent="0.2">
      <c r="AQ50742" s="31"/>
    </row>
    <row r="50743" spans="43:43" x14ac:dyDescent="0.2">
      <c r="AQ50743" s="31"/>
    </row>
    <row r="50744" spans="43:43" x14ac:dyDescent="0.2">
      <c r="AQ50744" s="31"/>
    </row>
    <row r="50745" spans="43:43" x14ac:dyDescent="0.2">
      <c r="AQ50745" s="31"/>
    </row>
    <row r="50746" spans="43:43" x14ac:dyDescent="0.2">
      <c r="AQ50746" s="31"/>
    </row>
    <row r="50747" spans="43:43" x14ac:dyDescent="0.2">
      <c r="AQ50747" s="31"/>
    </row>
    <row r="50748" spans="43:43" x14ac:dyDescent="0.2">
      <c r="AQ50748" s="31"/>
    </row>
    <row r="50749" spans="43:43" x14ac:dyDescent="0.2">
      <c r="AQ50749" s="31"/>
    </row>
    <row r="50750" spans="43:43" x14ac:dyDescent="0.2">
      <c r="AQ50750" s="31"/>
    </row>
    <row r="50751" spans="43:43" x14ac:dyDescent="0.2">
      <c r="AQ50751" s="31"/>
    </row>
    <row r="50752" spans="43:43" x14ac:dyDescent="0.2">
      <c r="AQ50752" s="31"/>
    </row>
    <row r="50753" spans="43:43" x14ac:dyDescent="0.2">
      <c r="AQ50753" s="31"/>
    </row>
    <row r="50754" spans="43:43" x14ac:dyDescent="0.2">
      <c r="AQ50754" s="31"/>
    </row>
    <row r="50755" spans="43:43" x14ac:dyDescent="0.2">
      <c r="AQ50755" s="31"/>
    </row>
    <row r="50756" spans="43:43" x14ac:dyDescent="0.2">
      <c r="AQ50756" s="31"/>
    </row>
    <row r="50757" spans="43:43" x14ac:dyDescent="0.2">
      <c r="AQ50757" s="31"/>
    </row>
    <row r="50758" spans="43:43" x14ac:dyDescent="0.2">
      <c r="AQ50758" s="31"/>
    </row>
    <row r="50759" spans="43:43" x14ac:dyDescent="0.2">
      <c r="AQ50759" s="31"/>
    </row>
    <row r="50760" spans="43:43" x14ac:dyDescent="0.2">
      <c r="AQ50760" s="31"/>
    </row>
    <row r="50761" spans="43:43" x14ac:dyDescent="0.2">
      <c r="AQ50761" s="31"/>
    </row>
    <row r="50762" spans="43:43" x14ac:dyDescent="0.2">
      <c r="AQ50762" s="31"/>
    </row>
    <row r="50763" spans="43:43" x14ac:dyDescent="0.2">
      <c r="AQ50763" s="31"/>
    </row>
    <row r="50764" spans="43:43" x14ac:dyDescent="0.2">
      <c r="AQ50764" s="31"/>
    </row>
    <row r="50765" spans="43:43" x14ac:dyDescent="0.2">
      <c r="AQ50765" s="31"/>
    </row>
    <row r="50766" spans="43:43" x14ac:dyDescent="0.2">
      <c r="AQ50766" s="31"/>
    </row>
    <row r="50767" spans="43:43" x14ac:dyDescent="0.2">
      <c r="AQ50767" s="31"/>
    </row>
    <row r="50768" spans="43:43" x14ac:dyDescent="0.2">
      <c r="AQ50768" s="31"/>
    </row>
    <row r="50769" spans="43:43" x14ac:dyDescent="0.2">
      <c r="AQ50769" s="31"/>
    </row>
    <row r="50770" spans="43:43" x14ac:dyDescent="0.2">
      <c r="AQ50770" s="31"/>
    </row>
    <row r="50771" spans="43:43" x14ac:dyDescent="0.2">
      <c r="AQ50771" s="31"/>
    </row>
    <row r="50772" spans="43:43" x14ac:dyDescent="0.2">
      <c r="AQ50772" s="31"/>
    </row>
    <row r="50773" spans="43:43" x14ac:dyDescent="0.2">
      <c r="AQ50773" s="31"/>
    </row>
    <row r="50774" spans="43:43" x14ac:dyDescent="0.2">
      <c r="AQ50774" s="31"/>
    </row>
    <row r="50775" spans="43:43" x14ac:dyDescent="0.2">
      <c r="AQ50775" s="31"/>
    </row>
    <row r="50776" spans="43:43" x14ac:dyDescent="0.2">
      <c r="AQ50776" s="31"/>
    </row>
    <row r="50777" spans="43:43" x14ac:dyDescent="0.2">
      <c r="AQ50777" s="31"/>
    </row>
    <row r="50778" spans="43:43" x14ac:dyDescent="0.2">
      <c r="AQ50778" s="31"/>
    </row>
    <row r="50779" spans="43:43" x14ac:dyDescent="0.2">
      <c r="AQ50779" s="31"/>
    </row>
    <row r="50780" spans="43:43" x14ac:dyDescent="0.2">
      <c r="AQ50780" s="31"/>
    </row>
    <row r="50781" spans="43:43" x14ac:dyDescent="0.2">
      <c r="AQ50781" s="31"/>
    </row>
    <row r="50782" spans="43:43" x14ac:dyDescent="0.2">
      <c r="AQ50782" s="31"/>
    </row>
    <row r="50783" spans="43:43" x14ac:dyDescent="0.2">
      <c r="AQ50783" s="31"/>
    </row>
    <row r="50784" spans="43:43" x14ac:dyDescent="0.2">
      <c r="AQ50784" s="31"/>
    </row>
    <row r="50785" spans="43:43" x14ac:dyDescent="0.2">
      <c r="AQ50785" s="31"/>
    </row>
    <row r="50786" spans="43:43" x14ac:dyDescent="0.2">
      <c r="AQ50786" s="31"/>
    </row>
    <row r="50787" spans="43:43" x14ac:dyDescent="0.2">
      <c r="AQ50787" s="31"/>
    </row>
    <row r="50788" spans="43:43" x14ac:dyDescent="0.2">
      <c r="AQ50788" s="31"/>
    </row>
    <row r="50789" spans="43:43" x14ac:dyDescent="0.2">
      <c r="AQ50789" s="31"/>
    </row>
    <row r="50790" spans="43:43" x14ac:dyDescent="0.2">
      <c r="AQ50790" s="31"/>
    </row>
    <row r="50791" spans="43:43" x14ac:dyDescent="0.2">
      <c r="AQ50791" s="31"/>
    </row>
    <row r="50792" spans="43:43" x14ac:dyDescent="0.2">
      <c r="AQ50792" s="31"/>
    </row>
    <row r="50793" spans="43:43" x14ac:dyDescent="0.2">
      <c r="AQ50793" s="31"/>
    </row>
    <row r="50794" spans="43:43" x14ac:dyDescent="0.2">
      <c r="AQ50794" s="31"/>
    </row>
    <row r="50795" spans="43:43" x14ac:dyDescent="0.2">
      <c r="AQ50795" s="31"/>
    </row>
    <row r="50796" spans="43:43" x14ac:dyDescent="0.2">
      <c r="AQ50796" s="31"/>
    </row>
    <row r="50797" spans="43:43" x14ac:dyDescent="0.2">
      <c r="AQ50797" s="31"/>
    </row>
    <row r="50798" spans="43:43" x14ac:dyDescent="0.2">
      <c r="AQ50798" s="31"/>
    </row>
    <row r="50799" spans="43:43" x14ac:dyDescent="0.2">
      <c r="AQ50799" s="31"/>
    </row>
    <row r="50800" spans="43:43" x14ac:dyDescent="0.2">
      <c r="AQ50800" s="31"/>
    </row>
    <row r="50801" spans="43:43" x14ac:dyDescent="0.2">
      <c r="AQ50801" s="31"/>
    </row>
    <row r="50802" spans="43:43" x14ac:dyDescent="0.2">
      <c r="AQ50802" s="31"/>
    </row>
    <row r="50803" spans="43:43" x14ac:dyDescent="0.2">
      <c r="AQ50803" s="31"/>
    </row>
    <row r="50804" spans="43:43" x14ac:dyDescent="0.2">
      <c r="AQ50804" s="31"/>
    </row>
    <row r="50805" spans="43:43" x14ac:dyDescent="0.2">
      <c r="AQ50805" s="31"/>
    </row>
    <row r="50806" spans="43:43" x14ac:dyDescent="0.2">
      <c r="AQ50806" s="31"/>
    </row>
    <row r="50807" spans="43:43" x14ac:dyDescent="0.2">
      <c r="AQ50807" s="31"/>
    </row>
    <row r="50808" spans="43:43" x14ac:dyDescent="0.2">
      <c r="AQ50808" s="31"/>
    </row>
    <row r="50809" spans="43:43" x14ac:dyDescent="0.2">
      <c r="AQ50809" s="31"/>
    </row>
    <row r="50810" spans="43:43" x14ac:dyDescent="0.2">
      <c r="AQ50810" s="31"/>
    </row>
    <row r="50811" spans="43:43" x14ac:dyDescent="0.2">
      <c r="AQ50811" s="31"/>
    </row>
    <row r="50812" spans="43:43" x14ac:dyDescent="0.2">
      <c r="AQ50812" s="31"/>
    </row>
    <row r="50813" spans="43:43" x14ac:dyDescent="0.2">
      <c r="AQ50813" s="31"/>
    </row>
    <row r="50814" spans="43:43" x14ac:dyDescent="0.2">
      <c r="AQ50814" s="31"/>
    </row>
    <row r="50815" spans="43:43" x14ac:dyDescent="0.2">
      <c r="AQ50815" s="31"/>
    </row>
    <row r="50816" spans="43:43" x14ac:dyDescent="0.2">
      <c r="AQ50816" s="31"/>
    </row>
    <row r="50817" spans="43:43" x14ac:dyDescent="0.2">
      <c r="AQ50817" s="31"/>
    </row>
    <row r="50818" spans="43:43" x14ac:dyDescent="0.2">
      <c r="AQ50818" s="31"/>
    </row>
    <row r="50819" spans="43:43" x14ac:dyDescent="0.2">
      <c r="AQ50819" s="31"/>
    </row>
    <row r="50820" spans="43:43" x14ac:dyDescent="0.2">
      <c r="AQ50820" s="31"/>
    </row>
    <row r="50821" spans="43:43" x14ac:dyDescent="0.2">
      <c r="AQ50821" s="31"/>
    </row>
    <row r="50822" spans="43:43" x14ac:dyDescent="0.2">
      <c r="AQ50822" s="31"/>
    </row>
    <row r="50823" spans="43:43" x14ac:dyDescent="0.2">
      <c r="AQ50823" s="31"/>
    </row>
    <row r="50824" spans="43:43" x14ac:dyDescent="0.2">
      <c r="AQ50824" s="31"/>
    </row>
    <row r="50825" spans="43:43" x14ac:dyDescent="0.2">
      <c r="AQ50825" s="31"/>
    </row>
    <row r="50826" spans="43:43" x14ac:dyDescent="0.2">
      <c r="AQ50826" s="31"/>
    </row>
    <row r="50827" spans="43:43" x14ac:dyDescent="0.2">
      <c r="AQ50827" s="31"/>
    </row>
    <row r="50828" spans="43:43" x14ac:dyDescent="0.2">
      <c r="AQ50828" s="31"/>
    </row>
    <row r="50829" spans="43:43" x14ac:dyDescent="0.2">
      <c r="AQ50829" s="31"/>
    </row>
    <row r="50830" spans="43:43" x14ac:dyDescent="0.2">
      <c r="AQ50830" s="31"/>
    </row>
    <row r="50831" spans="43:43" x14ac:dyDescent="0.2">
      <c r="AQ50831" s="31"/>
    </row>
    <row r="50832" spans="43:43" x14ac:dyDescent="0.2">
      <c r="AQ50832" s="31"/>
    </row>
    <row r="50833" spans="43:43" x14ac:dyDescent="0.2">
      <c r="AQ50833" s="31"/>
    </row>
    <row r="50834" spans="43:43" x14ac:dyDescent="0.2">
      <c r="AQ50834" s="31"/>
    </row>
    <row r="50835" spans="43:43" x14ac:dyDescent="0.2">
      <c r="AQ50835" s="31"/>
    </row>
    <row r="50836" spans="43:43" x14ac:dyDescent="0.2">
      <c r="AQ50836" s="31"/>
    </row>
    <row r="50837" spans="43:43" x14ac:dyDescent="0.2">
      <c r="AQ50837" s="31"/>
    </row>
    <row r="50838" spans="43:43" x14ac:dyDescent="0.2">
      <c r="AQ50838" s="31"/>
    </row>
    <row r="50839" spans="43:43" x14ac:dyDescent="0.2">
      <c r="AQ50839" s="31"/>
    </row>
    <row r="50840" spans="43:43" x14ac:dyDescent="0.2">
      <c r="AQ50840" s="31"/>
    </row>
    <row r="50841" spans="43:43" x14ac:dyDescent="0.2">
      <c r="AQ50841" s="31"/>
    </row>
    <row r="50842" spans="43:43" x14ac:dyDescent="0.2">
      <c r="AQ50842" s="31"/>
    </row>
    <row r="50843" spans="43:43" x14ac:dyDescent="0.2">
      <c r="AQ50843" s="31"/>
    </row>
    <row r="50844" spans="43:43" x14ac:dyDescent="0.2">
      <c r="AQ50844" s="31"/>
    </row>
    <row r="50845" spans="43:43" x14ac:dyDescent="0.2">
      <c r="AQ50845" s="31"/>
    </row>
    <row r="50846" spans="43:43" x14ac:dyDescent="0.2">
      <c r="AQ50846" s="31"/>
    </row>
    <row r="50847" spans="43:43" x14ac:dyDescent="0.2">
      <c r="AQ50847" s="31"/>
    </row>
    <row r="50848" spans="43:43" x14ac:dyDescent="0.2">
      <c r="AQ50848" s="31"/>
    </row>
    <row r="50849" spans="43:43" x14ac:dyDescent="0.2">
      <c r="AQ50849" s="31"/>
    </row>
    <row r="50850" spans="43:43" x14ac:dyDescent="0.2">
      <c r="AQ50850" s="31"/>
    </row>
    <row r="50851" spans="43:43" x14ac:dyDescent="0.2">
      <c r="AQ50851" s="31"/>
    </row>
    <row r="50852" spans="43:43" x14ac:dyDescent="0.2">
      <c r="AQ50852" s="31"/>
    </row>
    <row r="50853" spans="43:43" x14ac:dyDescent="0.2">
      <c r="AQ50853" s="31"/>
    </row>
    <row r="50854" spans="43:43" x14ac:dyDescent="0.2">
      <c r="AQ50854" s="31"/>
    </row>
    <row r="50855" spans="43:43" x14ac:dyDescent="0.2">
      <c r="AQ50855" s="31"/>
    </row>
    <row r="50856" spans="43:43" x14ac:dyDescent="0.2">
      <c r="AQ50856" s="31"/>
    </row>
    <row r="50857" spans="43:43" x14ac:dyDescent="0.2">
      <c r="AQ50857" s="31"/>
    </row>
    <row r="50858" spans="43:43" x14ac:dyDescent="0.2">
      <c r="AQ50858" s="31"/>
    </row>
    <row r="50859" spans="43:43" x14ac:dyDescent="0.2">
      <c r="AQ50859" s="31"/>
    </row>
    <row r="50860" spans="43:43" x14ac:dyDescent="0.2">
      <c r="AQ50860" s="31"/>
    </row>
    <row r="50861" spans="43:43" x14ac:dyDescent="0.2">
      <c r="AQ50861" s="31"/>
    </row>
    <row r="50862" spans="43:43" x14ac:dyDescent="0.2">
      <c r="AQ50862" s="31"/>
    </row>
    <row r="50863" spans="43:43" x14ac:dyDescent="0.2">
      <c r="AQ50863" s="31"/>
    </row>
    <row r="50864" spans="43:43" x14ac:dyDescent="0.2">
      <c r="AQ50864" s="31"/>
    </row>
    <row r="50865" spans="43:43" x14ac:dyDescent="0.2">
      <c r="AQ50865" s="31"/>
    </row>
    <row r="50866" spans="43:43" x14ac:dyDescent="0.2">
      <c r="AQ50866" s="31"/>
    </row>
    <row r="50867" spans="43:43" x14ac:dyDescent="0.2">
      <c r="AQ50867" s="31"/>
    </row>
    <row r="50868" spans="43:43" x14ac:dyDescent="0.2">
      <c r="AQ50868" s="31"/>
    </row>
    <row r="50869" spans="43:43" x14ac:dyDescent="0.2">
      <c r="AQ50869" s="31"/>
    </row>
    <row r="50870" spans="43:43" x14ac:dyDescent="0.2">
      <c r="AQ50870" s="31"/>
    </row>
    <row r="50871" spans="43:43" x14ac:dyDescent="0.2">
      <c r="AQ50871" s="31"/>
    </row>
    <row r="50872" spans="43:43" x14ac:dyDescent="0.2">
      <c r="AQ50872" s="31"/>
    </row>
    <row r="50873" spans="43:43" x14ac:dyDescent="0.2">
      <c r="AQ50873" s="31"/>
    </row>
    <row r="50874" spans="43:43" x14ac:dyDescent="0.2">
      <c r="AQ50874" s="31"/>
    </row>
    <row r="50875" spans="43:43" x14ac:dyDescent="0.2">
      <c r="AQ50875" s="31"/>
    </row>
    <row r="50876" spans="43:43" x14ac:dyDescent="0.2">
      <c r="AQ50876" s="31"/>
    </row>
    <row r="50877" spans="43:43" x14ac:dyDescent="0.2">
      <c r="AQ50877" s="31"/>
    </row>
    <row r="50878" spans="43:43" x14ac:dyDescent="0.2">
      <c r="AQ50878" s="31"/>
    </row>
    <row r="50879" spans="43:43" x14ac:dyDescent="0.2">
      <c r="AQ50879" s="31"/>
    </row>
    <row r="50880" spans="43:43" x14ac:dyDescent="0.2">
      <c r="AQ50880" s="31"/>
    </row>
    <row r="50881" spans="43:43" x14ac:dyDescent="0.2">
      <c r="AQ50881" s="31"/>
    </row>
    <row r="50882" spans="43:43" x14ac:dyDescent="0.2">
      <c r="AQ50882" s="31"/>
    </row>
    <row r="50883" spans="43:43" x14ac:dyDescent="0.2">
      <c r="AQ50883" s="31"/>
    </row>
    <row r="50884" spans="43:43" x14ac:dyDescent="0.2">
      <c r="AQ50884" s="31"/>
    </row>
    <row r="50885" spans="43:43" x14ac:dyDescent="0.2">
      <c r="AQ50885" s="31"/>
    </row>
    <row r="50886" spans="43:43" x14ac:dyDescent="0.2">
      <c r="AQ50886" s="31"/>
    </row>
    <row r="50887" spans="43:43" x14ac:dyDescent="0.2">
      <c r="AQ50887" s="31"/>
    </row>
    <row r="50888" spans="43:43" x14ac:dyDescent="0.2">
      <c r="AQ50888" s="31"/>
    </row>
    <row r="50889" spans="43:43" x14ac:dyDescent="0.2">
      <c r="AQ50889" s="31"/>
    </row>
    <row r="50890" spans="43:43" x14ac:dyDescent="0.2">
      <c r="AQ50890" s="31"/>
    </row>
    <row r="50891" spans="43:43" x14ac:dyDescent="0.2">
      <c r="AQ50891" s="31"/>
    </row>
    <row r="50892" spans="43:43" x14ac:dyDescent="0.2">
      <c r="AQ50892" s="31"/>
    </row>
    <row r="50893" spans="43:43" x14ac:dyDescent="0.2">
      <c r="AQ50893" s="31"/>
    </row>
    <row r="50894" spans="43:43" x14ac:dyDescent="0.2">
      <c r="AQ50894" s="31"/>
    </row>
    <row r="50895" spans="43:43" x14ac:dyDescent="0.2">
      <c r="AQ50895" s="31"/>
    </row>
    <row r="50896" spans="43:43" x14ac:dyDescent="0.2">
      <c r="AQ50896" s="31"/>
    </row>
    <row r="50897" spans="43:43" x14ac:dyDescent="0.2">
      <c r="AQ50897" s="31"/>
    </row>
    <row r="50898" spans="43:43" x14ac:dyDescent="0.2">
      <c r="AQ50898" s="31"/>
    </row>
    <row r="50899" spans="43:43" x14ac:dyDescent="0.2">
      <c r="AQ50899" s="31"/>
    </row>
    <row r="50900" spans="43:43" x14ac:dyDescent="0.2">
      <c r="AQ50900" s="31"/>
    </row>
    <row r="50901" spans="43:43" x14ac:dyDescent="0.2">
      <c r="AQ50901" s="31"/>
    </row>
    <row r="50902" spans="43:43" x14ac:dyDescent="0.2">
      <c r="AQ50902" s="31"/>
    </row>
    <row r="50903" spans="43:43" x14ac:dyDescent="0.2">
      <c r="AQ50903" s="31"/>
    </row>
    <row r="50904" spans="43:43" x14ac:dyDescent="0.2">
      <c r="AQ50904" s="31"/>
    </row>
    <row r="50905" spans="43:43" x14ac:dyDescent="0.2">
      <c r="AQ50905" s="31"/>
    </row>
    <row r="50906" spans="43:43" x14ac:dyDescent="0.2">
      <c r="AQ50906" s="31"/>
    </row>
    <row r="50907" spans="43:43" x14ac:dyDescent="0.2">
      <c r="AQ50907" s="31"/>
    </row>
    <row r="50908" spans="43:43" x14ac:dyDescent="0.2">
      <c r="AQ50908" s="31"/>
    </row>
    <row r="50909" spans="43:43" x14ac:dyDescent="0.2">
      <c r="AQ50909" s="31"/>
    </row>
    <row r="50910" spans="43:43" x14ac:dyDescent="0.2">
      <c r="AQ50910" s="31"/>
    </row>
    <row r="50911" spans="43:43" x14ac:dyDescent="0.2">
      <c r="AQ50911" s="31"/>
    </row>
    <row r="50912" spans="43:43" x14ac:dyDescent="0.2">
      <c r="AQ50912" s="31"/>
    </row>
    <row r="50913" spans="43:43" x14ac:dyDescent="0.2">
      <c r="AQ50913" s="31"/>
    </row>
    <row r="50914" spans="43:43" x14ac:dyDescent="0.2">
      <c r="AQ50914" s="31"/>
    </row>
    <row r="50915" spans="43:43" x14ac:dyDescent="0.2">
      <c r="AQ50915" s="31"/>
    </row>
    <row r="50916" spans="43:43" x14ac:dyDescent="0.2">
      <c r="AQ50916" s="31"/>
    </row>
    <row r="50917" spans="43:43" x14ac:dyDescent="0.2">
      <c r="AQ50917" s="31"/>
    </row>
    <row r="50918" spans="43:43" x14ac:dyDescent="0.2">
      <c r="AQ50918" s="31"/>
    </row>
    <row r="50919" spans="43:43" x14ac:dyDescent="0.2">
      <c r="AQ50919" s="31"/>
    </row>
    <row r="50920" spans="43:43" x14ac:dyDescent="0.2">
      <c r="AQ50920" s="31"/>
    </row>
    <row r="50921" spans="43:43" x14ac:dyDescent="0.2">
      <c r="AQ50921" s="31"/>
    </row>
    <row r="50922" spans="43:43" x14ac:dyDescent="0.2">
      <c r="AQ50922" s="31"/>
    </row>
    <row r="50923" spans="43:43" x14ac:dyDescent="0.2">
      <c r="AQ50923" s="31"/>
    </row>
    <row r="50924" spans="43:43" x14ac:dyDescent="0.2">
      <c r="AQ50924" s="31"/>
    </row>
    <row r="50925" spans="43:43" x14ac:dyDescent="0.2">
      <c r="AQ50925" s="31"/>
    </row>
    <row r="50926" spans="43:43" x14ac:dyDescent="0.2">
      <c r="AQ50926" s="31"/>
    </row>
    <row r="50927" spans="43:43" x14ac:dyDescent="0.2">
      <c r="AQ50927" s="31"/>
    </row>
    <row r="50928" spans="43:43" x14ac:dyDescent="0.2">
      <c r="AQ50928" s="31"/>
    </row>
    <row r="50929" spans="43:43" x14ac:dyDescent="0.2">
      <c r="AQ50929" s="31"/>
    </row>
    <row r="50930" spans="43:43" x14ac:dyDescent="0.2">
      <c r="AQ50930" s="31"/>
    </row>
    <row r="50931" spans="43:43" x14ac:dyDescent="0.2">
      <c r="AQ50931" s="31"/>
    </row>
    <row r="50932" spans="43:43" x14ac:dyDescent="0.2">
      <c r="AQ50932" s="31"/>
    </row>
    <row r="50933" spans="43:43" x14ac:dyDescent="0.2">
      <c r="AQ50933" s="31"/>
    </row>
    <row r="50934" spans="43:43" x14ac:dyDescent="0.2">
      <c r="AQ50934" s="31"/>
    </row>
    <row r="50935" spans="43:43" x14ac:dyDescent="0.2">
      <c r="AQ50935" s="31"/>
    </row>
    <row r="50936" spans="43:43" x14ac:dyDescent="0.2">
      <c r="AQ50936" s="31"/>
    </row>
    <row r="50937" spans="43:43" x14ac:dyDescent="0.2">
      <c r="AQ50937" s="31"/>
    </row>
    <row r="50938" spans="43:43" x14ac:dyDescent="0.2">
      <c r="AQ50938" s="31"/>
    </row>
    <row r="50939" spans="43:43" x14ac:dyDescent="0.2">
      <c r="AQ50939" s="31"/>
    </row>
    <row r="50940" spans="43:43" x14ac:dyDescent="0.2">
      <c r="AQ50940" s="31"/>
    </row>
    <row r="50941" spans="43:43" x14ac:dyDescent="0.2">
      <c r="AQ50941" s="31"/>
    </row>
    <row r="50942" spans="43:43" x14ac:dyDescent="0.2">
      <c r="AQ50942" s="31"/>
    </row>
    <row r="50943" spans="43:43" x14ac:dyDescent="0.2">
      <c r="AQ50943" s="31"/>
    </row>
    <row r="50944" spans="43:43" x14ac:dyDescent="0.2">
      <c r="AQ50944" s="31"/>
    </row>
    <row r="50945" spans="43:43" x14ac:dyDescent="0.2">
      <c r="AQ50945" s="31"/>
    </row>
    <row r="50946" spans="43:43" x14ac:dyDescent="0.2">
      <c r="AQ50946" s="31"/>
    </row>
    <row r="50947" spans="43:43" x14ac:dyDescent="0.2">
      <c r="AQ50947" s="31"/>
    </row>
    <row r="50948" spans="43:43" x14ac:dyDescent="0.2">
      <c r="AQ50948" s="31"/>
    </row>
    <row r="50949" spans="43:43" x14ac:dyDescent="0.2">
      <c r="AQ50949" s="31"/>
    </row>
    <row r="50950" spans="43:43" x14ac:dyDescent="0.2">
      <c r="AQ50950" s="31"/>
    </row>
    <row r="50951" spans="43:43" x14ac:dyDescent="0.2">
      <c r="AQ50951" s="31"/>
    </row>
    <row r="50952" spans="43:43" x14ac:dyDescent="0.2">
      <c r="AQ50952" s="31"/>
    </row>
    <row r="50953" spans="43:43" x14ac:dyDescent="0.2">
      <c r="AQ50953" s="31"/>
    </row>
    <row r="50954" spans="43:43" x14ac:dyDescent="0.2">
      <c r="AQ50954" s="31"/>
    </row>
    <row r="50955" spans="43:43" x14ac:dyDescent="0.2">
      <c r="AQ50955" s="31"/>
    </row>
    <row r="50956" spans="43:43" x14ac:dyDescent="0.2">
      <c r="AQ50956" s="31"/>
    </row>
    <row r="50957" spans="43:43" x14ac:dyDescent="0.2">
      <c r="AQ50957" s="31"/>
    </row>
    <row r="50958" spans="43:43" x14ac:dyDescent="0.2">
      <c r="AQ50958" s="31"/>
    </row>
    <row r="50959" spans="43:43" x14ac:dyDescent="0.2">
      <c r="AQ50959" s="31"/>
    </row>
    <row r="50960" spans="43:43" x14ac:dyDescent="0.2">
      <c r="AQ50960" s="31"/>
    </row>
    <row r="50961" spans="43:43" x14ac:dyDescent="0.2">
      <c r="AQ50961" s="31"/>
    </row>
    <row r="50962" spans="43:43" x14ac:dyDescent="0.2">
      <c r="AQ50962" s="31"/>
    </row>
    <row r="50963" spans="43:43" x14ac:dyDescent="0.2">
      <c r="AQ50963" s="31"/>
    </row>
    <row r="50964" spans="43:43" x14ac:dyDescent="0.2">
      <c r="AQ50964" s="31"/>
    </row>
    <row r="50965" spans="43:43" x14ac:dyDescent="0.2">
      <c r="AQ50965" s="31"/>
    </row>
    <row r="50966" spans="43:43" x14ac:dyDescent="0.2">
      <c r="AQ50966" s="31"/>
    </row>
    <row r="50967" spans="43:43" x14ac:dyDescent="0.2">
      <c r="AQ50967" s="31"/>
    </row>
    <row r="50968" spans="43:43" x14ac:dyDescent="0.2">
      <c r="AQ50968" s="31"/>
    </row>
    <row r="50969" spans="43:43" x14ac:dyDescent="0.2">
      <c r="AQ50969" s="31"/>
    </row>
    <row r="50970" spans="43:43" x14ac:dyDescent="0.2">
      <c r="AQ50970" s="31"/>
    </row>
    <row r="50971" spans="43:43" x14ac:dyDescent="0.2">
      <c r="AQ50971" s="31"/>
    </row>
    <row r="50972" spans="43:43" x14ac:dyDescent="0.2">
      <c r="AQ50972" s="31"/>
    </row>
    <row r="50973" spans="43:43" x14ac:dyDescent="0.2">
      <c r="AQ50973" s="31"/>
    </row>
    <row r="50974" spans="43:43" x14ac:dyDescent="0.2">
      <c r="AQ50974" s="31"/>
    </row>
    <row r="50975" spans="43:43" x14ac:dyDescent="0.2">
      <c r="AQ50975" s="31"/>
    </row>
    <row r="50976" spans="43:43" x14ac:dyDescent="0.2">
      <c r="AQ50976" s="31"/>
    </row>
    <row r="50977" spans="43:43" x14ac:dyDescent="0.2">
      <c r="AQ50977" s="31"/>
    </row>
    <row r="50978" spans="43:43" x14ac:dyDescent="0.2">
      <c r="AQ50978" s="31"/>
    </row>
    <row r="50979" spans="43:43" x14ac:dyDescent="0.2">
      <c r="AQ50979" s="31"/>
    </row>
    <row r="50980" spans="43:43" x14ac:dyDescent="0.2">
      <c r="AQ50980" s="31"/>
    </row>
    <row r="50981" spans="43:43" x14ac:dyDescent="0.2">
      <c r="AQ50981" s="31"/>
    </row>
    <row r="50982" spans="43:43" x14ac:dyDescent="0.2">
      <c r="AQ50982" s="31"/>
    </row>
    <row r="50983" spans="43:43" x14ac:dyDescent="0.2">
      <c r="AQ50983" s="31"/>
    </row>
    <row r="50984" spans="43:43" x14ac:dyDescent="0.2">
      <c r="AQ50984" s="31"/>
    </row>
    <row r="50985" spans="43:43" x14ac:dyDescent="0.2">
      <c r="AQ50985" s="31"/>
    </row>
    <row r="50986" spans="43:43" x14ac:dyDescent="0.2">
      <c r="AQ50986" s="31"/>
    </row>
    <row r="50987" spans="43:43" x14ac:dyDescent="0.2">
      <c r="AQ50987" s="31"/>
    </row>
    <row r="50988" spans="43:43" x14ac:dyDescent="0.2">
      <c r="AQ50988" s="31"/>
    </row>
    <row r="50989" spans="43:43" x14ac:dyDescent="0.2">
      <c r="AQ50989" s="31"/>
    </row>
    <row r="50990" spans="43:43" x14ac:dyDescent="0.2">
      <c r="AQ50990" s="31"/>
    </row>
    <row r="50991" spans="43:43" x14ac:dyDescent="0.2">
      <c r="AQ50991" s="31"/>
    </row>
    <row r="50992" spans="43:43" x14ac:dyDescent="0.2">
      <c r="AQ50992" s="31"/>
    </row>
    <row r="50993" spans="43:43" x14ac:dyDescent="0.2">
      <c r="AQ50993" s="31"/>
    </row>
    <row r="50994" spans="43:43" x14ac:dyDescent="0.2">
      <c r="AQ50994" s="31"/>
    </row>
    <row r="50995" spans="43:43" x14ac:dyDescent="0.2">
      <c r="AQ50995" s="31"/>
    </row>
    <row r="50996" spans="43:43" x14ac:dyDescent="0.2">
      <c r="AQ50996" s="31"/>
    </row>
    <row r="50997" spans="43:43" x14ac:dyDescent="0.2">
      <c r="AQ50997" s="31"/>
    </row>
    <row r="50998" spans="43:43" x14ac:dyDescent="0.2">
      <c r="AQ50998" s="31"/>
    </row>
    <row r="50999" spans="43:43" x14ac:dyDescent="0.2">
      <c r="AQ50999" s="31"/>
    </row>
    <row r="51000" spans="43:43" x14ac:dyDescent="0.2">
      <c r="AQ51000" s="31"/>
    </row>
    <row r="51001" spans="43:43" x14ac:dyDescent="0.2">
      <c r="AQ51001" s="31"/>
    </row>
    <row r="51002" spans="43:43" x14ac:dyDescent="0.2">
      <c r="AQ51002" s="31"/>
    </row>
    <row r="51003" spans="43:43" x14ac:dyDescent="0.2">
      <c r="AQ51003" s="31"/>
    </row>
    <row r="51004" spans="43:43" x14ac:dyDescent="0.2">
      <c r="AQ51004" s="31"/>
    </row>
    <row r="51005" spans="43:43" x14ac:dyDescent="0.2">
      <c r="AQ51005" s="31"/>
    </row>
    <row r="51006" spans="43:43" x14ac:dyDescent="0.2">
      <c r="AQ51006" s="31"/>
    </row>
    <row r="51007" spans="43:43" x14ac:dyDescent="0.2">
      <c r="AQ51007" s="31"/>
    </row>
    <row r="51008" spans="43:43" x14ac:dyDescent="0.2">
      <c r="AQ51008" s="31"/>
    </row>
    <row r="51009" spans="43:43" x14ac:dyDescent="0.2">
      <c r="AQ51009" s="31"/>
    </row>
    <row r="51010" spans="43:43" x14ac:dyDescent="0.2">
      <c r="AQ51010" s="31"/>
    </row>
    <row r="51011" spans="43:43" x14ac:dyDescent="0.2">
      <c r="AQ51011" s="31"/>
    </row>
    <row r="51012" spans="43:43" x14ac:dyDescent="0.2">
      <c r="AQ51012" s="31"/>
    </row>
    <row r="51013" spans="43:43" x14ac:dyDescent="0.2">
      <c r="AQ51013" s="31"/>
    </row>
    <row r="51014" spans="43:43" x14ac:dyDescent="0.2">
      <c r="AQ51014" s="31"/>
    </row>
    <row r="51015" spans="43:43" x14ac:dyDescent="0.2">
      <c r="AQ51015" s="31"/>
    </row>
    <row r="51016" spans="43:43" x14ac:dyDescent="0.2">
      <c r="AQ51016" s="31"/>
    </row>
    <row r="51017" spans="43:43" x14ac:dyDescent="0.2">
      <c r="AQ51017" s="31"/>
    </row>
    <row r="51018" spans="43:43" x14ac:dyDescent="0.2">
      <c r="AQ51018" s="31"/>
    </row>
    <row r="51019" spans="43:43" x14ac:dyDescent="0.2">
      <c r="AQ51019" s="31"/>
    </row>
    <row r="51020" spans="43:43" x14ac:dyDescent="0.2">
      <c r="AQ51020" s="31"/>
    </row>
    <row r="51021" spans="43:43" x14ac:dyDescent="0.2">
      <c r="AQ51021" s="31"/>
    </row>
    <row r="51022" spans="43:43" x14ac:dyDescent="0.2">
      <c r="AQ51022" s="31"/>
    </row>
    <row r="51023" spans="43:43" x14ac:dyDescent="0.2">
      <c r="AQ51023" s="31"/>
    </row>
    <row r="51024" spans="43:43" x14ac:dyDescent="0.2">
      <c r="AQ51024" s="31"/>
    </row>
    <row r="51025" spans="43:43" x14ac:dyDescent="0.2">
      <c r="AQ51025" s="31"/>
    </row>
    <row r="51026" spans="43:43" x14ac:dyDescent="0.2">
      <c r="AQ51026" s="31"/>
    </row>
    <row r="51027" spans="43:43" x14ac:dyDescent="0.2">
      <c r="AQ51027" s="31"/>
    </row>
    <row r="51028" spans="43:43" x14ac:dyDescent="0.2">
      <c r="AQ51028" s="31"/>
    </row>
    <row r="51029" spans="43:43" x14ac:dyDescent="0.2">
      <c r="AQ51029" s="31"/>
    </row>
    <row r="51030" spans="43:43" x14ac:dyDescent="0.2">
      <c r="AQ51030" s="31"/>
    </row>
    <row r="51031" spans="43:43" x14ac:dyDescent="0.2">
      <c r="AQ51031" s="31"/>
    </row>
    <row r="51032" spans="43:43" x14ac:dyDescent="0.2">
      <c r="AQ51032" s="31"/>
    </row>
    <row r="51033" spans="43:43" x14ac:dyDescent="0.2">
      <c r="AQ51033" s="31"/>
    </row>
    <row r="51034" spans="43:43" x14ac:dyDescent="0.2">
      <c r="AQ51034" s="31"/>
    </row>
    <row r="51035" spans="43:43" x14ac:dyDescent="0.2">
      <c r="AQ51035" s="31"/>
    </row>
    <row r="51036" spans="43:43" x14ac:dyDescent="0.2">
      <c r="AQ51036" s="31"/>
    </row>
    <row r="51037" spans="43:43" x14ac:dyDescent="0.2">
      <c r="AQ51037" s="31"/>
    </row>
    <row r="51038" spans="43:43" x14ac:dyDescent="0.2">
      <c r="AQ51038" s="31"/>
    </row>
    <row r="51039" spans="43:43" x14ac:dyDescent="0.2">
      <c r="AQ51039" s="31"/>
    </row>
    <row r="51040" spans="43:43" x14ac:dyDescent="0.2">
      <c r="AQ51040" s="31"/>
    </row>
    <row r="51041" spans="43:43" x14ac:dyDescent="0.2">
      <c r="AQ51041" s="31"/>
    </row>
    <row r="51042" spans="43:43" x14ac:dyDescent="0.2">
      <c r="AQ51042" s="31"/>
    </row>
    <row r="51043" spans="43:43" x14ac:dyDescent="0.2">
      <c r="AQ51043" s="31"/>
    </row>
    <row r="51044" spans="43:43" x14ac:dyDescent="0.2">
      <c r="AQ51044" s="31"/>
    </row>
    <row r="51045" spans="43:43" x14ac:dyDescent="0.2">
      <c r="AQ51045" s="31"/>
    </row>
    <row r="51046" spans="43:43" x14ac:dyDescent="0.2">
      <c r="AQ51046" s="31"/>
    </row>
    <row r="51047" spans="43:43" x14ac:dyDescent="0.2">
      <c r="AQ51047" s="31"/>
    </row>
    <row r="51048" spans="43:43" x14ac:dyDescent="0.2">
      <c r="AQ51048" s="31"/>
    </row>
    <row r="51049" spans="43:43" x14ac:dyDescent="0.2">
      <c r="AQ51049" s="31"/>
    </row>
    <row r="51050" spans="43:43" x14ac:dyDescent="0.2">
      <c r="AQ51050" s="31"/>
    </row>
    <row r="51051" spans="43:43" x14ac:dyDescent="0.2">
      <c r="AQ51051" s="31"/>
    </row>
    <row r="51052" spans="43:43" x14ac:dyDescent="0.2">
      <c r="AQ51052" s="31"/>
    </row>
    <row r="51053" spans="43:43" x14ac:dyDescent="0.2">
      <c r="AQ51053" s="31"/>
    </row>
    <row r="51054" spans="43:43" x14ac:dyDescent="0.2">
      <c r="AQ51054" s="31"/>
    </row>
    <row r="51055" spans="43:43" x14ac:dyDescent="0.2">
      <c r="AQ51055" s="31"/>
    </row>
    <row r="51056" spans="43:43" x14ac:dyDescent="0.2">
      <c r="AQ51056" s="31"/>
    </row>
    <row r="51057" spans="43:43" x14ac:dyDescent="0.2">
      <c r="AQ51057" s="31"/>
    </row>
    <row r="51058" spans="43:43" x14ac:dyDescent="0.2">
      <c r="AQ51058" s="31"/>
    </row>
    <row r="51059" spans="43:43" x14ac:dyDescent="0.2">
      <c r="AQ51059" s="31"/>
    </row>
    <row r="51060" spans="43:43" x14ac:dyDescent="0.2">
      <c r="AQ51060" s="31"/>
    </row>
    <row r="51061" spans="43:43" x14ac:dyDescent="0.2">
      <c r="AQ51061" s="31"/>
    </row>
    <row r="51062" spans="43:43" x14ac:dyDescent="0.2">
      <c r="AQ51062" s="31"/>
    </row>
    <row r="51063" spans="43:43" x14ac:dyDescent="0.2">
      <c r="AQ51063" s="31"/>
    </row>
    <row r="51064" spans="43:43" x14ac:dyDescent="0.2">
      <c r="AQ51064" s="31"/>
    </row>
    <row r="51065" spans="43:43" x14ac:dyDescent="0.2">
      <c r="AQ51065" s="31"/>
    </row>
    <row r="51066" spans="43:43" x14ac:dyDescent="0.2">
      <c r="AQ51066" s="31"/>
    </row>
    <row r="51067" spans="43:43" x14ac:dyDescent="0.2">
      <c r="AQ51067" s="31"/>
    </row>
    <row r="51068" spans="43:43" x14ac:dyDescent="0.2">
      <c r="AQ51068" s="31"/>
    </row>
    <row r="51069" spans="43:43" x14ac:dyDescent="0.2">
      <c r="AQ51069" s="31"/>
    </row>
    <row r="51070" spans="43:43" x14ac:dyDescent="0.2">
      <c r="AQ51070" s="31"/>
    </row>
    <row r="51071" spans="43:43" x14ac:dyDescent="0.2">
      <c r="AQ51071" s="31"/>
    </row>
    <row r="51072" spans="43:43" x14ac:dyDescent="0.2">
      <c r="AQ51072" s="31"/>
    </row>
    <row r="51073" spans="43:43" x14ac:dyDescent="0.2">
      <c r="AQ51073" s="31"/>
    </row>
    <row r="51074" spans="43:43" x14ac:dyDescent="0.2">
      <c r="AQ51074" s="31"/>
    </row>
    <row r="51075" spans="43:43" x14ac:dyDescent="0.2">
      <c r="AQ51075" s="31"/>
    </row>
    <row r="51076" spans="43:43" x14ac:dyDescent="0.2">
      <c r="AQ51076" s="31"/>
    </row>
    <row r="51077" spans="43:43" x14ac:dyDescent="0.2">
      <c r="AQ51077" s="31"/>
    </row>
    <row r="51078" spans="43:43" x14ac:dyDescent="0.2">
      <c r="AQ51078" s="31"/>
    </row>
    <row r="51079" spans="43:43" x14ac:dyDescent="0.2">
      <c r="AQ51079" s="31"/>
    </row>
    <row r="51080" spans="43:43" x14ac:dyDescent="0.2">
      <c r="AQ51080" s="31"/>
    </row>
    <row r="51081" spans="43:43" x14ac:dyDescent="0.2">
      <c r="AQ51081" s="31"/>
    </row>
    <row r="51082" spans="43:43" x14ac:dyDescent="0.2">
      <c r="AQ51082" s="31"/>
    </row>
    <row r="51083" spans="43:43" x14ac:dyDescent="0.2">
      <c r="AQ51083" s="31"/>
    </row>
    <row r="51084" spans="43:43" x14ac:dyDescent="0.2">
      <c r="AQ51084" s="31"/>
    </row>
    <row r="51085" spans="43:43" x14ac:dyDescent="0.2">
      <c r="AQ51085" s="31"/>
    </row>
    <row r="51086" spans="43:43" x14ac:dyDescent="0.2">
      <c r="AQ51086" s="31"/>
    </row>
    <row r="51087" spans="43:43" x14ac:dyDescent="0.2">
      <c r="AQ51087" s="31"/>
    </row>
    <row r="51088" spans="43:43" x14ac:dyDescent="0.2">
      <c r="AQ51088" s="31"/>
    </row>
    <row r="51089" spans="43:43" x14ac:dyDescent="0.2">
      <c r="AQ51089" s="31"/>
    </row>
    <row r="51090" spans="43:43" x14ac:dyDescent="0.2">
      <c r="AQ51090" s="31"/>
    </row>
    <row r="51091" spans="43:43" x14ac:dyDescent="0.2">
      <c r="AQ51091" s="31"/>
    </row>
    <row r="51092" spans="43:43" x14ac:dyDescent="0.2">
      <c r="AQ51092" s="31"/>
    </row>
    <row r="51093" spans="43:43" x14ac:dyDescent="0.2">
      <c r="AQ51093" s="31"/>
    </row>
    <row r="51094" spans="43:43" x14ac:dyDescent="0.2">
      <c r="AQ51094" s="31"/>
    </row>
    <row r="51095" spans="43:43" x14ac:dyDescent="0.2">
      <c r="AQ51095" s="31"/>
    </row>
    <row r="51096" spans="43:43" x14ac:dyDescent="0.2">
      <c r="AQ51096" s="31"/>
    </row>
    <row r="51097" spans="43:43" x14ac:dyDescent="0.2">
      <c r="AQ51097" s="31"/>
    </row>
    <row r="51098" spans="43:43" x14ac:dyDescent="0.2">
      <c r="AQ51098" s="31"/>
    </row>
    <row r="51099" spans="43:43" x14ac:dyDescent="0.2">
      <c r="AQ51099" s="31"/>
    </row>
    <row r="51100" spans="43:43" x14ac:dyDescent="0.2">
      <c r="AQ51100" s="31"/>
    </row>
    <row r="51101" spans="43:43" x14ac:dyDescent="0.2">
      <c r="AQ51101" s="31"/>
    </row>
    <row r="51102" spans="43:43" x14ac:dyDescent="0.2">
      <c r="AQ51102" s="31"/>
    </row>
    <row r="51103" spans="43:43" x14ac:dyDescent="0.2">
      <c r="AQ51103" s="31"/>
    </row>
    <row r="51104" spans="43:43" x14ac:dyDescent="0.2">
      <c r="AQ51104" s="31"/>
    </row>
    <row r="51105" spans="43:43" x14ac:dyDescent="0.2">
      <c r="AQ51105" s="31"/>
    </row>
    <row r="51106" spans="43:43" x14ac:dyDescent="0.2">
      <c r="AQ51106" s="31"/>
    </row>
    <row r="51107" spans="43:43" x14ac:dyDescent="0.2">
      <c r="AQ51107" s="31"/>
    </row>
    <row r="51108" spans="43:43" x14ac:dyDescent="0.2">
      <c r="AQ51108" s="31"/>
    </row>
    <row r="51109" spans="43:43" x14ac:dyDescent="0.2">
      <c r="AQ51109" s="31"/>
    </row>
    <row r="51110" spans="43:43" x14ac:dyDescent="0.2">
      <c r="AQ51110" s="31"/>
    </row>
    <row r="51111" spans="43:43" x14ac:dyDescent="0.2">
      <c r="AQ51111" s="31"/>
    </row>
    <row r="51112" spans="43:43" x14ac:dyDescent="0.2">
      <c r="AQ51112" s="31"/>
    </row>
    <row r="51113" spans="43:43" x14ac:dyDescent="0.2">
      <c r="AQ51113" s="31"/>
    </row>
    <row r="51114" spans="43:43" x14ac:dyDescent="0.2">
      <c r="AQ51114" s="31"/>
    </row>
    <row r="51115" spans="43:43" x14ac:dyDescent="0.2">
      <c r="AQ51115" s="31"/>
    </row>
    <row r="51116" spans="43:43" x14ac:dyDescent="0.2">
      <c r="AQ51116" s="31"/>
    </row>
    <row r="51117" spans="43:43" x14ac:dyDescent="0.2">
      <c r="AQ51117" s="31"/>
    </row>
    <row r="51118" spans="43:43" x14ac:dyDescent="0.2">
      <c r="AQ51118" s="31"/>
    </row>
    <row r="51119" spans="43:43" x14ac:dyDescent="0.2">
      <c r="AQ51119" s="31"/>
    </row>
    <row r="51120" spans="43:43" x14ac:dyDescent="0.2">
      <c r="AQ51120" s="31"/>
    </row>
    <row r="51121" spans="43:43" x14ac:dyDescent="0.2">
      <c r="AQ51121" s="31"/>
    </row>
    <row r="51122" spans="43:43" x14ac:dyDescent="0.2">
      <c r="AQ51122" s="31"/>
    </row>
    <row r="51123" spans="43:43" x14ac:dyDescent="0.2">
      <c r="AQ51123" s="31"/>
    </row>
    <row r="51124" spans="43:43" x14ac:dyDescent="0.2">
      <c r="AQ51124" s="31"/>
    </row>
    <row r="51125" spans="43:43" x14ac:dyDescent="0.2">
      <c r="AQ51125" s="31"/>
    </row>
    <row r="51126" spans="43:43" x14ac:dyDescent="0.2">
      <c r="AQ51126" s="31"/>
    </row>
    <row r="51127" spans="43:43" x14ac:dyDescent="0.2">
      <c r="AQ51127" s="31"/>
    </row>
    <row r="51128" spans="43:43" x14ac:dyDescent="0.2">
      <c r="AQ51128" s="31"/>
    </row>
    <row r="51129" spans="43:43" x14ac:dyDescent="0.2">
      <c r="AQ51129" s="31"/>
    </row>
    <row r="51130" spans="43:43" x14ac:dyDescent="0.2">
      <c r="AQ51130" s="31"/>
    </row>
    <row r="51131" spans="43:43" x14ac:dyDescent="0.2">
      <c r="AQ51131" s="31"/>
    </row>
    <row r="51132" spans="43:43" x14ac:dyDescent="0.2">
      <c r="AQ51132" s="31"/>
    </row>
    <row r="51133" spans="43:43" x14ac:dyDescent="0.2">
      <c r="AQ51133" s="31"/>
    </row>
    <row r="51134" spans="43:43" x14ac:dyDescent="0.2">
      <c r="AQ51134" s="31"/>
    </row>
    <row r="51135" spans="43:43" x14ac:dyDescent="0.2">
      <c r="AQ51135" s="31"/>
    </row>
    <row r="51136" spans="43:43" x14ac:dyDescent="0.2">
      <c r="AQ51136" s="31"/>
    </row>
    <row r="51137" spans="43:43" x14ac:dyDescent="0.2">
      <c r="AQ51137" s="31"/>
    </row>
    <row r="51138" spans="43:43" x14ac:dyDescent="0.2">
      <c r="AQ51138" s="31"/>
    </row>
    <row r="51139" spans="43:43" x14ac:dyDescent="0.2">
      <c r="AQ51139" s="31"/>
    </row>
    <row r="51140" spans="43:43" x14ac:dyDescent="0.2">
      <c r="AQ51140" s="31"/>
    </row>
    <row r="51141" spans="43:43" x14ac:dyDescent="0.2">
      <c r="AQ51141" s="31"/>
    </row>
    <row r="51142" spans="43:43" x14ac:dyDescent="0.2">
      <c r="AQ51142" s="31"/>
    </row>
    <row r="51143" spans="43:43" x14ac:dyDescent="0.2">
      <c r="AQ51143" s="31"/>
    </row>
    <row r="51144" spans="43:43" x14ac:dyDescent="0.2">
      <c r="AQ51144" s="31"/>
    </row>
    <row r="51145" spans="43:43" x14ac:dyDescent="0.2">
      <c r="AQ51145" s="31"/>
    </row>
    <row r="51146" spans="43:43" x14ac:dyDescent="0.2">
      <c r="AQ51146" s="31"/>
    </row>
    <row r="51147" spans="43:43" x14ac:dyDescent="0.2">
      <c r="AQ51147" s="31"/>
    </row>
    <row r="51148" spans="43:43" x14ac:dyDescent="0.2">
      <c r="AQ51148" s="31"/>
    </row>
    <row r="51149" spans="43:43" x14ac:dyDescent="0.2">
      <c r="AQ51149" s="31"/>
    </row>
    <row r="51150" spans="43:43" x14ac:dyDescent="0.2">
      <c r="AQ51150" s="31"/>
    </row>
    <row r="51151" spans="43:43" x14ac:dyDescent="0.2">
      <c r="AQ51151" s="31"/>
    </row>
    <row r="51152" spans="43:43" x14ac:dyDescent="0.2">
      <c r="AQ51152" s="31"/>
    </row>
    <row r="51153" spans="43:43" x14ac:dyDescent="0.2">
      <c r="AQ51153" s="31"/>
    </row>
    <row r="51154" spans="43:43" x14ac:dyDescent="0.2">
      <c r="AQ51154" s="31"/>
    </row>
    <row r="51155" spans="43:43" x14ac:dyDescent="0.2">
      <c r="AQ51155" s="31"/>
    </row>
    <row r="51156" spans="43:43" x14ac:dyDescent="0.2">
      <c r="AQ51156" s="31"/>
    </row>
    <row r="51157" spans="43:43" x14ac:dyDescent="0.2">
      <c r="AQ51157" s="31"/>
    </row>
    <row r="51158" spans="43:43" x14ac:dyDescent="0.2">
      <c r="AQ51158" s="31"/>
    </row>
    <row r="51159" spans="43:43" x14ac:dyDescent="0.2">
      <c r="AQ51159" s="31"/>
    </row>
    <row r="51160" spans="43:43" x14ac:dyDescent="0.2">
      <c r="AQ51160" s="31"/>
    </row>
    <row r="51161" spans="43:43" x14ac:dyDescent="0.2">
      <c r="AQ51161" s="31"/>
    </row>
    <row r="51162" spans="43:43" x14ac:dyDescent="0.2">
      <c r="AQ51162" s="31"/>
    </row>
    <row r="51163" spans="43:43" x14ac:dyDescent="0.2">
      <c r="AQ51163" s="31"/>
    </row>
    <row r="51164" spans="43:43" x14ac:dyDescent="0.2">
      <c r="AQ51164" s="31"/>
    </row>
    <row r="51165" spans="43:43" x14ac:dyDescent="0.2">
      <c r="AQ51165" s="31"/>
    </row>
    <row r="51166" spans="43:43" x14ac:dyDescent="0.2">
      <c r="AQ51166" s="31"/>
    </row>
    <row r="51167" spans="43:43" x14ac:dyDescent="0.2">
      <c r="AQ51167" s="31"/>
    </row>
    <row r="51168" spans="43:43" x14ac:dyDescent="0.2">
      <c r="AQ51168" s="31"/>
    </row>
    <row r="51169" spans="43:43" x14ac:dyDescent="0.2">
      <c r="AQ51169" s="31"/>
    </row>
    <row r="51170" spans="43:43" x14ac:dyDescent="0.2">
      <c r="AQ51170" s="31"/>
    </row>
    <row r="51171" spans="43:43" x14ac:dyDescent="0.2">
      <c r="AQ51171" s="31"/>
    </row>
    <row r="51172" spans="43:43" x14ac:dyDescent="0.2">
      <c r="AQ51172" s="31"/>
    </row>
    <row r="51173" spans="43:43" x14ac:dyDescent="0.2">
      <c r="AQ51173" s="31"/>
    </row>
    <row r="51174" spans="43:43" x14ac:dyDescent="0.2">
      <c r="AQ51174" s="31"/>
    </row>
    <row r="51175" spans="43:43" x14ac:dyDescent="0.2">
      <c r="AQ51175" s="31"/>
    </row>
    <row r="51176" spans="43:43" x14ac:dyDescent="0.2">
      <c r="AQ51176" s="31"/>
    </row>
    <row r="51177" spans="43:43" x14ac:dyDescent="0.2">
      <c r="AQ51177" s="31"/>
    </row>
    <row r="51178" spans="43:43" x14ac:dyDescent="0.2">
      <c r="AQ51178" s="31"/>
    </row>
    <row r="51179" spans="43:43" x14ac:dyDescent="0.2">
      <c r="AQ51179" s="31"/>
    </row>
    <row r="51180" spans="43:43" x14ac:dyDescent="0.2">
      <c r="AQ51180" s="31"/>
    </row>
    <row r="51181" spans="43:43" x14ac:dyDescent="0.2">
      <c r="AQ51181" s="31"/>
    </row>
    <row r="51182" spans="43:43" x14ac:dyDescent="0.2">
      <c r="AQ51182" s="31"/>
    </row>
    <row r="51183" spans="43:43" x14ac:dyDescent="0.2">
      <c r="AQ51183" s="31"/>
    </row>
    <row r="51184" spans="43:43" x14ac:dyDescent="0.2">
      <c r="AQ51184" s="31"/>
    </row>
    <row r="51185" spans="43:43" x14ac:dyDescent="0.2">
      <c r="AQ51185" s="31"/>
    </row>
    <row r="51186" spans="43:43" x14ac:dyDescent="0.2">
      <c r="AQ51186" s="31"/>
    </row>
    <row r="51187" spans="43:43" x14ac:dyDescent="0.2">
      <c r="AQ51187" s="31"/>
    </row>
    <row r="51188" spans="43:43" x14ac:dyDescent="0.2">
      <c r="AQ51188" s="31"/>
    </row>
    <row r="51189" spans="43:43" x14ac:dyDescent="0.2">
      <c r="AQ51189" s="31"/>
    </row>
    <row r="51190" spans="43:43" x14ac:dyDescent="0.2">
      <c r="AQ51190" s="31"/>
    </row>
    <row r="51191" spans="43:43" x14ac:dyDescent="0.2">
      <c r="AQ51191" s="31"/>
    </row>
    <row r="51192" spans="43:43" x14ac:dyDescent="0.2">
      <c r="AQ51192" s="31"/>
    </row>
    <row r="51193" spans="43:43" x14ac:dyDescent="0.2">
      <c r="AQ51193" s="31"/>
    </row>
    <row r="51194" spans="43:43" x14ac:dyDescent="0.2">
      <c r="AQ51194" s="31"/>
    </row>
    <row r="51195" spans="43:43" x14ac:dyDescent="0.2">
      <c r="AQ51195" s="31"/>
    </row>
    <row r="51196" spans="43:43" x14ac:dyDescent="0.2">
      <c r="AQ51196" s="31"/>
    </row>
    <row r="51197" spans="43:43" x14ac:dyDescent="0.2">
      <c r="AQ51197" s="31"/>
    </row>
    <row r="51198" spans="43:43" x14ac:dyDescent="0.2">
      <c r="AQ51198" s="31"/>
    </row>
    <row r="51199" spans="43:43" x14ac:dyDescent="0.2">
      <c r="AQ51199" s="31"/>
    </row>
    <row r="51200" spans="43:43" x14ac:dyDescent="0.2">
      <c r="AQ51200" s="31"/>
    </row>
    <row r="51201" spans="43:43" x14ac:dyDescent="0.2">
      <c r="AQ51201" s="31"/>
    </row>
    <row r="51202" spans="43:43" x14ac:dyDescent="0.2">
      <c r="AQ51202" s="31"/>
    </row>
    <row r="51203" spans="43:43" x14ac:dyDescent="0.2">
      <c r="AQ51203" s="31"/>
    </row>
    <row r="51204" spans="43:43" x14ac:dyDescent="0.2">
      <c r="AQ51204" s="31"/>
    </row>
    <row r="51205" spans="43:43" x14ac:dyDescent="0.2">
      <c r="AQ51205" s="31"/>
    </row>
    <row r="51206" spans="43:43" x14ac:dyDescent="0.2">
      <c r="AQ51206" s="31"/>
    </row>
    <row r="51207" spans="43:43" x14ac:dyDescent="0.2">
      <c r="AQ51207" s="31"/>
    </row>
    <row r="51208" spans="43:43" x14ac:dyDescent="0.2">
      <c r="AQ51208" s="31"/>
    </row>
    <row r="51209" spans="43:43" x14ac:dyDescent="0.2">
      <c r="AQ51209" s="31"/>
    </row>
    <row r="51210" spans="43:43" x14ac:dyDescent="0.2">
      <c r="AQ51210" s="31"/>
    </row>
    <row r="51211" spans="43:43" x14ac:dyDescent="0.2">
      <c r="AQ51211" s="31"/>
    </row>
    <row r="51212" spans="43:43" x14ac:dyDescent="0.2">
      <c r="AQ51212" s="31"/>
    </row>
    <row r="51213" spans="43:43" x14ac:dyDescent="0.2">
      <c r="AQ51213" s="31"/>
    </row>
    <row r="51214" spans="43:43" x14ac:dyDescent="0.2">
      <c r="AQ51214" s="31"/>
    </row>
    <row r="51215" spans="43:43" x14ac:dyDescent="0.2">
      <c r="AQ51215" s="31"/>
    </row>
    <row r="51216" spans="43:43" x14ac:dyDescent="0.2">
      <c r="AQ51216" s="31"/>
    </row>
    <row r="51217" spans="43:43" x14ac:dyDescent="0.2">
      <c r="AQ51217" s="31"/>
    </row>
    <row r="51218" spans="43:43" x14ac:dyDescent="0.2">
      <c r="AQ51218" s="31"/>
    </row>
    <row r="51219" spans="43:43" x14ac:dyDescent="0.2">
      <c r="AQ51219" s="31"/>
    </row>
    <row r="51220" spans="43:43" x14ac:dyDescent="0.2">
      <c r="AQ51220" s="31"/>
    </row>
    <row r="51221" spans="43:43" x14ac:dyDescent="0.2">
      <c r="AQ51221" s="31"/>
    </row>
    <row r="51222" spans="43:43" x14ac:dyDescent="0.2">
      <c r="AQ51222" s="31"/>
    </row>
    <row r="51223" spans="43:43" x14ac:dyDescent="0.2">
      <c r="AQ51223" s="31"/>
    </row>
    <row r="51224" spans="43:43" x14ac:dyDescent="0.2">
      <c r="AQ51224" s="31"/>
    </row>
    <row r="51225" spans="43:43" x14ac:dyDescent="0.2">
      <c r="AQ51225" s="31"/>
    </row>
    <row r="51226" spans="43:43" x14ac:dyDescent="0.2">
      <c r="AQ51226" s="31"/>
    </row>
    <row r="51227" spans="43:43" x14ac:dyDescent="0.2">
      <c r="AQ51227" s="31"/>
    </row>
    <row r="51228" spans="43:43" x14ac:dyDescent="0.2">
      <c r="AQ51228" s="31"/>
    </row>
    <row r="51229" spans="43:43" x14ac:dyDescent="0.2">
      <c r="AQ51229" s="31"/>
    </row>
    <row r="51230" spans="43:43" x14ac:dyDescent="0.2">
      <c r="AQ51230" s="31"/>
    </row>
    <row r="51231" spans="43:43" x14ac:dyDescent="0.2">
      <c r="AQ51231" s="31"/>
    </row>
    <row r="51232" spans="43:43" x14ac:dyDescent="0.2">
      <c r="AQ51232" s="31"/>
    </row>
    <row r="51233" spans="43:43" x14ac:dyDescent="0.2">
      <c r="AQ51233" s="31"/>
    </row>
    <row r="51234" spans="43:43" x14ac:dyDescent="0.2">
      <c r="AQ51234" s="31"/>
    </row>
    <row r="51235" spans="43:43" x14ac:dyDescent="0.2">
      <c r="AQ51235" s="31"/>
    </row>
    <row r="51236" spans="43:43" x14ac:dyDescent="0.2">
      <c r="AQ51236" s="31"/>
    </row>
    <row r="51237" spans="43:43" x14ac:dyDescent="0.2">
      <c r="AQ51237" s="31"/>
    </row>
    <row r="51238" spans="43:43" x14ac:dyDescent="0.2">
      <c r="AQ51238" s="31"/>
    </row>
    <row r="51239" spans="43:43" x14ac:dyDescent="0.2">
      <c r="AQ51239" s="31"/>
    </row>
    <row r="51240" spans="43:43" x14ac:dyDescent="0.2">
      <c r="AQ51240" s="31"/>
    </row>
    <row r="51241" spans="43:43" x14ac:dyDescent="0.2">
      <c r="AQ51241" s="31"/>
    </row>
    <row r="51242" spans="43:43" x14ac:dyDescent="0.2">
      <c r="AQ51242" s="31"/>
    </row>
    <row r="51243" spans="43:43" x14ac:dyDescent="0.2">
      <c r="AQ51243" s="31"/>
    </row>
    <row r="51244" spans="43:43" x14ac:dyDescent="0.2">
      <c r="AQ51244" s="31"/>
    </row>
    <row r="51245" spans="43:43" x14ac:dyDescent="0.2">
      <c r="AQ51245" s="31"/>
    </row>
    <row r="51246" spans="43:43" x14ac:dyDescent="0.2">
      <c r="AQ51246" s="31"/>
    </row>
    <row r="51247" spans="43:43" x14ac:dyDescent="0.2">
      <c r="AQ51247" s="31"/>
    </row>
    <row r="51248" spans="43:43" x14ac:dyDescent="0.2">
      <c r="AQ51248" s="31"/>
    </row>
    <row r="51249" spans="43:43" x14ac:dyDescent="0.2">
      <c r="AQ51249" s="31"/>
    </row>
    <row r="51250" spans="43:43" x14ac:dyDescent="0.2">
      <c r="AQ51250" s="31"/>
    </row>
    <row r="51251" spans="43:43" x14ac:dyDescent="0.2">
      <c r="AQ51251" s="31"/>
    </row>
    <row r="51252" spans="43:43" x14ac:dyDescent="0.2">
      <c r="AQ51252" s="31"/>
    </row>
    <row r="51253" spans="43:43" x14ac:dyDescent="0.2">
      <c r="AQ51253" s="31"/>
    </row>
    <row r="51254" spans="43:43" x14ac:dyDescent="0.2">
      <c r="AQ51254" s="31"/>
    </row>
    <row r="51255" spans="43:43" x14ac:dyDescent="0.2">
      <c r="AQ51255" s="31"/>
    </row>
    <row r="51256" spans="43:43" x14ac:dyDescent="0.2">
      <c r="AQ51256" s="31"/>
    </row>
    <row r="51257" spans="43:43" x14ac:dyDescent="0.2">
      <c r="AQ51257" s="31"/>
    </row>
    <row r="51258" spans="43:43" x14ac:dyDescent="0.2">
      <c r="AQ51258" s="31"/>
    </row>
    <row r="51259" spans="43:43" x14ac:dyDescent="0.2">
      <c r="AQ51259" s="31"/>
    </row>
    <row r="51260" spans="43:43" x14ac:dyDescent="0.2">
      <c r="AQ51260" s="31"/>
    </row>
    <row r="51261" spans="43:43" x14ac:dyDescent="0.2">
      <c r="AQ51261" s="31"/>
    </row>
    <row r="51262" spans="43:43" x14ac:dyDescent="0.2">
      <c r="AQ51262" s="31"/>
    </row>
    <row r="51263" spans="43:43" x14ac:dyDescent="0.2">
      <c r="AQ51263" s="31"/>
    </row>
    <row r="51264" spans="43:43" x14ac:dyDescent="0.2">
      <c r="AQ51264" s="31"/>
    </row>
    <row r="51265" spans="43:43" x14ac:dyDescent="0.2">
      <c r="AQ51265" s="31"/>
    </row>
    <row r="51266" spans="43:43" x14ac:dyDescent="0.2">
      <c r="AQ51266" s="31"/>
    </row>
    <row r="51267" spans="43:43" x14ac:dyDescent="0.2">
      <c r="AQ51267" s="31"/>
    </row>
    <row r="51268" spans="43:43" x14ac:dyDescent="0.2">
      <c r="AQ51268" s="31"/>
    </row>
    <row r="51269" spans="43:43" x14ac:dyDescent="0.2">
      <c r="AQ51269" s="31"/>
    </row>
    <row r="51270" spans="43:43" x14ac:dyDescent="0.2">
      <c r="AQ51270" s="31"/>
    </row>
    <row r="51271" spans="43:43" x14ac:dyDescent="0.2">
      <c r="AQ51271" s="31"/>
    </row>
    <row r="51272" spans="43:43" x14ac:dyDescent="0.2">
      <c r="AQ51272" s="31"/>
    </row>
    <row r="51273" spans="43:43" x14ac:dyDescent="0.2">
      <c r="AQ51273" s="31"/>
    </row>
    <row r="51274" spans="43:43" x14ac:dyDescent="0.2">
      <c r="AQ51274" s="31"/>
    </row>
    <row r="51275" spans="43:43" x14ac:dyDescent="0.2">
      <c r="AQ51275" s="31"/>
    </row>
    <row r="51276" spans="43:43" x14ac:dyDescent="0.2">
      <c r="AQ51276" s="31"/>
    </row>
    <row r="51277" spans="43:43" x14ac:dyDescent="0.2">
      <c r="AQ51277" s="31"/>
    </row>
    <row r="51278" spans="43:43" x14ac:dyDescent="0.2">
      <c r="AQ51278" s="31"/>
    </row>
    <row r="51279" spans="43:43" x14ac:dyDescent="0.2">
      <c r="AQ51279" s="31"/>
    </row>
    <row r="51280" spans="43:43" x14ac:dyDescent="0.2">
      <c r="AQ51280" s="31"/>
    </row>
    <row r="51281" spans="43:43" x14ac:dyDescent="0.2">
      <c r="AQ51281" s="31"/>
    </row>
    <row r="51282" spans="43:43" x14ac:dyDescent="0.2">
      <c r="AQ51282" s="31"/>
    </row>
    <row r="51283" spans="43:43" x14ac:dyDescent="0.2">
      <c r="AQ51283" s="31"/>
    </row>
    <row r="51284" spans="43:43" x14ac:dyDescent="0.2">
      <c r="AQ51284" s="31"/>
    </row>
    <row r="51285" spans="43:43" x14ac:dyDescent="0.2">
      <c r="AQ51285" s="31"/>
    </row>
    <row r="51286" spans="43:43" x14ac:dyDescent="0.2">
      <c r="AQ51286" s="31"/>
    </row>
    <row r="51287" spans="43:43" x14ac:dyDescent="0.2">
      <c r="AQ51287" s="31"/>
    </row>
    <row r="51288" spans="43:43" x14ac:dyDescent="0.2">
      <c r="AQ51288" s="31"/>
    </row>
    <row r="51289" spans="43:43" x14ac:dyDescent="0.2">
      <c r="AQ51289" s="31"/>
    </row>
    <row r="51290" spans="43:43" x14ac:dyDescent="0.2">
      <c r="AQ51290" s="31"/>
    </row>
    <row r="51291" spans="43:43" x14ac:dyDescent="0.2">
      <c r="AQ51291" s="31"/>
    </row>
    <row r="51292" spans="43:43" x14ac:dyDescent="0.2">
      <c r="AQ51292" s="31"/>
    </row>
    <row r="51293" spans="43:43" x14ac:dyDescent="0.2">
      <c r="AQ51293" s="31"/>
    </row>
    <row r="51294" spans="43:43" x14ac:dyDescent="0.2">
      <c r="AQ51294" s="31"/>
    </row>
    <row r="51295" spans="43:43" x14ac:dyDescent="0.2">
      <c r="AQ51295" s="31"/>
    </row>
    <row r="51296" spans="43:43" x14ac:dyDescent="0.2">
      <c r="AQ51296" s="31"/>
    </row>
    <row r="51297" spans="43:43" x14ac:dyDescent="0.2">
      <c r="AQ51297" s="31"/>
    </row>
    <row r="51298" spans="43:43" x14ac:dyDescent="0.2">
      <c r="AQ51298" s="31"/>
    </row>
    <row r="51299" spans="43:43" x14ac:dyDescent="0.2">
      <c r="AQ51299" s="31"/>
    </row>
    <row r="51300" spans="43:43" x14ac:dyDescent="0.2">
      <c r="AQ51300" s="31"/>
    </row>
    <row r="51301" spans="43:43" x14ac:dyDescent="0.2">
      <c r="AQ51301" s="31"/>
    </row>
    <row r="51302" spans="43:43" x14ac:dyDescent="0.2">
      <c r="AQ51302" s="31"/>
    </row>
    <row r="51303" spans="43:43" x14ac:dyDescent="0.2">
      <c r="AQ51303" s="31"/>
    </row>
    <row r="51304" spans="43:43" x14ac:dyDescent="0.2">
      <c r="AQ51304" s="31"/>
    </row>
    <row r="51305" spans="43:43" x14ac:dyDescent="0.2">
      <c r="AQ51305" s="31"/>
    </row>
    <row r="51306" spans="43:43" x14ac:dyDescent="0.2">
      <c r="AQ51306" s="31"/>
    </row>
    <row r="51307" spans="43:43" x14ac:dyDescent="0.2">
      <c r="AQ51307" s="31"/>
    </row>
    <row r="51308" spans="43:43" x14ac:dyDescent="0.2">
      <c r="AQ51308" s="31"/>
    </row>
    <row r="51309" spans="43:43" x14ac:dyDescent="0.2">
      <c r="AQ51309" s="31"/>
    </row>
    <row r="51310" spans="43:43" x14ac:dyDescent="0.2">
      <c r="AQ51310" s="31"/>
    </row>
    <row r="51311" spans="43:43" x14ac:dyDescent="0.2">
      <c r="AQ51311" s="31"/>
    </row>
    <row r="51312" spans="43:43" x14ac:dyDescent="0.2">
      <c r="AQ51312" s="31"/>
    </row>
    <row r="51313" spans="43:43" x14ac:dyDescent="0.2">
      <c r="AQ51313" s="31"/>
    </row>
    <row r="51314" spans="43:43" x14ac:dyDescent="0.2">
      <c r="AQ51314" s="31"/>
    </row>
    <row r="51315" spans="43:43" x14ac:dyDescent="0.2">
      <c r="AQ51315" s="31"/>
    </row>
    <row r="51316" spans="43:43" x14ac:dyDescent="0.2">
      <c r="AQ51316" s="31"/>
    </row>
    <row r="51317" spans="43:43" x14ac:dyDescent="0.2">
      <c r="AQ51317" s="31"/>
    </row>
    <row r="51318" spans="43:43" x14ac:dyDescent="0.2">
      <c r="AQ51318" s="31"/>
    </row>
    <row r="51319" spans="43:43" x14ac:dyDescent="0.2">
      <c r="AQ51319" s="31"/>
    </row>
    <row r="51320" spans="43:43" x14ac:dyDescent="0.2">
      <c r="AQ51320" s="31"/>
    </row>
    <row r="51321" spans="43:43" x14ac:dyDescent="0.2">
      <c r="AQ51321" s="31"/>
    </row>
    <row r="51322" spans="43:43" x14ac:dyDescent="0.2">
      <c r="AQ51322" s="31"/>
    </row>
    <row r="51323" spans="43:43" x14ac:dyDescent="0.2">
      <c r="AQ51323" s="31"/>
    </row>
    <row r="51324" spans="43:43" x14ac:dyDescent="0.2">
      <c r="AQ51324" s="31"/>
    </row>
    <row r="51325" spans="43:43" x14ac:dyDescent="0.2">
      <c r="AQ51325" s="31"/>
    </row>
    <row r="51326" spans="43:43" x14ac:dyDescent="0.2">
      <c r="AQ51326" s="31"/>
    </row>
    <row r="51327" spans="43:43" x14ac:dyDescent="0.2">
      <c r="AQ51327" s="31"/>
    </row>
    <row r="51328" spans="43:43" x14ac:dyDescent="0.2">
      <c r="AQ51328" s="31"/>
    </row>
    <row r="51329" spans="43:43" x14ac:dyDescent="0.2">
      <c r="AQ51329" s="31"/>
    </row>
    <row r="51330" spans="43:43" x14ac:dyDescent="0.2">
      <c r="AQ51330" s="31"/>
    </row>
    <row r="51331" spans="43:43" x14ac:dyDescent="0.2">
      <c r="AQ51331" s="31"/>
    </row>
    <row r="51332" spans="43:43" x14ac:dyDescent="0.2">
      <c r="AQ51332" s="31"/>
    </row>
    <row r="51333" spans="43:43" x14ac:dyDescent="0.2">
      <c r="AQ51333" s="31"/>
    </row>
    <row r="51334" spans="43:43" x14ac:dyDescent="0.2">
      <c r="AQ51334" s="31"/>
    </row>
    <row r="51335" spans="43:43" x14ac:dyDescent="0.2">
      <c r="AQ51335" s="31"/>
    </row>
    <row r="51336" spans="43:43" x14ac:dyDescent="0.2">
      <c r="AQ51336" s="31"/>
    </row>
    <row r="51337" spans="43:43" x14ac:dyDescent="0.2">
      <c r="AQ51337" s="31"/>
    </row>
    <row r="51338" spans="43:43" x14ac:dyDescent="0.2">
      <c r="AQ51338" s="31"/>
    </row>
    <row r="51339" spans="43:43" x14ac:dyDescent="0.2">
      <c r="AQ51339" s="31"/>
    </row>
    <row r="51340" spans="43:43" x14ac:dyDescent="0.2">
      <c r="AQ51340" s="31"/>
    </row>
    <row r="51341" spans="43:43" x14ac:dyDescent="0.2">
      <c r="AQ51341" s="31"/>
    </row>
    <row r="51342" spans="43:43" x14ac:dyDescent="0.2">
      <c r="AQ51342" s="31"/>
    </row>
    <row r="51343" spans="43:43" x14ac:dyDescent="0.2">
      <c r="AQ51343" s="31"/>
    </row>
    <row r="51344" spans="43:43" x14ac:dyDescent="0.2">
      <c r="AQ51344" s="31"/>
    </row>
    <row r="51345" spans="43:43" x14ac:dyDescent="0.2">
      <c r="AQ51345" s="31"/>
    </row>
    <row r="51346" spans="43:43" x14ac:dyDescent="0.2">
      <c r="AQ51346" s="31"/>
    </row>
    <row r="51347" spans="43:43" x14ac:dyDescent="0.2">
      <c r="AQ51347" s="31"/>
    </row>
    <row r="51348" spans="43:43" x14ac:dyDescent="0.2">
      <c r="AQ51348" s="31"/>
    </row>
    <row r="51349" spans="43:43" x14ac:dyDescent="0.2">
      <c r="AQ51349" s="31"/>
    </row>
    <row r="51350" spans="43:43" x14ac:dyDescent="0.2">
      <c r="AQ51350" s="31"/>
    </row>
    <row r="51351" spans="43:43" x14ac:dyDescent="0.2">
      <c r="AQ51351" s="31"/>
    </row>
    <row r="51352" spans="43:43" x14ac:dyDescent="0.2">
      <c r="AQ51352" s="31"/>
    </row>
    <row r="51353" spans="43:43" x14ac:dyDescent="0.2">
      <c r="AQ51353" s="31"/>
    </row>
    <row r="51354" spans="43:43" x14ac:dyDescent="0.2">
      <c r="AQ51354" s="31"/>
    </row>
    <row r="51355" spans="43:43" x14ac:dyDescent="0.2">
      <c r="AQ51355" s="31"/>
    </row>
    <row r="51356" spans="43:43" x14ac:dyDescent="0.2">
      <c r="AQ51356" s="31"/>
    </row>
    <row r="51357" spans="43:43" x14ac:dyDescent="0.2">
      <c r="AQ51357" s="31"/>
    </row>
    <row r="51358" spans="43:43" x14ac:dyDescent="0.2">
      <c r="AQ51358" s="31"/>
    </row>
    <row r="51359" spans="43:43" x14ac:dyDescent="0.2">
      <c r="AQ51359" s="31"/>
    </row>
    <row r="51360" spans="43:43" x14ac:dyDescent="0.2">
      <c r="AQ51360" s="31"/>
    </row>
    <row r="51361" spans="43:43" x14ac:dyDescent="0.2">
      <c r="AQ51361" s="31"/>
    </row>
    <row r="51362" spans="43:43" x14ac:dyDescent="0.2">
      <c r="AQ51362" s="31"/>
    </row>
    <row r="51363" spans="43:43" x14ac:dyDescent="0.2">
      <c r="AQ51363" s="31"/>
    </row>
    <row r="51364" spans="43:43" x14ac:dyDescent="0.2">
      <c r="AQ51364" s="31"/>
    </row>
    <row r="51365" spans="43:43" x14ac:dyDescent="0.2">
      <c r="AQ51365" s="31"/>
    </row>
    <row r="51366" spans="43:43" x14ac:dyDescent="0.2">
      <c r="AQ51366" s="31"/>
    </row>
    <row r="51367" spans="43:43" x14ac:dyDescent="0.2">
      <c r="AQ51367" s="31"/>
    </row>
    <row r="51368" spans="43:43" x14ac:dyDescent="0.2">
      <c r="AQ51368" s="31"/>
    </row>
    <row r="51369" spans="43:43" x14ac:dyDescent="0.2">
      <c r="AQ51369" s="31"/>
    </row>
    <row r="51370" spans="43:43" x14ac:dyDescent="0.2">
      <c r="AQ51370" s="31"/>
    </row>
    <row r="51371" spans="43:43" x14ac:dyDescent="0.2">
      <c r="AQ51371" s="31"/>
    </row>
    <row r="51372" spans="43:43" x14ac:dyDescent="0.2">
      <c r="AQ51372" s="31"/>
    </row>
    <row r="51373" spans="43:43" x14ac:dyDescent="0.2">
      <c r="AQ51373" s="31"/>
    </row>
    <row r="51374" spans="43:43" x14ac:dyDescent="0.2">
      <c r="AQ51374" s="31"/>
    </row>
    <row r="51375" spans="43:43" x14ac:dyDescent="0.2">
      <c r="AQ51375" s="31"/>
    </row>
    <row r="51376" spans="43:43" x14ac:dyDescent="0.2">
      <c r="AQ51376" s="31"/>
    </row>
    <row r="51377" spans="43:43" x14ac:dyDescent="0.2">
      <c r="AQ51377" s="31"/>
    </row>
    <row r="51378" spans="43:43" x14ac:dyDescent="0.2">
      <c r="AQ51378" s="31"/>
    </row>
    <row r="51379" spans="43:43" x14ac:dyDescent="0.2">
      <c r="AQ51379" s="31"/>
    </row>
    <row r="51380" spans="43:43" x14ac:dyDescent="0.2">
      <c r="AQ51380" s="31"/>
    </row>
    <row r="51381" spans="43:43" x14ac:dyDescent="0.2">
      <c r="AQ51381" s="31"/>
    </row>
    <row r="51382" spans="43:43" x14ac:dyDescent="0.2">
      <c r="AQ51382" s="31"/>
    </row>
    <row r="51383" spans="43:43" x14ac:dyDescent="0.2">
      <c r="AQ51383" s="31"/>
    </row>
    <row r="51384" spans="43:43" x14ac:dyDescent="0.2">
      <c r="AQ51384" s="31"/>
    </row>
    <row r="51385" spans="43:43" x14ac:dyDescent="0.2">
      <c r="AQ51385" s="31"/>
    </row>
    <row r="51386" spans="43:43" x14ac:dyDescent="0.2">
      <c r="AQ51386" s="31"/>
    </row>
    <row r="51387" spans="43:43" x14ac:dyDescent="0.2">
      <c r="AQ51387" s="31"/>
    </row>
    <row r="51388" spans="43:43" x14ac:dyDescent="0.2">
      <c r="AQ51388" s="31"/>
    </row>
    <row r="51389" spans="43:43" x14ac:dyDescent="0.2">
      <c r="AQ51389" s="31"/>
    </row>
    <row r="51390" spans="43:43" x14ac:dyDescent="0.2">
      <c r="AQ51390" s="31"/>
    </row>
    <row r="51391" spans="43:43" x14ac:dyDescent="0.2">
      <c r="AQ51391" s="31"/>
    </row>
    <row r="51392" spans="43:43" x14ac:dyDescent="0.2">
      <c r="AQ51392" s="31"/>
    </row>
    <row r="51393" spans="43:43" x14ac:dyDescent="0.2">
      <c r="AQ51393" s="31"/>
    </row>
    <row r="51394" spans="43:43" x14ac:dyDescent="0.2">
      <c r="AQ51394" s="31"/>
    </row>
    <row r="51395" spans="43:43" x14ac:dyDescent="0.2">
      <c r="AQ51395" s="31"/>
    </row>
    <row r="51396" spans="43:43" x14ac:dyDescent="0.2">
      <c r="AQ51396" s="31"/>
    </row>
    <row r="51397" spans="43:43" x14ac:dyDescent="0.2">
      <c r="AQ51397" s="31"/>
    </row>
    <row r="51398" spans="43:43" x14ac:dyDescent="0.2">
      <c r="AQ51398" s="31"/>
    </row>
    <row r="51399" spans="43:43" x14ac:dyDescent="0.2">
      <c r="AQ51399" s="31"/>
    </row>
    <row r="51400" spans="43:43" x14ac:dyDescent="0.2">
      <c r="AQ51400" s="31"/>
    </row>
    <row r="51401" spans="43:43" x14ac:dyDescent="0.2">
      <c r="AQ51401" s="31"/>
    </row>
    <row r="51402" spans="43:43" x14ac:dyDescent="0.2">
      <c r="AQ51402" s="31"/>
    </row>
    <row r="51403" spans="43:43" x14ac:dyDescent="0.2">
      <c r="AQ51403" s="31"/>
    </row>
    <row r="51404" spans="43:43" x14ac:dyDescent="0.2">
      <c r="AQ51404" s="31"/>
    </row>
    <row r="51405" spans="43:43" x14ac:dyDescent="0.2">
      <c r="AQ51405" s="31"/>
    </row>
    <row r="51406" spans="43:43" x14ac:dyDescent="0.2">
      <c r="AQ51406" s="31"/>
    </row>
    <row r="51407" spans="43:43" x14ac:dyDescent="0.2">
      <c r="AQ51407" s="31"/>
    </row>
    <row r="51408" spans="43:43" x14ac:dyDescent="0.2">
      <c r="AQ51408" s="31"/>
    </row>
    <row r="51409" spans="43:43" x14ac:dyDescent="0.2">
      <c r="AQ51409" s="31"/>
    </row>
    <row r="51410" spans="43:43" x14ac:dyDescent="0.2">
      <c r="AQ51410" s="31"/>
    </row>
    <row r="51411" spans="43:43" x14ac:dyDescent="0.2">
      <c r="AQ51411" s="31"/>
    </row>
    <row r="51412" spans="43:43" x14ac:dyDescent="0.2">
      <c r="AQ51412" s="31"/>
    </row>
    <row r="51413" spans="43:43" x14ac:dyDescent="0.2">
      <c r="AQ51413" s="31"/>
    </row>
    <row r="51414" spans="43:43" x14ac:dyDescent="0.2">
      <c r="AQ51414" s="31"/>
    </row>
    <row r="51415" spans="43:43" x14ac:dyDescent="0.2">
      <c r="AQ51415" s="31"/>
    </row>
    <row r="51416" spans="43:43" x14ac:dyDescent="0.2">
      <c r="AQ51416" s="31"/>
    </row>
    <row r="51417" spans="43:43" x14ac:dyDescent="0.2">
      <c r="AQ51417" s="31"/>
    </row>
    <row r="51418" spans="43:43" x14ac:dyDescent="0.2">
      <c r="AQ51418" s="31"/>
    </row>
    <row r="51419" spans="43:43" x14ac:dyDescent="0.2">
      <c r="AQ51419" s="31"/>
    </row>
    <row r="51420" spans="43:43" x14ac:dyDescent="0.2">
      <c r="AQ51420" s="31"/>
    </row>
    <row r="51421" spans="43:43" x14ac:dyDescent="0.2">
      <c r="AQ51421" s="31"/>
    </row>
    <row r="51422" spans="43:43" x14ac:dyDescent="0.2">
      <c r="AQ51422" s="31"/>
    </row>
    <row r="51423" spans="43:43" x14ac:dyDescent="0.2">
      <c r="AQ51423" s="31"/>
    </row>
    <row r="51424" spans="43:43" x14ac:dyDescent="0.2">
      <c r="AQ51424" s="31"/>
    </row>
    <row r="51425" spans="43:43" x14ac:dyDescent="0.2">
      <c r="AQ51425" s="31"/>
    </row>
    <row r="51426" spans="43:43" x14ac:dyDescent="0.2">
      <c r="AQ51426" s="31"/>
    </row>
    <row r="51427" spans="43:43" x14ac:dyDescent="0.2">
      <c r="AQ51427" s="31"/>
    </row>
    <row r="51428" spans="43:43" x14ac:dyDescent="0.2">
      <c r="AQ51428" s="31"/>
    </row>
    <row r="51429" spans="43:43" x14ac:dyDescent="0.2">
      <c r="AQ51429" s="31"/>
    </row>
    <row r="51430" spans="43:43" x14ac:dyDescent="0.2">
      <c r="AQ51430" s="31"/>
    </row>
    <row r="51431" spans="43:43" x14ac:dyDescent="0.2">
      <c r="AQ51431" s="31"/>
    </row>
    <row r="51432" spans="43:43" x14ac:dyDescent="0.2">
      <c r="AQ51432" s="31"/>
    </row>
    <row r="51433" spans="43:43" x14ac:dyDescent="0.2">
      <c r="AQ51433" s="31"/>
    </row>
    <row r="51434" spans="43:43" x14ac:dyDescent="0.2">
      <c r="AQ51434" s="31"/>
    </row>
    <row r="51435" spans="43:43" x14ac:dyDescent="0.2">
      <c r="AQ51435" s="31"/>
    </row>
    <row r="51436" spans="43:43" x14ac:dyDescent="0.2">
      <c r="AQ51436" s="31"/>
    </row>
    <row r="51437" spans="43:43" x14ac:dyDescent="0.2">
      <c r="AQ51437" s="31"/>
    </row>
    <row r="51438" spans="43:43" x14ac:dyDescent="0.2">
      <c r="AQ51438" s="31"/>
    </row>
    <row r="51439" spans="43:43" x14ac:dyDescent="0.2">
      <c r="AQ51439" s="31"/>
    </row>
    <row r="51440" spans="43:43" x14ac:dyDescent="0.2">
      <c r="AQ51440" s="31"/>
    </row>
    <row r="51441" spans="43:43" x14ac:dyDescent="0.2">
      <c r="AQ51441" s="31"/>
    </row>
    <row r="51442" spans="43:43" x14ac:dyDescent="0.2">
      <c r="AQ51442" s="31"/>
    </row>
    <row r="51443" spans="43:43" x14ac:dyDescent="0.2">
      <c r="AQ51443" s="31"/>
    </row>
    <row r="51444" spans="43:43" x14ac:dyDescent="0.2">
      <c r="AQ51444" s="31"/>
    </row>
    <row r="51445" spans="43:43" x14ac:dyDescent="0.2">
      <c r="AQ51445" s="31"/>
    </row>
    <row r="51446" spans="43:43" x14ac:dyDescent="0.2">
      <c r="AQ51446" s="31"/>
    </row>
    <row r="51447" spans="43:43" x14ac:dyDescent="0.2">
      <c r="AQ51447" s="31"/>
    </row>
    <row r="51448" spans="43:43" x14ac:dyDescent="0.2">
      <c r="AQ51448" s="31"/>
    </row>
    <row r="51449" spans="43:43" x14ac:dyDescent="0.2">
      <c r="AQ51449" s="31"/>
    </row>
    <row r="51450" spans="43:43" x14ac:dyDescent="0.2">
      <c r="AQ51450" s="31"/>
    </row>
    <row r="51451" spans="43:43" x14ac:dyDescent="0.2">
      <c r="AQ51451" s="31"/>
    </row>
    <row r="51452" spans="43:43" x14ac:dyDescent="0.2">
      <c r="AQ51452" s="31"/>
    </row>
    <row r="51453" spans="43:43" x14ac:dyDescent="0.2">
      <c r="AQ51453" s="31"/>
    </row>
    <row r="51454" spans="43:43" x14ac:dyDescent="0.2">
      <c r="AQ51454" s="31"/>
    </row>
    <row r="51455" spans="43:43" x14ac:dyDescent="0.2">
      <c r="AQ51455" s="31"/>
    </row>
    <row r="51456" spans="43:43" x14ac:dyDescent="0.2">
      <c r="AQ51456" s="31"/>
    </row>
    <row r="51457" spans="43:43" x14ac:dyDescent="0.2">
      <c r="AQ51457" s="31"/>
    </row>
    <row r="51458" spans="43:43" x14ac:dyDescent="0.2">
      <c r="AQ51458" s="31"/>
    </row>
    <row r="51459" spans="43:43" x14ac:dyDescent="0.2">
      <c r="AQ51459" s="31"/>
    </row>
    <row r="51460" spans="43:43" x14ac:dyDescent="0.2">
      <c r="AQ51460" s="31"/>
    </row>
    <row r="51461" spans="43:43" x14ac:dyDescent="0.2">
      <c r="AQ51461" s="31"/>
    </row>
    <row r="51462" spans="43:43" x14ac:dyDescent="0.2">
      <c r="AQ51462" s="31"/>
    </row>
    <row r="51463" spans="43:43" x14ac:dyDescent="0.2">
      <c r="AQ51463" s="31"/>
    </row>
    <row r="51464" spans="43:43" x14ac:dyDescent="0.2">
      <c r="AQ51464" s="31"/>
    </row>
    <row r="51465" spans="43:43" x14ac:dyDescent="0.2">
      <c r="AQ51465" s="31"/>
    </row>
    <row r="51466" spans="43:43" x14ac:dyDescent="0.2">
      <c r="AQ51466" s="31"/>
    </row>
    <row r="51467" spans="43:43" x14ac:dyDescent="0.2">
      <c r="AQ51467" s="31"/>
    </row>
    <row r="51468" spans="43:43" x14ac:dyDescent="0.2">
      <c r="AQ51468" s="31"/>
    </row>
    <row r="51469" spans="43:43" x14ac:dyDescent="0.2">
      <c r="AQ51469" s="31"/>
    </row>
    <row r="51470" spans="43:43" x14ac:dyDescent="0.2">
      <c r="AQ51470" s="31"/>
    </row>
    <row r="51471" spans="43:43" x14ac:dyDescent="0.2">
      <c r="AQ51471" s="31"/>
    </row>
    <row r="51472" spans="43:43" x14ac:dyDescent="0.2">
      <c r="AQ51472" s="31"/>
    </row>
    <row r="51473" spans="43:43" x14ac:dyDescent="0.2">
      <c r="AQ51473" s="31"/>
    </row>
    <row r="51474" spans="43:43" x14ac:dyDescent="0.2">
      <c r="AQ51474" s="31"/>
    </row>
    <row r="51475" spans="43:43" x14ac:dyDescent="0.2">
      <c r="AQ51475" s="31"/>
    </row>
    <row r="51476" spans="43:43" x14ac:dyDescent="0.2">
      <c r="AQ51476" s="31"/>
    </row>
    <row r="51477" spans="43:43" x14ac:dyDescent="0.2">
      <c r="AQ51477" s="31"/>
    </row>
    <row r="51478" spans="43:43" x14ac:dyDescent="0.2">
      <c r="AQ51478" s="31"/>
    </row>
    <row r="51479" spans="43:43" x14ac:dyDescent="0.2">
      <c r="AQ51479" s="31"/>
    </row>
    <row r="51480" spans="43:43" x14ac:dyDescent="0.2">
      <c r="AQ51480" s="31"/>
    </row>
    <row r="51481" spans="43:43" x14ac:dyDescent="0.2">
      <c r="AQ51481" s="31"/>
    </row>
    <row r="51482" spans="43:43" x14ac:dyDescent="0.2">
      <c r="AQ51482" s="31"/>
    </row>
    <row r="51483" spans="43:43" x14ac:dyDescent="0.2">
      <c r="AQ51483" s="31"/>
    </row>
    <row r="51484" spans="43:43" x14ac:dyDescent="0.2">
      <c r="AQ51484" s="31"/>
    </row>
    <row r="51485" spans="43:43" x14ac:dyDescent="0.2">
      <c r="AQ51485" s="31"/>
    </row>
    <row r="51486" spans="43:43" x14ac:dyDescent="0.2">
      <c r="AQ51486" s="31"/>
    </row>
    <row r="51487" spans="43:43" x14ac:dyDescent="0.2">
      <c r="AQ51487" s="31"/>
    </row>
    <row r="51488" spans="43:43" x14ac:dyDescent="0.2">
      <c r="AQ51488" s="31"/>
    </row>
    <row r="51489" spans="43:43" x14ac:dyDescent="0.2">
      <c r="AQ51489" s="31"/>
    </row>
    <row r="51490" spans="43:43" x14ac:dyDescent="0.2">
      <c r="AQ51490" s="31"/>
    </row>
    <row r="51491" spans="43:43" x14ac:dyDescent="0.2">
      <c r="AQ51491" s="31"/>
    </row>
    <row r="51492" spans="43:43" x14ac:dyDescent="0.2">
      <c r="AQ51492" s="31"/>
    </row>
    <row r="51493" spans="43:43" x14ac:dyDescent="0.2">
      <c r="AQ51493" s="31"/>
    </row>
    <row r="51494" spans="43:43" x14ac:dyDescent="0.2">
      <c r="AQ51494" s="31"/>
    </row>
    <row r="51495" spans="43:43" x14ac:dyDescent="0.2">
      <c r="AQ51495" s="31"/>
    </row>
    <row r="51496" spans="43:43" x14ac:dyDescent="0.2">
      <c r="AQ51496" s="31"/>
    </row>
    <row r="51497" spans="43:43" x14ac:dyDescent="0.2">
      <c r="AQ51497" s="31"/>
    </row>
    <row r="51498" spans="43:43" x14ac:dyDescent="0.2">
      <c r="AQ51498" s="31"/>
    </row>
    <row r="51499" spans="43:43" x14ac:dyDescent="0.2">
      <c r="AQ51499" s="31"/>
    </row>
    <row r="51500" spans="43:43" x14ac:dyDescent="0.2">
      <c r="AQ51500" s="31"/>
    </row>
    <row r="51501" spans="43:43" x14ac:dyDescent="0.2">
      <c r="AQ51501" s="31"/>
    </row>
    <row r="51502" spans="43:43" x14ac:dyDescent="0.2">
      <c r="AQ51502" s="31"/>
    </row>
    <row r="51503" spans="43:43" x14ac:dyDescent="0.2">
      <c r="AQ51503" s="31"/>
    </row>
    <row r="51504" spans="43:43" x14ac:dyDescent="0.2">
      <c r="AQ51504" s="31"/>
    </row>
    <row r="51505" spans="43:43" x14ac:dyDescent="0.2">
      <c r="AQ51505" s="31"/>
    </row>
    <row r="51506" spans="43:43" x14ac:dyDescent="0.2">
      <c r="AQ51506" s="31"/>
    </row>
    <row r="51507" spans="43:43" x14ac:dyDescent="0.2">
      <c r="AQ51507" s="31"/>
    </row>
    <row r="51508" spans="43:43" x14ac:dyDescent="0.2">
      <c r="AQ51508" s="31"/>
    </row>
    <row r="51509" spans="43:43" x14ac:dyDescent="0.2">
      <c r="AQ51509" s="31"/>
    </row>
    <row r="51510" spans="43:43" x14ac:dyDescent="0.2">
      <c r="AQ51510" s="31"/>
    </row>
    <row r="51511" spans="43:43" x14ac:dyDescent="0.2">
      <c r="AQ51511" s="31"/>
    </row>
    <row r="51512" spans="43:43" x14ac:dyDescent="0.2">
      <c r="AQ51512" s="31"/>
    </row>
    <row r="51513" spans="43:43" x14ac:dyDescent="0.2">
      <c r="AQ51513" s="31"/>
    </row>
    <row r="51514" spans="43:43" x14ac:dyDescent="0.2">
      <c r="AQ51514" s="31"/>
    </row>
    <row r="51515" spans="43:43" x14ac:dyDescent="0.2">
      <c r="AQ51515" s="31"/>
    </row>
    <row r="51516" spans="43:43" x14ac:dyDescent="0.2">
      <c r="AQ51516" s="31"/>
    </row>
    <row r="51517" spans="43:43" x14ac:dyDescent="0.2">
      <c r="AQ51517" s="31"/>
    </row>
    <row r="51518" spans="43:43" x14ac:dyDescent="0.2">
      <c r="AQ51518" s="31"/>
    </row>
    <row r="51519" spans="43:43" x14ac:dyDescent="0.2">
      <c r="AQ51519" s="31"/>
    </row>
    <row r="51520" spans="43:43" x14ac:dyDescent="0.2">
      <c r="AQ51520" s="31"/>
    </row>
    <row r="51521" spans="43:43" x14ac:dyDescent="0.2">
      <c r="AQ51521" s="31"/>
    </row>
    <row r="51522" spans="43:43" x14ac:dyDescent="0.2">
      <c r="AQ51522" s="31"/>
    </row>
    <row r="51523" spans="43:43" x14ac:dyDescent="0.2">
      <c r="AQ51523" s="31"/>
    </row>
    <row r="51524" spans="43:43" x14ac:dyDescent="0.2">
      <c r="AQ51524" s="31"/>
    </row>
    <row r="51525" spans="43:43" x14ac:dyDescent="0.2">
      <c r="AQ51525" s="31"/>
    </row>
    <row r="51526" spans="43:43" x14ac:dyDescent="0.2">
      <c r="AQ51526" s="31"/>
    </row>
    <row r="51527" spans="43:43" x14ac:dyDescent="0.2">
      <c r="AQ51527" s="31"/>
    </row>
    <row r="51528" spans="43:43" x14ac:dyDescent="0.2">
      <c r="AQ51528" s="31"/>
    </row>
    <row r="51529" spans="43:43" x14ac:dyDescent="0.2">
      <c r="AQ51529" s="31"/>
    </row>
    <row r="51530" spans="43:43" x14ac:dyDescent="0.2">
      <c r="AQ51530" s="31"/>
    </row>
    <row r="51531" spans="43:43" x14ac:dyDescent="0.2">
      <c r="AQ51531" s="31"/>
    </row>
    <row r="51532" spans="43:43" x14ac:dyDescent="0.2">
      <c r="AQ51532" s="31"/>
    </row>
    <row r="51533" spans="43:43" x14ac:dyDescent="0.2">
      <c r="AQ51533" s="31"/>
    </row>
    <row r="51534" spans="43:43" x14ac:dyDescent="0.2">
      <c r="AQ51534" s="31"/>
    </row>
    <row r="51535" spans="43:43" x14ac:dyDescent="0.2">
      <c r="AQ51535" s="31"/>
    </row>
    <row r="51536" spans="43:43" x14ac:dyDescent="0.2">
      <c r="AQ51536" s="31"/>
    </row>
    <row r="51537" spans="43:43" x14ac:dyDescent="0.2">
      <c r="AQ51537" s="31"/>
    </row>
    <row r="51538" spans="43:43" x14ac:dyDescent="0.2">
      <c r="AQ51538" s="31"/>
    </row>
    <row r="51539" spans="43:43" x14ac:dyDescent="0.2">
      <c r="AQ51539" s="31"/>
    </row>
    <row r="51540" spans="43:43" x14ac:dyDescent="0.2">
      <c r="AQ51540" s="31"/>
    </row>
    <row r="51541" spans="43:43" x14ac:dyDescent="0.2">
      <c r="AQ51541" s="31"/>
    </row>
    <row r="51542" spans="43:43" x14ac:dyDescent="0.2">
      <c r="AQ51542" s="31"/>
    </row>
    <row r="51543" spans="43:43" x14ac:dyDescent="0.2">
      <c r="AQ51543" s="31"/>
    </row>
    <row r="51544" spans="43:43" x14ac:dyDescent="0.2">
      <c r="AQ51544" s="31"/>
    </row>
    <row r="51545" spans="43:43" x14ac:dyDescent="0.2">
      <c r="AQ51545" s="31"/>
    </row>
    <row r="51546" spans="43:43" x14ac:dyDescent="0.2">
      <c r="AQ51546" s="31"/>
    </row>
    <row r="51547" spans="43:43" x14ac:dyDescent="0.2">
      <c r="AQ51547" s="31"/>
    </row>
    <row r="51548" spans="43:43" x14ac:dyDescent="0.2">
      <c r="AQ51548" s="31"/>
    </row>
    <row r="51549" spans="43:43" x14ac:dyDescent="0.2">
      <c r="AQ51549" s="31"/>
    </row>
    <row r="51550" spans="43:43" x14ac:dyDescent="0.2">
      <c r="AQ51550" s="31"/>
    </row>
    <row r="51551" spans="43:43" x14ac:dyDescent="0.2">
      <c r="AQ51551" s="31"/>
    </row>
    <row r="51552" spans="43:43" x14ac:dyDescent="0.2">
      <c r="AQ51552" s="31"/>
    </row>
    <row r="51553" spans="43:43" x14ac:dyDescent="0.2">
      <c r="AQ51553" s="31"/>
    </row>
    <row r="51554" spans="43:43" x14ac:dyDescent="0.2">
      <c r="AQ51554" s="31"/>
    </row>
    <row r="51555" spans="43:43" x14ac:dyDescent="0.2">
      <c r="AQ51555" s="31"/>
    </row>
    <row r="51556" spans="43:43" x14ac:dyDescent="0.2">
      <c r="AQ51556" s="31"/>
    </row>
    <row r="51557" spans="43:43" x14ac:dyDescent="0.2">
      <c r="AQ51557" s="31"/>
    </row>
    <row r="51558" spans="43:43" x14ac:dyDescent="0.2">
      <c r="AQ51558" s="31"/>
    </row>
    <row r="51559" spans="43:43" x14ac:dyDescent="0.2">
      <c r="AQ51559" s="31"/>
    </row>
    <row r="51560" spans="43:43" x14ac:dyDescent="0.2">
      <c r="AQ51560" s="31"/>
    </row>
    <row r="51561" spans="43:43" x14ac:dyDescent="0.2">
      <c r="AQ51561" s="31"/>
    </row>
    <row r="51562" spans="43:43" x14ac:dyDescent="0.2">
      <c r="AQ51562" s="31"/>
    </row>
    <row r="51563" spans="43:43" x14ac:dyDescent="0.2">
      <c r="AQ51563" s="31"/>
    </row>
    <row r="51564" spans="43:43" x14ac:dyDescent="0.2">
      <c r="AQ51564" s="31"/>
    </row>
    <row r="51565" spans="43:43" x14ac:dyDescent="0.2">
      <c r="AQ51565" s="31"/>
    </row>
    <row r="51566" spans="43:43" x14ac:dyDescent="0.2">
      <c r="AQ51566" s="31"/>
    </row>
    <row r="51567" spans="43:43" x14ac:dyDescent="0.2">
      <c r="AQ51567" s="31"/>
    </row>
    <row r="51568" spans="43:43" x14ac:dyDescent="0.2">
      <c r="AQ51568" s="31"/>
    </row>
    <row r="51569" spans="43:43" x14ac:dyDescent="0.2">
      <c r="AQ51569" s="31"/>
    </row>
    <row r="51570" spans="43:43" x14ac:dyDescent="0.2">
      <c r="AQ51570" s="31"/>
    </row>
    <row r="51571" spans="43:43" x14ac:dyDescent="0.2">
      <c r="AQ51571" s="31"/>
    </row>
    <row r="51572" spans="43:43" x14ac:dyDescent="0.2">
      <c r="AQ51572" s="31"/>
    </row>
    <row r="51573" spans="43:43" x14ac:dyDescent="0.2">
      <c r="AQ51573" s="31"/>
    </row>
    <row r="51574" spans="43:43" x14ac:dyDescent="0.2">
      <c r="AQ51574" s="31"/>
    </row>
    <row r="51575" spans="43:43" x14ac:dyDescent="0.2">
      <c r="AQ51575" s="31"/>
    </row>
    <row r="51576" spans="43:43" x14ac:dyDescent="0.2">
      <c r="AQ51576" s="31"/>
    </row>
    <row r="51577" spans="43:43" x14ac:dyDescent="0.2">
      <c r="AQ51577" s="31"/>
    </row>
    <row r="51578" spans="43:43" x14ac:dyDescent="0.2">
      <c r="AQ51578" s="31"/>
    </row>
    <row r="51579" spans="43:43" x14ac:dyDescent="0.2">
      <c r="AQ51579" s="31"/>
    </row>
    <row r="51580" spans="43:43" x14ac:dyDescent="0.2">
      <c r="AQ51580" s="31"/>
    </row>
    <row r="51581" spans="43:43" x14ac:dyDescent="0.2">
      <c r="AQ51581" s="31"/>
    </row>
    <row r="51582" spans="43:43" x14ac:dyDescent="0.2">
      <c r="AQ51582" s="31"/>
    </row>
    <row r="51583" spans="43:43" x14ac:dyDescent="0.2">
      <c r="AQ51583" s="31"/>
    </row>
    <row r="51584" spans="43:43" x14ac:dyDescent="0.2">
      <c r="AQ51584" s="31"/>
    </row>
    <row r="51585" spans="43:43" x14ac:dyDescent="0.2">
      <c r="AQ51585" s="31"/>
    </row>
    <row r="51586" spans="43:43" x14ac:dyDescent="0.2">
      <c r="AQ51586" s="31"/>
    </row>
    <row r="51587" spans="43:43" x14ac:dyDescent="0.2">
      <c r="AQ51587" s="31"/>
    </row>
    <row r="51588" spans="43:43" x14ac:dyDescent="0.2">
      <c r="AQ51588" s="31"/>
    </row>
    <row r="51589" spans="43:43" x14ac:dyDescent="0.2">
      <c r="AQ51589" s="31"/>
    </row>
    <row r="51590" spans="43:43" x14ac:dyDescent="0.2">
      <c r="AQ51590" s="31"/>
    </row>
    <row r="51591" spans="43:43" x14ac:dyDescent="0.2">
      <c r="AQ51591" s="31"/>
    </row>
    <row r="51592" spans="43:43" x14ac:dyDescent="0.2">
      <c r="AQ51592" s="31"/>
    </row>
    <row r="51593" spans="43:43" x14ac:dyDescent="0.2">
      <c r="AQ51593" s="31"/>
    </row>
    <row r="51594" spans="43:43" x14ac:dyDescent="0.2">
      <c r="AQ51594" s="31"/>
    </row>
    <row r="51595" spans="43:43" x14ac:dyDescent="0.2">
      <c r="AQ51595" s="31"/>
    </row>
    <row r="51596" spans="43:43" x14ac:dyDescent="0.2">
      <c r="AQ51596" s="31"/>
    </row>
    <row r="51597" spans="43:43" x14ac:dyDescent="0.2">
      <c r="AQ51597" s="31"/>
    </row>
    <row r="51598" spans="43:43" x14ac:dyDescent="0.2">
      <c r="AQ51598" s="31"/>
    </row>
    <row r="51599" spans="43:43" x14ac:dyDescent="0.2">
      <c r="AQ51599" s="31"/>
    </row>
    <row r="51600" spans="43:43" x14ac:dyDescent="0.2">
      <c r="AQ51600" s="31"/>
    </row>
    <row r="51601" spans="43:43" x14ac:dyDescent="0.2">
      <c r="AQ51601" s="31"/>
    </row>
    <row r="51602" spans="43:43" x14ac:dyDescent="0.2">
      <c r="AQ51602" s="31"/>
    </row>
    <row r="51603" spans="43:43" x14ac:dyDescent="0.2">
      <c r="AQ51603" s="31"/>
    </row>
    <row r="51604" spans="43:43" x14ac:dyDescent="0.2">
      <c r="AQ51604" s="31"/>
    </row>
    <row r="51605" spans="43:43" x14ac:dyDescent="0.2">
      <c r="AQ51605" s="31"/>
    </row>
    <row r="51606" spans="43:43" x14ac:dyDescent="0.2">
      <c r="AQ51606" s="31"/>
    </row>
    <row r="51607" spans="43:43" x14ac:dyDescent="0.2">
      <c r="AQ51607" s="31"/>
    </row>
    <row r="51608" spans="43:43" x14ac:dyDescent="0.2">
      <c r="AQ51608" s="31"/>
    </row>
    <row r="51609" spans="43:43" x14ac:dyDescent="0.2">
      <c r="AQ51609" s="31"/>
    </row>
    <row r="51610" spans="43:43" x14ac:dyDescent="0.2">
      <c r="AQ51610" s="31"/>
    </row>
    <row r="51611" spans="43:43" x14ac:dyDescent="0.2">
      <c r="AQ51611" s="31"/>
    </row>
    <row r="51612" spans="43:43" x14ac:dyDescent="0.2">
      <c r="AQ51612" s="31"/>
    </row>
    <row r="51613" spans="43:43" x14ac:dyDescent="0.2">
      <c r="AQ51613" s="31"/>
    </row>
    <row r="51614" spans="43:43" x14ac:dyDescent="0.2">
      <c r="AQ51614" s="31"/>
    </row>
    <row r="51615" spans="43:43" x14ac:dyDescent="0.2">
      <c r="AQ51615" s="31"/>
    </row>
    <row r="51616" spans="43:43" x14ac:dyDescent="0.2">
      <c r="AQ51616" s="31"/>
    </row>
    <row r="51617" spans="43:43" x14ac:dyDescent="0.2">
      <c r="AQ51617" s="31"/>
    </row>
    <row r="51618" spans="43:43" x14ac:dyDescent="0.2">
      <c r="AQ51618" s="31"/>
    </row>
    <row r="51619" spans="43:43" x14ac:dyDescent="0.2">
      <c r="AQ51619" s="31"/>
    </row>
    <row r="51620" spans="43:43" x14ac:dyDescent="0.2">
      <c r="AQ51620" s="31"/>
    </row>
    <row r="51621" spans="43:43" x14ac:dyDescent="0.2">
      <c r="AQ51621" s="31"/>
    </row>
    <row r="51622" spans="43:43" x14ac:dyDescent="0.2">
      <c r="AQ51622" s="31"/>
    </row>
    <row r="51623" spans="43:43" x14ac:dyDescent="0.2">
      <c r="AQ51623" s="31"/>
    </row>
    <row r="51624" spans="43:43" x14ac:dyDescent="0.2">
      <c r="AQ51624" s="31"/>
    </row>
    <row r="51625" spans="43:43" x14ac:dyDescent="0.2">
      <c r="AQ51625" s="31"/>
    </row>
    <row r="51626" spans="43:43" x14ac:dyDescent="0.2">
      <c r="AQ51626" s="31"/>
    </row>
    <row r="51627" spans="43:43" x14ac:dyDescent="0.2">
      <c r="AQ51627" s="31"/>
    </row>
    <row r="51628" spans="43:43" x14ac:dyDescent="0.2">
      <c r="AQ51628" s="31"/>
    </row>
    <row r="51629" spans="43:43" x14ac:dyDescent="0.2">
      <c r="AQ51629" s="31"/>
    </row>
    <row r="51630" spans="43:43" x14ac:dyDescent="0.2">
      <c r="AQ51630" s="31"/>
    </row>
    <row r="51631" spans="43:43" x14ac:dyDescent="0.2">
      <c r="AQ51631" s="31"/>
    </row>
    <row r="51632" spans="43:43" x14ac:dyDescent="0.2">
      <c r="AQ51632" s="31"/>
    </row>
    <row r="51633" spans="43:43" x14ac:dyDescent="0.2">
      <c r="AQ51633" s="31"/>
    </row>
    <row r="51634" spans="43:43" x14ac:dyDescent="0.2">
      <c r="AQ51634" s="31"/>
    </row>
    <row r="51635" spans="43:43" x14ac:dyDescent="0.2">
      <c r="AQ51635" s="31"/>
    </row>
    <row r="51636" spans="43:43" x14ac:dyDescent="0.2">
      <c r="AQ51636" s="31"/>
    </row>
    <row r="51637" spans="43:43" x14ac:dyDescent="0.2">
      <c r="AQ51637" s="31"/>
    </row>
    <row r="51638" spans="43:43" x14ac:dyDescent="0.2">
      <c r="AQ51638" s="31"/>
    </row>
    <row r="51639" spans="43:43" x14ac:dyDescent="0.2">
      <c r="AQ51639" s="31"/>
    </row>
    <row r="51640" spans="43:43" x14ac:dyDescent="0.2">
      <c r="AQ51640" s="31"/>
    </row>
    <row r="51641" spans="43:43" x14ac:dyDescent="0.2">
      <c r="AQ51641" s="31"/>
    </row>
    <row r="51642" spans="43:43" x14ac:dyDescent="0.2">
      <c r="AQ51642" s="31"/>
    </row>
    <row r="51643" spans="43:43" x14ac:dyDescent="0.2">
      <c r="AQ51643" s="31"/>
    </row>
    <row r="51644" spans="43:43" x14ac:dyDescent="0.2">
      <c r="AQ51644" s="31"/>
    </row>
    <row r="51645" spans="43:43" x14ac:dyDescent="0.2">
      <c r="AQ51645" s="31"/>
    </row>
    <row r="51646" spans="43:43" x14ac:dyDescent="0.2">
      <c r="AQ51646" s="31"/>
    </row>
    <row r="51647" spans="43:43" x14ac:dyDescent="0.2">
      <c r="AQ51647" s="31"/>
    </row>
    <row r="51648" spans="43:43" x14ac:dyDescent="0.2">
      <c r="AQ51648" s="31"/>
    </row>
    <row r="51649" spans="43:43" x14ac:dyDescent="0.2">
      <c r="AQ51649" s="31"/>
    </row>
    <row r="51650" spans="43:43" x14ac:dyDescent="0.2">
      <c r="AQ51650" s="31"/>
    </row>
    <row r="51651" spans="43:43" x14ac:dyDescent="0.2">
      <c r="AQ51651" s="31"/>
    </row>
    <row r="51652" spans="43:43" x14ac:dyDescent="0.2">
      <c r="AQ51652" s="31"/>
    </row>
    <row r="51653" spans="43:43" x14ac:dyDescent="0.2">
      <c r="AQ51653" s="31"/>
    </row>
    <row r="51654" spans="43:43" x14ac:dyDescent="0.2">
      <c r="AQ51654" s="31"/>
    </row>
    <row r="51655" spans="43:43" x14ac:dyDescent="0.2">
      <c r="AQ51655" s="31"/>
    </row>
    <row r="51656" spans="43:43" x14ac:dyDescent="0.2">
      <c r="AQ51656" s="31"/>
    </row>
    <row r="51657" spans="43:43" x14ac:dyDescent="0.2">
      <c r="AQ51657" s="31"/>
    </row>
    <row r="51658" spans="43:43" x14ac:dyDescent="0.2">
      <c r="AQ51658" s="31"/>
    </row>
    <row r="51659" spans="43:43" x14ac:dyDescent="0.2">
      <c r="AQ51659" s="31"/>
    </row>
    <row r="51660" spans="43:43" x14ac:dyDescent="0.2">
      <c r="AQ51660" s="31"/>
    </row>
    <row r="51661" spans="43:43" x14ac:dyDescent="0.2">
      <c r="AQ51661" s="31"/>
    </row>
    <row r="51662" spans="43:43" x14ac:dyDescent="0.2">
      <c r="AQ51662" s="31"/>
    </row>
    <row r="51663" spans="43:43" x14ac:dyDescent="0.2">
      <c r="AQ51663" s="31"/>
    </row>
    <row r="51664" spans="43:43" x14ac:dyDescent="0.2">
      <c r="AQ51664" s="31"/>
    </row>
    <row r="51665" spans="43:43" x14ac:dyDescent="0.2">
      <c r="AQ51665" s="31"/>
    </row>
    <row r="51666" spans="43:43" x14ac:dyDescent="0.2">
      <c r="AQ51666" s="31"/>
    </row>
    <row r="51667" spans="43:43" x14ac:dyDescent="0.2">
      <c r="AQ51667" s="31"/>
    </row>
    <row r="51668" spans="43:43" x14ac:dyDescent="0.2">
      <c r="AQ51668" s="31"/>
    </row>
    <row r="51669" spans="43:43" x14ac:dyDescent="0.2">
      <c r="AQ51669" s="31"/>
    </row>
    <row r="51670" spans="43:43" x14ac:dyDescent="0.2">
      <c r="AQ51670" s="31"/>
    </row>
    <row r="51671" spans="43:43" x14ac:dyDescent="0.2">
      <c r="AQ51671" s="31"/>
    </row>
    <row r="51672" spans="43:43" x14ac:dyDescent="0.2">
      <c r="AQ51672" s="31"/>
    </row>
    <row r="51673" spans="43:43" x14ac:dyDescent="0.2">
      <c r="AQ51673" s="31"/>
    </row>
    <row r="51674" spans="43:43" x14ac:dyDescent="0.2">
      <c r="AQ51674" s="31"/>
    </row>
    <row r="51675" spans="43:43" x14ac:dyDescent="0.2">
      <c r="AQ51675" s="31"/>
    </row>
    <row r="51676" spans="43:43" x14ac:dyDescent="0.2">
      <c r="AQ51676" s="31"/>
    </row>
    <row r="51677" spans="43:43" x14ac:dyDescent="0.2">
      <c r="AQ51677" s="31"/>
    </row>
    <row r="51678" spans="43:43" x14ac:dyDescent="0.2">
      <c r="AQ51678" s="31"/>
    </row>
    <row r="51679" spans="43:43" x14ac:dyDescent="0.2">
      <c r="AQ51679" s="31"/>
    </row>
    <row r="51680" spans="43:43" x14ac:dyDescent="0.2">
      <c r="AQ51680" s="31"/>
    </row>
    <row r="51681" spans="43:43" x14ac:dyDescent="0.2">
      <c r="AQ51681" s="31"/>
    </row>
    <row r="51682" spans="43:43" x14ac:dyDescent="0.2">
      <c r="AQ51682" s="31"/>
    </row>
    <row r="51683" spans="43:43" x14ac:dyDescent="0.2">
      <c r="AQ51683" s="31"/>
    </row>
    <row r="51684" spans="43:43" x14ac:dyDescent="0.2">
      <c r="AQ51684" s="31"/>
    </row>
    <row r="51685" spans="43:43" x14ac:dyDescent="0.2">
      <c r="AQ51685" s="31"/>
    </row>
    <row r="51686" spans="43:43" x14ac:dyDescent="0.2">
      <c r="AQ51686" s="31"/>
    </row>
    <row r="51687" spans="43:43" x14ac:dyDescent="0.2">
      <c r="AQ51687" s="31"/>
    </row>
    <row r="51688" spans="43:43" x14ac:dyDescent="0.2">
      <c r="AQ51688" s="31"/>
    </row>
    <row r="51689" spans="43:43" x14ac:dyDescent="0.2">
      <c r="AQ51689" s="31"/>
    </row>
    <row r="51690" spans="43:43" x14ac:dyDescent="0.2">
      <c r="AQ51690" s="31"/>
    </row>
    <row r="51691" spans="43:43" x14ac:dyDescent="0.2">
      <c r="AQ51691" s="31"/>
    </row>
    <row r="51692" spans="43:43" x14ac:dyDescent="0.2">
      <c r="AQ51692" s="31"/>
    </row>
    <row r="51693" spans="43:43" x14ac:dyDescent="0.2">
      <c r="AQ51693" s="31"/>
    </row>
    <row r="51694" spans="43:43" x14ac:dyDescent="0.2">
      <c r="AQ51694" s="31"/>
    </row>
    <row r="51695" spans="43:43" x14ac:dyDescent="0.2">
      <c r="AQ51695" s="31"/>
    </row>
    <row r="51696" spans="43:43" x14ac:dyDescent="0.2">
      <c r="AQ51696" s="31"/>
    </row>
    <row r="51697" spans="43:43" x14ac:dyDescent="0.2">
      <c r="AQ51697" s="31"/>
    </row>
    <row r="51698" spans="43:43" x14ac:dyDescent="0.2">
      <c r="AQ51698" s="31"/>
    </row>
    <row r="51699" spans="43:43" x14ac:dyDescent="0.2">
      <c r="AQ51699" s="31"/>
    </row>
    <row r="51700" spans="43:43" x14ac:dyDescent="0.2">
      <c r="AQ51700" s="31"/>
    </row>
    <row r="51701" spans="43:43" x14ac:dyDescent="0.2">
      <c r="AQ51701" s="31"/>
    </row>
    <row r="51702" spans="43:43" x14ac:dyDescent="0.2">
      <c r="AQ51702" s="31"/>
    </row>
    <row r="51703" spans="43:43" x14ac:dyDescent="0.2">
      <c r="AQ51703" s="31"/>
    </row>
    <row r="51704" spans="43:43" x14ac:dyDescent="0.2">
      <c r="AQ51704" s="31"/>
    </row>
    <row r="51705" spans="43:43" x14ac:dyDescent="0.2">
      <c r="AQ51705" s="31"/>
    </row>
    <row r="51706" spans="43:43" x14ac:dyDescent="0.2">
      <c r="AQ51706" s="31"/>
    </row>
    <row r="51707" spans="43:43" x14ac:dyDescent="0.2">
      <c r="AQ51707" s="31"/>
    </row>
    <row r="51708" spans="43:43" x14ac:dyDescent="0.2">
      <c r="AQ51708" s="31"/>
    </row>
    <row r="51709" spans="43:43" x14ac:dyDescent="0.2">
      <c r="AQ51709" s="31"/>
    </row>
    <row r="51710" spans="43:43" x14ac:dyDescent="0.2">
      <c r="AQ51710" s="31"/>
    </row>
    <row r="51711" spans="43:43" x14ac:dyDescent="0.2">
      <c r="AQ51711" s="31"/>
    </row>
    <row r="51712" spans="43:43" x14ac:dyDescent="0.2">
      <c r="AQ51712" s="31"/>
    </row>
    <row r="51713" spans="43:43" x14ac:dyDescent="0.2">
      <c r="AQ51713" s="31"/>
    </row>
    <row r="51714" spans="43:43" x14ac:dyDescent="0.2">
      <c r="AQ51714" s="31"/>
    </row>
    <row r="51715" spans="43:43" x14ac:dyDescent="0.2">
      <c r="AQ51715" s="31"/>
    </row>
    <row r="51716" spans="43:43" x14ac:dyDescent="0.2">
      <c r="AQ51716" s="31"/>
    </row>
    <row r="51717" spans="43:43" x14ac:dyDescent="0.2">
      <c r="AQ51717" s="31"/>
    </row>
    <row r="51718" spans="43:43" x14ac:dyDescent="0.2">
      <c r="AQ51718" s="31"/>
    </row>
    <row r="51719" spans="43:43" x14ac:dyDescent="0.2">
      <c r="AQ51719" s="31"/>
    </row>
    <row r="51720" spans="43:43" x14ac:dyDescent="0.2">
      <c r="AQ51720" s="31"/>
    </row>
    <row r="51721" spans="43:43" x14ac:dyDescent="0.2">
      <c r="AQ51721" s="31"/>
    </row>
    <row r="51722" spans="43:43" x14ac:dyDescent="0.2">
      <c r="AQ51722" s="31"/>
    </row>
    <row r="51723" spans="43:43" x14ac:dyDescent="0.2">
      <c r="AQ51723" s="31"/>
    </row>
    <row r="51724" spans="43:43" x14ac:dyDescent="0.2">
      <c r="AQ51724" s="31"/>
    </row>
    <row r="51725" spans="43:43" x14ac:dyDescent="0.2">
      <c r="AQ51725" s="31"/>
    </row>
    <row r="51726" spans="43:43" x14ac:dyDescent="0.2">
      <c r="AQ51726" s="31"/>
    </row>
    <row r="51727" spans="43:43" x14ac:dyDescent="0.2">
      <c r="AQ51727" s="31"/>
    </row>
    <row r="51728" spans="43:43" x14ac:dyDescent="0.2">
      <c r="AQ51728" s="31"/>
    </row>
    <row r="51729" spans="43:43" x14ac:dyDescent="0.2">
      <c r="AQ51729" s="31"/>
    </row>
    <row r="51730" spans="43:43" x14ac:dyDescent="0.2">
      <c r="AQ51730" s="31"/>
    </row>
    <row r="51731" spans="43:43" x14ac:dyDescent="0.2">
      <c r="AQ51731" s="31"/>
    </row>
    <row r="51732" spans="43:43" x14ac:dyDescent="0.2">
      <c r="AQ51732" s="31"/>
    </row>
    <row r="51733" spans="43:43" x14ac:dyDescent="0.2">
      <c r="AQ51733" s="31"/>
    </row>
    <row r="51734" spans="43:43" x14ac:dyDescent="0.2">
      <c r="AQ51734" s="31"/>
    </row>
    <row r="51735" spans="43:43" x14ac:dyDescent="0.2">
      <c r="AQ51735" s="31"/>
    </row>
    <row r="51736" spans="43:43" x14ac:dyDescent="0.2">
      <c r="AQ51736" s="31"/>
    </row>
    <row r="51737" spans="43:43" x14ac:dyDescent="0.2">
      <c r="AQ51737" s="31"/>
    </row>
    <row r="51738" spans="43:43" x14ac:dyDescent="0.2">
      <c r="AQ51738" s="31"/>
    </row>
    <row r="51739" spans="43:43" x14ac:dyDescent="0.2">
      <c r="AQ51739" s="31"/>
    </row>
    <row r="51740" spans="43:43" x14ac:dyDescent="0.2">
      <c r="AQ51740" s="31"/>
    </row>
    <row r="51741" spans="43:43" x14ac:dyDescent="0.2">
      <c r="AQ51741" s="31"/>
    </row>
    <row r="51742" spans="43:43" x14ac:dyDescent="0.2">
      <c r="AQ51742" s="31"/>
    </row>
    <row r="51743" spans="43:43" x14ac:dyDescent="0.2">
      <c r="AQ51743" s="31"/>
    </row>
    <row r="51744" spans="43:43" x14ac:dyDescent="0.2">
      <c r="AQ51744" s="31"/>
    </row>
    <row r="51745" spans="43:43" x14ac:dyDescent="0.2">
      <c r="AQ51745" s="31"/>
    </row>
    <row r="51746" spans="43:43" x14ac:dyDescent="0.2">
      <c r="AQ51746" s="31"/>
    </row>
    <row r="51747" spans="43:43" x14ac:dyDescent="0.2">
      <c r="AQ51747" s="31"/>
    </row>
    <row r="51748" spans="43:43" x14ac:dyDescent="0.2">
      <c r="AQ51748" s="31"/>
    </row>
    <row r="51749" spans="43:43" x14ac:dyDescent="0.2">
      <c r="AQ51749" s="31"/>
    </row>
    <row r="51750" spans="43:43" x14ac:dyDescent="0.2">
      <c r="AQ51750" s="31"/>
    </row>
    <row r="51751" spans="43:43" x14ac:dyDescent="0.2">
      <c r="AQ51751" s="31"/>
    </row>
    <row r="51752" spans="43:43" x14ac:dyDescent="0.2">
      <c r="AQ51752" s="31"/>
    </row>
    <row r="51753" spans="43:43" x14ac:dyDescent="0.2">
      <c r="AQ51753" s="31"/>
    </row>
    <row r="51754" spans="43:43" x14ac:dyDescent="0.2">
      <c r="AQ51754" s="31"/>
    </row>
    <row r="51755" spans="43:43" x14ac:dyDescent="0.2">
      <c r="AQ51755" s="31"/>
    </row>
    <row r="51756" spans="43:43" x14ac:dyDescent="0.2">
      <c r="AQ51756" s="31"/>
    </row>
    <row r="51757" spans="43:43" x14ac:dyDescent="0.2">
      <c r="AQ51757" s="31"/>
    </row>
    <row r="51758" spans="43:43" x14ac:dyDescent="0.2">
      <c r="AQ51758" s="31"/>
    </row>
    <row r="51759" spans="43:43" x14ac:dyDescent="0.2">
      <c r="AQ51759" s="31"/>
    </row>
    <row r="51760" spans="43:43" x14ac:dyDescent="0.2">
      <c r="AQ51760" s="31"/>
    </row>
    <row r="51761" spans="43:43" x14ac:dyDescent="0.2">
      <c r="AQ51761" s="31"/>
    </row>
    <row r="51762" spans="43:43" x14ac:dyDescent="0.2">
      <c r="AQ51762" s="31"/>
    </row>
    <row r="51763" spans="43:43" x14ac:dyDescent="0.2">
      <c r="AQ51763" s="31"/>
    </row>
    <row r="51764" spans="43:43" x14ac:dyDescent="0.2">
      <c r="AQ51764" s="31"/>
    </row>
    <row r="51765" spans="43:43" x14ac:dyDescent="0.2">
      <c r="AQ51765" s="31"/>
    </row>
    <row r="51766" spans="43:43" x14ac:dyDescent="0.2">
      <c r="AQ51766" s="31"/>
    </row>
    <row r="51767" spans="43:43" x14ac:dyDescent="0.2">
      <c r="AQ51767" s="31"/>
    </row>
    <row r="51768" spans="43:43" x14ac:dyDescent="0.2">
      <c r="AQ51768" s="31"/>
    </row>
    <row r="51769" spans="43:43" x14ac:dyDescent="0.2">
      <c r="AQ51769" s="31"/>
    </row>
    <row r="51770" spans="43:43" x14ac:dyDescent="0.2">
      <c r="AQ51770" s="31"/>
    </row>
    <row r="51771" spans="43:43" x14ac:dyDescent="0.2">
      <c r="AQ51771" s="31"/>
    </row>
    <row r="51772" spans="43:43" x14ac:dyDescent="0.2">
      <c r="AQ51772" s="31"/>
    </row>
    <row r="51773" spans="43:43" x14ac:dyDescent="0.2">
      <c r="AQ51773" s="31"/>
    </row>
    <row r="51774" spans="43:43" x14ac:dyDescent="0.2">
      <c r="AQ51774" s="31"/>
    </row>
    <row r="51775" spans="43:43" x14ac:dyDescent="0.2">
      <c r="AQ51775" s="31"/>
    </row>
    <row r="51776" spans="43:43" x14ac:dyDescent="0.2">
      <c r="AQ51776" s="31"/>
    </row>
    <row r="51777" spans="43:43" x14ac:dyDescent="0.2">
      <c r="AQ51777" s="31"/>
    </row>
    <row r="51778" spans="43:43" x14ac:dyDescent="0.2">
      <c r="AQ51778" s="31"/>
    </row>
    <row r="51779" spans="43:43" x14ac:dyDescent="0.2">
      <c r="AQ51779" s="31"/>
    </row>
    <row r="51780" spans="43:43" x14ac:dyDescent="0.2">
      <c r="AQ51780" s="31"/>
    </row>
    <row r="51781" spans="43:43" x14ac:dyDescent="0.2">
      <c r="AQ51781" s="31"/>
    </row>
    <row r="51782" spans="43:43" x14ac:dyDescent="0.2">
      <c r="AQ51782" s="31"/>
    </row>
    <row r="51783" spans="43:43" x14ac:dyDescent="0.2">
      <c r="AQ51783" s="31"/>
    </row>
    <row r="51784" spans="43:43" x14ac:dyDescent="0.2">
      <c r="AQ51784" s="31"/>
    </row>
    <row r="51785" spans="43:43" x14ac:dyDescent="0.2">
      <c r="AQ51785" s="31"/>
    </row>
    <row r="51786" spans="43:43" x14ac:dyDescent="0.2">
      <c r="AQ51786" s="31"/>
    </row>
    <row r="51787" spans="43:43" x14ac:dyDescent="0.2">
      <c r="AQ51787" s="31"/>
    </row>
    <row r="51788" spans="43:43" x14ac:dyDescent="0.2">
      <c r="AQ51788" s="31"/>
    </row>
    <row r="51789" spans="43:43" x14ac:dyDescent="0.2">
      <c r="AQ51789" s="31"/>
    </row>
    <row r="51790" spans="43:43" x14ac:dyDescent="0.2">
      <c r="AQ51790" s="31"/>
    </row>
    <row r="51791" spans="43:43" x14ac:dyDescent="0.2">
      <c r="AQ51791" s="31"/>
    </row>
    <row r="51792" spans="43:43" x14ac:dyDescent="0.2">
      <c r="AQ51792" s="31"/>
    </row>
    <row r="51793" spans="43:43" x14ac:dyDescent="0.2">
      <c r="AQ51793" s="31"/>
    </row>
    <row r="51794" spans="43:43" x14ac:dyDescent="0.2">
      <c r="AQ51794" s="31"/>
    </row>
    <row r="51795" spans="43:43" x14ac:dyDescent="0.2">
      <c r="AQ51795" s="31"/>
    </row>
    <row r="51796" spans="43:43" x14ac:dyDescent="0.2">
      <c r="AQ51796" s="31"/>
    </row>
    <row r="51797" spans="43:43" x14ac:dyDescent="0.2">
      <c r="AQ51797" s="31"/>
    </row>
    <row r="51798" spans="43:43" x14ac:dyDescent="0.2">
      <c r="AQ51798" s="31"/>
    </row>
    <row r="51799" spans="43:43" x14ac:dyDescent="0.2">
      <c r="AQ51799" s="31"/>
    </row>
    <row r="51800" spans="43:43" x14ac:dyDescent="0.2">
      <c r="AQ51800" s="31"/>
    </row>
    <row r="51801" spans="43:43" x14ac:dyDescent="0.2">
      <c r="AQ51801" s="31"/>
    </row>
    <row r="51802" spans="43:43" x14ac:dyDescent="0.2">
      <c r="AQ51802" s="31"/>
    </row>
    <row r="51803" spans="43:43" x14ac:dyDescent="0.2">
      <c r="AQ51803" s="31"/>
    </row>
    <row r="51804" spans="43:43" x14ac:dyDescent="0.2">
      <c r="AQ51804" s="31"/>
    </row>
    <row r="51805" spans="43:43" x14ac:dyDescent="0.2">
      <c r="AQ51805" s="31"/>
    </row>
    <row r="51806" spans="43:43" x14ac:dyDescent="0.2">
      <c r="AQ51806" s="31"/>
    </row>
    <row r="51807" spans="43:43" x14ac:dyDescent="0.2">
      <c r="AQ51807" s="31"/>
    </row>
    <row r="51808" spans="43:43" x14ac:dyDescent="0.2">
      <c r="AQ51808" s="31"/>
    </row>
    <row r="51809" spans="43:43" x14ac:dyDescent="0.2">
      <c r="AQ51809" s="31"/>
    </row>
    <row r="51810" spans="43:43" x14ac:dyDescent="0.2">
      <c r="AQ51810" s="31"/>
    </row>
    <row r="51811" spans="43:43" x14ac:dyDescent="0.2">
      <c r="AQ51811" s="31"/>
    </row>
    <row r="51812" spans="43:43" x14ac:dyDescent="0.2">
      <c r="AQ51812" s="31"/>
    </row>
    <row r="51813" spans="43:43" x14ac:dyDescent="0.2">
      <c r="AQ51813" s="31"/>
    </row>
    <row r="51814" spans="43:43" x14ac:dyDescent="0.2">
      <c r="AQ51814" s="31"/>
    </row>
    <row r="51815" spans="43:43" x14ac:dyDescent="0.2">
      <c r="AQ51815" s="31"/>
    </row>
    <row r="51816" spans="43:43" x14ac:dyDescent="0.2">
      <c r="AQ51816" s="31"/>
    </row>
    <row r="51817" spans="43:43" x14ac:dyDescent="0.2">
      <c r="AQ51817" s="31"/>
    </row>
    <row r="51818" spans="43:43" x14ac:dyDescent="0.2">
      <c r="AQ51818" s="31"/>
    </row>
    <row r="51819" spans="43:43" x14ac:dyDescent="0.2">
      <c r="AQ51819" s="31"/>
    </row>
    <row r="51820" spans="43:43" x14ac:dyDescent="0.2">
      <c r="AQ51820" s="31"/>
    </row>
    <row r="51821" spans="43:43" x14ac:dyDescent="0.2">
      <c r="AQ51821" s="31"/>
    </row>
    <row r="51822" spans="43:43" x14ac:dyDescent="0.2">
      <c r="AQ51822" s="31"/>
    </row>
    <row r="51823" spans="43:43" x14ac:dyDescent="0.2">
      <c r="AQ51823" s="31"/>
    </row>
    <row r="51824" spans="43:43" x14ac:dyDescent="0.2">
      <c r="AQ51824" s="31"/>
    </row>
    <row r="51825" spans="43:43" x14ac:dyDescent="0.2">
      <c r="AQ51825" s="31"/>
    </row>
    <row r="51826" spans="43:43" x14ac:dyDescent="0.2">
      <c r="AQ51826" s="31"/>
    </row>
    <row r="51827" spans="43:43" x14ac:dyDescent="0.2">
      <c r="AQ51827" s="31"/>
    </row>
    <row r="51828" spans="43:43" x14ac:dyDescent="0.2">
      <c r="AQ51828" s="31"/>
    </row>
    <row r="51829" spans="43:43" x14ac:dyDescent="0.2">
      <c r="AQ51829" s="31"/>
    </row>
    <row r="51830" spans="43:43" x14ac:dyDescent="0.2">
      <c r="AQ51830" s="31"/>
    </row>
    <row r="51831" spans="43:43" x14ac:dyDescent="0.2">
      <c r="AQ51831" s="31"/>
    </row>
    <row r="51832" spans="43:43" x14ac:dyDescent="0.2">
      <c r="AQ51832" s="31"/>
    </row>
    <row r="51833" spans="43:43" x14ac:dyDescent="0.2">
      <c r="AQ51833" s="31"/>
    </row>
    <row r="51834" spans="43:43" x14ac:dyDescent="0.2">
      <c r="AQ51834" s="31"/>
    </row>
    <row r="51835" spans="43:43" x14ac:dyDescent="0.2">
      <c r="AQ51835" s="31"/>
    </row>
    <row r="51836" spans="43:43" x14ac:dyDescent="0.2">
      <c r="AQ51836" s="31"/>
    </row>
    <row r="51837" spans="43:43" x14ac:dyDescent="0.2">
      <c r="AQ51837" s="31"/>
    </row>
    <row r="51838" spans="43:43" x14ac:dyDescent="0.2">
      <c r="AQ51838" s="31"/>
    </row>
    <row r="51839" spans="43:43" x14ac:dyDescent="0.2">
      <c r="AQ51839" s="31"/>
    </row>
    <row r="51840" spans="43:43" x14ac:dyDescent="0.2">
      <c r="AQ51840" s="31"/>
    </row>
    <row r="51841" spans="43:43" x14ac:dyDescent="0.2">
      <c r="AQ51841" s="31"/>
    </row>
    <row r="51842" spans="43:43" x14ac:dyDescent="0.2">
      <c r="AQ51842" s="31"/>
    </row>
    <row r="51843" spans="43:43" x14ac:dyDescent="0.2">
      <c r="AQ51843" s="31"/>
    </row>
    <row r="51844" spans="43:43" x14ac:dyDescent="0.2">
      <c r="AQ51844" s="31"/>
    </row>
    <row r="51845" spans="43:43" x14ac:dyDescent="0.2">
      <c r="AQ51845" s="31"/>
    </row>
    <row r="51846" spans="43:43" x14ac:dyDescent="0.2">
      <c r="AQ51846" s="31"/>
    </row>
    <row r="51847" spans="43:43" x14ac:dyDescent="0.2">
      <c r="AQ51847" s="31"/>
    </row>
    <row r="51848" spans="43:43" x14ac:dyDescent="0.2">
      <c r="AQ51848" s="31"/>
    </row>
    <row r="51849" spans="43:43" x14ac:dyDescent="0.2">
      <c r="AQ51849" s="31"/>
    </row>
    <row r="51850" spans="43:43" x14ac:dyDescent="0.2">
      <c r="AQ51850" s="31"/>
    </row>
    <row r="51851" spans="43:43" x14ac:dyDescent="0.2">
      <c r="AQ51851" s="31"/>
    </row>
    <row r="51852" spans="43:43" x14ac:dyDescent="0.2">
      <c r="AQ51852" s="31"/>
    </row>
    <row r="51853" spans="43:43" x14ac:dyDescent="0.2">
      <c r="AQ51853" s="31"/>
    </row>
    <row r="51854" spans="43:43" x14ac:dyDescent="0.2">
      <c r="AQ51854" s="31"/>
    </row>
    <row r="51855" spans="43:43" x14ac:dyDescent="0.2">
      <c r="AQ51855" s="31"/>
    </row>
    <row r="51856" spans="43:43" x14ac:dyDescent="0.2">
      <c r="AQ51856" s="31"/>
    </row>
    <row r="51857" spans="43:43" x14ac:dyDescent="0.2">
      <c r="AQ51857" s="31"/>
    </row>
    <row r="51858" spans="43:43" x14ac:dyDescent="0.2">
      <c r="AQ51858" s="31"/>
    </row>
    <row r="51859" spans="43:43" x14ac:dyDescent="0.2">
      <c r="AQ51859" s="31"/>
    </row>
    <row r="51860" spans="43:43" x14ac:dyDescent="0.2">
      <c r="AQ51860" s="31"/>
    </row>
    <row r="51861" spans="43:43" x14ac:dyDescent="0.2">
      <c r="AQ51861" s="31"/>
    </row>
    <row r="51862" spans="43:43" x14ac:dyDescent="0.2">
      <c r="AQ51862" s="31"/>
    </row>
    <row r="51863" spans="43:43" x14ac:dyDescent="0.2">
      <c r="AQ51863" s="31"/>
    </row>
    <row r="51864" spans="43:43" x14ac:dyDescent="0.2">
      <c r="AQ51864" s="31"/>
    </row>
    <row r="51865" spans="43:43" x14ac:dyDescent="0.2">
      <c r="AQ51865" s="31"/>
    </row>
    <row r="51866" spans="43:43" x14ac:dyDescent="0.2">
      <c r="AQ51866" s="31"/>
    </row>
    <row r="51867" spans="43:43" x14ac:dyDescent="0.2">
      <c r="AQ51867" s="31"/>
    </row>
    <row r="51868" spans="43:43" x14ac:dyDescent="0.2">
      <c r="AQ51868" s="31"/>
    </row>
    <row r="51869" spans="43:43" x14ac:dyDescent="0.2">
      <c r="AQ51869" s="31"/>
    </row>
    <row r="51870" spans="43:43" x14ac:dyDescent="0.2">
      <c r="AQ51870" s="31"/>
    </row>
    <row r="51871" spans="43:43" x14ac:dyDescent="0.2">
      <c r="AQ51871" s="31"/>
    </row>
    <row r="51872" spans="43:43" x14ac:dyDescent="0.2">
      <c r="AQ51872" s="31"/>
    </row>
    <row r="51873" spans="43:43" x14ac:dyDescent="0.2">
      <c r="AQ51873" s="31"/>
    </row>
    <row r="51874" spans="43:43" x14ac:dyDescent="0.2">
      <c r="AQ51874" s="31"/>
    </row>
    <row r="51875" spans="43:43" x14ac:dyDescent="0.2">
      <c r="AQ51875" s="31"/>
    </row>
    <row r="51876" spans="43:43" x14ac:dyDescent="0.2">
      <c r="AQ51876" s="31"/>
    </row>
    <row r="51877" spans="43:43" x14ac:dyDescent="0.2">
      <c r="AQ51877" s="31"/>
    </row>
    <row r="51878" spans="43:43" x14ac:dyDescent="0.2">
      <c r="AQ51878" s="31"/>
    </row>
    <row r="51879" spans="43:43" x14ac:dyDescent="0.2">
      <c r="AQ51879" s="31"/>
    </row>
    <row r="51880" spans="43:43" x14ac:dyDescent="0.2">
      <c r="AQ51880" s="31"/>
    </row>
    <row r="51881" spans="43:43" x14ac:dyDescent="0.2">
      <c r="AQ51881" s="31"/>
    </row>
    <row r="51882" spans="43:43" x14ac:dyDescent="0.2">
      <c r="AQ51882" s="31"/>
    </row>
    <row r="51883" spans="43:43" x14ac:dyDescent="0.2">
      <c r="AQ51883" s="31"/>
    </row>
    <row r="51884" spans="43:43" x14ac:dyDescent="0.2">
      <c r="AQ51884" s="31"/>
    </row>
    <row r="51885" spans="43:43" x14ac:dyDescent="0.2">
      <c r="AQ51885" s="31"/>
    </row>
    <row r="51886" spans="43:43" x14ac:dyDescent="0.2">
      <c r="AQ51886" s="31"/>
    </row>
    <row r="51887" spans="43:43" x14ac:dyDescent="0.2">
      <c r="AQ51887" s="31"/>
    </row>
    <row r="51888" spans="43:43" x14ac:dyDescent="0.2">
      <c r="AQ51888" s="31"/>
    </row>
    <row r="51889" spans="43:43" x14ac:dyDescent="0.2">
      <c r="AQ51889" s="31"/>
    </row>
    <row r="51890" spans="43:43" x14ac:dyDescent="0.2">
      <c r="AQ51890" s="31"/>
    </row>
    <row r="51891" spans="43:43" x14ac:dyDescent="0.2">
      <c r="AQ51891" s="31"/>
    </row>
    <row r="51892" spans="43:43" x14ac:dyDescent="0.2">
      <c r="AQ51892" s="31"/>
    </row>
    <row r="51893" spans="43:43" x14ac:dyDescent="0.2">
      <c r="AQ51893" s="31"/>
    </row>
    <row r="51894" spans="43:43" x14ac:dyDescent="0.2">
      <c r="AQ51894" s="31"/>
    </row>
    <row r="51895" spans="43:43" x14ac:dyDescent="0.2">
      <c r="AQ51895" s="31"/>
    </row>
    <row r="51896" spans="43:43" x14ac:dyDescent="0.2">
      <c r="AQ51896" s="31"/>
    </row>
    <row r="51897" spans="43:43" x14ac:dyDescent="0.2">
      <c r="AQ51897" s="31"/>
    </row>
    <row r="51898" spans="43:43" x14ac:dyDescent="0.2">
      <c r="AQ51898" s="31"/>
    </row>
    <row r="51899" spans="43:43" x14ac:dyDescent="0.2">
      <c r="AQ51899" s="31"/>
    </row>
    <row r="51900" spans="43:43" x14ac:dyDescent="0.2">
      <c r="AQ51900" s="31"/>
    </row>
    <row r="51901" spans="43:43" x14ac:dyDescent="0.2">
      <c r="AQ51901" s="31"/>
    </row>
    <row r="51902" spans="43:43" x14ac:dyDescent="0.2">
      <c r="AQ51902" s="31"/>
    </row>
    <row r="51903" spans="43:43" x14ac:dyDescent="0.2">
      <c r="AQ51903" s="31"/>
    </row>
    <row r="51904" spans="43:43" x14ac:dyDescent="0.2">
      <c r="AQ51904" s="31"/>
    </row>
    <row r="51905" spans="43:43" x14ac:dyDescent="0.2">
      <c r="AQ51905" s="31"/>
    </row>
    <row r="51906" spans="43:43" x14ac:dyDescent="0.2">
      <c r="AQ51906" s="31"/>
    </row>
    <row r="51907" spans="43:43" x14ac:dyDescent="0.2">
      <c r="AQ51907" s="31"/>
    </row>
    <row r="51908" spans="43:43" x14ac:dyDescent="0.2">
      <c r="AQ51908" s="31"/>
    </row>
    <row r="51909" spans="43:43" x14ac:dyDescent="0.2">
      <c r="AQ51909" s="31"/>
    </row>
    <row r="51910" spans="43:43" x14ac:dyDescent="0.2">
      <c r="AQ51910" s="31"/>
    </row>
    <row r="51911" spans="43:43" x14ac:dyDescent="0.2">
      <c r="AQ51911" s="31"/>
    </row>
    <row r="51912" spans="43:43" x14ac:dyDescent="0.2">
      <c r="AQ51912" s="31"/>
    </row>
    <row r="51913" spans="43:43" x14ac:dyDescent="0.2">
      <c r="AQ51913" s="31"/>
    </row>
    <row r="51914" spans="43:43" x14ac:dyDescent="0.2">
      <c r="AQ51914" s="31"/>
    </row>
    <row r="51915" spans="43:43" x14ac:dyDescent="0.2">
      <c r="AQ51915" s="31"/>
    </row>
    <row r="51916" spans="43:43" x14ac:dyDescent="0.2">
      <c r="AQ51916" s="31"/>
    </row>
    <row r="51917" spans="43:43" x14ac:dyDescent="0.2">
      <c r="AQ51917" s="31"/>
    </row>
    <row r="51918" spans="43:43" x14ac:dyDescent="0.2">
      <c r="AQ51918" s="31"/>
    </row>
    <row r="51919" spans="43:43" x14ac:dyDescent="0.2">
      <c r="AQ51919" s="31"/>
    </row>
    <row r="51920" spans="43:43" x14ac:dyDescent="0.2">
      <c r="AQ51920" s="31"/>
    </row>
    <row r="51921" spans="43:43" x14ac:dyDescent="0.2">
      <c r="AQ51921" s="31"/>
    </row>
    <row r="51922" spans="43:43" x14ac:dyDescent="0.2">
      <c r="AQ51922" s="31"/>
    </row>
    <row r="51923" spans="43:43" x14ac:dyDescent="0.2">
      <c r="AQ51923" s="31"/>
    </row>
    <row r="51924" spans="43:43" x14ac:dyDescent="0.2">
      <c r="AQ51924" s="31"/>
    </row>
    <row r="51925" spans="43:43" x14ac:dyDescent="0.2">
      <c r="AQ51925" s="31"/>
    </row>
    <row r="51926" spans="43:43" x14ac:dyDescent="0.2">
      <c r="AQ51926" s="31"/>
    </row>
    <row r="51927" spans="43:43" x14ac:dyDescent="0.2">
      <c r="AQ51927" s="31"/>
    </row>
    <row r="51928" spans="43:43" x14ac:dyDescent="0.2">
      <c r="AQ51928" s="31"/>
    </row>
    <row r="51929" spans="43:43" x14ac:dyDescent="0.2">
      <c r="AQ51929" s="31"/>
    </row>
    <row r="51930" spans="43:43" x14ac:dyDescent="0.2">
      <c r="AQ51930" s="31"/>
    </row>
    <row r="51931" spans="43:43" x14ac:dyDescent="0.2">
      <c r="AQ51931" s="31"/>
    </row>
    <row r="51932" spans="43:43" x14ac:dyDescent="0.2">
      <c r="AQ51932" s="31"/>
    </row>
    <row r="51933" spans="43:43" x14ac:dyDescent="0.2">
      <c r="AQ51933" s="31"/>
    </row>
    <row r="51934" spans="43:43" x14ac:dyDescent="0.2">
      <c r="AQ51934" s="31"/>
    </row>
    <row r="51935" spans="43:43" x14ac:dyDescent="0.2">
      <c r="AQ51935" s="31"/>
    </row>
    <row r="51936" spans="43:43" x14ac:dyDescent="0.2">
      <c r="AQ51936" s="31"/>
    </row>
    <row r="51937" spans="43:43" x14ac:dyDescent="0.2">
      <c r="AQ51937" s="31"/>
    </row>
    <row r="51938" spans="43:43" x14ac:dyDescent="0.2">
      <c r="AQ51938" s="31"/>
    </row>
    <row r="51939" spans="43:43" x14ac:dyDescent="0.2">
      <c r="AQ51939" s="31"/>
    </row>
    <row r="51940" spans="43:43" x14ac:dyDescent="0.2">
      <c r="AQ51940" s="31"/>
    </row>
    <row r="51941" spans="43:43" x14ac:dyDescent="0.2">
      <c r="AQ51941" s="31"/>
    </row>
    <row r="51942" spans="43:43" x14ac:dyDescent="0.2">
      <c r="AQ51942" s="31"/>
    </row>
    <row r="51943" spans="43:43" x14ac:dyDescent="0.2">
      <c r="AQ51943" s="31"/>
    </row>
    <row r="51944" spans="43:43" x14ac:dyDescent="0.2">
      <c r="AQ51944" s="31"/>
    </row>
    <row r="51945" spans="43:43" x14ac:dyDescent="0.2">
      <c r="AQ51945" s="31"/>
    </row>
    <row r="51946" spans="43:43" x14ac:dyDescent="0.2">
      <c r="AQ51946" s="31"/>
    </row>
    <row r="51947" spans="43:43" x14ac:dyDescent="0.2">
      <c r="AQ51947" s="31"/>
    </row>
    <row r="51948" spans="43:43" x14ac:dyDescent="0.2">
      <c r="AQ51948" s="31"/>
    </row>
    <row r="51949" spans="43:43" x14ac:dyDescent="0.2">
      <c r="AQ51949" s="31"/>
    </row>
    <row r="51950" spans="43:43" x14ac:dyDescent="0.2">
      <c r="AQ51950" s="31"/>
    </row>
    <row r="51951" spans="43:43" x14ac:dyDescent="0.2">
      <c r="AQ51951" s="31"/>
    </row>
    <row r="51952" spans="43:43" x14ac:dyDescent="0.2">
      <c r="AQ51952" s="31"/>
    </row>
    <row r="51953" spans="43:43" x14ac:dyDescent="0.2">
      <c r="AQ51953" s="31"/>
    </row>
    <row r="51954" spans="43:43" x14ac:dyDescent="0.2">
      <c r="AQ51954" s="31"/>
    </row>
    <row r="51955" spans="43:43" x14ac:dyDescent="0.2">
      <c r="AQ51955" s="31"/>
    </row>
    <row r="51956" spans="43:43" x14ac:dyDescent="0.2">
      <c r="AQ51956" s="31"/>
    </row>
    <row r="51957" spans="43:43" x14ac:dyDescent="0.2">
      <c r="AQ51957" s="31"/>
    </row>
    <row r="51958" spans="43:43" x14ac:dyDescent="0.2">
      <c r="AQ51958" s="31"/>
    </row>
    <row r="51959" spans="43:43" x14ac:dyDescent="0.2">
      <c r="AQ51959" s="31"/>
    </row>
    <row r="51960" spans="43:43" x14ac:dyDescent="0.2">
      <c r="AQ51960" s="31"/>
    </row>
    <row r="51961" spans="43:43" x14ac:dyDescent="0.2">
      <c r="AQ51961" s="31"/>
    </row>
    <row r="51962" spans="43:43" x14ac:dyDescent="0.2">
      <c r="AQ51962" s="31"/>
    </row>
    <row r="51963" spans="43:43" x14ac:dyDescent="0.2">
      <c r="AQ51963" s="31"/>
    </row>
    <row r="51964" spans="43:43" x14ac:dyDescent="0.2">
      <c r="AQ51964" s="31"/>
    </row>
    <row r="51965" spans="43:43" x14ac:dyDescent="0.2">
      <c r="AQ51965" s="31"/>
    </row>
    <row r="51966" spans="43:43" x14ac:dyDescent="0.2">
      <c r="AQ51966" s="31"/>
    </row>
    <row r="51967" spans="43:43" x14ac:dyDescent="0.2">
      <c r="AQ51967" s="31"/>
    </row>
    <row r="51968" spans="43:43" x14ac:dyDescent="0.2">
      <c r="AQ51968" s="31"/>
    </row>
    <row r="51969" spans="43:43" x14ac:dyDescent="0.2">
      <c r="AQ51969" s="31"/>
    </row>
    <row r="51970" spans="43:43" x14ac:dyDescent="0.2">
      <c r="AQ51970" s="31"/>
    </row>
    <row r="51971" spans="43:43" x14ac:dyDescent="0.2">
      <c r="AQ51971" s="31"/>
    </row>
    <row r="51972" spans="43:43" x14ac:dyDescent="0.2">
      <c r="AQ51972" s="31"/>
    </row>
    <row r="51973" spans="43:43" x14ac:dyDescent="0.2">
      <c r="AQ51973" s="31"/>
    </row>
    <row r="51974" spans="43:43" x14ac:dyDescent="0.2">
      <c r="AQ51974" s="31"/>
    </row>
    <row r="51975" spans="43:43" x14ac:dyDescent="0.2">
      <c r="AQ51975" s="31"/>
    </row>
    <row r="51976" spans="43:43" x14ac:dyDescent="0.2">
      <c r="AQ51976" s="31"/>
    </row>
    <row r="51977" spans="43:43" x14ac:dyDescent="0.2">
      <c r="AQ51977" s="31"/>
    </row>
    <row r="51978" spans="43:43" x14ac:dyDescent="0.2">
      <c r="AQ51978" s="31"/>
    </row>
    <row r="51979" spans="43:43" x14ac:dyDescent="0.2">
      <c r="AQ51979" s="31"/>
    </row>
    <row r="51980" spans="43:43" x14ac:dyDescent="0.2">
      <c r="AQ51980" s="31"/>
    </row>
    <row r="51981" spans="43:43" x14ac:dyDescent="0.2">
      <c r="AQ51981" s="31"/>
    </row>
    <row r="51982" spans="43:43" x14ac:dyDescent="0.2">
      <c r="AQ51982" s="31"/>
    </row>
    <row r="51983" spans="43:43" x14ac:dyDescent="0.2">
      <c r="AQ51983" s="31"/>
    </row>
    <row r="51984" spans="43:43" x14ac:dyDescent="0.2">
      <c r="AQ51984" s="31"/>
    </row>
    <row r="51985" spans="43:43" x14ac:dyDescent="0.2">
      <c r="AQ51985" s="31"/>
    </row>
    <row r="51986" spans="43:43" x14ac:dyDescent="0.2">
      <c r="AQ51986" s="31"/>
    </row>
    <row r="51987" spans="43:43" x14ac:dyDescent="0.2">
      <c r="AQ51987" s="31"/>
    </row>
    <row r="51988" spans="43:43" x14ac:dyDescent="0.2">
      <c r="AQ51988" s="31"/>
    </row>
    <row r="51989" spans="43:43" x14ac:dyDescent="0.2">
      <c r="AQ51989" s="31"/>
    </row>
    <row r="51990" spans="43:43" x14ac:dyDescent="0.2">
      <c r="AQ51990" s="31"/>
    </row>
    <row r="51991" spans="43:43" x14ac:dyDescent="0.2">
      <c r="AQ51991" s="31"/>
    </row>
    <row r="51992" spans="43:43" x14ac:dyDescent="0.2">
      <c r="AQ51992" s="31"/>
    </row>
    <row r="51993" spans="43:43" x14ac:dyDescent="0.2">
      <c r="AQ51993" s="31"/>
    </row>
    <row r="51994" spans="43:43" x14ac:dyDescent="0.2">
      <c r="AQ51994" s="31"/>
    </row>
    <row r="51995" spans="43:43" x14ac:dyDescent="0.2">
      <c r="AQ51995" s="31"/>
    </row>
    <row r="51996" spans="43:43" x14ac:dyDescent="0.2">
      <c r="AQ51996" s="31"/>
    </row>
    <row r="51997" spans="43:43" x14ac:dyDescent="0.2">
      <c r="AQ51997" s="31"/>
    </row>
    <row r="51998" spans="43:43" x14ac:dyDescent="0.2">
      <c r="AQ51998" s="31"/>
    </row>
    <row r="51999" spans="43:43" x14ac:dyDescent="0.2">
      <c r="AQ51999" s="31"/>
    </row>
    <row r="52000" spans="43:43" x14ac:dyDescent="0.2">
      <c r="AQ52000" s="31"/>
    </row>
    <row r="52001" spans="43:43" x14ac:dyDescent="0.2">
      <c r="AQ52001" s="31"/>
    </row>
    <row r="52002" spans="43:43" x14ac:dyDescent="0.2">
      <c r="AQ52002" s="31"/>
    </row>
    <row r="52003" spans="43:43" x14ac:dyDescent="0.2">
      <c r="AQ52003" s="31"/>
    </row>
    <row r="52004" spans="43:43" x14ac:dyDescent="0.2">
      <c r="AQ52004" s="31"/>
    </row>
    <row r="52005" spans="43:43" x14ac:dyDescent="0.2">
      <c r="AQ52005" s="31"/>
    </row>
    <row r="52006" spans="43:43" x14ac:dyDescent="0.2">
      <c r="AQ52006" s="31"/>
    </row>
    <row r="52007" spans="43:43" x14ac:dyDescent="0.2">
      <c r="AQ52007" s="31"/>
    </row>
    <row r="52008" spans="43:43" x14ac:dyDescent="0.2">
      <c r="AQ52008" s="31"/>
    </row>
    <row r="52009" spans="43:43" x14ac:dyDescent="0.2">
      <c r="AQ52009" s="31"/>
    </row>
    <row r="52010" spans="43:43" x14ac:dyDescent="0.2">
      <c r="AQ52010" s="31"/>
    </row>
    <row r="52011" spans="43:43" x14ac:dyDescent="0.2">
      <c r="AQ52011" s="31"/>
    </row>
    <row r="52012" spans="43:43" x14ac:dyDescent="0.2">
      <c r="AQ52012" s="31"/>
    </row>
    <row r="52013" spans="43:43" x14ac:dyDescent="0.2">
      <c r="AQ52013" s="31"/>
    </row>
    <row r="52014" spans="43:43" x14ac:dyDescent="0.2">
      <c r="AQ52014" s="31"/>
    </row>
    <row r="52015" spans="43:43" x14ac:dyDescent="0.2">
      <c r="AQ52015" s="31"/>
    </row>
    <row r="52016" spans="43:43" x14ac:dyDescent="0.2">
      <c r="AQ52016" s="31"/>
    </row>
    <row r="52017" spans="43:43" x14ac:dyDescent="0.2">
      <c r="AQ52017" s="31"/>
    </row>
    <row r="52018" spans="43:43" x14ac:dyDescent="0.2">
      <c r="AQ52018" s="31"/>
    </row>
    <row r="52019" spans="43:43" x14ac:dyDescent="0.2">
      <c r="AQ52019" s="31"/>
    </row>
    <row r="52020" spans="43:43" x14ac:dyDescent="0.2">
      <c r="AQ52020" s="31"/>
    </row>
    <row r="52021" spans="43:43" x14ac:dyDescent="0.2">
      <c r="AQ52021" s="31"/>
    </row>
    <row r="52022" spans="43:43" x14ac:dyDescent="0.2">
      <c r="AQ52022" s="31"/>
    </row>
    <row r="52023" spans="43:43" x14ac:dyDescent="0.2">
      <c r="AQ52023" s="31"/>
    </row>
    <row r="52024" spans="43:43" x14ac:dyDescent="0.2">
      <c r="AQ52024" s="31"/>
    </row>
    <row r="52025" spans="43:43" x14ac:dyDescent="0.2">
      <c r="AQ52025" s="31"/>
    </row>
    <row r="52026" spans="43:43" x14ac:dyDescent="0.2">
      <c r="AQ52026" s="31"/>
    </row>
    <row r="52027" spans="43:43" x14ac:dyDescent="0.2">
      <c r="AQ52027" s="31"/>
    </row>
    <row r="52028" spans="43:43" x14ac:dyDescent="0.2">
      <c r="AQ52028" s="31"/>
    </row>
    <row r="52029" spans="43:43" x14ac:dyDescent="0.2">
      <c r="AQ52029" s="31"/>
    </row>
    <row r="52030" spans="43:43" x14ac:dyDescent="0.2">
      <c r="AQ52030" s="31"/>
    </row>
    <row r="52031" spans="43:43" x14ac:dyDescent="0.2">
      <c r="AQ52031" s="31"/>
    </row>
    <row r="52032" spans="43:43" x14ac:dyDescent="0.2">
      <c r="AQ52032" s="31"/>
    </row>
    <row r="52033" spans="43:43" x14ac:dyDescent="0.2">
      <c r="AQ52033" s="31"/>
    </row>
    <row r="52034" spans="43:43" x14ac:dyDescent="0.2">
      <c r="AQ52034" s="31"/>
    </row>
    <row r="52035" spans="43:43" x14ac:dyDescent="0.2">
      <c r="AQ52035" s="31"/>
    </row>
    <row r="52036" spans="43:43" x14ac:dyDescent="0.2">
      <c r="AQ52036" s="31"/>
    </row>
    <row r="52037" spans="43:43" x14ac:dyDescent="0.2">
      <c r="AQ52037" s="31"/>
    </row>
    <row r="52038" spans="43:43" x14ac:dyDescent="0.2">
      <c r="AQ52038" s="31"/>
    </row>
    <row r="52039" spans="43:43" x14ac:dyDescent="0.2">
      <c r="AQ52039" s="31"/>
    </row>
    <row r="52040" spans="43:43" x14ac:dyDescent="0.2">
      <c r="AQ52040" s="31"/>
    </row>
    <row r="52041" spans="43:43" x14ac:dyDescent="0.2">
      <c r="AQ52041" s="31"/>
    </row>
    <row r="52042" spans="43:43" x14ac:dyDescent="0.2">
      <c r="AQ52042" s="31"/>
    </row>
    <row r="52043" spans="43:43" x14ac:dyDescent="0.2">
      <c r="AQ52043" s="31"/>
    </row>
    <row r="52044" spans="43:43" x14ac:dyDescent="0.2">
      <c r="AQ52044" s="31"/>
    </row>
    <row r="52045" spans="43:43" x14ac:dyDescent="0.2">
      <c r="AQ52045" s="31"/>
    </row>
    <row r="52046" spans="43:43" x14ac:dyDescent="0.2">
      <c r="AQ52046" s="31"/>
    </row>
    <row r="52047" spans="43:43" x14ac:dyDescent="0.2">
      <c r="AQ52047" s="31"/>
    </row>
    <row r="52048" spans="43:43" x14ac:dyDescent="0.2">
      <c r="AQ52048" s="31"/>
    </row>
    <row r="52049" spans="43:43" x14ac:dyDescent="0.2">
      <c r="AQ52049" s="31"/>
    </row>
    <row r="52050" spans="43:43" x14ac:dyDescent="0.2">
      <c r="AQ52050" s="31"/>
    </row>
    <row r="52051" spans="43:43" x14ac:dyDescent="0.2">
      <c r="AQ52051" s="31"/>
    </row>
    <row r="52052" spans="43:43" x14ac:dyDescent="0.2">
      <c r="AQ52052" s="31"/>
    </row>
    <row r="52053" spans="43:43" x14ac:dyDescent="0.2">
      <c r="AQ52053" s="31"/>
    </row>
    <row r="52054" spans="43:43" x14ac:dyDescent="0.2">
      <c r="AQ52054" s="31"/>
    </row>
    <row r="52055" spans="43:43" x14ac:dyDescent="0.2">
      <c r="AQ52055" s="31"/>
    </row>
    <row r="52056" spans="43:43" x14ac:dyDescent="0.2">
      <c r="AQ52056" s="31"/>
    </row>
    <row r="52057" spans="43:43" x14ac:dyDescent="0.2">
      <c r="AQ52057" s="31"/>
    </row>
    <row r="52058" spans="43:43" x14ac:dyDescent="0.2">
      <c r="AQ52058" s="31"/>
    </row>
    <row r="52059" spans="43:43" x14ac:dyDescent="0.2">
      <c r="AQ52059" s="31"/>
    </row>
    <row r="52060" spans="43:43" x14ac:dyDescent="0.2">
      <c r="AQ52060" s="31"/>
    </row>
    <row r="52061" spans="43:43" x14ac:dyDescent="0.2">
      <c r="AQ52061" s="31"/>
    </row>
    <row r="52062" spans="43:43" x14ac:dyDescent="0.2">
      <c r="AQ52062" s="31"/>
    </row>
    <row r="52063" spans="43:43" x14ac:dyDescent="0.2">
      <c r="AQ52063" s="31"/>
    </row>
    <row r="52064" spans="43:43" x14ac:dyDescent="0.2">
      <c r="AQ52064" s="31"/>
    </row>
    <row r="52065" spans="43:43" x14ac:dyDescent="0.2">
      <c r="AQ52065" s="31"/>
    </row>
    <row r="52066" spans="43:43" x14ac:dyDescent="0.2">
      <c r="AQ52066" s="31"/>
    </row>
    <row r="52067" spans="43:43" x14ac:dyDescent="0.2">
      <c r="AQ52067" s="31"/>
    </row>
    <row r="52068" spans="43:43" x14ac:dyDescent="0.2">
      <c r="AQ52068" s="31"/>
    </row>
    <row r="52069" spans="43:43" x14ac:dyDescent="0.2">
      <c r="AQ52069" s="31"/>
    </row>
    <row r="52070" spans="43:43" x14ac:dyDescent="0.2">
      <c r="AQ52070" s="31"/>
    </row>
    <row r="52071" spans="43:43" x14ac:dyDescent="0.2">
      <c r="AQ52071" s="31"/>
    </row>
    <row r="52072" spans="43:43" x14ac:dyDescent="0.2">
      <c r="AQ52072" s="31"/>
    </row>
    <row r="52073" spans="43:43" x14ac:dyDescent="0.2">
      <c r="AQ52073" s="31"/>
    </row>
    <row r="52074" spans="43:43" x14ac:dyDescent="0.2">
      <c r="AQ52074" s="31"/>
    </row>
    <row r="52075" spans="43:43" x14ac:dyDescent="0.2">
      <c r="AQ52075" s="31"/>
    </row>
    <row r="52076" spans="43:43" x14ac:dyDescent="0.2">
      <c r="AQ52076" s="31"/>
    </row>
    <row r="52077" spans="43:43" x14ac:dyDescent="0.2">
      <c r="AQ52077" s="31"/>
    </row>
    <row r="52078" spans="43:43" x14ac:dyDescent="0.2">
      <c r="AQ52078" s="31"/>
    </row>
    <row r="52079" spans="43:43" x14ac:dyDescent="0.2">
      <c r="AQ52079" s="31"/>
    </row>
    <row r="52080" spans="43:43" x14ac:dyDescent="0.2">
      <c r="AQ52080" s="31"/>
    </row>
    <row r="52081" spans="43:43" x14ac:dyDescent="0.2">
      <c r="AQ52081" s="31"/>
    </row>
    <row r="52082" spans="43:43" x14ac:dyDescent="0.2">
      <c r="AQ52082" s="31"/>
    </row>
    <row r="52083" spans="43:43" x14ac:dyDescent="0.2">
      <c r="AQ52083" s="31"/>
    </row>
    <row r="52084" spans="43:43" x14ac:dyDescent="0.2">
      <c r="AQ52084" s="31"/>
    </row>
    <row r="52085" spans="43:43" x14ac:dyDescent="0.2">
      <c r="AQ52085" s="31"/>
    </row>
    <row r="52086" spans="43:43" x14ac:dyDescent="0.2">
      <c r="AQ52086" s="31"/>
    </row>
    <row r="52087" spans="43:43" x14ac:dyDescent="0.2">
      <c r="AQ52087" s="31"/>
    </row>
    <row r="52088" spans="43:43" x14ac:dyDescent="0.2">
      <c r="AQ52088" s="31"/>
    </row>
    <row r="52089" spans="43:43" x14ac:dyDescent="0.2">
      <c r="AQ52089" s="31"/>
    </row>
    <row r="52090" spans="43:43" x14ac:dyDescent="0.2">
      <c r="AQ52090" s="31"/>
    </row>
    <row r="52091" spans="43:43" x14ac:dyDescent="0.2">
      <c r="AQ52091" s="31"/>
    </row>
    <row r="52092" spans="43:43" x14ac:dyDescent="0.2">
      <c r="AQ52092" s="31"/>
    </row>
    <row r="52093" spans="43:43" x14ac:dyDescent="0.2">
      <c r="AQ52093" s="31"/>
    </row>
    <row r="52094" spans="43:43" x14ac:dyDescent="0.2">
      <c r="AQ52094" s="31"/>
    </row>
    <row r="52095" spans="43:43" x14ac:dyDescent="0.2">
      <c r="AQ52095" s="31"/>
    </row>
    <row r="52096" spans="43:43" x14ac:dyDescent="0.2">
      <c r="AQ52096" s="31"/>
    </row>
    <row r="52097" spans="43:43" x14ac:dyDescent="0.2">
      <c r="AQ52097" s="31"/>
    </row>
    <row r="52098" spans="43:43" x14ac:dyDescent="0.2">
      <c r="AQ52098" s="31"/>
    </row>
    <row r="52099" spans="43:43" x14ac:dyDescent="0.2">
      <c r="AQ52099" s="31"/>
    </row>
    <row r="52100" spans="43:43" x14ac:dyDescent="0.2">
      <c r="AQ52100" s="31"/>
    </row>
    <row r="52101" spans="43:43" x14ac:dyDescent="0.2">
      <c r="AQ52101" s="31"/>
    </row>
    <row r="52102" spans="43:43" x14ac:dyDescent="0.2">
      <c r="AQ52102" s="31"/>
    </row>
    <row r="52103" spans="43:43" x14ac:dyDescent="0.2">
      <c r="AQ52103" s="31"/>
    </row>
    <row r="52104" spans="43:43" x14ac:dyDescent="0.2">
      <c r="AQ52104" s="31"/>
    </row>
    <row r="52105" spans="43:43" x14ac:dyDescent="0.2">
      <c r="AQ52105" s="31"/>
    </row>
    <row r="52106" spans="43:43" x14ac:dyDescent="0.2">
      <c r="AQ52106" s="31"/>
    </row>
    <row r="52107" spans="43:43" x14ac:dyDescent="0.2">
      <c r="AQ52107" s="31"/>
    </row>
    <row r="52108" spans="43:43" x14ac:dyDescent="0.2">
      <c r="AQ52108" s="31"/>
    </row>
    <row r="52109" spans="43:43" x14ac:dyDescent="0.2">
      <c r="AQ52109" s="31"/>
    </row>
    <row r="52110" spans="43:43" x14ac:dyDescent="0.2">
      <c r="AQ52110" s="31"/>
    </row>
    <row r="52111" spans="43:43" x14ac:dyDescent="0.2">
      <c r="AQ52111" s="31"/>
    </row>
    <row r="52112" spans="43:43" x14ac:dyDescent="0.2">
      <c r="AQ52112" s="31"/>
    </row>
    <row r="52113" spans="43:43" x14ac:dyDescent="0.2">
      <c r="AQ52113" s="31"/>
    </row>
    <row r="52114" spans="43:43" x14ac:dyDescent="0.2">
      <c r="AQ52114" s="31"/>
    </row>
    <row r="52115" spans="43:43" x14ac:dyDescent="0.2">
      <c r="AQ52115" s="31"/>
    </row>
    <row r="52116" spans="43:43" x14ac:dyDescent="0.2">
      <c r="AQ52116" s="31"/>
    </row>
    <row r="52117" spans="43:43" x14ac:dyDescent="0.2">
      <c r="AQ52117" s="31"/>
    </row>
    <row r="52118" spans="43:43" x14ac:dyDescent="0.2">
      <c r="AQ52118" s="31"/>
    </row>
    <row r="52119" spans="43:43" x14ac:dyDescent="0.2">
      <c r="AQ52119" s="31"/>
    </row>
    <row r="52120" spans="43:43" x14ac:dyDescent="0.2">
      <c r="AQ52120" s="31"/>
    </row>
    <row r="52121" spans="43:43" x14ac:dyDescent="0.2">
      <c r="AQ52121" s="31"/>
    </row>
    <row r="52122" spans="43:43" x14ac:dyDescent="0.2">
      <c r="AQ52122" s="31"/>
    </row>
    <row r="52123" spans="43:43" x14ac:dyDescent="0.2">
      <c r="AQ52123" s="31"/>
    </row>
    <row r="52124" spans="43:43" x14ac:dyDescent="0.2">
      <c r="AQ52124" s="31"/>
    </row>
    <row r="52125" spans="43:43" x14ac:dyDescent="0.2">
      <c r="AQ52125" s="31"/>
    </row>
    <row r="52126" spans="43:43" x14ac:dyDescent="0.2">
      <c r="AQ52126" s="31"/>
    </row>
    <row r="52127" spans="43:43" x14ac:dyDescent="0.2">
      <c r="AQ52127" s="31"/>
    </row>
    <row r="52128" spans="43:43" x14ac:dyDescent="0.2">
      <c r="AQ52128" s="31"/>
    </row>
    <row r="52129" spans="43:43" x14ac:dyDescent="0.2">
      <c r="AQ52129" s="31"/>
    </row>
    <row r="52130" spans="43:43" x14ac:dyDescent="0.2">
      <c r="AQ52130" s="31"/>
    </row>
    <row r="52131" spans="43:43" x14ac:dyDescent="0.2">
      <c r="AQ52131" s="31"/>
    </row>
    <row r="52132" spans="43:43" x14ac:dyDescent="0.2">
      <c r="AQ52132" s="31"/>
    </row>
    <row r="52133" spans="43:43" x14ac:dyDescent="0.2">
      <c r="AQ52133" s="31"/>
    </row>
    <row r="52134" spans="43:43" x14ac:dyDescent="0.2">
      <c r="AQ52134" s="31"/>
    </row>
    <row r="52135" spans="43:43" x14ac:dyDescent="0.2">
      <c r="AQ52135" s="31"/>
    </row>
    <row r="52136" spans="43:43" x14ac:dyDescent="0.2">
      <c r="AQ52136" s="31"/>
    </row>
    <row r="52137" spans="43:43" x14ac:dyDescent="0.2">
      <c r="AQ52137" s="31"/>
    </row>
    <row r="52138" spans="43:43" x14ac:dyDescent="0.2">
      <c r="AQ52138" s="31"/>
    </row>
    <row r="52139" spans="43:43" x14ac:dyDescent="0.2">
      <c r="AQ52139" s="31"/>
    </row>
    <row r="52140" spans="43:43" x14ac:dyDescent="0.2">
      <c r="AQ52140" s="31"/>
    </row>
    <row r="52141" spans="43:43" x14ac:dyDescent="0.2">
      <c r="AQ52141" s="31"/>
    </row>
    <row r="52142" spans="43:43" x14ac:dyDescent="0.2">
      <c r="AQ52142" s="31"/>
    </row>
    <row r="52143" spans="43:43" x14ac:dyDescent="0.2">
      <c r="AQ52143" s="31"/>
    </row>
    <row r="52144" spans="43:43" x14ac:dyDescent="0.2">
      <c r="AQ52144" s="31"/>
    </row>
    <row r="52145" spans="43:43" x14ac:dyDescent="0.2">
      <c r="AQ52145" s="31"/>
    </row>
    <row r="52146" spans="43:43" x14ac:dyDescent="0.2">
      <c r="AQ52146" s="31"/>
    </row>
    <row r="52147" spans="43:43" x14ac:dyDescent="0.2">
      <c r="AQ52147" s="31"/>
    </row>
    <row r="52148" spans="43:43" x14ac:dyDescent="0.2">
      <c r="AQ52148" s="31"/>
    </row>
    <row r="52149" spans="43:43" x14ac:dyDescent="0.2">
      <c r="AQ52149" s="31"/>
    </row>
    <row r="52150" spans="43:43" x14ac:dyDescent="0.2">
      <c r="AQ52150" s="31"/>
    </row>
    <row r="52151" spans="43:43" x14ac:dyDescent="0.2">
      <c r="AQ52151" s="31"/>
    </row>
    <row r="52152" spans="43:43" x14ac:dyDescent="0.2">
      <c r="AQ52152" s="31"/>
    </row>
    <row r="52153" spans="43:43" x14ac:dyDescent="0.2">
      <c r="AQ52153" s="31"/>
    </row>
    <row r="52154" spans="43:43" x14ac:dyDescent="0.2">
      <c r="AQ52154" s="31"/>
    </row>
    <row r="52155" spans="43:43" x14ac:dyDescent="0.2">
      <c r="AQ52155" s="31"/>
    </row>
    <row r="52156" spans="43:43" x14ac:dyDescent="0.2">
      <c r="AQ52156" s="31"/>
    </row>
    <row r="52157" spans="43:43" x14ac:dyDescent="0.2">
      <c r="AQ52157" s="31"/>
    </row>
    <row r="52158" spans="43:43" x14ac:dyDescent="0.2">
      <c r="AQ52158" s="31"/>
    </row>
    <row r="52159" spans="43:43" x14ac:dyDescent="0.2">
      <c r="AQ52159" s="31"/>
    </row>
    <row r="52160" spans="43:43" x14ac:dyDescent="0.2">
      <c r="AQ52160" s="31"/>
    </row>
    <row r="52161" spans="43:43" x14ac:dyDescent="0.2">
      <c r="AQ52161" s="31"/>
    </row>
    <row r="52162" spans="43:43" x14ac:dyDescent="0.2">
      <c r="AQ52162" s="31"/>
    </row>
    <row r="52163" spans="43:43" x14ac:dyDescent="0.2">
      <c r="AQ52163" s="31"/>
    </row>
    <row r="52164" spans="43:43" x14ac:dyDescent="0.2">
      <c r="AQ52164" s="31"/>
    </row>
    <row r="52165" spans="43:43" x14ac:dyDescent="0.2">
      <c r="AQ52165" s="31"/>
    </row>
    <row r="52166" spans="43:43" x14ac:dyDescent="0.2">
      <c r="AQ52166" s="31"/>
    </row>
    <row r="52167" spans="43:43" x14ac:dyDescent="0.2">
      <c r="AQ52167" s="31"/>
    </row>
    <row r="52168" spans="43:43" x14ac:dyDescent="0.2">
      <c r="AQ52168" s="31"/>
    </row>
    <row r="52169" spans="43:43" x14ac:dyDescent="0.2">
      <c r="AQ52169" s="31"/>
    </row>
    <row r="52170" spans="43:43" x14ac:dyDescent="0.2">
      <c r="AQ52170" s="31"/>
    </row>
    <row r="52171" spans="43:43" x14ac:dyDescent="0.2">
      <c r="AQ52171" s="31"/>
    </row>
    <row r="52172" spans="43:43" x14ac:dyDescent="0.2">
      <c r="AQ52172" s="31"/>
    </row>
    <row r="52173" spans="43:43" x14ac:dyDescent="0.2">
      <c r="AQ52173" s="31"/>
    </row>
    <row r="52174" spans="43:43" x14ac:dyDescent="0.2">
      <c r="AQ52174" s="31"/>
    </row>
    <row r="52175" spans="43:43" x14ac:dyDescent="0.2">
      <c r="AQ52175" s="31"/>
    </row>
    <row r="52176" spans="43:43" x14ac:dyDescent="0.2">
      <c r="AQ52176" s="31"/>
    </row>
    <row r="52177" spans="43:43" x14ac:dyDescent="0.2">
      <c r="AQ52177" s="31"/>
    </row>
    <row r="52178" spans="43:43" x14ac:dyDescent="0.2">
      <c r="AQ52178" s="31"/>
    </row>
    <row r="52179" spans="43:43" x14ac:dyDescent="0.2">
      <c r="AQ52179" s="31"/>
    </row>
    <row r="52180" spans="43:43" x14ac:dyDescent="0.2">
      <c r="AQ52180" s="31"/>
    </row>
    <row r="52181" spans="43:43" x14ac:dyDescent="0.2">
      <c r="AQ52181" s="31"/>
    </row>
    <row r="52182" spans="43:43" x14ac:dyDescent="0.2">
      <c r="AQ52182" s="31"/>
    </row>
    <row r="52183" spans="43:43" x14ac:dyDescent="0.2">
      <c r="AQ52183" s="31"/>
    </row>
    <row r="52184" spans="43:43" x14ac:dyDescent="0.2">
      <c r="AQ52184" s="31"/>
    </row>
    <row r="52185" spans="43:43" x14ac:dyDescent="0.2">
      <c r="AQ52185" s="31"/>
    </row>
    <row r="52186" spans="43:43" x14ac:dyDescent="0.2">
      <c r="AQ52186" s="31"/>
    </row>
    <row r="52187" spans="43:43" x14ac:dyDescent="0.2">
      <c r="AQ52187" s="31"/>
    </row>
    <row r="52188" spans="43:43" x14ac:dyDescent="0.2">
      <c r="AQ52188" s="31"/>
    </row>
    <row r="52189" spans="43:43" x14ac:dyDescent="0.2">
      <c r="AQ52189" s="31"/>
    </row>
    <row r="52190" spans="43:43" x14ac:dyDescent="0.2">
      <c r="AQ52190" s="31"/>
    </row>
    <row r="52191" spans="43:43" x14ac:dyDescent="0.2">
      <c r="AQ52191" s="31"/>
    </row>
    <row r="52192" spans="43:43" x14ac:dyDescent="0.2">
      <c r="AQ52192" s="31"/>
    </row>
    <row r="52193" spans="43:43" x14ac:dyDescent="0.2">
      <c r="AQ52193" s="31"/>
    </row>
    <row r="52194" spans="43:43" x14ac:dyDescent="0.2">
      <c r="AQ52194" s="31"/>
    </row>
    <row r="52195" spans="43:43" x14ac:dyDescent="0.2">
      <c r="AQ52195" s="31"/>
    </row>
    <row r="52196" spans="43:43" x14ac:dyDescent="0.2">
      <c r="AQ52196" s="31"/>
    </row>
    <row r="52197" spans="43:43" x14ac:dyDescent="0.2">
      <c r="AQ52197" s="31"/>
    </row>
    <row r="52198" spans="43:43" x14ac:dyDescent="0.2">
      <c r="AQ52198" s="31"/>
    </row>
    <row r="52199" spans="43:43" x14ac:dyDescent="0.2">
      <c r="AQ52199" s="31"/>
    </row>
    <row r="52200" spans="43:43" x14ac:dyDescent="0.2">
      <c r="AQ52200" s="31"/>
    </row>
    <row r="52201" spans="43:43" x14ac:dyDescent="0.2">
      <c r="AQ52201" s="31"/>
    </row>
    <row r="52202" spans="43:43" x14ac:dyDescent="0.2">
      <c r="AQ52202" s="31"/>
    </row>
    <row r="52203" spans="43:43" x14ac:dyDescent="0.2">
      <c r="AQ52203" s="31"/>
    </row>
    <row r="52204" spans="43:43" x14ac:dyDescent="0.2">
      <c r="AQ52204" s="31"/>
    </row>
    <row r="52205" spans="43:43" x14ac:dyDescent="0.2">
      <c r="AQ52205" s="31"/>
    </row>
    <row r="52206" spans="43:43" x14ac:dyDescent="0.2">
      <c r="AQ52206" s="31"/>
    </row>
    <row r="52207" spans="43:43" x14ac:dyDescent="0.2">
      <c r="AQ52207" s="31"/>
    </row>
    <row r="52208" spans="43:43" x14ac:dyDescent="0.2">
      <c r="AQ52208" s="31"/>
    </row>
    <row r="52209" spans="43:43" x14ac:dyDescent="0.2">
      <c r="AQ52209" s="31"/>
    </row>
    <row r="52210" spans="43:43" x14ac:dyDescent="0.2">
      <c r="AQ52210" s="31"/>
    </row>
    <row r="52211" spans="43:43" x14ac:dyDescent="0.2">
      <c r="AQ52211" s="31"/>
    </row>
    <row r="52212" spans="43:43" x14ac:dyDescent="0.2">
      <c r="AQ52212" s="31"/>
    </row>
    <row r="52213" spans="43:43" x14ac:dyDescent="0.2">
      <c r="AQ52213" s="31"/>
    </row>
    <row r="52214" spans="43:43" x14ac:dyDescent="0.2">
      <c r="AQ52214" s="31"/>
    </row>
    <row r="52215" spans="43:43" x14ac:dyDescent="0.2">
      <c r="AQ52215" s="31"/>
    </row>
    <row r="52216" spans="43:43" x14ac:dyDescent="0.2">
      <c r="AQ52216" s="31"/>
    </row>
    <row r="52217" spans="43:43" x14ac:dyDescent="0.2">
      <c r="AQ52217" s="31"/>
    </row>
    <row r="52218" spans="43:43" x14ac:dyDescent="0.2">
      <c r="AQ52218" s="31"/>
    </row>
    <row r="52219" spans="43:43" x14ac:dyDescent="0.2">
      <c r="AQ52219" s="31"/>
    </row>
    <row r="52220" spans="43:43" x14ac:dyDescent="0.2">
      <c r="AQ52220" s="31"/>
    </row>
    <row r="52221" spans="43:43" x14ac:dyDescent="0.2">
      <c r="AQ52221" s="31"/>
    </row>
    <row r="52222" spans="43:43" x14ac:dyDescent="0.2">
      <c r="AQ52222" s="31"/>
    </row>
    <row r="52223" spans="43:43" x14ac:dyDescent="0.2">
      <c r="AQ52223" s="31"/>
    </row>
    <row r="52224" spans="43:43" x14ac:dyDescent="0.2">
      <c r="AQ52224" s="31"/>
    </row>
    <row r="52225" spans="43:43" x14ac:dyDescent="0.2">
      <c r="AQ52225" s="31"/>
    </row>
    <row r="52226" spans="43:43" x14ac:dyDescent="0.2">
      <c r="AQ52226" s="31"/>
    </row>
    <row r="52227" spans="43:43" x14ac:dyDescent="0.2">
      <c r="AQ52227" s="31"/>
    </row>
    <row r="52228" spans="43:43" x14ac:dyDescent="0.2">
      <c r="AQ52228" s="31"/>
    </row>
    <row r="52229" spans="43:43" x14ac:dyDescent="0.2">
      <c r="AQ52229" s="31"/>
    </row>
    <row r="52230" spans="43:43" x14ac:dyDescent="0.2">
      <c r="AQ52230" s="31"/>
    </row>
    <row r="52231" spans="43:43" x14ac:dyDescent="0.2">
      <c r="AQ52231" s="31"/>
    </row>
    <row r="52232" spans="43:43" x14ac:dyDescent="0.2">
      <c r="AQ52232" s="31"/>
    </row>
    <row r="52233" spans="43:43" x14ac:dyDescent="0.2">
      <c r="AQ52233" s="31"/>
    </row>
    <row r="52234" spans="43:43" x14ac:dyDescent="0.2">
      <c r="AQ52234" s="31"/>
    </row>
    <row r="52235" spans="43:43" x14ac:dyDescent="0.2">
      <c r="AQ52235" s="31"/>
    </row>
    <row r="52236" spans="43:43" x14ac:dyDescent="0.2">
      <c r="AQ52236" s="31"/>
    </row>
    <row r="52237" spans="43:43" x14ac:dyDescent="0.2">
      <c r="AQ52237" s="31"/>
    </row>
    <row r="52238" spans="43:43" x14ac:dyDescent="0.2">
      <c r="AQ52238" s="31"/>
    </row>
    <row r="52239" spans="43:43" x14ac:dyDescent="0.2">
      <c r="AQ52239" s="31"/>
    </row>
    <row r="52240" spans="43:43" x14ac:dyDescent="0.2">
      <c r="AQ52240" s="31"/>
    </row>
    <row r="52241" spans="43:43" x14ac:dyDescent="0.2">
      <c r="AQ52241" s="31"/>
    </row>
    <row r="52242" spans="43:43" x14ac:dyDescent="0.2">
      <c r="AQ52242" s="31"/>
    </row>
    <row r="52243" spans="43:43" x14ac:dyDescent="0.2">
      <c r="AQ52243" s="31"/>
    </row>
    <row r="52244" spans="43:43" x14ac:dyDescent="0.2">
      <c r="AQ52244" s="31"/>
    </row>
    <row r="52245" spans="43:43" x14ac:dyDescent="0.2">
      <c r="AQ52245" s="31"/>
    </row>
    <row r="52246" spans="43:43" x14ac:dyDescent="0.2">
      <c r="AQ52246" s="31"/>
    </row>
    <row r="52247" spans="43:43" x14ac:dyDescent="0.2">
      <c r="AQ52247" s="31"/>
    </row>
    <row r="52248" spans="43:43" x14ac:dyDescent="0.2">
      <c r="AQ52248" s="31"/>
    </row>
    <row r="52249" spans="43:43" x14ac:dyDescent="0.2">
      <c r="AQ52249" s="31"/>
    </row>
    <row r="52250" spans="43:43" x14ac:dyDescent="0.2">
      <c r="AQ52250" s="31"/>
    </row>
    <row r="52251" spans="43:43" x14ac:dyDescent="0.2">
      <c r="AQ52251" s="31"/>
    </row>
    <row r="52252" spans="43:43" x14ac:dyDescent="0.2">
      <c r="AQ52252" s="31"/>
    </row>
    <row r="52253" spans="43:43" x14ac:dyDescent="0.2">
      <c r="AQ52253" s="31"/>
    </row>
    <row r="52254" spans="43:43" x14ac:dyDescent="0.2">
      <c r="AQ52254" s="31"/>
    </row>
    <row r="52255" spans="43:43" x14ac:dyDescent="0.2">
      <c r="AQ52255" s="31"/>
    </row>
    <row r="52256" spans="43:43" x14ac:dyDescent="0.2">
      <c r="AQ52256" s="31"/>
    </row>
    <row r="52257" spans="43:43" x14ac:dyDescent="0.2">
      <c r="AQ52257" s="31"/>
    </row>
    <row r="52258" spans="43:43" x14ac:dyDescent="0.2">
      <c r="AQ52258" s="31"/>
    </row>
    <row r="52259" spans="43:43" x14ac:dyDescent="0.2">
      <c r="AQ52259" s="31"/>
    </row>
    <row r="52260" spans="43:43" x14ac:dyDescent="0.2">
      <c r="AQ52260" s="31"/>
    </row>
    <row r="52261" spans="43:43" x14ac:dyDescent="0.2">
      <c r="AQ52261" s="31"/>
    </row>
    <row r="52262" spans="43:43" x14ac:dyDescent="0.2">
      <c r="AQ52262" s="31"/>
    </row>
    <row r="52263" spans="43:43" x14ac:dyDescent="0.2">
      <c r="AQ52263" s="31"/>
    </row>
    <row r="52264" spans="43:43" x14ac:dyDescent="0.2">
      <c r="AQ52264" s="31"/>
    </row>
    <row r="52265" spans="43:43" x14ac:dyDescent="0.2">
      <c r="AQ52265" s="31"/>
    </row>
    <row r="52266" spans="43:43" x14ac:dyDescent="0.2">
      <c r="AQ52266" s="31"/>
    </row>
    <row r="52267" spans="43:43" x14ac:dyDescent="0.2">
      <c r="AQ52267" s="31"/>
    </row>
    <row r="52268" spans="43:43" x14ac:dyDescent="0.2">
      <c r="AQ52268" s="31"/>
    </row>
    <row r="52269" spans="43:43" x14ac:dyDescent="0.2">
      <c r="AQ52269" s="31"/>
    </row>
    <row r="52270" spans="43:43" x14ac:dyDescent="0.2">
      <c r="AQ52270" s="31"/>
    </row>
    <row r="52271" spans="43:43" x14ac:dyDescent="0.2">
      <c r="AQ52271" s="31"/>
    </row>
    <row r="52272" spans="43:43" x14ac:dyDescent="0.2">
      <c r="AQ52272" s="31"/>
    </row>
    <row r="52273" spans="43:43" x14ac:dyDescent="0.2">
      <c r="AQ52273" s="31"/>
    </row>
    <row r="52274" spans="43:43" x14ac:dyDescent="0.2">
      <c r="AQ52274" s="31"/>
    </row>
    <row r="52275" spans="43:43" x14ac:dyDescent="0.2">
      <c r="AQ52275" s="31"/>
    </row>
    <row r="52276" spans="43:43" x14ac:dyDescent="0.2">
      <c r="AQ52276" s="31"/>
    </row>
    <row r="52277" spans="43:43" x14ac:dyDescent="0.2">
      <c r="AQ52277" s="31"/>
    </row>
    <row r="52278" spans="43:43" x14ac:dyDescent="0.2">
      <c r="AQ52278" s="31"/>
    </row>
    <row r="52279" spans="43:43" x14ac:dyDescent="0.2">
      <c r="AQ52279" s="31"/>
    </row>
    <row r="52280" spans="43:43" x14ac:dyDescent="0.2">
      <c r="AQ52280" s="31"/>
    </row>
    <row r="52281" spans="43:43" x14ac:dyDescent="0.2">
      <c r="AQ52281" s="31"/>
    </row>
    <row r="52282" spans="43:43" x14ac:dyDescent="0.2">
      <c r="AQ52282" s="31"/>
    </row>
    <row r="52283" spans="43:43" x14ac:dyDescent="0.2">
      <c r="AQ52283" s="31"/>
    </row>
    <row r="52284" spans="43:43" x14ac:dyDescent="0.2">
      <c r="AQ52284" s="31"/>
    </row>
    <row r="52285" spans="43:43" x14ac:dyDescent="0.2">
      <c r="AQ52285" s="31"/>
    </row>
    <row r="52286" spans="43:43" x14ac:dyDescent="0.2">
      <c r="AQ52286" s="31"/>
    </row>
    <row r="52287" spans="43:43" x14ac:dyDescent="0.2">
      <c r="AQ52287" s="31"/>
    </row>
    <row r="52288" spans="43:43" x14ac:dyDescent="0.2">
      <c r="AQ52288" s="31"/>
    </row>
    <row r="52289" spans="43:43" x14ac:dyDescent="0.2">
      <c r="AQ52289" s="31"/>
    </row>
    <row r="52290" spans="43:43" x14ac:dyDescent="0.2">
      <c r="AQ52290" s="31"/>
    </row>
    <row r="52291" spans="43:43" x14ac:dyDescent="0.2">
      <c r="AQ52291" s="31"/>
    </row>
    <row r="52292" spans="43:43" x14ac:dyDescent="0.2">
      <c r="AQ52292" s="31"/>
    </row>
    <row r="52293" spans="43:43" x14ac:dyDescent="0.2">
      <c r="AQ52293" s="31"/>
    </row>
    <row r="52294" spans="43:43" x14ac:dyDescent="0.2">
      <c r="AQ52294" s="31"/>
    </row>
    <row r="52295" spans="43:43" x14ac:dyDescent="0.2">
      <c r="AQ52295" s="31"/>
    </row>
    <row r="52296" spans="43:43" x14ac:dyDescent="0.2">
      <c r="AQ52296" s="31"/>
    </row>
    <row r="52297" spans="43:43" x14ac:dyDescent="0.2">
      <c r="AQ52297" s="31"/>
    </row>
    <row r="52298" spans="43:43" x14ac:dyDescent="0.2">
      <c r="AQ52298" s="31"/>
    </row>
    <row r="52299" spans="43:43" x14ac:dyDescent="0.2">
      <c r="AQ52299" s="31"/>
    </row>
    <row r="52300" spans="43:43" x14ac:dyDescent="0.2">
      <c r="AQ52300" s="31"/>
    </row>
    <row r="52301" spans="43:43" x14ac:dyDescent="0.2">
      <c r="AQ52301" s="31"/>
    </row>
    <row r="52302" spans="43:43" x14ac:dyDescent="0.2">
      <c r="AQ52302" s="31"/>
    </row>
    <row r="52303" spans="43:43" x14ac:dyDescent="0.2">
      <c r="AQ52303" s="31"/>
    </row>
    <row r="52304" spans="43:43" x14ac:dyDescent="0.2">
      <c r="AQ52304" s="31"/>
    </row>
    <row r="52305" spans="43:43" x14ac:dyDescent="0.2">
      <c r="AQ52305" s="31"/>
    </row>
    <row r="52306" spans="43:43" x14ac:dyDescent="0.2">
      <c r="AQ52306" s="31"/>
    </row>
    <row r="52307" spans="43:43" x14ac:dyDescent="0.2">
      <c r="AQ52307" s="31"/>
    </row>
    <row r="52308" spans="43:43" x14ac:dyDescent="0.2">
      <c r="AQ52308" s="31"/>
    </row>
    <row r="52309" spans="43:43" x14ac:dyDescent="0.2">
      <c r="AQ52309" s="31"/>
    </row>
    <row r="52310" spans="43:43" x14ac:dyDescent="0.2">
      <c r="AQ52310" s="31"/>
    </row>
    <row r="52311" spans="43:43" x14ac:dyDescent="0.2">
      <c r="AQ52311" s="31"/>
    </row>
    <row r="52312" spans="43:43" x14ac:dyDescent="0.2">
      <c r="AQ52312" s="31"/>
    </row>
    <row r="52313" spans="43:43" x14ac:dyDescent="0.2">
      <c r="AQ52313" s="31"/>
    </row>
    <row r="52314" spans="43:43" x14ac:dyDescent="0.2">
      <c r="AQ52314" s="31"/>
    </row>
    <row r="52315" spans="43:43" x14ac:dyDescent="0.2">
      <c r="AQ52315" s="31"/>
    </row>
    <row r="52316" spans="43:43" x14ac:dyDescent="0.2">
      <c r="AQ52316" s="31"/>
    </row>
    <row r="52317" spans="43:43" x14ac:dyDescent="0.2">
      <c r="AQ52317" s="31"/>
    </row>
    <row r="52318" spans="43:43" x14ac:dyDescent="0.2">
      <c r="AQ52318" s="31"/>
    </row>
    <row r="52319" spans="43:43" x14ac:dyDescent="0.2">
      <c r="AQ52319" s="31"/>
    </row>
    <row r="52320" spans="43:43" x14ac:dyDescent="0.2">
      <c r="AQ52320" s="31"/>
    </row>
    <row r="52321" spans="43:43" x14ac:dyDescent="0.2">
      <c r="AQ52321" s="31"/>
    </row>
    <row r="52322" spans="43:43" x14ac:dyDescent="0.2">
      <c r="AQ52322" s="31"/>
    </row>
    <row r="52323" spans="43:43" x14ac:dyDescent="0.2">
      <c r="AQ52323" s="31"/>
    </row>
    <row r="52324" spans="43:43" x14ac:dyDescent="0.2">
      <c r="AQ52324" s="31"/>
    </row>
    <row r="52325" spans="43:43" x14ac:dyDescent="0.2">
      <c r="AQ52325" s="31"/>
    </row>
    <row r="52326" spans="43:43" x14ac:dyDescent="0.2">
      <c r="AQ52326" s="31"/>
    </row>
    <row r="52327" spans="43:43" x14ac:dyDescent="0.2">
      <c r="AQ52327" s="31"/>
    </row>
    <row r="52328" spans="43:43" x14ac:dyDescent="0.2">
      <c r="AQ52328" s="31"/>
    </row>
    <row r="52329" spans="43:43" x14ac:dyDescent="0.2">
      <c r="AQ52329" s="31"/>
    </row>
    <row r="52330" spans="43:43" x14ac:dyDescent="0.2">
      <c r="AQ52330" s="31"/>
    </row>
    <row r="52331" spans="43:43" x14ac:dyDescent="0.2">
      <c r="AQ52331" s="31"/>
    </row>
    <row r="52332" spans="43:43" x14ac:dyDescent="0.2">
      <c r="AQ52332" s="31"/>
    </row>
    <row r="52333" spans="43:43" x14ac:dyDescent="0.2">
      <c r="AQ52333" s="31"/>
    </row>
    <row r="52334" spans="43:43" x14ac:dyDescent="0.2">
      <c r="AQ52334" s="31"/>
    </row>
    <row r="52335" spans="43:43" x14ac:dyDescent="0.2">
      <c r="AQ52335" s="31"/>
    </row>
    <row r="52336" spans="43:43" x14ac:dyDescent="0.2">
      <c r="AQ52336" s="31"/>
    </row>
    <row r="52337" spans="43:43" x14ac:dyDescent="0.2">
      <c r="AQ52337" s="31"/>
    </row>
    <row r="52338" spans="43:43" x14ac:dyDescent="0.2">
      <c r="AQ52338" s="31"/>
    </row>
    <row r="52339" spans="43:43" x14ac:dyDescent="0.2">
      <c r="AQ52339" s="31"/>
    </row>
    <row r="52340" spans="43:43" x14ac:dyDescent="0.2">
      <c r="AQ52340" s="31"/>
    </row>
    <row r="52341" spans="43:43" x14ac:dyDescent="0.2">
      <c r="AQ52341" s="31"/>
    </row>
    <row r="52342" spans="43:43" x14ac:dyDescent="0.2">
      <c r="AQ52342" s="31"/>
    </row>
    <row r="52343" spans="43:43" x14ac:dyDescent="0.2">
      <c r="AQ52343" s="31"/>
    </row>
    <row r="52344" spans="43:43" x14ac:dyDescent="0.2">
      <c r="AQ52344" s="31"/>
    </row>
    <row r="52345" spans="43:43" x14ac:dyDescent="0.2">
      <c r="AQ52345" s="31"/>
    </row>
    <row r="52346" spans="43:43" x14ac:dyDescent="0.2">
      <c r="AQ52346" s="31"/>
    </row>
    <row r="52347" spans="43:43" x14ac:dyDescent="0.2">
      <c r="AQ52347" s="31"/>
    </row>
    <row r="52348" spans="43:43" x14ac:dyDescent="0.2">
      <c r="AQ52348" s="31"/>
    </row>
    <row r="52349" spans="43:43" x14ac:dyDescent="0.2">
      <c r="AQ52349" s="31"/>
    </row>
    <row r="52350" spans="43:43" x14ac:dyDescent="0.2">
      <c r="AQ52350" s="31"/>
    </row>
    <row r="52351" spans="43:43" x14ac:dyDescent="0.2">
      <c r="AQ52351" s="31"/>
    </row>
    <row r="52352" spans="43:43" x14ac:dyDescent="0.2">
      <c r="AQ52352" s="31"/>
    </row>
    <row r="52353" spans="43:43" x14ac:dyDescent="0.2">
      <c r="AQ52353" s="31"/>
    </row>
    <row r="52354" spans="43:43" x14ac:dyDescent="0.2">
      <c r="AQ52354" s="31"/>
    </row>
    <row r="52355" spans="43:43" x14ac:dyDescent="0.2">
      <c r="AQ52355" s="31"/>
    </row>
    <row r="52356" spans="43:43" x14ac:dyDescent="0.2">
      <c r="AQ52356" s="31"/>
    </row>
    <row r="52357" spans="43:43" x14ac:dyDescent="0.2">
      <c r="AQ52357" s="31"/>
    </row>
    <row r="52358" spans="43:43" x14ac:dyDescent="0.2">
      <c r="AQ52358" s="31"/>
    </row>
    <row r="52359" spans="43:43" x14ac:dyDescent="0.2">
      <c r="AQ52359" s="31"/>
    </row>
    <row r="52360" spans="43:43" x14ac:dyDescent="0.2">
      <c r="AQ52360" s="31"/>
    </row>
    <row r="52361" spans="43:43" x14ac:dyDescent="0.2">
      <c r="AQ52361" s="31"/>
    </row>
    <row r="52362" spans="43:43" x14ac:dyDescent="0.2">
      <c r="AQ52362" s="31"/>
    </row>
    <row r="52363" spans="43:43" x14ac:dyDescent="0.2">
      <c r="AQ52363" s="31"/>
    </row>
    <row r="52364" spans="43:43" x14ac:dyDescent="0.2">
      <c r="AQ52364" s="31"/>
    </row>
    <row r="52365" spans="43:43" x14ac:dyDescent="0.2">
      <c r="AQ52365" s="31"/>
    </row>
    <row r="52366" spans="43:43" x14ac:dyDescent="0.2">
      <c r="AQ52366" s="31"/>
    </row>
    <row r="52367" spans="43:43" x14ac:dyDescent="0.2">
      <c r="AQ52367" s="31"/>
    </row>
    <row r="52368" spans="43:43" x14ac:dyDescent="0.2">
      <c r="AQ52368" s="31"/>
    </row>
    <row r="52369" spans="43:43" x14ac:dyDescent="0.2">
      <c r="AQ52369" s="31"/>
    </row>
    <row r="52370" spans="43:43" x14ac:dyDescent="0.2">
      <c r="AQ52370" s="31"/>
    </row>
    <row r="52371" spans="43:43" x14ac:dyDescent="0.2">
      <c r="AQ52371" s="31"/>
    </row>
    <row r="52372" spans="43:43" x14ac:dyDescent="0.2">
      <c r="AQ52372" s="31"/>
    </row>
    <row r="52373" spans="43:43" x14ac:dyDescent="0.2">
      <c r="AQ52373" s="31"/>
    </row>
    <row r="52374" spans="43:43" x14ac:dyDescent="0.2">
      <c r="AQ52374" s="31"/>
    </row>
    <row r="52375" spans="43:43" x14ac:dyDescent="0.2">
      <c r="AQ52375" s="31"/>
    </row>
    <row r="52376" spans="43:43" x14ac:dyDescent="0.2">
      <c r="AQ52376" s="31"/>
    </row>
    <row r="52377" spans="43:43" x14ac:dyDescent="0.2">
      <c r="AQ52377" s="31"/>
    </row>
    <row r="52378" spans="43:43" x14ac:dyDescent="0.2">
      <c r="AQ52378" s="31"/>
    </row>
    <row r="52379" spans="43:43" x14ac:dyDescent="0.2">
      <c r="AQ52379" s="31"/>
    </row>
    <row r="52380" spans="43:43" x14ac:dyDescent="0.2">
      <c r="AQ52380" s="31"/>
    </row>
    <row r="52381" spans="43:43" x14ac:dyDescent="0.2">
      <c r="AQ52381" s="31"/>
    </row>
    <row r="52382" spans="43:43" x14ac:dyDescent="0.2">
      <c r="AQ52382" s="31"/>
    </row>
    <row r="52383" spans="43:43" x14ac:dyDescent="0.2">
      <c r="AQ52383" s="31"/>
    </row>
    <row r="52384" spans="43:43" x14ac:dyDescent="0.2">
      <c r="AQ52384" s="31"/>
    </row>
    <row r="52385" spans="43:43" x14ac:dyDescent="0.2">
      <c r="AQ52385" s="31"/>
    </row>
    <row r="52386" spans="43:43" x14ac:dyDescent="0.2">
      <c r="AQ52386" s="31"/>
    </row>
    <row r="52387" spans="43:43" x14ac:dyDescent="0.2">
      <c r="AQ52387" s="31"/>
    </row>
    <row r="52388" spans="43:43" x14ac:dyDescent="0.2">
      <c r="AQ52388" s="31"/>
    </row>
    <row r="52389" spans="43:43" x14ac:dyDescent="0.2">
      <c r="AQ52389" s="31"/>
    </row>
    <row r="52390" spans="43:43" x14ac:dyDescent="0.2">
      <c r="AQ52390" s="31"/>
    </row>
    <row r="52391" spans="43:43" x14ac:dyDescent="0.2">
      <c r="AQ52391" s="31"/>
    </row>
    <row r="52392" spans="43:43" x14ac:dyDescent="0.2">
      <c r="AQ52392" s="31"/>
    </row>
    <row r="52393" spans="43:43" x14ac:dyDescent="0.2">
      <c r="AQ52393" s="31"/>
    </row>
    <row r="52394" spans="43:43" x14ac:dyDescent="0.2">
      <c r="AQ52394" s="31"/>
    </row>
    <row r="52395" spans="43:43" x14ac:dyDescent="0.2">
      <c r="AQ52395" s="31"/>
    </row>
    <row r="52396" spans="43:43" x14ac:dyDescent="0.2">
      <c r="AQ52396" s="31"/>
    </row>
    <row r="52397" spans="43:43" x14ac:dyDescent="0.2">
      <c r="AQ52397" s="31"/>
    </row>
    <row r="52398" spans="43:43" x14ac:dyDescent="0.2">
      <c r="AQ52398" s="31"/>
    </row>
    <row r="52399" spans="43:43" x14ac:dyDescent="0.2">
      <c r="AQ52399" s="31"/>
    </row>
    <row r="52400" spans="43:43" x14ac:dyDescent="0.2">
      <c r="AQ52400" s="31"/>
    </row>
    <row r="52401" spans="43:43" x14ac:dyDescent="0.2">
      <c r="AQ52401" s="31"/>
    </row>
    <row r="52402" spans="43:43" x14ac:dyDescent="0.2">
      <c r="AQ52402" s="31"/>
    </row>
    <row r="52403" spans="43:43" x14ac:dyDescent="0.2">
      <c r="AQ52403" s="31"/>
    </row>
    <row r="52404" spans="43:43" x14ac:dyDescent="0.2">
      <c r="AQ52404" s="31"/>
    </row>
    <row r="52405" spans="43:43" x14ac:dyDescent="0.2">
      <c r="AQ52405" s="31"/>
    </row>
    <row r="52406" spans="43:43" x14ac:dyDescent="0.2">
      <c r="AQ52406" s="31"/>
    </row>
    <row r="52407" spans="43:43" x14ac:dyDescent="0.2">
      <c r="AQ52407" s="31"/>
    </row>
    <row r="52408" spans="43:43" x14ac:dyDescent="0.2">
      <c r="AQ52408" s="31"/>
    </row>
    <row r="52409" spans="43:43" x14ac:dyDescent="0.2">
      <c r="AQ52409" s="31"/>
    </row>
    <row r="52410" spans="43:43" x14ac:dyDescent="0.2">
      <c r="AQ52410" s="31"/>
    </row>
    <row r="52411" spans="43:43" x14ac:dyDescent="0.2">
      <c r="AQ52411" s="31"/>
    </row>
    <row r="52412" spans="43:43" x14ac:dyDescent="0.2">
      <c r="AQ52412" s="31"/>
    </row>
    <row r="52413" spans="43:43" x14ac:dyDescent="0.2">
      <c r="AQ52413" s="31"/>
    </row>
    <row r="52414" spans="43:43" x14ac:dyDescent="0.2">
      <c r="AQ52414" s="31"/>
    </row>
    <row r="52415" spans="43:43" x14ac:dyDescent="0.2">
      <c r="AQ52415" s="31"/>
    </row>
    <row r="52416" spans="43:43" x14ac:dyDescent="0.2">
      <c r="AQ52416" s="31"/>
    </row>
    <row r="52417" spans="43:43" x14ac:dyDescent="0.2">
      <c r="AQ52417" s="31"/>
    </row>
    <row r="52418" spans="43:43" x14ac:dyDescent="0.2">
      <c r="AQ52418" s="31"/>
    </row>
    <row r="52419" spans="43:43" x14ac:dyDescent="0.2">
      <c r="AQ52419" s="31"/>
    </row>
    <row r="52420" spans="43:43" x14ac:dyDescent="0.2">
      <c r="AQ52420" s="31"/>
    </row>
    <row r="52421" spans="43:43" x14ac:dyDescent="0.2">
      <c r="AQ52421" s="31"/>
    </row>
    <row r="52422" spans="43:43" x14ac:dyDescent="0.2">
      <c r="AQ52422" s="31"/>
    </row>
    <row r="52423" spans="43:43" x14ac:dyDescent="0.2">
      <c r="AQ52423" s="31"/>
    </row>
    <row r="52424" spans="43:43" x14ac:dyDescent="0.2">
      <c r="AQ52424" s="31"/>
    </row>
    <row r="52425" spans="43:43" x14ac:dyDescent="0.2">
      <c r="AQ52425" s="31"/>
    </row>
    <row r="52426" spans="43:43" x14ac:dyDescent="0.2">
      <c r="AQ52426" s="31"/>
    </row>
    <row r="52427" spans="43:43" x14ac:dyDescent="0.2">
      <c r="AQ52427" s="31"/>
    </row>
    <row r="52428" spans="43:43" x14ac:dyDescent="0.2">
      <c r="AQ52428" s="31"/>
    </row>
    <row r="52429" spans="43:43" x14ac:dyDescent="0.2">
      <c r="AQ52429" s="31"/>
    </row>
    <row r="52430" spans="43:43" x14ac:dyDescent="0.2">
      <c r="AQ52430" s="31"/>
    </row>
    <row r="52431" spans="43:43" x14ac:dyDescent="0.2">
      <c r="AQ52431" s="31"/>
    </row>
    <row r="52432" spans="43:43" x14ac:dyDescent="0.2">
      <c r="AQ52432" s="31"/>
    </row>
    <row r="52433" spans="43:43" x14ac:dyDescent="0.2">
      <c r="AQ52433" s="31"/>
    </row>
    <row r="52434" spans="43:43" x14ac:dyDescent="0.2">
      <c r="AQ52434" s="31"/>
    </row>
    <row r="52435" spans="43:43" x14ac:dyDescent="0.2">
      <c r="AQ52435" s="31"/>
    </row>
    <row r="52436" spans="43:43" x14ac:dyDescent="0.2">
      <c r="AQ52436" s="31"/>
    </row>
    <row r="52437" spans="43:43" x14ac:dyDescent="0.2">
      <c r="AQ52437" s="31"/>
    </row>
    <row r="52438" spans="43:43" x14ac:dyDescent="0.2">
      <c r="AQ52438" s="31"/>
    </row>
    <row r="52439" spans="43:43" x14ac:dyDescent="0.2">
      <c r="AQ52439" s="31"/>
    </row>
    <row r="52440" spans="43:43" x14ac:dyDescent="0.2">
      <c r="AQ52440" s="31"/>
    </row>
    <row r="52441" spans="43:43" x14ac:dyDescent="0.2">
      <c r="AQ52441" s="31"/>
    </row>
    <row r="52442" spans="43:43" x14ac:dyDescent="0.2">
      <c r="AQ52442" s="31"/>
    </row>
    <row r="52443" spans="43:43" x14ac:dyDescent="0.2">
      <c r="AQ52443" s="31"/>
    </row>
    <row r="52444" spans="43:43" x14ac:dyDescent="0.2">
      <c r="AQ52444" s="31"/>
    </row>
    <row r="52445" spans="43:43" x14ac:dyDescent="0.2">
      <c r="AQ52445" s="31"/>
    </row>
    <row r="52446" spans="43:43" x14ac:dyDescent="0.2">
      <c r="AQ52446" s="31"/>
    </row>
    <row r="52447" spans="43:43" x14ac:dyDescent="0.2">
      <c r="AQ52447" s="31"/>
    </row>
    <row r="52448" spans="43:43" x14ac:dyDescent="0.2">
      <c r="AQ52448" s="31"/>
    </row>
    <row r="52449" spans="43:43" x14ac:dyDescent="0.2">
      <c r="AQ52449" s="31"/>
    </row>
    <row r="52450" spans="43:43" x14ac:dyDescent="0.2">
      <c r="AQ52450" s="31"/>
    </row>
    <row r="52451" spans="43:43" x14ac:dyDescent="0.2">
      <c r="AQ52451" s="31"/>
    </row>
    <row r="52452" spans="43:43" x14ac:dyDescent="0.2">
      <c r="AQ52452" s="31"/>
    </row>
    <row r="52453" spans="43:43" x14ac:dyDescent="0.2">
      <c r="AQ52453" s="31"/>
    </row>
    <row r="52454" spans="43:43" x14ac:dyDescent="0.2">
      <c r="AQ52454" s="31"/>
    </row>
    <row r="52455" spans="43:43" x14ac:dyDescent="0.2">
      <c r="AQ52455" s="31"/>
    </row>
    <row r="52456" spans="43:43" x14ac:dyDescent="0.2">
      <c r="AQ52456" s="31"/>
    </row>
    <row r="52457" spans="43:43" x14ac:dyDescent="0.2">
      <c r="AQ52457" s="31"/>
    </row>
    <row r="52458" spans="43:43" x14ac:dyDescent="0.2">
      <c r="AQ52458" s="31"/>
    </row>
    <row r="52459" spans="43:43" x14ac:dyDescent="0.2">
      <c r="AQ52459" s="31"/>
    </row>
    <row r="52460" spans="43:43" x14ac:dyDescent="0.2">
      <c r="AQ52460" s="31"/>
    </row>
    <row r="52461" spans="43:43" x14ac:dyDescent="0.2">
      <c r="AQ52461" s="31"/>
    </row>
    <row r="52462" spans="43:43" x14ac:dyDescent="0.2">
      <c r="AQ52462" s="31"/>
    </row>
    <row r="52463" spans="43:43" x14ac:dyDescent="0.2">
      <c r="AQ52463" s="31"/>
    </row>
    <row r="52464" spans="43:43" x14ac:dyDescent="0.2">
      <c r="AQ52464" s="31"/>
    </row>
    <row r="52465" spans="43:43" x14ac:dyDescent="0.2">
      <c r="AQ52465" s="31"/>
    </row>
    <row r="52466" spans="43:43" x14ac:dyDescent="0.2">
      <c r="AQ52466" s="31"/>
    </row>
    <row r="52467" spans="43:43" x14ac:dyDescent="0.2">
      <c r="AQ52467" s="31"/>
    </row>
    <row r="52468" spans="43:43" x14ac:dyDescent="0.2">
      <c r="AQ52468" s="31"/>
    </row>
    <row r="52469" spans="43:43" x14ac:dyDescent="0.2">
      <c r="AQ52469" s="31"/>
    </row>
    <row r="52470" spans="43:43" x14ac:dyDescent="0.2">
      <c r="AQ52470" s="31"/>
    </row>
    <row r="52471" spans="43:43" x14ac:dyDescent="0.2">
      <c r="AQ52471" s="31"/>
    </row>
    <row r="52472" spans="43:43" x14ac:dyDescent="0.2">
      <c r="AQ52472" s="31"/>
    </row>
    <row r="52473" spans="43:43" x14ac:dyDescent="0.2">
      <c r="AQ52473" s="31"/>
    </row>
    <row r="52474" spans="43:43" x14ac:dyDescent="0.2">
      <c r="AQ52474" s="31"/>
    </row>
    <row r="52475" spans="43:43" x14ac:dyDescent="0.2">
      <c r="AQ52475" s="31"/>
    </row>
    <row r="52476" spans="43:43" x14ac:dyDescent="0.2">
      <c r="AQ52476" s="31"/>
    </row>
    <row r="52477" spans="43:43" x14ac:dyDescent="0.2">
      <c r="AQ52477" s="31"/>
    </row>
    <row r="52478" spans="43:43" x14ac:dyDescent="0.2">
      <c r="AQ52478" s="31"/>
    </row>
    <row r="52479" spans="43:43" x14ac:dyDescent="0.2">
      <c r="AQ52479" s="31"/>
    </row>
    <row r="52480" spans="43:43" x14ac:dyDescent="0.2">
      <c r="AQ52480" s="31"/>
    </row>
    <row r="52481" spans="43:43" x14ac:dyDescent="0.2">
      <c r="AQ52481" s="31"/>
    </row>
    <row r="52482" spans="43:43" x14ac:dyDescent="0.2">
      <c r="AQ52482" s="31"/>
    </row>
    <row r="52483" spans="43:43" x14ac:dyDescent="0.2">
      <c r="AQ52483" s="31"/>
    </row>
    <row r="52484" spans="43:43" x14ac:dyDescent="0.2">
      <c r="AQ52484" s="31"/>
    </row>
    <row r="52485" spans="43:43" x14ac:dyDescent="0.2">
      <c r="AQ52485" s="31"/>
    </row>
    <row r="52486" spans="43:43" x14ac:dyDescent="0.2">
      <c r="AQ52486" s="31"/>
    </row>
    <row r="52487" spans="43:43" x14ac:dyDescent="0.2">
      <c r="AQ52487" s="31"/>
    </row>
    <row r="52488" spans="43:43" x14ac:dyDescent="0.2">
      <c r="AQ52488" s="31"/>
    </row>
    <row r="52489" spans="43:43" x14ac:dyDescent="0.2">
      <c r="AQ52489" s="31"/>
    </row>
    <row r="52490" spans="43:43" x14ac:dyDescent="0.2">
      <c r="AQ52490" s="31"/>
    </row>
    <row r="52491" spans="43:43" x14ac:dyDescent="0.2">
      <c r="AQ52491" s="31"/>
    </row>
    <row r="52492" spans="43:43" x14ac:dyDescent="0.2">
      <c r="AQ52492" s="31"/>
    </row>
    <row r="52493" spans="43:43" x14ac:dyDescent="0.2">
      <c r="AQ52493" s="31"/>
    </row>
    <row r="52494" spans="43:43" x14ac:dyDescent="0.2">
      <c r="AQ52494" s="31"/>
    </row>
    <row r="52495" spans="43:43" x14ac:dyDescent="0.2">
      <c r="AQ52495" s="31"/>
    </row>
    <row r="52496" spans="43:43" x14ac:dyDescent="0.2">
      <c r="AQ52496" s="31"/>
    </row>
    <row r="52497" spans="43:43" x14ac:dyDescent="0.2">
      <c r="AQ52497" s="31"/>
    </row>
    <row r="52498" spans="43:43" x14ac:dyDescent="0.2">
      <c r="AQ52498" s="31"/>
    </row>
    <row r="52499" spans="43:43" x14ac:dyDescent="0.2">
      <c r="AQ52499" s="31"/>
    </row>
    <row r="52500" spans="43:43" x14ac:dyDescent="0.2">
      <c r="AQ52500" s="31"/>
    </row>
    <row r="52501" spans="43:43" x14ac:dyDescent="0.2">
      <c r="AQ52501" s="31"/>
    </row>
    <row r="52502" spans="43:43" x14ac:dyDescent="0.2">
      <c r="AQ52502" s="31"/>
    </row>
    <row r="52503" spans="43:43" x14ac:dyDescent="0.2">
      <c r="AQ52503" s="31"/>
    </row>
    <row r="52504" spans="43:43" x14ac:dyDescent="0.2">
      <c r="AQ52504" s="31"/>
    </row>
    <row r="52505" spans="43:43" x14ac:dyDescent="0.2">
      <c r="AQ52505" s="31"/>
    </row>
    <row r="52506" spans="43:43" x14ac:dyDescent="0.2">
      <c r="AQ52506" s="31"/>
    </row>
    <row r="52507" spans="43:43" x14ac:dyDescent="0.2">
      <c r="AQ52507" s="31"/>
    </row>
    <row r="52508" spans="43:43" x14ac:dyDescent="0.2">
      <c r="AQ52508" s="31"/>
    </row>
    <row r="52509" spans="43:43" x14ac:dyDescent="0.2">
      <c r="AQ52509" s="31"/>
    </row>
    <row r="52510" spans="43:43" x14ac:dyDescent="0.2">
      <c r="AQ52510" s="31"/>
    </row>
    <row r="52511" spans="43:43" x14ac:dyDescent="0.2">
      <c r="AQ52511" s="31"/>
    </row>
    <row r="52512" spans="43:43" x14ac:dyDescent="0.2">
      <c r="AQ52512" s="31"/>
    </row>
    <row r="52513" spans="43:43" x14ac:dyDescent="0.2">
      <c r="AQ52513" s="31"/>
    </row>
    <row r="52514" spans="43:43" x14ac:dyDescent="0.2">
      <c r="AQ52514" s="31"/>
    </row>
    <row r="52515" spans="43:43" x14ac:dyDescent="0.2">
      <c r="AQ52515" s="31"/>
    </row>
    <row r="52516" spans="43:43" x14ac:dyDescent="0.2">
      <c r="AQ52516" s="31"/>
    </row>
    <row r="52517" spans="43:43" x14ac:dyDescent="0.2">
      <c r="AQ52517" s="31"/>
    </row>
    <row r="52518" spans="43:43" x14ac:dyDescent="0.2">
      <c r="AQ52518" s="31"/>
    </row>
    <row r="52519" spans="43:43" x14ac:dyDescent="0.2">
      <c r="AQ52519" s="31"/>
    </row>
    <row r="52520" spans="43:43" x14ac:dyDescent="0.2">
      <c r="AQ52520" s="31"/>
    </row>
    <row r="52521" spans="43:43" x14ac:dyDescent="0.2">
      <c r="AQ52521" s="31"/>
    </row>
    <row r="52522" spans="43:43" x14ac:dyDescent="0.2">
      <c r="AQ52522" s="31"/>
    </row>
    <row r="52523" spans="43:43" x14ac:dyDescent="0.2">
      <c r="AQ52523" s="31"/>
    </row>
    <row r="52524" spans="43:43" x14ac:dyDescent="0.2">
      <c r="AQ52524" s="31"/>
    </row>
    <row r="52525" spans="43:43" x14ac:dyDescent="0.2">
      <c r="AQ52525" s="31"/>
    </row>
    <row r="52526" spans="43:43" x14ac:dyDescent="0.2">
      <c r="AQ52526" s="31"/>
    </row>
    <row r="52527" spans="43:43" x14ac:dyDescent="0.2">
      <c r="AQ52527" s="31"/>
    </row>
    <row r="52528" spans="43:43" x14ac:dyDescent="0.2">
      <c r="AQ52528" s="31"/>
    </row>
    <row r="52529" spans="43:43" x14ac:dyDescent="0.2">
      <c r="AQ52529" s="31"/>
    </row>
    <row r="52530" spans="43:43" x14ac:dyDescent="0.2">
      <c r="AQ52530" s="31"/>
    </row>
    <row r="52531" spans="43:43" x14ac:dyDescent="0.2">
      <c r="AQ52531" s="31"/>
    </row>
    <row r="52532" spans="43:43" x14ac:dyDescent="0.2">
      <c r="AQ52532" s="31"/>
    </row>
    <row r="52533" spans="43:43" x14ac:dyDescent="0.2">
      <c r="AQ52533" s="31"/>
    </row>
    <row r="52534" spans="43:43" x14ac:dyDescent="0.2">
      <c r="AQ52534" s="31"/>
    </row>
    <row r="52535" spans="43:43" x14ac:dyDescent="0.2">
      <c r="AQ52535" s="31"/>
    </row>
    <row r="52536" spans="43:43" x14ac:dyDescent="0.2">
      <c r="AQ52536" s="31"/>
    </row>
    <row r="52537" spans="43:43" x14ac:dyDescent="0.2">
      <c r="AQ52537" s="31"/>
    </row>
    <row r="52538" spans="43:43" x14ac:dyDescent="0.2">
      <c r="AQ52538" s="31"/>
    </row>
    <row r="52539" spans="43:43" x14ac:dyDescent="0.2">
      <c r="AQ52539" s="31"/>
    </row>
    <row r="52540" spans="43:43" x14ac:dyDescent="0.2">
      <c r="AQ52540" s="31"/>
    </row>
    <row r="52541" spans="43:43" x14ac:dyDescent="0.2">
      <c r="AQ52541" s="31"/>
    </row>
    <row r="52542" spans="43:43" x14ac:dyDescent="0.2">
      <c r="AQ52542" s="31"/>
    </row>
    <row r="52543" spans="43:43" x14ac:dyDescent="0.2">
      <c r="AQ52543" s="31"/>
    </row>
    <row r="52544" spans="43:43" x14ac:dyDescent="0.2">
      <c r="AQ52544" s="31"/>
    </row>
    <row r="52545" spans="43:43" x14ac:dyDescent="0.2">
      <c r="AQ52545" s="31"/>
    </row>
    <row r="52546" spans="43:43" x14ac:dyDescent="0.2">
      <c r="AQ52546" s="31"/>
    </row>
    <row r="52547" spans="43:43" x14ac:dyDescent="0.2">
      <c r="AQ52547" s="31"/>
    </row>
    <row r="52548" spans="43:43" x14ac:dyDescent="0.2">
      <c r="AQ52548" s="31"/>
    </row>
    <row r="52549" spans="43:43" x14ac:dyDescent="0.2">
      <c r="AQ52549" s="31"/>
    </row>
    <row r="52550" spans="43:43" x14ac:dyDescent="0.2">
      <c r="AQ52550" s="31"/>
    </row>
    <row r="52551" spans="43:43" x14ac:dyDescent="0.2">
      <c r="AQ52551" s="31"/>
    </row>
    <row r="52552" spans="43:43" x14ac:dyDescent="0.2">
      <c r="AQ52552" s="31"/>
    </row>
    <row r="52553" spans="43:43" x14ac:dyDescent="0.2">
      <c r="AQ52553" s="31"/>
    </row>
    <row r="52554" spans="43:43" x14ac:dyDescent="0.2">
      <c r="AQ52554" s="31"/>
    </row>
    <row r="52555" spans="43:43" x14ac:dyDescent="0.2">
      <c r="AQ52555" s="31"/>
    </row>
    <row r="52556" spans="43:43" x14ac:dyDescent="0.2">
      <c r="AQ52556" s="31"/>
    </row>
    <row r="52557" spans="43:43" x14ac:dyDescent="0.2">
      <c r="AQ52557" s="31"/>
    </row>
    <row r="52558" spans="43:43" x14ac:dyDescent="0.2">
      <c r="AQ52558" s="31"/>
    </row>
    <row r="52559" spans="43:43" x14ac:dyDescent="0.2">
      <c r="AQ52559" s="31"/>
    </row>
    <row r="52560" spans="43:43" x14ac:dyDescent="0.2">
      <c r="AQ52560" s="31"/>
    </row>
    <row r="52561" spans="43:43" x14ac:dyDescent="0.2">
      <c r="AQ52561" s="31"/>
    </row>
    <row r="52562" spans="43:43" x14ac:dyDescent="0.2">
      <c r="AQ52562" s="31"/>
    </row>
    <row r="52563" spans="43:43" x14ac:dyDescent="0.2">
      <c r="AQ52563" s="31"/>
    </row>
    <row r="52564" spans="43:43" x14ac:dyDescent="0.2">
      <c r="AQ52564" s="31"/>
    </row>
    <row r="52565" spans="43:43" x14ac:dyDescent="0.2">
      <c r="AQ52565" s="31"/>
    </row>
    <row r="52566" spans="43:43" x14ac:dyDescent="0.2">
      <c r="AQ52566" s="31"/>
    </row>
    <row r="52567" spans="43:43" x14ac:dyDescent="0.2">
      <c r="AQ52567" s="31"/>
    </row>
    <row r="52568" spans="43:43" x14ac:dyDescent="0.2">
      <c r="AQ52568" s="31"/>
    </row>
    <row r="52569" spans="43:43" x14ac:dyDescent="0.2">
      <c r="AQ52569" s="31"/>
    </row>
    <row r="52570" spans="43:43" x14ac:dyDescent="0.2">
      <c r="AQ52570" s="31"/>
    </row>
    <row r="52571" spans="43:43" x14ac:dyDescent="0.2">
      <c r="AQ52571" s="31"/>
    </row>
    <row r="52572" spans="43:43" x14ac:dyDescent="0.2">
      <c r="AQ52572" s="31"/>
    </row>
    <row r="52573" spans="43:43" x14ac:dyDescent="0.2">
      <c r="AQ52573" s="31"/>
    </row>
    <row r="52574" spans="43:43" x14ac:dyDescent="0.2">
      <c r="AQ52574" s="31"/>
    </row>
    <row r="52575" spans="43:43" x14ac:dyDescent="0.2">
      <c r="AQ52575" s="31"/>
    </row>
    <row r="52576" spans="43:43" x14ac:dyDescent="0.2">
      <c r="AQ52576" s="31"/>
    </row>
    <row r="52577" spans="43:43" x14ac:dyDescent="0.2">
      <c r="AQ52577" s="31"/>
    </row>
    <row r="52578" spans="43:43" x14ac:dyDescent="0.2">
      <c r="AQ52578" s="31"/>
    </row>
    <row r="52579" spans="43:43" x14ac:dyDescent="0.2">
      <c r="AQ52579" s="31"/>
    </row>
    <row r="52580" spans="43:43" x14ac:dyDescent="0.2">
      <c r="AQ52580" s="31"/>
    </row>
    <row r="52581" spans="43:43" x14ac:dyDescent="0.2">
      <c r="AQ52581" s="31"/>
    </row>
    <row r="52582" spans="43:43" x14ac:dyDescent="0.2">
      <c r="AQ52582" s="31"/>
    </row>
    <row r="52583" spans="43:43" x14ac:dyDescent="0.2">
      <c r="AQ52583" s="31"/>
    </row>
    <row r="52584" spans="43:43" x14ac:dyDescent="0.2">
      <c r="AQ52584" s="31"/>
    </row>
    <row r="52585" spans="43:43" x14ac:dyDescent="0.2">
      <c r="AQ52585" s="31"/>
    </row>
    <row r="52586" spans="43:43" x14ac:dyDescent="0.2">
      <c r="AQ52586" s="31"/>
    </row>
    <row r="52587" spans="43:43" x14ac:dyDescent="0.2">
      <c r="AQ52587" s="31"/>
    </row>
    <row r="52588" spans="43:43" x14ac:dyDescent="0.2">
      <c r="AQ52588" s="31"/>
    </row>
    <row r="52589" spans="43:43" x14ac:dyDescent="0.2">
      <c r="AQ52589" s="31"/>
    </row>
    <row r="52590" spans="43:43" x14ac:dyDescent="0.2">
      <c r="AQ52590" s="31"/>
    </row>
    <row r="52591" spans="43:43" x14ac:dyDescent="0.2">
      <c r="AQ52591" s="31"/>
    </row>
    <row r="52592" spans="43:43" x14ac:dyDescent="0.2">
      <c r="AQ52592" s="31"/>
    </row>
    <row r="52593" spans="43:43" x14ac:dyDescent="0.2">
      <c r="AQ52593" s="31"/>
    </row>
    <row r="52594" spans="43:43" x14ac:dyDescent="0.2">
      <c r="AQ52594" s="31"/>
    </row>
    <row r="52595" spans="43:43" x14ac:dyDescent="0.2">
      <c r="AQ52595" s="31"/>
    </row>
    <row r="52596" spans="43:43" x14ac:dyDescent="0.2">
      <c r="AQ52596" s="31"/>
    </row>
    <row r="52597" spans="43:43" x14ac:dyDescent="0.2">
      <c r="AQ52597" s="31"/>
    </row>
    <row r="52598" spans="43:43" x14ac:dyDescent="0.2">
      <c r="AQ52598" s="31"/>
    </row>
    <row r="52599" spans="43:43" x14ac:dyDescent="0.2">
      <c r="AQ52599" s="31"/>
    </row>
    <row r="52600" spans="43:43" x14ac:dyDescent="0.2">
      <c r="AQ52600" s="31"/>
    </row>
    <row r="52601" spans="43:43" x14ac:dyDescent="0.2">
      <c r="AQ52601" s="31"/>
    </row>
    <row r="52602" spans="43:43" x14ac:dyDescent="0.2">
      <c r="AQ52602" s="31"/>
    </row>
    <row r="52603" spans="43:43" x14ac:dyDescent="0.2">
      <c r="AQ52603" s="31"/>
    </row>
    <row r="52604" spans="43:43" x14ac:dyDescent="0.2">
      <c r="AQ52604" s="31"/>
    </row>
    <row r="52605" spans="43:43" x14ac:dyDescent="0.2">
      <c r="AQ52605" s="31"/>
    </row>
    <row r="52606" spans="43:43" x14ac:dyDescent="0.2">
      <c r="AQ52606" s="31"/>
    </row>
    <row r="52607" spans="43:43" x14ac:dyDescent="0.2">
      <c r="AQ52607" s="31"/>
    </row>
    <row r="52608" spans="43:43" x14ac:dyDescent="0.2">
      <c r="AQ52608" s="31"/>
    </row>
    <row r="52609" spans="43:43" x14ac:dyDescent="0.2">
      <c r="AQ52609" s="31"/>
    </row>
    <row r="52610" spans="43:43" x14ac:dyDescent="0.2">
      <c r="AQ52610" s="31"/>
    </row>
    <row r="52611" spans="43:43" x14ac:dyDescent="0.2">
      <c r="AQ52611" s="31"/>
    </row>
    <row r="52612" spans="43:43" x14ac:dyDescent="0.2">
      <c r="AQ52612" s="31"/>
    </row>
    <row r="52613" spans="43:43" x14ac:dyDescent="0.2">
      <c r="AQ52613" s="31"/>
    </row>
    <row r="52614" spans="43:43" x14ac:dyDescent="0.2">
      <c r="AQ52614" s="31"/>
    </row>
    <row r="52615" spans="43:43" x14ac:dyDescent="0.2">
      <c r="AQ52615" s="31"/>
    </row>
    <row r="52616" spans="43:43" x14ac:dyDescent="0.2">
      <c r="AQ52616" s="31"/>
    </row>
    <row r="52617" spans="43:43" x14ac:dyDescent="0.2">
      <c r="AQ52617" s="31"/>
    </row>
    <row r="52618" spans="43:43" x14ac:dyDescent="0.2">
      <c r="AQ52618" s="31"/>
    </row>
    <row r="52619" spans="43:43" x14ac:dyDescent="0.2">
      <c r="AQ52619" s="31"/>
    </row>
    <row r="52620" spans="43:43" x14ac:dyDescent="0.2">
      <c r="AQ52620" s="31"/>
    </row>
    <row r="52621" spans="43:43" x14ac:dyDescent="0.2">
      <c r="AQ52621" s="31"/>
    </row>
    <row r="52622" spans="43:43" x14ac:dyDescent="0.2">
      <c r="AQ52622" s="31"/>
    </row>
    <row r="52623" spans="43:43" x14ac:dyDescent="0.2">
      <c r="AQ52623" s="31"/>
    </row>
    <row r="52624" spans="43:43" x14ac:dyDescent="0.2">
      <c r="AQ52624" s="31"/>
    </row>
    <row r="52625" spans="43:43" x14ac:dyDescent="0.2">
      <c r="AQ52625" s="31"/>
    </row>
    <row r="52626" spans="43:43" x14ac:dyDescent="0.2">
      <c r="AQ52626" s="31"/>
    </row>
    <row r="52627" spans="43:43" x14ac:dyDescent="0.2">
      <c r="AQ52627" s="31"/>
    </row>
    <row r="52628" spans="43:43" x14ac:dyDescent="0.2">
      <c r="AQ52628" s="31"/>
    </row>
    <row r="52629" spans="43:43" x14ac:dyDescent="0.2">
      <c r="AQ52629" s="31"/>
    </row>
    <row r="52630" spans="43:43" x14ac:dyDescent="0.2">
      <c r="AQ52630" s="31"/>
    </row>
    <row r="52631" spans="43:43" x14ac:dyDescent="0.2">
      <c r="AQ52631" s="31"/>
    </row>
    <row r="52632" spans="43:43" x14ac:dyDescent="0.2">
      <c r="AQ52632" s="31"/>
    </row>
    <row r="52633" spans="43:43" x14ac:dyDescent="0.2">
      <c r="AQ52633" s="31"/>
    </row>
    <row r="52634" spans="43:43" x14ac:dyDescent="0.2">
      <c r="AQ52634" s="31"/>
    </row>
    <row r="52635" spans="43:43" x14ac:dyDescent="0.2">
      <c r="AQ52635" s="31"/>
    </row>
    <row r="52636" spans="43:43" x14ac:dyDescent="0.2">
      <c r="AQ52636" s="31"/>
    </row>
    <row r="52637" spans="43:43" x14ac:dyDescent="0.2">
      <c r="AQ52637" s="31"/>
    </row>
    <row r="52638" spans="43:43" x14ac:dyDescent="0.2">
      <c r="AQ52638" s="31"/>
    </row>
    <row r="52639" spans="43:43" x14ac:dyDescent="0.2">
      <c r="AQ52639" s="31"/>
    </row>
    <row r="52640" spans="43:43" x14ac:dyDescent="0.2">
      <c r="AQ52640" s="31"/>
    </row>
    <row r="52641" spans="43:43" x14ac:dyDescent="0.2">
      <c r="AQ52641" s="31"/>
    </row>
    <row r="52642" spans="43:43" x14ac:dyDescent="0.2">
      <c r="AQ52642" s="31"/>
    </row>
    <row r="52643" spans="43:43" x14ac:dyDescent="0.2">
      <c r="AQ52643" s="31"/>
    </row>
    <row r="52644" spans="43:43" x14ac:dyDescent="0.2">
      <c r="AQ52644" s="31"/>
    </row>
    <row r="52645" spans="43:43" x14ac:dyDescent="0.2">
      <c r="AQ52645" s="31"/>
    </row>
    <row r="52646" spans="43:43" x14ac:dyDescent="0.2">
      <c r="AQ52646" s="31"/>
    </row>
    <row r="52647" spans="43:43" x14ac:dyDescent="0.2">
      <c r="AQ52647" s="31"/>
    </row>
    <row r="52648" spans="43:43" x14ac:dyDescent="0.2">
      <c r="AQ52648" s="31"/>
    </row>
    <row r="52649" spans="43:43" x14ac:dyDescent="0.2">
      <c r="AQ52649" s="31"/>
    </row>
    <row r="52650" spans="43:43" x14ac:dyDescent="0.2">
      <c r="AQ52650" s="31"/>
    </row>
    <row r="52651" spans="43:43" x14ac:dyDescent="0.2">
      <c r="AQ52651" s="31"/>
    </row>
    <row r="52652" spans="43:43" x14ac:dyDescent="0.2">
      <c r="AQ52652" s="31"/>
    </row>
    <row r="52653" spans="43:43" x14ac:dyDescent="0.2">
      <c r="AQ52653" s="31"/>
    </row>
    <row r="52654" spans="43:43" x14ac:dyDescent="0.2">
      <c r="AQ52654" s="31"/>
    </row>
    <row r="52655" spans="43:43" x14ac:dyDescent="0.2">
      <c r="AQ52655" s="31"/>
    </row>
    <row r="52656" spans="43:43" x14ac:dyDescent="0.2">
      <c r="AQ52656" s="31"/>
    </row>
    <row r="52657" spans="43:43" x14ac:dyDescent="0.2">
      <c r="AQ52657" s="31"/>
    </row>
    <row r="52658" spans="43:43" x14ac:dyDescent="0.2">
      <c r="AQ52658" s="31"/>
    </row>
    <row r="52659" spans="43:43" x14ac:dyDescent="0.2">
      <c r="AQ52659" s="31"/>
    </row>
    <row r="52660" spans="43:43" x14ac:dyDescent="0.2">
      <c r="AQ52660" s="31"/>
    </row>
    <row r="52661" spans="43:43" x14ac:dyDescent="0.2">
      <c r="AQ52661" s="31"/>
    </row>
    <row r="52662" spans="43:43" x14ac:dyDescent="0.2">
      <c r="AQ52662" s="31"/>
    </row>
    <row r="52663" spans="43:43" x14ac:dyDescent="0.2">
      <c r="AQ52663" s="31"/>
    </row>
    <row r="52664" spans="43:43" x14ac:dyDescent="0.2">
      <c r="AQ52664" s="31"/>
    </row>
    <row r="52665" spans="43:43" x14ac:dyDescent="0.2">
      <c r="AQ52665" s="31"/>
    </row>
    <row r="52666" spans="43:43" x14ac:dyDescent="0.2">
      <c r="AQ52666" s="31"/>
    </row>
    <row r="52667" spans="43:43" x14ac:dyDescent="0.2">
      <c r="AQ52667" s="31"/>
    </row>
    <row r="52668" spans="43:43" x14ac:dyDescent="0.2">
      <c r="AQ52668" s="31"/>
    </row>
    <row r="52669" spans="43:43" x14ac:dyDescent="0.2">
      <c r="AQ52669" s="31"/>
    </row>
    <row r="52670" spans="43:43" x14ac:dyDescent="0.2">
      <c r="AQ52670" s="31"/>
    </row>
    <row r="52671" spans="43:43" x14ac:dyDescent="0.2">
      <c r="AQ52671" s="31"/>
    </row>
    <row r="52672" spans="43:43" x14ac:dyDescent="0.2">
      <c r="AQ52672" s="31"/>
    </row>
    <row r="52673" spans="43:43" x14ac:dyDescent="0.2">
      <c r="AQ52673" s="31"/>
    </row>
    <row r="52674" spans="43:43" x14ac:dyDescent="0.2">
      <c r="AQ52674" s="31"/>
    </row>
    <row r="52675" spans="43:43" x14ac:dyDescent="0.2">
      <c r="AQ52675" s="31"/>
    </row>
    <row r="52676" spans="43:43" x14ac:dyDescent="0.2">
      <c r="AQ52676" s="31"/>
    </row>
    <row r="52677" spans="43:43" x14ac:dyDescent="0.2">
      <c r="AQ52677" s="31"/>
    </row>
    <row r="52678" spans="43:43" x14ac:dyDescent="0.2">
      <c r="AQ52678" s="31"/>
    </row>
    <row r="52679" spans="43:43" x14ac:dyDescent="0.2">
      <c r="AQ52679" s="31"/>
    </row>
    <row r="52680" spans="43:43" x14ac:dyDescent="0.2">
      <c r="AQ52680" s="31"/>
    </row>
    <row r="52681" spans="43:43" x14ac:dyDescent="0.2">
      <c r="AQ52681" s="31"/>
    </row>
    <row r="52682" spans="43:43" x14ac:dyDescent="0.2">
      <c r="AQ52682" s="31"/>
    </row>
    <row r="52683" spans="43:43" x14ac:dyDescent="0.2">
      <c r="AQ52683" s="31"/>
    </row>
    <row r="52684" spans="43:43" x14ac:dyDescent="0.2">
      <c r="AQ52684" s="31"/>
    </row>
    <row r="52685" spans="43:43" x14ac:dyDescent="0.2">
      <c r="AQ52685" s="31"/>
    </row>
    <row r="52686" spans="43:43" x14ac:dyDescent="0.2">
      <c r="AQ52686" s="31"/>
    </row>
    <row r="52687" spans="43:43" x14ac:dyDescent="0.2">
      <c r="AQ52687" s="31"/>
    </row>
    <row r="52688" spans="43:43" x14ac:dyDescent="0.2">
      <c r="AQ52688" s="31"/>
    </row>
    <row r="52689" spans="43:43" x14ac:dyDescent="0.2">
      <c r="AQ52689" s="31"/>
    </row>
    <row r="52690" spans="43:43" x14ac:dyDescent="0.2">
      <c r="AQ52690" s="31"/>
    </row>
    <row r="52691" spans="43:43" x14ac:dyDescent="0.2">
      <c r="AQ52691" s="31"/>
    </row>
    <row r="52692" spans="43:43" x14ac:dyDescent="0.2">
      <c r="AQ52692" s="31"/>
    </row>
    <row r="52693" spans="43:43" x14ac:dyDescent="0.2">
      <c r="AQ52693" s="31"/>
    </row>
    <row r="52694" spans="43:43" x14ac:dyDescent="0.2">
      <c r="AQ52694" s="31"/>
    </row>
    <row r="52695" spans="43:43" x14ac:dyDescent="0.2">
      <c r="AQ52695" s="31"/>
    </row>
    <row r="52696" spans="43:43" x14ac:dyDescent="0.2">
      <c r="AQ52696" s="31"/>
    </row>
    <row r="52697" spans="43:43" x14ac:dyDescent="0.2">
      <c r="AQ52697" s="31"/>
    </row>
    <row r="52698" spans="43:43" x14ac:dyDescent="0.2">
      <c r="AQ52698" s="31"/>
    </row>
    <row r="52699" spans="43:43" x14ac:dyDescent="0.2">
      <c r="AQ52699" s="31"/>
    </row>
    <row r="52700" spans="43:43" x14ac:dyDescent="0.2">
      <c r="AQ52700" s="31"/>
    </row>
    <row r="52701" spans="43:43" x14ac:dyDescent="0.2">
      <c r="AQ52701" s="31"/>
    </row>
    <row r="52702" spans="43:43" x14ac:dyDescent="0.2">
      <c r="AQ52702" s="31"/>
    </row>
    <row r="52703" spans="43:43" x14ac:dyDescent="0.2">
      <c r="AQ52703" s="31"/>
    </row>
    <row r="52704" spans="43:43" x14ac:dyDescent="0.2">
      <c r="AQ52704" s="31"/>
    </row>
    <row r="52705" spans="43:43" x14ac:dyDescent="0.2">
      <c r="AQ52705" s="31"/>
    </row>
    <row r="52706" spans="43:43" x14ac:dyDescent="0.2">
      <c r="AQ52706" s="31"/>
    </row>
    <row r="52707" spans="43:43" x14ac:dyDescent="0.2">
      <c r="AQ52707" s="31"/>
    </row>
    <row r="52708" spans="43:43" x14ac:dyDescent="0.2">
      <c r="AQ52708" s="31"/>
    </row>
    <row r="52709" spans="43:43" x14ac:dyDescent="0.2">
      <c r="AQ52709" s="31"/>
    </row>
    <row r="52710" spans="43:43" x14ac:dyDescent="0.2">
      <c r="AQ52710" s="31"/>
    </row>
    <row r="52711" spans="43:43" x14ac:dyDescent="0.2">
      <c r="AQ52711" s="31"/>
    </row>
    <row r="52712" spans="43:43" x14ac:dyDescent="0.2">
      <c r="AQ52712" s="31"/>
    </row>
    <row r="52713" spans="43:43" x14ac:dyDescent="0.2">
      <c r="AQ52713" s="31"/>
    </row>
    <row r="52714" spans="43:43" x14ac:dyDescent="0.2">
      <c r="AQ52714" s="31"/>
    </row>
    <row r="52715" spans="43:43" x14ac:dyDescent="0.2">
      <c r="AQ52715" s="31"/>
    </row>
    <row r="52716" spans="43:43" x14ac:dyDescent="0.2">
      <c r="AQ52716" s="31"/>
    </row>
    <row r="52717" spans="43:43" x14ac:dyDescent="0.2">
      <c r="AQ52717" s="31"/>
    </row>
    <row r="52718" spans="43:43" x14ac:dyDescent="0.2">
      <c r="AQ52718" s="31"/>
    </row>
    <row r="52719" spans="43:43" x14ac:dyDescent="0.2">
      <c r="AQ52719" s="31"/>
    </row>
    <row r="52720" spans="43:43" x14ac:dyDescent="0.2">
      <c r="AQ52720" s="31"/>
    </row>
    <row r="52721" spans="43:43" x14ac:dyDescent="0.2">
      <c r="AQ52721" s="31"/>
    </row>
    <row r="52722" spans="43:43" x14ac:dyDescent="0.2">
      <c r="AQ52722" s="31"/>
    </row>
    <row r="52723" spans="43:43" x14ac:dyDescent="0.2">
      <c r="AQ52723" s="31"/>
    </row>
    <row r="52724" spans="43:43" x14ac:dyDescent="0.2">
      <c r="AQ52724" s="31"/>
    </row>
    <row r="52725" spans="43:43" x14ac:dyDescent="0.2">
      <c r="AQ52725" s="31"/>
    </row>
    <row r="52726" spans="43:43" x14ac:dyDescent="0.2">
      <c r="AQ52726" s="31"/>
    </row>
    <row r="52727" spans="43:43" x14ac:dyDescent="0.2">
      <c r="AQ52727" s="31"/>
    </row>
    <row r="52728" spans="43:43" x14ac:dyDescent="0.2">
      <c r="AQ52728" s="31"/>
    </row>
    <row r="52729" spans="43:43" x14ac:dyDescent="0.2">
      <c r="AQ52729" s="31"/>
    </row>
    <row r="52730" spans="43:43" x14ac:dyDescent="0.2">
      <c r="AQ52730" s="31"/>
    </row>
    <row r="52731" spans="43:43" x14ac:dyDescent="0.2">
      <c r="AQ52731" s="31"/>
    </row>
    <row r="52732" spans="43:43" x14ac:dyDescent="0.2">
      <c r="AQ52732" s="31"/>
    </row>
    <row r="52733" spans="43:43" x14ac:dyDescent="0.2">
      <c r="AQ52733" s="31"/>
    </row>
    <row r="52734" spans="43:43" x14ac:dyDescent="0.2">
      <c r="AQ52734" s="31"/>
    </row>
    <row r="52735" spans="43:43" x14ac:dyDescent="0.2">
      <c r="AQ52735" s="31"/>
    </row>
    <row r="52736" spans="43:43" x14ac:dyDescent="0.2">
      <c r="AQ52736" s="31"/>
    </row>
    <row r="52737" spans="43:43" x14ac:dyDescent="0.2">
      <c r="AQ52737" s="31"/>
    </row>
    <row r="52738" spans="43:43" x14ac:dyDescent="0.2">
      <c r="AQ52738" s="31"/>
    </row>
    <row r="52739" spans="43:43" x14ac:dyDescent="0.2">
      <c r="AQ52739" s="31"/>
    </row>
    <row r="52740" spans="43:43" x14ac:dyDescent="0.2">
      <c r="AQ52740" s="31"/>
    </row>
    <row r="52741" spans="43:43" x14ac:dyDescent="0.2">
      <c r="AQ52741" s="31"/>
    </row>
    <row r="52742" spans="43:43" x14ac:dyDescent="0.2">
      <c r="AQ52742" s="31"/>
    </row>
    <row r="52743" spans="43:43" x14ac:dyDescent="0.2">
      <c r="AQ52743" s="31"/>
    </row>
    <row r="52744" spans="43:43" x14ac:dyDescent="0.2">
      <c r="AQ52744" s="31"/>
    </row>
    <row r="52745" spans="43:43" x14ac:dyDescent="0.2">
      <c r="AQ52745" s="31"/>
    </row>
    <row r="52746" spans="43:43" x14ac:dyDescent="0.2">
      <c r="AQ52746" s="31"/>
    </row>
    <row r="52747" spans="43:43" x14ac:dyDescent="0.2">
      <c r="AQ52747" s="31"/>
    </row>
    <row r="52748" spans="43:43" x14ac:dyDescent="0.2">
      <c r="AQ52748" s="31"/>
    </row>
    <row r="52749" spans="43:43" x14ac:dyDescent="0.2">
      <c r="AQ52749" s="31"/>
    </row>
    <row r="52750" spans="43:43" x14ac:dyDescent="0.2">
      <c r="AQ52750" s="31"/>
    </row>
    <row r="52751" spans="43:43" x14ac:dyDescent="0.2">
      <c r="AQ52751" s="31"/>
    </row>
    <row r="52752" spans="43:43" x14ac:dyDescent="0.2">
      <c r="AQ52752" s="31"/>
    </row>
    <row r="52753" spans="43:43" x14ac:dyDescent="0.2">
      <c r="AQ52753" s="31"/>
    </row>
    <row r="52754" spans="43:43" x14ac:dyDescent="0.2">
      <c r="AQ52754" s="31"/>
    </row>
    <row r="52755" spans="43:43" x14ac:dyDescent="0.2">
      <c r="AQ52755" s="31"/>
    </row>
    <row r="52756" spans="43:43" x14ac:dyDescent="0.2">
      <c r="AQ52756" s="31"/>
    </row>
    <row r="52757" spans="43:43" x14ac:dyDescent="0.2">
      <c r="AQ52757" s="31"/>
    </row>
    <row r="52758" spans="43:43" x14ac:dyDescent="0.2">
      <c r="AQ52758" s="31"/>
    </row>
    <row r="52759" spans="43:43" x14ac:dyDescent="0.2">
      <c r="AQ52759" s="31"/>
    </row>
    <row r="52760" spans="43:43" x14ac:dyDescent="0.2">
      <c r="AQ52760" s="31"/>
    </row>
    <row r="52761" spans="43:43" x14ac:dyDescent="0.2">
      <c r="AQ52761" s="31"/>
    </row>
    <row r="52762" spans="43:43" x14ac:dyDescent="0.2">
      <c r="AQ52762" s="31"/>
    </row>
    <row r="52763" spans="43:43" x14ac:dyDescent="0.2">
      <c r="AQ52763" s="31"/>
    </row>
    <row r="52764" spans="43:43" x14ac:dyDescent="0.2">
      <c r="AQ52764" s="31"/>
    </row>
    <row r="52765" spans="43:43" x14ac:dyDescent="0.2">
      <c r="AQ52765" s="31"/>
    </row>
    <row r="52766" spans="43:43" x14ac:dyDescent="0.2">
      <c r="AQ52766" s="31"/>
    </row>
    <row r="52767" spans="43:43" x14ac:dyDescent="0.2">
      <c r="AQ52767" s="31"/>
    </row>
    <row r="52768" spans="43:43" x14ac:dyDescent="0.2">
      <c r="AQ52768" s="31"/>
    </row>
    <row r="52769" spans="43:43" x14ac:dyDescent="0.2">
      <c r="AQ52769" s="31"/>
    </row>
    <row r="52770" spans="43:43" x14ac:dyDescent="0.2">
      <c r="AQ52770" s="31"/>
    </row>
    <row r="52771" spans="43:43" x14ac:dyDescent="0.2">
      <c r="AQ52771" s="31"/>
    </row>
    <row r="52772" spans="43:43" x14ac:dyDescent="0.2">
      <c r="AQ52772" s="31"/>
    </row>
    <row r="52773" spans="43:43" x14ac:dyDescent="0.2">
      <c r="AQ52773" s="31"/>
    </row>
    <row r="52774" spans="43:43" x14ac:dyDescent="0.2">
      <c r="AQ52774" s="31"/>
    </row>
    <row r="52775" spans="43:43" x14ac:dyDescent="0.2">
      <c r="AQ52775" s="31"/>
    </row>
    <row r="52776" spans="43:43" x14ac:dyDescent="0.2">
      <c r="AQ52776" s="31"/>
    </row>
    <row r="52777" spans="43:43" x14ac:dyDescent="0.2">
      <c r="AQ52777" s="31"/>
    </row>
    <row r="52778" spans="43:43" x14ac:dyDescent="0.2">
      <c r="AQ52778" s="31"/>
    </row>
    <row r="52779" spans="43:43" x14ac:dyDescent="0.2">
      <c r="AQ52779" s="31"/>
    </row>
    <row r="52780" spans="43:43" x14ac:dyDescent="0.2">
      <c r="AQ52780" s="31"/>
    </row>
    <row r="52781" spans="43:43" x14ac:dyDescent="0.2">
      <c r="AQ52781" s="31"/>
    </row>
    <row r="52782" spans="43:43" x14ac:dyDescent="0.2">
      <c r="AQ52782" s="31"/>
    </row>
    <row r="52783" spans="43:43" x14ac:dyDescent="0.2">
      <c r="AQ52783" s="31"/>
    </row>
    <row r="52784" spans="43:43" x14ac:dyDescent="0.2">
      <c r="AQ52784" s="31"/>
    </row>
    <row r="52785" spans="43:43" x14ac:dyDescent="0.2">
      <c r="AQ52785" s="31"/>
    </row>
    <row r="52786" spans="43:43" x14ac:dyDescent="0.2">
      <c r="AQ52786" s="31"/>
    </row>
    <row r="52787" spans="43:43" x14ac:dyDescent="0.2">
      <c r="AQ52787" s="31"/>
    </row>
    <row r="52788" spans="43:43" x14ac:dyDescent="0.2">
      <c r="AQ52788" s="31"/>
    </row>
    <row r="52789" spans="43:43" x14ac:dyDescent="0.2">
      <c r="AQ52789" s="31"/>
    </row>
    <row r="52790" spans="43:43" x14ac:dyDescent="0.2">
      <c r="AQ52790" s="31"/>
    </row>
    <row r="52791" spans="43:43" x14ac:dyDescent="0.2">
      <c r="AQ52791" s="31"/>
    </row>
    <row r="52792" spans="43:43" x14ac:dyDescent="0.2">
      <c r="AQ52792" s="31"/>
    </row>
    <row r="52793" spans="43:43" x14ac:dyDescent="0.2">
      <c r="AQ52793" s="31"/>
    </row>
    <row r="52794" spans="43:43" x14ac:dyDescent="0.2">
      <c r="AQ52794" s="31"/>
    </row>
    <row r="52795" spans="43:43" x14ac:dyDescent="0.2">
      <c r="AQ52795" s="31"/>
    </row>
    <row r="52796" spans="43:43" x14ac:dyDescent="0.2">
      <c r="AQ52796" s="31"/>
    </row>
    <row r="52797" spans="43:43" x14ac:dyDescent="0.2">
      <c r="AQ52797" s="31"/>
    </row>
    <row r="52798" spans="43:43" x14ac:dyDescent="0.2">
      <c r="AQ52798" s="31"/>
    </row>
    <row r="52799" spans="43:43" x14ac:dyDescent="0.2">
      <c r="AQ52799" s="31"/>
    </row>
    <row r="52800" spans="43:43" x14ac:dyDescent="0.2">
      <c r="AQ52800" s="31"/>
    </row>
    <row r="52801" spans="43:43" x14ac:dyDescent="0.2">
      <c r="AQ52801" s="31"/>
    </row>
    <row r="52802" spans="43:43" x14ac:dyDescent="0.2">
      <c r="AQ52802" s="31"/>
    </row>
    <row r="52803" spans="43:43" x14ac:dyDescent="0.2">
      <c r="AQ52803" s="31"/>
    </row>
    <row r="52804" spans="43:43" x14ac:dyDescent="0.2">
      <c r="AQ52804" s="31"/>
    </row>
    <row r="52805" spans="43:43" x14ac:dyDescent="0.2">
      <c r="AQ52805" s="31"/>
    </row>
    <row r="52806" spans="43:43" x14ac:dyDescent="0.2">
      <c r="AQ52806" s="31"/>
    </row>
    <row r="52807" spans="43:43" x14ac:dyDescent="0.2">
      <c r="AQ52807" s="31"/>
    </row>
    <row r="52808" spans="43:43" x14ac:dyDescent="0.2">
      <c r="AQ52808" s="31"/>
    </row>
    <row r="52809" spans="43:43" x14ac:dyDescent="0.2">
      <c r="AQ52809" s="31"/>
    </row>
    <row r="52810" spans="43:43" x14ac:dyDescent="0.2">
      <c r="AQ52810" s="31"/>
    </row>
    <row r="52811" spans="43:43" x14ac:dyDescent="0.2">
      <c r="AQ52811" s="31"/>
    </row>
    <row r="52812" spans="43:43" x14ac:dyDescent="0.2">
      <c r="AQ52812" s="31"/>
    </row>
    <row r="52813" spans="43:43" x14ac:dyDescent="0.2">
      <c r="AQ52813" s="31"/>
    </row>
    <row r="52814" spans="43:43" x14ac:dyDescent="0.2">
      <c r="AQ52814" s="31"/>
    </row>
    <row r="52815" spans="43:43" x14ac:dyDescent="0.2">
      <c r="AQ52815" s="31"/>
    </row>
    <row r="52816" spans="43:43" x14ac:dyDescent="0.2">
      <c r="AQ52816" s="31"/>
    </row>
    <row r="52817" spans="43:43" x14ac:dyDescent="0.2">
      <c r="AQ52817" s="31"/>
    </row>
    <row r="52818" spans="43:43" x14ac:dyDescent="0.2">
      <c r="AQ52818" s="31"/>
    </row>
    <row r="52819" spans="43:43" x14ac:dyDescent="0.2">
      <c r="AQ52819" s="31"/>
    </row>
    <row r="52820" spans="43:43" x14ac:dyDescent="0.2">
      <c r="AQ52820" s="31"/>
    </row>
    <row r="52821" spans="43:43" x14ac:dyDescent="0.2">
      <c r="AQ52821" s="31"/>
    </row>
    <row r="52822" spans="43:43" x14ac:dyDescent="0.2">
      <c r="AQ52822" s="31"/>
    </row>
    <row r="52823" spans="43:43" x14ac:dyDescent="0.2">
      <c r="AQ52823" s="31"/>
    </row>
    <row r="52824" spans="43:43" x14ac:dyDescent="0.2">
      <c r="AQ52824" s="31"/>
    </row>
    <row r="52825" spans="43:43" x14ac:dyDescent="0.2">
      <c r="AQ52825" s="31"/>
    </row>
    <row r="52826" spans="43:43" x14ac:dyDescent="0.2">
      <c r="AQ52826" s="31"/>
    </row>
    <row r="52827" spans="43:43" x14ac:dyDescent="0.2">
      <c r="AQ52827" s="31"/>
    </row>
    <row r="52828" spans="43:43" x14ac:dyDescent="0.2">
      <c r="AQ52828" s="31"/>
    </row>
    <row r="52829" spans="43:43" x14ac:dyDescent="0.2">
      <c r="AQ52829" s="31"/>
    </row>
    <row r="52830" spans="43:43" x14ac:dyDescent="0.2">
      <c r="AQ52830" s="31"/>
    </row>
    <row r="52831" spans="43:43" x14ac:dyDescent="0.2">
      <c r="AQ52831" s="31"/>
    </row>
    <row r="52832" spans="43:43" x14ac:dyDescent="0.2">
      <c r="AQ52832" s="31"/>
    </row>
    <row r="52833" spans="43:43" x14ac:dyDescent="0.2">
      <c r="AQ52833" s="31"/>
    </row>
    <row r="52834" spans="43:43" x14ac:dyDescent="0.2">
      <c r="AQ52834" s="31"/>
    </row>
    <row r="52835" spans="43:43" x14ac:dyDescent="0.2">
      <c r="AQ52835" s="31"/>
    </row>
    <row r="52836" spans="43:43" x14ac:dyDescent="0.2">
      <c r="AQ52836" s="31"/>
    </row>
    <row r="52837" spans="43:43" x14ac:dyDescent="0.2">
      <c r="AQ52837" s="31"/>
    </row>
    <row r="52838" spans="43:43" x14ac:dyDescent="0.2">
      <c r="AQ52838" s="31"/>
    </row>
    <row r="52839" spans="43:43" x14ac:dyDescent="0.2">
      <c r="AQ52839" s="31"/>
    </row>
    <row r="52840" spans="43:43" x14ac:dyDescent="0.2">
      <c r="AQ52840" s="31"/>
    </row>
    <row r="52841" spans="43:43" x14ac:dyDescent="0.2">
      <c r="AQ52841" s="31"/>
    </row>
    <row r="52842" spans="43:43" x14ac:dyDescent="0.2">
      <c r="AQ52842" s="31"/>
    </row>
    <row r="52843" spans="43:43" x14ac:dyDescent="0.2">
      <c r="AQ52843" s="31"/>
    </row>
    <row r="52844" spans="43:43" x14ac:dyDescent="0.2">
      <c r="AQ52844" s="31"/>
    </row>
    <row r="52845" spans="43:43" x14ac:dyDescent="0.2">
      <c r="AQ52845" s="31"/>
    </row>
    <row r="52846" spans="43:43" x14ac:dyDescent="0.2">
      <c r="AQ52846" s="31"/>
    </row>
    <row r="52847" spans="43:43" x14ac:dyDescent="0.2">
      <c r="AQ52847" s="31"/>
    </row>
    <row r="52848" spans="43:43" x14ac:dyDescent="0.2">
      <c r="AQ52848" s="31"/>
    </row>
    <row r="52849" spans="43:43" x14ac:dyDescent="0.2">
      <c r="AQ52849" s="31"/>
    </row>
    <row r="52850" spans="43:43" x14ac:dyDescent="0.2">
      <c r="AQ52850" s="31"/>
    </row>
    <row r="52851" spans="43:43" x14ac:dyDescent="0.2">
      <c r="AQ52851" s="31"/>
    </row>
    <row r="52852" spans="43:43" x14ac:dyDescent="0.2">
      <c r="AQ52852" s="31"/>
    </row>
    <row r="52853" spans="43:43" x14ac:dyDescent="0.2">
      <c r="AQ52853" s="31"/>
    </row>
    <row r="52854" spans="43:43" x14ac:dyDescent="0.2">
      <c r="AQ52854" s="31"/>
    </row>
    <row r="52855" spans="43:43" x14ac:dyDescent="0.2">
      <c r="AQ52855" s="31"/>
    </row>
    <row r="52856" spans="43:43" x14ac:dyDescent="0.2">
      <c r="AQ52856" s="31"/>
    </row>
    <row r="52857" spans="43:43" x14ac:dyDescent="0.2">
      <c r="AQ52857" s="31"/>
    </row>
    <row r="52858" spans="43:43" x14ac:dyDescent="0.2">
      <c r="AQ52858" s="31"/>
    </row>
    <row r="52859" spans="43:43" x14ac:dyDescent="0.2">
      <c r="AQ52859" s="31"/>
    </row>
    <row r="52860" spans="43:43" x14ac:dyDescent="0.2">
      <c r="AQ52860" s="31"/>
    </row>
    <row r="52861" spans="43:43" x14ac:dyDescent="0.2">
      <c r="AQ52861" s="31"/>
    </row>
    <row r="52862" spans="43:43" x14ac:dyDescent="0.2">
      <c r="AQ52862" s="31"/>
    </row>
    <row r="52863" spans="43:43" x14ac:dyDescent="0.2">
      <c r="AQ52863" s="31"/>
    </row>
    <row r="52864" spans="43:43" x14ac:dyDescent="0.2">
      <c r="AQ52864" s="31"/>
    </row>
    <row r="52865" spans="43:43" x14ac:dyDescent="0.2">
      <c r="AQ52865" s="31"/>
    </row>
    <row r="52866" spans="43:43" x14ac:dyDescent="0.2">
      <c r="AQ52866" s="31"/>
    </row>
    <row r="52867" spans="43:43" x14ac:dyDescent="0.2">
      <c r="AQ52867" s="31"/>
    </row>
    <row r="52868" spans="43:43" x14ac:dyDescent="0.2">
      <c r="AQ52868" s="31"/>
    </row>
    <row r="52869" spans="43:43" x14ac:dyDescent="0.2">
      <c r="AQ52869" s="31"/>
    </row>
    <row r="52870" spans="43:43" x14ac:dyDescent="0.2">
      <c r="AQ52870" s="31"/>
    </row>
    <row r="52871" spans="43:43" x14ac:dyDescent="0.2">
      <c r="AQ52871" s="31"/>
    </row>
    <row r="52872" spans="43:43" x14ac:dyDescent="0.2">
      <c r="AQ52872" s="31"/>
    </row>
    <row r="52873" spans="43:43" x14ac:dyDescent="0.2">
      <c r="AQ52873" s="31"/>
    </row>
    <row r="52874" spans="43:43" x14ac:dyDescent="0.2">
      <c r="AQ52874" s="31"/>
    </row>
    <row r="52875" spans="43:43" x14ac:dyDescent="0.2">
      <c r="AQ52875" s="31"/>
    </row>
    <row r="52876" spans="43:43" x14ac:dyDescent="0.2">
      <c r="AQ52876" s="31"/>
    </row>
    <row r="52877" spans="43:43" x14ac:dyDescent="0.2">
      <c r="AQ52877" s="31"/>
    </row>
    <row r="52878" spans="43:43" x14ac:dyDescent="0.2">
      <c r="AQ52878" s="31"/>
    </row>
    <row r="52879" spans="43:43" x14ac:dyDescent="0.2">
      <c r="AQ52879" s="31"/>
    </row>
    <row r="52880" spans="43:43" x14ac:dyDescent="0.2">
      <c r="AQ52880" s="31"/>
    </row>
    <row r="52881" spans="43:43" x14ac:dyDescent="0.2">
      <c r="AQ52881" s="31"/>
    </row>
    <row r="52882" spans="43:43" x14ac:dyDescent="0.2">
      <c r="AQ52882" s="31"/>
    </row>
    <row r="52883" spans="43:43" x14ac:dyDescent="0.2">
      <c r="AQ52883" s="31"/>
    </row>
    <row r="52884" spans="43:43" x14ac:dyDescent="0.2">
      <c r="AQ52884" s="31"/>
    </row>
    <row r="52885" spans="43:43" x14ac:dyDescent="0.2">
      <c r="AQ52885" s="31"/>
    </row>
    <row r="52886" spans="43:43" x14ac:dyDescent="0.2">
      <c r="AQ52886" s="31"/>
    </row>
    <row r="52887" spans="43:43" x14ac:dyDescent="0.2">
      <c r="AQ52887" s="31"/>
    </row>
    <row r="52888" spans="43:43" x14ac:dyDescent="0.2">
      <c r="AQ52888" s="31"/>
    </row>
    <row r="52889" spans="43:43" x14ac:dyDescent="0.2">
      <c r="AQ52889" s="31"/>
    </row>
    <row r="52890" spans="43:43" x14ac:dyDescent="0.2">
      <c r="AQ52890" s="31"/>
    </row>
    <row r="52891" spans="43:43" x14ac:dyDescent="0.2">
      <c r="AQ52891" s="31"/>
    </row>
    <row r="52892" spans="43:43" x14ac:dyDescent="0.2">
      <c r="AQ52892" s="31"/>
    </row>
    <row r="52893" spans="43:43" x14ac:dyDescent="0.2">
      <c r="AQ52893" s="31"/>
    </row>
    <row r="52894" spans="43:43" x14ac:dyDescent="0.2">
      <c r="AQ52894" s="31"/>
    </row>
    <row r="52895" spans="43:43" x14ac:dyDescent="0.2">
      <c r="AQ52895" s="31"/>
    </row>
    <row r="52896" spans="43:43" x14ac:dyDescent="0.2">
      <c r="AQ52896" s="31"/>
    </row>
    <row r="52897" spans="43:43" x14ac:dyDescent="0.2">
      <c r="AQ52897" s="31"/>
    </row>
    <row r="52898" spans="43:43" x14ac:dyDescent="0.2">
      <c r="AQ52898" s="31"/>
    </row>
    <row r="52899" spans="43:43" x14ac:dyDescent="0.2">
      <c r="AQ52899" s="31"/>
    </row>
    <row r="52900" spans="43:43" x14ac:dyDescent="0.2">
      <c r="AQ52900" s="31"/>
    </row>
    <row r="52901" spans="43:43" x14ac:dyDescent="0.2">
      <c r="AQ52901" s="31"/>
    </row>
    <row r="52902" spans="43:43" x14ac:dyDescent="0.2">
      <c r="AQ52902" s="31"/>
    </row>
    <row r="52903" spans="43:43" x14ac:dyDescent="0.2">
      <c r="AQ52903" s="31"/>
    </row>
    <row r="52904" spans="43:43" x14ac:dyDescent="0.2">
      <c r="AQ52904" s="31"/>
    </row>
    <row r="52905" spans="43:43" x14ac:dyDescent="0.2">
      <c r="AQ52905" s="31"/>
    </row>
    <row r="52906" spans="43:43" x14ac:dyDescent="0.2">
      <c r="AQ52906" s="31"/>
    </row>
    <row r="52907" spans="43:43" x14ac:dyDescent="0.2">
      <c r="AQ52907" s="31"/>
    </row>
    <row r="52908" spans="43:43" x14ac:dyDescent="0.2">
      <c r="AQ52908" s="31"/>
    </row>
    <row r="52909" spans="43:43" x14ac:dyDescent="0.2">
      <c r="AQ52909" s="31"/>
    </row>
    <row r="52910" spans="43:43" x14ac:dyDescent="0.2">
      <c r="AQ52910" s="31"/>
    </row>
    <row r="52911" spans="43:43" x14ac:dyDescent="0.2">
      <c r="AQ52911" s="31"/>
    </row>
    <row r="52912" spans="43:43" x14ac:dyDescent="0.2">
      <c r="AQ52912" s="31"/>
    </row>
    <row r="52913" spans="43:43" x14ac:dyDescent="0.2">
      <c r="AQ52913" s="31"/>
    </row>
    <row r="52914" spans="43:43" x14ac:dyDescent="0.2">
      <c r="AQ52914" s="31"/>
    </row>
    <row r="52915" spans="43:43" x14ac:dyDescent="0.2">
      <c r="AQ52915" s="31"/>
    </row>
    <row r="52916" spans="43:43" x14ac:dyDescent="0.2">
      <c r="AQ52916" s="31"/>
    </row>
    <row r="52917" spans="43:43" x14ac:dyDescent="0.2">
      <c r="AQ52917" s="31"/>
    </row>
    <row r="52918" spans="43:43" x14ac:dyDescent="0.2">
      <c r="AQ52918" s="31"/>
    </row>
    <row r="52919" spans="43:43" x14ac:dyDescent="0.2">
      <c r="AQ52919" s="31"/>
    </row>
    <row r="52920" spans="43:43" x14ac:dyDescent="0.2">
      <c r="AQ52920" s="31"/>
    </row>
    <row r="52921" spans="43:43" x14ac:dyDescent="0.2">
      <c r="AQ52921" s="31"/>
    </row>
    <row r="52922" spans="43:43" x14ac:dyDescent="0.2">
      <c r="AQ52922" s="31"/>
    </row>
    <row r="52923" spans="43:43" x14ac:dyDescent="0.2">
      <c r="AQ52923" s="31"/>
    </row>
    <row r="52924" spans="43:43" x14ac:dyDescent="0.2">
      <c r="AQ52924" s="31"/>
    </row>
    <row r="52925" spans="43:43" x14ac:dyDescent="0.2">
      <c r="AQ52925" s="31"/>
    </row>
    <row r="52926" spans="43:43" x14ac:dyDescent="0.2">
      <c r="AQ52926" s="31"/>
    </row>
    <row r="52927" spans="43:43" x14ac:dyDescent="0.2">
      <c r="AQ52927" s="31"/>
    </row>
    <row r="52928" spans="43:43" x14ac:dyDescent="0.2">
      <c r="AQ52928" s="31"/>
    </row>
    <row r="52929" spans="43:43" x14ac:dyDescent="0.2">
      <c r="AQ52929" s="31"/>
    </row>
    <row r="52930" spans="43:43" x14ac:dyDescent="0.2">
      <c r="AQ52930" s="31"/>
    </row>
    <row r="52931" spans="43:43" x14ac:dyDescent="0.2">
      <c r="AQ52931" s="31"/>
    </row>
    <row r="52932" spans="43:43" x14ac:dyDescent="0.2">
      <c r="AQ52932" s="31"/>
    </row>
    <row r="52933" spans="43:43" x14ac:dyDescent="0.2">
      <c r="AQ52933" s="31"/>
    </row>
    <row r="52934" spans="43:43" x14ac:dyDescent="0.2">
      <c r="AQ52934" s="31"/>
    </row>
    <row r="52935" spans="43:43" x14ac:dyDescent="0.2">
      <c r="AQ52935" s="31"/>
    </row>
    <row r="52936" spans="43:43" x14ac:dyDescent="0.2">
      <c r="AQ52936" s="31"/>
    </row>
    <row r="52937" spans="43:43" x14ac:dyDescent="0.2">
      <c r="AQ52937" s="31"/>
    </row>
    <row r="52938" spans="43:43" x14ac:dyDescent="0.2">
      <c r="AQ52938" s="31"/>
    </row>
    <row r="52939" spans="43:43" x14ac:dyDescent="0.2">
      <c r="AQ52939" s="31"/>
    </row>
    <row r="52940" spans="43:43" x14ac:dyDescent="0.2">
      <c r="AQ52940" s="31"/>
    </row>
    <row r="52941" spans="43:43" x14ac:dyDescent="0.2">
      <c r="AQ52941" s="31"/>
    </row>
    <row r="52942" spans="43:43" x14ac:dyDescent="0.2">
      <c r="AQ52942" s="31"/>
    </row>
    <row r="52943" spans="43:43" x14ac:dyDescent="0.2">
      <c r="AQ52943" s="31"/>
    </row>
    <row r="52944" spans="43:43" x14ac:dyDescent="0.2">
      <c r="AQ52944" s="31"/>
    </row>
    <row r="52945" spans="43:43" x14ac:dyDescent="0.2">
      <c r="AQ52945" s="31"/>
    </row>
    <row r="52946" spans="43:43" x14ac:dyDescent="0.2">
      <c r="AQ52946" s="31"/>
    </row>
    <row r="52947" spans="43:43" x14ac:dyDescent="0.2">
      <c r="AQ52947" s="31"/>
    </row>
    <row r="52948" spans="43:43" x14ac:dyDescent="0.2">
      <c r="AQ52948" s="31"/>
    </row>
    <row r="52949" spans="43:43" x14ac:dyDescent="0.2">
      <c r="AQ52949" s="31"/>
    </row>
    <row r="52950" spans="43:43" x14ac:dyDescent="0.2">
      <c r="AQ52950" s="31"/>
    </row>
    <row r="52951" spans="43:43" x14ac:dyDescent="0.2">
      <c r="AQ52951" s="31"/>
    </row>
    <row r="52952" spans="43:43" x14ac:dyDescent="0.2">
      <c r="AQ52952" s="31"/>
    </row>
    <row r="52953" spans="43:43" x14ac:dyDescent="0.2">
      <c r="AQ52953" s="31"/>
    </row>
    <row r="52954" spans="43:43" x14ac:dyDescent="0.2">
      <c r="AQ52954" s="31"/>
    </row>
    <row r="52955" spans="43:43" x14ac:dyDescent="0.2">
      <c r="AQ52955" s="31"/>
    </row>
    <row r="52956" spans="43:43" x14ac:dyDescent="0.2">
      <c r="AQ52956" s="31"/>
    </row>
    <row r="52957" spans="43:43" x14ac:dyDescent="0.2">
      <c r="AQ52957" s="31"/>
    </row>
    <row r="52958" spans="43:43" x14ac:dyDescent="0.2">
      <c r="AQ52958" s="31"/>
    </row>
    <row r="52959" spans="43:43" x14ac:dyDescent="0.2">
      <c r="AQ52959" s="31"/>
    </row>
    <row r="52960" spans="43:43" x14ac:dyDescent="0.2">
      <c r="AQ52960" s="31"/>
    </row>
    <row r="52961" spans="43:43" x14ac:dyDescent="0.2">
      <c r="AQ52961" s="31"/>
    </row>
    <row r="52962" spans="43:43" x14ac:dyDescent="0.2">
      <c r="AQ52962" s="31"/>
    </row>
    <row r="52963" spans="43:43" x14ac:dyDescent="0.2">
      <c r="AQ52963" s="31"/>
    </row>
    <row r="52964" spans="43:43" x14ac:dyDescent="0.2">
      <c r="AQ52964" s="31"/>
    </row>
    <row r="52965" spans="43:43" x14ac:dyDescent="0.2">
      <c r="AQ52965" s="31"/>
    </row>
    <row r="52966" spans="43:43" x14ac:dyDescent="0.2">
      <c r="AQ52966" s="31"/>
    </row>
    <row r="52967" spans="43:43" x14ac:dyDescent="0.2">
      <c r="AQ52967" s="31"/>
    </row>
    <row r="52968" spans="43:43" x14ac:dyDescent="0.2">
      <c r="AQ52968" s="31"/>
    </row>
    <row r="52969" spans="43:43" x14ac:dyDescent="0.2">
      <c r="AQ52969" s="31"/>
    </row>
    <row r="52970" spans="43:43" x14ac:dyDescent="0.2">
      <c r="AQ52970" s="31"/>
    </row>
    <row r="52971" spans="43:43" x14ac:dyDescent="0.2">
      <c r="AQ52971" s="31"/>
    </row>
    <row r="52972" spans="43:43" x14ac:dyDescent="0.2">
      <c r="AQ52972" s="31"/>
    </row>
    <row r="52973" spans="43:43" x14ac:dyDescent="0.2">
      <c r="AQ52973" s="31"/>
    </row>
    <row r="52974" spans="43:43" x14ac:dyDescent="0.2">
      <c r="AQ52974" s="31"/>
    </row>
    <row r="52975" spans="43:43" x14ac:dyDescent="0.2">
      <c r="AQ52975" s="31"/>
    </row>
    <row r="52976" spans="43:43" x14ac:dyDescent="0.2">
      <c r="AQ52976" s="31"/>
    </row>
    <row r="52977" spans="43:43" x14ac:dyDescent="0.2">
      <c r="AQ52977" s="31"/>
    </row>
    <row r="52978" spans="43:43" x14ac:dyDescent="0.2">
      <c r="AQ52978" s="31"/>
    </row>
    <row r="52979" spans="43:43" x14ac:dyDescent="0.2">
      <c r="AQ52979" s="31"/>
    </row>
    <row r="52980" spans="43:43" x14ac:dyDescent="0.2">
      <c r="AQ52980" s="31"/>
    </row>
    <row r="52981" spans="43:43" x14ac:dyDescent="0.2">
      <c r="AQ52981" s="31"/>
    </row>
    <row r="52982" spans="43:43" x14ac:dyDescent="0.2">
      <c r="AQ52982" s="31"/>
    </row>
    <row r="52983" spans="43:43" x14ac:dyDescent="0.2">
      <c r="AQ52983" s="31"/>
    </row>
    <row r="52984" spans="43:43" x14ac:dyDescent="0.2">
      <c r="AQ52984" s="31"/>
    </row>
    <row r="52985" spans="43:43" x14ac:dyDescent="0.2">
      <c r="AQ52985" s="31"/>
    </row>
    <row r="52986" spans="43:43" x14ac:dyDescent="0.2">
      <c r="AQ52986" s="31"/>
    </row>
    <row r="52987" spans="43:43" x14ac:dyDescent="0.2">
      <c r="AQ52987" s="31"/>
    </row>
    <row r="52988" spans="43:43" x14ac:dyDescent="0.2">
      <c r="AQ52988" s="31"/>
    </row>
    <row r="52989" spans="43:43" x14ac:dyDescent="0.2">
      <c r="AQ52989" s="31"/>
    </row>
    <row r="52990" spans="43:43" x14ac:dyDescent="0.2">
      <c r="AQ52990" s="31"/>
    </row>
    <row r="52991" spans="43:43" x14ac:dyDescent="0.2">
      <c r="AQ52991" s="31"/>
    </row>
    <row r="52992" spans="43:43" x14ac:dyDescent="0.2">
      <c r="AQ52992" s="31"/>
    </row>
    <row r="52993" spans="43:43" x14ac:dyDescent="0.2">
      <c r="AQ52993" s="31"/>
    </row>
    <row r="52994" spans="43:43" x14ac:dyDescent="0.2">
      <c r="AQ52994" s="31"/>
    </row>
    <row r="52995" spans="43:43" x14ac:dyDescent="0.2">
      <c r="AQ52995" s="31"/>
    </row>
    <row r="52996" spans="43:43" x14ac:dyDescent="0.2">
      <c r="AQ52996" s="31"/>
    </row>
    <row r="52997" spans="43:43" x14ac:dyDescent="0.2">
      <c r="AQ52997" s="31"/>
    </row>
    <row r="52998" spans="43:43" x14ac:dyDescent="0.2">
      <c r="AQ52998" s="31"/>
    </row>
    <row r="52999" spans="43:43" x14ac:dyDescent="0.2">
      <c r="AQ52999" s="31"/>
    </row>
    <row r="53000" spans="43:43" x14ac:dyDescent="0.2">
      <c r="AQ53000" s="31"/>
    </row>
    <row r="53001" spans="43:43" x14ac:dyDescent="0.2">
      <c r="AQ53001" s="31"/>
    </row>
    <row r="53002" spans="43:43" x14ac:dyDescent="0.2">
      <c r="AQ53002" s="31"/>
    </row>
    <row r="53003" spans="43:43" x14ac:dyDescent="0.2">
      <c r="AQ53003" s="31"/>
    </row>
    <row r="53004" spans="43:43" x14ac:dyDescent="0.2">
      <c r="AQ53004" s="31"/>
    </row>
    <row r="53005" spans="43:43" x14ac:dyDescent="0.2">
      <c r="AQ53005" s="31"/>
    </row>
    <row r="53006" spans="43:43" x14ac:dyDescent="0.2">
      <c r="AQ53006" s="31"/>
    </row>
    <row r="53007" spans="43:43" x14ac:dyDescent="0.2">
      <c r="AQ53007" s="31"/>
    </row>
    <row r="53008" spans="43:43" x14ac:dyDescent="0.2">
      <c r="AQ53008" s="31"/>
    </row>
    <row r="53009" spans="43:43" x14ac:dyDescent="0.2">
      <c r="AQ53009" s="31"/>
    </row>
    <row r="53010" spans="43:43" x14ac:dyDescent="0.2">
      <c r="AQ53010" s="31"/>
    </row>
    <row r="53011" spans="43:43" x14ac:dyDescent="0.2">
      <c r="AQ53011" s="31"/>
    </row>
    <row r="53012" spans="43:43" x14ac:dyDescent="0.2">
      <c r="AQ53012" s="31"/>
    </row>
    <row r="53013" spans="43:43" x14ac:dyDescent="0.2">
      <c r="AQ53013" s="31"/>
    </row>
    <row r="53014" spans="43:43" x14ac:dyDescent="0.2">
      <c r="AQ53014" s="31"/>
    </row>
    <row r="53015" spans="43:43" x14ac:dyDescent="0.2">
      <c r="AQ53015" s="31"/>
    </row>
    <row r="53016" spans="43:43" x14ac:dyDescent="0.2">
      <c r="AQ53016" s="31"/>
    </row>
    <row r="53017" spans="43:43" x14ac:dyDescent="0.2">
      <c r="AQ53017" s="31"/>
    </row>
    <row r="53018" spans="43:43" x14ac:dyDescent="0.2">
      <c r="AQ53018" s="31"/>
    </row>
    <row r="53019" spans="43:43" x14ac:dyDescent="0.2">
      <c r="AQ53019" s="31"/>
    </row>
    <row r="53020" spans="43:43" x14ac:dyDescent="0.2">
      <c r="AQ53020" s="31"/>
    </row>
    <row r="53021" spans="43:43" x14ac:dyDescent="0.2">
      <c r="AQ53021" s="31"/>
    </row>
    <row r="53022" spans="43:43" x14ac:dyDescent="0.2">
      <c r="AQ53022" s="31"/>
    </row>
    <row r="53023" spans="43:43" x14ac:dyDescent="0.2">
      <c r="AQ53023" s="31"/>
    </row>
    <row r="53024" spans="43:43" x14ac:dyDescent="0.2">
      <c r="AQ53024" s="31"/>
    </row>
    <row r="53025" spans="43:43" x14ac:dyDescent="0.2">
      <c r="AQ53025" s="31"/>
    </row>
    <row r="53026" spans="43:43" x14ac:dyDescent="0.2">
      <c r="AQ53026" s="31"/>
    </row>
    <row r="53027" spans="43:43" x14ac:dyDescent="0.2">
      <c r="AQ53027" s="31"/>
    </row>
    <row r="53028" spans="43:43" x14ac:dyDescent="0.2">
      <c r="AQ53028" s="31"/>
    </row>
    <row r="53029" spans="43:43" x14ac:dyDescent="0.2">
      <c r="AQ53029" s="31"/>
    </row>
    <row r="53030" spans="43:43" x14ac:dyDescent="0.2">
      <c r="AQ53030" s="31"/>
    </row>
    <row r="53031" spans="43:43" x14ac:dyDescent="0.2">
      <c r="AQ53031" s="31"/>
    </row>
    <row r="53032" spans="43:43" x14ac:dyDescent="0.2">
      <c r="AQ53032" s="31"/>
    </row>
    <row r="53033" spans="43:43" x14ac:dyDescent="0.2">
      <c r="AQ53033" s="31"/>
    </row>
    <row r="53034" spans="43:43" x14ac:dyDescent="0.2">
      <c r="AQ53034" s="31"/>
    </row>
    <row r="53035" spans="43:43" x14ac:dyDescent="0.2">
      <c r="AQ53035" s="31"/>
    </row>
    <row r="53036" spans="43:43" x14ac:dyDescent="0.2">
      <c r="AQ53036" s="31"/>
    </row>
    <row r="53037" spans="43:43" x14ac:dyDescent="0.2">
      <c r="AQ53037" s="31"/>
    </row>
    <row r="53038" spans="43:43" x14ac:dyDescent="0.2">
      <c r="AQ53038" s="31"/>
    </row>
    <row r="53039" spans="43:43" x14ac:dyDescent="0.2">
      <c r="AQ53039" s="31"/>
    </row>
    <row r="53040" spans="43:43" x14ac:dyDescent="0.2">
      <c r="AQ53040" s="31"/>
    </row>
    <row r="53041" spans="43:43" x14ac:dyDescent="0.2">
      <c r="AQ53041" s="31"/>
    </row>
    <row r="53042" spans="43:43" x14ac:dyDescent="0.2">
      <c r="AQ53042" s="31"/>
    </row>
    <row r="53043" spans="43:43" x14ac:dyDescent="0.2">
      <c r="AQ53043" s="31"/>
    </row>
    <row r="53044" spans="43:43" x14ac:dyDescent="0.2">
      <c r="AQ53044" s="31"/>
    </row>
    <row r="53045" spans="43:43" x14ac:dyDescent="0.2">
      <c r="AQ53045" s="31"/>
    </row>
    <row r="53046" spans="43:43" x14ac:dyDescent="0.2">
      <c r="AQ53046" s="31"/>
    </row>
    <row r="53047" spans="43:43" x14ac:dyDescent="0.2">
      <c r="AQ53047" s="31"/>
    </row>
    <row r="53048" spans="43:43" x14ac:dyDescent="0.2">
      <c r="AQ53048" s="31"/>
    </row>
    <row r="53049" spans="43:43" x14ac:dyDescent="0.2">
      <c r="AQ53049" s="31"/>
    </row>
    <row r="53050" spans="43:43" x14ac:dyDescent="0.2">
      <c r="AQ53050" s="31"/>
    </row>
    <row r="53051" spans="43:43" x14ac:dyDescent="0.2">
      <c r="AQ53051" s="31"/>
    </row>
    <row r="53052" spans="43:43" x14ac:dyDescent="0.2">
      <c r="AQ53052" s="31"/>
    </row>
    <row r="53053" spans="43:43" x14ac:dyDescent="0.2">
      <c r="AQ53053" s="31"/>
    </row>
    <row r="53054" spans="43:43" x14ac:dyDescent="0.2">
      <c r="AQ53054" s="31"/>
    </row>
    <row r="53055" spans="43:43" x14ac:dyDescent="0.2">
      <c r="AQ53055" s="31"/>
    </row>
    <row r="53056" spans="43:43" x14ac:dyDescent="0.2">
      <c r="AQ53056" s="31"/>
    </row>
    <row r="53057" spans="43:43" x14ac:dyDescent="0.2">
      <c r="AQ53057" s="31"/>
    </row>
    <row r="53058" spans="43:43" x14ac:dyDescent="0.2">
      <c r="AQ53058" s="31"/>
    </row>
    <row r="53059" spans="43:43" x14ac:dyDescent="0.2">
      <c r="AQ53059" s="31"/>
    </row>
    <row r="53060" spans="43:43" x14ac:dyDescent="0.2">
      <c r="AQ53060" s="31"/>
    </row>
    <row r="53061" spans="43:43" x14ac:dyDescent="0.2">
      <c r="AQ53061" s="31"/>
    </row>
    <row r="53062" spans="43:43" x14ac:dyDescent="0.2">
      <c r="AQ53062" s="31"/>
    </row>
    <row r="53063" spans="43:43" x14ac:dyDescent="0.2">
      <c r="AQ53063" s="31"/>
    </row>
    <row r="53064" spans="43:43" x14ac:dyDescent="0.2">
      <c r="AQ53064" s="31"/>
    </row>
    <row r="53065" spans="43:43" x14ac:dyDescent="0.2">
      <c r="AQ53065" s="31"/>
    </row>
    <row r="53066" spans="43:43" x14ac:dyDescent="0.2">
      <c r="AQ53066" s="31"/>
    </row>
    <row r="53067" spans="43:43" x14ac:dyDescent="0.2">
      <c r="AQ53067" s="31"/>
    </row>
    <row r="53068" spans="43:43" x14ac:dyDescent="0.2">
      <c r="AQ53068" s="31"/>
    </row>
    <row r="53069" spans="43:43" x14ac:dyDescent="0.2">
      <c r="AQ53069" s="31"/>
    </row>
    <row r="53070" spans="43:43" x14ac:dyDescent="0.2">
      <c r="AQ53070" s="31"/>
    </row>
    <row r="53071" spans="43:43" x14ac:dyDescent="0.2">
      <c r="AQ53071" s="31"/>
    </row>
    <row r="53072" spans="43:43" x14ac:dyDescent="0.2">
      <c r="AQ53072" s="31"/>
    </row>
    <row r="53073" spans="43:43" x14ac:dyDescent="0.2">
      <c r="AQ53073" s="31"/>
    </row>
    <row r="53074" spans="43:43" x14ac:dyDescent="0.2">
      <c r="AQ53074" s="31"/>
    </row>
    <row r="53075" spans="43:43" x14ac:dyDescent="0.2">
      <c r="AQ53075" s="31"/>
    </row>
    <row r="53076" spans="43:43" x14ac:dyDescent="0.2">
      <c r="AQ53076" s="31"/>
    </row>
    <row r="53077" spans="43:43" x14ac:dyDescent="0.2">
      <c r="AQ53077" s="31"/>
    </row>
    <row r="53078" spans="43:43" x14ac:dyDescent="0.2">
      <c r="AQ53078" s="31"/>
    </row>
    <row r="53079" spans="43:43" x14ac:dyDescent="0.2">
      <c r="AQ53079" s="31"/>
    </row>
    <row r="53080" spans="43:43" x14ac:dyDescent="0.2">
      <c r="AQ53080" s="31"/>
    </row>
    <row r="53081" spans="43:43" x14ac:dyDescent="0.2">
      <c r="AQ53081" s="31"/>
    </row>
    <row r="53082" spans="43:43" x14ac:dyDescent="0.2">
      <c r="AQ53082" s="31"/>
    </row>
    <row r="53083" spans="43:43" x14ac:dyDescent="0.2">
      <c r="AQ53083" s="31"/>
    </row>
    <row r="53084" spans="43:43" x14ac:dyDescent="0.2">
      <c r="AQ53084" s="31"/>
    </row>
    <row r="53085" spans="43:43" x14ac:dyDescent="0.2">
      <c r="AQ53085" s="31"/>
    </row>
    <row r="53086" spans="43:43" x14ac:dyDescent="0.2">
      <c r="AQ53086" s="31"/>
    </row>
    <row r="53087" spans="43:43" x14ac:dyDescent="0.2">
      <c r="AQ53087" s="31"/>
    </row>
    <row r="53088" spans="43:43" x14ac:dyDescent="0.2">
      <c r="AQ53088" s="31"/>
    </row>
    <row r="53089" spans="43:43" x14ac:dyDescent="0.2">
      <c r="AQ53089" s="31"/>
    </row>
    <row r="53090" spans="43:43" x14ac:dyDescent="0.2">
      <c r="AQ53090" s="31"/>
    </row>
    <row r="53091" spans="43:43" x14ac:dyDescent="0.2">
      <c r="AQ53091" s="31"/>
    </row>
    <row r="53092" spans="43:43" x14ac:dyDescent="0.2">
      <c r="AQ53092" s="31"/>
    </row>
    <row r="53093" spans="43:43" x14ac:dyDescent="0.2">
      <c r="AQ53093" s="31"/>
    </row>
    <row r="53094" spans="43:43" x14ac:dyDescent="0.2">
      <c r="AQ53094" s="31"/>
    </row>
    <row r="53095" spans="43:43" x14ac:dyDescent="0.2">
      <c r="AQ53095" s="31"/>
    </row>
    <row r="53096" spans="43:43" x14ac:dyDescent="0.2">
      <c r="AQ53096" s="31"/>
    </row>
    <row r="53097" spans="43:43" x14ac:dyDescent="0.2">
      <c r="AQ53097" s="31"/>
    </row>
    <row r="53098" spans="43:43" x14ac:dyDescent="0.2">
      <c r="AQ53098" s="31"/>
    </row>
    <row r="53099" spans="43:43" x14ac:dyDescent="0.2">
      <c r="AQ53099" s="31"/>
    </row>
    <row r="53100" spans="43:43" x14ac:dyDescent="0.2">
      <c r="AQ53100" s="31"/>
    </row>
    <row r="53101" spans="43:43" x14ac:dyDescent="0.2">
      <c r="AQ53101" s="31"/>
    </row>
    <row r="53102" spans="43:43" x14ac:dyDescent="0.2">
      <c r="AQ53102" s="31"/>
    </row>
    <row r="53103" spans="43:43" x14ac:dyDescent="0.2">
      <c r="AQ53103" s="31"/>
    </row>
    <row r="53104" spans="43:43" x14ac:dyDescent="0.2">
      <c r="AQ53104" s="31"/>
    </row>
    <row r="53105" spans="43:43" x14ac:dyDescent="0.2">
      <c r="AQ53105" s="31"/>
    </row>
    <row r="53106" spans="43:43" x14ac:dyDescent="0.2">
      <c r="AQ53106" s="31"/>
    </row>
    <row r="53107" spans="43:43" x14ac:dyDescent="0.2">
      <c r="AQ53107" s="31"/>
    </row>
    <row r="53108" spans="43:43" x14ac:dyDescent="0.2">
      <c r="AQ53108" s="31"/>
    </row>
    <row r="53109" spans="43:43" x14ac:dyDescent="0.2">
      <c r="AQ53109" s="31"/>
    </row>
    <row r="53110" spans="43:43" x14ac:dyDescent="0.2">
      <c r="AQ53110" s="31"/>
    </row>
    <row r="53111" spans="43:43" x14ac:dyDescent="0.2">
      <c r="AQ53111" s="31"/>
    </row>
    <row r="53112" spans="43:43" x14ac:dyDescent="0.2">
      <c r="AQ53112" s="31"/>
    </row>
    <row r="53113" spans="43:43" x14ac:dyDescent="0.2">
      <c r="AQ53113" s="31"/>
    </row>
    <row r="53114" spans="43:43" x14ac:dyDescent="0.2">
      <c r="AQ53114" s="31"/>
    </row>
    <row r="53115" spans="43:43" x14ac:dyDescent="0.2">
      <c r="AQ53115" s="31"/>
    </row>
    <row r="53116" spans="43:43" x14ac:dyDescent="0.2">
      <c r="AQ53116" s="31"/>
    </row>
    <row r="53117" spans="43:43" x14ac:dyDescent="0.2">
      <c r="AQ53117" s="31"/>
    </row>
    <row r="53118" spans="43:43" x14ac:dyDescent="0.2">
      <c r="AQ53118" s="31"/>
    </row>
    <row r="53119" spans="43:43" x14ac:dyDescent="0.2">
      <c r="AQ53119" s="31"/>
    </row>
    <row r="53120" spans="43:43" x14ac:dyDescent="0.2">
      <c r="AQ53120" s="31"/>
    </row>
    <row r="53121" spans="43:43" x14ac:dyDescent="0.2">
      <c r="AQ53121" s="31"/>
    </row>
    <row r="53122" spans="43:43" x14ac:dyDescent="0.2">
      <c r="AQ53122" s="31"/>
    </row>
    <row r="53123" spans="43:43" x14ac:dyDescent="0.2">
      <c r="AQ53123" s="31"/>
    </row>
    <row r="53124" spans="43:43" x14ac:dyDescent="0.2">
      <c r="AQ53124" s="31"/>
    </row>
    <row r="53125" spans="43:43" x14ac:dyDescent="0.2">
      <c r="AQ53125" s="31"/>
    </row>
    <row r="53126" spans="43:43" x14ac:dyDescent="0.2">
      <c r="AQ53126" s="31"/>
    </row>
    <row r="53127" spans="43:43" x14ac:dyDescent="0.2">
      <c r="AQ53127" s="31"/>
    </row>
    <row r="53128" spans="43:43" x14ac:dyDescent="0.2">
      <c r="AQ53128" s="31"/>
    </row>
    <row r="53129" spans="43:43" x14ac:dyDescent="0.2">
      <c r="AQ53129" s="31"/>
    </row>
    <row r="53130" spans="43:43" x14ac:dyDescent="0.2">
      <c r="AQ53130" s="31"/>
    </row>
    <row r="53131" spans="43:43" x14ac:dyDescent="0.2">
      <c r="AQ53131" s="31"/>
    </row>
    <row r="53132" spans="43:43" x14ac:dyDescent="0.2">
      <c r="AQ53132" s="31"/>
    </row>
    <row r="53133" spans="43:43" x14ac:dyDescent="0.2">
      <c r="AQ53133" s="31"/>
    </row>
    <row r="53134" spans="43:43" x14ac:dyDescent="0.2">
      <c r="AQ53134" s="31"/>
    </row>
    <row r="53135" spans="43:43" x14ac:dyDescent="0.2">
      <c r="AQ53135" s="31"/>
    </row>
    <row r="53136" spans="43:43" x14ac:dyDescent="0.2">
      <c r="AQ53136" s="31"/>
    </row>
    <row r="53137" spans="43:43" x14ac:dyDescent="0.2">
      <c r="AQ53137" s="31"/>
    </row>
    <row r="53138" spans="43:43" x14ac:dyDescent="0.2">
      <c r="AQ53138" s="31"/>
    </row>
    <row r="53139" spans="43:43" x14ac:dyDescent="0.2">
      <c r="AQ53139" s="31"/>
    </row>
    <row r="53140" spans="43:43" x14ac:dyDescent="0.2">
      <c r="AQ53140" s="31"/>
    </row>
    <row r="53141" spans="43:43" x14ac:dyDescent="0.2">
      <c r="AQ53141" s="31"/>
    </row>
    <row r="53142" spans="43:43" x14ac:dyDescent="0.2">
      <c r="AQ53142" s="31"/>
    </row>
    <row r="53143" spans="43:43" x14ac:dyDescent="0.2">
      <c r="AQ53143" s="31"/>
    </row>
    <row r="53144" spans="43:43" x14ac:dyDescent="0.2">
      <c r="AQ53144" s="31"/>
    </row>
    <row r="53145" spans="43:43" x14ac:dyDescent="0.2">
      <c r="AQ53145" s="31"/>
    </row>
    <row r="53146" spans="43:43" x14ac:dyDescent="0.2">
      <c r="AQ53146" s="31"/>
    </row>
    <row r="53147" spans="43:43" x14ac:dyDescent="0.2">
      <c r="AQ53147" s="31"/>
    </row>
    <row r="53148" spans="43:43" x14ac:dyDescent="0.2">
      <c r="AQ53148" s="31"/>
    </row>
    <row r="53149" spans="43:43" x14ac:dyDescent="0.2">
      <c r="AQ53149" s="31"/>
    </row>
    <row r="53150" spans="43:43" x14ac:dyDescent="0.2">
      <c r="AQ53150" s="31"/>
    </row>
    <row r="53151" spans="43:43" x14ac:dyDescent="0.2">
      <c r="AQ53151" s="31"/>
    </row>
    <row r="53152" spans="43:43" x14ac:dyDescent="0.2">
      <c r="AQ53152" s="31"/>
    </row>
    <row r="53153" spans="43:43" x14ac:dyDescent="0.2">
      <c r="AQ53153" s="31"/>
    </row>
    <row r="53154" spans="43:43" x14ac:dyDescent="0.2">
      <c r="AQ53154" s="31"/>
    </row>
    <row r="53155" spans="43:43" x14ac:dyDescent="0.2">
      <c r="AQ53155" s="31"/>
    </row>
    <row r="53156" spans="43:43" x14ac:dyDescent="0.2">
      <c r="AQ53156" s="31"/>
    </row>
    <row r="53157" spans="43:43" x14ac:dyDescent="0.2">
      <c r="AQ53157" s="31"/>
    </row>
    <row r="53158" spans="43:43" x14ac:dyDescent="0.2">
      <c r="AQ53158" s="31"/>
    </row>
    <row r="53159" spans="43:43" x14ac:dyDescent="0.2">
      <c r="AQ53159" s="31"/>
    </row>
    <row r="53160" spans="43:43" x14ac:dyDescent="0.2">
      <c r="AQ53160" s="31"/>
    </row>
    <row r="53161" spans="43:43" x14ac:dyDescent="0.2">
      <c r="AQ53161" s="31"/>
    </row>
    <row r="53162" spans="43:43" x14ac:dyDescent="0.2">
      <c r="AQ53162" s="31"/>
    </row>
    <row r="53163" spans="43:43" x14ac:dyDescent="0.2">
      <c r="AQ53163" s="31"/>
    </row>
    <row r="53164" spans="43:43" x14ac:dyDescent="0.2">
      <c r="AQ53164" s="31"/>
    </row>
    <row r="53165" spans="43:43" x14ac:dyDescent="0.2">
      <c r="AQ53165" s="31"/>
    </row>
    <row r="53166" spans="43:43" x14ac:dyDescent="0.2">
      <c r="AQ53166" s="31"/>
    </row>
    <row r="53167" spans="43:43" x14ac:dyDescent="0.2">
      <c r="AQ53167" s="31"/>
    </row>
    <row r="53168" spans="43:43" x14ac:dyDescent="0.2">
      <c r="AQ53168" s="31"/>
    </row>
    <row r="53169" spans="43:43" x14ac:dyDescent="0.2">
      <c r="AQ53169" s="31"/>
    </row>
    <row r="53170" spans="43:43" x14ac:dyDescent="0.2">
      <c r="AQ53170" s="31"/>
    </row>
    <row r="53171" spans="43:43" x14ac:dyDescent="0.2">
      <c r="AQ53171" s="31"/>
    </row>
    <row r="53172" spans="43:43" x14ac:dyDescent="0.2">
      <c r="AQ53172" s="31"/>
    </row>
    <row r="53173" spans="43:43" x14ac:dyDescent="0.2">
      <c r="AQ53173" s="31"/>
    </row>
    <row r="53174" spans="43:43" x14ac:dyDescent="0.2">
      <c r="AQ53174" s="31"/>
    </row>
    <row r="53175" spans="43:43" x14ac:dyDescent="0.2">
      <c r="AQ53175" s="31"/>
    </row>
    <row r="53176" spans="43:43" x14ac:dyDescent="0.2">
      <c r="AQ53176" s="31"/>
    </row>
    <row r="53177" spans="43:43" x14ac:dyDescent="0.2">
      <c r="AQ53177" s="31"/>
    </row>
    <row r="53178" spans="43:43" x14ac:dyDescent="0.2">
      <c r="AQ53178" s="31"/>
    </row>
    <row r="53179" spans="43:43" x14ac:dyDescent="0.2">
      <c r="AQ53179" s="31"/>
    </row>
    <row r="53180" spans="43:43" x14ac:dyDescent="0.2">
      <c r="AQ53180" s="31"/>
    </row>
    <row r="53181" spans="43:43" x14ac:dyDescent="0.2">
      <c r="AQ53181" s="31"/>
    </row>
    <row r="53182" spans="43:43" x14ac:dyDescent="0.2">
      <c r="AQ53182" s="31"/>
    </row>
    <row r="53183" spans="43:43" x14ac:dyDescent="0.2">
      <c r="AQ53183" s="31"/>
    </row>
    <row r="53184" spans="43:43" x14ac:dyDescent="0.2">
      <c r="AQ53184" s="31"/>
    </row>
    <row r="53185" spans="43:43" x14ac:dyDescent="0.2">
      <c r="AQ53185" s="31"/>
    </row>
    <row r="53186" spans="43:43" x14ac:dyDescent="0.2">
      <c r="AQ53186" s="31"/>
    </row>
    <row r="53187" spans="43:43" x14ac:dyDescent="0.2">
      <c r="AQ53187" s="31"/>
    </row>
    <row r="53188" spans="43:43" x14ac:dyDescent="0.2">
      <c r="AQ53188" s="31"/>
    </row>
    <row r="53189" spans="43:43" x14ac:dyDescent="0.2">
      <c r="AQ53189" s="31"/>
    </row>
    <row r="53190" spans="43:43" x14ac:dyDescent="0.2">
      <c r="AQ53190" s="31"/>
    </row>
    <row r="53191" spans="43:43" x14ac:dyDescent="0.2">
      <c r="AQ53191" s="31"/>
    </row>
    <row r="53192" spans="43:43" x14ac:dyDescent="0.2">
      <c r="AQ53192" s="31"/>
    </row>
    <row r="53193" spans="43:43" x14ac:dyDescent="0.2">
      <c r="AQ53193" s="31"/>
    </row>
    <row r="53194" spans="43:43" x14ac:dyDescent="0.2">
      <c r="AQ53194" s="31"/>
    </row>
    <row r="53195" spans="43:43" x14ac:dyDescent="0.2">
      <c r="AQ53195" s="31"/>
    </row>
    <row r="53196" spans="43:43" x14ac:dyDescent="0.2">
      <c r="AQ53196" s="31"/>
    </row>
    <row r="53197" spans="43:43" x14ac:dyDescent="0.2">
      <c r="AQ53197" s="31"/>
    </row>
    <row r="53198" spans="43:43" x14ac:dyDescent="0.2">
      <c r="AQ53198" s="31"/>
    </row>
    <row r="53199" spans="43:43" x14ac:dyDescent="0.2">
      <c r="AQ53199" s="31"/>
    </row>
    <row r="53200" spans="43:43" x14ac:dyDescent="0.2">
      <c r="AQ53200" s="31"/>
    </row>
    <row r="53201" spans="43:43" x14ac:dyDescent="0.2">
      <c r="AQ53201" s="31"/>
    </row>
    <row r="53202" spans="43:43" x14ac:dyDescent="0.2">
      <c r="AQ53202" s="31"/>
    </row>
    <row r="53203" spans="43:43" x14ac:dyDescent="0.2">
      <c r="AQ53203" s="31"/>
    </row>
    <row r="53204" spans="43:43" x14ac:dyDescent="0.2">
      <c r="AQ53204" s="31"/>
    </row>
    <row r="53205" spans="43:43" x14ac:dyDescent="0.2">
      <c r="AQ53205" s="31"/>
    </row>
    <row r="53206" spans="43:43" x14ac:dyDescent="0.2">
      <c r="AQ53206" s="31"/>
    </row>
    <row r="53207" spans="43:43" x14ac:dyDescent="0.2">
      <c r="AQ53207" s="31"/>
    </row>
    <row r="53208" spans="43:43" x14ac:dyDescent="0.2">
      <c r="AQ53208" s="31"/>
    </row>
    <row r="53209" spans="43:43" x14ac:dyDescent="0.2">
      <c r="AQ53209" s="31"/>
    </row>
    <row r="53210" spans="43:43" x14ac:dyDescent="0.2">
      <c r="AQ53210" s="31"/>
    </row>
    <row r="53211" spans="43:43" x14ac:dyDescent="0.2">
      <c r="AQ53211" s="31"/>
    </row>
    <row r="53212" spans="43:43" x14ac:dyDescent="0.2">
      <c r="AQ53212" s="31"/>
    </row>
    <row r="53213" spans="43:43" x14ac:dyDescent="0.2">
      <c r="AQ53213" s="31"/>
    </row>
    <row r="53214" spans="43:43" x14ac:dyDescent="0.2">
      <c r="AQ53214" s="31"/>
    </row>
    <row r="53215" spans="43:43" x14ac:dyDescent="0.2">
      <c r="AQ53215" s="31"/>
    </row>
    <row r="53216" spans="43:43" x14ac:dyDescent="0.2">
      <c r="AQ53216" s="31"/>
    </row>
    <row r="53217" spans="43:43" x14ac:dyDescent="0.2">
      <c r="AQ53217" s="31"/>
    </row>
    <row r="53218" spans="43:43" x14ac:dyDescent="0.2">
      <c r="AQ53218" s="31"/>
    </row>
    <row r="53219" spans="43:43" x14ac:dyDescent="0.2">
      <c r="AQ53219" s="31"/>
    </row>
    <row r="53220" spans="43:43" x14ac:dyDescent="0.2">
      <c r="AQ53220" s="31"/>
    </row>
    <row r="53221" spans="43:43" x14ac:dyDescent="0.2">
      <c r="AQ53221" s="31"/>
    </row>
    <row r="53222" spans="43:43" x14ac:dyDescent="0.2">
      <c r="AQ53222" s="31"/>
    </row>
    <row r="53223" spans="43:43" x14ac:dyDescent="0.2">
      <c r="AQ53223" s="31"/>
    </row>
    <row r="53224" spans="43:43" x14ac:dyDescent="0.2">
      <c r="AQ53224" s="31"/>
    </row>
    <row r="53225" spans="43:43" x14ac:dyDescent="0.2">
      <c r="AQ53225" s="31"/>
    </row>
    <row r="53226" spans="43:43" x14ac:dyDescent="0.2">
      <c r="AQ53226" s="31"/>
    </row>
    <row r="53227" spans="43:43" x14ac:dyDescent="0.2">
      <c r="AQ53227" s="31"/>
    </row>
    <row r="53228" spans="43:43" x14ac:dyDescent="0.2">
      <c r="AQ53228" s="31"/>
    </row>
    <row r="53229" spans="43:43" x14ac:dyDescent="0.2">
      <c r="AQ53229" s="31"/>
    </row>
    <row r="53230" spans="43:43" x14ac:dyDescent="0.2">
      <c r="AQ53230" s="31"/>
    </row>
    <row r="53231" spans="43:43" x14ac:dyDescent="0.2">
      <c r="AQ53231" s="31"/>
    </row>
    <row r="53232" spans="43:43" x14ac:dyDescent="0.2">
      <c r="AQ53232" s="31"/>
    </row>
    <row r="53233" spans="43:43" x14ac:dyDescent="0.2">
      <c r="AQ53233" s="31"/>
    </row>
    <row r="53234" spans="43:43" x14ac:dyDescent="0.2">
      <c r="AQ53234" s="31"/>
    </row>
    <row r="53235" spans="43:43" x14ac:dyDescent="0.2">
      <c r="AQ53235" s="31"/>
    </row>
    <row r="53236" spans="43:43" x14ac:dyDescent="0.2">
      <c r="AQ53236" s="31"/>
    </row>
    <row r="53237" spans="43:43" x14ac:dyDescent="0.2">
      <c r="AQ53237" s="31"/>
    </row>
    <row r="53238" spans="43:43" x14ac:dyDescent="0.2">
      <c r="AQ53238" s="31"/>
    </row>
    <row r="53239" spans="43:43" x14ac:dyDescent="0.2">
      <c r="AQ53239" s="31"/>
    </row>
    <row r="53240" spans="43:43" x14ac:dyDescent="0.2">
      <c r="AQ53240" s="31"/>
    </row>
    <row r="53241" spans="43:43" x14ac:dyDescent="0.2">
      <c r="AQ53241" s="31"/>
    </row>
    <row r="53242" spans="43:43" x14ac:dyDescent="0.2">
      <c r="AQ53242" s="31"/>
    </row>
    <row r="53243" spans="43:43" x14ac:dyDescent="0.2">
      <c r="AQ53243" s="31"/>
    </row>
    <row r="53244" spans="43:43" x14ac:dyDescent="0.2">
      <c r="AQ53244" s="31"/>
    </row>
    <row r="53245" spans="43:43" x14ac:dyDescent="0.2">
      <c r="AQ53245" s="31"/>
    </row>
    <row r="53246" spans="43:43" x14ac:dyDescent="0.2">
      <c r="AQ53246" s="31"/>
    </row>
    <row r="53247" spans="43:43" x14ac:dyDescent="0.2">
      <c r="AQ53247" s="31"/>
    </row>
    <row r="53248" spans="43:43" x14ac:dyDescent="0.2">
      <c r="AQ53248" s="31"/>
    </row>
    <row r="53249" spans="43:43" x14ac:dyDescent="0.2">
      <c r="AQ53249" s="31"/>
    </row>
    <row r="53250" spans="43:43" x14ac:dyDescent="0.2">
      <c r="AQ53250" s="31"/>
    </row>
    <row r="53251" spans="43:43" x14ac:dyDescent="0.2">
      <c r="AQ53251" s="31"/>
    </row>
    <row r="53252" spans="43:43" x14ac:dyDescent="0.2">
      <c r="AQ53252" s="31"/>
    </row>
    <row r="53253" spans="43:43" x14ac:dyDescent="0.2">
      <c r="AQ53253" s="31"/>
    </row>
    <row r="53254" spans="43:43" x14ac:dyDescent="0.2">
      <c r="AQ53254" s="31"/>
    </row>
    <row r="53255" spans="43:43" x14ac:dyDescent="0.2">
      <c r="AQ53255" s="31"/>
    </row>
    <row r="53256" spans="43:43" x14ac:dyDescent="0.2">
      <c r="AQ53256" s="31"/>
    </row>
    <row r="53257" spans="43:43" x14ac:dyDescent="0.2">
      <c r="AQ53257" s="31"/>
    </row>
    <row r="53258" spans="43:43" x14ac:dyDescent="0.2">
      <c r="AQ53258" s="31"/>
    </row>
    <row r="53259" spans="43:43" x14ac:dyDescent="0.2">
      <c r="AQ53259" s="31"/>
    </row>
    <row r="53260" spans="43:43" x14ac:dyDescent="0.2">
      <c r="AQ53260" s="31"/>
    </row>
    <row r="53261" spans="43:43" x14ac:dyDescent="0.2">
      <c r="AQ53261" s="31"/>
    </row>
    <row r="53262" spans="43:43" x14ac:dyDescent="0.2">
      <c r="AQ53262" s="31"/>
    </row>
    <row r="53263" spans="43:43" x14ac:dyDescent="0.2">
      <c r="AQ53263" s="31"/>
    </row>
    <row r="53264" spans="43:43" x14ac:dyDescent="0.2">
      <c r="AQ53264" s="31"/>
    </row>
    <row r="53265" spans="43:43" x14ac:dyDescent="0.2">
      <c r="AQ53265" s="31"/>
    </row>
    <row r="53266" spans="43:43" x14ac:dyDescent="0.2">
      <c r="AQ53266" s="31"/>
    </row>
    <row r="53267" spans="43:43" x14ac:dyDescent="0.2">
      <c r="AQ53267" s="31"/>
    </row>
    <row r="53268" spans="43:43" x14ac:dyDescent="0.2">
      <c r="AQ53268" s="31"/>
    </row>
    <row r="53269" spans="43:43" x14ac:dyDescent="0.2">
      <c r="AQ53269" s="31"/>
    </row>
    <row r="53270" spans="43:43" x14ac:dyDescent="0.2">
      <c r="AQ53270" s="31"/>
    </row>
    <row r="53271" spans="43:43" x14ac:dyDescent="0.2">
      <c r="AQ53271" s="31"/>
    </row>
    <row r="53272" spans="43:43" x14ac:dyDescent="0.2">
      <c r="AQ53272" s="31"/>
    </row>
    <row r="53273" spans="43:43" x14ac:dyDescent="0.2">
      <c r="AQ53273" s="31"/>
    </row>
    <row r="53274" spans="43:43" x14ac:dyDescent="0.2">
      <c r="AQ53274" s="31"/>
    </row>
    <row r="53275" spans="43:43" x14ac:dyDescent="0.2">
      <c r="AQ53275" s="31"/>
    </row>
    <row r="53276" spans="43:43" x14ac:dyDescent="0.2">
      <c r="AQ53276" s="31"/>
    </row>
    <row r="53277" spans="43:43" x14ac:dyDescent="0.2">
      <c r="AQ53277" s="31"/>
    </row>
    <row r="53278" spans="43:43" x14ac:dyDescent="0.2">
      <c r="AQ53278" s="31"/>
    </row>
    <row r="53279" spans="43:43" x14ac:dyDescent="0.2">
      <c r="AQ53279" s="31"/>
    </row>
    <row r="53280" spans="43:43" x14ac:dyDescent="0.2">
      <c r="AQ53280" s="31"/>
    </row>
    <row r="53281" spans="43:43" x14ac:dyDescent="0.2">
      <c r="AQ53281" s="31"/>
    </row>
    <row r="53282" spans="43:43" x14ac:dyDescent="0.2">
      <c r="AQ53282" s="31"/>
    </row>
    <row r="53283" spans="43:43" x14ac:dyDescent="0.2">
      <c r="AQ53283" s="31"/>
    </row>
    <row r="53284" spans="43:43" x14ac:dyDescent="0.2">
      <c r="AQ53284" s="31"/>
    </row>
    <row r="53285" spans="43:43" x14ac:dyDescent="0.2">
      <c r="AQ53285" s="31"/>
    </row>
    <row r="53286" spans="43:43" x14ac:dyDescent="0.2">
      <c r="AQ53286" s="31"/>
    </row>
    <row r="53287" spans="43:43" x14ac:dyDescent="0.2">
      <c r="AQ53287" s="31"/>
    </row>
    <row r="53288" spans="43:43" x14ac:dyDescent="0.2">
      <c r="AQ53288" s="31"/>
    </row>
    <row r="53289" spans="43:43" x14ac:dyDescent="0.2">
      <c r="AQ53289" s="31"/>
    </row>
    <row r="53290" spans="43:43" x14ac:dyDescent="0.2">
      <c r="AQ53290" s="31"/>
    </row>
    <row r="53291" spans="43:43" x14ac:dyDescent="0.2">
      <c r="AQ53291" s="31"/>
    </row>
    <row r="53292" spans="43:43" x14ac:dyDescent="0.2">
      <c r="AQ53292" s="31"/>
    </row>
    <row r="53293" spans="43:43" x14ac:dyDescent="0.2">
      <c r="AQ53293" s="31"/>
    </row>
    <row r="53294" spans="43:43" x14ac:dyDescent="0.2">
      <c r="AQ53294" s="31"/>
    </row>
    <row r="53295" spans="43:43" x14ac:dyDescent="0.2">
      <c r="AQ53295" s="31"/>
    </row>
    <row r="53296" spans="43:43" x14ac:dyDescent="0.2">
      <c r="AQ53296" s="31"/>
    </row>
    <row r="53297" spans="43:43" x14ac:dyDescent="0.2">
      <c r="AQ53297" s="31"/>
    </row>
    <row r="53298" spans="43:43" x14ac:dyDescent="0.2">
      <c r="AQ53298" s="31"/>
    </row>
    <row r="53299" spans="43:43" x14ac:dyDescent="0.2">
      <c r="AQ53299" s="31"/>
    </row>
    <row r="53300" spans="43:43" x14ac:dyDescent="0.2">
      <c r="AQ53300" s="31"/>
    </row>
    <row r="53301" spans="43:43" x14ac:dyDescent="0.2">
      <c r="AQ53301" s="31"/>
    </row>
    <row r="53302" spans="43:43" x14ac:dyDescent="0.2">
      <c r="AQ53302" s="31"/>
    </row>
    <row r="53303" spans="43:43" x14ac:dyDescent="0.2">
      <c r="AQ53303" s="31"/>
    </row>
    <row r="53304" spans="43:43" x14ac:dyDescent="0.2">
      <c r="AQ53304" s="31"/>
    </row>
    <row r="53305" spans="43:43" x14ac:dyDescent="0.2">
      <c r="AQ53305" s="31"/>
    </row>
    <row r="53306" spans="43:43" x14ac:dyDescent="0.2">
      <c r="AQ53306" s="31"/>
    </row>
    <row r="53307" spans="43:43" x14ac:dyDescent="0.2">
      <c r="AQ53307" s="31"/>
    </row>
    <row r="53308" spans="43:43" x14ac:dyDescent="0.2">
      <c r="AQ53308" s="31"/>
    </row>
    <row r="53309" spans="43:43" x14ac:dyDescent="0.2">
      <c r="AQ53309" s="31"/>
    </row>
    <row r="53310" spans="43:43" x14ac:dyDescent="0.2">
      <c r="AQ53310" s="31"/>
    </row>
    <row r="53311" spans="43:43" x14ac:dyDescent="0.2">
      <c r="AQ53311" s="31"/>
    </row>
    <row r="53312" spans="43:43" x14ac:dyDescent="0.2">
      <c r="AQ53312" s="31"/>
    </row>
    <row r="53313" spans="43:43" x14ac:dyDescent="0.2">
      <c r="AQ53313" s="31"/>
    </row>
    <row r="53314" spans="43:43" x14ac:dyDescent="0.2">
      <c r="AQ53314" s="31"/>
    </row>
    <row r="53315" spans="43:43" x14ac:dyDescent="0.2">
      <c r="AQ53315" s="31"/>
    </row>
    <row r="53316" spans="43:43" x14ac:dyDescent="0.2">
      <c r="AQ53316" s="31"/>
    </row>
    <row r="53317" spans="43:43" x14ac:dyDescent="0.2">
      <c r="AQ53317" s="31"/>
    </row>
    <row r="53318" spans="43:43" x14ac:dyDescent="0.2">
      <c r="AQ53318" s="31"/>
    </row>
    <row r="53319" spans="43:43" x14ac:dyDescent="0.2">
      <c r="AQ53319" s="31"/>
    </row>
    <row r="53320" spans="43:43" x14ac:dyDescent="0.2">
      <c r="AQ53320" s="31"/>
    </row>
    <row r="53321" spans="43:43" x14ac:dyDescent="0.2">
      <c r="AQ53321" s="31"/>
    </row>
    <row r="53322" spans="43:43" x14ac:dyDescent="0.2">
      <c r="AQ53322" s="31"/>
    </row>
    <row r="53323" spans="43:43" x14ac:dyDescent="0.2">
      <c r="AQ53323" s="31"/>
    </row>
    <row r="53324" spans="43:43" x14ac:dyDescent="0.2">
      <c r="AQ53324" s="31"/>
    </row>
    <row r="53325" spans="43:43" x14ac:dyDescent="0.2">
      <c r="AQ53325" s="31"/>
    </row>
    <row r="53326" spans="43:43" x14ac:dyDescent="0.2">
      <c r="AQ53326" s="31"/>
    </row>
    <row r="53327" spans="43:43" x14ac:dyDescent="0.2">
      <c r="AQ53327" s="31"/>
    </row>
    <row r="53328" spans="43:43" x14ac:dyDescent="0.2">
      <c r="AQ53328" s="31"/>
    </row>
    <row r="53329" spans="43:43" x14ac:dyDescent="0.2">
      <c r="AQ53329" s="31"/>
    </row>
    <row r="53330" spans="43:43" x14ac:dyDescent="0.2">
      <c r="AQ53330" s="31"/>
    </row>
    <row r="53331" spans="43:43" x14ac:dyDescent="0.2">
      <c r="AQ53331" s="31"/>
    </row>
    <row r="53332" spans="43:43" x14ac:dyDescent="0.2">
      <c r="AQ53332" s="31"/>
    </row>
    <row r="53333" spans="43:43" x14ac:dyDescent="0.2">
      <c r="AQ53333" s="31"/>
    </row>
    <row r="53334" spans="43:43" x14ac:dyDescent="0.2">
      <c r="AQ53334" s="31"/>
    </row>
    <row r="53335" spans="43:43" x14ac:dyDescent="0.2">
      <c r="AQ53335" s="31"/>
    </row>
    <row r="53336" spans="43:43" x14ac:dyDescent="0.2">
      <c r="AQ53336" s="31"/>
    </row>
    <row r="53337" spans="43:43" x14ac:dyDescent="0.2">
      <c r="AQ53337" s="31"/>
    </row>
    <row r="53338" spans="43:43" x14ac:dyDescent="0.2">
      <c r="AQ53338" s="31"/>
    </row>
    <row r="53339" spans="43:43" x14ac:dyDescent="0.2">
      <c r="AQ53339" s="31"/>
    </row>
    <row r="53340" spans="43:43" x14ac:dyDescent="0.2">
      <c r="AQ53340" s="31"/>
    </row>
    <row r="53341" spans="43:43" x14ac:dyDescent="0.2">
      <c r="AQ53341" s="31"/>
    </row>
    <row r="53342" spans="43:43" x14ac:dyDescent="0.2">
      <c r="AQ53342" s="31"/>
    </row>
    <row r="53343" spans="43:43" x14ac:dyDescent="0.2">
      <c r="AQ53343" s="31"/>
    </row>
    <row r="53344" spans="43:43" x14ac:dyDescent="0.2">
      <c r="AQ53344" s="31"/>
    </row>
    <row r="53345" spans="43:43" x14ac:dyDescent="0.2">
      <c r="AQ53345" s="31"/>
    </row>
    <row r="53346" spans="43:43" x14ac:dyDescent="0.2">
      <c r="AQ53346" s="31"/>
    </row>
    <row r="53347" spans="43:43" x14ac:dyDescent="0.2">
      <c r="AQ53347" s="31"/>
    </row>
    <row r="53348" spans="43:43" x14ac:dyDescent="0.2">
      <c r="AQ53348" s="31"/>
    </row>
    <row r="53349" spans="43:43" x14ac:dyDescent="0.2">
      <c r="AQ53349" s="31"/>
    </row>
    <row r="53350" spans="43:43" x14ac:dyDescent="0.2">
      <c r="AQ53350" s="31"/>
    </row>
    <row r="53351" spans="43:43" x14ac:dyDescent="0.2">
      <c r="AQ53351" s="31"/>
    </row>
    <row r="53352" spans="43:43" x14ac:dyDescent="0.2">
      <c r="AQ53352" s="31"/>
    </row>
    <row r="53353" spans="43:43" x14ac:dyDescent="0.2">
      <c r="AQ53353" s="31"/>
    </row>
    <row r="53354" spans="43:43" x14ac:dyDescent="0.2">
      <c r="AQ53354" s="31"/>
    </row>
    <row r="53355" spans="43:43" x14ac:dyDescent="0.2">
      <c r="AQ53355" s="31"/>
    </row>
    <row r="53356" spans="43:43" x14ac:dyDescent="0.2">
      <c r="AQ53356" s="31"/>
    </row>
    <row r="53357" spans="43:43" x14ac:dyDescent="0.2">
      <c r="AQ53357" s="31"/>
    </row>
    <row r="53358" spans="43:43" x14ac:dyDescent="0.2">
      <c r="AQ53358" s="31"/>
    </row>
    <row r="53359" spans="43:43" x14ac:dyDescent="0.2">
      <c r="AQ53359" s="31"/>
    </row>
    <row r="53360" spans="43:43" x14ac:dyDescent="0.2">
      <c r="AQ53360" s="31"/>
    </row>
    <row r="53361" spans="43:43" x14ac:dyDescent="0.2">
      <c r="AQ53361" s="31"/>
    </row>
    <row r="53362" spans="43:43" x14ac:dyDescent="0.2">
      <c r="AQ53362" s="31"/>
    </row>
    <row r="53363" spans="43:43" x14ac:dyDescent="0.2">
      <c r="AQ53363" s="31"/>
    </row>
    <row r="53364" spans="43:43" x14ac:dyDescent="0.2">
      <c r="AQ53364" s="31"/>
    </row>
    <row r="53365" spans="43:43" x14ac:dyDescent="0.2">
      <c r="AQ53365" s="31"/>
    </row>
    <row r="53366" spans="43:43" x14ac:dyDescent="0.2">
      <c r="AQ53366" s="31"/>
    </row>
    <row r="53367" spans="43:43" x14ac:dyDescent="0.2">
      <c r="AQ53367" s="31"/>
    </row>
    <row r="53368" spans="43:43" x14ac:dyDescent="0.2">
      <c r="AQ53368" s="31"/>
    </row>
    <row r="53369" spans="43:43" x14ac:dyDescent="0.2">
      <c r="AQ53369" s="31"/>
    </row>
    <row r="53370" spans="43:43" x14ac:dyDescent="0.2">
      <c r="AQ53370" s="31"/>
    </row>
    <row r="53371" spans="43:43" x14ac:dyDescent="0.2">
      <c r="AQ53371" s="31"/>
    </row>
    <row r="53372" spans="43:43" x14ac:dyDescent="0.2">
      <c r="AQ53372" s="31"/>
    </row>
    <row r="53373" spans="43:43" x14ac:dyDescent="0.2">
      <c r="AQ53373" s="31"/>
    </row>
    <row r="53374" spans="43:43" x14ac:dyDescent="0.2">
      <c r="AQ53374" s="31"/>
    </row>
    <row r="53375" spans="43:43" x14ac:dyDescent="0.2">
      <c r="AQ53375" s="31"/>
    </row>
    <row r="53376" spans="43:43" x14ac:dyDescent="0.2">
      <c r="AQ53376" s="31"/>
    </row>
    <row r="53377" spans="43:43" x14ac:dyDescent="0.2">
      <c r="AQ53377" s="31"/>
    </row>
    <row r="53378" spans="43:43" x14ac:dyDescent="0.2">
      <c r="AQ53378" s="31"/>
    </row>
    <row r="53379" spans="43:43" x14ac:dyDescent="0.2">
      <c r="AQ53379" s="31"/>
    </row>
    <row r="53380" spans="43:43" x14ac:dyDescent="0.2">
      <c r="AQ53380" s="31"/>
    </row>
    <row r="53381" spans="43:43" x14ac:dyDescent="0.2">
      <c r="AQ53381" s="31"/>
    </row>
    <row r="53382" spans="43:43" x14ac:dyDescent="0.2">
      <c r="AQ53382" s="31"/>
    </row>
    <row r="53383" spans="43:43" x14ac:dyDescent="0.2">
      <c r="AQ53383" s="31"/>
    </row>
    <row r="53384" spans="43:43" x14ac:dyDescent="0.2">
      <c r="AQ53384" s="31"/>
    </row>
    <row r="53385" spans="43:43" x14ac:dyDescent="0.2">
      <c r="AQ53385" s="31"/>
    </row>
    <row r="53386" spans="43:43" x14ac:dyDescent="0.2">
      <c r="AQ53386" s="31"/>
    </row>
    <row r="53387" spans="43:43" x14ac:dyDescent="0.2">
      <c r="AQ53387" s="31"/>
    </row>
    <row r="53388" spans="43:43" x14ac:dyDescent="0.2">
      <c r="AQ53388" s="31"/>
    </row>
    <row r="53389" spans="43:43" x14ac:dyDescent="0.2">
      <c r="AQ53389" s="31"/>
    </row>
    <row r="53390" spans="43:43" x14ac:dyDescent="0.2">
      <c r="AQ53390" s="31"/>
    </row>
    <row r="53391" spans="43:43" x14ac:dyDescent="0.2">
      <c r="AQ53391" s="31"/>
    </row>
    <row r="53392" spans="43:43" x14ac:dyDescent="0.2">
      <c r="AQ53392" s="31"/>
    </row>
    <row r="53393" spans="43:43" x14ac:dyDescent="0.2">
      <c r="AQ53393" s="31"/>
    </row>
    <row r="53394" spans="43:43" x14ac:dyDescent="0.2">
      <c r="AQ53394" s="31"/>
    </row>
    <row r="53395" spans="43:43" x14ac:dyDescent="0.2">
      <c r="AQ53395" s="31"/>
    </row>
    <row r="53396" spans="43:43" x14ac:dyDescent="0.2">
      <c r="AQ53396" s="31"/>
    </row>
    <row r="53397" spans="43:43" x14ac:dyDescent="0.2">
      <c r="AQ53397" s="31"/>
    </row>
    <row r="53398" spans="43:43" x14ac:dyDescent="0.2">
      <c r="AQ53398" s="31"/>
    </row>
    <row r="53399" spans="43:43" x14ac:dyDescent="0.2">
      <c r="AQ53399" s="31"/>
    </row>
    <row r="53400" spans="43:43" x14ac:dyDescent="0.2">
      <c r="AQ53400" s="31"/>
    </row>
    <row r="53401" spans="43:43" x14ac:dyDescent="0.2">
      <c r="AQ53401" s="31"/>
    </row>
    <row r="53402" spans="43:43" x14ac:dyDescent="0.2">
      <c r="AQ53402" s="31"/>
    </row>
    <row r="53403" spans="43:43" x14ac:dyDescent="0.2">
      <c r="AQ53403" s="31"/>
    </row>
    <row r="53404" spans="43:43" x14ac:dyDescent="0.2">
      <c r="AQ53404" s="31"/>
    </row>
    <row r="53405" spans="43:43" x14ac:dyDescent="0.2">
      <c r="AQ53405" s="31"/>
    </row>
    <row r="53406" spans="43:43" x14ac:dyDescent="0.2">
      <c r="AQ53406" s="31"/>
    </row>
    <row r="53407" spans="43:43" x14ac:dyDescent="0.2">
      <c r="AQ53407" s="31"/>
    </row>
    <row r="53408" spans="43:43" x14ac:dyDescent="0.2">
      <c r="AQ53408" s="31"/>
    </row>
    <row r="53409" spans="43:43" x14ac:dyDescent="0.2">
      <c r="AQ53409" s="31"/>
    </row>
    <row r="53410" spans="43:43" x14ac:dyDescent="0.2">
      <c r="AQ53410" s="31"/>
    </row>
    <row r="53411" spans="43:43" x14ac:dyDescent="0.2">
      <c r="AQ53411" s="31"/>
    </row>
    <row r="53412" spans="43:43" x14ac:dyDescent="0.2">
      <c r="AQ53412" s="31"/>
    </row>
    <row r="53413" spans="43:43" x14ac:dyDescent="0.2">
      <c r="AQ53413" s="31"/>
    </row>
    <row r="53414" spans="43:43" x14ac:dyDescent="0.2">
      <c r="AQ53414" s="31"/>
    </row>
    <row r="53415" spans="43:43" x14ac:dyDescent="0.2">
      <c r="AQ53415" s="31"/>
    </row>
    <row r="53416" spans="43:43" x14ac:dyDescent="0.2">
      <c r="AQ53416" s="31"/>
    </row>
    <row r="53417" spans="43:43" x14ac:dyDescent="0.2">
      <c r="AQ53417" s="31"/>
    </row>
    <row r="53418" spans="43:43" x14ac:dyDescent="0.2">
      <c r="AQ53418" s="31"/>
    </row>
    <row r="53419" spans="43:43" x14ac:dyDescent="0.2">
      <c r="AQ53419" s="31"/>
    </row>
    <row r="53420" spans="43:43" x14ac:dyDescent="0.2">
      <c r="AQ53420" s="31"/>
    </row>
    <row r="53421" spans="43:43" x14ac:dyDescent="0.2">
      <c r="AQ53421" s="31"/>
    </row>
    <row r="53422" spans="43:43" x14ac:dyDescent="0.2">
      <c r="AQ53422" s="31"/>
    </row>
    <row r="53423" spans="43:43" x14ac:dyDescent="0.2">
      <c r="AQ53423" s="31"/>
    </row>
    <row r="53424" spans="43:43" x14ac:dyDescent="0.2">
      <c r="AQ53424" s="31"/>
    </row>
    <row r="53425" spans="43:43" x14ac:dyDescent="0.2">
      <c r="AQ53425" s="31"/>
    </row>
    <row r="53426" spans="43:43" x14ac:dyDescent="0.2">
      <c r="AQ53426" s="31"/>
    </row>
    <row r="53427" spans="43:43" x14ac:dyDescent="0.2">
      <c r="AQ53427" s="31"/>
    </row>
    <row r="53428" spans="43:43" x14ac:dyDescent="0.2">
      <c r="AQ53428" s="31"/>
    </row>
    <row r="53429" spans="43:43" x14ac:dyDescent="0.2">
      <c r="AQ53429" s="31"/>
    </row>
    <row r="53430" spans="43:43" x14ac:dyDescent="0.2">
      <c r="AQ53430" s="31"/>
    </row>
    <row r="53431" spans="43:43" x14ac:dyDescent="0.2">
      <c r="AQ53431" s="31"/>
    </row>
    <row r="53432" spans="43:43" x14ac:dyDescent="0.2">
      <c r="AQ53432" s="31"/>
    </row>
    <row r="53433" spans="43:43" x14ac:dyDescent="0.2">
      <c r="AQ53433" s="31"/>
    </row>
    <row r="53434" spans="43:43" x14ac:dyDescent="0.2">
      <c r="AQ53434" s="31"/>
    </row>
    <row r="53435" spans="43:43" x14ac:dyDescent="0.2">
      <c r="AQ53435" s="31"/>
    </row>
    <row r="53436" spans="43:43" x14ac:dyDescent="0.2">
      <c r="AQ53436" s="31"/>
    </row>
    <row r="53437" spans="43:43" x14ac:dyDescent="0.2">
      <c r="AQ53437" s="31"/>
    </row>
    <row r="53438" spans="43:43" x14ac:dyDescent="0.2">
      <c r="AQ53438" s="31"/>
    </row>
    <row r="53439" spans="43:43" x14ac:dyDescent="0.2">
      <c r="AQ53439" s="31"/>
    </row>
    <row r="53440" spans="43:43" x14ac:dyDescent="0.2">
      <c r="AQ53440" s="31"/>
    </row>
    <row r="53441" spans="43:43" x14ac:dyDescent="0.2">
      <c r="AQ53441" s="31"/>
    </row>
    <row r="53442" spans="43:43" x14ac:dyDescent="0.2">
      <c r="AQ53442" s="31"/>
    </row>
    <row r="53443" spans="43:43" x14ac:dyDescent="0.2">
      <c r="AQ53443" s="31"/>
    </row>
    <row r="53444" spans="43:43" x14ac:dyDescent="0.2">
      <c r="AQ53444" s="31"/>
    </row>
    <row r="53445" spans="43:43" x14ac:dyDescent="0.2">
      <c r="AQ53445" s="31"/>
    </row>
    <row r="53446" spans="43:43" x14ac:dyDescent="0.2">
      <c r="AQ53446" s="31"/>
    </row>
    <row r="53447" spans="43:43" x14ac:dyDescent="0.2">
      <c r="AQ53447" s="31"/>
    </row>
    <row r="53448" spans="43:43" x14ac:dyDescent="0.2">
      <c r="AQ53448" s="31"/>
    </row>
    <row r="53449" spans="43:43" x14ac:dyDescent="0.2">
      <c r="AQ53449" s="31"/>
    </row>
    <row r="53450" spans="43:43" x14ac:dyDescent="0.2">
      <c r="AQ53450" s="31"/>
    </row>
    <row r="53451" spans="43:43" x14ac:dyDescent="0.2">
      <c r="AQ53451" s="31"/>
    </row>
    <row r="53452" spans="43:43" x14ac:dyDescent="0.2">
      <c r="AQ53452" s="31"/>
    </row>
    <row r="53453" spans="43:43" x14ac:dyDescent="0.2">
      <c r="AQ53453" s="31"/>
    </row>
    <row r="53454" spans="43:43" x14ac:dyDescent="0.2">
      <c r="AQ53454" s="31"/>
    </row>
    <row r="53455" spans="43:43" x14ac:dyDescent="0.2">
      <c r="AQ53455" s="31"/>
    </row>
    <row r="53456" spans="43:43" x14ac:dyDescent="0.2">
      <c r="AQ53456" s="31"/>
    </row>
    <row r="53457" spans="43:43" x14ac:dyDescent="0.2">
      <c r="AQ53457" s="31"/>
    </row>
    <row r="53458" spans="43:43" x14ac:dyDescent="0.2">
      <c r="AQ53458" s="31"/>
    </row>
    <row r="53459" spans="43:43" x14ac:dyDescent="0.2">
      <c r="AQ53459" s="31"/>
    </row>
    <row r="53460" spans="43:43" x14ac:dyDescent="0.2">
      <c r="AQ53460" s="31"/>
    </row>
    <row r="53461" spans="43:43" x14ac:dyDescent="0.2">
      <c r="AQ53461" s="31"/>
    </row>
    <row r="53462" spans="43:43" x14ac:dyDescent="0.2">
      <c r="AQ53462" s="31"/>
    </row>
    <row r="53463" spans="43:43" x14ac:dyDescent="0.2">
      <c r="AQ53463" s="31"/>
    </row>
    <row r="53464" spans="43:43" x14ac:dyDescent="0.2">
      <c r="AQ53464" s="31"/>
    </row>
    <row r="53465" spans="43:43" x14ac:dyDescent="0.2">
      <c r="AQ53465" s="31"/>
    </row>
    <row r="53466" spans="43:43" x14ac:dyDescent="0.2">
      <c r="AQ53466" s="31"/>
    </row>
    <row r="53467" spans="43:43" x14ac:dyDescent="0.2">
      <c r="AQ53467" s="31"/>
    </row>
    <row r="53468" spans="43:43" x14ac:dyDescent="0.2">
      <c r="AQ53468" s="31"/>
    </row>
    <row r="53469" spans="43:43" x14ac:dyDescent="0.2">
      <c r="AQ53469" s="31"/>
    </row>
    <row r="53470" spans="43:43" x14ac:dyDescent="0.2">
      <c r="AQ53470" s="31"/>
    </row>
    <row r="53471" spans="43:43" x14ac:dyDescent="0.2">
      <c r="AQ53471" s="31"/>
    </row>
    <row r="53472" spans="43:43" x14ac:dyDescent="0.2">
      <c r="AQ53472" s="31"/>
    </row>
    <row r="53473" spans="43:43" x14ac:dyDescent="0.2">
      <c r="AQ53473" s="31"/>
    </row>
    <row r="53474" spans="43:43" x14ac:dyDescent="0.2">
      <c r="AQ53474" s="31"/>
    </row>
    <row r="53475" spans="43:43" x14ac:dyDescent="0.2">
      <c r="AQ53475" s="31"/>
    </row>
    <row r="53476" spans="43:43" x14ac:dyDescent="0.2">
      <c r="AQ53476" s="31"/>
    </row>
    <row r="53477" spans="43:43" x14ac:dyDescent="0.2">
      <c r="AQ53477" s="31"/>
    </row>
    <row r="53478" spans="43:43" x14ac:dyDescent="0.2">
      <c r="AQ53478" s="31"/>
    </row>
    <row r="53479" spans="43:43" x14ac:dyDescent="0.2">
      <c r="AQ53479" s="31"/>
    </row>
    <row r="53480" spans="43:43" x14ac:dyDescent="0.2">
      <c r="AQ53480" s="31"/>
    </row>
    <row r="53481" spans="43:43" x14ac:dyDescent="0.2">
      <c r="AQ53481" s="31"/>
    </row>
    <row r="53482" spans="43:43" x14ac:dyDescent="0.2">
      <c r="AQ53482" s="31"/>
    </row>
    <row r="53483" spans="43:43" x14ac:dyDescent="0.2">
      <c r="AQ53483" s="31"/>
    </row>
    <row r="53484" spans="43:43" x14ac:dyDescent="0.2">
      <c r="AQ53484" s="31"/>
    </row>
    <row r="53485" spans="43:43" x14ac:dyDescent="0.2">
      <c r="AQ53485" s="31"/>
    </row>
    <row r="53486" spans="43:43" x14ac:dyDescent="0.2">
      <c r="AQ53486" s="31"/>
    </row>
    <row r="53487" spans="43:43" x14ac:dyDescent="0.2">
      <c r="AQ53487" s="31"/>
    </row>
    <row r="53488" spans="43:43" x14ac:dyDescent="0.2">
      <c r="AQ53488" s="31"/>
    </row>
    <row r="53489" spans="43:43" x14ac:dyDescent="0.2">
      <c r="AQ53489" s="31"/>
    </row>
    <row r="53490" spans="43:43" x14ac:dyDescent="0.2">
      <c r="AQ53490" s="31"/>
    </row>
    <row r="53491" spans="43:43" x14ac:dyDescent="0.2">
      <c r="AQ53491" s="31"/>
    </row>
    <row r="53492" spans="43:43" x14ac:dyDescent="0.2">
      <c r="AQ53492" s="31"/>
    </row>
    <row r="53493" spans="43:43" x14ac:dyDescent="0.2">
      <c r="AQ53493" s="31"/>
    </row>
    <row r="53494" spans="43:43" x14ac:dyDescent="0.2">
      <c r="AQ53494" s="31"/>
    </row>
    <row r="53495" spans="43:43" x14ac:dyDescent="0.2">
      <c r="AQ53495" s="31"/>
    </row>
    <row r="53496" spans="43:43" x14ac:dyDescent="0.2">
      <c r="AQ53496" s="31"/>
    </row>
    <row r="53497" spans="43:43" x14ac:dyDescent="0.2">
      <c r="AQ53497" s="31"/>
    </row>
    <row r="53498" spans="43:43" x14ac:dyDescent="0.2">
      <c r="AQ53498" s="31"/>
    </row>
    <row r="53499" spans="43:43" x14ac:dyDescent="0.2">
      <c r="AQ53499" s="31"/>
    </row>
    <row r="53500" spans="43:43" x14ac:dyDescent="0.2">
      <c r="AQ53500" s="31"/>
    </row>
    <row r="53501" spans="43:43" x14ac:dyDescent="0.2">
      <c r="AQ53501" s="31"/>
    </row>
    <row r="53502" spans="43:43" x14ac:dyDescent="0.2">
      <c r="AQ53502" s="31"/>
    </row>
    <row r="53503" spans="43:43" x14ac:dyDescent="0.2">
      <c r="AQ53503" s="31"/>
    </row>
    <row r="53504" spans="43:43" x14ac:dyDescent="0.2">
      <c r="AQ53504" s="31"/>
    </row>
    <row r="53505" spans="43:43" x14ac:dyDescent="0.2">
      <c r="AQ53505" s="31"/>
    </row>
    <row r="53506" spans="43:43" x14ac:dyDescent="0.2">
      <c r="AQ53506" s="31"/>
    </row>
    <row r="53507" spans="43:43" x14ac:dyDescent="0.2">
      <c r="AQ53507" s="31"/>
    </row>
    <row r="53508" spans="43:43" x14ac:dyDescent="0.2">
      <c r="AQ53508" s="31"/>
    </row>
    <row r="53509" spans="43:43" x14ac:dyDescent="0.2">
      <c r="AQ53509" s="31"/>
    </row>
    <row r="53510" spans="43:43" x14ac:dyDescent="0.2">
      <c r="AQ53510" s="31"/>
    </row>
    <row r="53511" spans="43:43" x14ac:dyDescent="0.2">
      <c r="AQ53511" s="31"/>
    </row>
    <row r="53512" spans="43:43" x14ac:dyDescent="0.2">
      <c r="AQ53512" s="31"/>
    </row>
    <row r="53513" spans="43:43" x14ac:dyDescent="0.2">
      <c r="AQ53513" s="31"/>
    </row>
    <row r="53514" spans="43:43" x14ac:dyDescent="0.2">
      <c r="AQ53514" s="31"/>
    </row>
    <row r="53515" spans="43:43" x14ac:dyDescent="0.2">
      <c r="AQ53515" s="31"/>
    </row>
    <row r="53516" spans="43:43" x14ac:dyDescent="0.2">
      <c r="AQ53516" s="31"/>
    </row>
    <row r="53517" spans="43:43" x14ac:dyDescent="0.2">
      <c r="AQ53517" s="31"/>
    </row>
    <row r="53518" spans="43:43" x14ac:dyDescent="0.2">
      <c r="AQ53518" s="31"/>
    </row>
    <row r="53519" spans="43:43" x14ac:dyDescent="0.2">
      <c r="AQ53519" s="31"/>
    </row>
    <row r="53520" spans="43:43" x14ac:dyDescent="0.2">
      <c r="AQ53520" s="31"/>
    </row>
    <row r="53521" spans="43:43" x14ac:dyDescent="0.2">
      <c r="AQ53521" s="31"/>
    </row>
    <row r="53522" spans="43:43" x14ac:dyDescent="0.2">
      <c r="AQ53522" s="31"/>
    </row>
    <row r="53523" spans="43:43" x14ac:dyDescent="0.2">
      <c r="AQ53523" s="31"/>
    </row>
    <row r="53524" spans="43:43" x14ac:dyDescent="0.2">
      <c r="AQ53524" s="31"/>
    </row>
    <row r="53525" spans="43:43" x14ac:dyDescent="0.2">
      <c r="AQ53525" s="31"/>
    </row>
    <row r="53526" spans="43:43" x14ac:dyDescent="0.2">
      <c r="AQ53526" s="31"/>
    </row>
    <row r="53527" spans="43:43" x14ac:dyDescent="0.2">
      <c r="AQ53527" s="31"/>
    </row>
    <row r="53528" spans="43:43" x14ac:dyDescent="0.2">
      <c r="AQ53528" s="31"/>
    </row>
    <row r="53529" spans="43:43" x14ac:dyDescent="0.2">
      <c r="AQ53529" s="31"/>
    </row>
    <row r="53530" spans="43:43" x14ac:dyDescent="0.2">
      <c r="AQ53530" s="31"/>
    </row>
    <row r="53531" spans="43:43" x14ac:dyDescent="0.2">
      <c r="AQ53531" s="31"/>
    </row>
    <row r="53532" spans="43:43" x14ac:dyDescent="0.2">
      <c r="AQ53532" s="31"/>
    </row>
    <row r="53533" spans="43:43" x14ac:dyDescent="0.2">
      <c r="AQ53533" s="31"/>
    </row>
    <row r="53534" spans="43:43" x14ac:dyDescent="0.2">
      <c r="AQ53534" s="31"/>
    </row>
    <row r="53535" spans="43:43" x14ac:dyDescent="0.2">
      <c r="AQ53535" s="31"/>
    </row>
    <row r="53536" spans="43:43" x14ac:dyDescent="0.2">
      <c r="AQ53536" s="31"/>
    </row>
    <row r="53537" spans="43:43" x14ac:dyDescent="0.2">
      <c r="AQ53537" s="31"/>
    </row>
    <row r="53538" spans="43:43" x14ac:dyDescent="0.2">
      <c r="AQ53538" s="31"/>
    </row>
    <row r="53539" spans="43:43" x14ac:dyDescent="0.2">
      <c r="AQ53539" s="31"/>
    </row>
    <row r="53540" spans="43:43" x14ac:dyDescent="0.2">
      <c r="AQ53540" s="31"/>
    </row>
    <row r="53541" spans="43:43" x14ac:dyDescent="0.2">
      <c r="AQ53541" s="31"/>
    </row>
    <row r="53542" spans="43:43" x14ac:dyDescent="0.2">
      <c r="AQ53542" s="31"/>
    </row>
    <row r="53543" spans="43:43" x14ac:dyDescent="0.2">
      <c r="AQ53543" s="31"/>
    </row>
    <row r="53544" spans="43:43" x14ac:dyDescent="0.2">
      <c r="AQ53544" s="31"/>
    </row>
    <row r="53545" spans="43:43" x14ac:dyDescent="0.2">
      <c r="AQ53545" s="31"/>
    </row>
    <row r="53546" spans="43:43" x14ac:dyDescent="0.2">
      <c r="AQ53546" s="31"/>
    </row>
    <row r="53547" spans="43:43" x14ac:dyDescent="0.2">
      <c r="AQ53547" s="31"/>
    </row>
    <row r="53548" spans="43:43" x14ac:dyDescent="0.2">
      <c r="AQ53548" s="31"/>
    </row>
    <row r="53549" spans="43:43" x14ac:dyDescent="0.2">
      <c r="AQ53549" s="31"/>
    </row>
    <row r="53550" spans="43:43" x14ac:dyDescent="0.2">
      <c r="AQ53550" s="31"/>
    </row>
    <row r="53551" spans="43:43" x14ac:dyDescent="0.2">
      <c r="AQ53551" s="31"/>
    </row>
    <row r="53552" spans="43:43" x14ac:dyDescent="0.2">
      <c r="AQ53552" s="31"/>
    </row>
    <row r="53553" spans="43:43" x14ac:dyDescent="0.2">
      <c r="AQ53553" s="31"/>
    </row>
    <row r="53554" spans="43:43" x14ac:dyDescent="0.2">
      <c r="AQ53554" s="31"/>
    </row>
    <row r="53555" spans="43:43" x14ac:dyDescent="0.2">
      <c r="AQ53555" s="31"/>
    </row>
    <row r="53556" spans="43:43" x14ac:dyDescent="0.2">
      <c r="AQ53556" s="31"/>
    </row>
    <row r="53557" spans="43:43" x14ac:dyDescent="0.2">
      <c r="AQ53557" s="31"/>
    </row>
    <row r="53558" spans="43:43" x14ac:dyDescent="0.2">
      <c r="AQ53558" s="31"/>
    </row>
    <row r="53559" spans="43:43" x14ac:dyDescent="0.2">
      <c r="AQ53559" s="31"/>
    </row>
    <row r="53560" spans="43:43" x14ac:dyDescent="0.2">
      <c r="AQ53560" s="31"/>
    </row>
    <row r="53561" spans="43:43" x14ac:dyDescent="0.2">
      <c r="AQ53561" s="31"/>
    </row>
    <row r="53562" spans="43:43" x14ac:dyDescent="0.2">
      <c r="AQ53562" s="31"/>
    </row>
    <row r="53563" spans="43:43" x14ac:dyDescent="0.2">
      <c r="AQ53563" s="31"/>
    </row>
    <row r="53564" spans="43:43" x14ac:dyDescent="0.2">
      <c r="AQ53564" s="31"/>
    </row>
    <row r="53565" spans="43:43" x14ac:dyDescent="0.2">
      <c r="AQ53565" s="31"/>
    </row>
    <row r="53566" spans="43:43" x14ac:dyDescent="0.2">
      <c r="AQ53566" s="31"/>
    </row>
    <row r="53567" spans="43:43" x14ac:dyDescent="0.2">
      <c r="AQ53567" s="31"/>
    </row>
    <row r="53568" spans="43:43" x14ac:dyDescent="0.2">
      <c r="AQ53568" s="31"/>
    </row>
    <row r="53569" spans="43:43" x14ac:dyDescent="0.2">
      <c r="AQ53569" s="31"/>
    </row>
    <row r="53570" spans="43:43" x14ac:dyDescent="0.2">
      <c r="AQ53570" s="31"/>
    </row>
    <row r="53571" spans="43:43" x14ac:dyDescent="0.2">
      <c r="AQ53571" s="31"/>
    </row>
    <row r="53572" spans="43:43" x14ac:dyDescent="0.2">
      <c r="AQ53572" s="31"/>
    </row>
    <row r="53573" spans="43:43" x14ac:dyDescent="0.2">
      <c r="AQ53573" s="31"/>
    </row>
    <row r="53574" spans="43:43" x14ac:dyDescent="0.2">
      <c r="AQ53574" s="31"/>
    </row>
    <row r="53575" spans="43:43" x14ac:dyDescent="0.2">
      <c r="AQ53575" s="31"/>
    </row>
    <row r="53576" spans="43:43" x14ac:dyDescent="0.2">
      <c r="AQ53576" s="31"/>
    </row>
    <row r="53577" spans="43:43" x14ac:dyDescent="0.2">
      <c r="AQ53577" s="31"/>
    </row>
    <row r="53578" spans="43:43" x14ac:dyDescent="0.2">
      <c r="AQ53578" s="31"/>
    </row>
    <row r="53579" spans="43:43" x14ac:dyDescent="0.2">
      <c r="AQ53579" s="31"/>
    </row>
    <row r="53580" spans="43:43" x14ac:dyDescent="0.2">
      <c r="AQ53580" s="31"/>
    </row>
    <row r="53581" spans="43:43" x14ac:dyDescent="0.2">
      <c r="AQ53581" s="31"/>
    </row>
    <row r="53582" spans="43:43" x14ac:dyDescent="0.2">
      <c r="AQ53582" s="31"/>
    </row>
    <row r="53583" spans="43:43" x14ac:dyDescent="0.2">
      <c r="AQ53583" s="31"/>
    </row>
    <row r="53584" spans="43:43" x14ac:dyDescent="0.2">
      <c r="AQ53584" s="31"/>
    </row>
    <row r="53585" spans="43:43" x14ac:dyDescent="0.2">
      <c r="AQ53585" s="31"/>
    </row>
    <row r="53586" spans="43:43" x14ac:dyDescent="0.2">
      <c r="AQ53586" s="31"/>
    </row>
    <row r="53587" spans="43:43" x14ac:dyDescent="0.2">
      <c r="AQ53587" s="31"/>
    </row>
    <row r="53588" spans="43:43" x14ac:dyDescent="0.2">
      <c r="AQ53588" s="31"/>
    </row>
    <row r="53589" spans="43:43" x14ac:dyDescent="0.2">
      <c r="AQ53589" s="31"/>
    </row>
    <row r="53590" spans="43:43" x14ac:dyDescent="0.2">
      <c r="AQ53590" s="31"/>
    </row>
    <row r="53591" spans="43:43" x14ac:dyDescent="0.2">
      <c r="AQ53591" s="31"/>
    </row>
    <row r="53592" spans="43:43" x14ac:dyDescent="0.2">
      <c r="AQ53592" s="31"/>
    </row>
    <row r="53593" spans="43:43" x14ac:dyDescent="0.2">
      <c r="AQ53593" s="31"/>
    </row>
    <row r="53594" spans="43:43" x14ac:dyDescent="0.2">
      <c r="AQ53594" s="31"/>
    </row>
    <row r="53595" spans="43:43" x14ac:dyDescent="0.2">
      <c r="AQ53595" s="31"/>
    </row>
    <row r="53596" spans="43:43" x14ac:dyDescent="0.2">
      <c r="AQ53596" s="31"/>
    </row>
    <row r="53597" spans="43:43" x14ac:dyDescent="0.2">
      <c r="AQ53597" s="31"/>
    </row>
    <row r="53598" spans="43:43" x14ac:dyDescent="0.2">
      <c r="AQ53598" s="31"/>
    </row>
    <row r="53599" spans="43:43" x14ac:dyDescent="0.2">
      <c r="AQ53599" s="31"/>
    </row>
    <row r="53600" spans="43:43" x14ac:dyDescent="0.2">
      <c r="AQ53600" s="31"/>
    </row>
    <row r="53601" spans="43:43" x14ac:dyDescent="0.2">
      <c r="AQ53601" s="31"/>
    </row>
    <row r="53602" spans="43:43" x14ac:dyDescent="0.2">
      <c r="AQ53602" s="31"/>
    </row>
    <row r="53603" spans="43:43" x14ac:dyDescent="0.2">
      <c r="AQ53603" s="31"/>
    </row>
    <row r="53604" spans="43:43" x14ac:dyDescent="0.2">
      <c r="AQ53604" s="31"/>
    </row>
    <row r="53605" spans="43:43" x14ac:dyDescent="0.2">
      <c r="AQ53605" s="31"/>
    </row>
    <row r="53606" spans="43:43" x14ac:dyDescent="0.2">
      <c r="AQ53606" s="31"/>
    </row>
    <row r="53607" spans="43:43" x14ac:dyDescent="0.2">
      <c r="AQ53607" s="31"/>
    </row>
    <row r="53608" spans="43:43" x14ac:dyDescent="0.2">
      <c r="AQ53608" s="31"/>
    </row>
    <row r="53609" spans="43:43" x14ac:dyDescent="0.2">
      <c r="AQ53609" s="31"/>
    </row>
    <row r="53610" spans="43:43" x14ac:dyDescent="0.2">
      <c r="AQ53610" s="31"/>
    </row>
    <row r="53611" spans="43:43" x14ac:dyDescent="0.2">
      <c r="AQ53611" s="31"/>
    </row>
    <row r="53612" spans="43:43" x14ac:dyDescent="0.2">
      <c r="AQ53612" s="31"/>
    </row>
    <row r="53613" spans="43:43" x14ac:dyDescent="0.2">
      <c r="AQ53613" s="31"/>
    </row>
    <row r="53614" spans="43:43" x14ac:dyDescent="0.2">
      <c r="AQ53614" s="31"/>
    </row>
    <row r="53615" spans="43:43" x14ac:dyDescent="0.2">
      <c r="AQ53615" s="31"/>
    </row>
    <row r="53616" spans="43:43" x14ac:dyDescent="0.2">
      <c r="AQ53616" s="31"/>
    </row>
    <row r="53617" spans="43:43" x14ac:dyDescent="0.2">
      <c r="AQ53617" s="31"/>
    </row>
    <row r="53618" spans="43:43" x14ac:dyDescent="0.2">
      <c r="AQ53618" s="31"/>
    </row>
    <row r="53619" spans="43:43" x14ac:dyDescent="0.2">
      <c r="AQ53619" s="31"/>
    </row>
    <row r="53620" spans="43:43" x14ac:dyDescent="0.2">
      <c r="AQ53620" s="31"/>
    </row>
    <row r="53621" spans="43:43" x14ac:dyDescent="0.2">
      <c r="AQ53621" s="31"/>
    </row>
    <row r="53622" spans="43:43" x14ac:dyDescent="0.2">
      <c r="AQ53622" s="31"/>
    </row>
    <row r="53623" spans="43:43" x14ac:dyDescent="0.2">
      <c r="AQ53623" s="31"/>
    </row>
    <row r="53624" spans="43:43" x14ac:dyDescent="0.2">
      <c r="AQ53624" s="31"/>
    </row>
    <row r="53625" spans="43:43" x14ac:dyDescent="0.2">
      <c r="AQ53625" s="31"/>
    </row>
    <row r="53626" spans="43:43" x14ac:dyDescent="0.2">
      <c r="AQ53626" s="31"/>
    </row>
    <row r="53627" spans="43:43" x14ac:dyDescent="0.2">
      <c r="AQ53627" s="31"/>
    </row>
    <row r="53628" spans="43:43" x14ac:dyDescent="0.2">
      <c r="AQ53628" s="31"/>
    </row>
    <row r="53629" spans="43:43" x14ac:dyDescent="0.2">
      <c r="AQ53629" s="31"/>
    </row>
    <row r="53630" spans="43:43" x14ac:dyDescent="0.2">
      <c r="AQ53630" s="31"/>
    </row>
    <row r="53631" spans="43:43" x14ac:dyDescent="0.2">
      <c r="AQ53631" s="31"/>
    </row>
    <row r="53632" spans="43:43" x14ac:dyDescent="0.2">
      <c r="AQ53632" s="31"/>
    </row>
    <row r="53633" spans="43:43" x14ac:dyDescent="0.2">
      <c r="AQ53633" s="31"/>
    </row>
    <row r="53634" spans="43:43" x14ac:dyDescent="0.2">
      <c r="AQ53634" s="31"/>
    </row>
    <row r="53635" spans="43:43" x14ac:dyDescent="0.2">
      <c r="AQ53635" s="31"/>
    </row>
    <row r="53636" spans="43:43" x14ac:dyDescent="0.2">
      <c r="AQ53636" s="31"/>
    </row>
    <row r="53637" spans="43:43" x14ac:dyDescent="0.2">
      <c r="AQ53637" s="31"/>
    </row>
    <row r="53638" spans="43:43" x14ac:dyDescent="0.2">
      <c r="AQ53638" s="31"/>
    </row>
    <row r="53639" spans="43:43" x14ac:dyDescent="0.2">
      <c r="AQ53639" s="31"/>
    </row>
    <row r="53640" spans="43:43" x14ac:dyDescent="0.2">
      <c r="AQ53640" s="31"/>
    </row>
    <row r="53641" spans="43:43" x14ac:dyDescent="0.2">
      <c r="AQ53641" s="31"/>
    </row>
    <row r="53642" spans="43:43" x14ac:dyDescent="0.2">
      <c r="AQ53642" s="31"/>
    </row>
    <row r="53643" spans="43:43" x14ac:dyDescent="0.2">
      <c r="AQ53643" s="31"/>
    </row>
    <row r="53644" spans="43:43" x14ac:dyDescent="0.2">
      <c r="AQ53644" s="31"/>
    </row>
    <row r="53645" spans="43:43" x14ac:dyDescent="0.2">
      <c r="AQ53645" s="31"/>
    </row>
    <row r="53646" spans="43:43" x14ac:dyDescent="0.2">
      <c r="AQ53646" s="31"/>
    </row>
    <row r="53647" spans="43:43" x14ac:dyDescent="0.2">
      <c r="AQ53647" s="31"/>
    </row>
    <row r="53648" spans="43:43" x14ac:dyDescent="0.2">
      <c r="AQ53648" s="31"/>
    </row>
    <row r="53649" spans="43:43" x14ac:dyDescent="0.2">
      <c r="AQ53649" s="31"/>
    </row>
    <row r="53650" spans="43:43" x14ac:dyDescent="0.2">
      <c r="AQ53650" s="31"/>
    </row>
    <row r="53651" spans="43:43" x14ac:dyDescent="0.2">
      <c r="AQ53651" s="31"/>
    </row>
    <row r="53652" spans="43:43" x14ac:dyDescent="0.2">
      <c r="AQ53652" s="31"/>
    </row>
    <row r="53653" spans="43:43" x14ac:dyDescent="0.2">
      <c r="AQ53653" s="31"/>
    </row>
    <row r="53654" spans="43:43" x14ac:dyDescent="0.2">
      <c r="AQ53654" s="31"/>
    </row>
    <row r="53655" spans="43:43" x14ac:dyDescent="0.2">
      <c r="AQ53655" s="31"/>
    </row>
    <row r="53656" spans="43:43" x14ac:dyDescent="0.2">
      <c r="AQ53656" s="31"/>
    </row>
    <row r="53657" spans="43:43" x14ac:dyDescent="0.2">
      <c r="AQ53657" s="31"/>
    </row>
    <row r="53658" spans="43:43" x14ac:dyDescent="0.2">
      <c r="AQ53658" s="31"/>
    </row>
    <row r="53659" spans="43:43" x14ac:dyDescent="0.2">
      <c r="AQ53659" s="31"/>
    </row>
    <row r="53660" spans="43:43" x14ac:dyDescent="0.2">
      <c r="AQ53660" s="31"/>
    </row>
    <row r="53661" spans="43:43" x14ac:dyDescent="0.2">
      <c r="AQ53661" s="31"/>
    </row>
    <row r="53662" spans="43:43" x14ac:dyDescent="0.2">
      <c r="AQ53662" s="31"/>
    </row>
    <row r="53663" spans="43:43" x14ac:dyDescent="0.2">
      <c r="AQ53663" s="31"/>
    </row>
    <row r="53664" spans="43:43" x14ac:dyDescent="0.2">
      <c r="AQ53664" s="31"/>
    </row>
    <row r="53665" spans="43:43" x14ac:dyDescent="0.2">
      <c r="AQ53665" s="31"/>
    </row>
    <row r="53666" spans="43:43" x14ac:dyDescent="0.2">
      <c r="AQ53666" s="31"/>
    </row>
    <row r="53667" spans="43:43" x14ac:dyDescent="0.2">
      <c r="AQ53667" s="31"/>
    </row>
    <row r="53668" spans="43:43" x14ac:dyDescent="0.2">
      <c r="AQ53668" s="31"/>
    </row>
    <row r="53669" spans="43:43" x14ac:dyDescent="0.2">
      <c r="AQ53669" s="31"/>
    </row>
    <row r="53670" spans="43:43" x14ac:dyDescent="0.2">
      <c r="AQ53670" s="31"/>
    </row>
    <row r="53671" spans="43:43" x14ac:dyDescent="0.2">
      <c r="AQ53671" s="31"/>
    </row>
    <row r="53672" spans="43:43" x14ac:dyDescent="0.2">
      <c r="AQ53672" s="31"/>
    </row>
    <row r="53673" spans="43:43" x14ac:dyDescent="0.2">
      <c r="AQ53673" s="31"/>
    </row>
    <row r="53674" spans="43:43" x14ac:dyDescent="0.2">
      <c r="AQ53674" s="31"/>
    </row>
    <row r="53675" spans="43:43" x14ac:dyDescent="0.2">
      <c r="AQ53675" s="31"/>
    </row>
    <row r="53676" spans="43:43" x14ac:dyDescent="0.2">
      <c r="AQ53676" s="31"/>
    </row>
    <row r="53677" spans="43:43" x14ac:dyDescent="0.2">
      <c r="AQ53677" s="31"/>
    </row>
    <row r="53678" spans="43:43" x14ac:dyDescent="0.2">
      <c r="AQ53678" s="31"/>
    </row>
    <row r="53679" spans="43:43" x14ac:dyDescent="0.2">
      <c r="AQ53679" s="31"/>
    </row>
    <row r="53680" spans="43:43" x14ac:dyDescent="0.2">
      <c r="AQ53680" s="31"/>
    </row>
    <row r="53681" spans="43:43" x14ac:dyDescent="0.2">
      <c r="AQ53681" s="31"/>
    </row>
    <row r="53682" spans="43:43" x14ac:dyDescent="0.2">
      <c r="AQ53682" s="31"/>
    </row>
    <row r="53683" spans="43:43" x14ac:dyDescent="0.2">
      <c r="AQ53683" s="31"/>
    </row>
    <row r="53684" spans="43:43" x14ac:dyDescent="0.2">
      <c r="AQ53684" s="31"/>
    </row>
    <row r="53685" spans="43:43" x14ac:dyDescent="0.2">
      <c r="AQ53685" s="31"/>
    </row>
    <row r="53686" spans="43:43" x14ac:dyDescent="0.2">
      <c r="AQ53686" s="31"/>
    </row>
    <row r="53687" spans="43:43" x14ac:dyDescent="0.2">
      <c r="AQ53687" s="31"/>
    </row>
    <row r="53688" spans="43:43" x14ac:dyDescent="0.2">
      <c r="AQ53688" s="31"/>
    </row>
    <row r="53689" spans="43:43" x14ac:dyDescent="0.2">
      <c r="AQ53689" s="31"/>
    </row>
    <row r="53690" spans="43:43" x14ac:dyDescent="0.2">
      <c r="AQ53690" s="31"/>
    </row>
    <row r="53691" spans="43:43" x14ac:dyDescent="0.2">
      <c r="AQ53691" s="31"/>
    </row>
    <row r="53692" spans="43:43" x14ac:dyDescent="0.2">
      <c r="AQ53692" s="31"/>
    </row>
    <row r="53693" spans="43:43" x14ac:dyDescent="0.2">
      <c r="AQ53693" s="31"/>
    </row>
    <row r="53694" spans="43:43" x14ac:dyDescent="0.2">
      <c r="AQ53694" s="31"/>
    </row>
    <row r="53695" spans="43:43" x14ac:dyDescent="0.2">
      <c r="AQ53695" s="31"/>
    </row>
    <row r="53696" spans="43:43" x14ac:dyDescent="0.2">
      <c r="AQ53696" s="31"/>
    </row>
    <row r="53697" spans="43:43" x14ac:dyDescent="0.2">
      <c r="AQ53697" s="31"/>
    </row>
    <row r="53698" spans="43:43" x14ac:dyDescent="0.2">
      <c r="AQ53698" s="31"/>
    </row>
    <row r="53699" spans="43:43" x14ac:dyDescent="0.2">
      <c r="AQ53699" s="31"/>
    </row>
    <row r="53700" spans="43:43" x14ac:dyDescent="0.2">
      <c r="AQ53700" s="31"/>
    </row>
    <row r="53701" spans="43:43" x14ac:dyDescent="0.2">
      <c r="AQ53701" s="31"/>
    </row>
    <row r="53702" spans="43:43" x14ac:dyDescent="0.2">
      <c r="AQ53702" s="31"/>
    </row>
    <row r="53703" spans="43:43" x14ac:dyDescent="0.2">
      <c r="AQ53703" s="31"/>
    </row>
    <row r="53704" spans="43:43" x14ac:dyDescent="0.2">
      <c r="AQ53704" s="31"/>
    </row>
    <row r="53705" spans="43:43" x14ac:dyDescent="0.2">
      <c r="AQ53705" s="31"/>
    </row>
    <row r="53706" spans="43:43" x14ac:dyDescent="0.2">
      <c r="AQ53706" s="31"/>
    </row>
    <row r="53707" spans="43:43" x14ac:dyDescent="0.2">
      <c r="AQ53707" s="31"/>
    </row>
    <row r="53708" spans="43:43" x14ac:dyDescent="0.2">
      <c r="AQ53708" s="31"/>
    </row>
    <row r="53709" spans="43:43" x14ac:dyDescent="0.2">
      <c r="AQ53709" s="31"/>
    </row>
    <row r="53710" spans="43:43" x14ac:dyDescent="0.2">
      <c r="AQ53710" s="31"/>
    </row>
    <row r="53711" spans="43:43" x14ac:dyDescent="0.2">
      <c r="AQ53711" s="31"/>
    </row>
    <row r="53712" spans="43:43" x14ac:dyDescent="0.2">
      <c r="AQ53712" s="31"/>
    </row>
    <row r="53713" spans="43:43" x14ac:dyDescent="0.2">
      <c r="AQ53713" s="31"/>
    </row>
    <row r="53714" spans="43:43" x14ac:dyDescent="0.2">
      <c r="AQ53714" s="31"/>
    </row>
    <row r="53715" spans="43:43" x14ac:dyDescent="0.2">
      <c r="AQ53715" s="31"/>
    </row>
    <row r="53716" spans="43:43" x14ac:dyDescent="0.2">
      <c r="AQ53716" s="31"/>
    </row>
    <row r="53717" spans="43:43" x14ac:dyDescent="0.2">
      <c r="AQ53717" s="31"/>
    </row>
    <row r="53718" spans="43:43" x14ac:dyDescent="0.2">
      <c r="AQ53718" s="31"/>
    </row>
    <row r="53719" spans="43:43" x14ac:dyDescent="0.2">
      <c r="AQ53719" s="31"/>
    </row>
    <row r="53720" spans="43:43" x14ac:dyDescent="0.2">
      <c r="AQ53720" s="31"/>
    </row>
    <row r="53721" spans="43:43" x14ac:dyDescent="0.2">
      <c r="AQ53721" s="31"/>
    </row>
    <row r="53722" spans="43:43" x14ac:dyDescent="0.2">
      <c r="AQ53722" s="31"/>
    </row>
    <row r="53723" spans="43:43" x14ac:dyDescent="0.2">
      <c r="AQ53723" s="31"/>
    </row>
    <row r="53724" spans="43:43" x14ac:dyDescent="0.2">
      <c r="AQ53724" s="31"/>
    </row>
    <row r="53725" spans="43:43" x14ac:dyDescent="0.2">
      <c r="AQ53725" s="31"/>
    </row>
    <row r="53726" spans="43:43" x14ac:dyDescent="0.2">
      <c r="AQ53726" s="31"/>
    </row>
    <row r="53727" spans="43:43" x14ac:dyDescent="0.2">
      <c r="AQ53727" s="31"/>
    </row>
    <row r="53728" spans="43:43" x14ac:dyDescent="0.2">
      <c r="AQ53728" s="31"/>
    </row>
    <row r="53729" spans="43:43" x14ac:dyDescent="0.2">
      <c r="AQ53729" s="31"/>
    </row>
    <row r="53730" spans="43:43" x14ac:dyDescent="0.2">
      <c r="AQ53730" s="31"/>
    </row>
    <row r="53731" spans="43:43" x14ac:dyDescent="0.2">
      <c r="AQ53731" s="31"/>
    </row>
    <row r="53732" spans="43:43" x14ac:dyDescent="0.2">
      <c r="AQ53732" s="31"/>
    </row>
    <row r="53733" spans="43:43" x14ac:dyDescent="0.2">
      <c r="AQ53733" s="31"/>
    </row>
    <row r="53734" spans="43:43" x14ac:dyDescent="0.2">
      <c r="AQ53734" s="31"/>
    </row>
    <row r="53735" spans="43:43" x14ac:dyDescent="0.2">
      <c r="AQ53735" s="31"/>
    </row>
    <row r="53736" spans="43:43" x14ac:dyDescent="0.2">
      <c r="AQ53736" s="31"/>
    </row>
    <row r="53737" spans="43:43" x14ac:dyDescent="0.2">
      <c r="AQ53737" s="31"/>
    </row>
    <row r="53738" spans="43:43" x14ac:dyDescent="0.2">
      <c r="AQ53738" s="31"/>
    </row>
    <row r="53739" spans="43:43" x14ac:dyDescent="0.2">
      <c r="AQ53739" s="31"/>
    </row>
    <row r="53740" spans="43:43" x14ac:dyDescent="0.2">
      <c r="AQ53740" s="31"/>
    </row>
    <row r="53741" spans="43:43" x14ac:dyDescent="0.2">
      <c r="AQ53741" s="31"/>
    </row>
    <row r="53742" spans="43:43" x14ac:dyDescent="0.2">
      <c r="AQ53742" s="31"/>
    </row>
    <row r="53743" spans="43:43" x14ac:dyDescent="0.2">
      <c r="AQ53743" s="31"/>
    </row>
    <row r="53744" spans="43:43" x14ac:dyDescent="0.2">
      <c r="AQ53744" s="31"/>
    </row>
    <row r="53745" spans="43:43" x14ac:dyDescent="0.2">
      <c r="AQ53745" s="31"/>
    </row>
    <row r="53746" spans="43:43" x14ac:dyDescent="0.2">
      <c r="AQ53746" s="31"/>
    </row>
    <row r="53747" spans="43:43" x14ac:dyDescent="0.2">
      <c r="AQ53747" s="31"/>
    </row>
    <row r="53748" spans="43:43" x14ac:dyDescent="0.2">
      <c r="AQ53748" s="31"/>
    </row>
    <row r="53749" spans="43:43" x14ac:dyDescent="0.2">
      <c r="AQ53749" s="31"/>
    </row>
    <row r="53750" spans="43:43" x14ac:dyDescent="0.2">
      <c r="AQ53750" s="31"/>
    </row>
    <row r="53751" spans="43:43" x14ac:dyDescent="0.2">
      <c r="AQ53751" s="31"/>
    </row>
    <row r="53752" spans="43:43" x14ac:dyDescent="0.2">
      <c r="AQ53752" s="31"/>
    </row>
    <row r="53753" spans="43:43" x14ac:dyDescent="0.2">
      <c r="AQ53753" s="31"/>
    </row>
    <row r="53754" spans="43:43" x14ac:dyDescent="0.2">
      <c r="AQ53754" s="31"/>
    </row>
    <row r="53755" spans="43:43" x14ac:dyDescent="0.2">
      <c r="AQ53755" s="31"/>
    </row>
    <row r="53756" spans="43:43" x14ac:dyDescent="0.2">
      <c r="AQ53756" s="31"/>
    </row>
    <row r="53757" spans="43:43" x14ac:dyDescent="0.2">
      <c r="AQ53757" s="31"/>
    </row>
    <row r="53758" spans="43:43" x14ac:dyDescent="0.2">
      <c r="AQ53758" s="31"/>
    </row>
    <row r="53759" spans="43:43" x14ac:dyDescent="0.2">
      <c r="AQ53759" s="31"/>
    </row>
    <row r="53760" spans="43:43" x14ac:dyDescent="0.2">
      <c r="AQ53760" s="31"/>
    </row>
    <row r="53761" spans="43:43" x14ac:dyDescent="0.2">
      <c r="AQ53761" s="31"/>
    </row>
    <row r="53762" spans="43:43" x14ac:dyDescent="0.2">
      <c r="AQ53762" s="31"/>
    </row>
    <row r="53763" spans="43:43" x14ac:dyDescent="0.2">
      <c r="AQ53763" s="31"/>
    </row>
    <row r="53764" spans="43:43" x14ac:dyDescent="0.2">
      <c r="AQ53764" s="31"/>
    </row>
    <row r="53765" spans="43:43" x14ac:dyDescent="0.2">
      <c r="AQ53765" s="31"/>
    </row>
    <row r="53766" spans="43:43" x14ac:dyDescent="0.2">
      <c r="AQ53766" s="31"/>
    </row>
    <row r="53767" spans="43:43" x14ac:dyDescent="0.2">
      <c r="AQ53767" s="31"/>
    </row>
    <row r="53768" spans="43:43" x14ac:dyDescent="0.2">
      <c r="AQ53768" s="31"/>
    </row>
    <row r="53769" spans="43:43" x14ac:dyDescent="0.2">
      <c r="AQ53769" s="31"/>
    </row>
    <row r="53770" spans="43:43" x14ac:dyDescent="0.2">
      <c r="AQ53770" s="31"/>
    </row>
    <row r="53771" spans="43:43" x14ac:dyDescent="0.2">
      <c r="AQ53771" s="31"/>
    </row>
    <row r="53772" spans="43:43" x14ac:dyDescent="0.2">
      <c r="AQ53772" s="31"/>
    </row>
    <row r="53773" spans="43:43" x14ac:dyDescent="0.2">
      <c r="AQ53773" s="31"/>
    </row>
    <row r="53774" spans="43:43" x14ac:dyDescent="0.2">
      <c r="AQ53774" s="31"/>
    </row>
    <row r="53775" spans="43:43" x14ac:dyDescent="0.2">
      <c r="AQ53775" s="31"/>
    </row>
    <row r="53776" spans="43:43" x14ac:dyDescent="0.2">
      <c r="AQ53776" s="31"/>
    </row>
    <row r="53777" spans="43:43" x14ac:dyDescent="0.2">
      <c r="AQ53777" s="31"/>
    </row>
    <row r="53778" spans="43:43" x14ac:dyDescent="0.2">
      <c r="AQ53778" s="31"/>
    </row>
    <row r="53779" spans="43:43" x14ac:dyDescent="0.2">
      <c r="AQ53779" s="31"/>
    </row>
    <row r="53780" spans="43:43" x14ac:dyDescent="0.2">
      <c r="AQ53780" s="31"/>
    </row>
    <row r="53781" spans="43:43" x14ac:dyDescent="0.2">
      <c r="AQ53781" s="31"/>
    </row>
    <row r="53782" spans="43:43" x14ac:dyDescent="0.2">
      <c r="AQ53782" s="31"/>
    </row>
    <row r="53783" spans="43:43" x14ac:dyDescent="0.2">
      <c r="AQ53783" s="31"/>
    </row>
    <row r="53784" spans="43:43" x14ac:dyDescent="0.2">
      <c r="AQ53784" s="31"/>
    </row>
    <row r="53785" spans="43:43" x14ac:dyDescent="0.2">
      <c r="AQ53785" s="31"/>
    </row>
    <row r="53786" spans="43:43" x14ac:dyDescent="0.2">
      <c r="AQ53786" s="31"/>
    </row>
    <row r="53787" spans="43:43" x14ac:dyDescent="0.2">
      <c r="AQ53787" s="31"/>
    </row>
    <row r="53788" spans="43:43" x14ac:dyDescent="0.2">
      <c r="AQ53788" s="31"/>
    </row>
    <row r="53789" spans="43:43" x14ac:dyDescent="0.2">
      <c r="AQ53789" s="31"/>
    </row>
    <row r="53790" spans="43:43" x14ac:dyDescent="0.2">
      <c r="AQ53790" s="31"/>
    </row>
    <row r="53791" spans="43:43" x14ac:dyDescent="0.2">
      <c r="AQ53791" s="31"/>
    </row>
    <row r="53792" spans="43:43" x14ac:dyDescent="0.2">
      <c r="AQ53792" s="31"/>
    </row>
    <row r="53793" spans="43:43" x14ac:dyDescent="0.2">
      <c r="AQ53793" s="31"/>
    </row>
    <row r="53794" spans="43:43" x14ac:dyDescent="0.2">
      <c r="AQ53794" s="31"/>
    </row>
    <row r="53795" spans="43:43" x14ac:dyDescent="0.2">
      <c r="AQ53795" s="31"/>
    </row>
    <row r="53796" spans="43:43" x14ac:dyDescent="0.2">
      <c r="AQ53796" s="31"/>
    </row>
    <row r="53797" spans="43:43" x14ac:dyDescent="0.2">
      <c r="AQ53797" s="31"/>
    </row>
    <row r="53798" spans="43:43" x14ac:dyDescent="0.2">
      <c r="AQ53798" s="31"/>
    </row>
    <row r="53799" spans="43:43" x14ac:dyDescent="0.2">
      <c r="AQ53799" s="31"/>
    </row>
    <row r="53800" spans="43:43" x14ac:dyDescent="0.2">
      <c r="AQ53800" s="31"/>
    </row>
    <row r="53801" spans="43:43" x14ac:dyDescent="0.2">
      <c r="AQ53801" s="31"/>
    </row>
    <row r="53802" spans="43:43" x14ac:dyDescent="0.2">
      <c r="AQ53802" s="31"/>
    </row>
    <row r="53803" spans="43:43" x14ac:dyDescent="0.2">
      <c r="AQ53803" s="31"/>
    </row>
    <row r="53804" spans="43:43" x14ac:dyDescent="0.2">
      <c r="AQ53804" s="31"/>
    </row>
    <row r="53805" spans="43:43" x14ac:dyDescent="0.2">
      <c r="AQ53805" s="31"/>
    </row>
    <row r="53806" spans="43:43" x14ac:dyDescent="0.2">
      <c r="AQ53806" s="31"/>
    </row>
    <row r="53807" spans="43:43" x14ac:dyDescent="0.2">
      <c r="AQ53807" s="31"/>
    </row>
    <row r="53808" spans="43:43" x14ac:dyDescent="0.2">
      <c r="AQ53808" s="31"/>
    </row>
    <row r="53809" spans="43:43" x14ac:dyDescent="0.2">
      <c r="AQ53809" s="31"/>
    </row>
    <row r="53810" spans="43:43" x14ac:dyDescent="0.2">
      <c r="AQ53810" s="31"/>
    </row>
    <row r="53811" spans="43:43" x14ac:dyDescent="0.2">
      <c r="AQ53811" s="31"/>
    </row>
    <row r="53812" spans="43:43" x14ac:dyDescent="0.2">
      <c r="AQ53812" s="31"/>
    </row>
    <row r="53813" spans="43:43" x14ac:dyDescent="0.2">
      <c r="AQ53813" s="31"/>
    </row>
    <row r="53814" spans="43:43" x14ac:dyDescent="0.2">
      <c r="AQ53814" s="31"/>
    </row>
    <row r="53815" spans="43:43" x14ac:dyDescent="0.2">
      <c r="AQ53815" s="31"/>
    </row>
    <row r="53816" spans="43:43" x14ac:dyDescent="0.2">
      <c r="AQ53816" s="31"/>
    </row>
    <row r="53817" spans="43:43" x14ac:dyDescent="0.2">
      <c r="AQ53817" s="31"/>
    </row>
    <row r="53818" spans="43:43" x14ac:dyDescent="0.2">
      <c r="AQ53818" s="31"/>
    </row>
    <row r="53819" spans="43:43" x14ac:dyDescent="0.2">
      <c r="AQ53819" s="31"/>
    </row>
    <row r="53820" spans="43:43" x14ac:dyDescent="0.2">
      <c r="AQ53820" s="31"/>
    </row>
    <row r="53821" spans="43:43" x14ac:dyDescent="0.2">
      <c r="AQ53821" s="31"/>
    </row>
    <row r="53822" spans="43:43" x14ac:dyDescent="0.2">
      <c r="AQ53822" s="31"/>
    </row>
    <row r="53823" spans="43:43" x14ac:dyDescent="0.2">
      <c r="AQ53823" s="31"/>
    </row>
    <row r="53824" spans="43:43" x14ac:dyDescent="0.2">
      <c r="AQ53824" s="31"/>
    </row>
    <row r="53825" spans="43:43" x14ac:dyDescent="0.2">
      <c r="AQ53825" s="31"/>
    </row>
    <row r="53826" spans="43:43" x14ac:dyDescent="0.2">
      <c r="AQ53826" s="31"/>
    </row>
    <row r="53827" spans="43:43" x14ac:dyDescent="0.2">
      <c r="AQ53827" s="31"/>
    </row>
    <row r="53828" spans="43:43" x14ac:dyDescent="0.2">
      <c r="AQ53828" s="31"/>
    </row>
    <row r="53829" spans="43:43" x14ac:dyDescent="0.2">
      <c r="AQ53829" s="31"/>
    </row>
    <row r="53830" spans="43:43" x14ac:dyDescent="0.2">
      <c r="AQ53830" s="31"/>
    </row>
    <row r="53831" spans="43:43" x14ac:dyDescent="0.2">
      <c r="AQ53831" s="31"/>
    </row>
    <row r="53832" spans="43:43" x14ac:dyDescent="0.2">
      <c r="AQ53832" s="31"/>
    </row>
    <row r="53833" spans="43:43" x14ac:dyDescent="0.2">
      <c r="AQ53833" s="31"/>
    </row>
    <row r="53834" spans="43:43" x14ac:dyDescent="0.2">
      <c r="AQ53834" s="31"/>
    </row>
    <row r="53835" spans="43:43" x14ac:dyDescent="0.2">
      <c r="AQ53835" s="31"/>
    </row>
    <row r="53836" spans="43:43" x14ac:dyDescent="0.2">
      <c r="AQ53836" s="31"/>
    </row>
    <row r="53837" spans="43:43" x14ac:dyDescent="0.2">
      <c r="AQ53837" s="31"/>
    </row>
    <row r="53838" spans="43:43" x14ac:dyDescent="0.2">
      <c r="AQ53838" s="31"/>
    </row>
    <row r="53839" spans="43:43" x14ac:dyDescent="0.2">
      <c r="AQ53839" s="31"/>
    </row>
    <row r="53840" spans="43:43" x14ac:dyDescent="0.2">
      <c r="AQ53840" s="31"/>
    </row>
    <row r="53841" spans="43:43" x14ac:dyDescent="0.2">
      <c r="AQ53841" s="31"/>
    </row>
    <row r="53842" spans="43:43" x14ac:dyDescent="0.2">
      <c r="AQ53842" s="31"/>
    </row>
    <row r="53843" spans="43:43" x14ac:dyDescent="0.2">
      <c r="AQ53843" s="31"/>
    </row>
    <row r="53844" spans="43:43" x14ac:dyDescent="0.2">
      <c r="AQ53844" s="31"/>
    </row>
    <row r="53845" spans="43:43" x14ac:dyDescent="0.2">
      <c r="AQ53845" s="31"/>
    </row>
    <row r="53846" spans="43:43" x14ac:dyDescent="0.2">
      <c r="AQ53846" s="31"/>
    </row>
    <row r="53847" spans="43:43" x14ac:dyDescent="0.2">
      <c r="AQ53847" s="31"/>
    </row>
    <row r="53848" spans="43:43" x14ac:dyDescent="0.2">
      <c r="AQ53848" s="31"/>
    </row>
    <row r="53849" spans="43:43" x14ac:dyDescent="0.2">
      <c r="AQ53849" s="31"/>
    </row>
    <row r="53850" spans="43:43" x14ac:dyDescent="0.2">
      <c r="AQ53850" s="31"/>
    </row>
    <row r="53851" spans="43:43" x14ac:dyDescent="0.2">
      <c r="AQ53851" s="31"/>
    </row>
    <row r="53852" spans="43:43" x14ac:dyDescent="0.2">
      <c r="AQ53852" s="31"/>
    </row>
    <row r="53853" spans="43:43" x14ac:dyDescent="0.2">
      <c r="AQ53853" s="31"/>
    </row>
    <row r="53854" spans="43:43" x14ac:dyDescent="0.2">
      <c r="AQ53854" s="31"/>
    </row>
    <row r="53855" spans="43:43" x14ac:dyDescent="0.2">
      <c r="AQ53855" s="31"/>
    </row>
    <row r="53856" spans="43:43" x14ac:dyDescent="0.2">
      <c r="AQ53856" s="31"/>
    </row>
    <row r="53857" spans="43:43" x14ac:dyDescent="0.2">
      <c r="AQ53857" s="31"/>
    </row>
    <row r="53858" spans="43:43" x14ac:dyDescent="0.2">
      <c r="AQ53858" s="31"/>
    </row>
    <row r="53859" spans="43:43" x14ac:dyDescent="0.2">
      <c r="AQ53859" s="31"/>
    </row>
    <row r="53860" spans="43:43" x14ac:dyDescent="0.2">
      <c r="AQ53860" s="31"/>
    </row>
    <row r="53861" spans="43:43" x14ac:dyDescent="0.2">
      <c r="AQ53861" s="31"/>
    </row>
    <row r="53862" spans="43:43" x14ac:dyDescent="0.2">
      <c r="AQ53862" s="31"/>
    </row>
    <row r="53863" spans="43:43" x14ac:dyDescent="0.2">
      <c r="AQ53863" s="31"/>
    </row>
    <row r="53864" spans="43:43" x14ac:dyDescent="0.2">
      <c r="AQ53864" s="31"/>
    </row>
    <row r="53865" spans="43:43" x14ac:dyDescent="0.2">
      <c r="AQ53865" s="31"/>
    </row>
    <row r="53866" spans="43:43" x14ac:dyDescent="0.2">
      <c r="AQ53866" s="31"/>
    </row>
    <row r="53867" spans="43:43" x14ac:dyDescent="0.2">
      <c r="AQ53867" s="31"/>
    </row>
    <row r="53868" spans="43:43" x14ac:dyDescent="0.2">
      <c r="AQ53868" s="31"/>
    </row>
    <row r="53869" spans="43:43" x14ac:dyDescent="0.2">
      <c r="AQ53869" s="31"/>
    </row>
    <row r="53870" spans="43:43" x14ac:dyDescent="0.2">
      <c r="AQ53870" s="31"/>
    </row>
    <row r="53871" spans="43:43" x14ac:dyDescent="0.2">
      <c r="AQ53871" s="31"/>
    </row>
    <row r="53872" spans="43:43" x14ac:dyDescent="0.2">
      <c r="AQ53872" s="31"/>
    </row>
    <row r="53873" spans="43:43" x14ac:dyDescent="0.2">
      <c r="AQ53873" s="31"/>
    </row>
    <row r="53874" spans="43:43" x14ac:dyDescent="0.2">
      <c r="AQ53874" s="31"/>
    </row>
    <row r="53875" spans="43:43" x14ac:dyDescent="0.2">
      <c r="AQ53875" s="31"/>
    </row>
    <row r="53876" spans="43:43" x14ac:dyDescent="0.2">
      <c r="AQ53876" s="31"/>
    </row>
    <row r="53877" spans="43:43" x14ac:dyDescent="0.2">
      <c r="AQ53877" s="31"/>
    </row>
    <row r="53878" spans="43:43" x14ac:dyDescent="0.2">
      <c r="AQ53878" s="31"/>
    </row>
    <row r="53879" spans="43:43" x14ac:dyDescent="0.2">
      <c r="AQ53879" s="31"/>
    </row>
    <row r="53880" spans="43:43" x14ac:dyDescent="0.2">
      <c r="AQ53880" s="31"/>
    </row>
    <row r="53881" spans="43:43" x14ac:dyDescent="0.2">
      <c r="AQ53881" s="31"/>
    </row>
    <row r="53882" spans="43:43" x14ac:dyDescent="0.2">
      <c r="AQ53882" s="31"/>
    </row>
    <row r="53883" spans="43:43" x14ac:dyDescent="0.2">
      <c r="AQ53883" s="31"/>
    </row>
    <row r="53884" spans="43:43" x14ac:dyDescent="0.2">
      <c r="AQ53884" s="31"/>
    </row>
    <row r="53885" spans="43:43" x14ac:dyDescent="0.2">
      <c r="AQ53885" s="31"/>
    </row>
    <row r="53886" spans="43:43" x14ac:dyDescent="0.2">
      <c r="AQ53886" s="31"/>
    </row>
    <row r="53887" spans="43:43" x14ac:dyDescent="0.2">
      <c r="AQ53887" s="31"/>
    </row>
    <row r="53888" spans="43:43" x14ac:dyDescent="0.2">
      <c r="AQ53888" s="31"/>
    </row>
    <row r="53889" spans="43:43" x14ac:dyDescent="0.2">
      <c r="AQ53889" s="31"/>
    </row>
    <row r="53890" spans="43:43" x14ac:dyDescent="0.2">
      <c r="AQ53890" s="31"/>
    </row>
    <row r="53891" spans="43:43" x14ac:dyDescent="0.2">
      <c r="AQ53891" s="31"/>
    </row>
    <row r="53892" spans="43:43" x14ac:dyDescent="0.2">
      <c r="AQ53892" s="31"/>
    </row>
    <row r="53893" spans="43:43" x14ac:dyDescent="0.2">
      <c r="AQ53893" s="31"/>
    </row>
    <row r="53894" spans="43:43" x14ac:dyDescent="0.2">
      <c r="AQ53894" s="31"/>
    </row>
    <row r="53895" spans="43:43" x14ac:dyDescent="0.2">
      <c r="AQ53895" s="31"/>
    </row>
    <row r="53896" spans="43:43" x14ac:dyDescent="0.2">
      <c r="AQ53896" s="31"/>
    </row>
    <row r="53897" spans="43:43" x14ac:dyDescent="0.2">
      <c r="AQ53897" s="31"/>
    </row>
    <row r="53898" spans="43:43" x14ac:dyDescent="0.2">
      <c r="AQ53898" s="31"/>
    </row>
    <row r="53899" spans="43:43" x14ac:dyDescent="0.2">
      <c r="AQ53899" s="31"/>
    </row>
    <row r="53900" spans="43:43" x14ac:dyDescent="0.2">
      <c r="AQ53900" s="31"/>
    </row>
    <row r="53901" spans="43:43" x14ac:dyDescent="0.2">
      <c r="AQ53901" s="31"/>
    </row>
    <row r="53902" spans="43:43" x14ac:dyDescent="0.2">
      <c r="AQ53902" s="31"/>
    </row>
    <row r="53903" spans="43:43" x14ac:dyDescent="0.2">
      <c r="AQ53903" s="31"/>
    </row>
    <row r="53904" spans="43:43" x14ac:dyDescent="0.2">
      <c r="AQ53904" s="31"/>
    </row>
    <row r="53905" spans="43:43" x14ac:dyDescent="0.2">
      <c r="AQ53905" s="31"/>
    </row>
    <row r="53906" spans="43:43" x14ac:dyDescent="0.2">
      <c r="AQ53906" s="31"/>
    </row>
    <row r="53907" spans="43:43" x14ac:dyDescent="0.2">
      <c r="AQ53907" s="31"/>
    </row>
    <row r="53908" spans="43:43" x14ac:dyDescent="0.2">
      <c r="AQ53908" s="31"/>
    </row>
    <row r="53909" spans="43:43" x14ac:dyDescent="0.2">
      <c r="AQ53909" s="31"/>
    </row>
    <row r="53910" spans="43:43" x14ac:dyDescent="0.2">
      <c r="AQ53910" s="31"/>
    </row>
    <row r="53911" spans="43:43" x14ac:dyDescent="0.2">
      <c r="AQ53911" s="31"/>
    </row>
    <row r="53912" spans="43:43" x14ac:dyDescent="0.2">
      <c r="AQ53912" s="31"/>
    </row>
    <row r="53913" spans="43:43" x14ac:dyDescent="0.2">
      <c r="AQ53913" s="31"/>
    </row>
    <row r="53914" spans="43:43" x14ac:dyDescent="0.2">
      <c r="AQ53914" s="31"/>
    </row>
    <row r="53915" spans="43:43" x14ac:dyDescent="0.2">
      <c r="AQ53915" s="31"/>
    </row>
    <row r="53916" spans="43:43" x14ac:dyDescent="0.2">
      <c r="AQ53916" s="31"/>
    </row>
    <row r="53917" spans="43:43" x14ac:dyDescent="0.2">
      <c r="AQ53917" s="31"/>
    </row>
    <row r="53918" spans="43:43" x14ac:dyDescent="0.2">
      <c r="AQ53918" s="31"/>
    </row>
    <row r="53919" spans="43:43" x14ac:dyDescent="0.2">
      <c r="AQ53919" s="31"/>
    </row>
    <row r="53920" spans="43:43" x14ac:dyDescent="0.2">
      <c r="AQ53920" s="31"/>
    </row>
    <row r="53921" spans="43:43" x14ac:dyDescent="0.2">
      <c r="AQ53921" s="31"/>
    </row>
    <row r="53922" spans="43:43" x14ac:dyDescent="0.2">
      <c r="AQ53922" s="31"/>
    </row>
    <row r="53923" spans="43:43" x14ac:dyDescent="0.2">
      <c r="AQ53923" s="31"/>
    </row>
    <row r="53924" spans="43:43" x14ac:dyDescent="0.2">
      <c r="AQ53924" s="31"/>
    </row>
    <row r="53925" spans="43:43" x14ac:dyDescent="0.2">
      <c r="AQ53925" s="31"/>
    </row>
    <row r="53926" spans="43:43" x14ac:dyDescent="0.2">
      <c r="AQ53926" s="31"/>
    </row>
    <row r="53927" spans="43:43" x14ac:dyDescent="0.2">
      <c r="AQ53927" s="31"/>
    </row>
    <row r="53928" spans="43:43" x14ac:dyDescent="0.2">
      <c r="AQ53928" s="31"/>
    </row>
    <row r="53929" spans="43:43" x14ac:dyDescent="0.2">
      <c r="AQ53929" s="31"/>
    </row>
    <row r="53930" spans="43:43" x14ac:dyDescent="0.2">
      <c r="AQ53930" s="31"/>
    </row>
    <row r="53931" spans="43:43" x14ac:dyDescent="0.2">
      <c r="AQ53931" s="31"/>
    </row>
    <row r="53932" spans="43:43" x14ac:dyDescent="0.2">
      <c r="AQ53932" s="31"/>
    </row>
    <row r="53933" spans="43:43" x14ac:dyDescent="0.2">
      <c r="AQ53933" s="31"/>
    </row>
    <row r="53934" spans="43:43" x14ac:dyDescent="0.2">
      <c r="AQ53934" s="31"/>
    </row>
    <row r="53935" spans="43:43" x14ac:dyDescent="0.2">
      <c r="AQ53935" s="31"/>
    </row>
    <row r="53936" spans="43:43" x14ac:dyDescent="0.2">
      <c r="AQ53936" s="31"/>
    </row>
    <row r="53937" spans="43:43" x14ac:dyDescent="0.2">
      <c r="AQ53937" s="31"/>
    </row>
    <row r="53938" spans="43:43" x14ac:dyDescent="0.2">
      <c r="AQ53938" s="31"/>
    </row>
    <row r="53939" spans="43:43" x14ac:dyDescent="0.2">
      <c r="AQ53939" s="31"/>
    </row>
    <row r="53940" spans="43:43" x14ac:dyDescent="0.2">
      <c r="AQ53940" s="31"/>
    </row>
    <row r="53941" spans="43:43" x14ac:dyDescent="0.2">
      <c r="AQ53941" s="31"/>
    </row>
    <row r="53942" spans="43:43" x14ac:dyDescent="0.2">
      <c r="AQ53942" s="31"/>
    </row>
    <row r="53943" spans="43:43" x14ac:dyDescent="0.2">
      <c r="AQ53943" s="31"/>
    </row>
    <row r="53944" spans="43:43" x14ac:dyDescent="0.2">
      <c r="AQ53944" s="31"/>
    </row>
    <row r="53945" spans="43:43" x14ac:dyDescent="0.2">
      <c r="AQ53945" s="31"/>
    </row>
    <row r="53946" spans="43:43" x14ac:dyDescent="0.2">
      <c r="AQ53946" s="31"/>
    </row>
    <row r="53947" spans="43:43" x14ac:dyDescent="0.2">
      <c r="AQ53947" s="31"/>
    </row>
    <row r="53948" spans="43:43" x14ac:dyDescent="0.2">
      <c r="AQ53948" s="31"/>
    </row>
    <row r="53949" spans="43:43" x14ac:dyDescent="0.2">
      <c r="AQ53949" s="31"/>
    </row>
    <row r="53950" spans="43:43" x14ac:dyDescent="0.2">
      <c r="AQ53950" s="31"/>
    </row>
    <row r="53951" spans="43:43" x14ac:dyDescent="0.2">
      <c r="AQ53951" s="31"/>
    </row>
    <row r="53952" spans="43:43" x14ac:dyDescent="0.2">
      <c r="AQ53952" s="31"/>
    </row>
    <row r="53953" spans="43:43" x14ac:dyDescent="0.2">
      <c r="AQ53953" s="31"/>
    </row>
    <row r="53954" spans="43:43" x14ac:dyDescent="0.2">
      <c r="AQ53954" s="31"/>
    </row>
    <row r="53955" spans="43:43" x14ac:dyDescent="0.2">
      <c r="AQ53955" s="31"/>
    </row>
    <row r="53956" spans="43:43" x14ac:dyDescent="0.2">
      <c r="AQ53956" s="31"/>
    </row>
    <row r="53957" spans="43:43" x14ac:dyDescent="0.2">
      <c r="AQ53957" s="31"/>
    </row>
    <row r="53958" spans="43:43" x14ac:dyDescent="0.2">
      <c r="AQ53958" s="31"/>
    </row>
    <row r="53959" spans="43:43" x14ac:dyDescent="0.2">
      <c r="AQ53959" s="31"/>
    </row>
    <row r="53960" spans="43:43" x14ac:dyDescent="0.2">
      <c r="AQ53960" s="31"/>
    </row>
    <row r="53961" spans="43:43" x14ac:dyDescent="0.2">
      <c r="AQ53961" s="31"/>
    </row>
    <row r="53962" spans="43:43" x14ac:dyDescent="0.2">
      <c r="AQ53962" s="31"/>
    </row>
    <row r="53963" spans="43:43" x14ac:dyDescent="0.2">
      <c r="AQ53963" s="31"/>
    </row>
    <row r="53964" spans="43:43" x14ac:dyDescent="0.2">
      <c r="AQ53964" s="31"/>
    </row>
    <row r="53965" spans="43:43" x14ac:dyDescent="0.2">
      <c r="AQ53965" s="31"/>
    </row>
    <row r="53966" spans="43:43" x14ac:dyDescent="0.2">
      <c r="AQ53966" s="31"/>
    </row>
    <row r="53967" spans="43:43" x14ac:dyDescent="0.2">
      <c r="AQ53967" s="31"/>
    </row>
    <row r="53968" spans="43:43" x14ac:dyDescent="0.2">
      <c r="AQ53968" s="31"/>
    </row>
    <row r="53969" spans="43:43" x14ac:dyDescent="0.2">
      <c r="AQ53969" s="31"/>
    </row>
    <row r="53970" spans="43:43" x14ac:dyDescent="0.2">
      <c r="AQ53970" s="31"/>
    </row>
    <row r="53971" spans="43:43" x14ac:dyDescent="0.2">
      <c r="AQ53971" s="31"/>
    </row>
    <row r="53972" spans="43:43" x14ac:dyDescent="0.2">
      <c r="AQ53972" s="31"/>
    </row>
    <row r="53973" spans="43:43" x14ac:dyDescent="0.2">
      <c r="AQ53973" s="31"/>
    </row>
    <row r="53974" spans="43:43" x14ac:dyDescent="0.2">
      <c r="AQ53974" s="31"/>
    </row>
    <row r="53975" spans="43:43" x14ac:dyDescent="0.2">
      <c r="AQ53975" s="31"/>
    </row>
    <row r="53976" spans="43:43" x14ac:dyDescent="0.2">
      <c r="AQ53976" s="31"/>
    </row>
    <row r="53977" spans="43:43" x14ac:dyDescent="0.2">
      <c r="AQ53977" s="31"/>
    </row>
    <row r="53978" spans="43:43" x14ac:dyDescent="0.2">
      <c r="AQ53978" s="31"/>
    </row>
    <row r="53979" spans="43:43" x14ac:dyDescent="0.2">
      <c r="AQ53979" s="31"/>
    </row>
    <row r="53980" spans="43:43" x14ac:dyDescent="0.2">
      <c r="AQ53980" s="31"/>
    </row>
    <row r="53981" spans="43:43" x14ac:dyDescent="0.2">
      <c r="AQ53981" s="31"/>
    </row>
    <row r="53982" spans="43:43" x14ac:dyDescent="0.2">
      <c r="AQ53982" s="31"/>
    </row>
    <row r="53983" spans="43:43" x14ac:dyDescent="0.2">
      <c r="AQ53983" s="31"/>
    </row>
    <row r="53984" spans="43:43" x14ac:dyDescent="0.2">
      <c r="AQ53984" s="31"/>
    </row>
    <row r="53985" spans="43:43" x14ac:dyDescent="0.2">
      <c r="AQ53985" s="31"/>
    </row>
    <row r="53986" spans="43:43" x14ac:dyDescent="0.2">
      <c r="AQ53986" s="31"/>
    </row>
    <row r="53987" spans="43:43" x14ac:dyDescent="0.2">
      <c r="AQ53987" s="31"/>
    </row>
    <row r="53988" spans="43:43" x14ac:dyDescent="0.2">
      <c r="AQ53988" s="31"/>
    </row>
    <row r="53989" spans="43:43" x14ac:dyDescent="0.2">
      <c r="AQ53989" s="31"/>
    </row>
    <row r="53990" spans="43:43" x14ac:dyDescent="0.2">
      <c r="AQ53990" s="31"/>
    </row>
    <row r="53991" spans="43:43" x14ac:dyDescent="0.2">
      <c r="AQ53991" s="31"/>
    </row>
    <row r="53992" spans="43:43" x14ac:dyDescent="0.2">
      <c r="AQ53992" s="31"/>
    </row>
    <row r="53993" spans="43:43" x14ac:dyDescent="0.2">
      <c r="AQ53993" s="31"/>
    </row>
    <row r="53994" spans="43:43" x14ac:dyDescent="0.2">
      <c r="AQ53994" s="31"/>
    </row>
    <row r="53995" spans="43:43" x14ac:dyDescent="0.2">
      <c r="AQ53995" s="31"/>
    </row>
    <row r="53996" spans="43:43" x14ac:dyDescent="0.2">
      <c r="AQ53996" s="31"/>
    </row>
    <row r="53997" spans="43:43" x14ac:dyDescent="0.2">
      <c r="AQ53997" s="31"/>
    </row>
    <row r="53998" spans="43:43" x14ac:dyDescent="0.2">
      <c r="AQ53998" s="31"/>
    </row>
    <row r="53999" spans="43:43" x14ac:dyDescent="0.2">
      <c r="AQ53999" s="31"/>
    </row>
    <row r="54000" spans="43:43" x14ac:dyDescent="0.2">
      <c r="AQ54000" s="31"/>
    </row>
    <row r="54001" spans="43:43" x14ac:dyDescent="0.2">
      <c r="AQ54001" s="31"/>
    </row>
    <row r="54002" spans="43:43" x14ac:dyDescent="0.2">
      <c r="AQ54002" s="31"/>
    </row>
    <row r="54003" spans="43:43" x14ac:dyDescent="0.2">
      <c r="AQ54003" s="31"/>
    </row>
    <row r="54004" spans="43:43" x14ac:dyDescent="0.2">
      <c r="AQ54004" s="31"/>
    </row>
    <row r="54005" spans="43:43" x14ac:dyDescent="0.2">
      <c r="AQ54005" s="31"/>
    </row>
    <row r="54006" spans="43:43" x14ac:dyDescent="0.2">
      <c r="AQ54006" s="31"/>
    </row>
    <row r="54007" spans="43:43" x14ac:dyDescent="0.2">
      <c r="AQ54007" s="31"/>
    </row>
    <row r="54008" spans="43:43" x14ac:dyDescent="0.2">
      <c r="AQ54008" s="31"/>
    </row>
    <row r="54009" spans="43:43" x14ac:dyDescent="0.2">
      <c r="AQ54009" s="31"/>
    </row>
    <row r="54010" spans="43:43" x14ac:dyDescent="0.2">
      <c r="AQ54010" s="31"/>
    </row>
    <row r="54011" spans="43:43" x14ac:dyDescent="0.2">
      <c r="AQ54011" s="31"/>
    </row>
    <row r="54012" spans="43:43" x14ac:dyDescent="0.2">
      <c r="AQ54012" s="31"/>
    </row>
    <row r="54013" spans="43:43" x14ac:dyDescent="0.2">
      <c r="AQ54013" s="31"/>
    </row>
    <row r="54014" spans="43:43" x14ac:dyDescent="0.2">
      <c r="AQ54014" s="31"/>
    </row>
    <row r="54015" spans="43:43" x14ac:dyDescent="0.2">
      <c r="AQ54015" s="31"/>
    </row>
    <row r="54016" spans="43:43" x14ac:dyDescent="0.2">
      <c r="AQ54016" s="31"/>
    </row>
    <row r="54017" spans="43:43" x14ac:dyDescent="0.2">
      <c r="AQ54017" s="31"/>
    </row>
    <row r="54018" spans="43:43" x14ac:dyDescent="0.2">
      <c r="AQ54018" s="31"/>
    </row>
    <row r="54019" spans="43:43" x14ac:dyDescent="0.2">
      <c r="AQ54019" s="31"/>
    </row>
    <row r="54020" spans="43:43" x14ac:dyDescent="0.2">
      <c r="AQ54020" s="31"/>
    </row>
    <row r="54021" spans="43:43" x14ac:dyDescent="0.2">
      <c r="AQ54021" s="31"/>
    </row>
    <row r="54022" spans="43:43" x14ac:dyDescent="0.2">
      <c r="AQ54022" s="31"/>
    </row>
    <row r="54023" spans="43:43" x14ac:dyDescent="0.2">
      <c r="AQ54023" s="31"/>
    </row>
    <row r="54024" spans="43:43" x14ac:dyDescent="0.2">
      <c r="AQ54024" s="31"/>
    </row>
    <row r="54025" spans="43:43" x14ac:dyDescent="0.2">
      <c r="AQ54025" s="31"/>
    </row>
    <row r="54026" spans="43:43" x14ac:dyDescent="0.2">
      <c r="AQ54026" s="31"/>
    </row>
    <row r="54027" spans="43:43" x14ac:dyDescent="0.2">
      <c r="AQ54027" s="31"/>
    </row>
    <row r="54028" spans="43:43" x14ac:dyDescent="0.2">
      <c r="AQ54028" s="31"/>
    </row>
    <row r="54029" spans="43:43" x14ac:dyDescent="0.2">
      <c r="AQ54029" s="31"/>
    </row>
    <row r="54030" spans="43:43" x14ac:dyDescent="0.2">
      <c r="AQ54030" s="31"/>
    </row>
    <row r="54031" spans="43:43" x14ac:dyDescent="0.2">
      <c r="AQ54031" s="31"/>
    </row>
    <row r="54032" spans="43:43" x14ac:dyDescent="0.2">
      <c r="AQ54032" s="31"/>
    </row>
    <row r="54033" spans="43:43" x14ac:dyDescent="0.2">
      <c r="AQ54033" s="31"/>
    </row>
    <row r="54034" spans="43:43" x14ac:dyDescent="0.2">
      <c r="AQ54034" s="31"/>
    </row>
    <row r="54035" spans="43:43" x14ac:dyDescent="0.2">
      <c r="AQ54035" s="31"/>
    </row>
    <row r="54036" spans="43:43" x14ac:dyDescent="0.2">
      <c r="AQ54036" s="31"/>
    </row>
    <row r="54037" spans="43:43" x14ac:dyDescent="0.2">
      <c r="AQ54037" s="31"/>
    </row>
    <row r="54038" spans="43:43" x14ac:dyDescent="0.2">
      <c r="AQ54038" s="31"/>
    </row>
    <row r="54039" spans="43:43" x14ac:dyDescent="0.2">
      <c r="AQ54039" s="31"/>
    </row>
    <row r="54040" spans="43:43" x14ac:dyDescent="0.2">
      <c r="AQ54040" s="31"/>
    </row>
    <row r="54041" spans="43:43" x14ac:dyDescent="0.2">
      <c r="AQ54041" s="31"/>
    </row>
    <row r="54042" spans="43:43" x14ac:dyDescent="0.2">
      <c r="AQ54042" s="31"/>
    </row>
    <row r="54043" spans="43:43" x14ac:dyDescent="0.2">
      <c r="AQ54043" s="31"/>
    </row>
    <row r="54044" spans="43:43" x14ac:dyDescent="0.2">
      <c r="AQ54044" s="31"/>
    </row>
    <row r="54045" spans="43:43" x14ac:dyDescent="0.2">
      <c r="AQ54045" s="31"/>
    </row>
    <row r="54046" spans="43:43" x14ac:dyDescent="0.2">
      <c r="AQ54046" s="31"/>
    </row>
    <row r="54047" spans="43:43" x14ac:dyDescent="0.2">
      <c r="AQ54047" s="31"/>
    </row>
    <row r="54048" spans="43:43" x14ac:dyDescent="0.2">
      <c r="AQ54048" s="31"/>
    </row>
    <row r="54049" spans="43:43" x14ac:dyDescent="0.2">
      <c r="AQ54049" s="31"/>
    </row>
    <row r="54050" spans="43:43" x14ac:dyDescent="0.2">
      <c r="AQ54050" s="31"/>
    </row>
    <row r="54051" spans="43:43" x14ac:dyDescent="0.2">
      <c r="AQ54051" s="31"/>
    </row>
    <row r="54052" spans="43:43" x14ac:dyDescent="0.2">
      <c r="AQ54052" s="31"/>
    </row>
    <row r="54053" spans="43:43" x14ac:dyDescent="0.2">
      <c r="AQ54053" s="31"/>
    </row>
    <row r="54054" spans="43:43" x14ac:dyDescent="0.2">
      <c r="AQ54054" s="31"/>
    </row>
    <row r="54055" spans="43:43" x14ac:dyDescent="0.2">
      <c r="AQ54055" s="31"/>
    </row>
    <row r="54056" spans="43:43" x14ac:dyDescent="0.2">
      <c r="AQ54056" s="31"/>
    </row>
    <row r="54057" spans="43:43" x14ac:dyDescent="0.2">
      <c r="AQ54057" s="31"/>
    </row>
    <row r="54058" spans="43:43" x14ac:dyDescent="0.2">
      <c r="AQ54058" s="31"/>
    </row>
    <row r="54059" spans="43:43" x14ac:dyDescent="0.2">
      <c r="AQ54059" s="31"/>
    </row>
    <row r="54060" spans="43:43" x14ac:dyDescent="0.2">
      <c r="AQ54060" s="31"/>
    </row>
    <row r="54061" spans="43:43" x14ac:dyDescent="0.2">
      <c r="AQ54061" s="31"/>
    </row>
    <row r="54062" spans="43:43" x14ac:dyDescent="0.2">
      <c r="AQ54062" s="31"/>
    </row>
    <row r="54063" spans="43:43" x14ac:dyDescent="0.2">
      <c r="AQ54063" s="31"/>
    </row>
    <row r="54064" spans="43:43" x14ac:dyDescent="0.2">
      <c r="AQ54064" s="31"/>
    </row>
    <row r="54065" spans="43:43" x14ac:dyDescent="0.2">
      <c r="AQ54065" s="31"/>
    </row>
    <row r="54066" spans="43:43" x14ac:dyDescent="0.2">
      <c r="AQ54066" s="31"/>
    </row>
    <row r="54067" spans="43:43" x14ac:dyDescent="0.2">
      <c r="AQ54067" s="31"/>
    </row>
    <row r="54068" spans="43:43" x14ac:dyDescent="0.2">
      <c r="AQ54068" s="31"/>
    </row>
    <row r="54069" spans="43:43" x14ac:dyDescent="0.2">
      <c r="AQ54069" s="31"/>
    </row>
    <row r="54070" spans="43:43" x14ac:dyDescent="0.2">
      <c r="AQ54070" s="31"/>
    </row>
    <row r="54071" spans="43:43" x14ac:dyDescent="0.2">
      <c r="AQ54071" s="31"/>
    </row>
    <row r="54072" spans="43:43" x14ac:dyDescent="0.2">
      <c r="AQ54072" s="31"/>
    </row>
    <row r="54073" spans="43:43" x14ac:dyDescent="0.2">
      <c r="AQ54073" s="31"/>
    </row>
    <row r="54074" spans="43:43" x14ac:dyDescent="0.2">
      <c r="AQ54074" s="31"/>
    </row>
    <row r="54075" spans="43:43" x14ac:dyDescent="0.2">
      <c r="AQ54075" s="31"/>
    </row>
    <row r="54076" spans="43:43" x14ac:dyDescent="0.2">
      <c r="AQ54076" s="31"/>
    </row>
    <row r="54077" spans="43:43" x14ac:dyDescent="0.2">
      <c r="AQ54077" s="31"/>
    </row>
    <row r="54078" spans="43:43" x14ac:dyDescent="0.2">
      <c r="AQ54078" s="31"/>
    </row>
    <row r="54079" spans="43:43" x14ac:dyDescent="0.2">
      <c r="AQ54079" s="31"/>
    </row>
    <row r="54080" spans="43:43" x14ac:dyDescent="0.2">
      <c r="AQ54080" s="31"/>
    </row>
    <row r="54081" spans="43:43" x14ac:dyDescent="0.2">
      <c r="AQ54081" s="31"/>
    </row>
    <row r="54082" spans="43:43" x14ac:dyDescent="0.2">
      <c r="AQ54082" s="31"/>
    </row>
    <row r="54083" spans="43:43" x14ac:dyDescent="0.2">
      <c r="AQ54083" s="31"/>
    </row>
    <row r="54084" spans="43:43" x14ac:dyDescent="0.2">
      <c r="AQ54084" s="31"/>
    </row>
    <row r="54085" spans="43:43" x14ac:dyDescent="0.2">
      <c r="AQ54085" s="31"/>
    </row>
    <row r="54086" spans="43:43" x14ac:dyDescent="0.2">
      <c r="AQ54086" s="31"/>
    </row>
    <row r="54087" spans="43:43" x14ac:dyDescent="0.2">
      <c r="AQ54087" s="31"/>
    </row>
    <row r="54088" spans="43:43" x14ac:dyDescent="0.2">
      <c r="AQ54088" s="31"/>
    </row>
    <row r="54089" spans="43:43" x14ac:dyDescent="0.2">
      <c r="AQ54089" s="31"/>
    </row>
    <row r="54090" spans="43:43" x14ac:dyDescent="0.2">
      <c r="AQ54090" s="31"/>
    </row>
    <row r="54091" spans="43:43" x14ac:dyDescent="0.2">
      <c r="AQ54091" s="31"/>
    </row>
    <row r="54092" spans="43:43" x14ac:dyDescent="0.2">
      <c r="AQ54092" s="31"/>
    </row>
    <row r="54093" spans="43:43" x14ac:dyDescent="0.2">
      <c r="AQ54093" s="31"/>
    </row>
    <row r="54094" spans="43:43" x14ac:dyDescent="0.2">
      <c r="AQ54094" s="31"/>
    </row>
    <row r="54095" spans="43:43" x14ac:dyDescent="0.2">
      <c r="AQ54095" s="31"/>
    </row>
    <row r="54096" spans="43:43" x14ac:dyDescent="0.2">
      <c r="AQ54096" s="31"/>
    </row>
    <row r="54097" spans="43:43" x14ac:dyDescent="0.2">
      <c r="AQ54097" s="31"/>
    </row>
    <row r="54098" spans="43:43" x14ac:dyDescent="0.2">
      <c r="AQ54098" s="31"/>
    </row>
    <row r="54099" spans="43:43" x14ac:dyDescent="0.2">
      <c r="AQ54099" s="31"/>
    </row>
    <row r="54100" spans="43:43" x14ac:dyDescent="0.2">
      <c r="AQ54100" s="31"/>
    </row>
    <row r="54101" spans="43:43" x14ac:dyDescent="0.2">
      <c r="AQ54101" s="31"/>
    </row>
    <row r="54102" spans="43:43" x14ac:dyDescent="0.2">
      <c r="AQ54102" s="31"/>
    </row>
    <row r="54103" spans="43:43" x14ac:dyDescent="0.2">
      <c r="AQ54103" s="31"/>
    </row>
    <row r="54104" spans="43:43" x14ac:dyDescent="0.2">
      <c r="AQ54104" s="31"/>
    </row>
    <row r="54105" spans="43:43" x14ac:dyDescent="0.2">
      <c r="AQ54105" s="31"/>
    </row>
    <row r="54106" spans="43:43" x14ac:dyDescent="0.2">
      <c r="AQ54106" s="31"/>
    </row>
    <row r="54107" spans="43:43" x14ac:dyDescent="0.2">
      <c r="AQ54107" s="31"/>
    </row>
    <row r="54108" spans="43:43" x14ac:dyDescent="0.2">
      <c r="AQ54108" s="31"/>
    </row>
    <row r="54109" spans="43:43" x14ac:dyDescent="0.2">
      <c r="AQ54109" s="31"/>
    </row>
    <row r="54110" spans="43:43" x14ac:dyDescent="0.2">
      <c r="AQ54110" s="31"/>
    </row>
    <row r="54111" spans="43:43" x14ac:dyDescent="0.2">
      <c r="AQ54111" s="31"/>
    </row>
    <row r="54112" spans="43:43" x14ac:dyDescent="0.2">
      <c r="AQ54112" s="31"/>
    </row>
    <row r="54113" spans="43:43" x14ac:dyDescent="0.2">
      <c r="AQ54113" s="31"/>
    </row>
    <row r="54114" spans="43:43" x14ac:dyDescent="0.2">
      <c r="AQ54114" s="31"/>
    </row>
    <row r="54115" spans="43:43" x14ac:dyDescent="0.2">
      <c r="AQ54115" s="31"/>
    </row>
    <row r="54116" spans="43:43" x14ac:dyDescent="0.2">
      <c r="AQ54116" s="31"/>
    </row>
    <row r="54117" spans="43:43" x14ac:dyDescent="0.2">
      <c r="AQ54117" s="31"/>
    </row>
    <row r="54118" spans="43:43" x14ac:dyDescent="0.2">
      <c r="AQ54118" s="31"/>
    </row>
    <row r="54119" spans="43:43" x14ac:dyDescent="0.2">
      <c r="AQ54119" s="31"/>
    </row>
    <row r="54120" spans="43:43" x14ac:dyDescent="0.2">
      <c r="AQ54120" s="31"/>
    </row>
    <row r="54121" spans="43:43" x14ac:dyDescent="0.2">
      <c r="AQ54121" s="31"/>
    </row>
    <row r="54122" spans="43:43" x14ac:dyDescent="0.2">
      <c r="AQ54122" s="31"/>
    </row>
    <row r="54123" spans="43:43" x14ac:dyDescent="0.2">
      <c r="AQ54123" s="31"/>
    </row>
    <row r="54124" spans="43:43" x14ac:dyDescent="0.2">
      <c r="AQ54124" s="31"/>
    </row>
    <row r="54125" spans="43:43" x14ac:dyDescent="0.2">
      <c r="AQ54125" s="31"/>
    </row>
    <row r="54126" spans="43:43" x14ac:dyDescent="0.2">
      <c r="AQ54126" s="31"/>
    </row>
    <row r="54127" spans="43:43" x14ac:dyDescent="0.2">
      <c r="AQ54127" s="31"/>
    </row>
    <row r="54128" spans="43:43" x14ac:dyDescent="0.2">
      <c r="AQ54128" s="31"/>
    </row>
    <row r="54129" spans="43:43" x14ac:dyDescent="0.2">
      <c r="AQ54129" s="31"/>
    </row>
    <row r="54130" spans="43:43" x14ac:dyDescent="0.2">
      <c r="AQ54130" s="31"/>
    </row>
    <row r="54131" spans="43:43" x14ac:dyDescent="0.2">
      <c r="AQ54131" s="31"/>
    </row>
    <row r="54132" spans="43:43" x14ac:dyDescent="0.2">
      <c r="AQ54132" s="31"/>
    </row>
    <row r="54133" spans="43:43" x14ac:dyDescent="0.2">
      <c r="AQ54133" s="31"/>
    </row>
    <row r="54134" spans="43:43" x14ac:dyDescent="0.2">
      <c r="AQ54134" s="31"/>
    </row>
    <row r="54135" spans="43:43" x14ac:dyDescent="0.2">
      <c r="AQ54135" s="31"/>
    </row>
    <row r="54136" spans="43:43" x14ac:dyDescent="0.2">
      <c r="AQ54136" s="31"/>
    </row>
    <row r="54137" spans="43:43" x14ac:dyDescent="0.2">
      <c r="AQ54137" s="31"/>
    </row>
    <row r="54138" spans="43:43" x14ac:dyDescent="0.2">
      <c r="AQ54138" s="31"/>
    </row>
    <row r="54139" spans="43:43" x14ac:dyDescent="0.2">
      <c r="AQ54139" s="31"/>
    </row>
    <row r="54140" spans="43:43" x14ac:dyDescent="0.2">
      <c r="AQ54140" s="31"/>
    </row>
    <row r="54141" spans="43:43" x14ac:dyDescent="0.2">
      <c r="AQ54141" s="31"/>
    </row>
    <row r="54142" spans="43:43" x14ac:dyDescent="0.2">
      <c r="AQ54142" s="31"/>
    </row>
    <row r="54143" spans="43:43" x14ac:dyDescent="0.2">
      <c r="AQ54143" s="31"/>
    </row>
    <row r="54144" spans="43:43" x14ac:dyDescent="0.2">
      <c r="AQ54144" s="31"/>
    </row>
    <row r="54145" spans="43:43" x14ac:dyDescent="0.2">
      <c r="AQ54145" s="31"/>
    </row>
    <row r="54146" spans="43:43" x14ac:dyDescent="0.2">
      <c r="AQ54146" s="31"/>
    </row>
    <row r="54147" spans="43:43" x14ac:dyDescent="0.2">
      <c r="AQ54147" s="31"/>
    </row>
    <row r="54148" spans="43:43" x14ac:dyDescent="0.2">
      <c r="AQ54148" s="31"/>
    </row>
    <row r="54149" spans="43:43" x14ac:dyDescent="0.2">
      <c r="AQ54149" s="31"/>
    </row>
    <row r="54150" spans="43:43" x14ac:dyDescent="0.2">
      <c r="AQ54150" s="31"/>
    </row>
    <row r="54151" spans="43:43" x14ac:dyDescent="0.2">
      <c r="AQ54151" s="31"/>
    </row>
    <row r="54152" spans="43:43" x14ac:dyDescent="0.2">
      <c r="AQ54152" s="31"/>
    </row>
    <row r="54153" spans="43:43" x14ac:dyDescent="0.2">
      <c r="AQ54153" s="31"/>
    </row>
    <row r="54154" spans="43:43" x14ac:dyDescent="0.2">
      <c r="AQ54154" s="31"/>
    </row>
    <row r="54155" spans="43:43" x14ac:dyDescent="0.2">
      <c r="AQ54155" s="31"/>
    </row>
    <row r="54156" spans="43:43" x14ac:dyDescent="0.2">
      <c r="AQ54156" s="31"/>
    </row>
    <row r="54157" spans="43:43" x14ac:dyDescent="0.2">
      <c r="AQ54157" s="31"/>
    </row>
    <row r="54158" spans="43:43" x14ac:dyDescent="0.2">
      <c r="AQ54158" s="31"/>
    </row>
    <row r="54159" spans="43:43" x14ac:dyDescent="0.2">
      <c r="AQ54159" s="31"/>
    </row>
    <row r="54160" spans="43:43" x14ac:dyDescent="0.2">
      <c r="AQ54160" s="31"/>
    </row>
    <row r="54161" spans="43:43" x14ac:dyDescent="0.2">
      <c r="AQ54161" s="31"/>
    </row>
    <row r="54162" spans="43:43" x14ac:dyDescent="0.2">
      <c r="AQ54162" s="31"/>
    </row>
    <row r="54163" spans="43:43" x14ac:dyDescent="0.2">
      <c r="AQ54163" s="31"/>
    </row>
    <row r="54164" spans="43:43" x14ac:dyDescent="0.2">
      <c r="AQ54164" s="31"/>
    </row>
    <row r="54165" spans="43:43" x14ac:dyDescent="0.2">
      <c r="AQ54165" s="31"/>
    </row>
    <row r="54166" spans="43:43" x14ac:dyDescent="0.2">
      <c r="AQ54166" s="31"/>
    </row>
    <row r="54167" spans="43:43" x14ac:dyDescent="0.2">
      <c r="AQ54167" s="31"/>
    </row>
    <row r="54168" spans="43:43" x14ac:dyDescent="0.2">
      <c r="AQ54168" s="31"/>
    </row>
    <row r="54169" spans="43:43" x14ac:dyDescent="0.2">
      <c r="AQ54169" s="31"/>
    </row>
    <row r="54170" spans="43:43" x14ac:dyDescent="0.2">
      <c r="AQ54170" s="31"/>
    </row>
    <row r="54171" spans="43:43" x14ac:dyDescent="0.2">
      <c r="AQ54171" s="31"/>
    </row>
    <row r="54172" spans="43:43" x14ac:dyDescent="0.2">
      <c r="AQ54172" s="31"/>
    </row>
    <row r="54173" spans="43:43" x14ac:dyDescent="0.2">
      <c r="AQ54173" s="31"/>
    </row>
    <row r="54174" spans="43:43" x14ac:dyDescent="0.2">
      <c r="AQ54174" s="31"/>
    </row>
    <row r="54175" spans="43:43" x14ac:dyDescent="0.2">
      <c r="AQ54175" s="31"/>
    </row>
    <row r="54176" spans="43:43" x14ac:dyDescent="0.2">
      <c r="AQ54176" s="31"/>
    </row>
    <row r="54177" spans="43:43" x14ac:dyDescent="0.2">
      <c r="AQ54177" s="31"/>
    </row>
    <row r="54178" spans="43:43" x14ac:dyDescent="0.2">
      <c r="AQ54178" s="31"/>
    </row>
    <row r="54179" spans="43:43" x14ac:dyDescent="0.2">
      <c r="AQ54179" s="31"/>
    </row>
    <row r="54180" spans="43:43" x14ac:dyDescent="0.2">
      <c r="AQ54180" s="31"/>
    </row>
    <row r="54181" spans="43:43" x14ac:dyDescent="0.2">
      <c r="AQ54181" s="31"/>
    </row>
    <row r="54182" spans="43:43" x14ac:dyDescent="0.2">
      <c r="AQ54182" s="31"/>
    </row>
    <row r="54183" spans="43:43" x14ac:dyDescent="0.2">
      <c r="AQ54183" s="31"/>
    </row>
    <row r="54184" spans="43:43" x14ac:dyDescent="0.2">
      <c r="AQ54184" s="31"/>
    </row>
    <row r="54185" spans="43:43" x14ac:dyDescent="0.2">
      <c r="AQ54185" s="31"/>
    </row>
    <row r="54186" spans="43:43" x14ac:dyDescent="0.2">
      <c r="AQ54186" s="31"/>
    </row>
    <row r="54187" spans="43:43" x14ac:dyDescent="0.2">
      <c r="AQ54187" s="31"/>
    </row>
    <row r="54188" spans="43:43" x14ac:dyDescent="0.2">
      <c r="AQ54188" s="31"/>
    </row>
    <row r="54189" spans="43:43" x14ac:dyDescent="0.2">
      <c r="AQ54189" s="31"/>
    </row>
    <row r="54190" spans="43:43" x14ac:dyDescent="0.2">
      <c r="AQ54190" s="31"/>
    </row>
    <row r="54191" spans="43:43" x14ac:dyDescent="0.2">
      <c r="AQ54191" s="31"/>
    </row>
    <row r="54192" spans="43:43" x14ac:dyDescent="0.2">
      <c r="AQ54192" s="31"/>
    </row>
    <row r="54193" spans="43:43" x14ac:dyDescent="0.2">
      <c r="AQ54193" s="31"/>
    </row>
    <row r="54194" spans="43:43" x14ac:dyDescent="0.2">
      <c r="AQ54194" s="31"/>
    </row>
    <row r="54195" spans="43:43" x14ac:dyDescent="0.2">
      <c r="AQ54195" s="31"/>
    </row>
    <row r="54196" spans="43:43" x14ac:dyDescent="0.2">
      <c r="AQ54196" s="31"/>
    </row>
    <row r="54197" spans="43:43" x14ac:dyDescent="0.2">
      <c r="AQ54197" s="31"/>
    </row>
    <row r="54198" spans="43:43" x14ac:dyDescent="0.2">
      <c r="AQ54198" s="31"/>
    </row>
    <row r="54199" spans="43:43" x14ac:dyDescent="0.2">
      <c r="AQ54199" s="31"/>
    </row>
    <row r="54200" spans="43:43" x14ac:dyDescent="0.2">
      <c r="AQ54200" s="31"/>
    </row>
    <row r="54201" spans="43:43" x14ac:dyDescent="0.2">
      <c r="AQ54201" s="31"/>
    </row>
    <row r="54202" spans="43:43" x14ac:dyDescent="0.2">
      <c r="AQ54202" s="31"/>
    </row>
    <row r="54203" spans="43:43" x14ac:dyDescent="0.2">
      <c r="AQ54203" s="31"/>
    </row>
    <row r="54204" spans="43:43" x14ac:dyDescent="0.2">
      <c r="AQ54204" s="31"/>
    </row>
    <row r="54205" spans="43:43" x14ac:dyDescent="0.2">
      <c r="AQ54205" s="31"/>
    </row>
    <row r="54206" spans="43:43" x14ac:dyDescent="0.2">
      <c r="AQ54206" s="31"/>
    </row>
    <row r="54207" spans="43:43" x14ac:dyDescent="0.2">
      <c r="AQ54207" s="31"/>
    </row>
    <row r="54208" spans="43:43" x14ac:dyDescent="0.2">
      <c r="AQ54208" s="31"/>
    </row>
    <row r="54209" spans="43:43" x14ac:dyDescent="0.2">
      <c r="AQ54209" s="31"/>
    </row>
    <row r="54210" spans="43:43" x14ac:dyDescent="0.2">
      <c r="AQ54210" s="31"/>
    </row>
    <row r="54211" spans="43:43" x14ac:dyDescent="0.2">
      <c r="AQ54211" s="31"/>
    </row>
    <row r="54212" spans="43:43" x14ac:dyDescent="0.2">
      <c r="AQ54212" s="31"/>
    </row>
    <row r="54213" spans="43:43" x14ac:dyDescent="0.2">
      <c r="AQ54213" s="31"/>
    </row>
    <row r="54214" spans="43:43" x14ac:dyDescent="0.2">
      <c r="AQ54214" s="31"/>
    </row>
    <row r="54215" spans="43:43" x14ac:dyDescent="0.2">
      <c r="AQ54215" s="31"/>
    </row>
    <row r="54216" spans="43:43" x14ac:dyDescent="0.2">
      <c r="AQ54216" s="31"/>
    </row>
    <row r="54217" spans="43:43" x14ac:dyDescent="0.2">
      <c r="AQ54217" s="31"/>
    </row>
    <row r="54218" spans="43:43" x14ac:dyDescent="0.2">
      <c r="AQ54218" s="31"/>
    </row>
    <row r="54219" spans="43:43" x14ac:dyDescent="0.2">
      <c r="AQ54219" s="31"/>
    </row>
    <row r="54220" spans="43:43" x14ac:dyDescent="0.2">
      <c r="AQ54220" s="31"/>
    </row>
    <row r="54221" spans="43:43" x14ac:dyDescent="0.2">
      <c r="AQ54221" s="31"/>
    </row>
    <row r="54222" spans="43:43" x14ac:dyDescent="0.2">
      <c r="AQ54222" s="31"/>
    </row>
    <row r="54223" spans="43:43" x14ac:dyDescent="0.2">
      <c r="AQ54223" s="31"/>
    </row>
    <row r="54224" spans="43:43" x14ac:dyDescent="0.2">
      <c r="AQ54224" s="31"/>
    </row>
    <row r="54225" spans="43:43" x14ac:dyDescent="0.2">
      <c r="AQ54225" s="31"/>
    </row>
    <row r="54226" spans="43:43" x14ac:dyDescent="0.2">
      <c r="AQ54226" s="31"/>
    </row>
    <row r="54227" spans="43:43" x14ac:dyDescent="0.2">
      <c r="AQ54227" s="31"/>
    </row>
    <row r="54228" spans="43:43" x14ac:dyDescent="0.2">
      <c r="AQ54228" s="31"/>
    </row>
    <row r="54229" spans="43:43" x14ac:dyDescent="0.2">
      <c r="AQ54229" s="31"/>
    </row>
    <row r="54230" spans="43:43" x14ac:dyDescent="0.2">
      <c r="AQ54230" s="31"/>
    </row>
    <row r="54231" spans="43:43" x14ac:dyDescent="0.2">
      <c r="AQ54231" s="31"/>
    </row>
    <row r="54232" spans="43:43" x14ac:dyDescent="0.2">
      <c r="AQ54232" s="31"/>
    </row>
    <row r="54233" spans="43:43" x14ac:dyDescent="0.2">
      <c r="AQ54233" s="31"/>
    </row>
    <row r="54234" spans="43:43" x14ac:dyDescent="0.2">
      <c r="AQ54234" s="31"/>
    </row>
    <row r="54235" spans="43:43" x14ac:dyDescent="0.2">
      <c r="AQ54235" s="31"/>
    </row>
    <row r="54236" spans="43:43" x14ac:dyDescent="0.2">
      <c r="AQ54236" s="31"/>
    </row>
    <row r="54237" spans="43:43" x14ac:dyDescent="0.2">
      <c r="AQ54237" s="31"/>
    </row>
    <row r="54238" spans="43:43" x14ac:dyDescent="0.2">
      <c r="AQ54238" s="31"/>
    </row>
    <row r="54239" spans="43:43" x14ac:dyDescent="0.2">
      <c r="AQ54239" s="31"/>
    </row>
    <row r="54240" spans="43:43" x14ac:dyDescent="0.2">
      <c r="AQ54240" s="31"/>
    </row>
    <row r="54241" spans="43:43" x14ac:dyDescent="0.2">
      <c r="AQ54241" s="31"/>
    </row>
    <row r="54242" spans="43:43" x14ac:dyDescent="0.2">
      <c r="AQ54242" s="31"/>
    </row>
    <row r="54243" spans="43:43" x14ac:dyDescent="0.2">
      <c r="AQ54243" s="31"/>
    </row>
    <row r="54244" spans="43:43" x14ac:dyDescent="0.2">
      <c r="AQ54244" s="31"/>
    </row>
    <row r="54245" spans="43:43" x14ac:dyDescent="0.2">
      <c r="AQ54245" s="31"/>
    </row>
    <row r="54246" spans="43:43" x14ac:dyDescent="0.2">
      <c r="AQ54246" s="31"/>
    </row>
    <row r="54247" spans="43:43" x14ac:dyDescent="0.2">
      <c r="AQ54247" s="31"/>
    </row>
    <row r="54248" spans="43:43" x14ac:dyDescent="0.2">
      <c r="AQ54248" s="31"/>
    </row>
    <row r="54249" spans="43:43" x14ac:dyDescent="0.2">
      <c r="AQ54249" s="31"/>
    </row>
    <row r="54250" spans="43:43" x14ac:dyDescent="0.2">
      <c r="AQ54250" s="31"/>
    </row>
    <row r="54251" spans="43:43" x14ac:dyDescent="0.2">
      <c r="AQ54251" s="31"/>
    </row>
    <row r="54252" spans="43:43" x14ac:dyDescent="0.2">
      <c r="AQ54252" s="31"/>
    </row>
    <row r="54253" spans="43:43" x14ac:dyDescent="0.2">
      <c r="AQ54253" s="31"/>
    </row>
    <row r="54254" spans="43:43" x14ac:dyDescent="0.2">
      <c r="AQ54254" s="31"/>
    </row>
    <row r="54255" spans="43:43" x14ac:dyDescent="0.2">
      <c r="AQ54255" s="31"/>
    </row>
    <row r="54256" spans="43:43" x14ac:dyDescent="0.2">
      <c r="AQ54256" s="31"/>
    </row>
    <row r="54257" spans="43:43" x14ac:dyDescent="0.2">
      <c r="AQ54257" s="31"/>
    </row>
    <row r="54258" spans="43:43" x14ac:dyDescent="0.2">
      <c r="AQ54258" s="31"/>
    </row>
    <row r="54259" spans="43:43" x14ac:dyDescent="0.2">
      <c r="AQ54259" s="31"/>
    </row>
    <row r="54260" spans="43:43" x14ac:dyDescent="0.2">
      <c r="AQ54260" s="31"/>
    </row>
    <row r="54261" spans="43:43" x14ac:dyDescent="0.2">
      <c r="AQ54261" s="31"/>
    </row>
    <row r="54262" spans="43:43" x14ac:dyDescent="0.2">
      <c r="AQ54262" s="31"/>
    </row>
    <row r="54263" spans="43:43" x14ac:dyDescent="0.2">
      <c r="AQ54263" s="31"/>
    </row>
    <row r="54264" spans="43:43" x14ac:dyDescent="0.2">
      <c r="AQ54264" s="31"/>
    </row>
    <row r="54265" spans="43:43" x14ac:dyDescent="0.2">
      <c r="AQ54265" s="31"/>
    </row>
    <row r="54266" spans="43:43" x14ac:dyDescent="0.2">
      <c r="AQ54266" s="31"/>
    </row>
    <row r="54267" spans="43:43" x14ac:dyDescent="0.2">
      <c r="AQ54267" s="31"/>
    </row>
    <row r="54268" spans="43:43" x14ac:dyDescent="0.2">
      <c r="AQ54268" s="31"/>
    </row>
    <row r="54269" spans="43:43" x14ac:dyDescent="0.2">
      <c r="AQ54269" s="31"/>
    </row>
    <row r="54270" spans="43:43" x14ac:dyDescent="0.2">
      <c r="AQ54270" s="31"/>
    </row>
    <row r="54271" spans="43:43" x14ac:dyDescent="0.2">
      <c r="AQ54271" s="31"/>
    </row>
    <row r="54272" spans="43:43" x14ac:dyDescent="0.2">
      <c r="AQ54272" s="31"/>
    </row>
    <row r="54273" spans="43:43" x14ac:dyDescent="0.2">
      <c r="AQ54273" s="31"/>
    </row>
    <row r="54274" spans="43:43" x14ac:dyDescent="0.2">
      <c r="AQ54274" s="31"/>
    </row>
    <row r="54275" spans="43:43" x14ac:dyDescent="0.2">
      <c r="AQ54275" s="31"/>
    </row>
    <row r="54276" spans="43:43" x14ac:dyDescent="0.2">
      <c r="AQ54276" s="31"/>
    </row>
    <row r="54277" spans="43:43" x14ac:dyDescent="0.2">
      <c r="AQ54277" s="31"/>
    </row>
    <row r="54278" spans="43:43" x14ac:dyDescent="0.2">
      <c r="AQ54278" s="31"/>
    </row>
    <row r="54279" spans="43:43" x14ac:dyDescent="0.2">
      <c r="AQ54279" s="31"/>
    </row>
    <row r="54280" spans="43:43" x14ac:dyDescent="0.2">
      <c r="AQ54280" s="31"/>
    </row>
    <row r="54281" spans="43:43" x14ac:dyDescent="0.2">
      <c r="AQ54281" s="31"/>
    </row>
    <row r="54282" spans="43:43" x14ac:dyDescent="0.2">
      <c r="AQ54282" s="31"/>
    </row>
    <row r="54283" spans="43:43" x14ac:dyDescent="0.2">
      <c r="AQ54283" s="31"/>
    </row>
    <row r="54284" spans="43:43" x14ac:dyDescent="0.2">
      <c r="AQ54284" s="31"/>
    </row>
    <row r="54285" spans="43:43" x14ac:dyDescent="0.2">
      <c r="AQ54285" s="31"/>
    </row>
    <row r="54286" spans="43:43" x14ac:dyDescent="0.2">
      <c r="AQ54286" s="31"/>
    </row>
    <row r="54287" spans="43:43" x14ac:dyDescent="0.2">
      <c r="AQ54287" s="31"/>
    </row>
    <row r="54288" spans="43:43" x14ac:dyDescent="0.2">
      <c r="AQ54288" s="31"/>
    </row>
    <row r="54289" spans="43:43" x14ac:dyDescent="0.2">
      <c r="AQ54289" s="31"/>
    </row>
    <row r="54290" spans="43:43" x14ac:dyDescent="0.2">
      <c r="AQ54290" s="31"/>
    </row>
    <row r="54291" spans="43:43" x14ac:dyDescent="0.2">
      <c r="AQ54291" s="31"/>
    </row>
    <row r="54292" spans="43:43" x14ac:dyDescent="0.2">
      <c r="AQ54292" s="31"/>
    </row>
    <row r="54293" spans="43:43" x14ac:dyDescent="0.2">
      <c r="AQ54293" s="31"/>
    </row>
    <row r="54294" spans="43:43" x14ac:dyDescent="0.2">
      <c r="AQ54294" s="31"/>
    </row>
    <row r="54295" spans="43:43" x14ac:dyDescent="0.2">
      <c r="AQ54295" s="31"/>
    </row>
    <row r="54296" spans="43:43" x14ac:dyDescent="0.2">
      <c r="AQ54296" s="31"/>
    </row>
    <row r="54297" spans="43:43" x14ac:dyDescent="0.2">
      <c r="AQ54297" s="31"/>
    </row>
    <row r="54298" spans="43:43" x14ac:dyDescent="0.2">
      <c r="AQ54298" s="31"/>
    </row>
    <row r="54299" spans="43:43" x14ac:dyDescent="0.2">
      <c r="AQ54299" s="31"/>
    </row>
    <row r="54300" spans="43:43" x14ac:dyDescent="0.2">
      <c r="AQ54300" s="31"/>
    </row>
    <row r="54301" spans="43:43" x14ac:dyDescent="0.2">
      <c r="AQ54301" s="31"/>
    </row>
    <row r="54302" spans="43:43" x14ac:dyDescent="0.2">
      <c r="AQ54302" s="31"/>
    </row>
    <row r="54303" spans="43:43" x14ac:dyDescent="0.2">
      <c r="AQ54303" s="31"/>
    </row>
    <row r="54304" spans="43:43" x14ac:dyDescent="0.2">
      <c r="AQ54304" s="31"/>
    </row>
    <row r="54305" spans="43:43" x14ac:dyDescent="0.2">
      <c r="AQ54305" s="31"/>
    </row>
    <row r="54306" spans="43:43" x14ac:dyDescent="0.2">
      <c r="AQ54306" s="31"/>
    </row>
    <row r="54307" spans="43:43" x14ac:dyDescent="0.2">
      <c r="AQ54307" s="31"/>
    </row>
    <row r="54308" spans="43:43" x14ac:dyDescent="0.2">
      <c r="AQ54308" s="31"/>
    </row>
    <row r="54309" spans="43:43" x14ac:dyDescent="0.2">
      <c r="AQ54309" s="31"/>
    </row>
    <row r="54310" spans="43:43" x14ac:dyDescent="0.2">
      <c r="AQ54310" s="31"/>
    </row>
    <row r="54311" spans="43:43" x14ac:dyDescent="0.2">
      <c r="AQ54311" s="31"/>
    </row>
    <row r="54312" spans="43:43" x14ac:dyDescent="0.2">
      <c r="AQ54312" s="31"/>
    </row>
    <row r="54313" spans="43:43" x14ac:dyDescent="0.2">
      <c r="AQ54313" s="31"/>
    </row>
    <row r="54314" spans="43:43" x14ac:dyDescent="0.2">
      <c r="AQ54314" s="31"/>
    </row>
    <row r="54315" spans="43:43" x14ac:dyDescent="0.2">
      <c r="AQ54315" s="31"/>
    </row>
    <row r="54316" spans="43:43" x14ac:dyDescent="0.2">
      <c r="AQ54316" s="31"/>
    </row>
    <row r="54317" spans="43:43" x14ac:dyDescent="0.2">
      <c r="AQ54317" s="31"/>
    </row>
    <row r="54318" spans="43:43" x14ac:dyDescent="0.2">
      <c r="AQ54318" s="31"/>
    </row>
    <row r="54319" spans="43:43" x14ac:dyDescent="0.2">
      <c r="AQ54319" s="31"/>
    </row>
    <row r="54320" spans="43:43" x14ac:dyDescent="0.2">
      <c r="AQ54320" s="31"/>
    </row>
    <row r="54321" spans="43:43" x14ac:dyDescent="0.2">
      <c r="AQ54321" s="31"/>
    </row>
    <row r="54322" spans="43:43" x14ac:dyDescent="0.2">
      <c r="AQ54322" s="31"/>
    </row>
    <row r="54323" spans="43:43" x14ac:dyDescent="0.2">
      <c r="AQ54323" s="31"/>
    </row>
    <row r="54324" spans="43:43" x14ac:dyDescent="0.2">
      <c r="AQ54324" s="31"/>
    </row>
    <row r="54325" spans="43:43" x14ac:dyDescent="0.2">
      <c r="AQ54325" s="31"/>
    </row>
    <row r="54326" spans="43:43" x14ac:dyDescent="0.2">
      <c r="AQ54326" s="31"/>
    </row>
    <row r="54327" spans="43:43" x14ac:dyDescent="0.2">
      <c r="AQ54327" s="31"/>
    </row>
    <row r="54328" spans="43:43" x14ac:dyDescent="0.2">
      <c r="AQ54328" s="31"/>
    </row>
    <row r="54329" spans="43:43" x14ac:dyDescent="0.2">
      <c r="AQ54329" s="31"/>
    </row>
    <row r="54330" spans="43:43" x14ac:dyDescent="0.2">
      <c r="AQ54330" s="31"/>
    </row>
    <row r="54331" spans="43:43" x14ac:dyDescent="0.2">
      <c r="AQ54331" s="31"/>
    </row>
    <row r="54332" spans="43:43" x14ac:dyDescent="0.2">
      <c r="AQ54332" s="31"/>
    </row>
    <row r="54333" spans="43:43" x14ac:dyDescent="0.2">
      <c r="AQ54333" s="31"/>
    </row>
    <row r="54334" spans="43:43" x14ac:dyDescent="0.2">
      <c r="AQ54334" s="31"/>
    </row>
    <row r="54335" spans="43:43" x14ac:dyDescent="0.2">
      <c r="AQ54335" s="31"/>
    </row>
    <row r="54336" spans="43:43" x14ac:dyDescent="0.2">
      <c r="AQ54336" s="31"/>
    </row>
    <row r="54337" spans="43:43" x14ac:dyDescent="0.2">
      <c r="AQ54337" s="31"/>
    </row>
    <row r="54338" spans="43:43" x14ac:dyDescent="0.2">
      <c r="AQ54338" s="31"/>
    </row>
    <row r="54339" spans="43:43" x14ac:dyDescent="0.2">
      <c r="AQ54339" s="31"/>
    </row>
    <row r="54340" spans="43:43" x14ac:dyDescent="0.2">
      <c r="AQ54340" s="31"/>
    </row>
    <row r="54341" spans="43:43" x14ac:dyDescent="0.2">
      <c r="AQ54341" s="31"/>
    </row>
    <row r="54342" spans="43:43" x14ac:dyDescent="0.2">
      <c r="AQ54342" s="31"/>
    </row>
    <row r="54343" spans="43:43" x14ac:dyDescent="0.2">
      <c r="AQ54343" s="31"/>
    </row>
    <row r="54344" spans="43:43" x14ac:dyDescent="0.2">
      <c r="AQ54344" s="31"/>
    </row>
    <row r="54345" spans="43:43" x14ac:dyDescent="0.2">
      <c r="AQ54345" s="31"/>
    </row>
    <row r="54346" spans="43:43" x14ac:dyDescent="0.2">
      <c r="AQ54346" s="31"/>
    </row>
    <row r="54347" spans="43:43" x14ac:dyDescent="0.2">
      <c r="AQ54347" s="31"/>
    </row>
    <row r="54348" spans="43:43" x14ac:dyDescent="0.2">
      <c r="AQ54348" s="31"/>
    </row>
    <row r="54349" spans="43:43" x14ac:dyDescent="0.2">
      <c r="AQ54349" s="31"/>
    </row>
    <row r="54350" spans="43:43" x14ac:dyDescent="0.2">
      <c r="AQ54350" s="31"/>
    </row>
    <row r="54351" spans="43:43" x14ac:dyDescent="0.2">
      <c r="AQ54351" s="31"/>
    </row>
    <row r="54352" spans="43:43" x14ac:dyDescent="0.2">
      <c r="AQ54352" s="31"/>
    </row>
    <row r="54353" spans="43:43" x14ac:dyDescent="0.2">
      <c r="AQ54353" s="31"/>
    </row>
    <row r="54354" spans="43:43" x14ac:dyDescent="0.2">
      <c r="AQ54354" s="31"/>
    </row>
    <row r="54355" spans="43:43" x14ac:dyDescent="0.2">
      <c r="AQ54355" s="31"/>
    </row>
    <row r="54356" spans="43:43" x14ac:dyDescent="0.2">
      <c r="AQ54356" s="31"/>
    </row>
    <row r="54357" spans="43:43" x14ac:dyDescent="0.2">
      <c r="AQ54357" s="31"/>
    </row>
    <row r="54358" spans="43:43" x14ac:dyDescent="0.2">
      <c r="AQ54358" s="31"/>
    </row>
    <row r="54359" spans="43:43" x14ac:dyDescent="0.2">
      <c r="AQ54359" s="31"/>
    </row>
    <row r="54360" spans="43:43" x14ac:dyDescent="0.2">
      <c r="AQ54360" s="31"/>
    </row>
    <row r="54361" spans="43:43" x14ac:dyDescent="0.2">
      <c r="AQ54361" s="31"/>
    </row>
    <row r="54362" spans="43:43" x14ac:dyDescent="0.2">
      <c r="AQ54362" s="31"/>
    </row>
    <row r="54363" spans="43:43" x14ac:dyDescent="0.2">
      <c r="AQ54363" s="31"/>
    </row>
    <row r="54364" spans="43:43" x14ac:dyDescent="0.2">
      <c r="AQ54364" s="31"/>
    </row>
    <row r="54365" spans="43:43" x14ac:dyDescent="0.2">
      <c r="AQ54365" s="31"/>
    </row>
    <row r="54366" spans="43:43" x14ac:dyDescent="0.2">
      <c r="AQ54366" s="31"/>
    </row>
    <row r="54367" spans="43:43" x14ac:dyDescent="0.2">
      <c r="AQ54367" s="31"/>
    </row>
    <row r="54368" spans="43:43" x14ac:dyDescent="0.2">
      <c r="AQ54368" s="31"/>
    </row>
    <row r="54369" spans="43:43" x14ac:dyDescent="0.2">
      <c r="AQ54369" s="31"/>
    </row>
    <row r="54370" spans="43:43" x14ac:dyDescent="0.2">
      <c r="AQ54370" s="31"/>
    </row>
    <row r="54371" spans="43:43" x14ac:dyDescent="0.2">
      <c r="AQ54371" s="31"/>
    </row>
    <row r="54372" spans="43:43" x14ac:dyDescent="0.2">
      <c r="AQ54372" s="31"/>
    </row>
    <row r="54373" spans="43:43" x14ac:dyDescent="0.2">
      <c r="AQ54373" s="31"/>
    </row>
    <row r="54374" spans="43:43" x14ac:dyDescent="0.2">
      <c r="AQ54374" s="31"/>
    </row>
    <row r="54375" spans="43:43" x14ac:dyDescent="0.2">
      <c r="AQ54375" s="31"/>
    </row>
    <row r="54376" spans="43:43" x14ac:dyDescent="0.2">
      <c r="AQ54376" s="31"/>
    </row>
    <row r="54377" spans="43:43" x14ac:dyDescent="0.2">
      <c r="AQ54377" s="31"/>
    </row>
    <row r="54378" spans="43:43" x14ac:dyDescent="0.2">
      <c r="AQ54378" s="31"/>
    </row>
    <row r="54379" spans="43:43" x14ac:dyDescent="0.2">
      <c r="AQ54379" s="31"/>
    </row>
    <row r="54380" spans="43:43" x14ac:dyDescent="0.2">
      <c r="AQ54380" s="31"/>
    </row>
    <row r="54381" spans="43:43" x14ac:dyDescent="0.2">
      <c r="AQ54381" s="31"/>
    </row>
    <row r="54382" spans="43:43" x14ac:dyDescent="0.2">
      <c r="AQ54382" s="31"/>
    </row>
    <row r="54383" spans="43:43" x14ac:dyDescent="0.2">
      <c r="AQ54383" s="31"/>
    </row>
    <row r="54384" spans="43:43" x14ac:dyDescent="0.2">
      <c r="AQ54384" s="31"/>
    </row>
    <row r="54385" spans="43:43" x14ac:dyDescent="0.2">
      <c r="AQ54385" s="31"/>
    </row>
    <row r="54386" spans="43:43" x14ac:dyDescent="0.2">
      <c r="AQ54386" s="31"/>
    </row>
    <row r="54387" spans="43:43" x14ac:dyDescent="0.2">
      <c r="AQ54387" s="31"/>
    </row>
    <row r="54388" spans="43:43" x14ac:dyDescent="0.2">
      <c r="AQ54388" s="31"/>
    </row>
    <row r="54389" spans="43:43" x14ac:dyDescent="0.2">
      <c r="AQ54389" s="31"/>
    </row>
    <row r="54390" spans="43:43" x14ac:dyDescent="0.2">
      <c r="AQ54390" s="31"/>
    </row>
    <row r="54391" spans="43:43" x14ac:dyDescent="0.2">
      <c r="AQ54391" s="31"/>
    </row>
    <row r="54392" spans="43:43" x14ac:dyDescent="0.2">
      <c r="AQ54392" s="31"/>
    </row>
    <row r="54393" spans="43:43" x14ac:dyDescent="0.2">
      <c r="AQ54393" s="31"/>
    </row>
    <row r="54394" spans="43:43" x14ac:dyDescent="0.2">
      <c r="AQ54394" s="31"/>
    </row>
    <row r="54395" spans="43:43" x14ac:dyDescent="0.2">
      <c r="AQ54395" s="31"/>
    </row>
    <row r="54396" spans="43:43" x14ac:dyDescent="0.2">
      <c r="AQ54396" s="31"/>
    </row>
    <row r="54397" spans="43:43" x14ac:dyDescent="0.2">
      <c r="AQ54397" s="31"/>
    </row>
    <row r="54398" spans="43:43" x14ac:dyDescent="0.2">
      <c r="AQ54398" s="31"/>
    </row>
    <row r="54399" spans="43:43" x14ac:dyDescent="0.2">
      <c r="AQ54399" s="31"/>
    </row>
    <row r="54400" spans="43:43" x14ac:dyDescent="0.2">
      <c r="AQ54400" s="31"/>
    </row>
    <row r="54401" spans="43:43" x14ac:dyDescent="0.2">
      <c r="AQ54401" s="31"/>
    </row>
    <row r="54402" spans="43:43" x14ac:dyDescent="0.2">
      <c r="AQ54402" s="31"/>
    </row>
    <row r="54403" spans="43:43" x14ac:dyDescent="0.2">
      <c r="AQ54403" s="31"/>
    </row>
    <row r="54404" spans="43:43" x14ac:dyDescent="0.2">
      <c r="AQ54404" s="31"/>
    </row>
    <row r="54405" spans="43:43" x14ac:dyDescent="0.2">
      <c r="AQ54405" s="31"/>
    </row>
    <row r="54406" spans="43:43" x14ac:dyDescent="0.2">
      <c r="AQ54406" s="31"/>
    </row>
    <row r="54407" spans="43:43" x14ac:dyDescent="0.2">
      <c r="AQ54407" s="31"/>
    </row>
    <row r="54408" spans="43:43" x14ac:dyDescent="0.2">
      <c r="AQ54408" s="31"/>
    </row>
    <row r="54409" spans="43:43" x14ac:dyDescent="0.2">
      <c r="AQ54409" s="31"/>
    </row>
    <row r="54410" spans="43:43" x14ac:dyDescent="0.2">
      <c r="AQ54410" s="31"/>
    </row>
    <row r="54411" spans="43:43" x14ac:dyDescent="0.2">
      <c r="AQ54411" s="31"/>
    </row>
    <row r="54412" spans="43:43" x14ac:dyDescent="0.2">
      <c r="AQ54412" s="31"/>
    </row>
    <row r="54413" spans="43:43" x14ac:dyDescent="0.2">
      <c r="AQ54413" s="31"/>
    </row>
    <row r="54414" spans="43:43" x14ac:dyDescent="0.2">
      <c r="AQ54414" s="31"/>
    </row>
    <row r="54415" spans="43:43" x14ac:dyDescent="0.2">
      <c r="AQ54415" s="31"/>
    </row>
    <row r="54416" spans="43:43" x14ac:dyDescent="0.2">
      <c r="AQ54416" s="31"/>
    </row>
    <row r="54417" spans="43:43" x14ac:dyDescent="0.2">
      <c r="AQ54417" s="31"/>
    </row>
    <row r="54418" spans="43:43" x14ac:dyDescent="0.2">
      <c r="AQ54418" s="31"/>
    </row>
    <row r="54419" spans="43:43" x14ac:dyDescent="0.2">
      <c r="AQ54419" s="31"/>
    </row>
    <row r="54420" spans="43:43" x14ac:dyDescent="0.2">
      <c r="AQ54420" s="31"/>
    </row>
    <row r="54421" spans="43:43" x14ac:dyDescent="0.2">
      <c r="AQ54421" s="31"/>
    </row>
    <row r="54422" spans="43:43" x14ac:dyDescent="0.2">
      <c r="AQ54422" s="31"/>
    </row>
    <row r="54423" spans="43:43" x14ac:dyDescent="0.2">
      <c r="AQ54423" s="31"/>
    </row>
    <row r="54424" spans="43:43" x14ac:dyDescent="0.2">
      <c r="AQ54424" s="31"/>
    </row>
    <row r="54425" spans="43:43" x14ac:dyDescent="0.2">
      <c r="AQ54425" s="31"/>
    </row>
    <row r="54426" spans="43:43" x14ac:dyDescent="0.2">
      <c r="AQ54426" s="31"/>
    </row>
    <row r="54427" spans="43:43" x14ac:dyDescent="0.2">
      <c r="AQ54427" s="31"/>
    </row>
    <row r="54428" spans="43:43" x14ac:dyDescent="0.2">
      <c r="AQ54428" s="31"/>
    </row>
    <row r="54429" spans="43:43" x14ac:dyDescent="0.2">
      <c r="AQ54429" s="31"/>
    </row>
    <row r="54430" spans="43:43" x14ac:dyDescent="0.2">
      <c r="AQ54430" s="31"/>
    </row>
    <row r="54431" spans="43:43" x14ac:dyDescent="0.2">
      <c r="AQ54431" s="31"/>
    </row>
    <row r="54432" spans="43:43" x14ac:dyDescent="0.2">
      <c r="AQ54432" s="31"/>
    </row>
    <row r="54433" spans="43:43" x14ac:dyDescent="0.2">
      <c r="AQ54433" s="31"/>
    </row>
    <row r="54434" spans="43:43" x14ac:dyDescent="0.2">
      <c r="AQ54434" s="31"/>
    </row>
    <row r="54435" spans="43:43" x14ac:dyDescent="0.2">
      <c r="AQ54435" s="31"/>
    </row>
    <row r="54436" spans="43:43" x14ac:dyDescent="0.2">
      <c r="AQ54436" s="31"/>
    </row>
    <row r="54437" spans="43:43" x14ac:dyDescent="0.2">
      <c r="AQ54437" s="31"/>
    </row>
    <row r="54438" spans="43:43" x14ac:dyDescent="0.2">
      <c r="AQ54438" s="31"/>
    </row>
    <row r="54439" spans="43:43" x14ac:dyDescent="0.2">
      <c r="AQ54439" s="31"/>
    </row>
    <row r="54440" spans="43:43" x14ac:dyDescent="0.2">
      <c r="AQ54440" s="31"/>
    </row>
    <row r="54441" spans="43:43" x14ac:dyDescent="0.2">
      <c r="AQ54441" s="31"/>
    </row>
    <row r="54442" spans="43:43" x14ac:dyDescent="0.2">
      <c r="AQ54442" s="31"/>
    </row>
    <row r="54443" spans="43:43" x14ac:dyDescent="0.2">
      <c r="AQ54443" s="31"/>
    </row>
    <row r="54444" spans="43:43" x14ac:dyDescent="0.2">
      <c r="AQ54444" s="31"/>
    </row>
    <row r="54445" spans="43:43" x14ac:dyDescent="0.2">
      <c r="AQ54445" s="31"/>
    </row>
    <row r="54446" spans="43:43" x14ac:dyDescent="0.2">
      <c r="AQ54446" s="31"/>
    </row>
    <row r="54447" spans="43:43" x14ac:dyDescent="0.2">
      <c r="AQ54447" s="31"/>
    </row>
    <row r="54448" spans="43:43" x14ac:dyDescent="0.2">
      <c r="AQ54448" s="31"/>
    </row>
    <row r="54449" spans="43:43" x14ac:dyDescent="0.2">
      <c r="AQ54449" s="31"/>
    </row>
    <row r="54450" spans="43:43" x14ac:dyDescent="0.2">
      <c r="AQ54450" s="31"/>
    </row>
    <row r="54451" spans="43:43" x14ac:dyDescent="0.2">
      <c r="AQ54451" s="31"/>
    </row>
    <row r="54452" spans="43:43" x14ac:dyDescent="0.2">
      <c r="AQ54452" s="31"/>
    </row>
    <row r="54453" spans="43:43" x14ac:dyDescent="0.2">
      <c r="AQ54453" s="31"/>
    </row>
    <row r="54454" spans="43:43" x14ac:dyDescent="0.2">
      <c r="AQ54454" s="31"/>
    </row>
    <row r="54455" spans="43:43" x14ac:dyDescent="0.2">
      <c r="AQ54455" s="31"/>
    </row>
    <row r="54456" spans="43:43" x14ac:dyDescent="0.2">
      <c r="AQ54456" s="31"/>
    </row>
    <row r="54457" spans="43:43" x14ac:dyDescent="0.2">
      <c r="AQ54457" s="31"/>
    </row>
    <row r="54458" spans="43:43" x14ac:dyDescent="0.2">
      <c r="AQ54458" s="31"/>
    </row>
    <row r="54459" spans="43:43" x14ac:dyDescent="0.2">
      <c r="AQ54459" s="31"/>
    </row>
    <row r="54460" spans="43:43" x14ac:dyDescent="0.2">
      <c r="AQ54460" s="31"/>
    </row>
    <row r="54461" spans="43:43" x14ac:dyDescent="0.2">
      <c r="AQ54461" s="31"/>
    </row>
    <row r="54462" spans="43:43" x14ac:dyDescent="0.2">
      <c r="AQ54462" s="31"/>
    </row>
    <row r="54463" spans="43:43" x14ac:dyDescent="0.2">
      <c r="AQ54463" s="31"/>
    </row>
    <row r="54464" spans="43:43" x14ac:dyDescent="0.2">
      <c r="AQ54464" s="31"/>
    </row>
    <row r="54465" spans="43:43" x14ac:dyDescent="0.2">
      <c r="AQ54465" s="31"/>
    </row>
    <row r="54466" spans="43:43" x14ac:dyDescent="0.2">
      <c r="AQ54466" s="31"/>
    </row>
    <row r="54467" spans="43:43" x14ac:dyDescent="0.2">
      <c r="AQ54467" s="31"/>
    </row>
    <row r="54468" spans="43:43" x14ac:dyDescent="0.2">
      <c r="AQ54468" s="31"/>
    </row>
    <row r="54469" spans="43:43" x14ac:dyDescent="0.2">
      <c r="AQ54469" s="31"/>
    </row>
    <row r="54470" spans="43:43" x14ac:dyDescent="0.2">
      <c r="AQ54470" s="31"/>
    </row>
    <row r="54471" spans="43:43" x14ac:dyDescent="0.2">
      <c r="AQ54471" s="31"/>
    </row>
    <row r="54472" spans="43:43" x14ac:dyDescent="0.2">
      <c r="AQ54472" s="31"/>
    </row>
    <row r="54473" spans="43:43" x14ac:dyDescent="0.2">
      <c r="AQ54473" s="31"/>
    </row>
    <row r="54474" spans="43:43" x14ac:dyDescent="0.2">
      <c r="AQ54474" s="31"/>
    </row>
    <row r="54475" spans="43:43" x14ac:dyDescent="0.2">
      <c r="AQ54475" s="31"/>
    </row>
    <row r="54476" spans="43:43" x14ac:dyDescent="0.2">
      <c r="AQ54476" s="31"/>
    </row>
    <row r="54477" spans="43:43" x14ac:dyDescent="0.2">
      <c r="AQ54477" s="31"/>
    </row>
    <row r="54478" spans="43:43" x14ac:dyDescent="0.2">
      <c r="AQ54478" s="31"/>
    </row>
    <row r="54479" spans="43:43" x14ac:dyDescent="0.2">
      <c r="AQ54479" s="31"/>
    </row>
    <row r="54480" spans="43:43" x14ac:dyDescent="0.2">
      <c r="AQ54480" s="31"/>
    </row>
    <row r="54481" spans="43:43" x14ac:dyDescent="0.2">
      <c r="AQ54481" s="31"/>
    </row>
    <row r="54482" spans="43:43" x14ac:dyDescent="0.2">
      <c r="AQ54482" s="31"/>
    </row>
    <row r="54483" spans="43:43" x14ac:dyDescent="0.2">
      <c r="AQ54483" s="31"/>
    </row>
    <row r="54484" spans="43:43" x14ac:dyDescent="0.2">
      <c r="AQ54484" s="31"/>
    </row>
    <row r="54485" spans="43:43" x14ac:dyDescent="0.2">
      <c r="AQ54485" s="31"/>
    </row>
    <row r="54486" spans="43:43" x14ac:dyDescent="0.2">
      <c r="AQ54486" s="31"/>
    </row>
    <row r="54487" spans="43:43" x14ac:dyDescent="0.2">
      <c r="AQ54487" s="31"/>
    </row>
    <row r="54488" spans="43:43" x14ac:dyDescent="0.2">
      <c r="AQ54488" s="31"/>
    </row>
    <row r="54489" spans="43:43" x14ac:dyDescent="0.2">
      <c r="AQ54489" s="31"/>
    </row>
    <row r="54490" spans="43:43" x14ac:dyDescent="0.2">
      <c r="AQ54490" s="31"/>
    </row>
    <row r="54491" spans="43:43" x14ac:dyDescent="0.2">
      <c r="AQ54491" s="31"/>
    </row>
    <row r="54492" spans="43:43" x14ac:dyDescent="0.2">
      <c r="AQ54492" s="31"/>
    </row>
    <row r="54493" spans="43:43" x14ac:dyDescent="0.2">
      <c r="AQ54493" s="31"/>
    </row>
    <row r="54494" spans="43:43" x14ac:dyDescent="0.2">
      <c r="AQ54494" s="31"/>
    </row>
    <row r="54495" spans="43:43" x14ac:dyDescent="0.2">
      <c r="AQ54495" s="31"/>
    </row>
    <row r="54496" spans="43:43" x14ac:dyDescent="0.2">
      <c r="AQ54496" s="31"/>
    </row>
    <row r="54497" spans="43:43" x14ac:dyDescent="0.2">
      <c r="AQ54497" s="31"/>
    </row>
    <row r="54498" spans="43:43" x14ac:dyDescent="0.2">
      <c r="AQ54498" s="31"/>
    </row>
    <row r="54499" spans="43:43" x14ac:dyDescent="0.2">
      <c r="AQ54499" s="31"/>
    </row>
    <row r="54500" spans="43:43" x14ac:dyDescent="0.2">
      <c r="AQ54500" s="31"/>
    </row>
    <row r="54501" spans="43:43" x14ac:dyDescent="0.2">
      <c r="AQ54501" s="31"/>
    </row>
    <row r="54502" spans="43:43" x14ac:dyDescent="0.2">
      <c r="AQ54502" s="31"/>
    </row>
    <row r="54503" spans="43:43" x14ac:dyDescent="0.2">
      <c r="AQ54503" s="31"/>
    </row>
    <row r="54504" spans="43:43" x14ac:dyDescent="0.2">
      <c r="AQ54504" s="31"/>
    </row>
    <row r="54505" spans="43:43" x14ac:dyDescent="0.2">
      <c r="AQ54505" s="31"/>
    </row>
    <row r="54506" spans="43:43" x14ac:dyDescent="0.2">
      <c r="AQ54506" s="31"/>
    </row>
    <row r="54507" spans="43:43" x14ac:dyDescent="0.2">
      <c r="AQ54507" s="31"/>
    </row>
    <row r="54508" spans="43:43" x14ac:dyDescent="0.2">
      <c r="AQ54508" s="31"/>
    </row>
    <row r="54509" spans="43:43" x14ac:dyDescent="0.2">
      <c r="AQ54509" s="31"/>
    </row>
    <row r="54510" spans="43:43" x14ac:dyDescent="0.2">
      <c r="AQ54510" s="31"/>
    </row>
    <row r="54511" spans="43:43" x14ac:dyDescent="0.2">
      <c r="AQ54511" s="31"/>
    </row>
    <row r="54512" spans="43:43" x14ac:dyDescent="0.2">
      <c r="AQ54512" s="31"/>
    </row>
    <row r="54513" spans="43:43" x14ac:dyDescent="0.2">
      <c r="AQ54513" s="31"/>
    </row>
    <row r="54514" spans="43:43" x14ac:dyDescent="0.2">
      <c r="AQ54514" s="31"/>
    </row>
    <row r="54515" spans="43:43" x14ac:dyDescent="0.2">
      <c r="AQ54515" s="31"/>
    </row>
    <row r="54516" spans="43:43" x14ac:dyDescent="0.2">
      <c r="AQ54516" s="31"/>
    </row>
    <row r="54517" spans="43:43" x14ac:dyDescent="0.2">
      <c r="AQ54517" s="31"/>
    </row>
    <row r="54518" spans="43:43" x14ac:dyDescent="0.2">
      <c r="AQ54518" s="31"/>
    </row>
    <row r="54519" spans="43:43" x14ac:dyDescent="0.2">
      <c r="AQ54519" s="31"/>
    </row>
    <row r="54520" spans="43:43" x14ac:dyDescent="0.2">
      <c r="AQ54520" s="31"/>
    </row>
    <row r="54521" spans="43:43" x14ac:dyDescent="0.2">
      <c r="AQ54521" s="31"/>
    </row>
    <row r="54522" spans="43:43" x14ac:dyDescent="0.2">
      <c r="AQ54522" s="31"/>
    </row>
    <row r="54523" spans="43:43" x14ac:dyDescent="0.2">
      <c r="AQ54523" s="31"/>
    </row>
    <row r="54524" spans="43:43" x14ac:dyDescent="0.2">
      <c r="AQ54524" s="31"/>
    </row>
    <row r="54525" spans="43:43" x14ac:dyDescent="0.2">
      <c r="AQ54525" s="31"/>
    </row>
    <row r="54526" spans="43:43" x14ac:dyDescent="0.2">
      <c r="AQ54526" s="31"/>
    </row>
    <row r="54527" spans="43:43" x14ac:dyDescent="0.2">
      <c r="AQ54527" s="31"/>
    </row>
    <row r="54528" spans="43:43" x14ac:dyDescent="0.2">
      <c r="AQ54528" s="31"/>
    </row>
    <row r="54529" spans="43:43" x14ac:dyDescent="0.2">
      <c r="AQ54529" s="31"/>
    </row>
    <row r="54530" spans="43:43" x14ac:dyDescent="0.2">
      <c r="AQ54530" s="31"/>
    </row>
    <row r="54531" spans="43:43" x14ac:dyDescent="0.2">
      <c r="AQ54531" s="31"/>
    </row>
    <row r="54532" spans="43:43" x14ac:dyDescent="0.2">
      <c r="AQ54532" s="31"/>
    </row>
    <row r="54533" spans="43:43" x14ac:dyDescent="0.2">
      <c r="AQ54533" s="31"/>
    </row>
    <row r="54534" spans="43:43" x14ac:dyDescent="0.2">
      <c r="AQ54534" s="31"/>
    </row>
    <row r="54535" spans="43:43" x14ac:dyDescent="0.2">
      <c r="AQ54535" s="31"/>
    </row>
    <row r="54536" spans="43:43" x14ac:dyDescent="0.2">
      <c r="AQ54536" s="31"/>
    </row>
    <row r="54537" spans="43:43" x14ac:dyDescent="0.2">
      <c r="AQ54537" s="31"/>
    </row>
    <row r="54538" spans="43:43" x14ac:dyDescent="0.2">
      <c r="AQ54538" s="31"/>
    </row>
    <row r="54539" spans="43:43" x14ac:dyDescent="0.2">
      <c r="AQ54539" s="31"/>
    </row>
    <row r="54540" spans="43:43" x14ac:dyDescent="0.2">
      <c r="AQ54540" s="31"/>
    </row>
    <row r="54541" spans="43:43" x14ac:dyDescent="0.2">
      <c r="AQ54541" s="31"/>
    </row>
    <row r="54542" spans="43:43" x14ac:dyDescent="0.2">
      <c r="AQ54542" s="31"/>
    </row>
    <row r="54543" spans="43:43" x14ac:dyDescent="0.2">
      <c r="AQ54543" s="31"/>
    </row>
    <row r="54544" spans="43:43" x14ac:dyDescent="0.2">
      <c r="AQ54544" s="31"/>
    </row>
    <row r="54545" spans="43:43" x14ac:dyDescent="0.2">
      <c r="AQ54545" s="31"/>
    </row>
    <row r="54546" spans="43:43" x14ac:dyDescent="0.2">
      <c r="AQ54546" s="31"/>
    </row>
    <row r="54547" spans="43:43" x14ac:dyDescent="0.2">
      <c r="AQ54547" s="31"/>
    </row>
    <row r="54548" spans="43:43" x14ac:dyDescent="0.2">
      <c r="AQ54548" s="31"/>
    </row>
    <row r="54549" spans="43:43" x14ac:dyDescent="0.2">
      <c r="AQ54549" s="31"/>
    </row>
    <row r="54550" spans="43:43" x14ac:dyDescent="0.2">
      <c r="AQ54550" s="31"/>
    </row>
    <row r="54551" spans="43:43" x14ac:dyDescent="0.2">
      <c r="AQ54551" s="31"/>
    </row>
    <row r="54552" spans="43:43" x14ac:dyDescent="0.2">
      <c r="AQ54552" s="31"/>
    </row>
    <row r="54553" spans="43:43" x14ac:dyDescent="0.2">
      <c r="AQ54553" s="31"/>
    </row>
    <row r="54554" spans="43:43" x14ac:dyDescent="0.2">
      <c r="AQ54554" s="31"/>
    </row>
    <row r="54555" spans="43:43" x14ac:dyDescent="0.2">
      <c r="AQ54555" s="31"/>
    </row>
    <row r="54556" spans="43:43" x14ac:dyDescent="0.2">
      <c r="AQ54556" s="31"/>
    </row>
    <row r="54557" spans="43:43" x14ac:dyDescent="0.2">
      <c r="AQ54557" s="31"/>
    </row>
    <row r="54558" spans="43:43" x14ac:dyDescent="0.2">
      <c r="AQ54558" s="31"/>
    </row>
    <row r="54559" spans="43:43" x14ac:dyDescent="0.2">
      <c r="AQ54559" s="31"/>
    </row>
    <row r="54560" spans="43:43" x14ac:dyDescent="0.2">
      <c r="AQ54560" s="31"/>
    </row>
    <row r="54561" spans="43:43" x14ac:dyDescent="0.2">
      <c r="AQ54561" s="31"/>
    </row>
    <row r="54562" spans="43:43" x14ac:dyDescent="0.2">
      <c r="AQ54562" s="31"/>
    </row>
    <row r="54563" spans="43:43" x14ac:dyDescent="0.2">
      <c r="AQ54563" s="31"/>
    </row>
    <row r="54564" spans="43:43" x14ac:dyDescent="0.2">
      <c r="AQ54564" s="31"/>
    </row>
    <row r="54565" spans="43:43" x14ac:dyDescent="0.2">
      <c r="AQ54565" s="31"/>
    </row>
    <row r="54566" spans="43:43" x14ac:dyDescent="0.2">
      <c r="AQ54566" s="31"/>
    </row>
    <row r="54567" spans="43:43" x14ac:dyDescent="0.2">
      <c r="AQ54567" s="31"/>
    </row>
    <row r="54568" spans="43:43" x14ac:dyDescent="0.2">
      <c r="AQ54568" s="31"/>
    </row>
    <row r="54569" spans="43:43" x14ac:dyDescent="0.2">
      <c r="AQ54569" s="31"/>
    </row>
    <row r="54570" spans="43:43" x14ac:dyDescent="0.2">
      <c r="AQ54570" s="31"/>
    </row>
    <row r="54571" spans="43:43" x14ac:dyDescent="0.2">
      <c r="AQ54571" s="31"/>
    </row>
    <row r="54572" spans="43:43" x14ac:dyDescent="0.2">
      <c r="AQ54572" s="31"/>
    </row>
    <row r="54573" spans="43:43" x14ac:dyDescent="0.2">
      <c r="AQ54573" s="31"/>
    </row>
    <row r="54574" spans="43:43" x14ac:dyDescent="0.2">
      <c r="AQ54574" s="31"/>
    </row>
    <row r="54575" spans="43:43" x14ac:dyDescent="0.2">
      <c r="AQ54575" s="31"/>
    </row>
    <row r="54576" spans="43:43" x14ac:dyDescent="0.2">
      <c r="AQ54576" s="31"/>
    </row>
    <row r="54577" spans="43:43" x14ac:dyDescent="0.2">
      <c r="AQ54577" s="31"/>
    </row>
    <row r="54578" spans="43:43" x14ac:dyDescent="0.2">
      <c r="AQ54578" s="31"/>
    </row>
    <row r="54579" spans="43:43" x14ac:dyDescent="0.2">
      <c r="AQ54579" s="31"/>
    </row>
    <row r="54580" spans="43:43" x14ac:dyDescent="0.2">
      <c r="AQ54580" s="31"/>
    </row>
    <row r="54581" spans="43:43" x14ac:dyDescent="0.2">
      <c r="AQ54581" s="31"/>
    </row>
    <row r="54582" spans="43:43" x14ac:dyDescent="0.2">
      <c r="AQ54582" s="31"/>
    </row>
    <row r="54583" spans="43:43" x14ac:dyDescent="0.2">
      <c r="AQ54583" s="31"/>
    </row>
    <row r="54584" spans="43:43" x14ac:dyDescent="0.2">
      <c r="AQ54584" s="31"/>
    </row>
    <row r="54585" spans="43:43" x14ac:dyDescent="0.2">
      <c r="AQ54585" s="31"/>
    </row>
    <row r="54586" spans="43:43" x14ac:dyDescent="0.2">
      <c r="AQ54586" s="31"/>
    </row>
    <row r="54587" spans="43:43" x14ac:dyDescent="0.2">
      <c r="AQ54587" s="31"/>
    </row>
    <row r="54588" spans="43:43" x14ac:dyDescent="0.2">
      <c r="AQ54588" s="31"/>
    </row>
    <row r="54589" spans="43:43" x14ac:dyDescent="0.2">
      <c r="AQ54589" s="31"/>
    </row>
    <row r="54590" spans="43:43" x14ac:dyDescent="0.2">
      <c r="AQ54590" s="31"/>
    </row>
    <row r="54591" spans="43:43" x14ac:dyDescent="0.2">
      <c r="AQ54591" s="31"/>
    </row>
    <row r="54592" spans="43:43" x14ac:dyDescent="0.2">
      <c r="AQ54592" s="31"/>
    </row>
    <row r="54593" spans="43:43" x14ac:dyDescent="0.2">
      <c r="AQ54593" s="31"/>
    </row>
    <row r="54594" spans="43:43" x14ac:dyDescent="0.2">
      <c r="AQ54594" s="31"/>
    </row>
    <row r="54595" spans="43:43" x14ac:dyDescent="0.2">
      <c r="AQ54595" s="31"/>
    </row>
    <row r="54596" spans="43:43" x14ac:dyDescent="0.2">
      <c r="AQ54596" s="31"/>
    </row>
    <row r="54597" spans="43:43" x14ac:dyDescent="0.2">
      <c r="AQ54597" s="31"/>
    </row>
    <row r="54598" spans="43:43" x14ac:dyDescent="0.2">
      <c r="AQ54598" s="31"/>
    </row>
    <row r="54599" spans="43:43" x14ac:dyDescent="0.2">
      <c r="AQ54599" s="31"/>
    </row>
    <row r="54600" spans="43:43" x14ac:dyDescent="0.2">
      <c r="AQ54600" s="31"/>
    </row>
    <row r="54601" spans="43:43" x14ac:dyDescent="0.2">
      <c r="AQ54601" s="31"/>
    </row>
    <row r="54602" spans="43:43" x14ac:dyDescent="0.2">
      <c r="AQ54602" s="31"/>
    </row>
    <row r="54603" spans="43:43" x14ac:dyDescent="0.2">
      <c r="AQ54603" s="31"/>
    </row>
    <row r="54604" spans="43:43" x14ac:dyDescent="0.2">
      <c r="AQ54604" s="31"/>
    </row>
    <row r="54605" spans="43:43" x14ac:dyDescent="0.2">
      <c r="AQ54605" s="31"/>
    </row>
    <row r="54606" spans="43:43" x14ac:dyDescent="0.2">
      <c r="AQ54606" s="31"/>
    </row>
    <row r="54607" spans="43:43" x14ac:dyDescent="0.2">
      <c r="AQ54607" s="31"/>
    </row>
    <row r="54608" spans="43:43" x14ac:dyDescent="0.2">
      <c r="AQ54608" s="31"/>
    </row>
    <row r="54609" spans="43:43" x14ac:dyDescent="0.2">
      <c r="AQ54609" s="31"/>
    </row>
    <row r="54610" spans="43:43" x14ac:dyDescent="0.2">
      <c r="AQ54610" s="31"/>
    </row>
    <row r="54611" spans="43:43" x14ac:dyDescent="0.2">
      <c r="AQ54611" s="31"/>
    </row>
    <row r="54612" spans="43:43" x14ac:dyDescent="0.2">
      <c r="AQ54612" s="31"/>
    </row>
    <row r="54613" spans="43:43" x14ac:dyDescent="0.2">
      <c r="AQ54613" s="31"/>
    </row>
    <row r="54614" spans="43:43" x14ac:dyDescent="0.2">
      <c r="AQ54614" s="31"/>
    </row>
    <row r="54615" spans="43:43" x14ac:dyDescent="0.2">
      <c r="AQ54615" s="31"/>
    </row>
    <row r="54616" spans="43:43" x14ac:dyDescent="0.2">
      <c r="AQ54616" s="31"/>
    </row>
    <row r="54617" spans="43:43" x14ac:dyDescent="0.2">
      <c r="AQ54617" s="31"/>
    </row>
    <row r="54618" spans="43:43" x14ac:dyDescent="0.2">
      <c r="AQ54618" s="31"/>
    </row>
    <row r="54619" spans="43:43" x14ac:dyDescent="0.2">
      <c r="AQ54619" s="31"/>
    </row>
    <row r="54620" spans="43:43" x14ac:dyDescent="0.2">
      <c r="AQ54620" s="31"/>
    </row>
    <row r="54621" spans="43:43" x14ac:dyDescent="0.2">
      <c r="AQ54621" s="31"/>
    </row>
    <row r="54622" spans="43:43" x14ac:dyDescent="0.2">
      <c r="AQ54622" s="31"/>
    </row>
    <row r="54623" spans="43:43" x14ac:dyDescent="0.2">
      <c r="AQ54623" s="31"/>
    </row>
    <row r="54624" spans="43:43" x14ac:dyDescent="0.2">
      <c r="AQ54624" s="31"/>
    </row>
    <row r="54625" spans="43:43" x14ac:dyDescent="0.2">
      <c r="AQ54625" s="31"/>
    </row>
    <row r="54626" spans="43:43" x14ac:dyDescent="0.2">
      <c r="AQ54626" s="31"/>
    </row>
    <row r="54627" spans="43:43" x14ac:dyDescent="0.2">
      <c r="AQ54627" s="31"/>
    </row>
    <row r="54628" spans="43:43" x14ac:dyDescent="0.2">
      <c r="AQ54628" s="31"/>
    </row>
    <row r="54629" spans="43:43" x14ac:dyDescent="0.2">
      <c r="AQ54629" s="31"/>
    </row>
    <row r="54630" spans="43:43" x14ac:dyDescent="0.2">
      <c r="AQ54630" s="31"/>
    </row>
    <row r="54631" spans="43:43" x14ac:dyDescent="0.2">
      <c r="AQ54631" s="31"/>
    </row>
    <row r="54632" spans="43:43" x14ac:dyDescent="0.2">
      <c r="AQ54632" s="31"/>
    </row>
    <row r="54633" spans="43:43" x14ac:dyDescent="0.2">
      <c r="AQ54633" s="31"/>
    </row>
    <row r="54634" spans="43:43" x14ac:dyDescent="0.2">
      <c r="AQ54634" s="31"/>
    </row>
    <row r="54635" spans="43:43" x14ac:dyDescent="0.2">
      <c r="AQ54635" s="31"/>
    </row>
    <row r="54636" spans="43:43" x14ac:dyDescent="0.2">
      <c r="AQ54636" s="31"/>
    </row>
    <row r="54637" spans="43:43" x14ac:dyDescent="0.2">
      <c r="AQ54637" s="31"/>
    </row>
    <row r="54638" spans="43:43" x14ac:dyDescent="0.2">
      <c r="AQ54638" s="31"/>
    </row>
    <row r="54639" spans="43:43" x14ac:dyDescent="0.2">
      <c r="AQ54639" s="31"/>
    </row>
    <row r="54640" spans="43:43" x14ac:dyDescent="0.2">
      <c r="AQ54640" s="31"/>
    </row>
    <row r="54641" spans="43:43" x14ac:dyDescent="0.2">
      <c r="AQ54641" s="31"/>
    </row>
    <row r="54642" spans="43:43" x14ac:dyDescent="0.2">
      <c r="AQ54642" s="31"/>
    </row>
    <row r="54643" spans="43:43" x14ac:dyDescent="0.2">
      <c r="AQ54643" s="31"/>
    </row>
    <row r="54644" spans="43:43" x14ac:dyDescent="0.2">
      <c r="AQ54644" s="31"/>
    </row>
    <row r="54645" spans="43:43" x14ac:dyDescent="0.2">
      <c r="AQ54645" s="31"/>
    </row>
    <row r="54646" spans="43:43" x14ac:dyDescent="0.2">
      <c r="AQ54646" s="31"/>
    </row>
    <row r="54647" spans="43:43" x14ac:dyDescent="0.2">
      <c r="AQ54647" s="31"/>
    </row>
    <row r="54648" spans="43:43" x14ac:dyDescent="0.2">
      <c r="AQ54648" s="31"/>
    </row>
    <row r="54649" spans="43:43" x14ac:dyDescent="0.2">
      <c r="AQ54649" s="31"/>
    </row>
    <row r="54650" spans="43:43" x14ac:dyDescent="0.2">
      <c r="AQ54650" s="31"/>
    </row>
    <row r="54651" spans="43:43" x14ac:dyDescent="0.2">
      <c r="AQ54651" s="31"/>
    </row>
    <row r="54652" spans="43:43" x14ac:dyDescent="0.2">
      <c r="AQ54652" s="31"/>
    </row>
    <row r="54653" spans="43:43" x14ac:dyDescent="0.2">
      <c r="AQ54653" s="31"/>
    </row>
    <row r="54654" spans="43:43" x14ac:dyDescent="0.2">
      <c r="AQ54654" s="31"/>
    </row>
    <row r="54655" spans="43:43" x14ac:dyDescent="0.2">
      <c r="AQ54655" s="31"/>
    </row>
    <row r="54656" spans="43:43" x14ac:dyDescent="0.2">
      <c r="AQ54656" s="31"/>
    </row>
    <row r="54657" spans="43:43" x14ac:dyDescent="0.2">
      <c r="AQ54657" s="31"/>
    </row>
    <row r="54658" spans="43:43" x14ac:dyDescent="0.2">
      <c r="AQ54658" s="31"/>
    </row>
    <row r="54659" spans="43:43" x14ac:dyDescent="0.2">
      <c r="AQ54659" s="31"/>
    </row>
    <row r="54660" spans="43:43" x14ac:dyDescent="0.2">
      <c r="AQ54660" s="31"/>
    </row>
    <row r="54661" spans="43:43" x14ac:dyDescent="0.2">
      <c r="AQ54661" s="31"/>
    </row>
    <row r="54662" spans="43:43" x14ac:dyDescent="0.2">
      <c r="AQ54662" s="31"/>
    </row>
    <row r="54663" spans="43:43" x14ac:dyDescent="0.2">
      <c r="AQ54663" s="31"/>
    </row>
    <row r="54664" spans="43:43" x14ac:dyDescent="0.2">
      <c r="AQ54664" s="31"/>
    </row>
    <row r="54665" spans="43:43" x14ac:dyDescent="0.2">
      <c r="AQ54665" s="31"/>
    </row>
    <row r="54666" spans="43:43" x14ac:dyDescent="0.2">
      <c r="AQ54666" s="31"/>
    </row>
    <row r="54667" spans="43:43" x14ac:dyDescent="0.2">
      <c r="AQ54667" s="31"/>
    </row>
    <row r="54668" spans="43:43" x14ac:dyDescent="0.2">
      <c r="AQ54668" s="31"/>
    </row>
    <row r="54669" spans="43:43" x14ac:dyDescent="0.2">
      <c r="AQ54669" s="31"/>
    </row>
    <row r="54670" spans="43:43" x14ac:dyDescent="0.2">
      <c r="AQ54670" s="31"/>
    </row>
    <row r="54671" spans="43:43" x14ac:dyDescent="0.2">
      <c r="AQ54671" s="31"/>
    </row>
    <row r="54672" spans="43:43" x14ac:dyDescent="0.2">
      <c r="AQ54672" s="31"/>
    </row>
    <row r="54673" spans="43:43" x14ac:dyDescent="0.2">
      <c r="AQ54673" s="31"/>
    </row>
    <row r="54674" spans="43:43" x14ac:dyDescent="0.2">
      <c r="AQ54674" s="31"/>
    </row>
    <row r="54675" spans="43:43" x14ac:dyDescent="0.2">
      <c r="AQ54675" s="31"/>
    </row>
    <row r="54676" spans="43:43" x14ac:dyDescent="0.2">
      <c r="AQ54676" s="31"/>
    </row>
    <row r="54677" spans="43:43" x14ac:dyDescent="0.2">
      <c r="AQ54677" s="31"/>
    </row>
    <row r="54678" spans="43:43" x14ac:dyDescent="0.2">
      <c r="AQ54678" s="31"/>
    </row>
    <row r="54679" spans="43:43" x14ac:dyDescent="0.2">
      <c r="AQ54679" s="31"/>
    </row>
    <row r="54680" spans="43:43" x14ac:dyDescent="0.2">
      <c r="AQ54680" s="31"/>
    </row>
    <row r="54681" spans="43:43" x14ac:dyDescent="0.2">
      <c r="AQ54681" s="31"/>
    </row>
    <row r="54682" spans="43:43" x14ac:dyDescent="0.2">
      <c r="AQ54682" s="31"/>
    </row>
    <row r="54683" spans="43:43" x14ac:dyDescent="0.2">
      <c r="AQ54683" s="31"/>
    </row>
    <row r="54684" spans="43:43" x14ac:dyDescent="0.2">
      <c r="AQ54684" s="31"/>
    </row>
    <row r="54685" spans="43:43" x14ac:dyDescent="0.2">
      <c r="AQ54685" s="31"/>
    </row>
    <row r="54686" spans="43:43" x14ac:dyDescent="0.2">
      <c r="AQ54686" s="31"/>
    </row>
    <row r="54687" spans="43:43" x14ac:dyDescent="0.2">
      <c r="AQ54687" s="31"/>
    </row>
    <row r="54688" spans="43:43" x14ac:dyDescent="0.2">
      <c r="AQ54688" s="31"/>
    </row>
    <row r="54689" spans="43:43" x14ac:dyDescent="0.2">
      <c r="AQ54689" s="31"/>
    </row>
    <row r="54690" spans="43:43" x14ac:dyDescent="0.2">
      <c r="AQ54690" s="31"/>
    </row>
    <row r="54691" spans="43:43" x14ac:dyDescent="0.2">
      <c r="AQ54691" s="31"/>
    </row>
    <row r="54692" spans="43:43" x14ac:dyDescent="0.2">
      <c r="AQ54692" s="31"/>
    </row>
    <row r="54693" spans="43:43" x14ac:dyDescent="0.2">
      <c r="AQ54693" s="31"/>
    </row>
    <row r="54694" spans="43:43" x14ac:dyDescent="0.2">
      <c r="AQ54694" s="31"/>
    </row>
    <row r="54695" spans="43:43" x14ac:dyDescent="0.2">
      <c r="AQ54695" s="31"/>
    </row>
    <row r="54696" spans="43:43" x14ac:dyDescent="0.2">
      <c r="AQ54696" s="31"/>
    </row>
    <row r="54697" spans="43:43" x14ac:dyDescent="0.2">
      <c r="AQ54697" s="31"/>
    </row>
    <row r="54698" spans="43:43" x14ac:dyDescent="0.2">
      <c r="AQ54698" s="31"/>
    </row>
    <row r="54699" spans="43:43" x14ac:dyDescent="0.2">
      <c r="AQ54699" s="31"/>
    </row>
    <row r="54700" spans="43:43" x14ac:dyDescent="0.2">
      <c r="AQ54700" s="31"/>
    </row>
    <row r="54701" spans="43:43" x14ac:dyDescent="0.2">
      <c r="AQ54701" s="31"/>
    </row>
    <row r="54702" spans="43:43" x14ac:dyDescent="0.2">
      <c r="AQ54702" s="31"/>
    </row>
    <row r="54703" spans="43:43" x14ac:dyDescent="0.2">
      <c r="AQ54703" s="31"/>
    </row>
    <row r="54704" spans="43:43" x14ac:dyDescent="0.2">
      <c r="AQ54704" s="31"/>
    </row>
    <row r="54705" spans="43:43" x14ac:dyDescent="0.2">
      <c r="AQ54705" s="31"/>
    </row>
    <row r="54706" spans="43:43" x14ac:dyDescent="0.2">
      <c r="AQ54706" s="31"/>
    </row>
    <row r="54707" spans="43:43" x14ac:dyDescent="0.2">
      <c r="AQ54707" s="31"/>
    </row>
    <row r="54708" spans="43:43" x14ac:dyDescent="0.2">
      <c r="AQ54708" s="31"/>
    </row>
    <row r="54709" spans="43:43" x14ac:dyDescent="0.2">
      <c r="AQ54709" s="31"/>
    </row>
    <row r="54710" spans="43:43" x14ac:dyDescent="0.2">
      <c r="AQ54710" s="31"/>
    </row>
    <row r="54711" spans="43:43" x14ac:dyDescent="0.2">
      <c r="AQ54711" s="31"/>
    </row>
    <row r="54712" spans="43:43" x14ac:dyDescent="0.2">
      <c r="AQ54712" s="31"/>
    </row>
    <row r="54713" spans="43:43" x14ac:dyDescent="0.2">
      <c r="AQ54713" s="31"/>
    </row>
    <row r="54714" spans="43:43" x14ac:dyDescent="0.2">
      <c r="AQ54714" s="31"/>
    </row>
    <row r="54715" spans="43:43" x14ac:dyDescent="0.2">
      <c r="AQ54715" s="31"/>
    </row>
    <row r="54716" spans="43:43" x14ac:dyDescent="0.2">
      <c r="AQ54716" s="31"/>
    </row>
    <row r="54717" spans="43:43" x14ac:dyDescent="0.2">
      <c r="AQ54717" s="31"/>
    </row>
    <row r="54718" spans="43:43" x14ac:dyDescent="0.2">
      <c r="AQ54718" s="31"/>
    </row>
    <row r="54719" spans="43:43" x14ac:dyDescent="0.2">
      <c r="AQ54719" s="31"/>
    </row>
    <row r="54720" spans="43:43" x14ac:dyDescent="0.2">
      <c r="AQ54720" s="31"/>
    </row>
    <row r="54721" spans="43:43" x14ac:dyDescent="0.2">
      <c r="AQ54721" s="31"/>
    </row>
    <row r="54722" spans="43:43" x14ac:dyDescent="0.2">
      <c r="AQ54722" s="31"/>
    </row>
    <row r="54723" spans="43:43" x14ac:dyDescent="0.2">
      <c r="AQ54723" s="31"/>
    </row>
    <row r="54724" spans="43:43" x14ac:dyDescent="0.2">
      <c r="AQ54724" s="31"/>
    </row>
    <row r="54725" spans="43:43" x14ac:dyDescent="0.2">
      <c r="AQ54725" s="31"/>
    </row>
    <row r="54726" spans="43:43" x14ac:dyDescent="0.2">
      <c r="AQ54726" s="31"/>
    </row>
    <row r="54727" spans="43:43" x14ac:dyDescent="0.2">
      <c r="AQ54727" s="31"/>
    </row>
    <row r="54728" spans="43:43" x14ac:dyDescent="0.2">
      <c r="AQ54728" s="31"/>
    </row>
    <row r="54729" spans="43:43" x14ac:dyDescent="0.2">
      <c r="AQ54729" s="31"/>
    </row>
    <row r="54730" spans="43:43" x14ac:dyDescent="0.2">
      <c r="AQ54730" s="31"/>
    </row>
    <row r="54731" spans="43:43" x14ac:dyDescent="0.2">
      <c r="AQ54731" s="31"/>
    </row>
    <row r="54732" spans="43:43" x14ac:dyDescent="0.2">
      <c r="AQ54732" s="31"/>
    </row>
    <row r="54733" spans="43:43" x14ac:dyDescent="0.2">
      <c r="AQ54733" s="31"/>
    </row>
    <row r="54734" spans="43:43" x14ac:dyDescent="0.2">
      <c r="AQ54734" s="31"/>
    </row>
    <row r="54735" spans="43:43" x14ac:dyDescent="0.2">
      <c r="AQ54735" s="31"/>
    </row>
    <row r="54736" spans="43:43" x14ac:dyDescent="0.2">
      <c r="AQ54736" s="31"/>
    </row>
    <row r="54737" spans="43:43" x14ac:dyDescent="0.2">
      <c r="AQ54737" s="31"/>
    </row>
    <row r="54738" spans="43:43" x14ac:dyDescent="0.2">
      <c r="AQ54738" s="31"/>
    </row>
    <row r="54739" spans="43:43" x14ac:dyDescent="0.2">
      <c r="AQ54739" s="31"/>
    </row>
    <row r="54740" spans="43:43" x14ac:dyDescent="0.2">
      <c r="AQ54740" s="31"/>
    </row>
    <row r="54741" spans="43:43" x14ac:dyDescent="0.2">
      <c r="AQ54741" s="31"/>
    </row>
    <row r="54742" spans="43:43" x14ac:dyDescent="0.2">
      <c r="AQ54742" s="31"/>
    </row>
    <row r="54743" spans="43:43" x14ac:dyDescent="0.2">
      <c r="AQ54743" s="31"/>
    </row>
    <row r="54744" spans="43:43" x14ac:dyDescent="0.2">
      <c r="AQ54744" s="31"/>
    </row>
    <row r="54745" spans="43:43" x14ac:dyDescent="0.2">
      <c r="AQ54745" s="31"/>
    </row>
    <row r="54746" spans="43:43" x14ac:dyDescent="0.2">
      <c r="AQ54746" s="31"/>
    </row>
    <row r="54747" spans="43:43" x14ac:dyDescent="0.2">
      <c r="AQ54747" s="31"/>
    </row>
    <row r="54748" spans="43:43" x14ac:dyDescent="0.2">
      <c r="AQ54748" s="31"/>
    </row>
    <row r="54749" spans="43:43" x14ac:dyDescent="0.2">
      <c r="AQ54749" s="31"/>
    </row>
    <row r="54750" spans="43:43" x14ac:dyDescent="0.2">
      <c r="AQ54750" s="31"/>
    </row>
    <row r="54751" spans="43:43" x14ac:dyDescent="0.2">
      <c r="AQ54751" s="31"/>
    </row>
    <row r="54752" spans="43:43" x14ac:dyDescent="0.2">
      <c r="AQ54752" s="31"/>
    </row>
    <row r="54753" spans="43:43" x14ac:dyDescent="0.2">
      <c r="AQ54753" s="31"/>
    </row>
    <row r="54754" spans="43:43" x14ac:dyDescent="0.2">
      <c r="AQ54754" s="31"/>
    </row>
    <row r="54755" spans="43:43" x14ac:dyDescent="0.2">
      <c r="AQ54755" s="31"/>
    </row>
    <row r="54756" spans="43:43" x14ac:dyDescent="0.2">
      <c r="AQ54756" s="31"/>
    </row>
    <row r="54757" spans="43:43" x14ac:dyDescent="0.2">
      <c r="AQ54757" s="31"/>
    </row>
    <row r="54758" spans="43:43" x14ac:dyDescent="0.2">
      <c r="AQ54758" s="31"/>
    </row>
    <row r="54759" spans="43:43" x14ac:dyDescent="0.2">
      <c r="AQ54759" s="31"/>
    </row>
    <row r="54760" spans="43:43" x14ac:dyDescent="0.2">
      <c r="AQ54760" s="31"/>
    </row>
    <row r="54761" spans="43:43" x14ac:dyDescent="0.2">
      <c r="AQ54761" s="31"/>
    </row>
    <row r="54762" spans="43:43" x14ac:dyDescent="0.2">
      <c r="AQ54762" s="31"/>
    </row>
    <row r="54763" spans="43:43" x14ac:dyDescent="0.2">
      <c r="AQ54763" s="31"/>
    </row>
    <row r="54764" spans="43:43" x14ac:dyDescent="0.2">
      <c r="AQ54764" s="31"/>
    </row>
    <row r="54765" spans="43:43" x14ac:dyDescent="0.2">
      <c r="AQ54765" s="31"/>
    </row>
    <row r="54766" spans="43:43" x14ac:dyDescent="0.2">
      <c r="AQ54766" s="31"/>
    </row>
    <row r="54767" spans="43:43" x14ac:dyDescent="0.2">
      <c r="AQ54767" s="31"/>
    </row>
    <row r="54768" spans="43:43" x14ac:dyDescent="0.2">
      <c r="AQ54768" s="31"/>
    </row>
    <row r="54769" spans="43:43" x14ac:dyDescent="0.2">
      <c r="AQ54769" s="31"/>
    </row>
    <row r="54770" spans="43:43" x14ac:dyDescent="0.2">
      <c r="AQ54770" s="31"/>
    </row>
    <row r="54771" spans="43:43" x14ac:dyDescent="0.2">
      <c r="AQ54771" s="31"/>
    </row>
    <row r="54772" spans="43:43" x14ac:dyDescent="0.2">
      <c r="AQ54772" s="31"/>
    </row>
    <row r="54773" spans="43:43" x14ac:dyDescent="0.2">
      <c r="AQ54773" s="31"/>
    </row>
    <row r="54774" spans="43:43" x14ac:dyDescent="0.2">
      <c r="AQ54774" s="31"/>
    </row>
    <row r="54775" spans="43:43" x14ac:dyDescent="0.2">
      <c r="AQ54775" s="31"/>
    </row>
    <row r="54776" spans="43:43" x14ac:dyDescent="0.2">
      <c r="AQ54776" s="31"/>
    </row>
    <row r="54777" spans="43:43" x14ac:dyDescent="0.2">
      <c r="AQ54777" s="31"/>
    </row>
    <row r="54778" spans="43:43" x14ac:dyDescent="0.2">
      <c r="AQ54778" s="31"/>
    </row>
    <row r="54779" spans="43:43" x14ac:dyDescent="0.2">
      <c r="AQ54779" s="31"/>
    </row>
    <row r="54780" spans="43:43" x14ac:dyDescent="0.2">
      <c r="AQ54780" s="31"/>
    </row>
    <row r="54781" spans="43:43" x14ac:dyDescent="0.2">
      <c r="AQ54781" s="31"/>
    </row>
    <row r="54782" spans="43:43" x14ac:dyDescent="0.2">
      <c r="AQ54782" s="31"/>
    </row>
    <row r="54783" spans="43:43" x14ac:dyDescent="0.2">
      <c r="AQ54783" s="31"/>
    </row>
    <row r="54784" spans="43:43" x14ac:dyDescent="0.2">
      <c r="AQ54784" s="31"/>
    </row>
    <row r="54785" spans="43:43" x14ac:dyDescent="0.2">
      <c r="AQ54785" s="31"/>
    </row>
    <row r="54786" spans="43:43" x14ac:dyDescent="0.2">
      <c r="AQ54786" s="31"/>
    </row>
    <row r="54787" spans="43:43" x14ac:dyDescent="0.2">
      <c r="AQ54787" s="31"/>
    </row>
    <row r="54788" spans="43:43" x14ac:dyDescent="0.2">
      <c r="AQ54788" s="31"/>
    </row>
    <row r="54789" spans="43:43" x14ac:dyDescent="0.2">
      <c r="AQ54789" s="31"/>
    </row>
    <row r="54790" spans="43:43" x14ac:dyDescent="0.2">
      <c r="AQ54790" s="31"/>
    </row>
    <row r="54791" spans="43:43" x14ac:dyDescent="0.2">
      <c r="AQ54791" s="31"/>
    </row>
    <row r="54792" spans="43:43" x14ac:dyDescent="0.2">
      <c r="AQ54792" s="31"/>
    </row>
    <row r="54793" spans="43:43" x14ac:dyDescent="0.2">
      <c r="AQ54793" s="31"/>
    </row>
    <row r="54794" spans="43:43" x14ac:dyDescent="0.2">
      <c r="AQ54794" s="31"/>
    </row>
    <row r="54795" spans="43:43" x14ac:dyDescent="0.2">
      <c r="AQ54795" s="31"/>
    </row>
    <row r="54796" spans="43:43" x14ac:dyDescent="0.2">
      <c r="AQ54796" s="31"/>
    </row>
    <row r="54797" spans="43:43" x14ac:dyDescent="0.2">
      <c r="AQ54797" s="31"/>
    </row>
    <row r="54798" spans="43:43" x14ac:dyDescent="0.2">
      <c r="AQ54798" s="31"/>
    </row>
    <row r="54799" spans="43:43" x14ac:dyDescent="0.2">
      <c r="AQ54799" s="31"/>
    </row>
    <row r="54800" spans="43:43" x14ac:dyDescent="0.2">
      <c r="AQ54800" s="31"/>
    </row>
    <row r="54801" spans="43:43" x14ac:dyDescent="0.2">
      <c r="AQ54801" s="31"/>
    </row>
    <row r="54802" spans="43:43" x14ac:dyDescent="0.2">
      <c r="AQ54802" s="31"/>
    </row>
    <row r="54803" spans="43:43" x14ac:dyDescent="0.2">
      <c r="AQ54803" s="31"/>
    </row>
    <row r="54804" spans="43:43" x14ac:dyDescent="0.2">
      <c r="AQ54804" s="31"/>
    </row>
    <row r="54805" spans="43:43" x14ac:dyDescent="0.2">
      <c r="AQ54805" s="31"/>
    </row>
    <row r="54806" spans="43:43" x14ac:dyDescent="0.2">
      <c r="AQ54806" s="31"/>
    </row>
    <row r="54807" spans="43:43" x14ac:dyDescent="0.2">
      <c r="AQ54807" s="31"/>
    </row>
    <row r="54808" spans="43:43" x14ac:dyDescent="0.2">
      <c r="AQ54808" s="31"/>
    </row>
    <row r="54809" spans="43:43" x14ac:dyDescent="0.2">
      <c r="AQ54809" s="31"/>
    </row>
    <row r="54810" spans="43:43" x14ac:dyDescent="0.2">
      <c r="AQ54810" s="31"/>
    </row>
    <row r="54811" spans="43:43" x14ac:dyDescent="0.2">
      <c r="AQ54811" s="31"/>
    </row>
    <row r="54812" spans="43:43" x14ac:dyDescent="0.2">
      <c r="AQ54812" s="31"/>
    </row>
    <row r="54813" spans="43:43" x14ac:dyDescent="0.2">
      <c r="AQ54813" s="31"/>
    </row>
    <row r="54814" spans="43:43" x14ac:dyDescent="0.2">
      <c r="AQ54814" s="31"/>
    </row>
    <row r="54815" spans="43:43" x14ac:dyDescent="0.2">
      <c r="AQ54815" s="31"/>
    </row>
    <row r="54816" spans="43:43" x14ac:dyDescent="0.2">
      <c r="AQ54816" s="31"/>
    </row>
    <row r="54817" spans="43:43" x14ac:dyDescent="0.2">
      <c r="AQ54817" s="31"/>
    </row>
    <row r="54818" spans="43:43" x14ac:dyDescent="0.2">
      <c r="AQ54818" s="31"/>
    </row>
    <row r="54819" spans="43:43" x14ac:dyDescent="0.2">
      <c r="AQ54819" s="31"/>
    </row>
    <row r="54820" spans="43:43" x14ac:dyDescent="0.2">
      <c r="AQ54820" s="31"/>
    </row>
    <row r="54821" spans="43:43" x14ac:dyDescent="0.2">
      <c r="AQ54821" s="31"/>
    </row>
    <row r="54822" spans="43:43" x14ac:dyDescent="0.2">
      <c r="AQ54822" s="31"/>
    </row>
    <row r="54823" spans="43:43" x14ac:dyDescent="0.2">
      <c r="AQ54823" s="31"/>
    </row>
    <row r="54824" spans="43:43" x14ac:dyDescent="0.2">
      <c r="AQ54824" s="31"/>
    </row>
    <row r="54825" spans="43:43" x14ac:dyDescent="0.2">
      <c r="AQ54825" s="31"/>
    </row>
    <row r="54826" spans="43:43" x14ac:dyDescent="0.2">
      <c r="AQ54826" s="31"/>
    </row>
    <row r="54827" spans="43:43" x14ac:dyDescent="0.2">
      <c r="AQ54827" s="31"/>
    </row>
    <row r="54828" spans="43:43" x14ac:dyDescent="0.2">
      <c r="AQ54828" s="31"/>
    </row>
    <row r="54829" spans="43:43" x14ac:dyDescent="0.2">
      <c r="AQ54829" s="31"/>
    </row>
    <row r="54830" spans="43:43" x14ac:dyDescent="0.2">
      <c r="AQ54830" s="31"/>
    </row>
    <row r="54831" spans="43:43" x14ac:dyDescent="0.2">
      <c r="AQ54831" s="31"/>
    </row>
    <row r="54832" spans="43:43" x14ac:dyDescent="0.2">
      <c r="AQ54832" s="31"/>
    </row>
    <row r="54833" spans="43:43" x14ac:dyDescent="0.2">
      <c r="AQ54833" s="31"/>
    </row>
    <row r="54834" spans="43:43" x14ac:dyDescent="0.2">
      <c r="AQ54834" s="31"/>
    </row>
    <row r="54835" spans="43:43" x14ac:dyDescent="0.2">
      <c r="AQ54835" s="31"/>
    </row>
    <row r="54836" spans="43:43" x14ac:dyDescent="0.2">
      <c r="AQ54836" s="31"/>
    </row>
    <row r="54837" spans="43:43" x14ac:dyDescent="0.2">
      <c r="AQ54837" s="31"/>
    </row>
    <row r="54838" spans="43:43" x14ac:dyDescent="0.2">
      <c r="AQ54838" s="31"/>
    </row>
    <row r="54839" spans="43:43" x14ac:dyDescent="0.2">
      <c r="AQ54839" s="31"/>
    </row>
    <row r="54840" spans="43:43" x14ac:dyDescent="0.2">
      <c r="AQ54840" s="31"/>
    </row>
    <row r="54841" spans="43:43" x14ac:dyDescent="0.2">
      <c r="AQ54841" s="31"/>
    </row>
    <row r="54842" spans="43:43" x14ac:dyDescent="0.2">
      <c r="AQ54842" s="31"/>
    </row>
    <row r="54843" spans="43:43" x14ac:dyDescent="0.2">
      <c r="AQ54843" s="31"/>
    </row>
    <row r="54844" spans="43:43" x14ac:dyDescent="0.2">
      <c r="AQ54844" s="31"/>
    </row>
    <row r="54845" spans="43:43" x14ac:dyDescent="0.2">
      <c r="AQ54845" s="31"/>
    </row>
    <row r="54846" spans="43:43" x14ac:dyDescent="0.2">
      <c r="AQ54846" s="31"/>
    </row>
    <row r="54847" spans="43:43" x14ac:dyDescent="0.2">
      <c r="AQ54847" s="31"/>
    </row>
    <row r="54848" spans="43:43" x14ac:dyDescent="0.2">
      <c r="AQ54848" s="31"/>
    </row>
    <row r="54849" spans="43:43" x14ac:dyDescent="0.2">
      <c r="AQ54849" s="31"/>
    </row>
    <row r="54850" spans="43:43" x14ac:dyDescent="0.2">
      <c r="AQ54850" s="31"/>
    </row>
    <row r="54851" spans="43:43" x14ac:dyDescent="0.2">
      <c r="AQ54851" s="31"/>
    </row>
    <row r="54852" spans="43:43" x14ac:dyDescent="0.2">
      <c r="AQ54852" s="31"/>
    </row>
    <row r="54853" spans="43:43" x14ac:dyDescent="0.2">
      <c r="AQ54853" s="31"/>
    </row>
    <row r="54854" spans="43:43" x14ac:dyDescent="0.2">
      <c r="AQ54854" s="31"/>
    </row>
    <row r="54855" spans="43:43" x14ac:dyDescent="0.2">
      <c r="AQ54855" s="31"/>
    </row>
    <row r="54856" spans="43:43" x14ac:dyDescent="0.2">
      <c r="AQ54856" s="31"/>
    </row>
    <row r="54857" spans="43:43" x14ac:dyDescent="0.2">
      <c r="AQ54857" s="31"/>
    </row>
    <row r="54858" spans="43:43" x14ac:dyDescent="0.2">
      <c r="AQ54858" s="31"/>
    </row>
    <row r="54859" spans="43:43" x14ac:dyDescent="0.2">
      <c r="AQ54859" s="31"/>
    </row>
    <row r="54860" spans="43:43" x14ac:dyDescent="0.2">
      <c r="AQ54860" s="31"/>
    </row>
    <row r="54861" spans="43:43" x14ac:dyDescent="0.2">
      <c r="AQ54861" s="31"/>
    </row>
    <row r="54862" spans="43:43" x14ac:dyDescent="0.2">
      <c r="AQ54862" s="31"/>
    </row>
    <row r="54863" spans="43:43" x14ac:dyDescent="0.2">
      <c r="AQ54863" s="31"/>
    </row>
    <row r="54864" spans="43:43" x14ac:dyDescent="0.2">
      <c r="AQ54864" s="31"/>
    </row>
    <row r="54865" spans="43:43" x14ac:dyDescent="0.2">
      <c r="AQ54865" s="31"/>
    </row>
    <row r="54866" spans="43:43" x14ac:dyDescent="0.2">
      <c r="AQ54866" s="31"/>
    </row>
    <row r="54867" spans="43:43" x14ac:dyDescent="0.2">
      <c r="AQ54867" s="31"/>
    </row>
    <row r="54868" spans="43:43" x14ac:dyDescent="0.2">
      <c r="AQ54868" s="31"/>
    </row>
    <row r="54869" spans="43:43" x14ac:dyDescent="0.2">
      <c r="AQ54869" s="31"/>
    </row>
    <row r="54870" spans="43:43" x14ac:dyDescent="0.2">
      <c r="AQ54870" s="31"/>
    </row>
    <row r="54871" spans="43:43" x14ac:dyDescent="0.2">
      <c r="AQ54871" s="31"/>
    </row>
    <row r="54872" spans="43:43" x14ac:dyDescent="0.2">
      <c r="AQ54872" s="31"/>
    </row>
    <row r="54873" spans="43:43" x14ac:dyDescent="0.2">
      <c r="AQ54873" s="31"/>
    </row>
    <row r="54874" spans="43:43" x14ac:dyDescent="0.2">
      <c r="AQ54874" s="31"/>
    </row>
    <row r="54875" spans="43:43" x14ac:dyDescent="0.2">
      <c r="AQ54875" s="31"/>
    </row>
    <row r="54876" spans="43:43" x14ac:dyDescent="0.2">
      <c r="AQ54876" s="31"/>
    </row>
    <row r="54877" spans="43:43" x14ac:dyDescent="0.2">
      <c r="AQ54877" s="31"/>
    </row>
    <row r="54878" spans="43:43" x14ac:dyDescent="0.2">
      <c r="AQ54878" s="31"/>
    </row>
    <row r="54879" spans="43:43" x14ac:dyDescent="0.2">
      <c r="AQ54879" s="31"/>
    </row>
    <row r="54880" spans="43:43" x14ac:dyDescent="0.2">
      <c r="AQ54880" s="31"/>
    </row>
    <row r="54881" spans="43:43" x14ac:dyDescent="0.2">
      <c r="AQ54881" s="31"/>
    </row>
    <row r="54882" spans="43:43" x14ac:dyDescent="0.2">
      <c r="AQ54882" s="31"/>
    </row>
    <row r="54883" spans="43:43" x14ac:dyDescent="0.2">
      <c r="AQ54883" s="31"/>
    </row>
    <row r="54884" spans="43:43" x14ac:dyDescent="0.2">
      <c r="AQ54884" s="31"/>
    </row>
    <row r="54885" spans="43:43" x14ac:dyDescent="0.2">
      <c r="AQ54885" s="31"/>
    </row>
    <row r="54886" spans="43:43" x14ac:dyDescent="0.2">
      <c r="AQ54886" s="31"/>
    </row>
    <row r="54887" spans="43:43" x14ac:dyDescent="0.2">
      <c r="AQ54887" s="31"/>
    </row>
    <row r="54888" spans="43:43" x14ac:dyDescent="0.2">
      <c r="AQ54888" s="31"/>
    </row>
    <row r="54889" spans="43:43" x14ac:dyDescent="0.2">
      <c r="AQ54889" s="31"/>
    </row>
    <row r="54890" spans="43:43" x14ac:dyDescent="0.2">
      <c r="AQ54890" s="31"/>
    </row>
    <row r="54891" spans="43:43" x14ac:dyDescent="0.2">
      <c r="AQ54891" s="31"/>
    </row>
    <row r="54892" spans="43:43" x14ac:dyDescent="0.2">
      <c r="AQ54892" s="31"/>
    </row>
    <row r="54893" spans="43:43" x14ac:dyDescent="0.2">
      <c r="AQ54893" s="31"/>
    </row>
    <row r="54894" spans="43:43" x14ac:dyDescent="0.2">
      <c r="AQ54894" s="31"/>
    </row>
    <row r="54895" spans="43:43" x14ac:dyDescent="0.2">
      <c r="AQ54895" s="31"/>
    </row>
    <row r="54896" spans="43:43" x14ac:dyDescent="0.2">
      <c r="AQ54896" s="31"/>
    </row>
    <row r="54897" spans="43:43" x14ac:dyDescent="0.2">
      <c r="AQ54897" s="31"/>
    </row>
    <row r="54898" spans="43:43" x14ac:dyDescent="0.2">
      <c r="AQ54898" s="31"/>
    </row>
    <row r="54899" spans="43:43" x14ac:dyDescent="0.2">
      <c r="AQ54899" s="31"/>
    </row>
    <row r="54900" spans="43:43" x14ac:dyDescent="0.2">
      <c r="AQ54900" s="31"/>
    </row>
    <row r="54901" spans="43:43" x14ac:dyDescent="0.2">
      <c r="AQ54901" s="31"/>
    </row>
    <row r="54902" spans="43:43" x14ac:dyDescent="0.2">
      <c r="AQ54902" s="31"/>
    </row>
    <row r="54903" spans="43:43" x14ac:dyDescent="0.2">
      <c r="AQ54903" s="31"/>
    </row>
    <row r="54904" spans="43:43" x14ac:dyDescent="0.2">
      <c r="AQ54904" s="31"/>
    </row>
    <row r="54905" spans="43:43" x14ac:dyDescent="0.2">
      <c r="AQ54905" s="31"/>
    </row>
    <row r="54906" spans="43:43" x14ac:dyDescent="0.2">
      <c r="AQ54906" s="31"/>
    </row>
    <row r="54907" spans="43:43" x14ac:dyDescent="0.2">
      <c r="AQ54907" s="31"/>
    </row>
    <row r="54908" spans="43:43" x14ac:dyDescent="0.2">
      <c r="AQ54908" s="31"/>
    </row>
    <row r="54909" spans="43:43" x14ac:dyDescent="0.2">
      <c r="AQ54909" s="31"/>
    </row>
    <row r="54910" spans="43:43" x14ac:dyDescent="0.2">
      <c r="AQ54910" s="31"/>
    </row>
    <row r="54911" spans="43:43" x14ac:dyDescent="0.2">
      <c r="AQ54911" s="31"/>
    </row>
    <row r="54912" spans="43:43" x14ac:dyDescent="0.2">
      <c r="AQ54912" s="31"/>
    </row>
    <row r="54913" spans="43:43" x14ac:dyDescent="0.2">
      <c r="AQ54913" s="31"/>
    </row>
    <row r="54914" spans="43:43" x14ac:dyDescent="0.2">
      <c r="AQ54914" s="31"/>
    </row>
    <row r="54915" spans="43:43" x14ac:dyDescent="0.2">
      <c r="AQ54915" s="31"/>
    </row>
    <row r="54916" spans="43:43" x14ac:dyDescent="0.2">
      <c r="AQ54916" s="31"/>
    </row>
    <row r="54917" spans="43:43" x14ac:dyDescent="0.2">
      <c r="AQ54917" s="31"/>
    </row>
    <row r="54918" spans="43:43" x14ac:dyDescent="0.2">
      <c r="AQ54918" s="31"/>
    </row>
    <row r="54919" spans="43:43" x14ac:dyDescent="0.2">
      <c r="AQ54919" s="31"/>
    </row>
    <row r="54920" spans="43:43" x14ac:dyDescent="0.2">
      <c r="AQ54920" s="31"/>
    </row>
    <row r="54921" spans="43:43" x14ac:dyDescent="0.2">
      <c r="AQ54921" s="31"/>
    </row>
    <row r="54922" spans="43:43" x14ac:dyDescent="0.2">
      <c r="AQ54922" s="31"/>
    </row>
    <row r="54923" spans="43:43" x14ac:dyDescent="0.2">
      <c r="AQ54923" s="31"/>
    </row>
    <row r="54924" spans="43:43" x14ac:dyDescent="0.2">
      <c r="AQ54924" s="31"/>
    </row>
    <row r="54925" spans="43:43" x14ac:dyDescent="0.2">
      <c r="AQ54925" s="31"/>
    </row>
    <row r="54926" spans="43:43" x14ac:dyDescent="0.2">
      <c r="AQ54926" s="31"/>
    </row>
    <row r="54927" spans="43:43" x14ac:dyDescent="0.2">
      <c r="AQ54927" s="31"/>
    </row>
    <row r="54928" spans="43:43" x14ac:dyDescent="0.2">
      <c r="AQ54928" s="31"/>
    </row>
    <row r="54929" spans="43:43" x14ac:dyDescent="0.2">
      <c r="AQ54929" s="31"/>
    </row>
    <row r="54930" spans="43:43" x14ac:dyDescent="0.2">
      <c r="AQ54930" s="31"/>
    </row>
    <row r="54931" spans="43:43" x14ac:dyDescent="0.2">
      <c r="AQ54931" s="31"/>
    </row>
    <row r="54932" spans="43:43" x14ac:dyDescent="0.2">
      <c r="AQ54932" s="31"/>
    </row>
    <row r="54933" spans="43:43" x14ac:dyDescent="0.2">
      <c r="AQ54933" s="31"/>
    </row>
    <row r="54934" spans="43:43" x14ac:dyDescent="0.2">
      <c r="AQ54934" s="31"/>
    </row>
    <row r="54935" spans="43:43" x14ac:dyDescent="0.2">
      <c r="AQ54935" s="31"/>
    </row>
    <row r="54936" spans="43:43" x14ac:dyDescent="0.2">
      <c r="AQ54936" s="31"/>
    </row>
    <row r="54937" spans="43:43" x14ac:dyDescent="0.2">
      <c r="AQ54937" s="31"/>
    </row>
    <row r="54938" spans="43:43" x14ac:dyDescent="0.2">
      <c r="AQ54938" s="31"/>
    </row>
    <row r="54939" spans="43:43" x14ac:dyDescent="0.2">
      <c r="AQ54939" s="31"/>
    </row>
    <row r="54940" spans="43:43" x14ac:dyDescent="0.2">
      <c r="AQ54940" s="31"/>
    </row>
    <row r="54941" spans="43:43" x14ac:dyDescent="0.2">
      <c r="AQ54941" s="31"/>
    </row>
    <row r="54942" spans="43:43" x14ac:dyDescent="0.2">
      <c r="AQ54942" s="31"/>
    </row>
    <row r="54943" spans="43:43" x14ac:dyDescent="0.2">
      <c r="AQ54943" s="31"/>
    </row>
    <row r="54944" spans="43:43" x14ac:dyDescent="0.2">
      <c r="AQ54944" s="31"/>
    </row>
    <row r="54945" spans="43:43" x14ac:dyDescent="0.2">
      <c r="AQ54945" s="31"/>
    </row>
    <row r="54946" spans="43:43" x14ac:dyDescent="0.2">
      <c r="AQ54946" s="31"/>
    </row>
    <row r="54947" spans="43:43" x14ac:dyDescent="0.2">
      <c r="AQ54947" s="31"/>
    </row>
    <row r="54948" spans="43:43" x14ac:dyDescent="0.2">
      <c r="AQ54948" s="31"/>
    </row>
    <row r="54949" spans="43:43" x14ac:dyDescent="0.2">
      <c r="AQ54949" s="31"/>
    </row>
    <row r="54950" spans="43:43" x14ac:dyDescent="0.2">
      <c r="AQ54950" s="31"/>
    </row>
    <row r="54951" spans="43:43" x14ac:dyDescent="0.2">
      <c r="AQ54951" s="31"/>
    </row>
    <row r="54952" spans="43:43" x14ac:dyDescent="0.2">
      <c r="AQ54952" s="31"/>
    </row>
    <row r="54953" spans="43:43" x14ac:dyDescent="0.2">
      <c r="AQ54953" s="31"/>
    </row>
    <row r="54954" spans="43:43" x14ac:dyDescent="0.2">
      <c r="AQ54954" s="31"/>
    </row>
    <row r="54955" spans="43:43" x14ac:dyDescent="0.2">
      <c r="AQ54955" s="31"/>
    </row>
    <row r="54956" spans="43:43" x14ac:dyDescent="0.2">
      <c r="AQ54956" s="31"/>
    </row>
    <row r="54957" spans="43:43" x14ac:dyDescent="0.2">
      <c r="AQ54957" s="31"/>
    </row>
    <row r="54958" spans="43:43" x14ac:dyDescent="0.2">
      <c r="AQ54958" s="31"/>
    </row>
    <row r="54959" spans="43:43" x14ac:dyDescent="0.2">
      <c r="AQ54959" s="31"/>
    </row>
    <row r="54960" spans="43:43" x14ac:dyDescent="0.2">
      <c r="AQ54960" s="31"/>
    </row>
    <row r="54961" spans="43:43" x14ac:dyDescent="0.2">
      <c r="AQ54961" s="31"/>
    </row>
    <row r="54962" spans="43:43" x14ac:dyDescent="0.2">
      <c r="AQ54962" s="31"/>
    </row>
    <row r="54963" spans="43:43" x14ac:dyDescent="0.2">
      <c r="AQ54963" s="31"/>
    </row>
    <row r="54964" spans="43:43" x14ac:dyDescent="0.2">
      <c r="AQ54964" s="31"/>
    </row>
    <row r="54965" spans="43:43" x14ac:dyDescent="0.2">
      <c r="AQ54965" s="31"/>
    </row>
    <row r="54966" spans="43:43" x14ac:dyDescent="0.2">
      <c r="AQ54966" s="31"/>
    </row>
    <row r="54967" spans="43:43" x14ac:dyDescent="0.2">
      <c r="AQ54967" s="31"/>
    </row>
    <row r="54968" spans="43:43" x14ac:dyDescent="0.2">
      <c r="AQ54968" s="31"/>
    </row>
    <row r="54969" spans="43:43" x14ac:dyDescent="0.2">
      <c r="AQ54969" s="31"/>
    </row>
    <row r="54970" spans="43:43" x14ac:dyDescent="0.2">
      <c r="AQ54970" s="31"/>
    </row>
    <row r="54971" spans="43:43" x14ac:dyDescent="0.2">
      <c r="AQ54971" s="31"/>
    </row>
    <row r="54972" spans="43:43" x14ac:dyDescent="0.2">
      <c r="AQ54972" s="31"/>
    </row>
    <row r="54973" spans="43:43" x14ac:dyDescent="0.2">
      <c r="AQ54973" s="31"/>
    </row>
    <row r="54974" spans="43:43" x14ac:dyDescent="0.2">
      <c r="AQ54974" s="31"/>
    </row>
    <row r="54975" spans="43:43" x14ac:dyDescent="0.2">
      <c r="AQ54975" s="31"/>
    </row>
    <row r="54976" spans="43:43" x14ac:dyDescent="0.2">
      <c r="AQ54976" s="31"/>
    </row>
    <row r="54977" spans="43:43" x14ac:dyDescent="0.2">
      <c r="AQ54977" s="31"/>
    </row>
    <row r="54978" spans="43:43" x14ac:dyDescent="0.2">
      <c r="AQ54978" s="31"/>
    </row>
    <row r="54979" spans="43:43" x14ac:dyDescent="0.2">
      <c r="AQ54979" s="31"/>
    </row>
    <row r="54980" spans="43:43" x14ac:dyDescent="0.2">
      <c r="AQ54980" s="31"/>
    </row>
    <row r="54981" spans="43:43" x14ac:dyDescent="0.2">
      <c r="AQ54981" s="31"/>
    </row>
    <row r="54982" spans="43:43" x14ac:dyDescent="0.2">
      <c r="AQ54982" s="31"/>
    </row>
    <row r="54983" spans="43:43" x14ac:dyDescent="0.2">
      <c r="AQ54983" s="31"/>
    </row>
    <row r="54984" spans="43:43" x14ac:dyDescent="0.2">
      <c r="AQ54984" s="31"/>
    </row>
    <row r="54985" spans="43:43" x14ac:dyDescent="0.2">
      <c r="AQ54985" s="31"/>
    </row>
    <row r="54986" spans="43:43" x14ac:dyDescent="0.2">
      <c r="AQ54986" s="31"/>
    </row>
    <row r="54987" spans="43:43" x14ac:dyDescent="0.2">
      <c r="AQ54987" s="31"/>
    </row>
    <row r="54988" spans="43:43" x14ac:dyDescent="0.2">
      <c r="AQ54988" s="31"/>
    </row>
    <row r="54989" spans="43:43" x14ac:dyDescent="0.2">
      <c r="AQ54989" s="31"/>
    </row>
    <row r="54990" spans="43:43" x14ac:dyDescent="0.2">
      <c r="AQ54990" s="31"/>
    </row>
    <row r="54991" spans="43:43" x14ac:dyDescent="0.2">
      <c r="AQ54991" s="31"/>
    </row>
    <row r="54992" spans="43:43" x14ac:dyDescent="0.2">
      <c r="AQ54992" s="31"/>
    </row>
    <row r="54993" spans="43:43" x14ac:dyDescent="0.2">
      <c r="AQ54993" s="31"/>
    </row>
    <row r="54994" spans="43:43" x14ac:dyDescent="0.2">
      <c r="AQ54994" s="31"/>
    </row>
    <row r="54995" spans="43:43" x14ac:dyDescent="0.2">
      <c r="AQ54995" s="31"/>
    </row>
    <row r="54996" spans="43:43" x14ac:dyDescent="0.2">
      <c r="AQ54996" s="31"/>
    </row>
    <row r="54997" spans="43:43" x14ac:dyDescent="0.2">
      <c r="AQ54997" s="31"/>
    </row>
    <row r="54998" spans="43:43" x14ac:dyDescent="0.2">
      <c r="AQ54998" s="31"/>
    </row>
    <row r="54999" spans="43:43" x14ac:dyDescent="0.2">
      <c r="AQ54999" s="31"/>
    </row>
    <row r="55000" spans="43:43" x14ac:dyDescent="0.2">
      <c r="AQ55000" s="31"/>
    </row>
    <row r="55001" spans="43:43" x14ac:dyDescent="0.2">
      <c r="AQ55001" s="31"/>
    </row>
    <row r="55002" spans="43:43" x14ac:dyDescent="0.2">
      <c r="AQ55002" s="31"/>
    </row>
    <row r="55003" spans="43:43" x14ac:dyDescent="0.2">
      <c r="AQ55003" s="31"/>
    </row>
    <row r="55004" spans="43:43" x14ac:dyDescent="0.2">
      <c r="AQ55004" s="31"/>
    </row>
    <row r="55005" spans="43:43" x14ac:dyDescent="0.2">
      <c r="AQ55005" s="31"/>
    </row>
    <row r="55006" spans="43:43" x14ac:dyDescent="0.2">
      <c r="AQ55006" s="31"/>
    </row>
    <row r="55007" spans="43:43" x14ac:dyDescent="0.2">
      <c r="AQ55007" s="31"/>
    </row>
    <row r="55008" spans="43:43" x14ac:dyDescent="0.2">
      <c r="AQ55008" s="31"/>
    </row>
    <row r="55009" spans="43:43" x14ac:dyDescent="0.2">
      <c r="AQ55009" s="31"/>
    </row>
    <row r="55010" spans="43:43" x14ac:dyDescent="0.2">
      <c r="AQ55010" s="31"/>
    </row>
    <row r="55011" spans="43:43" x14ac:dyDescent="0.2">
      <c r="AQ55011" s="31"/>
    </row>
    <row r="55012" spans="43:43" x14ac:dyDescent="0.2">
      <c r="AQ55012" s="31"/>
    </row>
    <row r="55013" spans="43:43" x14ac:dyDescent="0.2">
      <c r="AQ55013" s="31"/>
    </row>
    <row r="55014" spans="43:43" x14ac:dyDescent="0.2">
      <c r="AQ55014" s="31"/>
    </row>
    <row r="55015" spans="43:43" x14ac:dyDescent="0.2">
      <c r="AQ55015" s="31"/>
    </row>
    <row r="55016" spans="43:43" x14ac:dyDescent="0.2">
      <c r="AQ55016" s="31"/>
    </row>
    <row r="55017" spans="43:43" x14ac:dyDescent="0.2">
      <c r="AQ55017" s="31"/>
    </row>
    <row r="55018" spans="43:43" x14ac:dyDescent="0.2">
      <c r="AQ55018" s="31"/>
    </row>
    <row r="55019" spans="43:43" x14ac:dyDescent="0.2">
      <c r="AQ55019" s="31"/>
    </row>
    <row r="55020" spans="43:43" x14ac:dyDescent="0.2">
      <c r="AQ55020" s="31"/>
    </row>
    <row r="55021" spans="43:43" x14ac:dyDescent="0.2">
      <c r="AQ55021" s="31"/>
    </row>
    <row r="55022" spans="43:43" x14ac:dyDescent="0.2">
      <c r="AQ55022" s="31"/>
    </row>
    <row r="55023" spans="43:43" x14ac:dyDescent="0.2">
      <c r="AQ55023" s="31"/>
    </row>
    <row r="55024" spans="43:43" x14ac:dyDescent="0.2">
      <c r="AQ55024" s="31"/>
    </row>
    <row r="55025" spans="43:43" x14ac:dyDescent="0.2">
      <c r="AQ55025" s="31"/>
    </row>
    <row r="55026" spans="43:43" x14ac:dyDescent="0.2">
      <c r="AQ55026" s="31"/>
    </row>
    <row r="55027" spans="43:43" x14ac:dyDescent="0.2">
      <c r="AQ55027" s="31"/>
    </row>
    <row r="55028" spans="43:43" x14ac:dyDescent="0.2">
      <c r="AQ55028" s="31"/>
    </row>
    <row r="55029" spans="43:43" x14ac:dyDescent="0.2">
      <c r="AQ55029" s="31"/>
    </row>
    <row r="55030" spans="43:43" x14ac:dyDescent="0.2">
      <c r="AQ55030" s="31"/>
    </row>
    <row r="55031" spans="43:43" x14ac:dyDescent="0.2">
      <c r="AQ55031" s="31"/>
    </row>
    <row r="55032" spans="43:43" x14ac:dyDescent="0.2">
      <c r="AQ55032" s="31"/>
    </row>
    <row r="55033" spans="43:43" x14ac:dyDescent="0.2">
      <c r="AQ55033" s="31"/>
    </row>
    <row r="55034" spans="43:43" x14ac:dyDescent="0.2">
      <c r="AQ55034" s="31"/>
    </row>
    <row r="55035" spans="43:43" x14ac:dyDescent="0.2">
      <c r="AQ55035" s="31"/>
    </row>
    <row r="55036" spans="43:43" x14ac:dyDescent="0.2">
      <c r="AQ55036" s="31"/>
    </row>
    <row r="55037" spans="43:43" x14ac:dyDescent="0.2">
      <c r="AQ55037" s="31"/>
    </row>
    <row r="55038" spans="43:43" x14ac:dyDescent="0.2">
      <c r="AQ55038" s="31"/>
    </row>
    <row r="55039" spans="43:43" x14ac:dyDescent="0.2">
      <c r="AQ55039" s="31"/>
    </row>
    <row r="55040" spans="43:43" x14ac:dyDescent="0.2">
      <c r="AQ55040" s="31"/>
    </row>
    <row r="55041" spans="43:43" x14ac:dyDescent="0.2">
      <c r="AQ55041" s="31"/>
    </row>
    <row r="55042" spans="43:43" x14ac:dyDescent="0.2">
      <c r="AQ55042" s="31"/>
    </row>
    <row r="55043" spans="43:43" x14ac:dyDescent="0.2">
      <c r="AQ55043" s="31"/>
    </row>
    <row r="55044" spans="43:43" x14ac:dyDescent="0.2">
      <c r="AQ55044" s="31"/>
    </row>
    <row r="55045" spans="43:43" x14ac:dyDescent="0.2">
      <c r="AQ55045" s="31"/>
    </row>
    <row r="55046" spans="43:43" x14ac:dyDescent="0.2">
      <c r="AQ55046" s="31"/>
    </row>
    <row r="55047" spans="43:43" x14ac:dyDescent="0.2">
      <c r="AQ55047" s="31"/>
    </row>
    <row r="55048" spans="43:43" x14ac:dyDescent="0.2">
      <c r="AQ55048" s="31"/>
    </row>
    <row r="55049" spans="43:43" x14ac:dyDescent="0.2">
      <c r="AQ55049" s="31"/>
    </row>
    <row r="55050" spans="43:43" x14ac:dyDescent="0.2">
      <c r="AQ55050" s="31"/>
    </row>
    <row r="55051" spans="43:43" x14ac:dyDescent="0.2">
      <c r="AQ55051" s="31"/>
    </row>
    <row r="55052" spans="43:43" x14ac:dyDescent="0.2">
      <c r="AQ55052" s="31"/>
    </row>
    <row r="55053" spans="43:43" x14ac:dyDescent="0.2">
      <c r="AQ55053" s="31"/>
    </row>
    <row r="55054" spans="43:43" x14ac:dyDescent="0.2">
      <c r="AQ55054" s="31"/>
    </row>
    <row r="55055" spans="43:43" x14ac:dyDescent="0.2">
      <c r="AQ55055" s="31"/>
    </row>
    <row r="55056" spans="43:43" x14ac:dyDescent="0.2">
      <c r="AQ55056" s="31"/>
    </row>
    <row r="55057" spans="43:43" x14ac:dyDescent="0.2">
      <c r="AQ55057" s="31"/>
    </row>
    <row r="55058" spans="43:43" x14ac:dyDescent="0.2">
      <c r="AQ55058" s="31"/>
    </row>
    <row r="55059" spans="43:43" x14ac:dyDescent="0.2">
      <c r="AQ55059" s="31"/>
    </row>
    <row r="55060" spans="43:43" x14ac:dyDescent="0.2">
      <c r="AQ55060" s="31"/>
    </row>
    <row r="55061" spans="43:43" x14ac:dyDescent="0.2">
      <c r="AQ55061" s="31"/>
    </row>
    <row r="55062" spans="43:43" x14ac:dyDescent="0.2">
      <c r="AQ55062" s="31"/>
    </row>
    <row r="55063" spans="43:43" x14ac:dyDescent="0.2">
      <c r="AQ55063" s="31"/>
    </row>
    <row r="55064" spans="43:43" x14ac:dyDescent="0.2">
      <c r="AQ55064" s="31"/>
    </row>
    <row r="55065" spans="43:43" x14ac:dyDescent="0.2">
      <c r="AQ55065" s="31"/>
    </row>
    <row r="55066" spans="43:43" x14ac:dyDescent="0.2">
      <c r="AQ55066" s="31"/>
    </row>
    <row r="55067" spans="43:43" x14ac:dyDescent="0.2">
      <c r="AQ55067" s="31"/>
    </row>
    <row r="55068" spans="43:43" x14ac:dyDescent="0.2">
      <c r="AQ55068" s="31"/>
    </row>
    <row r="55069" spans="43:43" x14ac:dyDescent="0.2">
      <c r="AQ55069" s="31"/>
    </row>
    <row r="55070" spans="43:43" x14ac:dyDescent="0.2">
      <c r="AQ55070" s="31"/>
    </row>
    <row r="55071" spans="43:43" x14ac:dyDescent="0.2">
      <c r="AQ55071" s="31"/>
    </row>
    <row r="55072" spans="43:43" x14ac:dyDescent="0.2">
      <c r="AQ55072" s="31"/>
    </row>
    <row r="55073" spans="43:43" x14ac:dyDescent="0.2">
      <c r="AQ55073" s="31"/>
    </row>
    <row r="55074" spans="43:43" x14ac:dyDescent="0.2">
      <c r="AQ55074" s="31"/>
    </row>
    <row r="55075" spans="43:43" x14ac:dyDescent="0.2">
      <c r="AQ55075" s="31"/>
    </row>
    <row r="55076" spans="43:43" x14ac:dyDescent="0.2">
      <c r="AQ55076" s="31"/>
    </row>
    <row r="55077" spans="43:43" x14ac:dyDescent="0.2">
      <c r="AQ55077" s="31"/>
    </row>
    <row r="55078" spans="43:43" x14ac:dyDescent="0.2">
      <c r="AQ55078" s="31"/>
    </row>
    <row r="55079" spans="43:43" x14ac:dyDescent="0.2">
      <c r="AQ55079" s="31"/>
    </row>
    <row r="55080" spans="43:43" x14ac:dyDescent="0.2">
      <c r="AQ55080" s="31"/>
    </row>
    <row r="55081" spans="43:43" x14ac:dyDescent="0.2">
      <c r="AQ55081" s="31"/>
    </row>
    <row r="55082" spans="43:43" x14ac:dyDescent="0.2">
      <c r="AQ55082" s="31"/>
    </row>
    <row r="55083" spans="43:43" x14ac:dyDescent="0.2">
      <c r="AQ55083" s="31"/>
    </row>
    <row r="55084" spans="43:43" x14ac:dyDescent="0.2">
      <c r="AQ55084" s="31"/>
    </row>
    <row r="55085" spans="43:43" x14ac:dyDescent="0.2">
      <c r="AQ55085" s="31"/>
    </row>
    <row r="55086" spans="43:43" x14ac:dyDescent="0.2">
      <c r="AQ55086" s="31"/>
    </row>
    <row r="55087" spans="43:43" x14ac:dyDescent="0.2">
      <c r="AQ55087" s="31"/>
    </row>
    <row r="55088" spans="43:43" x14ac:dyDescent="0.2">
      <c r="AQ55088" s="31"/>
    </row>
    <row r="55089" spans="43:43" x14ac:dyDescent="0.2">
      <c r="AQ55089" s="31"/>
    </row>
    <row r="55090" spans="43:43" x14ac:dyDescent="0.2">
      <c r="AQ55090" s="31"/>
    </row>
    <row r="55091" spans="43:43" x14ac:dyDescent="0.2">
      <c r="AQ55091" s="31"/>
    </row>
    <row r="55092" spans="43:43" x14ac:dyDescent="0.2">
      <c r="AQ55092" s="31"/>
    </row>
    <row r="55093" spans="43:43" x14ac:dyDescent="0.2">
      <c r="AQ55093" s="31"/>
    </row>
    <row r="55094" spans="43:43" x14ac:dyDescent="0.2">
      <c r="AQ55094" s="31"/>
    </row>
    <row r="55095" spans="43:43" x14ac:dyDescent="0.2">
      <c r="AQ55095" s="31"/>
    </row>
    <row r="55096" spans="43:43" x14ac:dyDescent="0.2">
      <c r="AQ55096" s="31"/>
    </row>
    <row r="55097" spans="43:43" x14ac:dyDescent="0.2">
      <c r="AQ55097" s="31"/>
    </row>
    <row r="55098" spans="43:43" x14ac:dyDescent="0.2">
      <c r="AQ55098" s="31"/>
    </row>
    <row r="55099" spans="43:43" x14ac:dyDescent="0.2">
      <c r="AQ55099" s="31"/>
    </row>
    <row r="55100" spans="43:43" x14ac:dyDescent="0.2">
      <c r="AQ55100" s="31"/>
    </row>
    <row r="55101" spans="43:43" x14ac:dyDescent="0.2">
      <c r="AQ55101" s="31"/>
    </row>
    <row r="55102" spans="43:43" x14ac:dyDescent="0.2">
      <c r="AQ55102" s="31"/>
    </row>
    <row r="55103" spans="43:43" x14ac:dyDescent="0.2">
      <c r="AQ55103" s="31"/>
    </row>
    <row r="55104" spans="43:43" x14ac:dyDescent="0.2">
      <c r="AQ55104" s="31"/>
    </row>
    <row r="55105" spans="43:43" x14ac:dyDescent="0.2">
      <c r="AQ55105" s="31"/>
    </row>
    <row r="55106" spans="43:43" x14ac:dyDescent="0.2">
      <c r="AQ55106" s="31"/>
    </row>
    <row r="55107" spans="43:43" x14ac:dyDescent="0.2">
      <c r="AQ55107" s="31"/>
    </row>
    <row r="55108" spans="43:43" x14ac:dyDescent="0.2">
      <c r="AQ55108" s="31"/>
    </row>
    <row r="55109" spans="43:43" x14ac:dyDescent="0.2">
      <c r="AQ55109" s="31"/>
    </row>
    <row r="55110" spans="43:43" x14ac:dyDescent="0.2">
      <c r="AQ55110" s="31"/>
    </row>
    <row r="55111" spans="43:43" x14ac:dyDescent="0.2">
      <c r="AQ55111" s="31"/>
    </row>
    <row r="55112" spans="43:43" x14ac:dyDescent="0.2">
      <c r="AQ55112" s="31"/>
    </row>
    <row r="55113" spans="43:43" x14ac:dyDescent="0.2">
      <c r="AQ55113" s="31"/>
    </row>
    <row r="55114" spans="43:43" x14ac:dyDescent="0.2">
      <c r="AQ55114" s="31"/>
    </row>
    <row r="55115" spans="43:43" x14ac:dyDescent="0.2">
      <c r="AQ55115" s="31"/>
    </row>
    <row r="55116" spans="43:43" x14ac:dyDescent="0.2">
      <c r="AQ55116" s="31"/>
    </row>
    <row r="55117" spans="43:43" x14ac:dyDescent="0.2">
      <c r="AQ55117" s="31"/>
    </row>
    <row r="55118" spans="43:43" x14ac:dyDescent="0.2">
      <c r="AQ55118" s="31"/>
    </row>
    <row r="55119" spans="43:43" x14ac:dyDescent="0.2">
      <c r="AQ55119" s="31"/>
    </row>
    <row r="55120" spans="43:43" x14ac:dyDescent="0.2">
      <c r="AQ55120" s="31"/>
    </row>
    <row r="55121" spans="43:43" x14ac:dyDescent="0.2">
      <c r="AQ55121" s="31"/>
    </row>
    <row r="55122" spans="43:43" x14ac:dyDescent="0.2">
      <c r="AQ55122" s="31"/>
    </row>
    <row r="55123" spans="43:43" x14ac:dyDescent="0.2">
      <c r="AQ55123" s="31"/>
    </row>
    <row r="55124" spans="43:43" x14ac:dyDescent="0.2">
      <c r="AQ55124" s="31"/>
    </row>
    <row r="55125" spans="43:43" x14ac:dyDescent="0.2">
      <c r="AQ55125" s="31"/>
    </row>
    <row r="55126" spans="43:43" x14ac:dyDescent="0.2">
      <c r="AQ55126" s="31"/>
    </row>
    <row r="55127" spans="43:43" x14ac:dyDescent="0.2">
      <c r="AQ55127" s="31"/>
    </row>
    <row r="55128" spans="43:43" x14ac:dyDescent="0.2">
      <c r="AQ55128" s="31"/>
    </row>
    <row r="55129" spans="43:43" x14ac:dyDescent="0.2">
      <c r="AQ55129" s="31"/>
    </row>
    <row r="55130" spans="43:43" x14ac:dyDescent="0.2">
      <c r="AQ55130" s="31"/>
    </row>
    <row r="55131" spans="43:43" x14ac:dyDescent="0.2">
      <c r="AQ55131" s="31"/>
    </row>
    <row r="55132" spans="43:43" x14ac:dyDescent="0.2">
      <c r="AQ55132" s="31"/>
    </row>
    <row r="55133" spans="43:43" x14ac:dyDescent="0.2">
      <c r="AQ55133" s="31"/>
    </row>
    <row r="55134" spans="43:43" x14ac:dyDescent="0.2">
      <c r="AQ55134" s="31"/>
    </row>
    <row r="55135" spans="43:43" x14ac:dyDescent="0.2">
      <c r="AQ55135" s="31"/>
    </row>
    <row r="55136" spans="43:43" x14ac:dyDescent="0.2">
      <c r="AQ55136" s="31"/>
    </row>
    <row r="55137" spans="43:43" x14ac:dyDescent="0.2">
      <c r="AQ55137" s="31"/>
    </row>
    <row r="55138" spans="43:43" x14ac:dyDescent="0.2">
      <c r="AQ55138" s="31"/>
    </row>
    <row r="55139" spans="43:43" x14ac:dyDescent="0.2">
      <c r="AQ55139" s="31"/>
    </row>
    <row r="55140" spans="43:43" x14ac:dyDescent="0.2">
      <c r="AQ55140" s="31"/>
    </row>
    <row r="55141" spans="43:43" x14ac:dyDescent="0.2">
      <c r="AQ55141" s="31"/>
    </row>
    <row r="55142" spans="43:43" x14ac:dyDescent="0.2">
      <c r="AQ55142" s="31"/>
    </row>
    <row r="55143" spans="43:43" x14ac:dyDescent="0.2">
      <c r="AQ55143" s="31"/>
    </row>
    <row r="55144" spans="43:43" x14ac:dyDescent="0.2">
      <c r="AQ55144" s="31"/>
    </row>
    <row r="55145" spans="43:43" x14ac:dyDescent="0.2">
      <c r="AQ55145" s="31"/>
    </row>
    <row r="55146" spans="43:43" x14ac:dyDescent="0.2">
      <c r="AQ55146" s="31"/>
    </row>
    <row r="55147" spans="43:43" x14ac:dyDescent="0.2">
      <c r="AQ55147" s="31"/>
    </row>
    <row r="55148" spans="43:43" x14ac:dyDescent="0.2">
      <c r="AQ55148" s="31"/>
    </row>
    <row r="55149" spans="43:43" x14ac:dyDescent="0.2">
      <c r="AQ55149" s="31"/>
    </row>
    <row r="55150" spans="43:43" x14ac:dyDescent="0.2">
      <c r="AQ55150" s="31"/>
    </row>
    <row r="55151" spans="43:43" x14ac:dyDescent="0.2">
      <c r="AQ55151" s="31"/>
    </row>
    <row r="55152" spans="43:43" x14ac:dyDescent="0.2">
      <c r="AQ55152" s="31"/>
    </row>
    <row r="55153" spans="43:43" x14ac:dyDescent="0.2">
      <c r="AQ55153" s="31"/>
    </row>
    <row r="55154" spans="43:43" x14ac:dyDescent="0.2">
      <c r="AQ55154" s="31"/>
    </row>
    <row r="55155" spans="43:43" x14ac:dyDescent="0.2">
      <c r="AQ55155" s="31"/>
    </row>
    <row r="55156" spans="43:43" x14ac:dyDescent="0.2">
      <c r="AQ55156" s="31"/>
    </row>
    <row r="55157" spans="43:43" x14ac:dyDescent="0.2">
      <c r="AQ55157" s="31"/>
    </row>
    <row r="55158" spans="43:43" x14ac:dyDescent="0.2">
      <c r="AQ55158" s="31"/>
    </row>
    <row r="55159" spans="43:43" x14ac:dyDescent="0.2">
      <c r="AQ55159" s="31"/>
    </row>
    <row r="55160" spans="43:43" x14ac:dyDescent="0.2">
      <c r="AQ55160" s="31"/>
    </row>
    <row r="55161" spans="43:43" x14ac:dyDescent="0.2">
      <c r="AQ55161" s="31"/>
    </row>
    <row r="55162" spans="43:43" x14ac:dyDescent="0.2">
      <c r="AQ55162" s="31"/>
    </row>
    <row r="55163" spans="43:43" x14ac:dyDescent="0.2">
      <c r="AQ55163" s="31"/>
    </row>
    <row r="55164" spans="43:43" x14ac:dyDescent="0.2">
      <c r="AQ55164" s="31"/>
    </row>
    <row r="55165" spans="43:43" x14ac:dyDescent="0.2">
      <c r="AQ55165" s="31"/>
    </row>
    <row r="55166" spans="43:43" x14ac:dyDescent="0.2">
      <c r="AQ55166" s="31"/>
    </row>
    <row r="55167" spans="43:43" x14ac:dyDescent="0.2">
      <c r="AQ55167" s="31"/>
    </row>
    <row r="55168" spans="43:43" x14ac:dyDescent="0.2">
      <c r="AQ55168" s="31"/>
    </row>
    <row r="55169" spans="43:43" x14ac:dyDescent="0.2">
      <c r="AQ55169" s="31"/>
    </row>
    <row r="55170" spans="43:43" x14ac:dyDescent="0.2">
      <c r="AQ55170" s="31"/>
    </row>
    <row r="55171" spans="43:43" x14ac:dyDescent="0.2">
      <c r="AQ55171" s="31"/>
    </row>
    <row r="55172" spans="43:43" x14ac:dyDescent="0.2">
      <c r="AQ55172" s="31"/>
    </row>
    <row r="55173" spans="43:43" x14ac:dyDescent="0.2">
      <c r="AQ55173" s="31"/>
    </row>
    <row r="55174" spans="43:43" x14ac:dyDescent="0.2">
      <c r="AQ55174" s="31"/>
    </row>
    <row r="55175" spans="43:43" x14ac:dyDescent="0.2">
      <c r="AQ55175" s="31"/>
    </row>
    <row r="55176" spans="43:43" x14ac:dyDescent="0.2">
      <c r="AQ55176" s="31"/>
    </row>
    <row r="55177" spans="43:43" x14ac:dyDescent="0.2">
      <c r="AQ55177" s="31"/>
    </row>
    <row r="55178" spans="43:43" x14ac:dyDescent="0.2">
      <c r="AQ55178" s="31"/>
    </row>
    <row r="55179" spans="43:43" x14ac:dyDescent="0.2">
      <c r="AQ55179" s="31"/>
    </row>
    <row r="55180" spans="43:43" x14ac:dyDescent="0.2">
      <c r="AQ55180" s="31"/>
    </row>
    <row r="55181" spans="43:43" x14ac:dyDescent="0.2">
      <c r="AQ55181" s="31"/>
    </row>
    <row r="55182" spans="43:43" x14ac:dyDescent="0.2">
      <c r="AQ55182" s="31"/>
    </row>
    <row r="55183" spans="43:43" x14ac:dyDescent="0.2">
      <c r="AQ55183" s="31"/>
    </row>
    <row r="55184" spans="43:43" x14ac:dyDescent="0.2">
      <c r="AQ55184" s="31"/>
    </row>
    <row r="55185" spans="43:43" x14ac:dyDescent="0.2">
      <c r="AQ55185" s="31"/>
    </row>
    <row r="55186" spans="43:43" x14ac:dyDescent="0.2">
      <c r="AQ55186" s="31"/>
    </row>
    <row r="55187" spans="43:43" x14ac:dyDescent="0.2">
      <c r="AQ55187" s="31"/>
    </row>
    <row r="55188" spans="43:43" x14ac:dyDescent="0.2">
      <c r="AQ55188" s="31"/>
    </row>
    <row r="55189" spans="43:43" x14ac:dyDescent="0.2">
      <c r="AQ55189" s="31"/>
    </row>
    <row r="55190" spans="43:43" x14ac:dyDescent="0.2">
      <c r="AQ55190" s="31"/>
    </row>
    <row r="55191" spans="43:43" x14ac:dyDescent="0.2">
      <c r="AQ55191" s="31"/>
    </row>
    <row r="55192" spans="43:43" x14ac:dyDescent="0.2">
      <c r="AQ55192" s="31"/>
    </row>
    <row r="55193" spans="43:43" x14ac:dyDescent="0.2">
      <c r="AQ55193" s="31"/>
    </row>
    <row r="55194" spans="43:43" x14ac:dyDescent="0.2">
      <c r="AQ55194" s="31"/>
    </row>
    <row r="55195" spans="43:43" x14ac:dyDescent="0.2">
      <c r="AQ55195" s="31"/>
    </row>
    <row r="55196" spans="43:43" x14ac:dyDescent="0.2">
      <c r="AQ55196" s="31"/>
    </row>
    <row r="55197" spans="43:43" x14ac:dyDescent="0.2">
      <c r="AQ55197" s="31"/>
    </row>
    <row r="55198" spans="43:43" x14ac:dyDescent="0.2">
      <c r="AQ55198" s="31"/>
    </row>
    <row r="55199" spans="43:43" x14ac:dyDescent="0.2">
      <c r="AQ55199" s="31"/>
    </row>
    <row r="55200" spans="43:43" x14ac:dyDescent="0.2">
      <c r="AQ55200" s="31"/>
    </row>
    <row r="55201" spans="43:43" x14ac:dyDescent="0.2">
      <c r="AQ55201" s="31"/>
    </row>
    <row r="55202" spans="43:43" x14ac:dyDescent="0.2">
      <c r="AQ55202" s="31"/>
    </row>
    <row r="55203" spans="43:43" x14ac:dyDescent="0.2">
      <c r="AQ55203" s="31"/>
    </row>
    <row r="55204" spans="43:43" x14ac:dyDescent="0.2">
      <c r="AQ55204" s="31"/>
    </row>
    <row r="55205" spans="43:43" x14ac:dyDescent="0.2">
      <c r="AQ55205" s="31"/>
    </row>
    <row r="55206" spans="43:43" x14ac:dyDescent="0.2">
      <c r="AQ55206" s="31"/>
    </row>
    <row r="55207" spans="43:43" x14ac:dyDescent="0.2">
      <c r="AQ55207" s="31"/>
    </row>
    <row r="55208" spans="43:43" x14ac:dyDescent="0.2">
      <c r="AQ55208" s="31"/>
    </row>
    <row r="55209" spans="43:43" x14ac:dyDescent="0.2">
      <c r="AQ55209" s="31"/>
    </row>
    <row r="55210" spans="43:43" x14ac:dyDescent="0.2">
      <c r="AQ55210" s="31"/>
    </row>
    <row r="55211" spans="43:43" x14ac:dyDescent="0.2">
      <c r="AQ55211" s="31"/>
    </row>
    <row r="55212" spans="43:43" x14ac:dyDescent="0.2">
      <c r="AQ55212" s="31"/>
    </row>
    <row r="55213" spans="43:43" x14ac:dyDescent="0.2">
      <c r="AQ55213" s="31"/>
    </row>
    <row r="55214" spans="43:43" x14ac:dyDescent="0.2">
      <c r="AQ55214" s="31"/>
    </row>
    <row r="55215" spans="43:43" x14ac:dyDescent="0.2">
      <c r="AQ55215" s="31"/>
    </row>
    <row r="55216" spans="43:43" x14ac:dyDescent="0.2">
      <c r="AQ55216" s="31"/>
    </row>
    <row r="55217" spans="43:43" x14ac:dyDescent="0.2">
      <c r="AQ55217" s="31"/>
    </row>
    <row r="55218" spans="43:43" x14ac:dyDescent="0.2">
      <c r="AQ55218" s="31"/>
    </row>
    <row r="55219" spans="43:43" x14ac:dyDescent="0.2">
      <c r="AQ55219" s="31"/>
    </row>
    <row r="55220" spans="43:43" x14ac:dyDescent="0.2">
      <c r="AQ55220" s="31"/>
    </row>
    <row r="55221" spans="43:43" x14ac:dyDescent="0.2">
      <c r="AQ55221" s="31"/>
    </row>
    <row r="55222" spans="43:43" x14ac:dyDescent="0.2">
      <c r="AQ55222" s="31"/>
    </row>
    <row r="55223" spans="43:43" x14ac:dyDescent="0.2">
      <c r="AQ55223" s="31"/>
    </row>
    <row r="55224" spans="43:43" x14ac:dyDescent="0.2">
      <c r="AQ55224" s="31"/>
    </row>
    <row r="55225" spans="43:43" x14ac:dyDescent="0.2">
      <c r="AQ55225" s="31"/>
    </row>
    <row r="55226" spans="43:43" x14ac:dyDescent="0.2">
      <c r="AQ55226" s="31"/>
    </row>
    <row r="55227" spans="43:43" x14ac:dyDescent="0.2">
      <c r="AQ55227" s="31"/>
    </row>
    <row r="55228" spans="43:43" x14ac:dyDescent="0.2">
      <c r="AQ55228" s="31"/>
    </row>
    <row r="55229" spans="43:43" x14ac:dyDescent="0.2">
      <c r="AQ55229" s="31"/>
    </row>
    <row r="55230" spans="43:43" x14ac:dyDescent="0.2">
      <c r="AQ55230" s="31"/>
    </row>
    <row r="55231" spans="43:43" x14ac:dyDescent="0.2">
      <c r="AQ55231" s="31"/>
    </row>
    <row r="55232" spans="43:43" x14ac:dyDescent="0.2">
      <c r="AQ55232" s="31"/>
    </row>
    <row r="55233" spans="43:43" x14ac:dyDescent="0.2">
      <c r="AQ55233" s="31"/>
    </row>
    <row r="55234" spans="43:43" x14ac:dyDescent="0.2">
      <c r="AQ55234" s="31"/>
    </row>
    <row r="55235" spans="43:43" x14ac:dyDescent="0.2">
      <c r="AQ55235" s="31"/>
    </row>
    <row r="55236" spans="43:43" x14ac:dyDescent="0.2">
      <c r="AQ55236" s="31"/>
    </row>
    <row r="55237" spans="43:43" x14ac:dyDescent="0.2">
      <c r="AQ55237" s="31"/>
    </row>
    <row r="55238" spans="43:43" x14ac:dyDescent="0.2">
      <c r="AQ55238" s="31"/>
    </row>
    <row r="55239" spans="43:43" x14ac:dyDescent="0.2">
      <c r="AQ55239" s="31"/>
    </row>
    <row r="55240" spans="43:43" x14ac:dyDescent="0.2">
      <c r="AQ55240" s="31"/>
    </row>
    <row r="55241" spans="43:43" x14ac:dyDescent="0.2">
      <c r="AQ55241" s="31"/>
    </row>
    <row r="55242" spans="43:43" x14ac:dyDescent="0.2">
      <c r="AQ55242" s="31"/>
    </row>
    <row r="55243" spans="43:43" x14ac:dyDescent="0.2">
      <c r="AQ55243" s="31"/>
    </row>
    <row r="55244" spans="43:43" x14ac:dyDescent="0.2">
      <c r="AQ55244" s="31"/>
    </row>
    <row r="55245" spans="43:43" x14ac:dyDescent="0.2">
      <c r="AQ55245" s="31"/>
    </row>
    <row r="55246" spans="43:43" x14ac:dyDescent="0.2">
      <c r="AQ55246" s="31"/>
    </row>
    <row r="55247" spans="43:43" x14ac:dyDescent="0.2">
      <c r="AQ55247" s="31"/>
    </row>
    <row r="55248" spans="43:43" x14ac:dyDescent="0.2">
      <c r="AQ55248" s="31"/>
    </row>
    <row r="55249" spans="43:43" x14ac:dyDescent="0.2">
      <c r="AQ55249" s="31"/>
    </row>
    <row r="55250" spans="43:43" x14ac:dyDescent="0.2">
      <c r="AQ55250" s="31"/>
    </row>
    <row r="55251" spans="43:43" x14ac:dyDescent="0.2">
      <c r="AQ55251" s="31"/>
    </row>
    <row r="55252" spans="43:43" x14ac:dyDescent="0.2">
      <c r="AQ55252" s="31"/>
    </row>
    <row r="55253" spans="43:43" x14ac:dyDescent="0.2">
      <c r="AQ55253" s="31"/>
    </row>
    <row r="55254" spans="43:43" x14ac:dyDescent="0.2">
      <c r="AQ55254" s="31"/>
    </row>
    <row r="55255" spans="43:43" x14ac:dyDescent="0.2">
      <c r="AQ55255" s="31"/>
    </row>
    <row r="55256" spans="43:43" x14ac:dyDescent="0.2">
      <c r="AQ55256" s="31"/>
    </row>
    <row r="55257" spans="43:43" x14ac:dyDescent="0.2">
      <c r="AQ55257" s="31"/>
    </row>
    <row r="55258" spans="43:43" x14ac:dyDescent="0.2">
      <c r="AQ55258" s="31"/>
    </row>
    <row r="55259" spans="43:43" x14ac:dyDescent="0.2">
      <c r="AQ55259" s="31"/>
    </row>
    <row r="55260" spans="43:43" x14ac:dyDescent="0.2">
      <c r="AQ55260" s="31"/>
    </row>
    <row r="55261" spans="43:43" x14ac:dyDescent="0.2">
      <c r="AQ55261" s="31"/>
    </row>
    <row r="55262" spans="43:43" x14ac:dyDescent="0.2">
      <c r="AQ55262" s="31"/>
    </row>
    <row r="55263" spans="43:43" x14ac:dyDescent="0.2">
      <c r="AQ55263" s="31"/>
    </row>
    <row r="55264" spans="43:43" x14ac:dyDescent="0.2">
      <c r="AQ55264" s="31"/>
    </row>
    <row r="55265" spans="43:43" x14ac:dyDescent="0.2">
      <c r="AQ55265" s="31"/>
    </row>
    <row r="55266" spans="43:43" x14ac:dyDescent="0.2">
      <c r="AQ55266" s="31"/>
    </row>
    <row r="55267" spans="43:43" x14ac:dyDescent="0.2">
      <c r="AQ55267" s="31"/>
    </row>
    <row r="55268" spans="43:43" x14ac:dyDescent="0.2">
      <c r="AQ55268" s="31"/>
    </row>
    <row r="55269" spans="43:43" x14ac:dyDescent="0.2">
      <c r="AQ55269" s="31"/>
    </row>
    <row r="55270" spans="43:43" x14ac:dyDescent="0.2">
      <c r="AQ55270" s="31"/>
    </row>
    <row r="55271" spans="43:43" x14ac:dyDescent="0.2">
      <c r="AQ55271" s="31"/>
    </row>
    <row r="55272" spans="43:43" x14ac:dyDescent="0.2">
      <c r="AQ55272" s="31"/>
    </row>
    <row r="55273" spans="43:43" x14ac:dyDescent="0.2">
      <c r="AQ55273" s="31"/>
    </row>
    <row r="55274" spans="43:43" x14ac:dyDescent="0.2">
      <c r="AQ55274" s="31"/>
    </row>
    <row r="55275" spans="43:43" x14ac:dyDescent="0.2">
      <c r="AQ55275" s="31"/>
    </row>
    <row r="55276" spans="43:43" x14ac:dyDescent="0.2">
      <c r="AQ55276" s="31"/>
    </row>
    <row r="55277" spans="43:43" x14ac:dyDescent="0.2">
      <c r="AQ55277" s="31"/>
    </row>
    <row r="55278" spans="43:43" x14ac:dyDescent="0.2">
      <c r="AQ55278" s="31"/>
    </row>
    <row r="55279" spans="43:43" x14ac:dyDescent="0.2">
      <c r="AQ55279" s="31"/>
    </row>
    <row r="55280" spans="43:43" x14ac:dyDescent="0.2">
      <c r="AQ55280" s="31"/>
    </row>
    <row r="55281" spans="43:43" x14ac:dyDescent="0.2">
      <c r="AQ55281" s="31"/>
    </row>
    <row r="55282" spans="43:43" x14ac:dyDescent="0.2">
      <c r="AQ55282" s="31"/>
    </row>
    <row r="55283" spans="43:43" x14ac:dyDescent="0.2">
      <c r="AQ55283" s="31"/>
    </row>
    <row r="55284" spans="43:43" x14ac:dyDescent="0.2">
      <c r="AQ55284" s="31"/>
    </row>
    <row r="55285" spans="43:43" x14ac:dyDescent="0.2">
      <c r="AQ55285" s="31"/>
    </row>
    <row r="55286" spans="43:43" x14ac:dyDescent="0.2">
      <c r="AQ55286" s="31"/>
    </row>
    <row r="55287" spans="43:43" x14ac:dyDescent="0.2">
      <c r="AQ55287" s="31"/>
    </row>
    <row r="55288" spans="43:43" x14ac:dyDescent="0.2">
      <c r="AQ55288" s="31"/>
    </row>
    <row r="55289" spans="43:43" x14ac:dyDescent="0.2">
      <c r="AQ55289" s="31"/>
    </row>
    <row r="55290" spans="43:43" x14ac:dyDescent="0.2">
      <c r="AQ55290" s="31"/>
    </row>
    <row r="55291" spans="43:43" x14ac:dyDescent="0.2">
      <c r="AQ55291" s="31"/>
    </row>
    <row r="55292" spans="43:43" x14ac:dyDescent="0.2">
      <c r="AQ55292" s="31"/>
    </row>
    <row r="55293" spans="43:43" x14ac:dyDescent="0.2">
      <c r="AQ55293" s="31"/>
    </row>
    <row r="55294" spans="43:43" x14ac:dyDescent="0.2">
      <c r="AQ55294" s="31"/>
    </row>
    <row r="55295" spans="43:43" x14ac:dyDescent="0.2">
      <c r="AQ55295" s="31"/>
    </row>
    <row r="55296" spans="43:43" x14ac:dyDescent="0.2">
      <c r="AQ55296" s="31"/>
    </row>
    <row r="55297" spans="43:43" x14ac:dyDescent="0.2">
      <c r="AQ55297" s="31"/>
    </row>
    <row r="55298" spans="43:43" x14ac:dyDescent="0.2">
      <c r="AQ55298" s="31"/>
    </row>
    <row r="55299" spans="43:43" x14ac:dyDescent="0.2">
      <c r="AQ55299" s="31"/>
    </row>
    <row r="55300" spans="43:43" x14ac:dyDescent="0.2">
      <c r="AQ55300" s="31"/>
    </row>
    <row r="55301" spans="43:43" x14ac:dyDescent="0.2">
      <c r="AQ55301" s="31"/>
    </row>
    <row r="55302" spans="43:43" x14ac:dyDescent="0.2">
      <c r="AQ55302" s="31"/>
    </row>
    <row r="55303" spans="43:43" x14ac:dyDescent="0.2">
      <c r="AQ55303" s="31"/>
    </row>
    <row r="55304" spans="43:43" x14ac:dyDescent="0.2">
      <c r="AQ55304" s="31"/>
    </row>
    <row r="55305" spans="43:43" x14ac:dyDescent="0.2">
      <c r="AQ55305" s="31"/>
    </row>
    <row r="55306" spans="43:43" x14ac:dyDescent="0.2">
      <c r="AQ55306" s="31"/>
    </row>
    <row r="55307" spans="43:43" x14ac:dyDescent="0.2">
      <c r="AQ55307" s="31"/>
    </row>
    <row r="55308" spans="43:43" x14ac:dyDescent="0.2">
      <c r="AQ55308" s="31"/>
    </row>
    <row r="55309" spans="43:43" x14ac:dyDescent="0.2">
      <c r="AQ55309" s="31"/>
    </row>
    <row r="55310" spans="43:43" x14ac:dyDescent="0.2">
      <c r="AQ55310" s="31"/>
    </row>
    <row r="55311" spans="43:43" x14ac:dyDescent="0.2">
      <c r="AQ55311" s="31"/>
    </row>
    <row r="55312" spans="43:43" x14ac:dyDescent="0.2">
      <c r="AQ55312" s="31"/>
    </row>
    <row r="55313" spans="43:43" x14ac:dyDescent="0.2">
      <c r="AQ55313" s="31"/>
    </row>
    <row r="55314" spans="43:43" x14ac:dyDescent="0.2">
      <c r="AQ55314" s="31"/>
    </row>
    <row r="55315" spans="43:43" x14ac:dyDescent="0.2">
      <c r="AQ55315" s="31"/>
    </row>
    <row r="55316" spans="43:43" x14ac:dyDescent="0.2">
      <c r="AQ55316" s="31"/>
    </row>
    <row r="55317" spans="43:43" x14ac:dyDescent="0.2">
      <c r="AQ55317" s="31"/>
    </row>
    <row r="55318" spans="43:43" x14ac:dyDescent="0.2">
      <c r="AQ55318" s="31"/>
    </row>
    <row r="55319" spans="43:43" x14ac:dyDescent="0.2">
      <c r="AQ55319" s="31"/>
    </row>
    <row r="55320" spans="43:43" x14ac:dyDescent="0.2">
      <c r="AQ55320" s="31"/>
    </row>
    <row r="55321" spans="43:43" x14ac:dyDescent="0.2">
      <c r="AQ55321" s="31"/>
    </row>
    <row r="55322" spans="43:43" x14ac:dyDescent="0.2">
      <c r="AQ55322" s="31"/>
    </row>
    <row r="55323" spans="43:43" x14ac:dyDescent="0.2">
      <c r="AQ55323" s="31"/>
    </row>
    <row r="55324" spans="43:43" x14ac:dyDescent="0.2">
      <c r="AQ55324" s="31"/>
    </row>
    <row r="55325" spans="43:43" x14ac:dyDescent="0.2">
      <c r="AQ55325" s="31"/>
    </row>
    <row r="55326" spans="43:43" x14ac:dyDescent="0.2">
      <c r="AQ55326" s="31"/>
    </row>
    <row r="55327" spans="43:43" x14ac:dyDescent="0.2">
      <c r="AQ55327" s="31"/>
    </row>
    <row r="55328" spans="43:43" x14ac:dyDescent="0.2">
      <c r="AQ55328" s="31"/>
    </row>
    <row r="55329" spans="43:43" x14ac:dyDescent="0.2">
      <c r="AQ55329" s="31"/>
    </row>
    <row r="55330" spans="43:43" x14ac:dyDescent="0.2">
      <c r="AQ55330" s="31"/>
    </row>
    <row r="55331" spans="43:43" x14ac:dyDescent="0.2">
      <c r="AQ55331" s="31"/>
    </row>
    <row r="55332" spans="43:43" x14ac:dyDescent="0.2">
      <c r="AQ55332" s="31"/>
    </row>
    <row r="55333" spans="43:43" x14ac:dyDescent="0.2">
      <c r="AQ55333" s="31"/>
    </row>
    <row r="55334" spans="43:43" x14ac:dyDescent="0.2">
      <c r="AQ55334" s="31"/>
    </row>
    <row r="55335" spans="43:43" x14ac:dyDescent="0.2">
      <c r="AQ55335" s="31"/>
    </row>
    <row r="55336" spans="43:43" x14ac:dyDescent="0.2">
      <c r="AQ55336" s="31"/>
    </row>
    <row r="55337" spans="43:43" x14ac:dyDescent="0.2">
      <c r="AQ55337" s="31"/>
    </row>
    <row r="55338" spans="43:43" x14ac:dyDescent="0.2">
      <c r="AQ55338" s="31"/>
    </row>
    <row r="55339" spans="43:43" x14ac:dyDescent="0.2">
      <c r="AQ55339" s="31"/>
    </row>
    <row r="55340" spans="43:43" x14ac:dyDescent="0.2">
      <c r="AQ55340" s="31"/>
    </row>
    <row r="55341" spans="43:43" x14ac:dyDescent="0.2">
      <c r="AQ55341" s="31"/>
    </row>
    <row r="55342" spans="43:43" x14ac:dyDescent="0.2">
      <c r="AQ55342" s="31"/>
    </row>
    <row r="55343" spans="43:43" x14ac:dyDescent="0.2">
      <c r="AQ55343" s="31"/>
    </row>
    <row r="55344" spans="43:43" x14ac:dyDescent="0.2">
      <c r="AQ55344" s="31"/>
    </row>
    <row r="55345" spans="43:43" x14ac:dyDescent="0.2">
      <c r="AQ55345" s="31"/>
    </row>
    <row r="55346" spans="43:43" x14ac:dyDescent="0.2">
      <c r="AQ55346" s="31"/>
    </row>
    <row r="55347" spans="43:43" x14ac:dyDescent="0.2">
      <c r="AQ55347" s="31"/>
    </row>
    <row r="55348" spans="43:43" x14ac:dyDescent="0.2">
      <c r="AQ55348" s="31"/>
    </row>
    <row r="55349" spans="43:43" x14ac:dyDescent="0.2">
      <c r="AQ55349" s="31"/>
    </row>
    <row r="55350" spans="43:43" x14ac:dyDescent="0.2">
      <c r="AQ55350" s="31"/>
    </row>
    <row r="55351" spans="43:43" x14ac:dyDescent="0.2">
      <c r="AQ55351" s="31"/>
    </row>
    <row r="55352" spans="43:43" x14ac:dyDescent="0.2">
      <c r="AQ55352" s="31"/>
    </row>
    <row r="55353" spans="43:43" x14ac:dyDescent="0.2">
      <c r="AQ55353" s="31"/>
    </row>
    <row r="55354" spans="43:43" x14ac:dyDescent="0.2">
      <c r="AQ55354" s="31"/>
    </row>
    <row r="55355" spans="43:43" x14ac:dyDescent="0.2">
      <c r="AQ55355" s="31"/>
    </row>
    <row r="55356" spans="43:43" x14ac:dyDescent="0.2">
      <c r="AQ55356" s="31"/>
    </row>
    <row r="55357" spans="43:43" x14ac:dyDescent="0.2">
      <c r="AQ55357" s="31"/>
    </row>
    <row r="55358" spans="43:43" x14ac:dyDescent="0.2">
      <c r="AQ55358" s="31"/>
    </row>
    <row r="55359" spans="43:43" x14ac:dyDescent="0.2">
      <c r="AQ55359" s="31"/>
    </row>
    <row r="55360" spans="43:43" x14ac:dyDescent="0.2">
      <c r="AQ55360" s="31"/>
    </row>
    <row r="55361" spans="43:43" x14ac:dyDescent="0.2">
      <c r="AQ55361" s="31"/>
    </row>
    <row r="55362" spans="43:43" x14ac:dyDescent="0.2">
      <c r="AQ55362" s="31"/>
    </row>
    <row r="55363" spans="43:43" x14ac:dyDescent="0.2">
      <c r="AQ55363" s="31"/>
    </row>
    <row r="55364" spans="43:43" x14ac:dyDescent="0.2">
      <c r="AQ55364" s="31"/>
    </row>
    <row r="55365" spans="43:43" x14ac:dyDescent="0.2">
      <c r="AQ55365" s="31"/>
    </row>
    <row r="55366" spans="43:43" x14ac:dyDescent="0.2">
      <c r="AQ55366" s="31"/>
    </row>
    <row r="55367" spans="43:43" x14ac:dyDescent="0.2">
      <c r="AQ55367" s="31"/>
    </row>
    <row r="55368" spans="43:43" x14ac:dyDescent="0.2">
      <c r="AQ55368" s="31"/>
    </row>
    <row r="55369" spans="43:43" x14ac:dyDescent="0.2">
      <c r="AQ55369" s="31"/>
    </row>
    <row r="55370" spans="43:43" x14ac:dyDescent="0.2">
      <c r="AQ55370" s="31"/>
    </row>
    <row r="55371" spans="43:43" x14ac:dyDescent="0.2">
      <c r="AQ55371" s="31"/>
    </row>
    <row r="55372" spans="43:43" x14ac:dyDescent="0.2">
      <c r="AQ55372" s="31"/>
    </row>
    <row r="55373" spans="43:43" x14ac:dyDescent="0.2">
      <c r="AQ55373" s="31"/>
    </row>
    <row r="55374" spans="43:43" x14ac:dyDescent="0.2">
      <c r="AQ55374" s="31"/>
    </row>
    <row r="55375" spans="43:43" x14ac:dyDescent="0.2">
      <c r="AQ55375" s="31"/>
    </row>
    <row r="55376" spans="43:43" x14ac:dyDescent="0.2">
      <c r="AQ55376" s="31"/>
    </row>
    <row r="55377" spans="43:43" x14ac:dyDescent="0.2">
      <c r="AQ55377" s="31"/>
    </row>
    <row r="55378" spans="43:43" x14ac:dyDescent="0.2">
      <c r="AQ55378" s="31"/>
    </row>
    <row r="55379" spans="43:43" x14ac:dyDescent="0.2">
      <c r="AQ55379" s="31"/>
    </row>
    <row r="55380" spans="43:43" x14ac:dyDescent="0.2">
      <c r="AQ55380" s="31"/>
    </row>
    <row r="55381" spans="43:43" x14ac:dyDescent="0.2">
      <c r="AQ55381" s="31"/>
    </row>
    <row r="55382" spans="43:43" x14ac:dyDescent="0.2">
      <c r="AQ55382" s="31"/>
    </row>
    <row r="55383" spans="43:43" x14ac:dyDescent="0.2">
      <c r="AQ55383" s="31"/>
    </row>
    <row r="55384" spans="43:43" x14ac:dyDescent="0.2">
      <c r="AQ55384" s="31"/>
    </row>
    <row r="55385" spans="43:43" x14ac:dyDescent="0.2">
      <c r="AQ55385" s="31"/>
    </row>
    <row r="55386" spans="43:43" x14ac:dyDescent="0.2">
      <c r="AQ55386" s="31"/>
    </row>
    <row r="55387" spans="43:43" x14ac:dyDescent="0.2">
      <c r="AQ55387" s="31"/>
    </row>
    <row r="55388" spans="43:43" x14ac:dyDescent="0.2">
      <c r="AQ55388" s="31"/>
    </row>
    <row r="55389" spans="43:43" x14ac:dyDescent="0.2">
      <c r="AQ55389" s="31"/>
    </row>
    <row r="55390" spans="43:43" x14ac:dyDescent="0.2">
      <c r="AQ55390" s="31"/>
    </row>
    <row r="55391" spans="43:43" x14ac:dyDescent="0.2">
      <c r="AQ55391" s="31"/>
    </row>
    <row r="55392" spans="43:43" x14ac:dyDescent="0.2">
      <c r="AQ55392" s="31"/>
    </row>
    <row r="55393" spans="43:43" x14ac:dyDescent="0.2">
      <c r="AQ55393" s="31"/>
    </row>
    <row r="55394" spans="43:43" x14ac:dyDescent="0.2">
      <c r="AQ55394" s="31"/>
    </row>
    <row r="55395" spans="43:43" x14ac:dyDescent="0.2">
      <c r="AQ55395" s="31"/>
    </row>
    <row r="55396" spans="43:43" x14ac:dyDescent="0.2">
      <c r="AQ55396" s="31"/>
    </row>
    <row r="55397" spans="43:43" x14ac:dyDescent="0.2">
      <c r="AQ55397" s="31"/>
    </row>
    <row r="55398" spans="43:43" x14ac:dyDescent="0.2">
      <c r="AQ55398" s="31"/>
    </row>
    <row r="55399" spans="43:43" x14ac:dyDescent="0.2">
      <c r="AQ55399" s="31"/>
    </row>
    <row r="55400" spans="43:43" x14ac:dyDescent="0.2">
      <c r="AQ55400" s="31"/>
    </row>
    <row r="55401" spans="43:43" x14ac:dyDescent="0.2">
      <c r="AQ55401" s="31"/>
    </row>
    <row r="55402" spans="43:43" x14ac:dyDescent="0.2">
      <c r="AQ55402" s="31"/>
    </row>
    <row r="55403" spans="43:43" x14ac:dyDescent="0.2">
      <c r="AQ55403" s="31"/>
    </row>
    <row r="55404" spans="43:43" x14ac:dyDescent="0.2">
      <c r="AQ55404" s="31"/>
    </row>
    <row r="55405" spans="43:43" x14ac:dyDescent="0.2">
      <c r="AQ55405" s="31"/>
    </row>
    <row r="55406" spans="43:43" x14ac:dyDescent="0.2">
      <c r="AQ55406" s="31"/>
    </row>
    <row r="55407" spans="43:43" x14ac:dyDescent="0.2">
      <c r="AQ55407" s="31"/>
    </row>
    <row r="55408" spans="43:43" x14ac:dyDescent="0.2">
      <c r="AQ55408" s="31"/>
    </row>
    <row r="55409" spans="43:43" x14ac:dyDescent="0.2">
      <c r="AQ55409" s="31"/>
    </row>
    <row r="55410" spans="43:43" x14ac:dyDescent="0.2">
      <c r="AQ55410" s="31"/>
    </row>
    <row r="55411" spans="43:43" x14ac:dyDescent="0.2">
      <c r="AQ55411" s="31"/>
    </row>
    <row r="55412" spans="43:43" x14ac:dyDescent="0.2">
      <c r="AQ55412" s="31"/>
    </row>
    <row r="55413" spans="43:43" x14ac:dyDescent="0.2">
      <c r="AQ55413" s="31"/>
    </row>
    <row r="55414" spans="43:43" x14ac:dyDescent="0.2">
      <c r="AQ55414" s="31"/>
    </row>
    <row r="55415" spans="43:43" x14ac:dyDescent="0.2">
      <c r="AQ55415" s="31"/>
    </row>
    <row r="55416" spans="43:43" x14ac:dyDescent="0.2">
      <c r="AQ55416" s="31"/>
    </row>
    <row r="55417" spans="43:43" x14ac:dyDescent="0.2">
      <c r="AQ55417" s="31"/>
    </row>
    <row r="55418" spans="43:43" x14ac:dyDescent="0.2">
      <c r="AQ55418" s="31"/>
    </row>
    <row r="55419" spans="43:43" x14ac:dyDescent="0.2">
      <c r="AQ55419" s="31"/>
    </row>
    <row r="55420" spans="43:43" x14ac:dyDescent="0.2">
      <c r="AQ55420" s="31"/>
    </row>
    <row r="55421" spans="43:43" x14ac:dyDescent="0.2">
      <c r="AQ55421" s="31"/>
    </row>
    <row r="55422" spans="43:43" x14ac:dyDescent="0.2">
      <c r="AQ55422" s="31"/>
    </row>
    <row r="55423" spans="43:43" x14ac:dyDescent="0.2">
      <c r="AQ55423" s="31"/>
    </row>
    <row r="55424" spans="43:43" x14ac:dyDescent="0.2">
      <c r="AQ55424" s="31"/>
    </row>
    <row r="55425" spans="43:43" x14ac:dyDescent="0.2">
      <c r="AQ55425" s="31"/>
    </row>
    <row r="55426" spans="43:43" x14ac:dyDescent="0.2">
      <c r="AQ55426" s="31"/>
    </row>
    <row r="55427" spans="43:43" x14ac:dyDescent="0.2">
      <c r="AQ55427" s="31"/>
    </row>
    <row r="55428" spans="43:43" x14ac:dyDescent="0.2">
      <c r="AQ55428" s="31"/>
    </row>
    <row r="55429" spans="43:43" x14ac:dyDescent="0.2">
      <c r="AQ55429" s="31"/>
    </row>
    <row r="55430" spans="43:43" x14ac:dyDescent="0.2">
      <c r="AQ55430" s="31"/>
    </row>
    <row r="55431" spans="43:43" x14ac:dyDescent="0.2">
      <c r="AQ55431" s="31"/>
    </row>
    <row r="55432" spans="43:43" x14ac:dyDescent="0.2">
      <c r="AQ55432" s="31"/>
    </row>
    <row r="55433" spans="43:43" x14ac:dyDescent="0.2">
      <c r="AQ55433" s="31"/>
    </row>
    <row r="55434" spans="43:43" x14ac:dyDescent="0.2">
      <c r="AQ55434" s="31"/>
    </row>
    <row r="55435" spans="43:43" x14ac:dyDescent="0.2">
      <c r="AQ55435" s="31"/>
    </row>
    <row r="55436" spans="43:43" x14ac:dyDescent="0.2">
      <c r="AQ55436" s="31"/>
    </row>
    <row r="55437" spans="43:43" x14ac:dyDescent="0.2">
      <c r="AQ55437" s="31"/>
    </row>
    <row r="55438" spans="43:43" x14ac:dyDescent="0.2">
      <c r="AQ55438" s="31"/>
    </row>
    <row r="55439" spans="43:43" x14ac:dyDescent="0.2">
      <c r="AQ55439" s="31"/>
    </row>
    <row r="55440" spans="43:43" x14ac:dyDescent="0.2">
      <c r="AQ55440" s="31"/>
    </row>
    <row r="55441" spans="43:43" x14ac:dyDescent="0.2">
      <c r="AQ55441" s="31"/>
    </row>
    <row r="55442" spans="43:43" x14ac:dyDescent="0.2">
      <c r="AQ55442" s="31"/>
    </row>
    <row r="55443" spans="43:43" x14ac:dyDescent="0.2">
      <c r="AQ55443" s="31"/>
    </row>
    <row r="55444" spans="43:43" x14ac:dyDescent="0.2">
      <c r="AQ55444" s="31"/>
    </row>
    <row r="55445" spans="43:43" x14ac:dyDescent="0.2">
      <c r="AQ55445" s="31"/>
    </row>
    <row r="55446" spans="43:43" x14ac:dyDescent="0.2">
      <c r="AQ55446" s="31"/>
    </row>
    <row r="55447" spans="43:43" x14ac:dyDescent="0.2">
      <c r="AQ55447" s="31"/>
    </row>
    <row r="55448" spans="43:43" x14ac:dyDescent="0.2">
      <c r="AQ55448" s="31"/>
    </row>
    <row r="55449" spans="43:43" x14ac:dyDescent="0.2">
      <c r="AQ55449" s="31"/>
    </row>
    <row r="55450" spans="43:43" x14ac:dyDescent="0.2">
      <c r="AQ55450" s="31"/>
    </row>
    <row r="55451" spans="43:43" x14ac:dyDescent="0.2">
      <c r="AQ55451" s="31"/>
    </row>
    <row r="55452" spans="43:43" x14ac:dyDescent="0.2">
      <c r="AQ55452" s="31"/>
    </row>
    <row r="55453" spans="43:43" x14ac:dyDescent="0.2">
      <c r="AQ55453" s="31"/>
    </row>
    <row r="55454" spans="43:43" x14ac:dyDescent="0.2">
      <c r="AQ55454" s="31"/>
    </row>
    <row r="55455" spans="43:43" x14ac:dyDescent="0.2">
      <c r="AQ55455" s="31"/>
    </row>
    <row r="55456" spans="43:43" x14ac:dyDescent="0.2">
      <c r="AQ55456" s="31"/>
    </row>
    <row r="55457" spans="43:43" x14ac:dyDescent="0.2">
      <c r="AQ55457" s="31"/>
    </row>
    <row r="55458" spans="43:43" x14ac:dyDescent="0.2">
      <c r="AQ55458" s="31"/>
    </row>
    <row r="55459" spans="43:43" x14ac:dyDescent="0.2">
      <c r="AQ55459" s="31"/>
    </row>
    <row r="55460" spans="43:43" x14ac:dyDescent="0.2">
      <c r="AQ55460" s="31"/>
    </row>
    <row r="55461" spans="43:43" x14ac:dyDescent="0.2">
      <c r="AQ55461" s="31"/>
    </row>
    <row r="55462" spans="43:43" x14ac:dyDescent="0.2">
      <c r="AQ55462" s="31"/>
    </row>
    <row r="55463" spans="43:43" x14ac:dyDescent="0.2">
      <c r="AQ55463" s="31"/>
    </row>
    <row r="55464" spans="43:43" x14ac:dyDescent="0.2">
      <c r="AQ55464" s="31"/>
    </row>
    <row r="55465" spans="43:43" x14ac:dyDescent="0.2">
      <c r="AQ55465" s="31"/>
    </row>
    <row r="55466" spans="43:43" x14ac:dyDescent="0.2">
      <c r="AQ55466" s="31"/>
    </row>
    <row r="55467" spans="43:43" x14ac:dyDescent="0.2">
      <c r="AQ55467" s="31"/>
    </row>
    <row r="55468" spans="43:43" x14ac:dyDescent="0.2">
      <c r="AQ55468" s="31"/>
    </row>
    <row r="55469" spans="43:43" x14ac:dyDescent="0.2">
      <c r="AQ55469" s="31"/>
    </row>
    <row r="55470" spans="43:43" x14ac:dyDescent="0.2">
      <c r="AQ55470" s="31"/>
    </row>
    <row r="55471" spans="43:43" x14ac:dyDescent="0.2">
      <c r="AQ55471" s="31"/>
    </row>
    <row r="55472" spans="43:43" x14ac:dyDescent="0.2">
      <c r="AQ55472" s="31"/>
    </row>
    <row r="55473" spans="43:43" x14ac:dyDescent="0.2">
      <c r="AQ55473" s="31"/>
    </row>
    <row r="55474" spans="43:43" x14ac:dyDescent="0.2">
      <c r="AQ55474" s="31"/>
    </row>
    <row r="55475" spans="43:43" x14ac:dyDescent="0.2">
      <c r="AQ55475" s="31"/>
    </row>
    <row r="55476" spans="43:43" x14ac:dyDescent="0.2">
      <c r="AQ55476" s="31"/>
    </row>
    <row r="55477" spans="43:43" x14ac:dyDescent="0.2">
      <c r="AQ55477" s="31"/>
    </row>
    <row r="55478" spans="43:43" x14ac:dyDescent="0.2">
      <c r="AQ55478" s="31"/>
    </row>
    <row r="55479" spans="43:43" x14ac:dyDescent="0.2">
      <c r="AQ55479" s="31"/>
    </row>
    <row r="55480" spans="43:43" x14ac:dyDescent="0.2">
      <c r="AQ55480" s="31"/>
    </row>
    <row r="55481" spans="43:43" x14ac:dyDescent="0.2">
      <c r="AQ55481" s="31"/>
    </row>
    <row r="55482" spans="43:43" x14ac:dyDescent="0.2">
      <c r="AQ55482" s="31"/>
    </row>
    <row r="55483" spans="43:43" x14ac:dyDescent="0.2">
      <c r="AQ55483" s="31"/>
    </row>
    <row r="55484" spans="43:43" x14ac:dyDescent="0.2">
      <c r="AQ55484" s="31"/>
    </row>
    <row r="55485" spans="43:43" x14ac:dyDescent="0.2">
      <c r="AQ55485" s="31"/>
    </row>
    <row r="55486" spans="43:43" x14ac:dyDescent="0.2">
      <c r="AQ55486" s="31"/>
    </row>
    <row r="55487" spans="43:43" x14ac:dyDescent="0.2">
      <c r="AQ55487" s="31"/>
    </row>
    <row r="55488" spans="43:43" x14ac:dyDescent="0.2">
      <c r="AQ55488" s="31"/>
    </row>
    <row r="55489" spans="43:43" x14ac:dyDescent="0.2">
      <c r="AQ55489" s="31"/>
    </row>
    <row r="55490" spans="43:43" x14ac:dyDescent="0.2">
      <c r="AQ55490" s="31"/>
    </row>
    <row r="55491" spans="43:43" x14ac:dyDescent="0.2">
      <c r="AQ55491" s="31"/>
    </row>
    <row r="55492" spans="43:43" x14ac:dyDescent="0.2">
      <c r="AQ55492" s="31"/>
    </row>
    <row r="55493" spans="43:43" x14ac:dyDescent="0.2">
      <c r="AQ55493" s="31"/>
    </row>
    <row r="55494" spans="43:43" x14ac:dyDescent="0.2">
      <c r="AQ55494" s="31"/>
    </row>
    <row r="55495" spans="43:43" x14ac:dyDescent="0.2">
      <c r="AQ55495" s="31"/>
    </row>
    <row r="55496" spans="43:43" x14ac:dyDescent="0.2">
      <c r="AQ55496" s="31"/>
    </row>
    <row r="55497" spans="43:43" x14ac:dyDescent="0.2">
      <c r="AQ55497" s="31"/>
    </row>
    <row r="55498" spans="43:43" x14ac:dyDescent="0.2">
      <c r="AQ55498" s="31"/>
    </row>
    <row r="55499" spans="43:43" x14ac:dyDescent="0.2">
      <c r="AQ55499" s="31"/>
    </row>
    <row r="55500" spans="43:43" x14ac:dyDescent="0.2">
      <c r="AQ55500" s="31"/>
    </row>
    <row r="55501" spans="43:43" x14ac:dyDescent="0.2">
      <c r="AQ55501" s="31"/>
    </row>
    <row r="55502" spans="43:43" x14ac:dyDescent="0.2">
      <c r="AQ55502" s="31"/>
    </row>
    <row r="55503" spans="43:43" x14ac:dyDescent="0.2">
      <c r="AQ55503" s="31"/>
    </row>
    <row r="55504" spans="43:43" x14ac:dyDescent="0.2">
      <c r="AQ55504" s="31"/>
    </row>
    <row r="55505" spans="43:43" x14ac:dyDescent="0.2">
      <c r="AQ55505" s="31"/>
    </row>
    <row r="55506" spans="43:43" x14ac:dyDescent="0.2">
      <c r="AQ55506" s="31"/>
    </row>
    <row r="55507" spans="43:43" x14ac:dyDescent="0.2">
      <c r="AQ55507" s="31"/>
    </row>
    <row r="55508" spans="43:43" x14ac:dyDescent="0.2">
      <c r="AQ55508" s="31"/>
    </row>
    <row r="55509" spans="43:43" x14ac:dyDescent="0.2">
      <c r="AQ55509" s="31"/>
    </row>
    <row r="55510" spans="43:43" x14ac:dyDescent="0.2">
      <c r="AQ55510" s="31"/>
    </row>
    <row r="55511" spans="43:43" x14ac:dyDescent="0.2">
      <c r="AQ55511" s="31"/>
    </row>
    <row r="55512" spans="43:43" x14ac:dyDescent="0.2">
      <c r="AQ55512" s="31"/>
    </row>
    <row r="55513" spans="43:43" x14ac:dyDescent="0.2">
      <c r="AQ55513" s="31"/>
    </row>
    <row r="55514" spans="43:43" x14ac:dyDescent="0.2">
      <c r="AQ55514" s="31"/>
    </row>
    <row r="55515" spans="43:43" x14ac:dyDescent="0.2">
      <c r="AQ55515" s="31"/>
    </row>
    <row r="55516" spans="43:43" x14ac:dyDescent="0.2">
      <c r="AQ55516" s="31"/>
    </row>
    <row r="55517" spans="43:43" x14ac:dyDescent="0.2">
      <c r="AQ55517" s="31"/>
    </row>
    <row r="55518" spans="43:43" x14ac:dyDescent="0.2">
      <c r="AQ55518" s="31"/>
    </row>
    <row r="55519" spans="43:43" x14ac:dyDescent="0.2">
      <c r="AQ55519" s="31"/>
    </row>
    <row r="55520" spans="43:43" x14ac:dyDescent="0.2">
      <c r="AQ55520" s="31"/>
    </row>
    <row r="55521" spans="43:43" x14ac:dyDescent="0.2">
      <c r="AQ55521" s="31"/>
    </row>
    <row r="55522" spans="43:43" x14ac:dyDescent="0.2">
      <c r="AQ55522" s="31"/>
    </row>
    <row r="55523" spans="43:43" x14ac:dyDescent="0.2">
      <c r="AQ55523" s="31"/>
    </row>
    <row r="55524" spans="43:43" x14ac:dyDescent="0.2">
      <c r="AQ55524" s="31"/>
    </row>
    <row r="55525" spans="43:43" x14ac:dyDescent="0.2">
      <c r="AQ55525" s="31"/>
    </row>
    <row r="55526" spans="43:43" x14ac:dyDescent="0.2">
      <c r="AQ55526" s="31"/>
    </row>
    <row r="55527" spans="43:43" x14ac:dyDescent="0.2">
      <c r="AQ55527" s="31"/>
    </row>
    <row r="55528" spans="43:43" x14ac:dyDescent="0.2">
      <c r="AQ55528" s="31"/>
    </row>
    <row r="55529" spans="43:43" x14ac:dyDescent="0.2">
      <c r="AQ55529" s="31"/>
    </row>
    <row r="55530" spans="43:43" x14ac:dyDescent="0.2">
      <c r="AQ55530" s="31"/>
    </row>
    <row r="55531" spans="43:43" x14ac:dyDescent="0.2">
      <c r="AQ55531" s="31"/>
    </row>
    <row r="55532" spans="43:43" x14ac:dyDescent="0.2">
      <c r="AQ55532" s="31"/>
    </row>
    <row r="55533" spans="43:43" x14ac:dyDescent="0.2">
      <c r="AQ55533" s="31"/>
    </row>
    <row r="55534" spans="43:43" x14ac:dyDescent="0.2">
      <c r="AQ55534" s="31"/>
    </row>
    <row r="55535" spans="43:43" x14ac:dyDescent="0.2">
      <c r="AQ55535" s="31"/>
    </row>
    <row r="55536" spans="43:43" x14ac:dyDescent="0.2">
      <c r="AQ55536" s="31"/>
    </row>
    <row r="55537" spans="43:43" x14ac:dyDescent="0.2">
      <c r="AQ55537" s="31"/>
    </row>
    <row r="55538" spans="43:43" x14ac:dyDescent="0.2">
      <c r="AQ55538" s="31"/>
    </row>
    <row r="55539" spans="43:43" x14ac:dyDescent="0.2">
      <c r="AQ55539" s="31"/>
    </row>
    <row r="55540" spans="43:43" x14ac:dyDescent="0.2">
      <c r="AQ55540" s="31"/>
    </row>
    <row r="55541" spans="43:43" x14ac:dyDescent="0.2">
      <c r="AQ55541" s="31"/>
    </row>
    <row r="55542" spans="43:43" x14ac:dyDescent="0.2">
      <c r="AQ55542" s="31"/>
    </row>
    <row r="55543" spans="43:43" x14ac:dyDescent="0.2">
      <c r="AQ55543" s="31"/>
    </row>
    <row r="55544" spans="43:43" x14ac:dyDescent="0.2">
      <c r="AQ55544" s="31"/>
    </row>
    <row r="55545" spans="43:43" x14ac:dyDescent="0.2">
      <c r="AQ55545" s="31"/>
    </row>
    <row r="55546" spans="43:43" x14ac:dyDescent="0.2">
      <c r="AQ55546" s="31"/>
    </row>
    <row r="55547" spans="43:43" x14ac:dyDescent="0.2">
      <c r="AQ55547" s="31"/>
    </row>
    <row r="55548" spans="43:43" x14ac:dyDescent="0.2">
      <c r="AQ55548" s="31"/>
    </row>
    <row r="55549" spans="43:43" x14ac:dyDescent="0.2">
      <c r="AQ55549" s="31"/>
    </row>
    <row r="55550" spans="43:43" x14ac:dyDescent="0.2">
      <c r="AQ55550" s="31"/>
    </row>
    <row r="55551" spans="43:43" x14ac:dyDescent="0.2">
      <c r="AQ55551" s="31"/>
    </row>
    <row r="55552" spans="43:43" x14ac:dyDescent="0.2">
      <c r="AQ55552" s="31"/>
    </row>
    <row r="55553" spans="43:43" x14ac:dyDescent="0.2">
      <c r="AQ55553" s="31"/>
    </row>
    <row r="55554" spans="43:43" x14ac:dyDescent="0.2">
      <c r="AQ55554" s="31"/>
    </row>
    <row r="55555" spans="43:43" x14ac:dyDescent="0.2">
      <c r="AQ55555" s="31"/>
    </row>
    <row r="55556" spans="43:43" x14ac:dyDescent="0.2">
      <c r="AQ55556" s="31"/>
    </row>
    <row r="55557" spans="43:43" x14ac:dyDescent="0.2">
      <c r="AQ55557" s="31"/>
    </row>
    <row r="55558" spans="43:43" x14ac:dyDescent="0.2">
      <c r="AQ55558" s="31"/>
    </row>
    <row r="55559" spans="43:43" x14ac:dyDescent="0.2">
      <c r="AQ55559" s="31"/>
    </row>
    <row r="55560" spans="43:43" x14ac:dyDescent="0.2">
      <c r="AQ55560" s="31"/>
    </row>
    <row r="55561" spans="43:43" x14ac:dyDescent="0.2">
      <c r="AQ55561" s="31"/>
    </row>
    <row r="55562" spans="43:43" x14ac:dyDescent="0.2">
      <c r="AQ55562" s="31"/>
    </row>
    <row r="55563" spans="43:43" x14ac:dyDescent="0.2">
      <c r="AQ55563" s="31"/>
    </row>
    <row r="55564" spans="43:43" x14ac:dyDescent="0.2">
      <c r="AQ55564" s="31"/>
    </row>
    <row r="55565" spans="43:43" x14ac:dyDescent="0.2">
      <c r="AQ55565" s="31"/>
    </row>
    <row r="55566" spans="43:43" x14ac:dyDescent="0.2">
      <c r="AQ55566" s="31"/>
    </row>
    <row r="55567" spans="43:43" x14ac:dyDescent="0.2">
      <c r="AQ55567" s="31"/>
    </row>
    <row r="55568" spans="43:43" x14ac:dyDescent="0.2">
      <c r="AQ55568" s="31"/>
    </row>
    <row r="55569" spans="43:43" x14ac:dyDescent="0.2">
      <c r="AQ55569" s="31"/>
    </row>
    <row r="55570" spans="43:43" x14ac:dyDescent="0.2">
      <c r="AQ55570" s="31"/>
    </row>
    <row r="55571" spans="43:43" x14ac:dyDescent="0.2">
      <c r="AQ55571" s="31"/>
    </row>
    <row r="55572" spans="43:43" x14ac:dyDescent="0.2">
      <c r="AQ55572" s="31"/>
    </row>
    <row r="55573" spans="43:43" x14ac:dyDescent="0.2">
      <c r="AQ55573" s="31"/>
    </row>
    <row r="55574" spans="43:43" x14ac:dyDescent="0.2">
      <c r="AQ55574" s="31"/>
    </row>
    <row r="55575" spans="43:43" x14ac:dyDescent="0.2">
      <c r="AQ55575" s="31"/>
    </row>
    <row r="55576" spans="43:43" x14ac:dyDescent="0.2">
      <c r="AQ55576" s="31"/>
    </row>
    <row r="55577" spans="43:43" x14ac:dyDescent="0.2">
      <c r="AQ55577" s="31"/>
    </row>
    <row r="55578" spans="43:43" x14ac:dyDescent="0.2">
      <c r="AQ55578" s="31"/>
    </row>
    <row r="55579" spans="43:43" x14ac:dyDescent="0.2">
      <c r="AQ55579" s="31"/>
    </row>
    <row r="55580" spans="43:43" x14ac:dyDescent="0.2">
      <c r="AQ55580" s="31"/>
    </row>
    <row r="55581" spans="43:43" x14ac:dyDescent="0.2">
      <c r="AQ55581" s="31"/>
    </row>
    <row r="55582" spans="43:43" x14ac:dyDescent="0.2">
      <c r="AQ55582" s="31"/>
    </row>
    <row r="55583" spans="43:43" x14ac:dyDescent="0.2">
      <c r="AQ55583" s="31"/>
    </row>
    <row r="55584" spans="43:43" x14ac:dyDescent="0.2">
      <c r="AQ55584" s="31"/>
    </row>
    <row r="55585" spans="43:43" x14ac:dyDescent="0.2">
      <c r="AQ55585" s="31"/>
    </row>
    <row r="55586" spans="43:43" x14ac:dyDescent="0.2">
      <c r="AQ55586" s="31"/>
    </row>
    <row r="55587" spans="43:43" x14ac:dyDescent="0.2">
      <c r="AQ55587" s="31"/>
    </row>
    <row r="55588" spans="43:43" x14ac:dyDescent="0.2">
      <c r="AQ55588" s="31"/>
    </row>
    <row r="55589" spans="43:43" x14ac:dyDescent="0.2">
      <c r="AQ55589" s="31"/>
    </row>
    <row r="55590" spans="43:43" x14ac:dyDescent="0.2">
      <c r="AQ55590" s="31"/>
    </row>
    <row r="55591" spans="43:43" x14ac:dyDescent="0.2">
      <c r="AQ55591" s="31"/>
    </row>
    <row r="55592" spans="43:43" x14ac:dyDescent="0.2">
      <c r="AQ55592" s="31"/>
    </row>
    <row r="55593" spans="43:43" x14ac:dyDescent="0.2">
      <c r="AQ55593" s="31"/>
    </row>
    <row r="55594" spans="43:43" x14ac:dyDescent="0.2">
      <c r="AQ55594" s="31"/>
    </row>
    <row r="55595" spans="43:43" x14ac:dyDescent="0.2">
      <c r="AQ55595" s="31"/>
    </row>
    <row r="55596" spans="43:43" x14ac:dyDescent="0.2">
      <c r="AQ55596" s="31"/>
    </row>
    <row r="55597" spans="43:43" x14ac:dyDescent="0.2">
      <c r="AQ55597" s="31"/>
    </row>
    <row r="55598" spans="43:43" x14ac:dyDescent="0.2">
      <c r="AQ55598" s="31"/>
    </row>
    <row r="55599" spans="43:43" x14ac:dyDescent="0.2">
      <c r="AQ55599" s="31"/>
    </row>
    <row r="55600" spans="43:43" x14ac:dyDescent="0.2">
      <c r="AQ55600" s="31"/>
    </row>
    <row r="55601" spans="43:43" x14ac:dyDescent="0.2">
      <c r="AQ55601" s="31"/>
    </row>
    <row r="55602" spans="43:43" x14ac:dyDescent="0.2">
      <c r="AQ55602" s="31"/>
    </row>
    <row r="55603" spans="43:43" x14ac:dyDescent="0.2">
      <c r="AQ55603" s="31"/>
    </row>
    <row r="55604" spans="43:43" x14ac:dyDescent="0.2">
      <c r="AQ55604" s="31"/>
    </row>
    <row r="55605" spans="43:43" x14ac:dyDescent="0.2">
      <c r="AQ55605" s="31"/>
    </row>
    <row r="55606" spans="43:43" x14ac:dyDescent="0.2">
      <c r="AQ55606" s="31"/>
    </row>
    <row r="55607" spans="43:43" x14ac:dyDescent="0.2">
      <c r="AQ55607" s="31"/>
    </row>
    <row r="55608" spans="43:43" x14ac:dyDescent="0.2">
      <c r="AQ55608" s="31"/>
    </row>
    <row r="55609" spans="43:43" x14ac:dyDescent="0.2">
      <c r="AQ55609" s="31"/>
    </row>
    <row r="55610" spans="43:43" x14ac:dyDescent="0.2">
      <c r="AQ55610" s="31"/>
    </row>
    <row r="55611" spans="43:43" x14ac:dyDescent="0.2">
      <c r="AQ55611" s="31"/>
    </row>
    <row r="55612" spans="43:43" x14ac:dyDescent="0.2">
      <c r="AQ55612" s="31"/>
    </row>
    <row r="55613" spans="43:43" x14ac:dyDescent="0.2">
      <c r="AQ55613" s="31"/>
    </row>
    <row r="55614" spans="43:43" x14ac:dyDescent="0.2">
      <c r="AQ55614" s="31"/>
    </row>
    <row r="55615" spans="43:43" x14ac:dyDescent="0.2">
      <c r="AQ55615" s="31"/>
    </row>
    <row r="55616" spans="43:43" x14ac:dyDescent="0.2">
      <c r="AQ55616" s="31"/>
    </row>
    <row r="55617" spans="43:43" x14ac:dyDescent="0.2">
      <c r="AQ55617" s="31"/>
    </row>
    <row r="55618" spans="43:43" x14ac:dyDescent="0.2">
      <c r="AQ55618" s="31"/>
    </row>
    <row r="55619" spans="43:43" x14ac:dyDescent="0.2">
      <c r="AQ55619" s="31"/>
    </row>
    <row r="55620" spans="43:43" x14ac:dyDescent="0.2">
      <c r="AQ55620" s="31"/>
    </row>
    <row r="55621" spans="43:43" x14ac:dyDescent="0.2">
      <c r="AQ55621" s="31"/>
    </row>
    <row r="55622" spans="43:43" x14ac:dyDescent="0.2">
      <c r="AQ55622" s="31"/>
    </row>
    <row r="55623" spans="43:43" x14ac:dyDescent="0.2">
      <c r="AQ55623" s="31"/>
    </row>
    <row r="55624" spans="43:43" x14ac:dyDescent="0.2">
      <c r="AQ55624" s="31"/>
    </row>
    <row r="55625" spans="43:43" x14ac:dyDescent="0.2">
      <c r="AQ55625" s="31"/>
    </row>
    <row r="55626" spans="43:43" x14ac:dyDescent="0.2">
      <c r="AQ55626" s="31"/>
    </row>
    <row r="55627" spans="43:43" x14ac:dyDescent="0.2">
      <c r="AQ55627" s="31"/>
    </row>
    <row r="55628" spans="43:43" x14ac:dyDescent="0.2">
      <c r="AQ55628" s="31"/>
    </row>
    <row r="55629" spans="43:43" x14ac:dyDescent="0.2">
      <c r="AQ55629" s="31"/>
    </row>
    <row r="55630" spans="43:43" x14ac:dyDescent="0.2">
      <c r="AQ55630" s="31"/>
    </row>
    <row r="55631" spans="43:43" x14ac:dyDescent="0.2">
      <c r="AQ55631" s="31"/>
    </row>
    <row r="55632" spans="43:43" x14ac:dyDescent="0.2">
      <c r="AQ55632" s="31"/>
    </row>
    <row r="55633" spans="43:43" x14ac:dyDescent="0.2">
      <c r="AQ55633" s="31"/>
    </row>
    <row r="55634" spans="43:43" x14ac:dyDescent="0.2">
      <c r="AQ55634" s="31"/>
    </row>
    <row r="55635" spans="43:43" x14ac:dyDescent="0.2">
      <c r="AQ55635" s="31"/>
    </row>
    <row r="55636" spans="43:43" x14ac:dyDescent="0.2">
      <c r="AQ55636" s="31"/>
    </row>
    <row r="55637" spans="43:43" x14ac:dyDescent="0.2">
      <c r="AQ55637" s="31"/>
    </row>
    <row r="55638" spans="43:43" x14ac:dyDescent="0.2">
      <c r="AQ55638" s="31"/>
    </row>
    <row r="55639" spans="43:43" x14ac:dyDescent="0.2">
      <c r="AQ55639" s="31"/>
    </row>
    <row r="55640" spans="43:43" x14ac:dyDescent="0.2">
      <c r="AQ55640" s="31"/>
    </row>
    <row r="55641" spans="43:43" x14ac:dyDescent="0.2">
      <c r="AQ55641" s="31"/>
    </row>
    <row r="55642" spans="43:43" x14ac:dyDescent="0.2">
      <c r="AQ55642" s="31"/>
    </row>
    <row r="55643" spans="43:43" x14ac:dyDescent="0.2">
      <c r="AQ55643" s="31"/>
    </row>
    <row r="55644" spans="43:43" x14ac:dyDescent="0.2">
      <c r="AQ55644" s="31"/>
    </row>
    <row r="55645" spans="43:43" x14ac:dyDescent="0.2">
      <c r="AQ55645" s="31"/>
    </row>
    <row r="55646" spans="43:43" x14ac:dyDescent="0.2">
      <c r="AQ55646" s="31"/>
    </row>
    <row r="55647" spans="43:43" x14ac:dyDescent="0.2">
      <c r="AQ55647" s="31"/>
    </row>
    <row r="55648" spans="43:43" x14ac:dyDescent="0.2">
      <c r="AQ55648" s="31"/>
    </row>
    <row r="55649" spans="43:43" x14ac:dyDescent="0.2">
      <c r="AQ55649" s="31"/>
    </row>
    <row r="55650" spans="43:43" x14ac:dyDescent="0.2">
      <c r="AQ55650" s="31"/>
    </row>
    <row r="55651" spans="43:43" x14ac:dyDescent="0.2">
      <c r="AQ55651" s="31"/>
    </row>
    <row r="55652" spans="43:43" x14ac:dyDescent="0.2">
      <c r="AQ55652" s="31"/>
    </row>
    <row r="55653" spans="43:43" x14ac:dyDescent="0.2">
      <c r="AQ55653" s="31"/>
    </row>
    <row r="55654" spans="43:43" x14ac:dyDescent="0.2">
      <c r="AQ55654" s="31"/>
    </row>
    <row r="55655" spans="43:43" x14ac:dyDescent="0.2">
      <c r="AQ55655" s="31"/>
    </row>
    <row r="55656" spans="43:43" x14ac:dyDescent="0.2">
      <c r="AQ55656" s="31"/>
    </row>
    <row r="55657" spans="43:43" x14ac:dyDescent="0.2">
      <c r="AQ55657" s="31"/>
    </row>
    <row r="55658" spans="43:43" x14ac:dyDescent="0.2">
      <c r="AQ55658" s="31"/>
    </row>
    <row r="55659" spans="43:43" x14ac:dyDescent="0.2">
      <c r="AQ55659" s="31"/>
    </row>
    <row r="55660" spans="43:43" x14ac:dyDescent="0.2">
      <c r="AQ55660" s="31"/>
    </row>
    <row r="55661" spans="43:43" x14ac:dyDescent="0.2">
      <c r="AQ55661" s="31"/>
    </row>
    <row r="55662" spans="43:43" x14ac:dyDescent="0.2">
      <c r="AQ55662" s="31"/>
    </row>
    <row r="55663" spans="43:43" x14ac:dyDescent="0.2">
      <c r="AQ55663" s="31"/>
    </row>
    <row r="55664" spans="43:43" x14ac:dyDescent="0.2">
      <c r="AQ55664" s="31"/>
    </row>
    <row r="55665" spans="43:43" x14ac:dyDescent="0.2">
      <c r="AQ55665" s="31"/>
    </row>
    <row r="55666" spans="43:43" x14ac:dyDescent="0.2">
      <c r="AQ55666" s="31"/>
    </row>
    <row r="55667" spans="43:43" x14ac:dyDescent="0.2">
      <c r="AQ55667" s="31"/>
    </row>
    <row r="55668" spans="43:43" x14ac:dyDescent="0.2">
      <c r="AQ55668" s="31"/>
    </row>
    <row r="55669" spans="43:43" x14ac:dyDescent="0.2">
      <c r="AQ55669" s="31"/>
    </row>
    <row r="55670" spans="43:43" x14ac:dyDescent="0.2">
      <c r="AQ55670" s="31"/>
    </row>
    <row r="55671" spans="43:43" x14ac:dyDescent="0.2">
      <c r="AQ55671" s="31"/>
    </row>
    <row r="55672" spans="43:43" x14ac:dyDescent="0.2">
      <c r="AQ55672" s="31"/>
    </row>
    <row r="55673" spans="43:43" x14ac:dyDescent="0.2">
      <c r="AQ55673" s="31"/>
    </row>
    <row r="55674" spans="43:43" x14ac:dyDescent="0.2">
      <c r="AQ55674" s="31"/>
    </row>
    <row r="55675" spans="43:43" x14ac:dyDescent="0.2">
      <c r="AQ55675" s="31"/>
    </row>
    <row r="55676" spans="43:43" x14ac:dyDescent="0.2">
      <c r="AQ55676" s="31"/>
    </row>
    <row r="55677" spans="43:43" x14ac:dyDescent="0.2">
      <c r="AQ55677" s="31"/>
    </row>
    <row r="55678" spans="43:43" x14ac:dyDescent="0.2">
      <c r="AQ55678" s="31"/>
    </row>
    <row r="55679" spans="43:43" x14ac:dyDescent="0.2">
      <c r="AQ55679" s="31"/>
    </row>
    <row r="55680" spans="43:43" x14ac:dyDescent="0.2">
      <c r="AQ55680" s="31"/>
    </row>
    <row r="55681" spans="43:43" x14ac:dyDescent="0.2">
      <c r="AQ55681" s="31"/>
    </row>
    <row r="55682" spans="43:43" x14ac:dyDescent="0.2">
      <c r="AQ55682" s="31"/>
    </row>
    <row r="55683" spans="43:43" x14ac:dyDescent="0.2">
      <c r="AQ55683" s="31"/>
    </row>
    <row r="55684" spans="43:43" x14ac:dyDescent="0.2">
      <c r="AQ55684" s="31"/>
    </row>
    <row r="55685" spans="43:43" x14ac:dyDescent="0.2">
      <c r="AQ55685" s="31"/>
    </row>
    <row r="55686" spans="43:43" x14ac:dyDescent="0.2">
      <c r="AQ55686" s="31"/>
    </row>
    <row r="55687" spans="43:43" x14ac:dyDescent="0.2">
      <c r="AQ55687" s="31"/>
    </row>
    <row r="55688" spans="43:43" x14ac:dyDescent="0.2">
      <c r="AQ55688" s="31"/>
    </row>
    <row r="55689" spans="43:43" x14ac:dyDescent="0.2">
      <c r="AQ55689" s="31"/>
    </row>
    <row r="55690" spans="43:43" x14ac:dyDescent="0.2">
      <c r="AQ55690" s="31"/>
    </row>
    <row r="55691" spans="43:43" x14ac:dyDescent="0.2">
      <c r="AQ55691" s="31"/>
    </row>
    <row r="55692" spans="43:43" x14ac:dyDescent="0.2">
      <c r="AQ55692" s="31"/>
    </row>
    <row r="55693" spans="43:43" x14ac:dyDescent="0.2">
      <c r="AQ55693" s="31"/>
    </row>
    <row r="55694" spans="43:43" x14ac:dyDescent="0.2">
      <c r="AQ55694" s="31"/>
    </row>
    <row r="55695" spans="43:43" x14ac:dyDescent="0.2">
      <c r="AQ55695" s="31"/>
    </row>
    <row r="55696" spans="43:43" x14ac:dyDescent="0.2">
      <c r="AQ55696" s="31"/>
    </row>
    <row r="55697" spans="43:43" x14ac:dyDescent="0.2">
      <c r="AQ55697" s="31"/>
    </row>
    <row r="55698" spans="43:43" x14ac:dyDescent="0.2">
      <c r="AQ55698" s="31"/>
    </row>
    <row r="55699" spans="43:43" x14ac:dyDescent="0.2">
      <c r="AQ55699" s="31"/>
    </row>
    <row r="55700" spans="43:43" x14ac:dyDescent="0.2">
      <c r="AQ55700" s="31"/>
    </row>
    <row r="55701" spans="43:43" x14ac:dyDescent="0.2">
      <c r="AQ55701" s="31"/>
    </row>
    <row r="55702" spans="43:43" x14ac:dyDescent="0.2">
      <c r="AQ55702" s="31"/>
    </row>
    <row r="55703" spans="43:43" x14ac:dyDescent="0.2">
      <c r="AQ55703" s="31"/>
    </row>
    <row r="55704" spans="43:43" x14ac:dyDescent="0.2">
      <c r="AQ55704" s="31"/>
    </row>
    <row r="55705" spans="43:43" x14ac:dyDescent="0.2">
      <c r="AQ55705" s="31"/>
    </row>
    <row r="55706" spans="43:43" x14ac:dyDescent="0.2">
      <c r="AQ55706" s="31"/>
    </row>
    <row r="55707" spans="43:43" x14ac:dyDescent="0.2">
      <c r="AQ55707" s="31"/>
    </row>
    <row r="55708" spans="43:43" x14ac:dyDescent="0.2">
      <c r="AQ55708" s="31"/>
    </row>
    <row r="55709" spans="43:43" x14ac:dyDescent="0.2">
      <c r="AQ55709" s="31"/>
    </row>
    <row r="55710" spans="43:43" x14ac:dyDescent="0.2">
      <c r="AQ55710" s="31"/>
    </row>
    <row r="55711" spans="43:43" x14ac:dyDescent="0.2">
      <c r="AQ55711" s="31"/>
    </row>
    <row r="55712" spans="43:43" x14ac:dyDescent="0.2">
      <c r="AQ55712" s="31"/>
    </row>
    <row r="55713" spans="43:43" x14ac:dyDescent="0.2">
      <c r="AQ55713" s="31"/>
    </row>
    <row r="55714" spans="43:43" x14ac:dyDescent="0.2">
      <c r="AQ55714" s="31"/>
    </row>
    <row r="55715" spans="43:43" x14ac:dyDescent="0.2">
      <c r="AQ55715" s="31"/>
    </row>
    <row r="55716" spans="43:43" x14ac:dyDescent="0.2">
      <c r="AQ55716" s="31"/>
    </row>
    <row r="55717" spans="43:43" x14ac:dyDescent="0.2">
      <c r="AQ55717" s="31"/>
    </row>
    <row r="55718" spans="43:43" x14ac:dyDescent="0.2">
      <c r="AQ55718" s="31"/>
    </row>
    <row r="55719" spans="43:43" x14ac:dyDescent="0.2">
      <c r="AQ55719" s="31"/>
    </row>
    <row r="55720" spans="43:43" x14ac:dyDescent="0.2">
      <c r="AQ55720" s="31"/>
    </row>
    <row r="55721" spans="43:43" x14ac:dyDescent="0.2">
      <c r="AQ55721" s="31"/>
    </row>
    <row r="55722" spans="43:43" x14ac:dyDescent="0.2">
      <c r="AQ55722" s="31"/>
    </row>
    <row r="55723" spans="43:43" x14ac:dyDescent="0.2">
      <c r="AQ55723" s="31"/>
    </row>
    <row r="55724" spans="43:43" x14ac:dyDescent="0.2">
      <c r="AQ55724" s="31"/>
    </row>
    <row r="55725" spans="43:43" x14ac:dyDescent="0.2">
      <c r="AQ55725" s="31"/>
    </row>
    <row r="55726" spans="43:43" x14ac:dyDescent="0.2">
      <c r="AQ55726" s="31"/>
    </row>
    <row r="55727" spans="43:43" x14ac:dyDescent="0.2">
      <c r="AQ55727" s="31"/>
    </row>
    <row r="55728" spans="43:43" x14ac:dyDescent="0.2">
      <c r="AQ55728" s="31"/>
    </row>
    <row r="55729" spans="43:43" x14ac:dyDescent="0.2">
      <c r="AQ55729" s="31"/>
    </row>
    <row r="55730" spans="43:43" x14ac:dyDescent="0.2">
      <c r="AQ55730" s="31"/>
    </row>
    <row r="55731" spans="43:43" x14ac:dyDescent="0.2">
      <c r="AQ55731" s="31"/>
    </row>
    <row r="55732" spans="43:43" x14ac:dyDescent="0.2">
      <c r="AQ55732" s="31"/>
    </row>
    <row r="55733" spans="43:43" x14ac:dyDescent="0.2">
      <c r="AQ55733" s="31"/>
    </row>
    <row r="55734" spans="43:43" x14ac:dyDescent="0.2">
      <c r="AQ55734" s="31"/>
    </row>
    <row r="55735" spans="43:43" x14ac:dyDescent="0.2">
      <c r="AQ55735" s="31"/>
    </row>
    <row r="55736" spans="43:43" x14ac:dyDescent="0.2">
      <c r="AQ55736" s="31"/>
    </row>
    <row r="55737" spans="43:43" x14ac:dyDescent="0.2">
      <c r="AQ55737" s="31"/>
    </row>
    <row r="55738" spans="43:43" x14ac:dyDescent="0.2">
      <c r="AQ55738" s="31"/>
    </row>
    <row r="55739" spans="43:43" x14ac:dyDescent="0.2">
      <c r="AQ55739" s="31"/>
    </row>
    <row r="55740" spans="43:43" x14ac:dyDescent="0.2">
      <c r="AQ55740" s="31"/>
    </row>
    <row r="55741" spans="43:43" x14ac:dyDescent="0.2">
      <c r="AQ55741" s="31"/>
    </row>
    <row r="55742" spans="43:43" x14ac:dyDescent="0.2">
      <c r="AQ55742" s="31"/>
    </row>
    <row r="55743" spans="43:43" x14ac:dyDescent="0.2">
      <c r="AQ55743" s="31"/>
    </row>
    <row r="55744" spans="43:43" x14ac:dyDescent="0.2">
      <c r="AQ55744" s="31"/>
    </row>
    <row r="55745" spans="43:43" x14ac:dyDescent="0.2">
      <c r="AQ55745" s="31"/>
    </row>
    <row r="55746" spans="43:43" x14ac:dyDescent="0.2">
      <c r="AQ55746" s="31"/>
    </row>
    <row r="55747" spans="43:43" x14ac:dyDescent="0.2">
      <c r="AQ55747" s="31"/>
    </row>
    <row r="55748" spans="43:43" x14ac:dyDescent="0.2">
      <c r="AQ55748" s="31"/>
    </row>
    <row r="55749" spans="43:43" x14ac:dyDescent="0.2">
      <c r="AQ55749" s="31"/>
    </row>
    <row r="55750" spans="43:43" x14ac:dyDescent="0.2">
      <c r="AQ55750" s="31"/>
    </row>
    <row r="55751" spans="43:43" x14ac:dyDescent="0.2">
      <c r="AQ55751" s="31"/>
    </row>
    <row r="55752" spans="43:43" x14ac:dyDescent="0.2">
      <c r="AQ55752" s="31"/>
    </row>
    <row r="55753" spans="43:43" x14ac:dyDescent="0.2">
      <c r="AQ55753" s="31"/>
    </row>
    <row r="55754" spans="43:43" x14ac:dyDescent="0.2">
      <c r="AQ55754" s="31"/>
    </row>
    <row r="55755" spans="43:43" x14ac:dyDescent="0.2">
      <c r="AQ55755" s="31"/>
    </row>
    <row r="55756" spans="43:43" x14ac:dyDescent="0.2">
      <c r="AQ55756" s="31"/>
    </row>
    <row r="55757" spans="43:43" x14ac:dyDescent="0.2">
      <c r="AQ55757" s="31"/>
    </row>
    <row r="55758" spans="43:43" x14ac:dyDescent="0.2">
      <c r="AQ55758" s="31"/>
    </row>
    <row r="55759" spans="43:43" x14ac:dyDescent="0.2">
      <c r="AQ55759" s="31"/>
    </row>
    <row r="55760" spans="43:43" x14ac:dyDescent="0.2">
      <c r="AQ55760" s="31"/>
    </row>
    <row r="55761" spans="43:43" x14ac:dyDescent="0.2">
      <c r="AQ55761" s="31"/>
    </row>
    <row r="55762" spans="43:43" x14ac:dyDescent="0.2">
      <c r="AQ55762" s="31"/>
    </row>
    <row r="55763" spans="43:43" x14ac:dyDescent="0.2">
      <c r="AQ55763" s="31"/>
    </row>
    <row r="55764" spans="43:43" x14ac:dyDescent="0.2">
      <c r="AQ55764" s="31"/>
    </row>
    <row r="55765" spans="43:43" x14ac:dyDescent="0.2">
      <c r="AQ55765" s="31"/>
    </row>
    <row r="55766" spans="43:43" x14ac:dyDescent="0.2">
      <c r="AQ55766" s="31"/>
    </row>
    <row r="55767" spans="43:43" x14ac:dyDescent="0.2">
      <c r="AQ55767" s="31"/>
    </row>
    <row r="55768" spans="43:43" x14ac:dyDescent="0.2">
      <c r="AQ55768" s="31"/>
    </row>
    <row r="55769" spans="43:43" x14ac:dyDescent="0.2">
      <c r="AQ55769" s="31"/>
    </row>
    <row r="55770" spans="43:43" x14ac:dyDescent="0.2">
      <c r="AQ55770" s="31"/>
    </row>
    <row r="55771" spans="43:43" x14ac:dyDescent="0.2">
      <c r="AQ55771" s="31"/>
    </row>
    <row r="55772" spans="43:43" x14ac:dyDescent="0.2">
      <c r="AQ55772" s="31"/>
    </row>
    <row r="55773" spans="43:43" x14ac:dyDescent="0.2">
      <c r="AQ55773" s="31"/>
    </row>
    <row r="55774" spans="43:43" x14ac:dyDescent="0.2">
      <c r="AQ55774" s="31"/>
    </row>
    <row r="55775" spans="43:43" x14ac:dyDescent="0.2">
      <c r="AQ55775" s="31"/>
    </row>
    <row r="55776" spans="43:43" x14ac:dyDescent="0.2">
      <c r="AQ55776" s="31"/>
    </row>
    <row r="55777" spans="43:43" x14ac:dyDescent="0.2">
      <c r="AQ55777" s="31"/>
    </row>
    <row r="55778" spans="43:43" x14ac:dyDescent="0.2">
      <c r="AQ55778" s="31"/>
    </row>
    <row r="55779" spans="43:43" x14ac:dyDescent="0.2">
      <c r="AQ55779" s="31"/>
    </row>
    <row r="55780" spans="43:43" x14ac:dyDescent="0.2">
      <c r="AQ55780" s="31"/>
    </row>
    <row r="55781" spans="43:43" x14ac:dyDescent="0.2">
      <c r="AQ55781" s="31"/>
    </row>
    <row r="55782" spans="43:43" x14ac:dyDescent="0.2">
      <c r="AQ55782" s="31"/>
    </row>
    <row r="55783" spans="43:43" x14ac:dyDescent="0.2">
      <c r="AQ55783" s="31"/>
    </row>
    <row r="55784" spans="43:43" x14ac:dyDescent="0.2">
      <c r="AQ55784" s="31"/>
    </row>
    <row r="55785" spans="43:43" x14ac:dyDescent="0.2">
      <c r="AQ55785" s="31"/>
    </row>
    <row r="55786" spans="43:43" x14ac:dyDescent="0.2">
      <c r="AQ55786" s="31"/>
    </row>
    <row r="55787" spans="43:43" x14ac:dyDescent="0.2">
      <c r="AQ55787" s="31"/>
    </row>
    <row r="55788" spans="43:43" x14ac:dyDescent="0.2">
      <c r="AQ55788" s="31"/>
    </row>
    <row r="55789" spans="43:43" x14ac:dyDescent="0.2">
      <c r="AQ55789" s="31"/>
    </row>
    <row r="55790" spans="43:43" x14ac:dyDescent="0.2">
      <c r="AQ55790" s="31"/>
    </row>
    <row r="55791" spans="43:43" x14ac:dyDescent="0.2">
      <c r="AQ55791" s="31"/>
    </row>
    <row r="55792" spans="43:43" x14ac:dyDescent="0.2">
      <c r="AQ55792" s="31"/>
    </row>
    <row r="55793" spans="43:43" x14ac:dyDescent="0.2">
      <c r="AQ55793" s="31"/>
    </row>
    <row r="55794" spans="43:43" x14ac:dyDescent="0.2">
      <c r="AQ55794" s="31"/>
    </row>
    <row r="55795" spans="43:43" x14ac:dyDescent="0.2">
      <c r="AQ55795" s="31"/>
    </row>
    <row r="55796" spans="43:43" x14ac:dyDescent="0.2">
      <c r="AQ55796" s="31"/>
    </row>
    <row r="55797" spans="43:43" x14ac:dyDescent="0.2">
      <c r="AQ55797" s="31"/>
    </row>
    <row r="55798" spans="43:43" x14ac:dyDescent="0.2">
      <c r="AQ55798" s="31"/>
    </row>
    <row r="55799" spans="43:43" x14ac:dyDescent="0.2">
      <c r="AQ55799" s="31"/>
    </row>
    <row r="55800" spans="43:43" x14ac:dyDescent="0.2">
      <c r="AQ55800" s="31"/>
    </row>
    <row r="55801" spans="43:43" x14ac:dyDescent="0.2">
      <c r="AQ55801" s="31"/>
    </row>
    <row r="55802" spans="43:43" x14ac:dyDescent="0.2">
      <c r="AQ55802" s="31"/>
    </row>
    <row r="55803" spans="43:43" x14ac:dyDescent="0.2">
      <c r="AQ55803" s="31"/>
    </row>
    <row r="55804" spans="43:43" x14ac:dyDescent="0.2">
      <c r="AQ55804" s="31"/>
    </row>
    <row r="55805" spans="43:43" x14ac:dyDescent="0.2">
      <c r="AQ55805" s="31"/>
    </row>
    <row r="55806" spans="43:43" x14ac:dyDescent="0.2">
      <c r="AQ55806" s="31"/>
    </row>
    <row r="55807" spans="43:43" x14ac:dyDescent="0.2">
      <c r="AQ55807" s="31"/>
    </row>
    <row r="55808" spans="43:43" x14ac:dyDescent="0.2">
      <c r="AQ55808" s="31"/>
    </row>
    <row r="55809" spans="43:43" x14ac:dyDescent="0.2">
      <c r="AQ55809" s="31"/>
    </row>
    <row r="55810" spans="43:43" x14ac:dyDescent="0.2">
      <c r="AQ55810" s="31"/>
    </row>
    <row r="55811" spans="43:43" x14ac:dyDescent="0.2">
      <c r="AQ55811" s="31"/>
    </row>
    <row r="55812" spans="43:43" x14ac:dyDescent="0.2">
      <c r="AQ55812" s="31"/>
    </row>
    <row r="55813" spans="43:43" x14ac:dyDescent="0.2">
      <c r="AQ55813" s="31"/>
    </row>
    <row r="55814" spans="43:43" x14ac:dyDescent="0.2">
      <c r="AQ55814" s="31"/>
    </row>
    <row r="55815" spans="43:43" x14ac:dyDescent="0.2">
      <c r="AQ55815" s="31"/>
    </row>
    <row r="55816" spans="43:43" x14ac:dyDescent="0.2">
      <c r="AQ55816" s="31"/>
    </row>
    <row r="55817" spans="43:43" x14ac:dyDescent="0.2">
      <c r="AQ55817" s="31"/>
    </row>
    <row r="55818" spans="43:43" x14ac:dyDescent="0.2">
      <c r="AQ55818" s="31"/>
    </row>
    <row r="55819" spans="43:43" x14ac:dyDescent="0.2">
      <c r="AQ55819" s="31"/>
    </row>
    <row r="55820" spans="43:43" x14ac:dyDescent="0.2">
      <c r="AQ55820" s="31"/>
    </row>
    <row r="55821" spans="43:43" x14ac:dyDescent="0.2">
      <c r="AQ55821" s="31"/>
    </row>
    <row r="55822" spans="43:43" x14ac:dyDescent="0.2">
      <c r="AQ55822" s="31"/>
    </row>
    <row r="55823" spans="43:43" x14ac:dyDescent="0.2">
      <c r="AQ55823" s="31"/>
    </row>
    <row r="55824" spans="43:43" x14ac:dyDescent="0.2">
      <c r="AQ55824" s="31"/>
    </row>
    <row r="55825" spans="43:43" x14ac:dyDescent="0.2">
      <c r="AQ55825" s="31"/>
    </row>
    <row r="55826" spans="43:43" x14ac:dyDescent="0.2">
      <c r="AQ55826" s="31"/>
    </row>
    <row r="55827" spans="43:43" x14ac:dyDescent="0.2">
      <c r="AQ55827" s="31"/>
    </row>
    <row r="55828" spans="43:43" x14ac:dyDescent="0.2">
      <c r="AQ55828" s="31"/>
    </row>
    <row r="55829" spans="43:43" x14ac:dyDescent="0.2">
      <c r="AQ55829" s="31"/>
    </row>
    <row r="55830" spans="43:43" x14ac:dyDescent="0.2">
      <c r="AQ55830" s="31"/>
    </row>
    <row r="55831" spans="43:43" x14ac:dyDescent="0.2">
      <c r="AQ55831" s="31"/>
    </row>
    <row r="55832" spans="43:43" x14ac:dyDescent="0.2">
      <c r="AQ55832" s="31"/>
    </row>
    <row r="55833" spans="43:43" x14ac:dyDescent="0.2">
      <c r="AQ55833" s="31"/>
    </row>
    <row r="55834" spans="43:43" x14ac:dyDescent="0.2">
      <c r="AQ55834" s="31"/>
    </row>
    <row r="55835" spans="43:43" x14ac:dyDescent="0.2">
      <c r="AQ55835" s="31"/>
    </row>
    <row r="55836" spans="43:43" x14ac:dyDescent="0.2">
      <c r="AQ55836" s="31"/>
    </row>
    <row r="55837" spans="43:43" x14ac:dyDescent="0.2">
      <c r="AQ55837" s="31"/>
    </row>
    <row r="55838" spans="43:43" x14ac:dyDescent="0.2">
      <c r="AQ55838" s="31"/>
    </row>
    <row r="55839" spans="43:43" x14ac:dyDescent="0.2">
      <c r="AQ55839" s="31"/>
    </row>
    <row r="55840" spans="43:43" x14ac:dyDescent="0.2">
      <c r="AQ55840" s="31"/>
    </row>
    <row r="55841" spans="43:43" x14ac:dyDescent="0.2">
      <c r="AQ55841" s="31"/>
    </row>
    <row r="55842" spans="43:43" x14ac:dyDescent="0.2">
      <c r="AQ55842" s="31"/>
    </row>
    <row r="55843" spans="43:43" x14ac:dyDescent="0.2">
      <c r="AQ55843" s="31"/>
    </row>
    <row r="55844" spans="43:43" x14ac:dyDescent="0.2">
      <c r="AQ55844" s="31"/>
    </row>
    <row r="55845" spans="43:43" x14ac:dyDescent="0.2">
      <c r="AQ55845" s="31"/>
    </row>
    <row r="55846" spans="43:43" x14ac:dyDescent="0.2">
      <c r="AQ55846" s="31"/>
    </row>
    <row r="55847" spans="43:43" x14ac:dyDescent="0.2">
      <c r="AQ55847" s="31"/>
    </row>
    <row r="55848" spans="43:43" x14ac:dyDescent="0.2">
      <c r="AQ55848" s="31"/>
    </row>
    <row r="55849" spans="43:43" x14ac:dyDescent="0.2">
      <c r="AQ55849" s="31"/>
    </row>
    <row r="55850" spans="43:43" x14ac:dyDescent="0.2">
      <c r="AQ55850" s="31"/>
    </row>
    <row r="55851" spans="43:43" x14ac:dyDescent="0.2">
      <c r="AQ55851" s="31"/>
    </row>
    <row r="55852" spans="43:43" x14ac:dyDescent="0.2">
      <c r="AQ55852" s="31"/>
    </row>
    <row r="55853" spans="43:43" x14ac:dyDescent="0.2">
      <c r="AQ55853" s="31"/>
    </row>
    <row r="55854" spans="43:43" x14ac:dyDescent="0.2">
      <c r="AQ55854" s="31"/>
    </row>
    <row r="55855" spans="43:43" x14ac:dyDescent="0.2">
      <c r="AQ55855" s="31"/>
    </row>
    <row r="55856" spans="43:43" x14ac:dyDescent="0.2">
      <c r="AQ55856" s="31"/>
    </row>
    <row r="55857" spans="43:43" x14ac:dyDescent="0.2">
      <c r="AQ55857" s="31"/>
    </row>
    <row r="55858" spans="43:43" x14ac:dyDescent="0.2">
      <c r="AQ55858" s="31"/>
    </row>
    <row r="55859" spans="43:43" x14ac:dyDescent="0.2">
      <c r="AQ55859" s="31"/>
    </row>
    <row r="55860" spans="43:43" x14ac:dyDescent="0.2">
      <c r="AQ55860" s="31"/>
    </row>
    <row r="55861" spans="43:43" x14ac:dyDescent="0.2">
      <c r="AQ55861" s="31"/>
    </row>
    <row r="55862" spans="43:43" x14ac:dyDescent="0.2">
      <c r="AQ55862" s="31"/>
    </row>
    <row r="55863" spans="43:43" x14ac:dyDescent="0.2">
      <c r="AQ55863" s="31"/>
    </row>
    <row r="55864" spans="43:43" x14ac:dyDescent="0.2">
      <c r="AQ55864" s="31"/>
    </row>
    <row r="55865" spans="43:43" x14ac:dyDescent="0.2">
      <c r="AQ55865" s="31"/>
    </row>
    <row r="55866" spans="43:43" x14ac:dyDescent="0.2">
      <c r="AQ55866" s="31"/>
    </row>
    <row r="55867" spans="43:43" x14ac:dyDescent="0.2">
      <c r="AQ55867" s="31"/>
    </row>
    <row r="55868" spans="43:43" x14ac:dyDescent="0.2">
      <c r="AQ55868" s="31"/>
    </row>
    <row r="55869" spans="43:43" x14ac:dyDescent="0.2">
      <c r="AQ55869" s="31"/>
    </row>
    <row r="55870" spans="43:43" x14ac:dyDescent="0.2">
      <c r="AQ55870" s="31"/>
    </row>
    <row r="55871" spans="43:43" x14ac:dyDescent="0.2">
      <c r="AQ55871" s="31"/>
    </row>
    <row r="55872" spans="43:43" x14ac:dyDescent="0.2">
      <c r="AQ55872" s="31"/>
    </row>
    <row r="55873" spans="43:43" x14ac:dyDescent="0.2">
      <c r="AQ55873" s="31"/>
    </row>
    <row r="55874" spans="43:43" x14ac:dyDescent="0.2">
      <c r="AQ55874" s="31"/>
    </row>
    <row r="55875" spans="43:43" x14ac:dyDescent="0.2">
      <c r="AQ55875" s="31"/>
    </row>
    <row r="55876" spans="43:43" x14ac:dyDescent="0.2">
      <c r="AQ55876" s="31"/>
    </row>
    <row r="55877" spans="43:43" x14ac:dyDescent="0.2">
      <c r="AQ55877" s="31"/>
    </row>
    <row r="55878" spans="43:43" x14ac:dyDescent="0.2">
      <c r="AQ55878" s="31"/>
    </row>
    <row r="55879" spans="43:43" x14ac:dyDescent="0.2">
      <c r="AQ55879" s="31"/>
    </row>
    <row r="55880" spans="43:43" x14ac:dyDescent="0.2">
      <c r="AQ55880" s="31"/>
    </row>
    <row r="55881" spans="43:43" x14ac:dyDescent="0.2">
      <c r="AQ55881" s="31"/>
    </row>
    <row r="55882" spans="43:43" x14ac:dyDescent="0.2">
      <c r="AQ55882" s="31"/>
    </row>
    <row r="55883" spans="43:43" x14ac:dyDescent="0.2">
      <c r="AQ55883" s="31"/>
    </row>
    <row r="55884" spans="43:43" x14ac:dyDescent="0.2">
      <c r="AQ55884" s="31"/>
    </row>
    <row r="55885" spans="43:43" x14ac:dyDescent="0.2">
      <c r="AQ55885" s="31"/>
    </row>
    <row r="55886" spans="43:43" x14ac:dyDescent="0.2">
      <c r="AQ55886" s="31"/>
    </row>
    <row r="55887" spans="43:43" x14ac:dyDescent="0.2">
      <c r="AQ55887" s="31"/>
    </row>
    <row r="55888" spans="43:43" x14ac:dyDescent="0.2">
      <c r="AQ55888" s="31"/>
    </row>
    <row r="55889" spans="43:43" x14ac:dyDescent="0.2">
      <c r="AQ55889" s="31"/>
    </row>
    <row r="55890" spans="43:43" x14ac:dyDescent="0.2">
      <c r="AQ55890" s="31"/>
    </row>
    <row r="55891" spans="43:43" x14ac:dyDescent="0.2">
      <c r="AQ55891" s="31"/>
    </row>
    <row r="55892" spans="43:43" x14ac:dyDescent="0.2">
      <c r="AQ55892" s="31"/>
    </row>
    <row r="55893" spans="43:43" x14ac:dyDescent="0.2">
      <c r="AQ55893" s="31"/>
    </row>
    <row r="55894" spans="43:43" x14ac:dyDescent="0.2">
      <c r="AQ55894" s="31"/>
    </row>
    <row r="55895" spans="43:43" x14ac:dyDescent="0.2">
      <c r="AQ55895" s="31"/>
    </row>
    <row r="55896" spans="43:43" x14ac:dyDescent="0.2">
      <c r="AQ55896" s="31"/>
    </row>
    <row r="55897" spans="43:43" x14ac:dyDescent="0.2">
      <c r="AQ55897" s="31"/>
    </row>
    <row r="55898" spans="43:43" x14ac:dyDescent="0.2">
      <c r="AQ55898" s="31"/>
    </row>
    <row r="55899" spans="43:43" x14ac:dyDescent="0.2">
      <c r="AQ55899" s="31"/>
    </row>
    <row r="55900" spans="43:43" x14ac:dyDescent="0.2">
      <c r="AQ55900" s="31"/>
    </row>
    <row r="55901" spans="43:43" x14ac:dyDescent="0.2">
      <c r="AQ55901" s="31"/>
    </row>
    <row r="55902" spans="43:43" x14ac:dyDescent="0.2">
      <c r="AQ55902" s="31"/>
    </row>
    <row r="55903" spans="43:43" x14ac:dyDescent="0.2">
      <c r="AQ55903" s="31"/>
    </row>
    <row r="55904" spans="43:43" x14ac:dyDescent="0.2">
      <c r="AQ55904" s="31"/>
    </row>
    <row r="55905" spans="43:43" x14ac:dyDescent="0.2">
      <c r="AQ55905" s="31"/>
    </row>
    <row r="55906" spans="43:43" x14ac:dyDescent="0.2">
      <c r="AQ55906" s="31"/>
    </row>
    <row r="55907" spans="43:43" x14ac:dyDescent="0.2">
      <c r="AQ55907" s="31"/>
    </row>
    <row r="55908" spans="43:43" x14ac:dyDescent="0.2">
      <c r="AQ55908" s="31"/>
    </row>
    <row r="55909" spans="43:43" x14ac:dyDescent="0.2">
      <c r="AQ55909" s="31"/>
    </row>
    <row r="55910" spans="43:43" x14ac:dyDescent="0.2">
      <c r="AQ55910" s="31"/>
    </row>
    <row r="55911" spans="43:43" x14ac:dyDescent="0.2">
      <c r="AQ55911" s="31"/>
    </row>
    <row r="55912" spans="43:43" x14ac:dyDescent="0.2">
      <c r="AQ55912" s="31"/>
    </row>
    <row r="55913" spans="43:43" x14ac:dyDescent="0.2">
      <c r="AQ55913" s="31"/>
    </row>
    <row r="55914" spans="43:43" x14ac:dyDescent="0.2">
      <c r="AQ55914" s="31"/>
    </row>
    <row r="55915" spans="43:43" x14ac:dyDescent="0.2">
      <c r="AQ55915" s="31"/>
    </row>
    <row r="55916" spans="43:43" x14ac:dyDescent="0.2">
      <c r="AQ55916" s="31"/>
    </row>
    <row r="55917" spans="43:43" x14ac:dyDescent="0.2">
      <c r="AQ55917" s="31"/>
    </row>
    <row r="55918" spans="43:43" x14ac:dyDescent="0.2">
      <c r="AQ55918" s="31"/>
    </row>
    <row r="55919" spans="43:43" x14ac:dyDescent="0.2">
      <c r="AQ55919" s="31"/>
    </row>
    <row r="55920" spans="43:43" x14ac:dyDescent="0.2">
      <c r="AQ55920" s="31"/>
    </row>
    <row r="55921" spans="43:43" x14ac:dyDescent="0.2">
      <c r="AQ55921" s="31"/>
    </row>
    <row r="55922" spans="43:43" x14ac:dyDescent="0.2">
      <c r="AQ55922" s="31"/>
    </row>
    <row r="55923" spans="43:43" x14ac:dyDescent="0.2">
      <c r="AQ55923" s="31"/>
    </row>
    <row r="55924" spans="43:43" x14ac:dyDescent="0.2">
      <c r="AQ55924" s="31"/>
    </row>
    <row r="55925" spans="43:43" x14ac:dyDescent="0.2">
      <c r="AQ55925" s="31"/>
    </row>
    <row r="55926" spans="43:43" x14ac:dyDescent="0.2">
      <c r="AQ55926" s="31"/>
    </row>
    <row r="55927" spans="43:43" x14ac:dyDescent="0.2">
      <c r="AQ55927" s="31"/>
    </row>
    <row r="55928" spans="43:43" x14ac:dyDescent="0.2">
      <c r="AQ55928" s="31"/>
    </row>
    <row r="55929" spans="43:43" x14ac:dyDescent="0.2">
      <c r="AQ55929" s="31"/>
    </row>
    <row r="55930" spans="43:43" x14ac:dyDescent="0.2">
      <c r="AQ55930" s="31"/>
    </row>
    <row r="55931" spans="43:43" x14ac:dyDescent="0.2">
      <c r="AQ55931" s="31"/>
    </row>
    <row r="55932" spans="43:43" x14ac:dyDescent="0.2">
      <c r="AQ55932" s="31"/>
    </row>
    <row r="55933" spans="43:43" x14ac:dyDescent="0.2">
      <c r="AQ55933" s="31"/>
    </row>
    <row r="55934" spans="43:43" x14ac:dyDescent="0.2">
      <c r="AQ55934" s="31"/>
    </row>
    <row r="55935" spans="43:43" x14ac:dyDescent="0.2">
      <c r="AQ55935" s="31"/>
    </row>
    <row r="55936" spans="43:43" x14ac:dyDescent="0.2">
      <c r="AQ55936" s="31"/>
    </row>
    <row r="55937" spans="43:43" x14ac:dyDescent="0.2">
      <c r="AQ55937" s="31"/>
    </row>
    <row r="55938" spans="43:43" x14ac:dyDescent="0.2">
      <c r="AQ55938" s="31"/>
    </row>
    <row r="55939" spans="43:43" x14ac:dyDescent="0.2">
      <c r="AQ55939" s="31"/>
    </row>
    <row r="55940" spans="43:43" x14ac:dyDescent="0.2">
      <c r="AQ55940" s="31"/>
    </row>
    <row r="55941" spans="43:43" x14ac:dyDescent="0.2">
      <c r="AQ55941" s="31"/>
    </row>
    <row r="55942" spans="43:43" x14ac:dyDescent="0.2">
      <c r="AQ55942" s="31"/>
    </row>
    <row r="55943" spans="43:43" x14ac:dyDescent="0.2">
      <c r="AQ55943" s="31"/>
    </row>
    <row r="55944" spans="43:43" x14ac:dyDescent="0.2">
      <c r="AQ55944" s="31"/>
    </row>
    <row r="55945" spans="43:43" x14ac:dyDescent="0.2">
      <c r="AQ55945" s="31"/>
    </row>
    <row r="55946" spans="43:43" x14ac:dyDescent="0.2">
      <c r="AQ55946" s="31"/>
    </row>
    <row r="55947" spans="43:43" x14ac:dyDescent="0.2">
      <c r="AQ55947" s="31"/>
    </row>
    <row r="55948" spans="43:43" x14ac:dyDescent="0.2">
      <c r="AQ55948" s="31"/>
    </row>
    <row r="55949" spans="43:43" x14ac:dyDescent="0.2">
      <c r="AQ55949" s="31"/>
    </row>
    <row r="55950" spans="43:43" x14ac:dyDescent="0.2">
      <c r="AQ55950" s="31"/>
    </row>
    <row r="55951" spans="43:43" x14ac:dyDescent="0.2">
      <c r="AQ55951" s="31"/>
    </row>
    <row r="55952" spans="43:43" x14ac:dyDescent="0.2">
      <c r="AQ55952" s="31"/>
    </row>
    <row r="55953" spans="43:43" x14ac:dyDescent="0.2">
      <c r="AQ55953" s="31"/>
    </row>
    <row r="55954" spans="43:43" x14ac:dyDescent="0.2">
      <c r="AQ55954" s="31"/>
    </row>
    <row r="55955" spans="43:43" x14ac:dyDescent="0.2">
      <c r="AQ55955" s="31"/>
    </row>
    <row r="55956" spans="43:43" x14ac:dyDescent="0.2">
      <c r="AQ55956" s="31"/>
    </row>
    <row r="55957" spans="43:43" x14ac:dyDescent="0.2">
      <c r="AQ55957" s="31"/>
    </row>
    <row r="55958" spans="43:43" x14ac:dyDescent="0.2">
      <c r="AQ55958" s="31"/>
    </row>
    <row r="55959" spans="43:43" x14ac:dyDescent="0.2">
      <c r="AQ55959" s="31"/>
    </row>
    <row r="55960" spans="43:43" x14ac:dyDescent="0.2">
      <c r="AQ55960" s="31"/>
    </row>
    <row r="55961" spans="43:43" x14ac:dyDescent="0.2">
      <c r="AQ55961" s="31"/>
    </row>
    <row r="55962" spans="43:43" x14ac:dyDescent="0.2">
      <c r="AQ55962" s="31"/>
    </row>
    <row r="55963" spans="43:43" x14ac:dyDescent="0.2">
      <c r="AQ55963" s="31"/>
    </row>
    <row r="55964" spans="43:43" x14ac:dyDescent="0.2">
      <c r="AQ55964" s="31"/>
    </row>
    <row r="55965" spans="43:43" x14ac:dyDescent="0.2">
      <c r="AQ55965" s="31"/>
    </row>
    <row r="55966" spans="43:43" x14ac:dyDescent="0.2">
      <c r="AQ55966" s="31"/>
    </row>
    <row r="55967" spans="43:43" x14ac:dyDescent="0.2">
      <c r="AQ55967" s="31"/>
    </row>
    <row r="55968" spans="43:43" x14ac:dyDescent="0.2">
      <c r="AQ55968" s="31"/>
    </row>
    <row r="55969" spans="43:43" x14ac:dyDescent="0.2">
      <c r="AQ55969" s="31"/>
    </row>
    <row r="55970" spans="43:43" x14ac:dyDescent="0.2">
      <c r="AQ55970" s="31"/>
    </row>
    <row r="55971" spans="43:43" x14ac:dyDescent="0.2">
      <c r="AQ55971" s="31"/>
    </row>
    <row r="55972" spans="43:43" x14ac:dyDescent="0.2">
      <c r="AQ55972" s="31"/>
    </row>
    <row r="55973" spans="43:43" x14ac:dyDescent="0.2">
      <c r="AQ55973" s="31"/>
    </row>
    <row r="55974" spans="43:43" x14ac:dyDescent="0.2">
      <c r="AQ55974" s="31"/>
    </row>
    <row r="55975" spans="43:43" x14ac:dyDescent="0.2">
      <c r="AQ55975" s="31"/>
    </row>
    <row r="55976" spans="43:43" x14ac:dyDescent="0.2">
      <c r="AQ55976" s="31"/>
    </row>
    <row r="55977" spans="43:43" x14ac:dyDescent="0.2">
      <c r="AQ55977" s="31"/>
    </row>
    <row r="55978" spans="43:43" x14ac:dyDescent="0.2">
      <c r="AQ55978" s="31"/>
    </row>
    <row r="55979" spans="43:43" x14ac:dyDescent="0.2">
      <c r="AQ55979" s="31"/>
    </row>
    <row r="55980" spans="43:43" x14ac:dyDescent="0.2">
      <c r="AQ55980" s="31"/>
    </row>
    <row r="55981" spans="43:43" x14ac:dyDescent="0.2">
      <c r="AQ55981" s="31"/>
    </row>
    <row r="55982" spans="43:43" x14ac:dyDescent="0.2">
      <c r="AQ55982" s="31"/>
    </row>
    <row r="55983" spans="43:43" x14ac:dyDescent="0.2">
      <c r="AQ55983" s="31"/>
    </row>
    <row r="55984" spans="43:43" x14ac:dyDescent="0.2">
      <c r="AQ55984" s="31"/>
    </row>
    <row r="55985" spans="43:43" x14ac:dyDescent="0.2">
      <c r="AQ55985" s="31"/>
    </row>
    <row r="55986" spans="43:43" x14ac:dyDescent="0.2">
      <c r="AQ55986" s="31"/>
    </row>
    <row r="55987" spans="43:43" x14ac:dyDescent="0.2">
      <c r="AQ55987" s="31"/>
    </row>
    <row r="55988" spans="43:43" x14ac:dyDescent="0.2">
      <c r="AQ55988" s="31"/>
    </row>
    <row r="55989" spans="43:43" x14ac:dyDescent="0.2">
      <c r="AQ55989" s="31"/>
    </row>
    <row r="55990" spans="43:43" x14ac:dyDescent="0.2">
      <c r="AQ55990" s="31"/>
    </row>
    <row r="55991" spans="43:43" x14ac:dyDescent="0.2">
      <c r="AQ55991" s="31"/>
    </row>
    <row r="55992" spans="43:43" x14ac:dyDescent="0.2">
      <c r="AQ55992" s="31"/>
    </row>
    <row r="55993" spans="43:43" x14ac:dyDescent="0.2">
      <c r="AQ55993" s="31"/>
    </row>
    <row r="55994" spans="43:43" x14ac:dyDescent="0.2">
      <c r="AQ55994" s="31"/>
    </row>
    <row r="55995" spans="43:43" x14ac:dyDescent="0.2">
      <c r="AQ55995" s="31"/>
    </row>
    <row r="55996" spans="43:43" x14ac:dyDescent="0.2">
      <c r="AQ55996" s="31"/>
    </row>
    <row r="55997" spans="43:43" x14ac:dyDescent="0.2">
      <c r="AQ55997" s="31"/>
    </row>
    <row r="55998" spans="43:43" x14ac:dyDescent="0.2">
      <c r="AQ55998" s="31"/>
    </row>
    <row r="55999" spans="43:43" x14ac:dyDescent="0.2">
      <c r="AQ55999" s="31"/>
    </row>
    <row r="56000" spans="43:43" x14ac:dyDescent="0.2">
      <c r="AQ56000" s="31"/>
    </row>
    <row r="56001" spans="43:43" x14ac:dyDescent="0.2">
      <c r="AQ56001" s="31"/>
    </row>
    <row r="56002" spans="43:43" x14ac:dyDescent="0.2">
      <c r="AQ56002" s="31"/>
    </row>
    <row r="56003" spans="43:43" x14ac:dyDescent="0.2">
      <c r="AQ56003" s="31"/>
    </row>
    <row r="56004" spans="43:43" x14ac:dyDescent="0.2">
      <c r="AQ56004" s="31"/>
    </row>
    <row r="56005" spans="43:43" x14ac:dyDescent="0.2">
      <c r="AQ56005" s="31"/>
    </row>
    <row r="56006" spans="43:43" x14ac:dyDescent="0.2">
      <c r="AQ56006" s="31"/>
    </row>
    <row r="56007" spans="43:43" x14ac:dyDescent="0.2">
      <c r="AQ56007" s="31"/>
    </row>
    <row r="56008" spans="43:43" x14ac:dyDescent="0.2">
      <c r="AQ56008" s="31"/>
    </row>
    <row r="56009" spans="43:43" x14ac:dyDescent="0.2">
      <c r="AQ56009" s="31"/>
    </row>
    <row r="56010" spans="43:43" x14ac:dyDescent="0.2">
      <c r="AQ56010" s="31"/>
    </row>
    <row r="56011" spans="43:43" x14ac:dyDescent="0.2">
      <c r="AQ56011" s="31"/>
    </row>
    <row r="56012" spans="43:43" x14ac:dyDescent="0.2">
      <c r="AQ56012" s="31"/>
    </row>
    <row r="56013" spans="43:43" x14ac:dyDescent="0.2">
      <c r="AQ56013" s="31"/>
    </row>
    <row r="56014" spans="43:43" x14ac:dyDescent="0.2">
      <c r="AQ56014" s="31"/>
    </row>
    <row r="56015" spans="43:43" x14ac:dyDescent="0.2">
      <c r="AQ56015" s="31"/>
    </row>
    <row r="56016" spans="43:43" x14ac:dyDescent="0.2">
      <c r="AQ56016" s="31"/>
    </row>
    <row r="56017" spans="43:43" x14ac:dyDescent="0.2">
      <c r="AQ56017" s="31"/>
    </row>
    <row r="56018" spans="43:43" x14ac:dyDescent="0.2">
      <c r="AQ56018" s="31"/>
    </row>
    <row r="56019" spans="43:43" x14ac:dyDescent="0.2">
      <c r="AQ56019" s="31"/>
    </row>
    <row r="56020" spans="43:43" x14ac:dyDescent="0.2">
      <c r="AQ56020" s="31"/>
    </row>
    <row r="56021" spans="43:43" x14ac:dyDescent="0.2">
      <c r="AQ56021" s="31"/>
    </row>
    <row r="56022" spans="43:43" x14ac:dyDescent="0.2">
      <c r="AQ56022" s="31"/>
    </row>
    <row r="56023" spans="43:43" x14ac:dyDescent="0.2">
      <c r="AQ56023" s="31"/>
    </row>
    <row r="56024" spans="43:43" x14ac:dyDescent="0.2">
      <c r="AQ56024" s="31"/>
    </row>
    <row r="56025" spans="43:43" x14ac:dyDescent="0.2">
      <c r="AQ56025" s="31"/>
    </row>
    <row r="56026" spans="43:43" x14ac:dyDescent="0.2">
      <c r="AQ56026" s="31"/>
    </row>
    <row r="56027" spans="43:43" x14ac:dyDescent="0.2">
      <c r="AQ56027" s="31"/>
    </row>
    <row r="56028" spans="43:43" x14ac:dyDescent="0.2">
      <c r="AQ56028" s="31"/>
    </row>
    <row r="56029" spans="43:43" x14ac:dyDescent="0.2">
      <c r="AQ56029" s="31"/>
    </row>
    <row r="56030" spans="43:43" x14ac:dyDescent="0.2">
      <c r="AQ56030" s="31"/>
    </row>
    <row r="56031" spans="43:43" x14ac:dyDescent="0.2">
      <c r="AQ56031" s="31"/>
    </row>
    <row r="56032" spans="43:43" x14ac:dyDescent="0.2">
      <c r="AQ56032" s="31"/>
    </row>
    <row r="56033" spans="43:43" x14ac:dyDescent="0.2">
      <c r="AQ56033" s="31"/>
    </row>
    <row r="56034" spans="43:43" x14ac:dyDescent="0.2">
      <c r="AQ56034" s="31"/>
    </row>
    <row r="56035" spans="43:43" x14ac:dyDescent="0.2">
      <c r="AQ56035" s="31"/>
    </row>
    <row r="56036" spans="43:43" x14ac:dyDescent="0.2">
      <c r="AQ56036" s="31"/>
    </row>
    <row r="56037" spans="43:43" x14ac:dyDescent="0.2">
      <c r="AQ56037" s="31"/>
    </row>
    <row r="56038" spans="43:43" x14ac:dyDescent="0.2">
      <c r="AQ56038" s="31"/>
    </row>
    <row r="56039" spans="43:43" x14ac:dyDescent="0.2">
      <c r="AQ56039" s="31"/>
    </row>
    <row r="56040" spans="43:43" x14ac:dyDescent="0.2">
      <c r="AQ56040" s="31"/>
    </row>
    <row r="56041" spans="43:43" x14ac:dyDescent="0.2">
      <c r="AQ56041" s="31"/>
    </row>
    <row r="56042" spans="43:43" x14ac:dyDescent="0.2">
      <c r="AQ56042" s="31"/>
    </row>
    <row r="56043" spans="43:43" x14ac:dyDescent="0.2">
      <c r="AQ56043" s="31"/>
    </row>
    <row r="56044" spans="43:43" x14ac:dyDescent="0.2">
      <c r="AQ56044" s="31"/>
    </row>
    <row r="56045" spans="43:43" x14ac:dyDescent="0.2">
      <c r="AQ56045" s="31"/>
    </row>
    <row r="56046" spans="43:43" x14ac:dyDescent="0.2">
      <c r="AQ56046" s="31"/>
    </row>
    <row r="56047" spans="43:43" x14ac:dyDescent="0.2">
      <c r="AQ56047" s="31"/>
    </row>
    <row r="56048" spans="43:43" x14ac:dyDescent="0.2">
      <c r="AQ56048" s="31"/>
    </row>
    <row r="56049" spans="43:43" x14ac:dyDescent="0.2">
      <c r="AQ56049" s="31"/>
    </row>
    <row r="56050" spans="43:43" x14ac:dyDescent="0.2">
      <c r="AQ56050" s="31"/>
    </row>
    <row r="56051" spans="43:43" x14ac:dyDescent="0.2">
      <c r="AQ56051" s="31"/>
    </row>
    <row r="56052" spans="43:43" x14ac:dyDescent="0.2">
      <c r="AQ56052" s="31"/>
    </row>
    <row r="56053" spans="43:43" x14ac:dyDescent="0.2">
      <c r="AQ56053" s="31"/>
    </row>
    <row r="56054" spans="43:43" x14ac:dyDescent="0.2">
      <c r="AQ56054" s="31"/>
    </row>
    <row r="56055" spans="43:43" x14ac:dyDescent="0.2">
      <c r="AQ56055" s="31"/>
    </row>
    <row r="56056" spans="43:43" x14ac:dyDescent="0.2">
      <c r="AQ56056" s="31"/>
    </row>
    <row r="56057" spans="43:43" x14ac:dyDescent="0.2">
      <c r="AQ56057" s="31"/>
    </row>
    <row r="56058" spans="43:43" x14ac:dyDescent="0.2">
      <c r="AQ56058" s="31"/>
    </row>
    <row r="56059" spans="43:43" x14ac:dyDescent="0.2">
      <c r="AQ56059" s="31"/>
    </row>
    <row r="56060" spans="43:43" x14ac:dyDescent="0.2">
      <c r="AQ56060" s="31"/>
    </row>
    <row r="56061" spans="43:43" x14ac:dyDescent="0.2">
      <c r="AQ56061" s="31"/>
    </row>
    <row r="56062" spans="43:43" x14ac:dyDescent="0.2">
      <c r="AQ56062" s="31"/>
    </row>
    <row r="56063" spans="43:43" x14ac:dyDescent="0.2">
      <c r="AQ56063" s="31"/>
    </row>
    <row r="56064" spans="43:43" x14ac:dyDescent="0.2">
      <c r="AQ56064" s="31"/>
    </row>
    <row r="56065" spans="43:43" x14ac:dyDescent="0.2">
      <c r="AQ56065" s="31"/>
    </row>
    <row r="56066" spans="43:43" x14ac:dyDescent="0.2">
      <c r="AQ56066" s="31"/>
    </row>
    <row r="56067" spans="43:43" x14ac:dyDescent="0.2">
      <c r="AQ56067" s="31"/>
    </row>
    <row r="56068" spans="43:43" x14ac:dyDescent="0.2">
      <c r="AQ56068" s="31"/>
    </row>
    <row r="56069" spans="43:43" x14ac:dyDescent="0.2">
      <c r="AQ56069" s="31"/>
    </row>
    <row r="56070" spans="43:43" x14ac:dyDescent="0.2">
      <c r="AQ56070" s="31"/>
    </row>
    <row r="56071" spans="43:43" x14ac:dyDescent="0.2">
      <c r="AQ56071" s="31"/>
    </row>
    <row r="56072" spans="43:43" x14ac:dyDescent="0.2">
      <c r="AQ56072" s="31"/>
    </row>
    <row r="56073" spans="43:43" x14ac:dyDescent="0.2">
      <c r="AQ56073" s="31"/>
    </row>
    <row r="56074" spans="43:43" x14ac:dyDescent="0.2">
      <c r="AQ56074" s="31"/>
    </row>
    <row r="56075" spans="43:43" x14ac:dyDescent="0.2">
      <c r="AQ56075" s="31"/>
    </row>
    <row r="56076" spans="43:43" x14ac:dyDescent="0.2">
      <c r="AQ56076" s="31"/>
    </row>
    <row r="56077" spans="43:43" x14ac:dyDescent="0.2">
      <c r="AQ56077" s="31"/>
    </row>
    <row r="56078" spans="43:43" x14ac:dyDescent="0.2">
      <c r="AQ56078" s="31"/>
    </row>
    <row r="56079" spans="43:43" x14ac:dyDescent="0.2">
      <c r="AQ56079" s="31"/>
    </row>
    <row r="56080" spans="43:43" x14ac:dyDescent="0.2">
      <c r="AQ56080" s="31"/>
    </row>
    <row r="56081" spans="43:43" x14ac:dyDescent="0.2">
      <c r="AQ56081" s="31"/>
    </row>
    <row r="56082" spans="43:43" x14ac:dyDescent="0.2">
      <c r="AQ56082" s="31"/>
    </row>
    <row r="56083" spans="43:43" x14ac:dyDescent="0.2">
      <c r="AQ56083" s="31"/>
    </row>
    <row r="56084" spans="43:43" x14ac:dyDescent="0.2">
      <c r="AQ56084" s="31"/>
    </row>
    <row r="56085" spans="43:43" x14ac:dyDescent="0.2">
      <c r="AQ56085" s="31"/>
    </row>
    <row r="56086" spans="43:43" x14ac:dyDescent="0.2">
      <c r="AQ56086" s="31"/>
    </row>
    <row r="56087" spans="43:43" x14ac:dyDescent="0.2">
      <c r="AQ56087" s="31"/>
    </row>
    <row r="56088" spans="43:43" x14ac:dyDescent="0.2">
      <c r="AQ56088" s="31"/>
    </row>
    <row r="56089" spans="43:43" x14ac:dyDescent="0.2">
      <c r="AQ56089" s="31"/>
    </row>
    <row r="56090" spans="43:43" x14ac:dyDescent="0.2">
      <c r="AQ56090" s="31"/>
    </row>
    <row r="56091" spans="43:43" x14ac:dyDescent="0.2">
      <c r="AQ56091" s="31"/>
    </row>
    <row r="56092" spans="43:43" x14ac:dyDescent="0.2">
      <c r="AQ56092" s="31"/>
    </row>
    <row r="56093" spans="43:43" x14ac:dyDescent="0.2">
      <c r="AQ56093" s="31"/>
    </row>
    <row r="56094" spans="43:43" x14ac:dyDescent="0.2">
      <c r="AQ56094" s="31"/>
    </row>
    <row r="56095" spans="43:43" x14ac:dyDescent="0.2">
      <c r="AQ56095" s="31"/>
    </row>
    <row r="56096" spans="43:43" x14ac:dyDescent="0.2">
      <c r="AQ56096" s="31"/>
    </row>
    <row r="56097" spans="43:43" x14ac:dyDescent="0.2">
      <c r="AQ56097" s="31"/>
    </row>
    <row r="56098" spans="43:43" x14ac:dyDescent="0.2">
      <c r="AQ56098" s="31"/>
    </row>
    <row r="56099" spans="43:43" x14ac:dyDescent="0.2">
      <c r="AQ56099" s="31"/>
    </row>
    <row r="56100" spans="43:43" x14ac:dyDescent="0.2">
      <c r="AQ56100" s="31"/>
    </row>
    <row r="56101" spans="43:43" x14ac:dyDescent="0.2">
      <c r="AQ56101" s="31"/>
    </row>
    <row r="56102" spans="43:43" x14ac:dyDescent="0.2">
      <c r="AQ56102" s="31"/>
    </row>
    <row r="56103" spans="43:43" x14ac:dyDescent="0.2">
      <c r="AQ56103" s="31"/>
    </row>
    <row r="56104" spans="43:43" x14ac:dyDescent="0.2">
      <c r="AQ56104" s="31"/>
    </row>
    <row r="56105" spans="43:43" x14ac:dyDescent="0.2">
      <c r="AQ56105" s="31"/>
    </row>
    <row r="56106" spans="43:43" x14ac:dyDescent="0.2">
      <c r="AQ56106" s="31"/>
    </row>
    <row r="56107" spans="43:43" x14ac:dyDescent="0.2">
      <c r="AQ56107" s="31"/>
    </row>
    <row r="56108" spans="43:43" x14ac:dyDescent="0.2">
      <c r="AQ56108" s="31"/>
    </row>
    <row r="56109" spans="43:43" x14ac:dyDescent="0.2">
      <c r="AQ56109" s="31"/>
    </row>
    <row r="56110" spans="43:43" x14ac:dyDescent="0.2">
      <c r="AQ56110" s="31"/>
    </row>
    <row r="56111" spans="43:43" x14ac:dyDescent="0.2">
      <c r="AQ56111" s="31"/>
    </row>
    <row r="56112" spans="43:43" x14ac:dyDescent="0.2">
      <c r="AQ56112" s="31"/>
    </row>
    <row r="56113" spans="43:43" x14ac:dyDescent="0.2">
      <c r="AQ56113" s="31"/>
    </row>
    <row r="56114" spans="43:43" x14ac:dyDescent="0.2">
      <c r="AQ56114" s="31"/>
    </row>
    <row r="56115" spans="43:43" x14ac:dyDescent="0.2">
      <c r="AQ56115" s="31"/>
    </row>
    <row r="56116" spans="43:43" x14ac:dyDescent="0.2">
      <c r="AQ56116" s="31"/>
    </row>
    <row r="56117" spans="43:43" x14ac:dyDescent="0.2">
      <c r="AQ56117" s="31"/>
    </row>
    <row r="56118" spans="43:43" x14ac:dyDescent="0.2">
      <c r="AQ56118" s="31"/>
    </row>
    <row r="56119" spans="43:43" x14ac:dyDescent="0.2">
      <c r="AQ56119" s="31"/>
    </row>
    <row r="56120" spans="43:43" x14ac:dyDescent="0.2">
      <c r="AQ56120" s="31"/>
    </row>
    <row r="56121" spans="43:43" x14ac:dyDescent="0.2">
      <c r="AQ56121" s="31"/>
    </row>
    <row r="56122" spans="43:43" x14ac:dyDescent="0.2">
      <c r="AQ56122" s="31"/>
    </row>
    <row r="56123" spans="43:43" x14ac:dyDescent="0.2">
      <c r="AQ56123" s="31"/>
    </row>
    <row r="56124" spans="43:43" x14ac:dyDescent="0.2">
      <c r="AQ56124" s="31"/>
    </row>
    <row r="56125" spans="43:43" x14ac:dyDescent="0.2">
      <c r="AQ56125" s="31"/>
    </row>
    <row r="56126" spans="43:43" x14ac:dyDescent="0.2">
      <c r="AQ56126" s="31"/>
    </row>
    <row r="56127" spans="43:43" x14ac:dyDescent="0.2">
      <c r="AQ56127" s="31"/>
    </row>
    <row r="56128" spans="43:43" x14ac:dyDescent="0.2">
      <c r="AQ56128" s="31"/>
    </row>
    <row r="56129" spans="43:43" x14ac:dyDescent="0.2">
      <c r="AQ56129" s="31"/>
    </row>
    <row r="56130" spans="43:43" x14ac:dyDescent="0.2">
      <c r="AQ56130" s="31"/>
    </row>
    <row r="56131" spans="43:43" x14ac:dyDescent="0.2">
      <c r="AQ56131" s="31"/>
    </row>
    <row r="56132" spans="43:43" x14ac:dyDescent="0.2">
      <c r="AQ56132" s="31"/>
    </row>
    <row r="56133" spans="43:43" x14ac:dyDescent="0.2">
      <c r="AQ56133" s="31"/>
    </row>
    <row r="56134" spans="43:43" x14ac:dyDescent="0.2">
      <c r="AQ56134" s="31"/>
    </row>
    <row r="56135" spans="43:43" x14ac:dyDescent="0.2">
      <c r="AQ56135" s="31"/>
    </row>
    <row r="56136" spans="43:43" x14ac:dyDescent="0.2">
      <c r="AQ56136" s="31"/>
    </row>
    <row r="56137" spans="43:43" x14ac:dyDescent="0.2">
      <c r="AQ56137" s="31"/>
    </row>
    <row r="56138" spans="43:43" x14ac:dyDescent="0.2">
      <c r="AQ56138" s="31"/>
    </row>
    <row r="56139" spans="43:43" x14ac:dyDescent="0.2">
      <c r="AQ56139" s="31"/>
    </row>
    <row r="56140" spans="43:43" x14ac:dyDescent="0.2">
      <c r="AQ56140" s="31"/>
    </row>
    <row r="56141" spans="43:43" x14ac:dyDescent="0.2">
      <c r="AQ56141" s="31"/>
    </row>
    <row r="56142" spans="43:43" x14ac:dyDescent="0.2">
      <c r="AQ56142" s="31"/>
    </row>
    <row r="56143" spans="43:43" x14ac:dyDescent="0.2">
      <c r="AQ56143" s="31"/>
    </row>
    <row r="56144" spans="43:43" x14ac:dyDescent="0.2">
      <c r="AQ56144" s="31"/>
    </row>
    <row r="56145" spans="43:43" x14ac:dyDescent="0.2">
      <c r="AQ56145" s="31"/>
    </row>
    <row r="56146" spans="43:43" x14ac:dyDescent="0.2">
      <c r="AQ56146" s="31"/>
    </row>
    <row r="56147" spans="43:43" x14ac:dyDescent="0.2">
      <c r="AQ56147" s="31"/>
    </row>
    <row r="56148" spans="43:43" x14ac:dyDescent="0.2">
      <c r="AQ56148" s="31"/>
    </row>
    <row r="56149" spans="43:43" x14ac:dyDescent="0.2">
      <c r="AQ56149" s="31"/>
    </row>
    <row r="56150" spans="43:43" x14ac:dyDescent="0.2">
      <c r="AQ56150" s="31"/>
    </row>
    <row r="56151" spans="43:43" x14ac:dyDescent="0.2">
      <c r="AQ56151" s="31"/>
    </row>
    <row r="56152" spans="43:43" x14ac:dyDescent="0.2">
      <c r="AQ56152" s="31"/>
    </row>
    <row r="56153" spans="43:43" x14ac:dyDescent="0.2">
      <c r="AQ56153" s="31"/>
    </row>
    <row r="56154" spans="43:43" x14ac:dyDescent="0.2">
      <c r="AQ56154" s="31"/>
    </row>
    <row r="56155" spans="43:43" x14ac:dyDescent="0.2">
      <c r="AQ56155" s="31"/>
    </row>
    <row r="56156" spans="43:43" x14ac:dyDescent="0.2">
      <c r="AQ56156" s="31"/>
    </row>
    <row r="56157" spans="43:43" x14ac:dyDescent="0.2">
      <c r="AQ56157" s="31"/>
    </row>
    <row r="56158" spans="43:43" x14ac:dyDescent="0.2">
      <c r="AQ56158" s="31"/>
    </row>
    <row r="56159" spans="43:43" x14ac:dyDescent="0.2">
      <c r="AQ56159" s="31"/>
    </row>
    <row r="56160" spans="43:43" x14ac:dyDescent="0.2">
      <c r="AQ56160" s="31"/>
    </row>
    <row r="56161" spans="43:43" x14ac:dyDescent="0.2">
      <c r="AQ56161" s="31"/>
    </row>
    <row r="56162" spans="43:43" x14ac:dyDescent="0.2">
      <c r="AQ56162" s="31"/>
    </row>
    <row r="56163" spans="43:43" x14ac:dyDescent="0.2">
      <c r="AQ56163" s="31"/>
    </row>
    <row r="56164" spans="43:43" x14ac:dyDescent="0.2">
      <c r="AQ56164" s="31"/>
    </row>
    <row r="56165" spans="43:43" x14ac:dyDescent="0.2">
      <c r="AQ56165" s="31"/>
    </row>
    <row r="56166" spans="43:43" x14ac:dyDescent="0.2">
      <c r="AQ56166" s="31"/>
    </row>
    <row r="56167" spans="43:43" x14ac:dyDescent="0.2">
      <c r="AQ56167" s="31"/>
    </row>
    <row r="56168" spans="43:43" x14ac:dyDescent="0.2">
      <c r="AQ56168" s="31"/>
    </row>
    <row r="56169" spans="43:43" x14ac:dyDescent="0.2">
      <c r="AQ56169" s="31"/>
    </row>
    <row r="56170" spans="43:43" x14ac:dyDescent="0.2">
      <c r="AQ56170" s="31"/>
    </row>
    <row r="56171" spans="43:43" x14ac:dyDescent="0.2">
      <c r="AQ56171" s="31"/>
    </row>
    <row r="56172" spans="43:43" x14ac:dyDescent="0.2">
      <c r="AQ56172" s="31"/>
    </row>
    <row r="56173" spans="43:43" x14ac:dyDescent="0.2">
      <c r="AQ56173" s="31"/>
    </row>
    <row r="56174" spans="43:43" x14ac:dyDescent="0.2">
      <c r="AQ56174" s="31"/>
    </row>
    <row r="56175" spans="43:43" x14ac:dyDescent="0.2">
      <c r="AQ56175" s="31"/>
    </row>
    <row r="56176" spans="43:43" x14ac:dyDescent="0.2">
      <c r="AQ56176" s="31"/>
    </row>
    <row r="56177" spans="43:43" x14ac:dyDescent="0.2">
      <c r="AQ56177" s="31"/>
    </row>
    <row r="56178" spans="43:43" x14ac:dyDescent="0.2">
      <c r="AQ56178" s="31"/>
    </row>
    <row r="56179" spans="43:43" x14ac:dyDescent="0.2">
      <c r="AQ56179" s="31"/>
    </row>
    <row r="56180" spans="43:43" x14ac:dyDescent="0.2">
      <c r="AQ56180" s="31"/>
    </row>
    <row r="56181" spans="43:43" x14ac:dyDescent="0.2">
      <c r="AQ56181" s="31"/>
    </row>
    <row r="56182" spans="43:43" x14ac:dyDescent="0.2">
      <c r="AQ56182" s="31"/>
    </row>
    <row r="56183" spans="43:43" x14ac:dyDescent="0.2">
      <c r="AQ56183" s="31"/>
    </row>
    <row r="56184" spans="43:43" x14ac:dyDescent="0.2">
      <c r="AQ56184" s="31"/>
    </row>
    <row r="56185" spans="43:43" x14ac:dyDescent="0.2">
      <c r="AQ56185" s="31"/>
    </row>
    <row r="56186" spans="43:43" x14ac:dyDescent="0.2">
      <c r="AQ56186" s="31"/>
    </row>
    <row r="56187" spans="43:43" x14ac:dyDescent="0.2">
      <c r="AQ56187" s="31"/>
    </row>
    <row r="56188" spans="43:43" x14ac:dyDescent="0.2">
      <c r="AQ56188" s="31"/>
    </row>
    <row r="56189" spans="43:43" x14ac:dyDescent="0.2">
      <c r="AQ56189" s="31"/>
    </row>
    <row r="56190" spans="43:43" x14ac:dyDescent="0.2">
      <c r="AQ56190" s="31"/>
    </row>
    <row r="56191" spans="43:43" x14ac:dyDescent="0.2">
      <c r="AQ56191" s="31"/>
    </row>
    <row r="56192" spans="43:43" x14ac:dyDescent="0.2">
      <c r="AQ56192" s="31"/>
    </row>
    <row r="56193" spans="43:43" x14ac:dyDescent="0.2">
      <c r="AQ56193" s="31"/>
    </row>
    <row r="56194" spans="43:43" x14ac:dyDescent="0.2">
      <c r="AQ56194" s="31"/>
    </row>
    <row r="56195" spans="43:43" x14ac:dyDescent="0.2">
      <c r="AQ56195" s="31"/>
    </row>
    <row r="56196" spans="43:43" x14ac:dyDescent="0.2">
      <c r="AQ56196" s="31"/>
    </row>
    <row r="56197" spans="43:43" x14ac:dyDescent="0.2">
      <c r="AQ56197" s="31"/>
    </row>
    <row r="56198" spans="43:43" x14ac:dyDescent="0.2">
      <c r="AQ56198" s="31"/>
    </row>
    <row r="56199" spans="43:43" x14ac:dyDescent="0.2">
      <c r="AQ56199" s="31"/>
    </row>
    <row r="56200" spans="43:43" x14ac:dyDescent="0.2">
      <c r="AQ56200" s="31"/>
    </row>
    <row r="56201" spans="43:43" x14ac:dyDescent="0.2">
      <c r="AQ56201" s="31"/>
    </row>
    <row r="56202" spans="43:43" x14ac:dyDescent="0.2">
      <c r="AQ56202" s="31"/>
    </row>
    <row r="56203" spans="43:43" x14ac:dyDescent="0.2">
      <c r="AQ56203" s="31"/>
    </row>
    <row r="56204" spans="43:43" x14ac:dyDescent="0.2">
      <c r="AQ56204" s="31"/>
    </row>
    <row r="56205" spans="43:43" x14ac:dyDescent="0.2">
      <c r="AQ56205" s="31"/>
    </row>
    <row r="56206" spans="43:43" x14ac:dyDescent="0.2">
      <c r="AQ56206" s="31"/>
    </row>
    <row r="56207" spans="43:43" x14ac:dyDescent="0.2">
      <c r="AQ56207" s="31"/>
    </row>
    <row r="56208" spans="43:43" x14ac:dyDescent="0.2">
      <c r="AQ56208" s="31"/>
    </row>
    <row r="56209" spans="43:43" x14ac:dyDescent="0.2">
      <c r="AQ56209" s="31"/>
    </row>
    <row r="56210" spans="43:43" x14ac:dyDescent="0.2">
      <c r="AQ56210" s="31"/>
    </row>
    <row r="56211" spans="43:43" x14ac:dyDescent="0.2">
      <c r="AQ56211" s="31"/>
    </row>
    <row r="56212" spans="43:43" x14ac:dyDescent="0.2">
      <c r="AQ56212" s="31"/>
    </row>
    <row r="56213" spans="43:43" x14ac:dyDescent="0.2">
      <c r="AQ56213" s="31"/>
    </row>
    <row r="56214" spans="43:43" x14ac:dyDescent="0.2">
      <c r="AQ56214" s="31"/>
    </row>
    <row r="56215" spans="43:43" x14ac:dyDescent="0.2">
      <c r="AQ56215" s="31"/>
    </row>
    <row r="56216" spans="43:43" x14ac:dyDescent="0.2">
      <c r="AQ56216" s="31"/>
    </row>
    <row r="56217" spans="43:43" x14ac:dyDescent="0.2">
      <c r="AQ56217" s="31"/>
    </row>
    <row r="56218" spans="43:43" x14ac:dyDescent="0.2">
      <c r="AQ56218" s="31"/>
    </row>
    <row r="56219" spans="43:43" x14ac:dyDescent="0.2">
      <c r="AQ56219" s="31"/>
    </row>
    <row r="56220" spans="43:43" x14ac:dyDescent="0.2">
      <c r="AQ56220" s="31"/>
    </row>
    <row r="56221" spans="43:43" x14ac:dyDescent="0.2">
      <c r="AQ56221" s="31"/>
    </row>
    <row r="56222" spans="43:43" x14ac:dyDescent="0.2">
      <c r="AQ56222" s="31"/>
    </row>
    <row r="56223" spans="43:43" x14ac:dyDescent="0.2">
      <c r="AQ56223" s="31"/>
    </row>
    <row r="56224" spans="43:43" x14ac:dyDescent="0.2">
      <c r="AQ56224" s="31"/>
    </row>
    <row r="56225" spans="43:43" x14ac:dyDescent="0.2">
      <c r="AQ56225" s="31"/>
    </row>
    <row r="56226" spans="43:43" x14ac:dyDescent="0.2">
      <c r="AQ56226" s="31"/>
    </row>
    <row r="56227" spans="43:43" x14ac:dyDescent="0.2">
      <c r="AQ56227" s="31"/>
    </row>
    <row r="56228" spans="43:43" x14ac:dyDescent="0.2">
      <c r="AQ56228" s="31"/>
    </row>
    <row r="56229" spans="43:43" x14ac:dyDescent="0.2">
      <c r="AQ56229" s="31"/>
    </row>
    <row r="56230" spans="43:43" x14ac:dyDescent="0.2">
      <c r="AQ56230" s="31"/>
    </row>
    <row r="56231" spans="43:43" x14ac:dyDescent="0.2">
      <c r="AQ56231" s="31"/>
    </row>
    <row r="56232" spans="43:43" x14ac:dyDescent="0.2">
      <c r="AQ56232" s="31"/>
    </row>
    <row r="56233" spans="43:43" x14ac:dyDescent="0.2">
      <c r="AQ56233" s="31"/>
    </row>
    <row r="56234" spans="43:43" x14ac:dyDescent="0.2">
      <c r="AQ56234" s="31"/>
    </row>
    <row r="56235" spans="43:43" x14ac:dyDescent="0.2">
      <c r="AQ56235" s="31"/>
    </row>
    <row r="56236" spans="43:43" x14ac:dyDescent="0.2">
      <c r="AQ56236" s="31"/>
    </row>
    <row r="56237" spans="43:43" x14ac:dyDescent="0.2">
      <c r="AQ56237" s="31"/>
    </row>
    <row r="56238" spans="43:43" x14ac:dyDescent="0.2">
      <c r="AQ56238" s="31"/>
    </row>
    <row r="56239" spans="43:43" x14ac:dyDescent="0.2">
      <c r="AQ56239" s="31"/>
    </row>
    <row r="56240" spans="43:43" x14ac:dyDescent="0.2">
      <c r="AQ56240" s="31"/>
    </row>
    <row r="56241" spans="43:43" x14ac:dyDescent="0.2">
      <c r="AQ56241" s="31"/>
    </row>
    <row r="56242" spans="43:43" x14ac:dyDescent="0.2">
      <c r="AQ56242" s="31"/>
    </row>
    <row r="56243" spans="43:43" x14ac:dyDescent="0.2">
      <c r="AQ56243" s="31"/>
    </row>
    <row r="56244" spans="43:43" x14ac:dyDescent="0.2">
      <c r="AQ56244" s="31"/>
    </row>
    <row r="56245" spans="43:43" x14ac:dyDescent="0.2">
      <c r="AQ56245" s="31"/>
    </row>
    <row r="56246" spans="43:43" x14ac:dyDescent="0.2">
      <c r="AQ56246" s="31"/>
    </row>
    <row r="56247" spans="43:43" x14ac:dyDescent="0.2">
      <c r="AQ56247" s="31"/>
    </row>
    <row r="56248" spans="43:43" x14ac:dyDescent="0.2">
      <c r="AQ56248" s="31"/>
    </row>
    <row r="56249" spans="43:43" x14ac:dyDescent="0.2">
      <c r="AQ56249" s="31"/>
    </row>
    <row r="56250" spans="43:43" x14ac:dyDescent="0.2">
      <c r="AQ56250" s="31"/>
    </row>
    <row r="56251" spans="43:43" x14ac:dyDescent="0.2">
      <c r="AQ56251" s="31"/>
    </row>
    <row r="56252" spans="43:43" x14ac:dyDescent="0.2">
      <c r="AQ56252" s="31"/>
    </row>
    <row r="56253" spans="43:43" x14ac:dyDescent="0.2">
      <c r="AQ56253" s="31"/>
    </row>
    <row r="56254" spans="43:43" x14ac:dyDescent="0.2">
      <c r="AQ56254" s="31"/>
    </row>
    <row r="56255" spans="43:43" x14ac:dyDescent="0.2">
      <c r="AQ56255" s="31"/>
    </row>
    <row r="56256" spans="43:43" x14ac:dyDescent="0.2">
      <c r="AQ56256" s="31"/>
    </row>
    <row r="56257" spans="43:43" x14ac:dyDescent="0.2">
      <c r="AQ56257" s="31"/>
    </row>
    <row r="56258" spans="43:43" x14ac:dyDescent="0.2">
      <c r="AQ56258" s="31"/>
    </row>
    <row r="56259" spans="43:43" x14ac:dyDescent="0.2">
      <c r="AQ56259" s="31"/>
    </row>
    <row r="56260" spans="43:43" x14ac:dyDescent="0.2">
      <c r="AQ56260" s="31"/>
    </row>
    <row r="56261" spans="43:43" x14ac:dyDescent="0.2">
      <c r="AQ56261" s="31"/>
    </row>
    <row r="56262" spans="43:43" x14ac:dyDescent="0.2">
      <c r="AQ56262" s="31"/>
    </row>
    <row r="56263" spans="43:43" x14ac:dyDescent="0.2">
      <c r="AQ56263" s="31"/>
    </row>
    <row r="56264" spans="43:43" x14ac:dyDescent="0.2">
      <c r="AQ56264" s="31"/>
    </row>
    <row r="56265" spans="43:43" x14ac:dyDescent="0.2">
      <c r="AQ56265" s="31"/>
    </row>
    <row r="56266" spans="43:43" x14ac:dyDescent="0.2">
      <c r="AQ56266" s="31"/>
    </row>
    <row r="56267" spans="43:43" x14ac:dyDescent="0.2">
      <c r="AQ56267" s="31"/>
    </row>
    <row r="56268" spans="43:43" x14ac:dyDescent="0.2">
      <c r="AQ56268" s="31"/>
    </row>
    <row r="56269" spans="43:43" x14ac:dyDescent="0.2">
      <c r="AQ56269" s="31"/>
    </row>
    <row r="56270" spans="43:43" x14ac:dyDescent="0.2">
      <c r="AQ56270" s="31"/>
    </row>
    <row r="56271" spans="43:43" x14ac:dyDescent="0.2">
      <c r="AQ56271" s="31"/>
    </row>
    <row r="56272" spans="43:43" x14ac:dyDescent="0.2">
      <c r="AQ56272" s="31"/>
    </row>
    <row r="56273" spans="43:43" x14ac:dyDescent="0.2">
      <c r="AQ56273" s="31"/>
    </row>
    <row r="56274" spans="43:43" x14ac:dyDescent="0.2">
      <c r="AQ56274" s="31"/>
    </row>
    <row r="56275" spans="43:43" x14ac:dyDescent="0.2">
      <c r="AQ56275" s="31"/>
    </row>
    <row r="56276" spans="43:43" x14ac:dyDescent="0.2">
      <c r="AQ56276" s="31"/>
    </row>
    <row r="56277" spans="43:43" x14ac:dyDescent="0.2">
      <c r="AQ56277" s="31"/>
    </row>
    <row r="56278" spans="43:43" x14ac:dyDescent="0.2">
      <c r="AQ56278" s="31"/>
    </row>
    <row r="56279" spans="43:43" x14ac:dyDescent="0.2">
      <c r="AQ56279" s="31"/>
    </row>
    <row r="56280" spans="43:43" x14ac:dyDescent="0.2">
      <c r="AQ56280" s="31"/>
    </row>
    <row r="56281" spans="43:43" x14ac:dyDescent="0.2">
      <c r="AQ56281" s="31"/>
    </row>
    <row r="56282" spans="43:43" x14ac:dyDescent="0.2">
      <c r="AQ56282" s="31"/>
    </row>
    <row r="56283" spans="43:43" x14ac:dyDescent="0.2">
      <c r="AQ56283" s="31"/>
    </row>
    <row r="56284" spans="43:43" x14ac:dyDescent="0.2">
      <c r="AQ56284" s="31"/>
    </row>
    <row r="56285" spans="43:43" x14ac:dyDescent="0.2">
      <c r="AQ56285" s="31"/>
    </row>
    <row r="56286" spans="43:43" x14ac:dyDescent="0.2">
      <c r="AQ56286" s="31"/>
    </row>
    <row r="56287" spans="43:43" x14ac:dyDescent="0.2">
      <c r="AQ56287" s="31"/>
    </row>
    <row r="56288" spans="43:43" x14ac:dyDescent="0.2">
      <c r="AQ56288" s="31"/>
    </row>
    <row r="56289" spans="43:43" x14ac:dyDescent="0.2">
      <c r="AQ56289" s="31"/>
    </row>
    <row r="56290" spans="43:43" x14ac:dyDescent="0.2">
      <c r="AQ56290" s="31"/>
    </row>
    <row r="56291" spans="43:43" x14ac:dyDescent="0.2">
      <c r="AQ56291" s="31"/>
    </row>
    <row r="56292" spans="43:43" x14ac:dyDescent="0.2">
      <c r="AQ56292" s="31"/>
    </row>
    <row r="56293" spans="43:43" x14ac:dyDescent="0.2">
      <c r="AQ56293" s="31"/>
    </row>
    <row r="56294" spans="43:43" x14ac:dyDescent="0.2">
      <c r="AQ56294" s="31"/>
    </row>
    <row r="56295" spans="43:43" x14ac:dyDescent="0.2">
      <c r="AQ56295" s="31"/>
    </row>
    <row r="56296" spans="43:43" x14ac:dyDescent="0.2">
      <c r="AQ56296" s="31"/>
    </row>
    <row r="56297" spans="43:43" x14ac:dyDescent="0.2">
      <c r="AQ56297" s="31"/>
    </row>
    <row r="56298" spans="43:43" x14ac:dyDescent="0.2">
      <c r="AQ56298" s="31"/>
    </row>
    <row r="56299" spans="43:43" x14ac:dyDescent="0.2">
      <c r="AQ56299" s="31"/>
    </row>
    <row r="56300" spans="43:43" x14ac:dyDescent="0.2">
      <c r="AQ56300" s="31"/>
    </row>
    <row r="56301" spans="43:43" x14ac:dyDescent="0.2">
      <c r="AQ56301" s="31"/>
    </row>
    <row r="56302" spans="43:43" x14ac:dyDescent="0.2">
      <c r="AQ56302" s="31"/>
    </row>
    <row r="56303" spans="43:43" x14ac:dyDescent="0.2">
      <c r="AQ56303" s="31"/>
    </row>
    <row r="56304" spans="43:43" x14ac:dyDescent="0.2">
      <c r="AQ56304" s="31"/>
    </row>
    <row r="56305" spans="43:43" x14ac:dyDescent="0.2">
      <c r="AQ56305" s="31"/>
    </row>
    <row r="56306" spans="43:43" x14ac:dyDescent="0.2">
      <c r="AQ56306" s="31"/>
    </row>
    <row r="56307" spans="43:43" x14ac:dyDescent="0.2">
      <c r="AQ56307" s="31"/>
    </row>
    <row r="56308" spans="43:43" x14ac:dyDescent="0.2">
      <c r="AQ56308" s="31"/>
    </row>
    <row r="56309" spans="43:43" x14ac:dyDescent="0.2">
      <c r="AQ56309" s="31"/>
    </row>
    <row r="56310" spans="43:43" x14ac:dyDescent="0.2">
      <c r="AQ56310" s="31"/>
    </row>
    <row r="56311" spans="43:43" x14ac:dyDescent="0.2">
      <c r="AQ56311" s="31"/>
    </row>
    <row r="56312" spans="43:43" x14ac:dyDescent="0.2">
      <c r="AQ56312" s="31"/>
    </row>
    <row r="56313" spans="43:43" x14ac:dyDescent="0.2">
      <c r="AQ56313" s="31"/>
    </row>
    <row r="56314" spans="43:43" x14ac:dyDescent="0.2">
      <c r="AQ56314" s="31"/>
    </row>
    <row r="56315" spans="43:43" x14ac:dyDescent="0.2">
      <c r="AQ56315" s="31"/>
    </row>
    <row r="56316" spans="43:43" x14ac:dyDescent="0.2">
      <c r="AQ56316" s="31"/>
    </row>
    <row r="56317" spans="43:43" x14ac:dyDescent="0.2">
      <c r="AQ56317" s="31"/>
    </row>
    <row r="56318" spans="43:43" x14ac:dyDescent="0.2">
      <c r="AQ56318" s="31"/>
    </row>
    <row r="56319" spans="43:43" x14ac:dyDescent="0.2">
      <c r="AQ56319" s="31"/>
    </row>
    <row r="56320" spans="43:43" x14ac:dyDescent="0.2">
      <c r="AQ56320" s="31"/>
    </row>
    <row r="56321" spans="43:43" x14ac:dyDescent="0.2">
      <c r="AQ56321" s="31"/>
    </row>
    <row r="56322" spans="43:43" x14ac:dyDescent="0.2">
      <c r="AQ56322" s="31"/>
    </row>
    <row r="56323" spans="43:43" x14ac:dyDescent="0.2">
      <c r="AQ56323" s="31"/>
    </row>
    <row r="56324" spans="43:43" x14ac:dyDescent="0.2">
      <c r="AQ56324" s="31"/>
    </row>
    <row r="56325" spans="43:43" x14ac:dyDescent="0.2">
      <c r="AQ56325" s="31"/>
    </row>
    <row r="56326" spans="43:43" x14ac:dyDescent="0.2">
      <c r="AQ56326" s="31"/>
    </row>
    <row r="56327" spans="43:43" x14ac:dyDescent="0.2">
      <c r="AQ56327" s="31"/>
    </row>
    <row r="56328" spans="43:43" x14ac:dyDescent="0.2">
      <c r="AQ56328" s="31"/>
    </row>
    <row r="56329" spans="43:43" x14ac:dyDescent="0.2">
      <c r="AQ56329" s="31"/>
    </row>
    <row r="56330" spans="43:43" x14ac:dyDescent="0.2">
      <c r="AQ56330" s="31"/>
    </row>
    <row r="56331" spans="43:43" x14ac:dyDescent="0.2">
      <c r="AQ56331" s="31"/>
    </row>
    <row r="56332" spans="43:43" x14ac:dyDescent="0.2">
      <c r="AQ56332" s="31"/>
    </row>
    <row r="56333" spans="43:43" x14ac:dyDescent="0.2">
      <c r="AQ56333" s="31"/>
    </row>
    <row r="56334" spans="43:43" x14ac:dyDescent="0.2">
      <c r="AQ56334" s="31"/>
    </row>
    <row r="56335" spans="43:43" x14ac:dyDescent="0.2">
      <c r="AQ56335" s="31"/>
    </row>
    <row r="56336" spans="43:43" x14ac:dyDescent="0.2">
      <c r="AQ56336" s="31"/>
    </row>
    <row r="56337" spans="43:43" x14ac:dyDescent="0.2">
      <c r="AQ56337" s="31"/>
    </row>
    <row r="56338" spans="43:43" x14ac:dyDescent="0.2">
      <c r="AQ56338" s="31"/>
    </row>
    <row r="56339" spans="43:43" x14ac:dyDescent="0.2">
      <c r="AQ56339" s="31"/>
    </row>
    <row r="56340" spans="43:43" x14ac:dyDescent="0.2">
      <c r="AQ56340" s="31"/>
    </row>
    <row r="56341" spans="43:43" x14ac:dyDescent="0.2">
      <c r="AQ56341" s="31"/>
    </row>
    <row r="56342" spans="43:43" x14ac:dyDescent="0.2">
      <c r="AQ56342" s="31"/>
    </row>
    <row r="56343" spans="43:43" x14ac:dyDescent="0.2">
      <c r="AQ56343" s="31"/>
    </row>
    <row r="56344" spans="43:43" x14ac:dyDescent="0.2">
      <c r="AQ56344" s="31"/>
    </row>
    <row r="56345" spans="43:43" x14ac:dyDescent="0.2">
      <c r="AQ56345" s="31"/>
    </row>
    <row r="56346" spans="43:43" x14ac:dyDescent="0.2">
      <c r="AQ56346" s="31"/>
    </row>
    <row r="56347" spans="43:43" x14ac:dyDescent="0.2">
      <c r="AQ56347" s="31"/>
    </row>
    <row r="56348" spans="43:43" x14ac:dyDescent="0.2">
      <c r="AQ56348" s="31"/>
    </row>
    <row r="56349" spans="43:43" x14ac:dyDescent="0.2">
      <c r="AQ56349" s="31"/>
    </row>
    <row r="56350" spans="43:43" x14ac:dyDescent="0.2">
      <c r="AQ56350" s="31"/>
    </row>
    <row r="56351" spans="43:43" x14ac:dyDescent="0.2">
      <c r="AQ56351" s="31"/>
    </row>
    <row r="56352" spans="43:43" x14ac:dyDescent="0.2">
      <c r="AQ56352" s="31"/>
    </row>
    <row r="56353" spans="43:43" x14ac:dyDescent="0.2">
      <c r="AQ56353" s="31"/>
    </row>
    <row r="56354" spans="43:43" x14ac:dyDescent="0.2">
      <c r="AQ56354" s="31"/>
    </row>
    <row r="56355" spans="43:43" x14ac:dyDescent="0.2">
      <c r="AQ56355" s="31"/>
    </row>
    <row r="56356" spans="43:43" x14ac:dyDescent="0.2">
      <c r="AQ56356" s="31"/>
    </row>
    <row r="56357" spans="43:43" x14ac:dyDescent="0.2">
      <c r="AQ56357" s="31"/>
    </row>
    <row r="56358" spans="43:43" x14ac:dyDescent="0.2">
      <c r="AQ56358" s="31"/>
    </row>
    <row r="56359" spans="43:43" x14ac:dyDescent="0.2">
      <c r="AQ56359" s="31"/>
    </row>
    <row r="56360" spans="43:43" x14ac:dyDescent="0.2">
      <c r="AQ56360" s="31"/>
    </row>
    <row r="56361" spans="43:43" x14ac:dyDescent="0.2">
      <c r="AQ56361" s="31"/>
    </row>
    <row r="56362" spans="43:43" x14ac:dyDescent="0.2">
      <c r="AQ56362" s="31"/>
    </row>
    <row r="56363" spans="43:43" x14ac:dyDescent="0.2">
      <c r="AQ56363" s="31"/>
    </row>
    <row r="56364" spans="43:43" x14ac:dyDescent="0.2">
      <c r="AQ56364" s="31"/>
    </row>
    <row r="56365" spans="43:43" x14ac:dyDescent="0.2">
      <c r="AQ56365" s="31"/>
    </row>
    <row r="56366" spans="43:43" x14ac:dyDescent="0.2">
      <c r="AQ56366" s="31"/>
    </row>
    <row r="56367" spans="43:43" x14ac:dyDescent="0.2">
      <c r="AQ56367" s="31"/>
    </row>
    <row r="56368" spans="43:43" x14ac:dyDescent="0.2">
      <c r="AQ56368" s="31"/>
    </row>
    <row r="56369" spans="43:43" x14ac:dyDescent="0.2">
      <c r="AQ56369" s="31"/>
    </row>
    <row r="56370" spans="43:43" x14ac:dyDescent="0.2">
      <c r="AQ56370" s="31"/>
    </row>
    <row r="56371" spans="43:43" x14ac:dyDescent="0.2">
      <c r="AQ56371" s="31"/>
    </row>
    <row r="56372" spans="43:43" x14ac:dyDescent="0.2">
      <c r="AQ56372" s="31"/>
    </row>
    <row r="56373" spans="43:43" x14ac:dyDescent="0.2">
      <c r="AQ56373" s="31"/>
    </row>
    <row r="56374" spans="43:43" x14ac:dyDescent="0.2">
      <c r="AQ56374" s="31"/>
    </row>
    <row r="56375" spans="43:43" x14ac:dyDescent="0.2">
      <c r="AQ56375" s="31"/>
    </row>
    <row r="56376" spans="43:43" x14ac:dyDescent="0.2">
      <c r="AQ56376" s="31"/>
    </row>
    <row r="56377" spans="43:43" x14ac:dyDescent="0.2">
      <c r="AQ56377" s="31"/>
    </row>
    <row r="56378" spans="43:43" x14ac:dyDescent="0.2">
      <c r="AQ56378" s="31"/>
    </row>
    <row r="56379" spans="43:43" x14ac:dyDescent="0.2">
      <c r="AQ56379" s="31"/>
    </row>
    <row r="56380" spans="43:43" x14ac:dyDescent="0.2">
      <c r="AQ56380" s="31"/>
    </row>
    <row r="56381" spans="43:43" x14ac:dyDescent="0.2">
      <c r="AQ56381" s="31"/>
    </row>
    <row r="56382" spans="43:43" x14ac:dyDescent="0.2">
      <c r="AQ56382" s="31"/>
    </row>
    <row r="56383" spans="43:43" x14ac:dyDescent="0.2">
      <c r="AQ56383" s="31"/>
    </row>
    <row r="56384" spans="43:43" x14ac:dyDescent="0.2">
      <c r="AQ56384" s="31"/>
    </row>
    <row r="56385" spans="43:43" x14ac:dyDescent="0.2">
      <c r="AQ56385" s="31"/>
    </row>
    <row r="56386" spans="43:43" x14ac:dyDescent="0.2">
      <c r="AQ56386" s="31"/>
    </row>
    <row r="56387" spans="43:43" x14ac:dyDescent="0.2">
      <c r="AQ56387" s="31"/>
    </row>
    <row r="56388" spans="43:43" x14ac:dyDescent="0.2">
      <c r="AQ56388" s="31"/>
    </row>
    <row r="56389" spans="43:43" x14ac:dyDescent="0.2">
      <c r="AQ56389" s="31"/>
    </row>
    <row r="56390" spans="43:43" x14ac:dyDescent="0.2">
      <c r="AQ56390" s="31"/>
    </row>
    <row r="56391" spans="43:43" x14ac:dyDescent="0.2">
      <c r="AQ56391" s="31"/>
    </row>
    <row r="56392" spans="43:43" x14ac:dyDescent="0.2">
      <c r="AQ56392" s="31"/>
    </row>
    <row r="56393" spans="43:43" x14ac:dyDescent="0.2">
      <c r="AQ56393" s="31"/>
    </row>
    <row r="56394" spans="43:43" x14ac:dyDescent="0.2">
      <c r="AQ56394" s="31"/>
    </row>
    <row r="56395" spans="43:43" x14ac:dyDescent="0.2">
      <c r="AQ56395" s="31"/>
    </row>
    <row r="56396" spans="43:43" x14ac:dyDescent="0.2">
      <c r="AQ56396" s="31"/>
    </row>
    <row r="56397" spans="43:43" x14ac:dyDescent="0.2">
      <c r="AQ56397" s="31"/>
    </row>
    <row r="56398" spans="43:43" x14ac:dyDescent="0.2">
      <c r="AQ56398" s="31"/>
    </row>
    <row r="56399" spans="43:43" x14ac:dyDescent="0.2">
      <c r="AQ56399" s="31"/>
    </row>
    <row r="56400" spans="43:43" x14ac:dyDescent="0.2">
      <c r="AQ56400" s="31"/>
    </row>
    <row r="56401" spans="43:43" x14ac:dyDescent="0.2">
      <c r="AQ56401" s="31"/>
    </row>
    <row r="56402" spans="43:43" x14ac:dyDescent="0.2">
      <c r="AQ56402" s="31"/>
    </row>
    <row r="56403" spans="43:43" x14ac:dyDescent="0.2">
      <c r="AQ56403" s="31"/>
    </row>
    <row r="56404" spans="43:43" x14ac:dyDescent="0.2">
      <c r="AQ56404" s="31"/>
    </row>
    <row r="56405" spans="43:43" x14ac:dyDescent="0.2">
      <c r="AQ56405" s="31"/>
    </row>
    <row r="56406" spans="43:43" x14ac:dyDescent="0.2">
      <c r="AQ56406" s="31"/>
    </row>
    <row r="56407" spans="43:43" x14ac:dyDescent="0.2">
      <c r="AQ56407" s="31"/>
    </row>
    <row r="56408" spans="43:43" x14ac:dyDescent="0.2">
      <c r="AQ56408" s="31"/>
    </row>
    <row r="56409" spans="43:43" x14ac:dyDescent="0.2">
      <c r="AQ56409" s="31"/>
    </row>
    <row r="56410" spans="43:43" x14ac:dyDescent="0.2">
      <c r="AQ56410" s="31"/>
    </row>
    <row r="56411" spans="43:43" x14ac:dyDescent="0.2">
      <c r="AQ56411" s="31"/>
    </row>
    <row r="56412" spans="43:43" x14ac:dyDescent="0.2">
      <c r="AQ56412" s="31"/>
    </row>
    <row r="56413" spans="43:43" x14ac:dyDescent="0.2">
      <c r="AQ56413" s="31"/>
    </row>
    <row r="56414" spans="43:43" x14ac:dyDescent="0.2">
      <c r="AQ56414" s="31"/>
    </row>
    <row r="56415" spans="43:43" x14ac:dyDescent="0.2">
      <c r="AQ56415" s="31"/>
    </row>
    <row r="56416" spans="43:43" x14ac:dyDescent="0.2">
      <c r="AQ56416" s="31"/>
    </row>
    <row r="56417" spans="43:43" x14ac:dyDescent="0.2">
      <c r="AQ56417" s="31"/>
    </row>
    <row r="56418" spans="43:43" x14ac:dyDescent="0.2">
      <c r="AQ56418" s="31"/>
    </row>
    <row r="56419" spans="43:43" x14ac:dyDescent="0.2">
      <c r="AQ56419" s="31"/>
    </row>
    <row r="56420" spans="43:43" x14ac:dyDescent="0.2">
      <c r="AQ56420" s="31"/>
    </row>
    <row r="56421" spans="43:43" x14ac:dyDescent="0.2">
      <c r="AQ56421" s="31"/>
    </row>
    <row r="56422" spans="43:43" x14ac:dyDescent="0.2">
      <c r="AQ56422" s="31"/>
    </row>
    <row r="56423" spans="43:43" x14ac:dyDescent="0.2">
      <c r="AQ56423" s="31"/>
    </row>
    <row r="56424" spans="43:43" x14ac:dyDescent="0.2">
      <c r="AQ56424" s="31"/>
    </row>
    <row r="56425" spans="43:43" x14ac:dyDescent="0.2">
      <c r="AQ56425" s="31"/>
    </row>
    <row r="56426" spans="43:43" x14ac:dyDescent="0.2">
      <c r="AQ56426" s="31"/>
    </row>
    <row r="56427" spans="43:43" x14ac:dyDescent="0.2">
      <c r="AQ56427" s="31"/>
    </row>
    <row r="56428" spans="43:43" x14ac:dyDescent="0.2">
      <c r="AQ56428" s="31"/>
    </row>
    <row r="56429" spans="43:43" x14ac:dyDescent="0.2">
      <c r="AQ56429" s="31"/>
    </row>
    <row r="56430" spans="43:43" x14ac:dyDescent="0.2">
      <c r="AQ56430" s="31"/>
    </row>
    <row r="56431" spans="43:43" x14ac:dyDescent="0.2">
      <c r="AQ56431" s="31"/>
    </row>
    <row r="56432" spans="43:43" x14ac:dyDescent="0.2">
      <c r="AQ56432" s="31"/>
    </row>
    <row r="56433" spans="43:43" x14ac:dyDescent="0.2">
      <c r="AQ56433" s="31"/>
    </row>
    <row r="56434" spans="43:43" x14ac:dyDescent="0.2">
      <c r="AQ56434" s="31"/>
    </row>
    <row r="56435" spans="43:43" x14ac:dyDescent="0.2">
      <c r="AQ56435" s="31"/>
    </row>
    <row r="56436" spans="43:43" x14ac:dyDescent="0.2">
      <c r="AQ56436" s="31"/>
    </row>
    <row r="56437" spans="43:43" x14ac:dyDescent="0.2">
      <c r="AQ56437" s="31"/>
    </row>
    <row r="56438" spans="43:43" x14ac:dyDescent="0.2">
      <c r="AQ56438" s="31"/>
    </row>
    <row r="56439" spans="43:43" x14ac:dyDescent="0.2">
      <c r="AQ56439" s="31"/>
    </row>
    <row r="56440" spans="43:43" x14ac:dyDescent="0.2">
      <c r="AQ56440" s="31"/>
    </row>
    <row r="56441" spans="43:43" x14ac:dyDescent="0.2">
      <c r="AQ56441" s="31"/>
    </row>
    <row r="56442" spans="43:43" x14ac:dyDescent="0.2">
      <c r="AQ56442" s="31"/>
    </row>
    <row r="56443" spans="43:43" x14ac:dyDescent="0.2">
      <c r="AQ56443" s="31"/>
    </row>
    <row r="56444" spans="43:43" x14ac:dyDescent="0.2">
      <c r="AQ56444" s="31"/>
    </row>
    <row r="56445" spans="43:43" x14ac:dyDescent="0.2">
      <c r="AQ56445" s="31"/>
    </row>
    <row r="56446" spans="43:43" x14ac:dyDescent="0.2">
      <c r="AQ56446" s="31"/>
    </row>
    <row r="56447" spans="43:43" x14ac:dyDescent="0.2">
      <c r="AQ56447" s="31"/>
    </row>
    <row r="56448" spans="43:43" x14ac:dyDescent="0.2">
      <c r="AQ56448" s="31"/>
    </row>
    <row r="56449" spans="43:43" x14ac:dyDescent="0.2">
      <c r="AQ56449" s="31"/>
    </row>
    <row r="56450" spans="43:43" x14ac:dyDescent="0.2">
      <c r="AQ56450" s="31"/>
    </row>
    <row r="56451" spans="43:43" x14ac:dyDescent="0.2">
      <c r="AQ56451" s="31"/>
    </row>
    <row r="56452" spans="43:43" x14ac:dyDescent="0.2">
      <c r="AQ56452" s="31"/>
    </row>
    <row r="56453" spans="43:43" x14ac:dyDescent="0.2">
      <c r="AQ56453" s="31"/>
    </row>
    <row r="56454" spans="43:43" x14ac:dyDescent="0.2">
      <c r="AQ56454" s="31"/>
    </row>
    <row r="56455" spans="43:43" x14ac:dyDescent="0.2">
      <c r="AQ56455" s="31"/>
    </row>
    <row r="56456" spans="43:43" x14ac:dyDescent="0.2">
      <c r="AQ56456" s="31"/>
    </row>
    <row r="56457" spans="43:43" x14ac:dyDescent="0.2">
      <c r="AQ56457" s="31"/>
    </row>
    <row r="56458" spans="43:43" x14ac:dyDescent="0.2">
      <c r="AQ56458" s="31"/>
    </row>
    <row r="56459" spans="43:43" x14ac:dyDescent="0.2">
      <c r="AQ56459" s="31"/>
    </row>
    <row r="56460" spans="43:43" x14ac:dyDescent="0.2">
      <c r="AQ56460" s="31"/>
    </row>
    <row r="56461" spans="43:43" x14ac:dyDescent="0.2">
      <c r="AQ56461" s="31"/>
    </row>
    <row r="56462" spans="43:43" x14ac:dyDescent="0.2">
      <c r="AQ56462" s="31"/>
    </row>
    <row r="56463" spans="43:43" x14ac:dyDescent="0.2">
      <c r="AQ56463" s="31"/>
    </row>
    <row r="56464" spans="43:43" x14ac:dyDescent="0.2">
      <c r="AQ56464" s="31"/>
    </row>
    <row r="56465" spans="43:43" x14ac:dyDescent="0.2">
      <c r="AQ56465" s="31"/>
    </row>
    <row r="56466" spans="43:43" x14ac:dyDescent="0.2">
      <c r="AQ56466" s="31"/>
    </row>
    <row r="56467" spans="43:43" x14ac:dyDescent="0.2">
      <c r="AQ56467" s="31"/>
    </row>
    <row r="56468" spans="43:43" x14ac:dyDescent="0.2">
      <c r="AQ56468" s="31"/>
    </row>
    <row r="56469" spans="43:43" x14ac:dyDescent="0.2">
      <c r="AQ56469" s="31"/>
    </row>
    <row r="56470" spans="43:43" x14ac:dyDescent="0.2">
      <c r="AQ56470" s="31"/>
    </row>
    <row r="56471" spans="43:43" x14ac:dyDescent="0.2">
      <c r="AQ56471" s="31"/>
    </row>
    <row r="56472" spans="43:43" x14ac:dyDescent="0.2">
      <c r="AQ56472" s="31"/>
    </row>
    <row r="56473" spans="43:43" x14ac:dyDescent="0.2">
      <c r="AQ56473" s="31"/>
    </row>
    <row r="56474" spans="43:43" x14ac:dyDescent="0.2">
      <c r="AQ56474" s="31"/>
    </row>
    <row r="56475" spans="43:43" x14ac:dyDescent="0.2">
      <c r="AQ56475" s="31"/>
    </row>
    <row r="56476" spans="43:43" x14ac:dyDescent="0.2">
      <c r="AQ56476" s="31"/>
    </row>
    <row r="56477" spans="43:43" x14ac:dyDescent="0.2">
      <c r="AQ56477" s="31"/>
    </row>
    <row r="56478" spans="43:43" x14ac:dyDescent="0.2">
      <c r="AQ56478" s="31"/>
    </row>
    <row r="56479" spans="43:43" x14ac:dyDescent="0.2">
      <c r="AQ56479" s="31"/>
    </row>
    <row r="56480" spans="43:43" x14ac:dyDescent="0.2">
      <c r="AQ56480" s="31"/>
    </row>
    <row r="56481" spans="43:43" x14ac:dyDescent="0.2">
      <c r="AQ56481" s="31"/>
    </row>
    <row r="56482" spans="43:43" x14ac:dyDescent="0.2">
      <c r="AQ56482" s="31"/>
    </row>
    <row r="56483" spans="43:43" x14ac:dyDescent="0.2">
      <c r="AQ56483" s="31"/>
    </row>
    <row r="56484" spans="43:43" x14ac:dyDescent="0.2">
      <c r="AQ56484" s="31"/>
    </row>
    <row r="56485" spans="43:43" x14ac:dyDescent="0.2">
      <c r="AQ56485" s="31"/>
    </row>
    <row r="56486" spans="43:43" x14ac:dyDescent="0.2">
      <c r="AQ56486" s="31"/>
    </row>
    <row r="56487" spans="43:43" x14ac:dyDescent="0.2">
      <c r="AQ56487" s="31"/>
    </row>
    <row r="56488" spans="43:43" x14ac:dyDescent="0.2">
      <c r="AQ56488" s="31"/>
    </row>
    <row r="56489" spans="43:43" x14ac:dyDescent="0.2">
      <c r="AQ56489" s="31"/>
    </row>
    <row r="56490" spans="43:43" x14ac:dyDescent="0.2">
      <c r="AQ56490" s="31"/>
    </row>
    <row r="56491" spans="43:43" x14ac:dyDescent="0.2">
      <c r="AQ56491" s="31"/>
    </row>
    <row r="56492" spans="43:43" x14ac:dyDescent="0.2">
      <c r="AQ56492" s="31"/>
    </row>
    <row r="56493" spans="43:43" x14ac:dyDescent="0.2">
      <c r="AQ56493" s="31"/>
    </row>
    <row r="56494" spans="43:43" x14ac:dyDescent="0.2">
      <c r="AQ56494" s="31"/>
    </row>
    <row r="56495" spans="43:43" x14ac:dyDescent="0.2">
      <c r="AQ56495" s="31"/>
    </row>
    <row r="56496" spans="43:43" x14ac:dyDescent="0.2">
      <c r="AQ56496" s="31"/>
    </row>
    <row r="56497" spans="43:43" x14ac:dyDescent="0.2">
      <c r="AQ56497" s="31"/>
    </row>
    <row r="56498" spans="43:43" x14ac:dyDescent="0.2">
      <c r="AQ56498" s="31"/>
    </row>
    <row r="56499" spans="43:43" x14ac:dyDescent="0.2">
      <c r="AQ56499" s="31"/>
    </row>
    <row r="56500" spans="43:43" x14ac:dyDescent="0.2">
      <c r="AQ56500" s="31"/>
    </row>
    <row r="56501" spans="43:43" x14ac:dyDescent="0.2">
      <c r="AQ56501" s="31"/>
    </row>
    <row r="56502" spans="43:43" x14ac:dyDescent="0.2">
      <c r="AQ56502" s="31"/>
    </row>
    <row r="56503" spans="43:43" x14ac:dyDescent="0.2">
      <c r="AQ56503" s="31"/>
    </row>
    <row r="56504" spans="43:43" x14ac:dyDescent="0.2">
      <c r="AQ56504" s="31"/>
    </row>
    <row r="56505" spans="43:43" x14ac:dyDescent="0.2">
      <c r="AQ56505" s="31"/>
    </row>
    <row r="56506" spans="43:43" x14ac:dyDescent="0.2">
      <c r="AQ56506" s="31"/>
    </row>
    <row r="56507" spans="43:43" x14ac:dyDescent="0.2">
      <c r="AQ56507" s="31"/>
    </row>
    <row r="56508" spans="43:43" x14ac:dyDescent="0.2">
      <c r="AQ56508" s="31"/>
    </row>
    <row r="56509" spans="43:43" x14ac:dyDescent="0.2">
      <c r="AQ56509" s="31"/>
    </row>
    <row r="56510" spans="43:43" x14ac:dyDescent="0.2">
      <c r="AQ56510" s="31"/>
    </row>
    <row r="56511" spans="43:43" x14ac:dyDescent="0.2">
      <c r="AQ56511" s="31"/>
    </row>
    <row r="56512" spans="43:43" x14ac:dyDescent="0.2">
      <c r="AQ56512" s="31"/>
    </row>
    <row r="56513" spans="43:43" x14ac:dyDescent="0.2">
      <c r="AQ56513" s="31"/>
    </row>
    <row r="56514" spans="43:43" x14ac:dyDescent="0.2">
      <c r="AQ56514" s="31"/>
    </row>
    <row r="56515" spans="43:43" x14ac:dyDescent="0.2">
      <c r="AQ56515" s="31"/>
    </row>
    <row r="56516" spans="43:43" x14ac:dyDescent="0.2">
      <c r="AQ56516" s="31"/>
    </row>
    <row r="56517" spans="43:43" x14ac:dyDescent="0.2">
      <c r="AQ56517" s="31"/>
    </row>
    <row r="56518" spans="43:43" x14ac:dyDescent="0.2">
      <c r="AQ56518" s="31"/>
    </row>
    <row r="56519" spans="43:43" x14ac:dyDescent="0.2">
      <c r="AQ56519" s="31"/>
    </row>
    <row r="56520" spans="43:43" x14ac:dyDescent="0.2">
      <c r="AQ56520" s="31"/>
    </row>
    <row r="56521" spans="43:43" x14ac:dyDescent="0.2">
      <c r="AQ56521" s="31"/>
    </row>
    <row r="56522" spans="43:43" x14ac:dyDescent="0.2">
      <c r="AQ56522" s="31"/>
    </row>
    <row r="56523" spans="43:43" x14ac:dyDescent="0.2">
      <c r="AQ56523" s="31"/>
    </row>
    <row r="56524" spans="43:43" x14ac:dyDescent="0.2">
      <c r="AQ56524" s="31"/>
    </row>
    <row r="56525" spans="43:43" x14ac:dyDescent="0.2">
      <c r="AQ56525" s="31"/>
    </row>
    <row r="56526" spans="43:43" x14ac:dyDescent="0.2">
      <c r="AQ56526" s="31"/>
    </row>
    <row r="56527" spans="43:43" x14ac:dyDescent="0.2">
      <c r="AQ56527" s="31"/>
    </row>
    <row r="56528" spans="43:43" x14ac:dyDescent="0.2">
      <c r="AQ56528" s="31"/>
    </row>
    <row r="56529" spans="43:43" x14ac:dyDescent="0.2">
      <c r="AQ56529" s="31"/>
    </row>
    <row r="56530" spans="43:43" x14ac:dyDescent="0.2">
      <c r="AQ56530" s="31"/>
    </row>
    <row r="56531" spans="43:43" x14ac:dyDescent="0.2">
      <c r="AQ56531" s="31"/>
    </row>
    <row r="56532" spans="43:43" x14ac:dyDescent="0.2">
      <c r="AQ56532" s="31"/>
    </row>
    <row r="56533" spans="43:43" x14ac:dyDescent="0.2">
      <c r="AQ56533" s="31"/>
    </row>
    <row r="56534" spans="43:43" x14ac:dyDescent="0.2">
      <c r="AQ56534" s="31"/>
    </row>
    <row r="56535" spans="43:43" x14ac:dyDescent="0.2">
      <c r="AQ56535" s="31"/>
    </row>
    <row r="56536" spans="43:43" x14ac:dyDescent="0.2">
      <c r="AQ56536" s="31"/>
    </row>
    <row r="56537" spans="43:43" x14ac:dyDescent="0.2">
      <c r="AQ56537" s="31"/>
    </row>
    <row r="56538" spans="43:43" x14ac:dyDescent="0.2">
      <c r="AQ56538" s="31"/>
    </row>
    <row r="56539" spans="43:43" x14ac:dyDescent="0.2">
      <c r="AQ56539" s="31"/>
    </row>
    <row r="56540" spans="43:43" x14ac:dyDescent="0.2">
      <c r="AQ56540" s="31"/>
    </row>
    <row r="56541" spans="43:43" x14ac:dyDescent="0.2">
      <c r="AQ56541" s="31"/>
    </row>
    <row r="56542" spans="43:43" x14ac:dyDescent="0.2">
      <c r="AQ56542" s="31"/>
    </row>
    <row r="56543" spans="43:43" x14ac:dyDescent="0.2">
      <c r="AQ56543" s="31"/>
    </row>
    <row r="56544" spans="43:43" x14ac:dyDescent="0.2">
      <c r="AQ56544" s="31"/>
    </row>
    <row r="56545" spans="43:43" x14ac:dyDescent="0.2">
      <c r="AQ56545" s="31"/>
    </row>
    <row r="56546" spans="43:43" x14ac:dyDescent="0.2">
      <c r="AQ56546" s="31"/>
    </row>
    <row r="56547" spans="43:43" x14ac:dyDescent="0.2">
      <c r="AQ56547" s="31"/>
    </row>
    <row r="56548" spans="43:43" x14ac:dyDescent="0.2">
      <c r="AQ56548" s="31"/>
    </row>
    <row r="56549" spans="43:43" x14ac:dyDescent="0.2">
      <c r="AQ56549" s="31"/>
    </row>
    <row r="56550" spans="43:43" x14ac:dyDescent="0.2">
      <c r="AQ56550" s="31"/>
    </row>
    <row r="56551" spans="43:43" x14ac:dyDescent="0.2">
      <c r="AQ56551" s="31"/>
    </row>
    <row r="56552" spans="43:43" x14ac:dyDescent="0.2">
      <c r="AQ56552" s="31"/>
    </row>
    <row r="56553" spans="43:43" x14ac:dyDescent="0.2">
      <c r="AQ56553" s="31"/>
    </row>
    <row r="56554" spans="43:43" x14ac:dyDescent="0.2">
      <c r="AQ56554" s="31"/>
    </row>
    <row r="56555" spans="43:43" x14ac:dyDescent="0.2">
      <c r="AQ56555" s="31"/>
    </row>
    <row r="56556" spans="43:43" x14ac:dyDescent="0.2">
      <c r="AQ56556" s="31"/>
    </row>
    <row r="56557" spans="43:43" x14ac:dyDescent="0.2">
      <c r="AQ56557" s="31"/>
    </row>
    <row r="56558" spans="43:43" x14ac:dyDescent="0.2">
      <c r="AQ56558" s="31"/>
    </row>
    <row r="56559" spans="43:43" x14ac:dyDescent="0.2">
      <c r="AQ56559" s="31"/>
    </row>
    <row r="56560" spans="43:43" x14ac:dyDescent="0.2">
      <c r="AQ56560" s="31"/>
    </row>
    <row r="56561" spans="43:43" x14ac:dyDescent="0.2">
      <c r="AQ56561" s="31"/>
    </row>
    <row r="56562" spans="43:43" x14ac:dyDescent="0.2">
      <c r="AQ56562" s="31"/>
    </row>
    <row r="56563" spans="43:43" x14ac:dyDescent="0.2">
      <c r="AQ56563" s="31"/>
    </row>
    <row r="56564" spans="43:43" x14ac:dyDescent="0.2">
      <c r="AQ56564" s="31"/>
    </row>
    <row r="56565" spans="43:43" x14ac:dyDescent="0.2">
      <c r="AQ56565" s="31"/>
    </row>
    <row r="56566" spans="43:43" x14ac:dyDescent="0.2">
      <c r="AQ56566" s="31"/>
    </row>
    <row r="56567" spans="43:43" x14ac:dyDescent="0.2">
      <c r="AQ56567" s="31"/>
    </row>
    <row r="56568" spans="43:43" x14ac:dyDescent="0.2">
      <c r="AQ56568" s="31"/>
    </row>
    <row r="56569" spans="43:43" x14ac:dyDescent="0.2">
      <c r="AQ56569" s="31"/>
    </row>
    <row r="56570" spans="43:43" x14ac:dyDescent="0.2">
      <c r="AQ56570" s="31"/>
    </row>
    <row r="56571" spans="43:43" x14ac:dyDescent="0.2">
      <c r="AQ56571" s="31"/>
    </row>
    <row r="56572" spans="43:43" x14ac:dyDescent="0.2">
      <c r="AQ56572" s="31"/>
    </row>
    <row r="56573" spans="43:43" x14ac:dyDescent="0.2">
      <c r="AQ56573" s="31"/>
    </row>
    <row r="56574" spans="43:43" x14ac:dyDescent="0.2">
      <c r="AQ56574" s="31"/>
    </row>
    <row r="56575" spans="43:43" x14ac:dyDescent="0.2">
      <c r="AQ56575" s="31"/>
    </row>
    <row r="56576" spans="43:43" x14ac:dyDescent="0.2">
      <c r="AQ56576" s="31"/>
    </row>
    <row r="56577" spans="43:43" x14ac:dyDescent="0.2">
      <c r="AQ56577" s="31"/>
    </row>
    <row r="56578" spans="43:43" x14ac:dyDescent="0.2">
      <c r="AQ56578" s="31"/>
    </row>
    <row r="56579" spans="43:43" x14ac:dyDescent="0.2">
      <c r="AQ56579" s="31"/>
    </row>
    <row r="56580" spans="43:43" x14ac:dyDescent="0.2">
      <c r="AQ56580" s="31"/>
    </row>
    <row r="56581" spans="43:43" x14ac:dyDescent="0.2">
      <c r="AQ56581" s="31"/>
    </row>
    <row r="56582" spans="43:43" x14ac:dyDescent="0.2">
      <c r="AQ56582" s="31"/>
    </row>
    <row r="56583" spans="43:43" x14ac:dyDescent="0.2">
      <c r="AQ56583" s="31"/>
    </row>
    <row r="56584" spans="43:43" x14ac:dyDescent="0.2">
      <c r="AQ56584" s="31"/>
    </row>
    <row r="56585" spans="43:43" x14ac:dyDescent="0.2">
      <c r="AQ56585" s="31"/>
    </row>
    <row r="56586" spans="43:43" x14ac:dyDescent="0.2">
      <c r="AQ56586" s="31"/>
    </row>
    <row r="56587" spans="43:43" x14ac:dyDescent="0.2">
      <c r="AQ56587" s="31"/>
    </row>
    <row r="56588" spans="43:43" x14ac:dyDescent="0.2">
      <c r="AQ56588" s="31"/>
    </row>
    <row r="56589" spans="43:43" x14ac:dyDescent="0.2">
      <c r="AQ56589" s="31"/>
    </row>
    <row r="56590" spans="43:43" x14ac:dyDescent="0.2">
      <c r="AQ56590" s="31"/>
    </row>
    <row r="56591" spans="43:43" x14ac:dyDescent="0.2">
      <c r="AQ56591" s="31"/>
    </row>
    <row r="56592" spans="43:43" x14ac:dyDescent="0.2">
      <c r="AQ56592" s="31"/>
    </row>
    <row r="56593" spans="43:43" x14ac:dyDescent="0.2">
      <c r="AQ56593" s="31"/>
    </row>
    <row r="56594" spans="43:43" x14ac:dyDescent="0.2">
      <c r="AQ56594" s="31"/>
    </row>
    <row r="56595" spans="43:43" x14ac:dyDescent="0.2">
      <c r="AQ56595" s="31"/>
    </row>
    <row r="56596" spans="43:43" x14ac:dyDescent="0.2">
      <c r="AQ56596" s="31"/>
    </row>
    <row r="56597" spans="43:43" x14ac:dyDescent="0.2">
      <c r="AQ56597" s="31"/>
    </row>
    <row r="56598" spans="43:43" x14ac:dyDescent="0.2">
      <c r="AQ56598" s="31"/>
    </row>
    <row r="56599" spans="43:43" x14ac:dyDescent="0.2">
      <c r="AQ56599" s="31"/>
    </row>
    <row r="56600" spans="43:43" x14ac:dyDescent="0.2">
      <c r="AQ56600" s="31"/>
    </row>
    <row r="56601" spans="43:43" x14ac:dyDescent="0.2">
      <c r="AQ56601" s="31"/>
    </row>
    <row r="56602" spans="43:43" x14ac:dyDescent="0.2">
      <c r="AQ56602" s="31"/>
    </row>
    <row r="56603" spans="43:43" x14ac:dyDescent="0.2">
      <c r="AQ56603" s="31"/>
    </row>
    <row r="56604" spans="43:43" x14ac:dyDescent="0.2">
      <c r="AQ56604" s="31"/>
    </row>
    <row r="56605" spans="43:43" x14ac:dyDescent="0.2">
      <c r="AQ56605" s="31"/>
    </row>
    <row r="56606" spans="43:43" x14ac:dyDescent="0.2">
      <c r="AQ56606" s="31"/>
    </row>
    <row r="56607" spans="43:43" x14ac:dyDescent="0.2">
      <c r="AQ56607" s="31"/>
    </row>
    <row r="56608" spans="43:43" x14ac:dyDescent="0.2">
      <c r="AQ56608" s="31"/>
    </row>
    <row r="56609" spans="43:43" x14ac:dyDescent="0.2">
      <c r="AQ56609" s="31"/>
    </row>
    <row r="56610" spans="43:43" x14ac:dyDescent="0.2">
      <c r="AQ56610" s="31"/>
    </row>
    <row r="56611" spans="43:43" x14ac:dyDescent="0.2">
      <c r="AQ56611" s="31"/>
    </row>
    <row r="56612" spans="43:43" x14ac:dyDescent="0.2">
      <c r="AQ56612" s="31"/>
    </row>
    <row r="56613" spans="43:43" x14ac:dyDescent="0.2">
      <c r="AQ56613" s="31"/>
    </row>
    <row r="56614" spans="43:43" x14ac:dyDescent="0.2">
      <c r="AQ56614" s="31"/>
    </row>
    <row r="56615" spans="43:43" x14ac:dyDescent="0.2">
      <c r="AQ56615" s="31"/>
    </row>
    <row r="56616" spans="43:43" x14ac:dyDescent="0.2">
      <c r="AQ56616" s="31"/>
    </row>
    <row r="56617" spans="43:43" x14ac:dyDescent="0.2">
      <c r="AQ56617" s="31"/>
    </row>
    <row r="56618" spans="43:43" x14ac:dyDescent="0.2">
      <c r="AQ56618" s="31"/>
    </row>
    <row r="56619" spans="43:43" x14ac:dyDescent="0.2">
      <c r="AQ56619" s="31"/>
    </row>
    <row r="56620" spans="43:43" x14ac:dyDescent="0.2">
      <c r="AQ56620" s="31"/>
    </row>
    <row r="56621" spans="43:43" x14ac:dyDescent="0.2">
      <c r="AQ56621" s="31"/>
    </row>
    <row r="56622" spans="43:43" x14ac:dyDescent="0.2">
      <c r="AQ56622" s="31"/>
    </row>
    <row r="56623" spans="43:43" x14ac:dyDescent="0.2">
      <c r="AQ56623" s="31"/>
    </row>
    <row r="56624" spans="43:43" x14ac:dyDescent="0.2">
      <c r="AQ56624" s="31"/>
    </row>
    <row r="56625" spans="43:43" x14ac:dyDescent="0.2">
      <c r="AQ56625" s="31"/>
    </row>
    <row r="56626" spans="43:43" x14ac:dyDescent="0.2">
      <c r="AQ56626" s="31"/>
    </row>
    <row r="56627" spans="43:43" x14ac:dyDescent="0.2">
      <c r="AQ56627" s="31"/>
    </row>
    <row r="56628" spans="43:43" x14ac:dyDescent="0.2">
      <c r="AQ56628" s="31"/>
    </row>
    <row r="56629" spans="43:43" x14ac:dyDescent="0.2">
      <c r="AQ56629" s="31"/>
    </row>
    <row r="56630" spans="43:43" x14ac:dyDescent="0.2">
      <c r="AQ56630" s="31"/>
    </row>
    <row r="56631" spans="43:43" x14ac:dyDescent="0.2">
      <c r="AQ56631" s="31"/>
    </row>
    <row r="56632" spans="43:43" x14ac:dyDescent="0.2">
      <c r="AQ56632" s="31"/>
    </row>
    <row r="56633" spans="43:43" x14ac:dyDescent="0.2">
      <c r="AQ56633" s="31"/>
    </row>
    <row r="56634" spans="43:43" x14ac:dyDescent="0.2">
      <c r="AQ56634" s="31"/>
    </row>
    <row r="56635" spans="43:43" x14ac:dyDescent="0.2">
      <c r="AQ56635" s="31"/>
    </row>
    <row r="56636" spans="43:43" x14ac:dyDescent="0.2">
      <c r="AQ56636" s="31"/>
    </row>
    <row r="56637" spans="43:43" x14ac:dyDescent="0.2">
      <c r="AQ56637" s="31"/>
    </row>
    <row r="56638" spans="43:43" x14ac:dyDescent="0.2">
      <c r="AQ56638" s="31"/>
    </row>
    <row r="56639" spans="43:43" x14ac:dyDescent="0.2">
      <c r="AQ56639" s="31"/>
    </row>
    <row r="56640" spans="43:43" x14ac:dyDescent="0.2">
      <c r="AQ56640" s="31"/>
    </row>
    <row r="56641" spans="43:43" x14ac:dyDescent="0.2">
      <c r="AQ56641" s="31"/>
    </row>
    <row r="56642" spans="43:43" x14ac:dyDescent="0.2">
      <c r="AQ56642" s="31"/>
    </row>
    <row r="56643" spans="43:43" x14ac:dyDescent="0.2">
      <c r="AQ56643" s="31"/>
    </row>
    <row r="56644" spans="43:43" x14ac:dyDescent="0.2">
      <c r="AQ56644" s="31"/>
    </row>
    <row r="56645" spans="43:43" x14ac:dyDescent="0.2">
      <c r="AQ56645" s="31"/>
    </row>
    <row r="56646" spans="43:43" x14ac:dyDescent="0.2">
      <c r="AQ56646" s="31"/>
    </row>
    <row r="56647" spans="43:43" x14ac:dyDescent="0.2">
      <c r="AQ56647" s="31"/>
    </row>
    <row r="56648" spans="43:43" x14ac:dyDescent="0.2">
      <c r="AQ56648" s="31"/>
    </row>
    <row r="56649" spans="43:43" x14ac:dyDescent="0.2">
      <c r="AQ56649" s="31"/>
    </row>
    <row r="56650" spans="43:43" x14ac:dyDescent="0.2">
      <c r="AQ56650" s="31"/>
    </row>
    <row r="56651" spans="43:43" x14ac:dyDescent="0.2">
      <c r="AQ56651" s="31"/>
    </row>
    <row r="56652" spans="43:43" x14ac:dyDescent="0.2">
      <c r="AQ56652" s="31"/>
    </row>
    <row r="56653" spans="43:43" x14ac:dyDescent="0.2">
      <c r="AQ56653" s="31"/>
    </row>
    <row r="56654" spans="43:43" x14ac:dyDescent="0.2">
      <c r="AQ56654" s="31"/>
    </row>
    <row r="56655" spans="43:43" x14ac:dyDescent="0.2">
      <c r="AQ56655" s="31"/>
    </row>
    <row r="56656" spans="43:43" x14ac:dyDescent="0.2">
      <c r="AQ56656" s="31"/>
    </row>
    <row r="56657" spans="43:43" x14ac:dyDescent="0.2">
      <c r="AQ56657" s="31"/>
    </row>
    <row r="56658" spans="43:43" x14ac:dyDescent="0.2">
      <c r="AQ56658" s="31"/>
    </row>
    <row r="56659" spans="43:43" x14ac:dyDescent="0.2">
      <c r="AQ56659" s="31"/>
    </row>
    <row r="56660" spans="43:43" x14ac:dyDescent="0.2">
      <c r="AQ56660" s="31"/>
    </row>
    <row r="56661" spans="43:43" x14ac:dyDescent="0.2">
      <c r="AQ56661" s="31"/>
    </row>
    <row r="56662" spans="43:43" x14ac:dyDescent="0.2">
      <c r="AQ56662" s="31"/>
    </row>
    <row r="56663" spans="43:43" x14ac:dyDescent="0.2">
      <c r="AQ56663" s="31"/>
    </row>
    <row r="56664" spans="43:43" x14ac:dyDescent="0.2">
      <c r="AQ56664" s="31"/>
    </row>
    <row r="56665" spans="43:43" x14ac:dyDescent="0.2">
      <c r="AQ56665" s="31"/>
    </row>
    <row r="56666" spans="43:43" x14ac:dyDescent="0.2">
      <c r="AQ56666" s="31"/>
    </row>
    <row r="56667" spans="43:43" x14ac:dyDescent="0.2">
      <c r="AQ56667" s="31"/>
    </row>
    <row r="56668" spans="43:43" x14ac:dyDescent="0.2">
      <c r="AQ56668" s="31"/>
    </row>
    <row r="56669" spans="43:43" x14ac:dyDescent="0.2">
      <c r="AQ56669" s="31"/>
    </row>
    <row r="56670" spans="43:43" x14ac:dyDescent="0.2">
      <c r="AQ56670" s="31"/>
    </row>
    <row r="56671" spans="43:43" x14ac:dyDescent="0.2">
      <c r="AQ56671" s="31"/>
    </row>
    <row r="56672" spans="43:43" x14ac:dyDescent="0.2">
      <c r="AQ56672" s="31"/>
    </row>
    <row r="56673" spans="43:43" x14ac:dyDescent="0.2">
      <c r="AQ56673" s="31"/>
    </row>
    <row r="56674" spans="43:43" x14ac:dyDescent="0.2">
      <c r="AQ56674" s="31"/>
    </row>
    <row r="56675" spans="43:43" x14ac:dyDescent="0.2">
      <c r="AQ56675" s="31"/>
    </row>
    <row r="56676" spans="43:43" x14ac:dyDescent="0.2">
      <c r="AQ56676" s="31"/>
    </row>
    <row r="56677" spans="43:43" x14ac:dyDescent="0.2">
      <c r="AQ56677" s="31"/>
    </row>
    <row r="56678" spans="43:43" x14ac:dyDescent="0.2">
      <c r="AQ56678" s="31"/>
    </row>
    <row r="56679" spans="43:43" x14ac:dyDescent="0.2">
      <c r="AQ56679" s="31"/>
    </row>
    <row r="56680" spans="43:43" x14ac:dyDescent="0.2">
      <c r="AQ56680" s="31"/>
    </row>
    <row r="56681" spans="43:43" x14ac:dyDescent="0.2">
      <c r="AQ56681" s="31"/>
    </row>
    <row r="56682" spans="43:43" x14ac:dyDescent="0.2">
      <c r="AQ56682" s="31"/>
    </row>
    <row r="56683" spans="43:43" x14ac:dyDescent="0.2">
      <c r="AQ56683" s="31"/>
    </row>
    <row r="56684" spans="43:43" x14ac:dyDescent="0.2">
      <c r="AQ56684" s="31"/>
    </row>
    <row r="56685" spans="43:43" x14ac:dyDescent="0.2">
      <c r="AQ56685" s="31"/>
    </row>
    <row r="56686" spans="43:43" x14ac:dyDescent="0.2">
      <c r="AQ56686" s="31"/>
    </row>
    <row r="56687" spans="43:43" x14ac:dyDescent="0.2">
      <c r="AQ56687" s="31"/>
    </row>
    <row r="56688" spans="43:43" x14ac:dyDescent="0.2">
      <c r="AQ56688" s="31"/>
    </row>
    <row r="56689" spans="43:43" x14ac:dyDescent="0.2">
      <c r="AQ56689" s="31"/>
    </row>
    <row r="56690" spans="43:43" x14ac:dyDescent="0.2">
      <c r="AQ56690" s="31"/>
    </row>
    <row r="56691" spans="43:43" x14ac:dyDescent="0.2">
      <c r="AQ56691" s="31"/>
    </row>
    <row r="56692" spans="43:43" x14ac:dyDescent="0.2">
      <c r="AQ56692" s="31"/>
    </row>
    <row r="56693" spans="43:43" x14ac:dyDescent="0.2">
      <c r="AQ56693" s="31"/>
    </row>
    <row r="56694" spans="43:43" x14ac:dyDescent="0.2">
      <c r="AQ56694" s="31"/>
    </row>
    <row r="56695" spans="43:43" x14ac:dyDescent="0.2">
      <c r="AQ56695" s="31"/>
    </row>
    <row r="56696" spans="43:43" x14ac:dyDescent="0.2">
      <c r="AQ56696" s="31"/>
    </row>
    <row r="56697" spans="43:43" x14ac:dyDescent="0.2">
      <c r="AQ56697" s="31"/>
    </row>
    <row r="56698" spans="43:43" x14ac:dyDescent="0.2">
      <c r="AQ56698" s="31"/>
    </row>
    <row r="56699" spans="43:43" x14ac:dyDescent="0.2">
      <c r="AQ56699" s="31"/>
    </row>
    <row r="56700" spans="43:43" x14ac:dyDescent="0.2">
      <c r="AQ56700" s="31"/>
    </row>
    <row r="56701" spans="43:43" x14ac:dyDescent="0.2">
      <c r="AQ56701" s="31"/>
    </row>
    <row r="56702" spans="43:43" x14ac:dyDescent="0.2">
      <c r="AQ56702" s="31"/>
    </row>
    <row r="56703" spans="43:43" x14ac:dyDescent="0.2">
      <c r="AQ56703" s="31"/>
    </row>
    <row r="56704" spans="43:43" x14ac:dyDescent="0.2">
      <c r="AQ56704" s="31"/>
    </row>
    <row r="56705" spans="43:43" x14ac:dyDescent="0.2">
      <c r="AQ56705" s="31"/>
    </row>
    <row r="56706" spans="43:43" x14ac:dyDescent="0.2">
      <c r="AQ56706" s="31"/>
    </row>
    <row r="56707" spans="43:43" x14ac:dyDescent="0.2">
      <c r="AQ56707" s="31"/>
    </row>
    <row r="56708" spans="43:43" x14ac:dyDescent="0.2">
      <c r="AQ56708" s="31"/>
    </row>
    <row r="56709" spans="43:43" x14ac:dyDescent="0.2">
      <c r="AQ56709" s="31"/>
    </row>
    <row r="56710" spans="43:43" x14ac:dyDescent="0.2">
      <c r="AQ56710" s="31"/>
    </row>
    <row r="56711" spans="43:43" x14ac:dyDescent="0.2">
      <c r="AQ56711" s="31"/>
    </row>
    <row r="56712" spans="43:43" x14ac:dyDescent="0.2">
      <c r="AQ56712" s="31"/>
    </row>
    <row r="56713" spans="43:43" x14ac:dyDescent="0.2">
      <c r="AQ56713" s="31"/>
    </row>
    <row r="56714" spans="43:43" x14ac:dyDescent="0.2">
      <c r="AQ56714" s="31"/>
    </row>
    <row r="56715" spans="43:43" x14ac:dyDescent="0.2">
      <c r="AQ56715" s="31"/>
    </row>
    <row r="56716" spans="43:43" x14ac:dyDescent="0.2">
      <c r="AQ56716" s="31"/>
    </row>
    <row r="56717" spans="43:43" x14ac:dyDescent="0.2">
      <c r="AQ56717" s="31"/>
    </row>
    <row r="56718" spans="43:43" x14ac:dyDescent="0.2">
      <c r="AQ56718" s="31"/>
    </row>
    <row r="56719" spans="43:43" x14ac:dyDescent="0.2">
      <c r="AQ56719" s="31"/>
    </row>
    <row r="56720" spans="43:43" x14ac:dyDescent="0.2">
      <c r="AQ56720" s="31"/>
    </row>
    <row r="56721" spans="43:43" x14ac:dyDescent="0.2">
      <c r="AQ56721" s="31"/>
    </row>
    <row r="56722" spans="43:43" x14ac:dyDescent="0.2">
      <c r="AQ56722" s="31"/>
    </row>
    <row r="56723" spans="43:43" x14ac:dyDescent="0.2">
      <c r="AQ56723" s="31"/>
    </row>
    <row r="56724" spans="43:43" x14ac:dyDescent="0.2">
      <c r="AQ56724" s="31"/>
    </row>
    <row r="56725" spans="43:43" x14ac:dyDescent="0.2">
      <c r="AQ56725" s="31"/>
    </row>
    <row r="56726" spans="43:43" x14ac:dyDescent="0.2">
      <c r="AQ56726" s="31"/>
    </row>
    <row r="56727" spans="43:43" x14ac:dyDescent="0.2">
      <c r="AQ56727" s="31"/>
    </row>
    <row r="56728" spans="43:43" x14ac:dyDescent="0.2">
      <c r="AQ56728" s="31"/>
    </row>
    <row r="56729" spans="43:43" x14ac:dyDescent="0.2">
      <c r="AQ56729" s="31"/>
    </row>
    <row r="56730" spans="43:43" x14ac:dyDescent="0.2">
      <c r="AQ56730" s="31"/>
    </row>
    <row r="56731" spans="43:43" x14ac:dyDescent="0.2">
      <c r="AQ56731" s="31"/>
    </row>
    <row r="56732" spans="43:43" x14ac:dyDescent="0.2">
      <c r="AQ56732" s="31"/>
    </row>
    <row r="56733" spans="43:43" x14ac:dyDescent="0.2">
      <c r="AQ56733" s="31"/>
    </row>
    <row r="56734" spans="43:43" x14ac:dyDescent="0.2">
      <c r="AQ56734" s="31"/>
    </row>
    <row r="56735" spans="43:43" x14ac:dyDescent="0.2">
      <c r="AQ56735" s="31"/>
    </row>
    <row r="56736" spans="43:43" x14ac:dyDescent="0.2">
      <c r="AQ56736" s="31"/>
    </row>
    <row r="56737" spans="43:43" x14ac:dyDescent="0.2">
      <c r="AQ56737" s="31"/>
    </row>
    <row r="56738" spans="43:43" x14ac:dyDescent="0.2">
      <c r="AQ56738" s="31"/>
    </row>
    <row r="56739" spans="43:43" x14ac:dyDescent="0.2">
      <c r="AQ56739" s="31"/>
    </row>
    <row r="56740" spans="43:43" x14ac:dyDescent="0.2">
      <c r="AQ56740" s="31"/>
    </row>
    <row r="56741" spans="43:43" x14ac:dyDescent="0.2">
      <c r="AQ56741" s="31"/>
    </row>
    <row r="56742" spans="43:43" x14ac:dyDescent="0.2">
      <c r="AQ56742" s="31"/>
    </row>
    <row r="56743" spans="43:43" x14ac:dyDescent="0.2">
      <c r="AQ56743" s="31"/>
    </row>
    <row r="56744" spans="43:43" x14ac:dyDescent="0.2">
      <c r="AQ56744" s="31"/>
    </row>
    <row r="56745" spans="43:43" x14ac:dyDescent="0.2">
      <c r="AQ56745" s="31"/>
    </row>
    <row r="56746" spans="43:43" x14ac:dyDescent="0.2">
      <c r="AQ56746" s="31"/>
    </row>
    <row r="56747" spans="43:43" x14ac:dyDescent="0.2">
      <c r="AQ56747" s="31"/>
    </row>
    <row r="56748" spans="43:43" x14ac:dyDescent="0.2">
      <c r="AQ56748" s="31"/>
    </row>
    <row r="56749" spans="43:43" x14ac:dyDescent="0.2">
      <c r="AQ56749" s="31"/>
    </row>
    <row r="56750" spans="43:43" x14ac:dyDescent="0.2">
      <c r="AQ56750" s="31"/>
    </row>
    <row r="56751" spans="43:43" x14ac:dyDescent="0.2">
      <c r="AQ56751" s="31"/>
    </row>
    <row r="56752" spans="43:43" x14ac:dyDescent="0.2">
      <c r="AQ56752" s="31"/>
    </row>
    <row r="56753" spans="43:43" x14ac:dyDescent="0.2">
      <c r="AQ56753" s="31"/>
    </row>
    <row r="56754" spans="43:43" x14ac:dyDescent="0.2">
      <c r="AQ56754" s="31"/>
    </row>
    <row r="56755" spans="43:43" x14ac:dyDescent="0.2">
      <c r="AQ56755" s="31"/>
    </row>
    <row r="56756" spans="43:43" x14ac:dyDescent="0.2">
      <c r="AQ56756" s="31"/>
    </row>
    <row r="56757" spans="43:43" x14ac:dyDescent="0.2">
      <c r="AQ56757" s="31"/>
    </row>
    <row r="56758" spans="43:43" x14ac:dyDescent="0.2">
      <c r="AQ56758" s="31"/>
    </row>
    <row r="56759" spans="43:43" x14ac:dyDescent="0.2">
      <c r="AQ56759" s="31"/>
    </row>
    <row r="56760" spans="43:43" x14ac:dyDescent="0.2">
      <c r="AQ56760" s="31"/>
    </row>
    <row r="56761" spans="43:43" x14ac:dyDescent="0.2">
      <c r="AQ56761" s="31"/>
    </row>
    <row r="56762" spans="43:43" x14ac:dyDescent="0.2">
      <c r="AQ56762" s="31"/>
    </row>
    <row r="56763" spans="43:43" x14ac:dyDescent="0.2">
      <c r="AQ56763" s="31"/>
    </row>
    <row r="56764" spans="43:43" x14ac:dyDescent="0.2">
      <c r="AQ56764" s="31"/>
    </row>
    <row r="56765" spans="43:43" x14ac:dyDescent="0.2">
      <c r="AQ56765" s="31"/>
    </row>
    <row r="56766" spans="43:43" x14ac:dyDescent="0.2">
      <c r="AQ56766" s="31"/>
    </row>
    <row r="56767" spans="43:43" x14ac:dyDescent="0.2">
      <c r="AQ56767" s="31"/>
    </row>
    <row r="56768" spans="43:43" x14ac:dyDescent="0.2">
      <c r="AQ56768" s="31"/>
    </row>
    <row r="56769" spans="43:43" x14ac:dyDescent="0.2">
      <c r="AQ56769" s="31"/>
    </row>
    <row r="56770" spans="43:43" x14ac:dyDescent="0.2">
      <c r="AQ56770" s="31"/>
    </row>
    <row r="56771" spans="43:43" x14ac:dyDescent="0.2">
      <c r="AQ56771" s="31"/>
    </row>
    <row r="56772" spans="43:43" x14ac:dyDescent="0.2">
      <c r="AQ56772" s="31"/>
    </row>
    <row r="56773" spans="43:43" x14ac:dyDescent="0.2">
      <c r="AQ56773" s="31"/>
    </row>
    <row r="56774" spans="43:43" x14ac:dyDescent="0.2">
      <c r="AQ56774" s="31"/>
    </row>
    <row r="56775" spans="43:43" x14ac:dyDescent="0.2">
      <c r="AQ56775" s="31"/>
    </row>
    <row r="56776" spans="43:43" x14ac:dyDescent="0.2">
      <c r="AQ56776" s="31"/>
    </row>
    <row r="56777" spans="43:43" x14ac:dyDescent="0.2">
      <c r="AQ56777" s="31"/>
    </row>
    <row r="56778" spans="43:43" x14ac:dyDescent="0.2">
      <c r="AQ56778" s="31"/>
    </row>
    <row r="56779" spans="43:43" x14ac:dyDescent="0.2">
      <c r="AQ56779" s="31"/>
    </row>
    <row r="56780" spans="43:43" x14ac:dyDescent="0.2">
      <c r="AQ56780" s="31"/>
    </row>
    <row r="56781" spans="43:43" x14ac:dyDescent="0.2">
      <c r="AQ56781" s="31"/>
    </row>
    <row r="56782" spans="43:43" x14ac:dyDescent="0.2">
      <c r="AQ56782" s="31"/>
    </row>
    <row r="56783" spans="43:43" x14ac:dyDescent="0.2">
      <c r="AQ56783" s="31"/>
    </row>
    <row r="56784" spans="43:43" x14ac:dyDescent="0.2">
      <c r="AQ56784" s="31"/>
    </row>
    <row r="56785" spans="43:43" x14ac:dyDescent="0.2">
      <c r="AQ56785" s="31"/>
    </row>
    <row r="56786" spans="43:43" x14ac:dyDescent="0.2">
      <c r="AQ56786" s="31"/>
    </row>
    <row r="56787" spans="43:43" x14ac:dyDescent="0.2">
      <c r="AQ56787" s="31"/>
    </row>
    <row r="56788" spans="43:43" x14ac:dyDescent="0.2">
      <c r="AQ56788" s="31"/>
    </row>
    <row r="56789" spans="43:43" x14ac:dyDescent="0.2">
      <c r="AQ56789" s="31"/>
    </row>
    <row r="56790" spans="43:43" x14ac:dyDescent="0.2">
      <c r="AQ56790" s="31"/>
    </row>
    <row r="56791" spans="43:43" x14ac:dyDescent="0.2">
      <c r="AQ56791" s="31"/>
    </row>
    <row r="56792" spans="43:43" x14ac:dyDescent="0.2">
      <c r="AQ56792" s="31"/>
    </row>
    <row r="56793" spans="43:43" x14ac:dyDescent="0.2">
      <c r="AQ56793" s="31"/>
    </row>
    <row r="56794" spans="43:43" x14ac:dyDescent="0.2">
      <c r="AQ56794" s="31"/>
    </row>
    <row r="56795" spans="43:43" x14ac:dyDescent="0.2">
      <c r="AQ56795" s="31"/>
    </row>
    <row r="56796" spans="43:43" x14ac:dyDescent="0.2">
      <c r="AQ56796" s="31"/>
    </row>
    <row r="56797" spans="43:43" x14ac:dyDescent="0.2">
      <c r="AQ56797" s="31"/>
    </row>
    <row r="56798" spans="43:43" x14ac:dyDescent="0.2">
      <c r="AQ56798" s="31"/>
    </row>
    <row r="56799" spans="43:43" x14ac:dyDescent="0.2">
      <c r="AQ56799" s="31"/>
    </row>
    <row r="56800" spans="43:43" x14ac:dyDescent="0.2">
      <c r="AQ56800" s="31"/>
    </row>
    <row r="56801" spans="43:43" x14ac:dyDescent="0.2">
      <c r="AQ56801" s="31"/>
    </row>
    <row r="56802" spans="43:43" x14ac:dyDescent="0.2">
      <c r="AQ56802" s="31"/>
    </row>
    <row r="56803" spans="43:43" x14ac:dyDescent="0.2">
      <c r="AQ56803" s="31"/>
    </row>
    <row r="56804" spans="43:43" x14ac:dyDescent="0.2">
      <c r="AQ56804" s="31"/>
    </row>
    <row r="56805" spans="43:43" x14ac:dyDescent="0.2">
      <c r="AQ56805" s="31"/>
    </row>
    <row r="56806" spans="43:43" x14ac:dyDescent="0.2">
      <c r="AQ56806" s="31"/>
    </row>
    <row r="56807" spans="43:43" x14ac:dyDescent="0.2">
      <c r="AQ56807" s="31"/>
    </row>
    <row r="56808" spans="43:43" x14ac:dyDescent="0.2">
      <c r="AQ56808" s="31"/>
    </row>
    <row r="56809" spans="43:43" x14ac:dyDescent="0.2">
      <c r="AQ56809" s="31"/>
    </row>
    <row r="56810" spans="43:43" x14ac:dyDescent="0.2">
      <c r="AQ56810" s="31"/>
    </row>
    <row r="56811" spans="43:43" x14ac:dyDescent="0.2">
      <c r="AQ56811" s="31"/>
    </row>
    <row r="56812" spans="43:43" x14ac:dyDescent="0.2">
      <c r="AQ56812" s="31"/>
    </row>
    <row r="56813" spans="43:43" x14ac:dyDescent="0.2">
      <c r="AQ56813" s="31"/>
    </row>
    <row r="56814" spans="43:43" x14ac:dyDescent="0.2">
      <c r="AQ56814" s="31"/>
    </row>
    <row r="56815" spans="43:43" x14ac:dyDescent="0.2">
      <c r="AQ56815" s="31"/>
    </row>
    <row r="56816" spans="43:43" x14ac:dyDescent="0.2">
      <c r="AQ56816" s="31"/>
    </row>
    <row r="56817" spans="43:43" x14ac:dyDescent="0.2">
      <c r="AQ56817" s="31"/>
    </row>
    <row r="56818" spans="43:43" x14ac:dyDescent="0.2">
      <c r="AQ56818" s="31"/>
    </row>
    <row r="56819" spans="43:43" x14ac:dyDescent="0.2">
      <c r="AQ56819" s="31"/>
    </row>
    <row r="56820" spans="43:43" x14ac:dyDescent="0.2">
      <c r="AQ56820" s="31"/>
    </row>
    <row r="56821" spans="43:43" x14ac:dyDescent="0.2">
      <c r="AQ56821" s="31"/>
    </row>
    <row r="56822" spans="43:43" x14ac:dyDescent="0.2">
      <c r="AQ56822" s="31"/>
    </row>
    <row r="56823" spans="43:43" x14ac:dyDescent="0.2">
      <c r="AQ56823" s="31"/>
    </row>
    <row r="56824" spans="43:43" x14ac:dyDescent="0.2">
      <c r="AQ56824" s="31"/>
    </row>
    <row r="56825" spans="43:43" x14ac:dyDescent="0.2">
      <c r="AQ56825" s="31"/>
    </row>
    <row r="56826" spans="43:43" x14ac:dyDescent="0.2">
      <c r="AQ56826" s="31"/>
    </row>
    <row r="56827" spans="43:43" x14ac:dyDescent="0.2">
      <c r="AQ56827" s="31"/>
    </row>
    <row r="56828" spans="43:43" x14ac:dyDescent="0.2">
      <c r="AQ56828" s="31"/>
    </row>
    <row r="56829" spans="43:43" x14ac:dyDescent="0.2">
      <c r="AQ56829" s="31"/>
    </row>
    <row r="56830" spans="43:43" x14ac:dyDescent="0.2">
      <c r="AQ56830" s="31"/>
    </row>
    <row r="56831" spans="43:43" x14ac:dyDescent="0.2">
      <c r="AQ56831" s="31"/>
    </row>
    <row r="56832" spans="43:43" x14ac:dyDescent="0.2">
      <c r="AQ56832" s="31"/>
    </row>
    <row r="56833" spans="43:43" x14ac:dyDescent="0.2">
      <c r="AQ56833" s="31"/>
    </row>
    <row r="56834" spans="43:43" x14ac:dyDescent="0.2">
      <c r="AQ56834" s="31"/>
    </row>
    <row r="56835" spans="43:43" x14ac:dyDescent="0.2">
      <c r="AQ56835" s="31"/>
    </row>
    <row r="56836" spans="43:43" x14ac:dyDescent="0.2">
      <c r="AQ56836" s="31"/>
    </row>
    <row r="56837" spans="43:43" x14ac:dyDescent="0.2">
      <c r="AQ56837" s="31"/>
    </row>
    <row r="56838" spans="43:43" x14ac:dyDescent="0.2">
      <c r="AQ56838" s="31"/>
    </row>
    <row r="56839" spans="43:43" x14ac:dyDescent="0.2">
      <c r="AQ56839" s="31"/>
    </row>
    <row r="56840" spans="43:43" x14ac:dyDescent="0.2">
      <c r="AQ56840" s="31"/>
    </row>
    <row r="56841" spans="43:43" x14ac:dyDescent="0.2">
      <c r="AQ56841" s="31"/>
    </row>
    <row r="56842" spans="43:43" x14ac:dyDescent="0.2">
      <c r="AQ56842" s="31"/>
    </row>
    <row r="56843" spans="43:43" x14ac:dyDescent="0.2">
      <c r="AQ56843" s="31"/>
    </row>
    <row r="56844" spans="43:43" x14ac:dyDescent="0.2">
      <c r="AQ56844" s="31"/>
    </row>
    <row r="56845" spans="43:43" x14ac:dyDescent="0.2">
      <c r="AQ56845" s="31"/>
    </row>
    <row r="56846" spans="43:43" x14ac:dyDescent="0.2">
      <c r="AQ56846" s="31"/>
    </row>
    <row r="56847" spans="43:43" x14ac:dyDescent="0.2">
      <c r="AQ56847" s="31"/>
    </row>
    <row r="56848" spans="43:43" x14ac:dyDescent="0.2">
      <c r="AQ56848" s="31"/>
    </row>
    <row r="56849" spans="43:43" x14ac:dyDescent="0.2">
      <c r="AQ56849" s="31"/>
    </row>
    <row r="56850" spans="43:43" x14ac:dyDescent="0.2">
      <c r="AQ56850" s="31"/>
    </row>
    <row r="56851" spans="43:43" x14ac:dyDescent="0.2">
      <c r="AQ56851" s="31"/>
    </row>
    <row r="56852" spans="43:43" x14ac:dyDescent="0.2">
      <c r="AQ56852" s="31"/>
    </row>
    <row r="56853" spans="43:43" x14ac:dyDescent="0.2">
      <c r="AQ56853" s="31"/>
    </row>
    <row r="56854" spans="43:43" x14ac:dyDescent="0.2">
      <c r="AQ56854" s="31"/>
    </row>
    <row r="56855" spans="43:43" x14ac:dyDescent="0.2">
      <c r="AQ56855" s="31"/>
    </row>
    <row r="56856" spans="43:43" x14ac:dyDescent="0.2">
      <c r="AQ56856" s="31"/>
    </row>
    <row r="56857" spans="43:43" x14ac:dyDescent="0.2">
      <c r="AQ56857" s="31"/>
    </row>
    <row r="56858" spans="43:43" x14ac:dyDescent="0.2">
      <c r="AQ56858" s="31"/>
    </row>
    <row r="56859" spans="43:43" x14ac:dyDescent="0.2">
      <c r="AQ56859" s="31"/>
    </row>
    <row r="56860" spans="43:43" x14ac:dyDescent="0.2">
      <c r="AQ56860" s="31"/>
    </row>
    <row r="56861" spans="43:43" x14ac:dyDescent="0.2">
      <c r="AQ56861" s="31"/>
    </row>
    <row r="56862" spans="43:43" x14ac:dyDescent="0.2">
      <c r="AQ56862" s="31"/>
    </row>
    <row r="56863" spans="43:43" x14ac:dyDescent="0.2">
      <c r="AQ56863" s="31"/>
    </row>
    <row r="56864" spans="43:43" x14ac:dyDescent="0.2">
      <c r="AQ56864" s="31"/>
    </row>
    <row r="56865" spans="43:43" x14ac:dyDescent="0.2">
      <c r="AQ56865" s="31"/>
    </row>
    <row r="56866" spans="43:43" x14ac:dyDescent="0.2">
      <c r="AQ56866" s="31"/>
    </row>
    <row r="56867" spans="43:43" x14ac:dyDescent="0.2">
      <c r="AQ56867" s="31"/>
    </row>
    <row r="56868" spans="43:43" x14ac:dyDescent="0.2">
      <c r="AQ56868" s="31"/>
    </row>
    <row r="56869" spans="43:43" x14ac:dyDescent="0.2">
      <c r="AQ56869" s="31"/>
    </row>
    <row r="56870" spans="43:43" x14ac:dyDescent="0.2">
      <c r="AQ56870" s="31"/>
    </row>
    <row r="56871" spans="43:43" x14ac:dyDescent="0.2">
      <c r="AQ56871" s="31"/>
    </row>
    <row r="56872" spans="43:43" x14ac:dyDescent="0.2">
      <c r="AQ56872" s="31"/>
    </row>
    <row r="56873" spans="43:43" x14ac:dyDescent="0.2">
      <c r="AQ56873" s="31"/>
    </row>
    <row r="56874" spans="43:43" x14ac:dyDescent="0.2">
      <c r="AQ56874" s="31"/>
    </row>
    <row r="56875" spans="43:43" x14ac:dyDescent="0.2">
      <c r="AQ56875" s="31"/>
    </row>
    <row r="56876" spans="43:43" x14ac:dyDescent="0.2">
      <c r="AQ56876" s="31"/>
    </row>
    <row r="56877" spans="43:43" x14ac:dyDescent="0.2">
      <c r="AQ56877" s="31"/>
    </row>
    <row r="56878" spans="43:43" x14ac:dyDescent="0.2">
      <c r="AQ56878" s="31"/>
    </row>
    <row r="56879" spans="43:43" x14ac:dyDescent="0.2">
      <c r="AQ56879" s="31"/>
    </row>
    <row r="56880" spans="43:43" x14ac:dyDescent="0.2">
      <c r="AQ56880" s="31"/>
    </row>
    <row r="56881" spans="43:43" x14ac:dyDescent="0.2">
      <c r="AQ56881" s="31"/>
    </row>
    <row r="56882" spans="43:43" x14ac:dyDescent="0.2">
      <c r="AQ56882" s="31"/>
    </row>
    <row r="56883" spans="43:43" x14ac:dyDescent="0.2">
      <c r="AQ56883" s="31"/>
    </row>
    <row r="56884" spans="43:43" x14ac:dyDescent="0.2">
      <c r="AQ56884" s="31"/>
    </row>
    <row r="56885" spans="43:43" x14ac:dyDescent="0.2">
      <c r="AQ56885" s="31"/>
    </row>
    <row r="56886" spans="43:43" x14ac:dyDescent="0.2">
      <c r="AQ56886" s="31"/>
    </row>
    <row r="56887" spans="43:43" x14ac:dyDescent="0.2">
      <c r="AQ56887" s="31"/>
    </row>
    <row r="56888" spans="43:43" x14ac:dyDescent="0.2">
      <c r="AQ56888" s="31"/>
    </row>
    <row r="56889" spans="43:43" x14ac:dyDescent="0.2">
      <c r="AQ56889" s="31"/>
    </row>
    <row r="56890" spans="43:43" x14ac:dyDescent="0.2">
      <c r="AQ56890" s="31"/>
    </row>
    <row r="56891" spans="43:43" x14ac:dyDescent="0.2">
      <c r="AQ56891" s="31"/>
    </row>
    <row r="56892" spans="43:43" x14ac:dyDescent="0.2">
      <c r="AQ56892" s="31"/>
    </row>
    <row r="56893" spans="43:43" x14ac:dyDescent="0.2">
      <c r="AQ56893" s="31"/>
    </row>
    <row r="56894" spans="43:43" x14ac:dyDescent="0.2">
      <c r="AQ56894" s="31"/>
    </row>
    <row r="56895" spans="43:43" x14ac:dyDescent="0.2">
      <c r="AQ56895" s="31"/>
    </row>
    <row r="56896" spans="43:43" x14ac:dyDescent="0.2">
      <c r="AQ56896" s="31"/>
    </row>
    <row r="56897" spans="43:43" x14ac:dyDescent="0.2">
      <c r="AQ56897" s="31"/>
    </row>
    <row r="56898" spans="43:43" x14ac:dyDescent="0.2">
      <c r="AQ56898" s="31"/>
    </row>
    <row r="56899" spans="43:43" x14ac:dyDescent="0.2">
      <c r="AQ56899" s="31"/>
    </row>
    <row r="56900" spans="43:43" x14ac:dyDescent="0.2">
      <c r="AQ56900" s="31"/>
    </row>
    <row r="56901" spans="43:43" x14ac:dyDescent="0.2">
      <c r="AQ56901" s="31"/>
    </row>
    <row r="56902" spans="43:43" x14ac:dyDescent="0.2">
      <c r="AQ56902" s="31"/>
    </row>
    <row r="56903" spans="43:43" x14ac:dyDescent="0.2">
      <c r="AQ56903" s="31"/>
    </row>
    <row r="56904" spans="43:43" x14ac:dyDescent="0.2">
      <c r="AQ56904" s="31"/>
    </row>
    <row r="56905" spans="43:43" x14ac:dyDescent="0.2">
      <c r="AQ56905" s="31"/>
    </row>
    <row r="56906" spans="43:43" x14ac:dyDescent="0.2">
      <c r="AQ56906" s="31"/>
    </row>
    <row r="56907" spans="43:43" x14ac:dyDescent="0.2">
      <c r="AQ56907" s="31"/>
    </row>
    <row r="56908" spans="43:43" x14ac:dyDescent="0.2">
      <c r="AQ56908" s="31"/>
    </row>
    <row r="56909" spans="43:43" x14ac:dyDescent="0.2">
      <c r="AQ56909" s="31"/>
    </row>
    <row r="56910" spans="43:43" x14ac:dyDescent="0.2">
      <c r="AQ56910" s="31"/>
    </row>
    <row r="56911" spans="43:43" x14ac:dyDescent="0.2">
      <c r="AQ56911" s="31"/>
    </row>
    <row r="56912" spans="43:43" x14ac:dyDescent="0.2">
      <c r="AQ56912" s="31"/>
    </row>
    <row r="56913" spans="43:43" x14ac:dyDescent="0.2">
      <c r="AQ56913" s="31"/>
    </row>
    <row r="56914" spans="43:43" x14ac:dyDescent="0.2">
      <c r="AQ56914" s="31"/>
    </row>
    <row r="56915" spans="43:43" x14ac:dyDescent="0.2">
      <c r="AQ56915" s="31"/>
    </row>
    <row r="56916" spans="43:43" x14ac:dyDescent="0.2">
      <c r="AQ56916" s="31"/>
    </row>
    <row r="56917" spans="43:43" x14ac:dyDescent="0.2">
      <c r="AQ56917" s="31"/>
    </row>
    <row r="56918" spans="43:43" x14ac:dyDescent="0.2">
      <c r="AQ56918" s="31"/>
    </row>
    <row r="56919" spans="43:43" x14ac:dyDescent="0.2">
      <c r="AQ56919" s="31"/>
    </row>
    <row r="56920" spans="43:43" x14ac:dyDescent="0.2">
      <c r="AQ56920" s="31"/>
    </row>
    <row r="56921" spans="43:43" x14ac:dyDescent="0.2">
      <c r="AQ56921" s="31"/>
    </row>
    <row r="56922" spans="43:43" x14ac:dyDescent="0.2">
      <c r="AQ56922" s="31"/>
    </row>
    <row r="56923" spans="43:43" x14ac:dyDescent="0.2">
      <c r="AQ56923" s="31"/>
    </row>
    <row r="56924" spans="43:43" x14ac:dyDescent="0.2">
      <c r="AQ56924" s="31"/>
    </row>
    <row r="56925" spans="43:43" x14ac:dyDescent="0.2">
      <c r="AQ56925" s="31"/>
    </row>
    <row r="56926" spans="43:43" x14ac:dyDescent="0.2">
      <c r="AQ56926" s="31"/>
    </row>
    <row r="56927" spans="43:43" x14ac:dyDescent="0.2">
      <c r="AQ56927" s="31"/>
    </row>
    <row r="56928" spans="43:43" x14ac:dyDescent="0.2">
      <c r="AQ56928" s="31"/>
    </row>
    <row r="56929" spans="43:43" x14ac:dyDescent="0.2">
      <c r="AQ56929" s="31"/>
    </row>
    <row r="56930" spans="43:43" x14ac:dyDescent="0.2">
      <c r="AQ56930" s="31"/>
    </row>
    <row r="56931" spans="43:43" x14ac:dyDescent="0.2">
      <c r="AQ56931" s="31"/>
    </row>
    <row r="56932" spans="43:43" x14ac:dyDescent="0.2">
      <c r="AQ56932" s="31"/>
    </row>
    <row r="56933" spans="43:43" x14ac:dyDescent="0.2">
      <c r="AQ56933" s="31"/>
    </row>
    <row r="56934" spans="43:43" x14ac:dyDescent="0.2">
      <c r="AQ56934" s="31"/>
    </row>
    <row r="56935" spans="43:43" x14ac:dyDescent="0.2">
      <c r="AQ56935" s="31"/>
    </row>
    <row r="56936" spans="43:43" x14ac:dyDescent="0.2">
      <c r="AQ56936" s="31"/>
    </row>
    <row r="56937" spans="43:43" x14ac:dyDescent="0.2">
      <c r="AQ56937" s="31"/>
    </row>
    <row r="56938" spans="43:43" x14ac:dyDescent="0.2">
      <c r="AQ56938" s="31"/>
    </row>
    <row r="56939" spans="43:43" x14ac:dyDescent="0.2">
      <c r="AQ56939" s="31"/>
    </row>
    <row r="56940" spans="43:43" x14ac:dyDescent="0.2">
      <c r="AQ56940" s="31"/>
    </row>
    <row r="56941" spans="43:43" x14ac:dyDescent="0.2">
      <c r="AQ56941" s="31"/>
    </row>
    <row r="56942" spans="43:43" x14ac:dyDescent="0.2">
      <c r="AQ56942" s="31"/>
    </row>
    <row r="56943" spans="43:43" x14ac:dyDescent="0.2">
      <c r="AQ56943" s="31"/>
    </row>
    <row r="56944" spans="43:43" x14ac:dyDescent="0.2">
      <c r="AQ56944" s="31"/>
    </row>
    <row r="56945" spans="43:43" x14ac:dyDescent="0.2">
      <c r="AQ56945" s="31"/>
    </row>
    <row r="56946" spans="43:43" x14ac:dyDescent="0.2">
      <c r="AQ56946" s="31"/>
    </row>
    <row r="56947" spans="43:43" x14ac:dyDescent="0.2">
      <c r="AQ56947" s="31"/>
    </row>
    <row r="56948" spans="43:43" x14ac:dyDescent="0.2">
      <c r="AQ56948" s="31"/>
    </row>
    <row r="56949" spans="43:43" x14ac:dyDescent="0.2">
      <c r="AQ56949" s="31"/>
    </row>
    <row r="56950" spans="43:43" x14ac:dyDescent="0.2">
      <c r="AQ56950" s="31"/>
    </row>
    <row r="56951" spans="43:43" x14ac:dyDescent="0.2">
      <c r="AQ56951" s="31"/>
    </row>
    <row r="56952" spans="43:43" x14ac:dyDescent="0.2">
      <c r="AQ56952" s="31"/>
    </row>
    <row r="56953" spans="43:43" x14ac:dyDescent="0.2">
      <c r="AQ56953" s="31"/>
    </row>
    <row r="56954" spans="43:43" x14ac:dyDescent="0.2">
      <c r="AQ56954" s="31"/>
    </row>
    <row r="56955" spans="43:43" x14ac:dyDescent="0.2">
      <c r="AQ56955" s="31"/>
    </row>
    <row r="56956" spans="43:43" x14ac:dyDescent="0.2">
      <c r="AQ56956" s="31"/>
    </row>
    <row r="56957" spans="43:43" x14ac:dyDescent="0.2">
      <c r="AQ56957" s="31"/>
    </row>
    <row r="56958" spans="43:43" x14ac:dyDescent="0.2">
      <c r="AQ56958" s="31"/>
    </row>
    <row r="56959" spans="43:43" x14ac:dyDescent="0.2">
      <c r="AQ56959" s="31"/>
    </row>
    <row r="56960" spans="43:43" x14ac:dyDescent="0.2">
      <c r="AQ56960" s="31"/>
    </row>
    <row r="56961" spans="43:43" x14ac:dyDescent="0.2">
      <c r="AQ56961" s="31"/>
    </row>
    <row r="56962" spans="43:43" x14ac:dyDescent="0.2">
      <c r="AQ56962" s="31"/>
    </row>
    <row r="56963" spans="43:43" x14ac:dyDescent="0.2">
      <c r="AQ56963" s="31"/>
    </row>
    <row r="56964" spans="43:43" x14ac:dyDescent="0.2">
      <c r="AQ56964" s="31"/>
    </row>
    <row r="56965" spans="43:43" x14ac:dyDescent="0.2">
      <c r="AQ56965" s="31"/>
    </row>
    <row r="56966" spans="43:43" x14ac:dyDescent="0.2">
      <c r="AQ56966" s="31"/>
    </row>
    <row r="56967" spans="43:43" x14ac:dyDescent="0.2">
      <c r="AQ56967" s="31"/>
    </row>
    <row r="56968" spans="43:43" x14ac:dyDescent="0.2">
      <c r="AQ56968" s="31"/>
    </row>
    <row r="56969" spans="43:43" x14ac:dyDescent="0.2">
      <c r="AQ56969" s="31"/>
    </row>
    <row r="56970" spans="43:43" x14ac:dyDescent="0.2">
      <c r="AQ56970" s="31"/>
    </row>
    <row r="56971" spans="43:43" x14ac:dyDescent="0.2">
      <c r="AQ56971" s="31"/>
    </row>
    <row r="56972" spans="43:43" x14ac:dyDescent="0.2">
      <c r="AQ56972" s="31"/>
    </row>
    <row r="56973" spans="43:43" x14ac:dyDescent="0.2">
      <c r="AQ56973" s="31"/>
    </row>
    <row r="56974" spans="43:43" x14ac:dyDescent="0.2">
      <c r="AQ56974" s="31"/>
    </row>
    <row r="56975" spans="43:43" x14ac:dyDescent="0.2">
      <c r="AQ56975" s="31"/>
    </row>
    <row r="56976" spans="43:43" x14ac:dyDescent="0.2">
      <c r="AQ56976" s="31"/>
    </row>
    <row r="56977" spans="43:43" x14ac:dyDescent="0.2">
      <c r="AQ56977" s="31"/>
    </row>
    <row r="56978" spans="43:43" x14ac:dyDescent="0.2">
      <c r="AQ56978" s="31"/>
    </row>
    <row r="56979" spans="43:43" x14ac:dyDescent="0.2">
      <c r="AQ56979" s="31"/>
    </row>
    <row r="56980" spans="43:43" x14ac:dyDescent="0.2">
      <c r="AQ56980" s="31"/>
    </row>
    <row r="56981" spans="43:43" x14ac:dyDescent="0.2">
      <c r="AQ56981" s="31"/>
    </row>
    <row r="56982" spans="43:43" x14ac:dyDescent="0.2">
      <c r="AQ56982" s="31"/>
    </row>
    <row r="56983" spans="43:43" x14ac:dyDescent="0.2">
      <c r="AQ56983" s="31"/>
    </row>
    <row r="56984" spans="43:43" x14ac:dyDescent="0.2">
      <c r="AQ56984" s="31"/>
    </row>
    <row r="56985" spans="43:43" x14ac:dyDescent="0.2">
      <c r="AQ56985" s="31"/>
    </row>
    <row r="56986" spans="43:43" x14ac:dyDescent="0.2">
      <c r="AQ56986" s="31"/>
    </row>
    <row r="56987" spans="43:43" x14ac:dyDescent="0.2">
      <c r="AQ56987" s="31"/>
    </row>
    <row r="56988" spans="43:43" x14ac:dyDescent="0.2">
      <c r="AQ56988" s="31"/>
    </row>
    <row r="56989" spans="43:43" x14ac:dyDescent="0.2">
      <c r="AQ56989" s="31"/>
    </row>
    <row r="56990" spans="43:43" x14ac:dyDescent="0.2">
      <c r="AQ56990" s="31"/>
    </row>
    <row r="56991" spans="43:43" x14ac:dyDescent="0.2">
      <c r="AQ56991" s="31"/>
    </row>
    <row r="56992" spans="43:43" x14ac:dyDescent="0.2">
      <c r="AQ56992" s="31"/>
    </row>
    <row r="56993" spans="43:43" x14ac:dyDescent="0.2">
      <c r="AQ56993" s="31"/>
    </row>
    <row r="56994" spans="43:43" x14ac:dyDescent="0.2">
      <c r="AQ56994" s="31"/>
    </row>
    <row r="56995" spans="43:43" x14ac:dyDescent="0.2">
      <c r="AQ56995" s="31"/>
    </row>
    <row r="56996" spans="43:43" x14ac:dyDescent="0.2">
      <c r="AQ56996" s="31"/>
    </row>
    <row r="56997" spans="43:43" x14ac:dyDescent="0.2">
      <c r="AQ56997" s="31"/>
    </row>
    <row r="56998" spans="43:43" x14ac:dyDescent="0.2">
      <c r="AQ56998" s="31"/>
    </row>
    <row r="56999" spans="43:43" x14ac:dyDescent="0.2">
      <c r="AQ56999" s="31"/>
    </row>
    <row r="57000" spans="43:43" x14ac:dyDescent="0.2">
      <c r="AQ57000" s="31"/>
    </row>
    <row r="57001" spans="43:43" x14ac:dyDescent="0.2">
      <c r="AQ57001" s="31"/>
    </row>
    <row r="57002" spans="43:43" x14ac:dyDescent="0.2">
      <c r="AQ57002" s="31"/>
    </row>
    <row r="57003" spans="43:43" x14ac:dyDescent="0.2">
      <c r="AQ57003" s="31"/>
    </row>
    <row r="57004" spans="43:43" x14ac:dyDescent="0.2">
      <c r="AQ57004" s="31"/>
    </row>
    <row r="57005" spans="43:43" x14ac:dyDescent="0.2">
      <c r="AQ57005" s="31"/>
    </row>
    <row r="57006" spans="43:43" x14ac:dyDescent="0.2">
      <c r="AQ57006" s="31"/>
    </row>
    <row r="57007" spans="43:43" x14ac:dyDescent="0.2">
      <c r="AQ57007" s="31"/>
    </row>
    <row r="57008" spans="43:43" x14ac:dyDescent="0.2">
      <c r="AQ57008" s="31"/>
    </row>
    <row r="57009" spans="43:43" x14ac:dyDescent="0.2">
      <c r="AQ57009" s="31"/>
    </row>
    <row r="57010" spans="43:43" x14ac:dyDescent="0.2">
      <c r="AQ57010" s="31"/>
    </row>
    <row r="57011" spans="43:43" x14ac:dyDescent="0.2">
      <c r="AQ57011" s="31"/>
    </row>
    <row r="57012" spans="43:43" x14ac:dyDescent="0.2">
      <c r="AQ57012" s="31"/>
    </row>
    <row r="57013" spans="43:43" x14ac:dyDescent="0.2">
      <c r="AQ57013" s="31"/>
    </row>
    <row r="57014" spans="43:43" x14ac:dyDescent="0.2">
      <c r="AQ57014" s="31"/>
    </row>
    <row r="57015" spans="43:43" x14ac:dyDescent="0.2">
      <c r="AQ57015" s="31"/>
    </row>
    <row r="57016" spans="43:43" x14ac:dyDescent="0.2">
      <c r="AQ57016" s="31"/>
    </row>
    <row r="57017" spans="43:43" x14ac:dyDescent="0.2">
      <c r="AQ57017" s="31"/>
    </row>
    <row r="57018" spans="43:43" x14ac:dyDescent="0.2">
      <c r="AQ57018" s="31"/>
    </row>
    <row r="57019" spans="43:43" x14ac:dyDescent="0.2">
      <c r="AQ57019" s="31"/>
    </row>
    <row r="57020" spans="43:43" x14ac:dyDescent="0.2">
      <c r="AQ57020" s="31"/>
    </row>
    <row r="57021" spans="43:43" x14ac:dyDescent="0.2">
      <c r="AQ57021" s="31"/>
    </row>
    <row r="57022" spans="43:43" x14ac:dyDescent="0.2">
      <c r="AQ57022" s="31"/>
    </row>
    <row r="57023" spans="43:43" x14ac:dyDescent="0.2">
      <c r="AQ57023" s="31"/>
    </row>
    <row r="57024" spans="43:43" x14ac:dyDescent="0.2">
      <c r="AQ57024" s="31"/>
    </row>
    <row r="57025" spans="43:43" x14ac:dyDescent="0.2">
      <c r="AQ57025" s="31"/>
    </row>
    <row r="57026" spans="43:43" x14ac:dyDescent="0.2">
      <c r="AQ57026" s="31"/>
    </row>
    <row r="57027" spans="43:43" x14ac:dyDescent="0.2">
      <c r="AQ57027" s="31"/>
    </row>
    <row r="57028" spans="43:43" x14ac:dyDescent="0.2">
      <c r="AQ57028" s="31"/>
    </row>
    <row r="57029" spans="43:43" x14ac:dyDescent="0.2">
      <c r="AQ57029" s="31"/>
    </row>
    <row r="57030" spans="43:43" x14ac:dyDescent="0.2">
      <c r="AQ57030" s="31"/>
    </row>
    <row r="57031" spans="43:43" x14ac:dyDescent="0.2">
      <c r="AQ57031" s="31"/>
    </row>
    <row r="57032" spans="43:43" x14ac:dyDescent="0.2">
      <c r="AQ57032" s="31"/>
    </row>
    <row r="57033" spans="43:43" x14ac:dyDescent="0.2">
      <c r="AQ57033" s="31"/>
    </row>
    <row r="57034" spans="43:43" x14ac:dyDescent="0.2">
      <c r="AQ57034" s="31"/>
    </row>
    <row r="57035" spans="43:43" x14ac:dyDescent="0.2">
      <c r="AQ57035" s="31"/>
    </row>
    <row r="57036" spans="43:43" x14ac:dyDescent="0.2">
      <c r="AQ57036" s="31"/>
    </row>
    <row r="57037" spans="43:43" x14ac:dyDescent="0.2">
      <c r="AQ57037" s="31"/>
    </row>
    <row r="57038" spans="43:43" x14ac:dyDescent="0.2">
      <c r="AQ57038" s="31"/>
    </row>
    <row r="57039" spans="43:43" x14ac:dyDescent="0.2">
      <c r="AQ57039" s="31"/>
    </row>
    <row r="57040" spans="43:43" x14ac:dyDescent="0.2">
      <c r="AQ57040" s="31"/>
    </row>
    <row r="57041" spans="43:43" x14ac:dyDescent="0.2">
      <c r="AQ57041" s="31"/>
    </row>
    <row r="57042" spans="43:43" x14ac:dyDescent="0.2">
      <c r="AQ57042" s="31"/>
    </row>
    <row r="57043" spans="43:43" x14ac:dyDescent="0.2">
      <c r="AQ57043" s="31"/>
    </row>
    <row r="57044" spans="43:43" x14ac:dyDescent="0.2">
      <c r="AQ57044" s="31"/>
    </row>
    <row r="57045" spans="43:43" x14ac:dyDescent="0.2">
      <c r="AQ57045" s="31"/>
    </row>
    <row r="57046" spans="43:43" x14ac:dyDescent="0.2">
      <c r="AQ57046" s="31"/>
    </row>
    <row r="57047" spans="43:43" x14ac:dyDescent="0.2">
      <c r="AQ57047" s="31"/>
    </row>
    <row r="57048" spans="43:43" x14ac:dyDescent="0.2">
      <c r="AQ57048" s="31"/>
    </row>
    <row r="57049" spans="43:43" x14ac:dyDescent="0.2">
      <c r="AQ57049" s="31"/>
    </row>
    <row r="57050" spans="43:43" x14ac:dyDescent="0.2">
      <c r="AQ57050" s="31"/>
    </row>
    <row r="57051" spans="43:43" x14ac:dyDescent="0.2">
      <c r="AQ57051" s="31"/>
    </row>
    <row r="57052" spans="43:43" x14ac:dyDescent="0.2">
      <c r="AQ57052" s="31"/>
    </row>
    <row r="57053" spans="43:43" x14ac:dyDescent="0.2">
      <c r="AQ57053" s="31"/>
    </row>
    <row r="57054" spans="43:43" x14ac:dyDescent="0.2">
      <c r="AQ57054" s="31"/>
    </row>
    <row r="57055" spans="43:43" x14ac:dyDescent="0.2">
      <c r="AQ57055" s="31"/>
    </row>
    <row r="57056" spans="43:43" x14ac:dyDescent="0.2">
      <c r="AQ57056" s="31"/>
    </row>
    <row r="57057" spans="43:43" x14ac:dyDescent="0.2">
      <c r="AQ57057" s="31"/>
    </row>
    <row r="57058" spans="43:43" x14ac:dyDescent="0.2">
      <c r="AQ57058" s="31"/>
    </row>
    <row r="57059" spans="43:43" x14ac:dyDescent="0.2">
      <c r="AQ57059" s="31"/>
    </row>
    <row r="57060" spans="43:43" x14ac:dyDescent="0.2">
      <c r="AQ57060" s="31"/>
    </row>
    <row r="57061" spans="43:43" x14ac:dyDescent="0.2">
      <c r="AQ57061" s="31"/>
    </row>
    <row r="57062" spans="43:43" x14ac:dyDescent="0.2">
      <c r="AQ57062" s="31"/>
    </row>
    <row r="57063" spans="43:43" x14ac:dyDescent="0.2">
      <c r="AQ57063" s="31"/>
    </row>
    <row r="57064" spans="43:43" x14ac:dyDescent="0.2">
      <c r="AQ57064" s="31"/>
    </row>
    <row r="57065" spans="43:43" x14ac:dyDescent="0.2">
      <c r="AQ57065" s="31"/>
    </row>
    <row r="57066" spans="43:43" x14ac:dyDescent="0.2">
      <c r="AQ57066" s="31"/>
    </row>
    <row r="57067" spans="43:43" x14ac:dyDescent="0.2">
      <c r="AQ57067" s="31"/>
    </row>
    <row r="57068" spans="43:43" x14ac:dyDescent="0.2">
      <c r="AQ57068" s="31"/>
    </row>
    <row r="57069" spans="43:43" x14ac:dyDescent="0.2">
      <c r="AQ57069" s="31"/>
    </row>
    <row r="57070" spans="43:43" x14ac:dyDescent="0.2">
      <c r="AQ57070" s="31"/>
    </row>
    <row r="57071" spans="43:43" x14ac:dyDescent="0.2">
      <c r="AQ57071" s="31"/>
    </row>
    <row r="57072" spans="43:43" x14ac:dyDescent="0.2">
      <c r="AQ57072" s="31"/>
    </row>
    <row r="57073" spans="43:43" x14ac:dyDescent="0.2">
      <c r="AQ57073" s="31"/>
    </row>
    <row r="57074" spans="43:43" x14ac:dyDescent="0.2">
      <c r="AQ57074" s="31"/>
    </row>
    <row r="57075" spans="43:43" x14ac:dyDescent="0.2">
      <c r="AQ57075" s="31"/>
    </row>
    <row r="57076" spans="43:43" x14ac:dyDescent="0.2">
      <c r="AQ57076" s="31"/>
    </row>
    <row r="57077" spans="43:43" x14ac:dyDescent="0.2">
      <c r="AQ57077" s="31"/>
    </row>
    <row r="57078" spans="43:43" x14ac:dyDescent="0.2">
      <c r="AQ57078" s="31"/>
    </row>
    <row r="57079" spans="43:43" x14ac:dyDescent="0.2">
      <c r="AQ57079" s="31"/>
    </row>
    <row r="57080" spans="43:43" x14ac:dyDescent="0.2">
      <c r="AQ57080" s="31"/>
    </row>
    <row r="57081" spans="43:43" x14ac:dyDescent="0.2">
      <c r="AQ57081" s="31"/>
    </row>
    <row r="57082" spans="43:43" x14ac:dyDescent="0.2">
      <c r="AQ57082" s="31"/>
    </row>
    <row r="57083" spans="43:43" x14ac:dyDescent="0.2">
      <c r="AQ57083" s="31"/>
    </row>
    <row r="57084" spans="43:43" x14ac:dyDescent="0.2">
      <c r="AQ57084" s="31"/>
    </row>
    <row r="57085" spans="43:43" x14ac:dyDescent="0.2">
      <c r="AQ57085" s="31"/>
    </row>
    <row r="57086" spans="43:43" x14ac:dyDescent="0.2">
      <c r="AQ57086" s="31"/>
    </row>
    <row r="57087" spans="43:43" x14ac:dyDescent="0.2">
      <c r="AQ57087" s="31"/>
    </row>
    <row r="57088" spans="43:43" x14ac:dyDescent="0.2">
      <c r="AQ57088" s="31"/>
    </row>
    <row r="57089" spans="43:43" x14ac:dyDescent="0.2">
      <c r="AQ57089" s="31"/>
    </row>
    <row r="57090" spans="43:43" x14ac:dyDescent="0.2">
      <c r="AQ57090" s="31"/>
    </row>
    <row r="57091" spans="43:43" x14ac:dyDescent="0.2">
      <c r="AQ57091" s="31"/>
    </row>
    <row r="57092" spans="43:43" x14ac:dyDescent="0.2">
      <c r="AQ57092" s="31"/>
    </row>
    <row r="57093" spans="43:43" x14ac:dyDescent="0.2">
      <c r="AQ57093" s="31"/>
    </row>
    <row r="57094" spans="43:43" x14ac:dyDescent="0.2">
      <c r="AQ57094" s="31"/>
    </row>
    <row r="57095" spans="43:43" x14ac:dyDescent="0.2">
      <c r="AQ57095" s="31"/>
    </row>
    <row r="57096" spans="43:43" x14ac:dyDescent="0.2">
      <c r="AQ57096" s="31"/>
    </row>
    <row r="57097" spans="43:43" x14ac:dyDescent="0.2">
      <c r="AQ57097" s="31"/>
    </row>
    <row r="57098" spans="43:43" x14ac:dyDescent="0.2">
      <c r="AQ57098" s="31"/>
    </row>
    <row r="57099" spans="43:43" x14ac:dyDescent="0.2">
      <c r="AQ57099" s="31"/>
    </row>
    <row r="57100" spans="43:43" x14ac:dyDescent="0.2">
      <c r="AQ57100" s="31"/>
    </row>
    <row r="57101" spans="43:43" x14ac:dyDescent="0.2">
      <c r="AQ57101" s="31"/>
    </row>
    <row r="57102" spans="43:43" x14ac:dyDescent="0.2">
      <c r="AQ57102" s="31"/>
    </row>
    <row r="57103" spans="43:43" x14ac:dyDescent="0.2">
      <c r="AQ57103" s="31"/>
    </row>
    <row r="57104" spans="43:43" x14ac:dyDescent="0.2">
      <c r="AQ57104" s="31"/>
    </row>
    <row r="57105" spans="43:43" x14ac:dyDescent="0.2">
      <c r="AQ57105" s="31"/>
    </row>
    <row r="57106" spans="43:43" x14ac:dyDescent="0.2">
      <c r="AQ57106" s="31"/>
    </row>
    <row r="57107" spans="43:43" x14ac:dyDescent="0.2">
      <c r="AQ57107" s="31"/>
    </row>
    <row r="57108" spans="43:43" x14ac:dyDescent="0.2">
      <c r="AQ57108" s="31"/>
    </row>
    <row r="57109" spans="43:43" x14ac:dyDescent="0.2">
      <c r="AQ57109" s="31"/>
    </row>
    <row r="57110" spans="43:43" x14ac:dyDescent="0.2">
      <c r="AQ57110" s="31"/>
    </row>
    <row r="57111" spans="43:43" x14ac:dyDescent="0.2">
      <c r="AQ57111" s="31"/>
    </row>
    <row r="57112" spans="43:43" x14ac:dyDescent="0.2">
      <c r="AQ57112" s="31"/>
    </row>
    <row r="57113" spans="43:43" x14ac:dyDescent="0.2">
      <c r="AQ57113" s="31"/>
    </row>
    <row r="57114" spans="43:43" x14ac:dyDescent="0.2">
      <c r="AQ57114" s="31"/>
    </row>
    <row r="57115" spans="43:43" x14ac:dyDescent="0.2">
      <c r="AQ57115" s="31"/>
    </row>
    <row r="57116" spans="43:43" x14ac:dyDescent="0.2">
      <c r="AQ57116" s="31"/>
    </row>
    <row r="57117" spans="43:43" x14ac:dyDescent="0.2">
      <c r="AQ57117" s="31"/>
    </row>
    <row r="57118" spans="43:43" x14ac:dyDescent="0.2">
      <c r="AQ57118" s="31"/>
    </row>
    <row r="57119" spans="43:43" x14ac:dyDescent="0.2">
      <c r="AQ57119" s="31"/>
    </row>
    <row r="57120" spans="43:43" x14ac:dyDescent="0.2">
      <c r="AQ57120" s="31"/>
    </row>
    <row r="57121" spans="43:43" x14ac:dyDescent="0.2">
      <c r="AQ57121" s="31"/>
    </row>
    <row r="57122" spans="43:43" x14ac:dyDescent="0.2">
      <c r="AQ57122" s="31"/>
    </row>
    <row r="57123" spans="43:43" x14ac:dyDescent="0.2">
      <c r="AQ57123" s="31"/>
    </row>
    <row r="57124" spans="43:43" x14ac:dyDescent="0.2">
      <c r="AQ57124" s="31"/>
    </row>
    <row r="57125" spans="43:43" x14ac:dyDescent="0.2">
      <c r="AQ57125" s="31"/>
    </row>
    <row r="57126" spans="43:43" x14ac:dyDescent="0.2">
      <c r="AQ57126" s="31"/>
    </row>
    <row r="57127" spans="43:43" x14ac:dyDescent="0.2">
      <c r="AQ57127" s="31"/>
    </row>
    <row r="57128" spans="43:43" x14ac:dyDescent="0.2">
      <c r="AQ57128" s="31"/>
    </row>
    <row r="57129" spans="43:43" x14ac:dyDescent="0.2">
      <c r="AQ57129" s="31"/>
    </row>
    <row r="57130" spans="43:43" x14ac:dyDescent="0.2">
      <c r="AQ57130" s="31"/>
    </row>
    <row r="57131" spans="43:43" x14ac:dyDescent="0.2">
      <c r="AQ57131" s="31"/>
    </row>
    <row r="57132" spans="43:43" x14ac:dyDescent="0.2">
      <c r="AQ57132" s="31"/>
    </row>
    <row r="57133" spans="43:43" x14ac:dyDescent="0.2">
      <c r="AQ57133" s="31"/>
    </row>
    <row r="57134" spans="43:43" x14ac:dyDescent="0.2">
      <c r="AQ57134" s="31"/>
    </row>
    <row r="57135" spans="43:43" x14ac:dyDescent="0.2">
      <c r="AQ57135" s="31"/>
    </row>
    <row r="57136" spans="43:43" x14ac:dyDescent="0.2">
      <c r="AQ57136" s="31"/>
    </row>
    <row r="57137" spans="43:43" x14ac:dyDescent="0.2">
      <c r="AQ57137" s="31"/>
    </row>
    <row r="57138" spans="43:43" x14ac:dyDescent="0.2">
      <c r="AQ57138" s="31"/>
    </row>
    <row r="57139" spans="43:43" x14ac:dyDescent="0.2">
      <c r="AQ57139" s="31"/>
    </row>
    <row r="57140" spans="43:43" x14ac:dyDescent="0.2">
      <c r="AQ57140" s="31"/>
    </row>
    <row r="57141" spans="43:43" x14ac:dyDescent="0.2">
      <c r="AQ57141" s="31"/>
    </row>
    <row r="57142" spans="43:43" x14ac:dyDescent="0.2">
      <c r="AQ57142" s="31"/>
    </row>
    <row r="57143" spans="43:43" x14ac:dyDescent="0.2">
      <c r="AQ57143" s="31"/>
    </row>
    <row r="57144" spans="43:43" x14ac:dyDescent="0.2">
      <c r="AQ57144" s="31"/>
    </row>
    <row r="57145" spans="43:43" x14ac:dyDescent="0.2">
      <c r="AQ57145" s="31"/>
    </row>
    <row r="57146" spans="43:43" x14ac:dyDescent="0.2">
      <c r="AQ57146" s="31"/>
    </row>
    <row r="57147" spans="43:43" x14ac:dyDescent="0.2">
      <c r="AQ57147" s="31"/>
    </row>
    <row r="57148" spans="43:43" x14ac:dyDescent="0.2">
      <c r="AQ57148" s="31"/>
    </row>
    <row r="57149" spans="43:43" x14ac:dyDescent="0.2">
      <c r="AQ57149" s="31"/>
    </row>
    <row r="57150" spans="43:43" x14ac:dyDescent="0.2">
      <c r="AQ57150" s="31"/>
    </row>
    <row r="57151" spans="43:43" x14ac:dyDescent="0.2">
      <c r="AQ57151" s="31"/>
    </row>
    <row r="57152" spans="43:43" x14ac:dyDescent="0.2">
      <c r="AQ57152" s="31"/>
    </row>
    <row r="57153" spans="43:43" x14ac:dyDescent="0.2">
      <c r="AQ57153" s="31"/>
    </row>
    <row r="57154" spans="43:43" x14ac:dyDescent="0.2">
      <c r="AQ57154" s="31"/>
    </row>
    <row r="57155" spans="43:43" x14ac:dyDescent="0.2">
      <c r="AQ57155" s="31"/>
    </row>
    <row r="57156" spans="43:43" x14ac:dyDescent="0.2">
      <c r="AQ57156" s="31"/>
    </row>
    <row r="57157" spans="43:43" x14ac:dyDescent="0.2">
      <c r="AQ57157" s="31"/>
    </row>
    <row r="57158" spans="43:43" x14ac:dyDescent="0.2">
      <c r="AQ57158" s="31"/>
    </row>
    <row r="57159" spans="43:43" x14ac:dyDescent="0.2">
      <c r="AQ57159" s="31"/>
    </row>
    <row r="57160" spans="43:43" x14ac:dyDescent="0.2">
      <c r="AQ57160" s="31"/>
    </row>
    <row r="57161" spans="43:43" x14ac:dyDescent="0.2">
      <c r="AQ57161" s="31"/>
    </row>
    <row r="57162" spans="43:43" x14ac:dyDescent="0.2">
      <c r="AQ57162" s="31"/>
    </row>
    <row r="57163" spans="43:43" x14ac:dyDescent="0.2">
      <c r="AQ57163" s="31"/>
    </row>
    <row r="57164" spans="43:43" x14ac:dyDescent="0.2">
      <c r="AQ57164" s="31"/>
    </row>
    <row r="57165" spans="43:43" x14ac:dyDescent="0.2">
      <c r="AQ57165" s="31"/>
    </row>
    <row r="57166" spans="43:43" x14ac:dyDescent="0.2">
      <c r="AQ57166" s="31"/>
    </row>
    <row r="57167" spans="43:43" x14ac:dyDescent="0.2">
      <c r="AQ57167" s="31"/>
    </row>
    <row r="57168" spans="43:43" x14ac:dyDescent="0.2">
      <c r="AQ57168" s="31"/>
    </row>
    <row r="57169" spans="43:43" x14ac:dyDescent="0.2">
      <c r="AQ57169" s="31"/>
    </row>
    <row r="57170" spans="43:43" x14ac:dyDescent="0.2">
      <c r="AQ57170" s="31"/>
    </row>
    <row r="57171" spans="43:43" x14ac:dyDescent="0.2">
      <c r="AQ57171" s="31"/>
    </row>
    <row r="57172" spans="43:43" x14ac:dyDescent="0.2">
      <c r="AQ57172" s="31"/>
    </row>
    <row r="57173" spans="43:43" x14ac:dyDescent="0.2">
      <c r="AQ57173" s="31"/>
    </row>
    <row r="57174" spans="43:43" x14ac:dyDescent="0.2">
      <c r="AQ57174" s="31"/>
    </row>
    <row r="57175" spans="43:43" x14ac:dyDescent="0.2">
      <c r="AQ57175" s="31"/>
    </row>
    <row r="57176" spans="43:43" x14ac:dyDescent="0.2">
      <c r="AQ57176" s="31"/>
    </row>
    <row r="57177" spans="43:43" x14ac:dyDescent="0.2">
      <c r="AQ57177" s="31"/>
    </row>
    <row r="57178" spans="43:43" x14ac:dyDescent="0.2">
      <c r="AQ57178" s="31"/>
    </row>
    <row r="57179" spans="43:43" x14ac:dyDescent="0.2">
      <c r="AQ57179" s="31"/>
    </row>
    <row r="57180" spans="43:43" x14ac:dyDescent="0.2">
      <c r="AQ57180" s="31"/>
    </row>
    <row r="57181" spans="43:43" x14ac:dyDescent="0.2">
      <c r="AQ57181" s="31"/>
    </row>
    <row r="57182" spans="43:43" x14ac:dyDescent="0.2">
      <c r="AQ57182" s="31"/>
    </row>
    <row r="57183" spans="43:43" x14ac:dyDescent="0.2">
      <c r="AQ57183" s="31"/>
    </row>
    <row r="57184" spans="43:43" x14ac:dyDescent="0.2">
      <c r="AQ57184" s="31"/>
    </row>
    <row r="57185" spans="43:43" x14ac:dyDescent="0.2">
      <c r="AQ57185" s="31"/>
    </row>
    <row r="57186" spans="43:43" x14ac:dyDescent="0.2">
      <c r="AQ57186" s="31"/>
    </row>
    <row r="57187" spans="43:43" x14ac:dyDescent="0.2">
      <c r="AQ57187" s="31"/>
    </row>
    <row r="57188" spans="43:43" x14ac:dyDescent="0.2">
      <c r="AQ57188" s="31"/>
    </row>
    <row r="57189" spans="43:43" x14ac:dyDescent="0.2">
      <c r="AQ57189" s="31"/>
    </row>
    <row r="57190" spans="43:43" x14ac:dyDescent="0.2">
      <c r="AQ57190" s="31"/>
    </row>
    <row r="57191" spans="43:43" x14ac:dyDescent="0.2">
      <c r="AQ57191" s="31"/>
    </row>
    <row r="57192" spans="43:43" x14ac:dyDescent="0.2">
      <c r="AQ57192" s="31"/>
    </row>
    <row r="57193" spans="43:43" x14ac:dyDescent="0.2">
      <c r="AQ57193" s="31"/>
    </row>
    <row r="57194" spans="43:43" x14ac:dyDescent="0.2">
      <c r="AQ57194" s="31"/>
    </row>
    <row r="57195" spans="43:43" x14ac:dyDescent="0.2">
      <c r="AQ57195" s="31"/>
    </row>
    <row r="57196" spans="43:43" x14ac:dyDescent="0.2">
      <c r="AQ57196" s="31"/>
    </row>
    <row r="57197" spans="43:43" x14ac:dyDescent="0.2">
      <c r="AQ57197" s="31"/>
    </row>
    <row r="57198" spans="43:43" x14ac:dyDescent="0.2">
      <c r="AQ57198" s="31"/>
    </row>
    <row r="57199" spans="43:43" x14ac:dyDescent="0.2">
      <c r="AQ57199" s="31"/>
    </row>
    <row r="57200" spans="43:43" x14ac:dyDescent="0.2">
      <c r="AQ57200" s="31"/>
    </row>
    <row r="57201" spans="43:43" x14ac:dyDescent="0.2">
      <c r="AQ57201" s="31"/>
    </row>
    <row r="57202" spans="43:43" x14ac:dyDescent="0.2">
      <c r="AQ57202" s="31"/>
    </row>
    <row r="57203" spans="43:43" x14ac:dyDescent="0.2">
      <c r="AQ57203" s="31"/>
    </row>
    <row r="57204" spans="43:43" x14ac:dyDescent="0.2">
      <c r="AQ57204" s="31"/>
    </row>
    <row r="57205" spans="43:43" x14ac:dyDescent="0.2">
      <c r="AQ57205" s="31"/>
    </row>
    <row r="57206" spans="43:43" x14ac:dyDescent="0.2">
      <c r="AQ57206" s="31"/>
    </row>
    <row r="57207" spans="43:43" x14ac:dyDescent="0.2">
      <c r="AQ57207" s="31"/>
    </row>
    <row r="57208" spans="43:43" x14ac:dyDescent="0.2">
      <c r="AQ57208" s="31"/>
    </row>
    <row r="57209" spans="43:43" x14ac:dyDescent="0.2">
      <c r="AQ57209" s="31"/>
    </row>
    <row r="57210" spans="43:43" x14ac:dyDescent="0.2">
      <c r="AQ57210" s="31"/>
    </row>
    <row r="57211" spans="43:43" x14ac:dyDescent="0.2">
      <c r="AQ57211" s="31"/>
    </row>
    <row r="57212" spans="43:43" x14ac:dyDescent="0.2">
      <c r="AQ57212" s="31"/>
    </row>
    <row r="57213" spans="43:43" x14ac:dyDescent="0.2">
      <c r="AQ57213" s="31"/>
    </row>
    <row r="57214" spans="43:43" x14ac:dyDescent="0.2">
      <c r="AQ57214" s="31"/>
    </row>
    <row r="57215" spans="43:43" x14ac:dyDescent="0.2">
      <c r="AQ57215" s="31"/>
    </row>
    <row r="57216" spans="43:43" x14ac:dyDescent="0.2">
      <c r="AQ57216" s="31"/>
    </row>
    <row r="57217" spans="43:43" x14ac:dyDescent="0.2">
      <c r="AQ57217" s="31"/>
    </row>
    <row r="57218" spans="43:43" x14ac:dyDescent="0.2">
      <c r="AQ57218" s="31"/>
    </row>
    <row r="57219" spans="43:43" x14ac:dyDescent="0.2">
      <c r="AQ57219" s="31"/>
    </row>
    <row r="57220" spans="43:43" x14ac:dyDescent="0.2">
      <c r="AQ57220" s="31"/>
    </row>
    <row r="57221" spans="43:43" x14ac:dyDescent="0.2">
      <c r="AQ57221" s="31"/>
    </row>
    <row r="57222" spans="43:43" x14ac:dyDescent="0.2">
      <c r="AQ57222" s="31"/>
    </row>
    <row r="57223" spans="43:43" x14ac:dyDescent="0.2">
      <c r="AQ57223" s="31"/>
    </row>
    <row r="57224" spans="43:43" x14ac:dyDescent="0.2">
      <c r="AQ57224" s="31"/>
    </row>
    <row r="57225" spans="43:43" x14ac:dyDescent="0.2">
      <c r="AQ57225" s="31"/>
    </row>
    <row r="57226" spans="43:43" x14ac:dyDescent="0.2">
      <c r="AQ57226" s="31"/>
    </row>
    <row r="57227" spans="43:43" x14ac:dyDescent="0.2">
      <c r="AQ57227" s="31"/>
    </row>
    <row r="57228" spans="43:43" x14ac:dyDescent="0.2">
      <c r="AQ57228" s="31"/>
    </row>
    <row r="57229" spans="43:43" x14ac:dyDescent="0.2">
      <c r="AQ57229" s="31"/>
    </row>
    <row r="57230" spans="43:43" x14ac:dyDescent="0.2">
      <c r="AQ57230" s="31"/>
    </row>
    <row r="57231" spans="43:43" x14ac:dyDescent="0.2">
      <c r="AQ57231" s="31"/>
    </row>
    <row r="57232" spans="43:43" x14ac:dyDescent="0.2">
      <c r="AQ57232" s="31"/>
    </row>
    <row r="57233" spans="43:43" x14ac:dyDescent="0.2">
      <c r="AQ57233" s="31"/>
    </row>
    <row r="57234" spans="43:43" x14ac:dyDescent="0.2">
      <c r="AQ57234" s="31"/>
    </row>
    <row r="57235" spans="43:43" x14ac:dyDescent="0.2">
      <c r="AQ57235" s="31"/>
    </row>
    <row r="57236" spans="43:43" x14ac:dyDescent="0.2">
      <c r="AQ57236" s="31"/>
    </row>
    <row r="57237" spans="43:43" x14ac:dyDescent="0.2">
      <c r="AQ57237" s="31"/>
    </row>
    <row r="57238" spans="43:43" x14ac:dyDescent="0.2">
      <c r="AQ57238" s="31"/>
    </row>
    <row r="57239" spans="43:43" x14ac:dyDescent="0.2">
      <c r="AQ57239" s="31"/>
    </row>
    <row r="57240" spans="43:43" x14ac:dyDescent="0.2">
      <c r="AQ57240" s="31"/>
    </row>
    <row r="57241" spans="43:43" x14ac:dyDescent="0.2">
      <c r="AQ57241" s="31"/>
    </row>
    <row r="57242" spans="43:43" x14ac:dyDescent="0.2">
      <c r="AQ57242" s="31"/>
    </row>
    <row r="57243" spans="43:43" x14ac:dyDescent="0.2">
      <c r="AQ57243" s="31"/>
    </row>
    <row r="57244" spans="43:43" x14ac:dyDescent="0.2">
      <c r="AQ57244" s="31"/>
    </row>
    <row r="57245" spans="43:43" x14ac:dyDescent="0.2">
      <c r="AQ57245" s="31"/>
    </row>
    <row r="57246" spans="43:43" x14ac:dyDescent="0.2">
      <c r="AQ57246" s="31"/>
    </row>
    <row r="57247" spans="43:43" x14ac:dyDescent="0.2">
      <c r="AQ57247" s="31"/>
    </row>
    <row r="57248" spans="43:43" x14ac:dyDescent="0.2">
      <c r="AQ57248" s="31"/>
    </row>
    <row r="57249" spans="43:43" x14ac:dyDescent="0.2">
      <c r="AQ57249" s="31"/>
    </row>
    <row r="57250" spans="43:43" x14ac:dyDescent="0.2">
      <c r="AQ57250" s="31"/>
    </row>
    <row r="57251" spans="43:43" x14ac:dyDescent="0.2">
      <c r="AQ57251" s="31"/>
    </row>
    <row r="57252" spans="43:43" x14ac:dyDescent="0.2">
      <c r="AQ57252" s="31"/>
    </row>
    <row r="57253" spans="43:43" x14ac:dyDescent="0.2">
      <c r="AQ57253" s="31"/>
    </row>
    <row r="57254" spans="43:43" x14ac:dyDescent="0.2">
      <c r="AQ57254" s="31"/>
    </row>
    <row r="57255" spans="43:43" x14ac:dyDescent="0.2">
      <c r="AQ57255" s="31"/>
    </row>
    <row r="57256" spans="43:43" x14ac:dyDescent="0.2">
      <c r="AQ57256" s="31"/>
    </row>
    <row r="57257" spans="43:43" x14ac:dyDescent="0.2">
      <c r="AQ57257" s="31"/>
    </row>
    <row r="57258" spans="43:43" x14ac:dyDescent="0.2">
      <c r="AQ57258" s="31"/>
    </row>
    <row r="57259" spans="43:43" x14ac:dyDescent="0.2">
      <c r="AQ57259" s="31"/>
    </row>
    <row r="57260" spans="43:43" x14ac:dyDescent="0.2">
      <c r="AQ57260" s="31"/>
    </row>
    <row r="57261" spans="43:43" x14ac:dyDescent="0.2">
      <c r="AQ57261" s="31"/>
    </row>
    <row r="57262" spans="43:43" x14ac:dyDescent="0.2">
      <c r="AQ57262" s="31"/>
    </row>
    <row r="57263" spans="43:43" x14ac:dyDescent="0.2">
      <c r="AQ57263" s="31"/>
    </row>
    <row r="57264" spans="43:43" x14ac:dyDescent="0.2">
      <c r="AQ57264" s="31"/>
    </row>
    <row r="57265" spans="43:43" x14ac:dyDescent="0.2">
      <c r="AQ57265" s="31"/>
    </row>
    <row r="57266" spans="43:43" x14ac:dyDescent="0.2">
      <c r="AQ57266" s="31"/>
    </row>
    <row r="57267" spans="43:43" x14ac:dyDescent="0.2">
      <c r="AQ57267" s="31"/>
    </row>
    <row r="57268" spans="43:43" x14ac:dyDescent="0.2">
      <c r="AQ57268" s="31"/>
    </row>
    <row r="57269" spans="43:43" x14ac:dyDescent="0.2">
      <c r="AQ57269" s="31"/>
    </row>
    <row r="57270" spans="43:43" x14ac:dyDescent="0.2">
      <c r="AQ57270" s="31"/>
    </row>
    <row r="57271" spans="43:43" x14ac:dyDescent="0.2">
      <c r="AQ57271" s="31"/>
    </row>
    <row r="57272" spans="43:43" x14ac:dyDescent="0.2">
      <c r="AQ57272" s="31"/>
    </row>
    <row r="57273" spans="43:43" x14ac:dyDescent="0.2">
      <c r="AQ57273" s="31"/>
    </row>
    <row r="57274" spans="43:43" x14ac:dyDescent="0.2">
      <c r="AQ57274" s="31"/>
    </row>
    <row r="57275" spans="43:43" x14ac:dyDescent="0.2">
      <c r="AQ57275" s="31"/>
    </row>
    <row r="57276" spans="43:43" x14ac:dyDescent="0.2">
      <c r="AQ57276" s="31"/>
    </row>
    <row r="57277" spans="43:43" x14ac:dyDescent="0.2">
      <c r="AQ57277" s="31"/>
    </row>
    <row r="57278" spans="43:43" x14ac:dyDescent="0.2">
      <c r="AQ57278" s="31"/>
    </row>
    <row r="57279" spans="43:43" x14ac:dyDescent="0.2">
      <c r="AQ57279" s="31"/>
    </row>
    <row r="57280" spans="43:43" x14ac:dyDescent="0.2">
      <c r="AQ57280" s="31"/>
    </row>
    <row r="57281" spans="43:43" x14ac:dyDescent="0.2">
      <c r="AQ57281" s="31"/>
    </row>
    <row r="57282" spans="43:43" x14ac:dyDescent="0.2">
      <c r="AQ57282" s="31"/>
    </row>
    <row r="57283" spans="43:43" x14ac:dyDescent="0.2">
      <c r="AQ57283" s="31"/>
    </row>
    <row r="57284" spans="43:43" x14ac:dyDescent="0.2">
      <c r="AQ57284" s="31"/>
    </row>
    <row r="57285" spans="43:43" x14ac:dyDescent="0.2">
      <c r="AQ57285" s="31"/>
    </row>
    <row r="57286" spans="43:43" x14ac:dyDescent="0.2">
      <c r="AQ57286" s="31"/>
    </row>
    <row r="57287" spans="43:43" x14ac:dyDescent="0.2">
      <c r="AQ57287" s="31"/>
    </row>
    <row r="57288" spans="43:43" x14ac:dyDescent="0.2">
      <c r="AQ57288" s="31"/>
    </row>
    <row r="57289" spans="43:43" x14ac:dyDescent="0.2">
      <c r="AQ57289" s="31"/>
    </row>
    <row r="57290" spans="43:43" x14ac:dyDescent="0.2">
      <c r="AQ57290" s="31"/>
    </row>
    <row r="57291" spans="43:43" x14ac:dyDescent="0.2">
      <c r="AQ57291" s="31"/>
    </row>
    <row r="57292" spans="43:43" x14ac:dyDescent="0.2">
      <c r="AQ57292" s="31"/>
    </row>
    <row r="57293" spans="43:43" x14ac:dyDescent="0.2">
      <c r="AQ57293" s="31"/>
    </row>
    <row r="57294" spans="43:43" x14ac:dyDescent="0.2">
      <c r="AQ57294" s="31"/>
    </row>
    <row r="57295" spans="43:43" x14ac:dyDescent="0.2">
      <c r="AQ57295" s="31"/>
    </row>
    <row r="57296" spans="43:43" x14ac:dyDescent="0.2">
      <c r="AQ57296" s="31"/>
    </row>
    <row r="57297" spans="43:43" x14ac:dyDescent="0.2">
      <c r="AQ57297" s="31"/>
    </row>
    <row r="57298" spans="43:43" x14ac:dyDescent="0.2">
      <c r="AQ57298" s="31"/>
    </row>
    <row r="57299" spans="43:43" x14ac:dyDescent="0.2">
      <c r="AQ57299" s="31"/>
    </row>
    <row r="57300" spans="43:43" x14ac:dyDescent="0.2">
      <c r="AQ57300" s="31"/>
    </row>
    <row r="57301" spans="43:43" x14ac:dyDescent="0.2">
      <c r="AQ57301" s="31"/>
    </row>
    <row r="57302" spans="43:43" x14ac:dyDescent="0.2">
      <c r="AQ57302" s="31"/>
    </row>
    <row r="57303" spans="43:43" x14ac:dyDescent="0.2">
      <c r="AQ57303" s="31"/>
    </row>
    <row r="57304" spans="43:43" x14ac:dyDescent="0.2">
      <c r="AQ57304" s="31"/>
    </row>
    <row r="57305" spans="43:43" x14ac:dyDescent="0.2">
      <c r="AQ57305" s="31"/>
    </row>
    <row r="57306" spans="43:43" x14ac:dyDescent="0.2">
      <c r="AQ57306" s="31"/>
    </row>
    <row r="57307" spans="43:43" x14ac:dyDescent="0.2">
      <c r="AQ57307" s="31"/>
    </row>
    <row r="57308" spans="43:43" x14ac:dyDescent="0.2">
      <c r="AQ57308" s="31"/>
    </row>
    <row r="57309" spans="43:43" x14ac:dyDescent="0.2">
      <c r="AQ57309" s="31"/>
    </row>
    <row r="57310" spans="43:43" x14ac:dyDescent="0.2">
      <c r="AQ57310" s="31"/>
    </row>
    <row r="57311" spans="43:43" x14ac:dyDescent="0.2">
      <c r="AQ57311" s="31"/>
    </row>
    <row r="57312" spans="43:43" x14ac:dyDescent="0.2">
      <c r="AQ57312" s="31"/>
    </row>
    <row r="57313" spans="43:43" x14ac:dyDescent="0.2">
      <c r="AQ57313" s="31"/>
    </row>
    <row r="57314" spans="43:43" x14ac:dyDescent="0.2">
      <c r="AQ57314" s="31"/>
    </row>
    <row r="57315" spans="43:43" x14ac:dyDescent="0.2">
      <c r="AQ57315" s="31"/>
    </row>
    <row r="57316" spans="43:43" x14ac:dyDescent="0.2">
      <c r="AQ57316" s="31"/>
    </row>
    <row r="57317" spans="43:43" x14ac:dyDescent="0.2">
      <c r="AQ57317" s="31"/>
    </row>
    <row r="57318" spans="43:43" x14ac:dyDescent="0.2">
      <c r="AQ57318" s="31"/>
    </row>
    <row r="57319" spans="43:43" x14ac:dyDescent="0.2">
      <c r="AQ57319" s="31"/>
    </row>
    <row r="57320" spans="43:43" x14ac:dyDescent="0.2">
      <c r="AQ57320" s="31"/>
    </row>
    <row r="57321" spans="43:43" x14ac:dyDescent="0.2">
      <c r="AQ57321" s="31"/>
    </row>
    <row r="57322" spans="43:43" x14ac:dyDescent="0.2">
      <c r="AQ57322" s="31"/>
    </row>
    <row r="57323" spans="43:43" x14ac:dyDescent="0.2">
      <c r="AQ57323" s="31"/>
    </row>
    <row r="57324" spans="43:43" x14ac:dyDescent="0.2">
      <c r="AQ57324" s="31"/>
    </row>
    <row r="57325" spans="43:43" x14ac:dyDescent="0.2">
      <c r="AQ57325" s="31"/>
    </row>
    <row r="57326" spans="43:43" x14ac:dyDescent="0.2">
      <c r="AQ57326" s="31"/>
    </row>
    <row r="57327" spans="43:43" x14ac:dyDescent="0.2">
      <c r="AQ57327" s="31"/>
    </row>
    <row r="57328" spans="43:43" x14ac:dyDescent="0.2">
      <c r="AQ57328" s="31"/>
    </row>
    <row r="57329" spans="43:43" x14ac:dyDescent="0.2">
      <c r="AQ57329" s="31"/>
    </row>
    <row r="57330" spans="43:43" x14ac:dyDescent="0.2">
      <c r="AQ57330" s="31"/>
    </row>
    <row r="57331" spans="43:43" x14ac:dyDescent="0.2">
      <c r="AQ57331" s="31"/>
    </row>
    <row r="57332" spans="43:43" x14ac:dyDescent="0.2">
      <c r="AQ57332" s="31"/>
    </row>
    <row r="57333" spans="43:43" x14ac:dyDescent="0.2">
      <c r="AQ57333" s="31"/>
    </row>
    <row r="57334" spans="43:43" x14ac:dyDescent="0.2">
      <c r="AQ57334" s="31"/>
    </row>
    <row r="57335" spans="43:43" x14ac:dyDescent="0.2">
      <c r="AQ57335" s="31"/>
    </row>
    <row r="57336" spans="43:43" x14ac:dyDescent="0.2">
      <c r="AQ57336" s="31"/>
    </row>
    <row r="57337" spans="43:43" x14ac:dyDescent="0.2">
      <c r="AQ57337" s="31"/>
    </row>
    <row r="57338" spans="43:43" x14ac:dyDescent="0.2">
      <c r="AQ57338" s="31"/>
    </row>
    <row r="57339" spans="43:43" x14ac:dyDescent="0.2">
      <c r="AQ57339" s="31"/>
    </row>
    <row r="57340" spans="43:43" x14ac:dyDescent="0.2">
      <c r="AQ57340" s="31"/>
    </row>
    <row r="57341" spans="43:43" x14ac:dyDescent="0.2">
      <c r="AQ57341" s="31"/>
    </row>
    <row r="57342" spans="43:43" x14ac:dyDescent="0.2">
      <c r="AQ57342" s="31"/>
    </row>
    <row r="57343" spans="43:43" x14ac:dyDescent="0.2">
      <c r="AQ57343" s="31"/>
    </row>
    <row r="57344" spans="43:43" x14ac:dyDescent="0.2">
      <c r="AQ57344" s="31"/>
    </row>
    <row r="57345" spans="43:43" x14ac:dyDescent="0.2">
      <c r="AQ57345" s="31"/>
    </row>
    <row r="57346" spans="43:43" x14ac:dyDescent="0.2">
      <c r="AQ57346" s="31"/>
    </row>
    <row r="57347" spans="43:43" x14ac:dyDescent="0.2">
      <c r="AQ57347" s="31"/>
    </row>
    <row r="57348" spans="43:43" x14ac:dyDescent="0.2">
      <c r="AQ57348" s="31"/>
    </row>
    <row r="57349" spans="43:43" x14ac:dyDescent="0.2">
      <c r="AQ57349" s="31"/>
    </row>
    <row r="57350" spans="43:43" x14ac:dyDescent="0.2">
      <c r="AQ57350" s="31"/>
    </row>
    <row r="57351" spans="43:43" x14ac:dyDescent="0.2">
      <c r="AQ57351" s="31"/>
    </row>
    <row r="57352" spans="43:43" x14ac:dyDescent="0.2">
      <c r="AQ57352" s="31"/>
    </row>
    <row r="57353" spans="43:43" x14ac:dyDescent="0.2">
      <c r="AQ57353" s="31"/>
    </row>
    <row r="57354" spans="43:43" x14ac:dyDescent="0.2">
      <c r="AQ57354" s="31"/>
    </row>
    <row r="57355" spans="43:43" x14ac:dyDescent="0.2">
      <c r="AQ57355" s="31"/>
    </row>
    <row r="57356" spans="43:43" x14ac:dyDescent="0.2">
      <c r="AQ57356" s="31"/>
    </row>
    <row r="57357" spans="43:43" x14ac:dyDescent="0.2">
      <c r="AQ57357" s="31"/>
    </row>
    <row r="57358" spans="43:43" x14ac:dyDescent="0.2">
      <c r="AQ57358" s="31"/>
    </row>
    <row r="57359" spans="43:43" x14ac:dyDescent="0.2">
      <c r="AQ57359" s="31"/>
    </row>
    <row r="57360" spans="43:43" x14ac:dyDescent="0.2">
      <c r="AQ57360" s="31"/>
    </row>
    <row r="57361" spans="43:43" x14ac:dyDescent="0.2">
      <c r="AQ57361" s="31"/>
    </row>
    <row r="57362" spans="43:43" x14ac:dyDescent="0.2">
      <c r="AQ57362" s="31"/>
    </row>
    <row r="57363" spans="43:43" x14ac:dyDescent="0.2">
      <c r="AQ57363" s="31"/>
    </row>
    <row r="57364" spans="43:43" x14ac:dyDescent="0.2">
      <c r="AQ57364" s="31"/>
    </row>
    <row r="57365" spans="43:43" x14ac:dyDescent="0.2">
      <c r="AQ57365" s="31"/>
    </row>
    <row r="57366" spans="43:43" x14ac:dyDescent="0.2">
      <c r="AQ57366" s="31"/>
    </row>
    <row r="57367" spans="43:43" x14ac:dyDescent="0.2">
      <c r="AQ57367" s="31"/>
    </row>
    <row r="57368" spans="43:43" x14ac:dyDescent="0.2">
      <c r="AQ57368" s="31"/>
    </row>
    <row r="57369" spans="43:43" x14ac:dyDescent="0.2">
      <c r="AQ57369" s="31"/>
    </row>
    <row r="57370" spans="43:43" x14ac:dyDescent="0.2">
      <c r="AQ57370" s="31"/>
    </row>
    <row r="57371" spans="43:43" x14ac:dyDescent="0.2">
      <c r="AQ57371" s="31"/>
    </row>
    <row r="57372" spans="43:43" x14ac:dyDescent="0.2">
      <c r="AQ57372" s="31"/>
    </row>
    <row r="57373" spans="43:43" x14ac:dyDescent="0.2">
      <c r="AQ57373" s="31"/>
    </row>
    <row r="57374" spans="43:43" x14ac:dyDescent="0.2">
      <c r="AQ57374" s="31"/>
    </row>
    <row r="57375" spans="43:43" x14ac:dyDescent="0.2">
      <c r="AQ57375" s="31"/>
    </row>
    <row r="57376" spans="43:43" x14ac:dyDescent="0.2">
      <c r="AQ57376" s="31"/>
    </row>
    <row r="57377" spans="43:43" x14ac:dyDescent="0.2">
      <c r="AQ57377" s="31"/>
    </row>
    <row r="57378" spans="43:43" x14ac:dyDescent="0.2">
      <c r="AQ57378" s="31"/>
    </row>
    <row r="57379" spans="43:43" x14ac:dyDescent="0.2">
      <c r="AQ57379" s="31"/>
    </row>
    <row r="57380" spans="43:43" x14ac:dyDescent="0.2">
      <c r="AQ57380" s="31"/>
    </row>
    <row r="57381" spans="43:43" x14ac:dyDescent="0.2">
      <c r="AQ57381" s="31"/>
    </row>
    <row r="57382" spans="43:43" x14ac:dyDescent="0.2">
      <c r="AQ57382" s="31"/>
    </row>
    <row r="57383" spans="43:43" x14ac:dyDescent="0.2">
      <c r="AQ57383" s="31"/>
    </row>
    <row r="57384" spans="43:43" x14ac:dyDescent="0.2">
      <c r="AQ57384" s="31"/>
    </row>
    <row r="57385" spans="43:43" x14ac:dyDescent="0.2">
      <c r="AQ57385" s="31"/>
    </row>
    <row r="57386" spans="43:43" x14ac:dyDescent="0.2">
      <c r="AQ57386" s="31"/>
    </row>
    <row r="57387" spans="43:43" x14ac:dyDescent="0.2">
      <c r="AQ57387" s="31"/>
    </row>
    <row r="57388" spans="43:43" x14ac:dyDescent="0.2">
      <c r="AQ57388" s="31"/>
    </row>
    <row r="57389" spans="43:43" x14ac:dyDescent="0.2">
      <c r="AQ57389" s="31"/>
    </row>
    <row r="57390" spans="43:43" x14ac:dyDescent="0.2">
      <c r="AQ57390" s="31"/>
    </row>
    <row r="57391" spans="43:43" x14ac:dyDescent="0.2">
      <c r="AQ57391" s="31"/>
    </row>
    <row r="57392" spans="43:43" x14ac:dyDescent="0.2">
      <c r="AQ57392" s="31"/>
    </row>
    <row r="57393" spans="43:43" x14ac:dyDescent="0.2">
      <c r="AQ57393" s="31"/>
    </row>
    <row r="57394" spans="43:43" x14ac:dyDescent="0.2">
      <c r="AQ57394" s="31"/>
    </row>
    <row r="57395" spans="43:43" x14ac:dyDescent="0.2">
      <c r="AQ57395" s="31"/>
    </row>
    <row r="57396" spans="43:43" x14ac:dyDescent="0.2">
      <c r="AQ57396" s="31"/>
    </row>
    <row r="57397" spans="43:43" x14ac:dyDescent="0.2">
      <c r="AQ57397" s="31"/>
    </row>
    <row r="57398" spans="43:43" x14ac:dyDescent="0.2">
      <c r="AQ57398" s="31"/>
    </row>
    <row r="57399" spans="43:43" x14ac:dyDescent="0.2">
      <c r="AQ57399" s="31"/>
    </row>
    <row r="57400" spans="43:43" x14ac:dyDescent="0.2">
      <c r="AQ57400" s="31"/>
    </row>
    <row r="57401" spans="43:43" x14ac:dyDescent="0.2">
      <c r="AQ57401" s="31"/>
    </row>
    <row r="57402" spans="43:43" x14ac:dyDescent="0.2">
      <c r="AQ57402" s="31"/>
    </row>
    <row r="57403" spans="43:43" x14ac:dyDescent="0.2">
      <c r="AQ57403" s="31"/>
    </row>
    <row r="57404" spans="43:43" x14ac:dyDescent="0.2">
      <c r="AQ57404" s="31"/>
    </row>
    <row r="57405" spans="43:43" x14ac:dyDescent="0.2">
      <c r="AQ57405" s="31"/>
    </row>
    <row r="57406" spans="43:43" x14ac:dyDescent="0.2">
      <c r="AQ57406" s="31"/>
    </row>
    <row r="57407" spans="43:43" x14ac:dyDescent="0.2">
      <c r="AQ57407" s="31"/>
    </row>
    <row r="57408" spans="43:43" x14ac:dyDescent="0.2">
      <c r="AQ57408" s="31"/>
    </row>
    <row r="57409" spans="43:43" x14ac:dyDescent="0.2">
      <c r="AQ57409" s="31"/>
    </row>
    <row r="57410" spans="43:43" x14ac:dyDescent="0.2">
      <c r="AQ57410" s="31"/>
    </row>
    <row r="57411" spans="43:43" x14ac:dyDescent="0.2">
      <c r="AQ57411" s="31"/>
    </row>
    <row r="57412" spans="43:43" x14ac:dyDescent="0.2">
      <c r="AQ57412" s="31"/>
    </row>
    <row r="57413" spans="43:43" x14ac:dyDescent="0.2">
      <c r="AQ57413" s="31"/>
    </row>
    <row r="57414" spans="43:43" x14ac:dyDescent="0.2">
      <c r="AQ57414" s="31"/>
    </row>
    <row r="57415" spans="43:43" x14ac:dyDescent="0.2">
      <c r="AQ57415" s="31"/>
    </row>
    <row r="57416" spans="43:43" x14ac:dyDescent="0.2">
      <c r="AQ57416" s="31"/>
    </row>
    <row r="57417" spans="43:43" x14ac:dyDescent="0.2">
      <c r="AQ57417" s="31"/>
    </row>
    <row r="57418" spans="43:43" x14ac:dyDescent="0.2">
      <c r="AQ57418" s="31"/>
    </row>
    <row r="57419" spans="43:43" x14ac:dyDescent="0.2">
      <c r="AQ57419" s="31"/>
    </row>
    <row r="57420" spans="43:43" x14ac:dyDescent="0.2">
      <c r="AQ57420" s="31"/>
    </row>
    <row r="57421" spans="43:43" x14ac:dyDescent="0.2">
      <c r="AQ57421" s="31"/>
    </row>
    <row r="57422" spans="43:43" x14ac:dyDescent="0.2">
      <c r="AQ57422" s="31"/>
    </row>
    <row r="57423" spans="43:43" x14ac:dyDescent="0.2">
      <c r="AQ57423" s="31"/>
    </row>
    <row r="57424" spans="43:43" x14ac:dyDescent="0.2">
      <c r="AQ57424" s="31"/>
    </row>
    <row r="57425" spans="43:43" x14ac:dyDescent="0.2">
      <c r="AQ57425" s="31"/>
    </row>
    <row r="57426" spans="43:43" x14ac:dyDescent="0.2">
      <c r="AQ57426" s="31"/>
    </row>
    <row r="57427" spans="43:43" x14ac:dyDescent="0.2">
      <c r="AQ57427" s="31"/>
    </row>
    <row r="57428" spans="43:43" x14ac:dyDescent="0.2">
      <c r="AQ57428" s="31"/>
    </row>
    <row r="57429" spans="43:43" x14ac:dyDescent="0.2">
      <c r="AQ57429" s="31"/>
    </row>
    <row r="57430" spans="43:43" x14ac:dyDescent="0.2">
      <c r="AQ57430" s="31"/>
    </row>
    <row r="57431" spans="43:43" x14ac:dyDescent="0.2">
      <c r="AQ57431" s="31"/>
    </row>
    <row r="57432" spans="43:43" x14ac:dyDescent="0.2">
      <c r="AQ57432" s="31"/>
    </row>
    <row r="57433" spans="43:43" x14ac:dyDescent="0.2">
      <c r="AQ57433" s="31"/>
    </row>
    <row r="57434" spans="43:43" x14ac:dyDescent="0.2">
      <c r="AQ57434" s="31"/>
    </row>
    <row r="57435" spans="43:43" x14ac:dyDescent="0.2">
      <c r="AQ57435" s="31"/>
    </row>
    <row r="57436" spans="43:43" x14ac:dyDescent="0.2">
      <c r="AQ57436" s="31"/>
    </row>
    <row r="57437" spans="43:43" x14ac:dyDescent="0.2">
      <c r="AQ57437" s="31"/>
    </row>
    <row r="57438" spans="43:43" x14ac:dyDescent="0.2">
      <c r="AQ57438" s="31"/>
    </row>
    <row r="57439" spans="43:43" x14ac:dyDescent="0.2">
      <c r="AQ57439" s="31"/>
    </row>
    <row r="57440" spans="43:43" x14ac:dyDescent="0.2">
      <c r="AQ57440" s="31"/>
    </row>
    <row r="57441" spans="43:43" x14ac:dyDescent="0.2">
      <c r="AQ57441" s="31"/>
    </row>
    <row r="57442" spans="43:43" x14ac:dyDescent="0.2">
      <c r="AQ57442" s="31"/>
    </row>
    <row r="57443" spans="43:43" x14ac:dyDescent="0.2">
      <c r="AQ57443" s="31"/>
    </row>
    <row r="57444" spans="43:43" x14ac:dyDescent="0.2">
      <c r="AQ57444" s="31"/>
    </row>
    <row r="57445" spans="43:43" x14ac:dyDescent="0.2">
      <c r="AQ57445" s="31"/>
    </row>
    <row r="57446" spans="43:43" x14ac:dyDescent="0.2">
      <c r="AQ57446" s="31"/>
    </row>
    <row r="57447" spans="43:43" x14ac:dyDescent="0.2">
      <c r="AQ57447" s="31"/>
    </row>
    <row r="57448" spans="43:43" x14ac:dyDescent="0.2">
      <c r="AQ57448" s="31"/>
    </row>
    <row r="57449" spans="43:43" x14ac:dyDescent="0.2">
      <c r="AQ57449" s="31"/>
    </row>
    <row r="57450" spans="43:43" x14ac:dyDescent="0.2">
      <c r="AQ57450" s="31"/>
    </row>
    <row r="57451" spans="43:43" x14ac:dyDescent="0.2">
      <c r="AQ57451" s="31"/>
    </row>
    <row r="57452" spans="43:43" x14ac:dyDescent="0.2">
      <c r="AQ57452" s="31"/>
    </row>
    <row r="57453" spans="43:43" x14ac:dyDescent="0.2">
      <c r="AQ57453" s="31"/>
    </row>
    <row r="57454" spans="43:43" x14ac:dyDescent="0.2">
      <c r="AQ57454" s="31"/>
    </row>
    <row r="57455" spans="43:43" x14ac:dyDescent="0.2">
      <c r="AQ57455" s="31"/>
    </row>
    <row r="57456" spans="43:43" x14ac:dyDescent="0.2">
      <c r="AQ57456" s="31"/>
    </row>
    <row r="57457" spans="43:43" x14ac:dyDescent="0.2">
      <c r="AQ57457" s="31"/>
    </row>
    <row r="57458" spans="43:43" x14ac:dyDescent="0.2">
      <c r="AQ57458" s="31"/>
    </row>
    <row r="57459" spans="43:43" x14ac:dyDescent="0.2">
      <c r="AQ57459" s="31"/>
    </row>
    <row r="57460" spans="43:43" x14ac:dyDescent="0.2">
      <c r="AQ57460" s="31"/>
    </row>
    <row r="57461" spans="43:43" x14ac:dyDescent="0.2">
      <c r="AQ57461" s="31"/>
    </row>
    <row r="57462" spans="43:43" x14ac:dyDescent="0.2">
      <c r="AQ57462" s="31"/>
    </row>
    <row r="57463" spans="43:43" x14ac:dyDescent="0.2">
      <c r="AQ57463" s="31"/>
    </row>
    <row r="57464" spans="43:43" x14ac:dyDescent="0.2">
      <c r="AQ57464" s="31"/>
    </row>
    <row r="57465" spans="43:43" x14ac:dyDescent="0.2">
      <c r="AQ57465" s="31"/>
    </row>
    <row r="57466" spans="43:43" x14ac:dyDescent="0.2">
      <c r="AQ57466" s="31"/>
    </row>
    <row r="57467" spans="43:43" x14ac:dyDescent="0.2">
      <c r="AQ57467" s="31"/>
    </row>
    <row r="57468" spans="43:43" x14ac:dyDescent="0.2">
      <c r="AQ57468" s="31"/>
    </row>
    <row r="57469" spans="43:43" x14ac:dyDescent="0.2">
      <c r="AQ57469" s="31"/>
    </row>
    <row r="57470" spans="43:43" x14ac:dyDescent="0.2">
      <c r="AQ57470" s="31"/>
    </row>
    <row r="57471" spans="43:43" x14ac:dyDescent="0.2">
      <c r="AQ57471" s="31"/>
    </row>
    <row r="57472" spans="43:43" x14ac:dyDescent="0.2">
      <c r="AQ57472" s="31"/>
    </row>
    <row r="57473" spans="43:43" x14ac:dyDescent="0.2">
      <c r="AQ57473" s="31"/>
    </row>
    <row r="57474" spans="43:43" x14ac:dyDescent="0.2">
      <c r="AQ57474" s="31"/>
    </row>
    <row r="57475" spans="43:43" x14ac:dyDescent="0.2">
      <c r="AQ57475" s="31"/>
    </row>
    <row r="57476" spans="43:43" x14ac:dyDescent="0.2">
      <c r="AQ57476" s="31"/>
    </row>
    <row r="57477" spans="43:43" x14ac:dyDescent="0.2">
      <c r="AQ57477" s="31"/>
    </row>
    <row r="57478" spans="43:43" x14ac:dyDescent="0.2">
      <c r="AQ57478" s="31"/>
    </row>
    <row r="57479" spans="43:43" x14ac:dyDescent="0.2">
      <c r="AQ57479" s="31"/>
    </row>
    <row r="57480" spans="43:43" x14ac:dyDescent="0.2">
      <c r="AQ57480" s="31"/>
    </row>
    <row r="57481" spans="43:43" x14ac:dyDescent="0.2">
      <c r="AQ57481" s="31"/>
    </row>
    <row r="57482" spans="43:43" x14ac:dyDescent="0.2">
      <c r="AQ57482" s="31"/>
    </row>
    <row r="57483" spans="43:43" x14ac:dyDescent="0.2">
      <c r="AQ57483" s="31"/>
    </row>
    <row r="57484" spans="43:43" x14ac:dyDescent="0.2">
      <c r="AQ57484" s="31"/>
    </row>
    <row r="57485" spans="43:43" x14ac:dyDescent="0.2">
      <c r="AQ57485" s="31"/>
    </row>
    <row r="57486" spans="43:43" x14ac:dyDescent="0.2">
      <c r="AQ57486" s="31"/>
    </row>
    <row r="57487" spans="43:43" x14ac:dyDescent="0.2">
      <c r="AQ57487" s="31"/>
    </row>
    <row r="57488" spans="43:43" x14ac:dyDescent="0.2">
      <c r="AQ57488" s="31"/>
    </row>
    <row r="57489" spans="43:43" x14ac:dyDescent="0.2">
      <c r="AQ57489" s="31"/>
    </row>
    <row r="57490" spans="43:43" x14ac:dyDescent="0.2">
      <c r="AQ57490" s="31"/>
    </row>
    <row r="57491" spans="43:43" x14ac:dyDescent="0.2">
      <c r="AQ57491" s="31"/>
    </row>
    <row r="57492" spans="43:43" x14ac:dyDescent="0.2">
      <c r="AQ57492" s="31"/>
    </row>
    <row r="57493" spans="43:43" x14ac:dyDescent="0.2">
      <c r="AQ57493" s="31"/>
    </row>
    <row r="57494" spans="43:43" x14ac:dyDescent="0.2">
      <c r="AQ57494" s="31"/>
    </row>
    <row r="57495" spans="43:43" x14ac:dyDescent="0.2">
      <c r="AQ57495" s="31"/>
    </row>
    <row r="57496" spans="43:43" x14ac:dyDescent="0.2">
      <c r="AQ57496" s="31"/>
    </row>
    <row r="57497" spans="43:43" x14ac:dyDescent="0.2">
      <c r="AQ57497" s="31"/>
    </row>
    <row r="57498" spans="43:43" x14ac:dyDescent="0.2">
      <c r="AQ57498" s="31"/>
    </row>
    <row r="57499" spans="43:43" x14ac:dyDescent="0.2">
      <c r="AQ57499" s="31"/>
    </row>
    <row r="57500" spans="43:43" x14ac:dyDescent="0.2">
      <c r="AQ57500" s="31"/>
    </row>
    <row r="57501" spans="43:43" x14ac:dyDescent="0.2">
      <c r="AQ57501" s="31"/>
    </row>
    <row r="57502" spans="43:43" x14ac:dyDescent="0.2">
      <c r="AQ57502" s="31"/>
    </row>
    <row r="57503" spans="43:43" x14ac:dyDescent="0.2">
      <c r="AQ57503" s="31"/>
    </row>
    <row r="57504" spans="43:43" x14ac:dyDescent="0.2">
      <c r="AQ57504" s="31"/>
    </row>
    <row r="57505" spans="43:43" x14ac:dyDescent="0.2">
      <c r="AQ57505" s="31"/>
    </row>
    <row r="57506" spans="43:43" x14ac:dyDescent="0.2">
      <c r="AQ57506" s="31"/>
    </row>
    <row r="57507" spans="43:43" x14ac:dyDescent="0.2">
      <c r="AQ57507" s="31"/>
    </row>
    <row r="57508" spans="43:43" x14ac:dyDescent="0.2">
      <c r="AQ57508" s="31"/>
    </row>
    <row r="57509" spans="43:43" x14ac:dyDescent="0.2">
      <c r="AQ57509" s="31"/>
    </row>
    <row r="57510" spans="43:43" x14ac:dyDescent="0.2">
      <c r="AQ57510" s="31"/>
    </row>
    <row r="57511" spans="43:43" x14ac:dyDescent="0.2">
      <c r="AQ57511" s="31"/>
    </row>
    <row r="57512" spans="43:43" x14ac:dyDescent="0.2">
      <c r="AQ57512" s="31"/>
    </row>
    <row r="57513" spans="43:43" x14ac:dyDescent="0.2">
      <c r="AQ57513" s="31"/>
    </row>
    <row r="57514" spans="43:43" x14ac:dyDescent="0.2">
      <c r="AQ57514" s="31"/>
    </row>
    <row r="57515" spans="43:43" x14ac:dyDescent="0.2">
      <c r="AQ57515" s="31"/>
    </row>
    <row r="57516" spans="43:43" x14ac:dyDescent="0.2">
      <c r="AQ57516" s="31"/>
    </row>
    <row r="57517" spans="43:43" x14ac:dyDescent="0.2">
      <c r="AQ57517" s="31"/>
    </row>
    <row r="57518" spans="43:43" x14ac:dyDescent="0.2">
      <c r="AQ57518" s="31"/>
    </row>
    <row r="57519" spans="43:43" x14ac:dyDescent="0.2">
      <c r="AQ57519" s="31"/>
    </row>
    <row r="57520" spans="43:43" x14ac:dyDescent="0.2">
      <c r="AQ57520" s="31"/>
    </row>
    <row r="57521" spans="43:43" x14ac:dyDescent="0.2">
      <c r="AQ57521" s="31"/>
    </row>
    <row r="57522" spans="43:43" x14ac:dyDescent="0.2">
      <c r="AQ57522" s="31"/>
    </row>
    <row r="57523" spans="43:43" x14ac:dyDescent="0.2">
      <c r="AQ57523" s="31"/>
    </row>
    <row r="57524" spans="43:43" x14ac:dyDescent="0.2">
      <c r="AQ57524" s="31"/>
    </row>
    <row r="57525" spans="43:43" x14ac:dyDescent="0.2">
      <c r="AQ57525" s="31"/>
    </row>
    <row r="57526" spans="43:43" x14ac:dyDescent="0.2">
      <c r="AQ57526" s="31"/>
    </row>
    <row r="57527" spans="43:43" x14ac:dyDescent="0.2">
      <c r="AQ57527" s="31"/>
    </row>
    <row r="57528" spans="43:43" x14ac:dyDescent="0.2">
      <c r="AQ57528" s="31"/>
    </row>
    <row r="57529" spans="43:43" x14ac:dyDescent="0.2">
      <c r="AQ57529" s="31"/>
    </row>
    <row r="57530" spans="43:43" x14ac:dyDescent="0.2">
      <c r="AQ57530" s="31"/>
    </row>
    <row r="57531" spans="43:43" x14ac:dyDescent="0.2">
      <c r="AQ57531" s="31"/>
    </row>
    <row r="57532" spans="43:43" x14ac:dyDescent="0.2">
      <c r="AQ57532" s="31"/>
    </row>
    <row r="57533" spans="43:43" x14ac:dyDescent="0.2">
      <c r="AQ57533" s="31"/>
    </row>
    <row r="57534" spans="43:43" x14ac:dyDescent="0.2">
      <c r="AQ57534" s="31"/>
    </row>
    <row r="57535" spans="43:43" x14ac:dyDescent="0.2">
      <c r="AQ57535" s="31"/>
    </row>
    <row r="57536" spans="43:43" x14ac:dyDescent="0.2">
      <c r="AQ57536" s="31"/>
    </row>
    <row r="57537" spans="43:43" x14ac:dyDescent="0.2">
      <c r="AQ57537" s="31"/>
    </row>
    <row r="57538" spans="43:43" x14ac:dyDescent="0.2">
      <c r="AQ57538" s="31"/>
    </row>
    <row r="57539" spans="43:43" x14ac:dyDescent="0.2">
      <c r="AQ57539" s="31"/>
    </row>
    <row r="57540" spans="43:43" x14ac:dyDescent="0.2">
      <c r="AQ57540" s="31"/>
    </row>
    <row r="57541" spans="43:43" x14ac:dyDescent="0.2">
      <c r="AQ57541" s="31"/>
    </row>
    <row r="57542" spans="43:43" x14ac:dyDescent="0.2">
      <c r="AQ57542" s="31"/>
    </row>
    <row r="57543" spans="43:43" x14ac:dyDescent="0.2">
      <c r="AQ57543" s="31"/>
    </row>
    <row r="57544" spans="43:43" x14ac:dyDescent="0.2">
      <c r="AQ57544" s="31"/>
    </row>
    <row r="57545" spans="43:43" x14ac:dyDescent="0.2">
      <c r="AQ57545" s="31"/>
    </row>
    <row r="57546" spans="43:43" x14ac:dyDescent="0.2">
      <c r="AQ57546" s="31"/>
    </row>
    <row r="57547" spans="43:43" x14ac:dyDescent="0.2">
      <c r="AQ57547" s="31"/>
    </row>
    <row r="57548" spans="43:43" x14ac:dyDescent="0.2">
      <c r="AQ57548" s="31"/>
    </row>
    <row r="57549" spans="43:43" x14ac:dyDescent="0.2">
      <c r="AQ57549" s="31"/>
    </row>
    <row r="57550" spans="43:43" x14ac:dyDescent="0.2">
      <c r="AQ57550" s="31"/>
    </row>
    <row r="57551" spans="43:43" x14ac:dyDescent="0.2">
      <c r="AQ57551" s="31"/>
    </row>
    <row r="57552" spans="43:43" x14ac:dyDescent="0.2">
      <c r="AQ57552" s="31"/>
    </row>
    <row r="57553" spans="43:43" x14ac:dyDescent="0.2">
      <c r="AQ57553" s="31"/>
    </row>
    <row r="57554" spans="43:43" x14ac:dyDescent="0.2">
      <c r="AQ57554" s="31"/>
    </row>
    <row r="57555" spans="43:43" x14ac:dyDescent="0.2">
      <c r="AQ57555" s="31"/>
    </row>
    <row r="57556" spans="43:43" x14ac:dyDescent="0.2">
      <c r="AQ57556" s="31"/>
    </row>
    <row r="57557" spans="43:43" x14ac:dyDescent="0.2">
      <c r="AQ57557" s="31"/>
    </row>
    <row r="57558" spans="43:43" x14ac:dyDescent="0.2">
      <c r="AQ57558" s="31"/>
    </row>
    <row r="57559" spans="43:43" x14ac:dyDescent="0.2">
      <c r="AQ57559" s="31"/>
    </row>
    <row r="57560" spans="43:43" x14ac:dyDescent="0.2">
      <c r="AQ57560" s="31"/>
    </row>
    <row r="57561" spans="43:43" x14ac:dyDescent="0.2">
      <c r="AQ57561" s="31"/>
    </row>
    <row r="57562" spans="43:43" x14ac:dyDescent="0.2">
      <c r="AQ57562" s="31"/>
    </row>
    <row r="57563" spans="43:43" x14ac:dyDescent="0.2">
      <c r="AQ57563" s="31"/>
    </row>
    <row r="57564" spans="43:43" x14ac:dyDescent="0.2">
      <c r="AQ57564" s="31"/>
    </row>
    <row r="57565" spans="43:43" x14ac:dyDescent="0.2">
      <c r="AQ57565" s="31"/>
    </row>
    <row r="57566" spans="43:43" x14ac:dyDescent="0.2">
      <c r="AQ57566" s="31"/>
    </row>
    <row r="57567" spans="43:43" x14ac:dyDescent="0.2">
      <c r="AQ57567" s="31"/>
    </row>
    <row r="57568" spans="43:43" x14ac:dyDescent="0.2">
      <c r="AQ57568" s="31"/>
    </row>
    <row r="57569" spans="43:43" x14ac:dyDescent="0.2">
      <c r="AQ57569" s="31"/>
    </row>
    <row r="57570" spans="43:43" x14ac:dyDescent="0.2">
      <c r="AQ57570" s="31"/>
    </row>
    <row r="57571" spans="43:43" x14ac:dyDescent="0.2">
      <c r="AQ57571" s="31"/>
    </row>
    <row r="57572" spans="43:43" x14ac:dyDescent="0.2">
      <c r="AQ57572" s="31"/>
    </row>
    <row r="57573" spans="43:43" x14ac:dyDescent="0.2">
      <c r="AQ57573" s="31"/>
    </row>
    <row r="57574" spans="43:43" x14ac:dyDescent="0.2">
      <c r="AQ57574" s="31"/>
    </row>
    <row r="57575" spans="43:43" x14ac:dyDescent="0.2">
      <c r="AQ57575" s="31"/>
    </row>
    <row r="57576" spans="43:43" x14ac:dyDescent="0.2">
      <c r="AQ57576" s="31"/>
    </row>
    <row r="57577" spans="43:43" x14ac:dyDescent="0.2">
      <c r="AQ57577" s="31"/>
    </row>
    <row r="57578" spans="43:43" x14ac:dyDescent="0.2">
      <c r="AQ57578" s="31"/>
    </row>
    <row r="57579" spans="43:43" x14ac:dyDescent="0.2">
      <c r="AQ57579" s="31"/>
    </row>
    <row r="57580" spans="43:43" x14ac:dyDescent="0.2">
      <c r="AQ57580" s="31"/>
    </row>
    <row r="57581" spans="43:43" x14ac:dyDescent="0.2">
      <c r="AQ57581" s="31"/>
    </row>
    <row r="57582" spans="43:43" x14ac:dyDescent="0.2">
      <c r="AQ57582" s="31"/>
    </row>
    <row r="57583" spans="43:43" x14ac:dyDescent="0.2">
      <c r="AQ57583" s="31"/>
    </row>
    <row r="57584" spans="43:43" x14ac:dyDescent="0.2">
      <c r="AQ57584" s="31"/>
    </row>
    <row r="57585" spans="43:43" x14ac:dyDescent="0.2">
      <c r="AQ57585" s="31"/>
    </row>
    <row r="57586" spans="43:43" x14ac:dyDescent="0.2">
      <c r="AQ57586" s="31"/>
    </row>
    <row r="57587" spans="43:43" x14ac:dyDescent="0.2">
      <c r="AQ57587" s="31"/>
    </row>
    <row r="57588" spans="43:43" x14ac:dyDescent="0.2">
      <c r="AQ57588" s="31"/>
    </row>
    <row r="57589" spans="43:43" x14ac:dyDescent="0.2">
      <c r="AQ57589" s="31"/>
    </row>
    <row r="57590" spans="43:43" x14ac:dyDescent="0.2">
      <c r="AQ57590" s="31"/>
    </row>
    <row r="57591" spans="43:43" x14ac:dyDescent="0.2">
      <c r="AQ57591" s="31"/>
    </row>
    <row r="57592" spans="43:43" x14ac:dyDescent="0.2">
      <c r="AQ57592" s="31"/>
    </row>
    <row r="57593" spans="43:43" x14ac:dyDescent="0.2">
      <c r="AQ57593" s="31"/>
    </row>
    <row r="57594" spans="43:43" x14ac:dyDescent="0.2">
      <c r="AQ57594" s="31"/>
    </row>
    <row r="57595" spans="43:43" x14ac:dyDescent="0.2">
      <c r="AQ57595" s="31"/>
    </row>
    <row r="57596" spans="43:43" x14ac:dyDescent="0.2">
      <c r="AQ57596" s="31"/>
    </row>
    <row r="57597" spans="43:43" x14ac:dyDescent="0.2">
      <c r="AQ57597" s="31"/>
    </row>
    <row r="57598" spans="43:43" x14ac:dyDescent="0.2">
      <c r="AQ57598" s="31"/>
    </row>
    <row r="57599" spans="43:43" x14ac:dyDescent="0.2">
      <c r="AQ57599" s="31"/>
    </row>
    <row r="57600" spans="43:43" x14ac:dyDescent="0.2">
      <c r="AQ57600" s="31"/>
    </row>
    <row r="57601" spans="43:43" x14ac:dyDescent="0.2">
      <c r="AQ57601" s="31"/>
    </row>
    <row r="57602" spans="43:43" x14ac:dyDescent="0.2">
      <c r="AQ57602" s="31"/>
    </row>
    <row r="57603" spans="43:43" x14ac:dyDescent="0.2">
      <c r="AQ57603" s="31"/>
    </row>
    <row r="57604" spans="43:43" x14ac:dyDescent="0.2">
      <c r="AQ57604" s="31"/>
    </row>
    <row r="57605" spans="43:43" x14ac:dyDescent="0.2">
      <c r="AQ57605" s="31"/>
    </row>
    <row r="57606" spans="43:43" x14ac:dyDescent="0.2">
      <c r="AQ57606" s="31"/>
    </row>
    <row r="57607" spans="43:43" x14ac:dyDescent="0.2">
      <c r="AQ57607" s="31"/>
    </row>
    <row r="57608" spans="43:43" x14ac:dyDescent="0.2">
      <c r="AQ57608" s="31"/>
    </row>
    <row r="57609" spans="43:43" x14ac:dyDescent="0.2">
      <c r="AQ57609" s="31"/>
    </row>
    <row r="57610" spans="43:43" x14ac:dyDescent="0.2">
      <c r="AQ57610" s="31"/>
    </row>
    <row r="57611" spans="43:43" x14ac:dyDescent="0.2">
      <c r="AQ57611" s="31"/>
    </row>
    <row r="57612" spans="43:43" x14ac:dyDescent="0.2">
      <c r="AQ57612" s="31"/>
    </row>
    <row r="57613" spans="43:43" x14ac:dyDescent="0.2">
      <c r="AQ57613" s="31"/>
    </row>
    <row r="57614" spans="43:43" x14ac:dyDescent="0.2">
      <c r="AQ57614" s="31"/>
    </row>
    <row r="57615" spans="43:43" x14ac:dyDescent="0.2">
      <c r="AQ57615" s="31"/>
    </row>
    <row r="57616" spans="43:43" x14ac:dyDescent="0.2">
      <c r="AQ57616" s="31"/>
    </row>
    <row r="57617" spans="43:43" x14ac:dyDescent="0.2">
      <c r="AQ57617" s="31"/>
    </row>
    <row r="57618" spans="43:43" x14ac:dyDescent="0.2">
      <c r="AQ57618" s="31"/>
    </row>
    <row r="57619" spans="43:43" x14ac:dyDescent="0.2">
      <c r="AQ57619" s="31"/>
    </row>
    <row r="57620" spans="43:43" x14ac:dyDescent="0.2">
      <c r="AQ57620" s="31"/>
    </row>
    <row r="57621" spans="43:43" x14ac:dyDescent="0.2">
      <c r="AQ57621" s="31"/>
    </row>
    <row r="57622" spans="43:43" x14ac:dyDescent="0.2">
      <c r="AQ57622" s="31"/>
    </row>
    <row r="57623" spans="43:43" x14ac:dyDescent="0.2">
      <c r="AQ57623" s="31"/>
    </row>
    <row r="57624" spans="43:43" x14ac:dyDescent="0.2">
      <c r="AQ57624" s="31"/>
    </row>
    <row r="57625" spans="43:43" x14ac:dyDescent="0.2">
      <c r="AQ57625" s="31"/>
    </row>
    <row r="57626" spans="43:43" x14ac:dyDescent="0.2">
      <c r="AQ57626" s="31"/>
    </row>
    <row r="57627" spans="43:43" x14ac:dyDescent="0.2">
      <c r="AQ57627" s="31"/>
    </row>
    <row r="57628" spans="43:43" x14ac:dyDescent="0.2">
      <c r="AQ57628" s="31"/>
    </row>
    <row r="57629" spans="43:43" x14ac:dyDescent="0.2">
      <c r="AQ57629" s="31"/>
    </row>
    <row r="57630" spans="43:43" x14ac:dyDescent="0.2">
      <c r="AQ57630" s="31"/>
    </row>
    <row r="57631" spans="43:43" x14ac:dyDescent="0.2">
      <c r="AQ57631" s="31"/>
    </row>
    <row r="57632" spans="43:43" x14ac:dyDescent="0.2">
      <c r="AQ57632" s="31"/>
    </row>
    <row r="57633" spans="43:43" x14ac:dyDescent="0.2">
      <c r="AQ57633" s="31"/>
    </row>
    <row r="57634" spans="43:43" x14ac:dyDescent="0.2">
      <c r="AQ57634" s="31"/>
    </row>
    <row r="57635" spans="43:43" x14ac:dyDescent="0.2">
      <c r="AQ57635" s="31"/>
    </row>
    <row r="57636" spans="43:43" x14ac:dyDescent="0.2">
      <c r="AQ57636" s="31"/>
    </row>
    <row r="57637" spans="43:43" x14ac:dyDescent="0.2">
      <c r="AQ57637" s="31"/>
    </row>
    <row r="57638" spans="43:43" x14ac:dyDescent="0.2">
      <c r="AQ57638" s="31"/>
    </row>
    <row r="57639" spans="43:43" x14ac:dyDescent="0.2">
      <c r="AQ57639" s="31"/>
    </row>
    <row r="57640" spans="43:43" x14ac:dyDescent="0.2">
      <c r="AQ57640" s="31"/>
    </row>
    <row r="57641" spans="43:43" x14ac:dyDescent="0.2">
      <c r="AQ57641" s="31"/>
    </row>
    <row r="57642" spans="43:43" x14ac:dyDescent="0.2">
      <c r="AQ57642" s="31"/>
    </row>
    <row r="57643" spans="43:43" x14ac:dyDescent="0.2">
      <c r="AQ57643" s="31"/>
    </row>
    <row r="57644" spans="43:43" x14ac:dyDescent="0.2">
      <c r="AQ57644" s="31"/>
    </row>
    <row r="57645" spans="43:43" x14ac:dyDescent="0.2">
      <c r="AQ57645" s="31"/>
    </row>
    <row r="57646" spans="43:43" x14ac:dyDescent="0.2">
      <c r="AQ57646" s="31"/>
    </row>
    <row r="57647" spans="43:43" x14ac:dyDescent="0.2">
      <c r="AQ57647" s="31"/>
    </row>
    <row r="57648" spans="43:43" x14ac:dyDescent="0.2">
      <c r="AQ57648" s="31"/>
    </row>
    <row r="57649" spans="43:43" x14ac:dyDescent="0.2">
      <c r="AQ57649" s="31"/>
    </row>
    <row r="57650" spans="43:43" x14ac:dyDescent="0.2">
      <c r="AQ57650" s="31"/>
    </row>
    <row r="57651" spans="43:43" x14ac:dyDescent="0.2">
      <c r="AQ57651" s="31"/>
    </row>
    <row r="57652" spans="43:43" x14ac:dyDescent="0.2">
      <c r="AQ57652" s="31"/>
    </row>
    <row r="57653" spans="43:43" x14ac:dyDescent="0.2">
      <c r="AQ57653" s="31"/>
    </row>
    <row r="57654" spans="43:43" x14ac:dyDescent="0.2">
      <c r="AQ57654" s="31"/>
    </row>
    <row r="57655" spans="43:43" x14ac:dyDescent="0.2">
      <c r="AQ57655" s="31"/>
    </row>
    <row r="57656" spans="43:43" x14ac:dyDescent="0.2">
      <c r="AQ57656" s="31"/>
    </row>
    <row r="57657" spans="43:43" x14ac:dyDescent="0.2">
      <c r="AQ57657" s="31"/>
    </row>
    <row r="57658" spans="43:43" x14ac:dyDescent="0.2">
      <c r="AQ57658" s="31"/>
    </row>
    <row r="57659" spans="43:43" x14ac:dyDescent="0.2">
      <c r="AQ57659" s="31"/>
    </row>
    <row r="57660" spans="43:43" x14ac:dyDescent="0.2">
      <c r="AQ57660" s="31"/>
    </row>
    <row r="57661" spans="43:43" x14ac:dyDescent="0.2">
      <c r="AQ57661" s="31"/>
    </row>
    <row r="57662" spans="43:43" x14ac:dyDescent="0.2">
      <c r="AQ57662" s="31"/>
    </row>
    <row r="57663" spans="43:43" x14ac:dyDescent="0.2">
      <c r="AQ57663" s="31"/>
    </row>
    <row r="57664" spans="43:43" x14ac:dyDescent="0.2">
      <c r="AQ57664" s="31"/>
    </row>
    <row r="57665" spans="43:43" x14ac:dyDescent="0.2">
      <c r="AQ57665" s="31"/>
    </row>
    <row r="57666" spans="43:43" x14ac:dyDescent="0.2">
      <c r="AQ57666" s="31"/>
    </row>
    <row r="57667" spans="43:43" x14ac:dyDescent="0.2">
      <c r="AQ57667" s="31"/>
    </row>
    <row r="57668" spans="43:43" x14ac:dyDescent="0.2">
      <c r="AQ57668" s="31"/>
    </row>
    <row r="57669" spans="43:43" x14ac:dyDescent="0.2">
      <c r="AQ57669" s="31"/>
    </row>
    <row r="57670" spans="43:43" x14ac:dyDescent="0.2">
      <c r="AQ57670" s="31"/>
    </row>
    <row r="57671" spans="43:43" x14ac:dyDescent="0.2">
      <c r="AQ57671" s="31"/>
    </row>
    <row r="57672" spans="43:43" x14ac:dyDescent="0.2">
      <c r="AQ57672" s="31"/>
    </row>
    <row r="57673" spans="43:43" x14ac:dyDescent="0.2">
      <c r="AQ57673" s="31"/>
    </row>
    <row r="57674" spans="43:43" x14ac:dyDescent="0.2">
      <c r="AQ57674" s="31"/>
    </row>
    <row r="57675" spans="43:43" x14ac:dyDescent="0.2">
      <c r="AQ57675" s="31"/>
    </row>
    <row r="57676" spans="43:43" x14ac:dyDescent="0.2">
      <c r="AQ57676" s="31"/>
    </row>
    <row r="57677" spans="43:43" x14ac:dyDescent="0.2">
      <c r="AQ57677" s="31"/>
    </row>
    <row r="57678" spans="43:43" x14ac:dyDescent="0.2">
      <c r="AQ57678" s="31"/>
    </row>
    <row r="57679" spans="43:43" x14ac:dyDescent="0.2">
      <c r="AQ57679" s="31"/>
    </row>
    <row r="57680" spans="43:43" x14ac:dyDescent="0.2">
      <c r="AQ57680" s="31"/>
    </row>
    <row r="57681" spans="43:43" x14ac:dyDescent="0.2">
      <c r="AQ57681" s="31"/>
    </row>
    <row r="57682" spans="43:43" x14ac:dyDescent="0.2">
      <c r="AQ57682" s="31"/>
    </row>
    <row r="57683" spans="43:43" x14ac:dyDescent="0.2">
      <c r="AQ57683" s="31"/>
    </row>
    <row r="57684" spans="43:43" x14ac:dyDescent="0.2">
      <c r="AQ57684" s="31"/>
    </row>
    <row r="57685" spans="43:43" x14ac:dyDescent="0.2">
      <c r="AQ57685" s="31"/>
    </row>
    <row r="57686" spans="43:43" x14ac:dyDescent="0.2">
      <c r="AQ57686" s="31"/>
    </row>
    <row r="57687" spans="43:43" x14ac:dyDescent="0.2">
      <c r="AQ57687" s="31"/>
    </row>
    <row r="57688" spans="43:43" x14ac:dyDescent="0.2">
      <c r="AQ57688" s="31"/>
    </row>
    <row r="57689" spans="43:43" x14ac:dyDescent="0.2">
      <c r="AQ57689" s="31"/>
    </row>
    <row r="57690" spans="43:43" x14ac:dyDescent="0.2">
      <c r="AQ57690" s="31"/>
    </row>
    <row r="57691" spans="43:43" x14ac:dyDescent="0.2">
      <c r="AQ57691" s="31"/>
    </row>
    <row r="57692" spans="43:43" x14ac:dyDescent="0.2">
      <c r="AQ57692" s="31"/>
    </row>
    <row r="57693" spans="43:43" x14ac:dyDescent="0.2">
      <c r="AQ57693" s="31"/>
    </row>
    <row r="57694" spans="43:43" x14ac:dyDescent="0.2">
      <c r="AQ57694" s="31"/>
    </row>
    <row r="57695" spans="43:43" x14ac:dyDescent="0.2">
      <c r="AQ57695" s="31"/>
    </row>
    <row r="57696" spans="43:43" x14ac:dyDescent="0.2">
      <c r="AQ57696" s="31"/>
    </row>
    <row r="57697" spans="43:43" x14ac:dyDescent="0.2">
      <c r="AQ57697" s="31"/>
    </row>
    <row r="57698" spans="43:43" x14ac:dyDescent="0.2">
      <c r="AQ57698" s="31"/>
    </row>
    <row r="57699" spans="43:43" x14ac:dyDescent="0.2">
      <c r="AQ57699" s="31"/>
    </row>
    <row r="57700" spans="43:43" x14ac:dyDescent="0.2">
      <c r="AQ57700" s="31"/>
    </row>
    <row r="57701" spans="43:43" x14ac:dyDescent="0.2">
      <c r="AQ57701" s="31"/>
    </row>
    <row r="57702" spans="43:43" x14ac:dyDescent="0.2">
      <c r="AQ57702" s="31"/>
    </row>
    <row r="57703" spans="43:43" x14ac:dyDescent="0.2">
      <c r="AQ57703" s="31"/>
    </row>
    <row r="57704" spans="43:43" x14ac:dyDescent="0.2">
      <c r="AQ57704" s="31"/>
    </row>
    <row r="57705" spans="43:43" x14ac:dyDescent="0.2">
      <c r="AQ57705" s="31"/>
    </row>
    <row r="57706" spans="43:43" x14ac:dyDescent="0.2">
      <c r="AQ57706" s="31"/>
    </row>
    <row r="57707" spans="43:43" x14ac:dyDescent="0.2">
      <c r="AQ57707" s="31"/>
    </row>
    <row r="57708" spans="43:43" x14ac:dyDescent="0.2">
      <c r="AQ57708" s="31"/>
    </row>
    <row r="57709" spans="43:43" x14ac:dyDescent="0.2">
      <c r="AQ57709" s="31"/>
    </row>
    <row r="57710" spans="43:43" x14ac:dyDescent="0.2">
      <c r="AQ57710" s="31"/>
    </row>
    <row r="57711" spans="43:43" x14ac:dyDescent="0.2">
      <c r="AQ57711" s="31"/>
    </row>
    <row r="57712" spans="43:43" x14ac:dyDescent="0.2">
      <c r="AQ57712" s="31"/>
    </row>
    <row r="57713" spans="43:43" x14ac:dyDescent="0.2">
      <c r="AQ57713" s="31"/>
    </row>
    <row r="57714" spans="43:43" x14ac:dyDescent="0.2">
      <c r="AQ57714" s="31"/>
    </row>
    <row r="57715" spans="43:43" x14ac:dyDescent="0.2">
      <c r="AQ57715" s="31"/>
    </row>
    <row r="57716" spans="43:43" x14ac:dyDescent="0.2">
      <c r="AQ57716" s="31"/>
    </row>
    <row r="57717" spans="43:43" x14ac:dyDescent="0.2">
      <c r="AQ57717" s="31"/>
    </row>
    <row r="57718" spans="43:43" x14ac:dyDescent="0.2">
      <c r="AQ57718" s="31"/>
    </row>
    <row r="57719" spans="43:43" x14ac:dyDescent="0.2">
      <c r="AQ57719" s="31"/>
    </row>
    <row r="57720" spans="43:43" x14ac:dyDescent="0.2">
      <c r="AQ57720" s="31"/>
    </row>
    <row r="57721" spans="43:43" x14ac:dyDescent="0.2">
      <c r="AQ57721" s="31"/>
    </row>
    <row r="57722" spans="43:43" x14ac:dyDescent="0.2">
      <c r="AQ57722" s="31"/>
    </row>
    <row r="57723" spans="43:43" x14ac:dyDescent="0.2">
      <c r="AQ57723" s="31"/>
    </row>
    <row r="57724" spans="43:43" x14ac:dyDescent="0.2">
      <c r="AQ57724" s="31"/>
    </row>
    <row r="57725" spans="43:43" x14ac:dyDescent="0.2">
      <c r="AQ57725" s="31"/>
    </row>
    <row r="57726" spans="43:43" x14ac:dyDescent="0.2">
      <c r="AQ57726" s="31"/>
    </row>
    <row r="57727" spans="43:43" x14ac:dyDescent="0.2">
      <c r="AQ57727" s="31"/>
    </row>
    <row r="57728" spans="43:43" x14ac:dyDescent="0.2">
      <c r="AQ57728" s="31"/>
    </row>
    <row r="57729" spans="43:43" x14ac:dyDescent="0.2">
      <c r="AQ57729" s="31"/>
    </row>
    <row r="57730" spans="43:43" x14ac:dyDescent="0.2">
      <c r="AQ57730" s="31"/>
    </row>
    <row r="57731" spans="43:43" x14ac:dyDescent="0.2">
      <c r="AQ57731" s="31"/>
    </row>
    <row r="57732" spans="43:43" x14ac:dyDescent="0.2">
      <c r="AQ57732" s="31"/>
    </row>
    <row r="57733" spans="43:43" x14ac:dyDescent="0.2">
      <c r="AQ57733" s="31"/>
    </row>
    <row r="57734" spans="43:43" x14ac:dyDescent="0.2">
      <c r="AQ57734" s="31"/>
    </row>
    <row r="57735" spans="43:43" x14ac:dyDescent="0.2">
      <c r="AQ57735" s="31"/>
    </row>
    <row r="57736" spans="43:43" x14ac:dyDescent="0.2">
      <c r="AQ57736" s="31"/>
    </row>
    <row r="57737" spans="43:43" x14ac:dyDescent="0.2">
      <c r="AQ57737" s="31"/>
    </row>
    <row r="57738" spans="43:43" x14ac:dyDescent="0.2">
      <c r="AQ57738" s="31"/>
    </row>
    <row r="57739" spans="43:43" x14ac:dyDescent="0.2">
      <c r="AQ57739" s="31"/>
    </row>
    <row r="57740" spans="43:43" x14ac:dyDescent="0.2">
      <c r="AQ57740" s="31"/>
    </row>
    <row r="57741" spans="43:43" x14ac:dyDescent="0.2">
      <c r="AQ57741" s="31"/>
    </row>
    <row r="57742" spans="43:43" x14ac:dyDescent="0.2">
      <c r="AQ57742" s="31"/>
    </row>
    <row r="57743" spans="43:43" x14ac:dyDescent="0.2">
      <c r="AQ57743" s="31"/>
    </row>
    <row r="57744" spans="43:43" x14ac:dyDescent="0.2">
      <c r="AQ57744" s="31"/>
    </row>
    <row r="57745" spans="43:43" x14ac:dyDescent="0.2">
      <c r="AQ57745" s="31"/>
    </row>
    <row r="57746" spans="43:43" x14ac:dyDescent="0.2">
      <c r="AQ57746" s="31"/>
    </row>
    <row r="57747" spans="43:43" x14ac:dyDescent="0.2">
      <c r="AQ57747" s="31"/>
    </row>
    <row r="57748" spans="43:43" x14ac:dyDescent="0.2">
      <c r="AQ57748" s="31"/>
    </row>
    <row r="57749" spans="43:43" x14ac:dyDescent="0.2">
      <c r="AQ57749" s="31"/>
    </row>
    <row r="57750" spans="43:43" x14ac:dyDescent="0.2">
      <c r="AQ57750" s="31"/>
    </row>
    <row r="57751" spans="43:43" x14ac:dyDescent="0.2">
      <c r="AQ57751" s="31"/>
    </row>
    <row r="57752" spans="43:43" x14ac:dyDescent="0.2">
      <c r="AQ57752" s="31"/>
    </row>
    <row r="57753" spans="43:43" x14ac:dyDescent="0.2">
      <c r="AQ57753" s="31"/>
    </row>
    <row r="57754" spans="43:43" x14ac:dyDescent="0.2">
      <c r="AQ57754" s="31"/>
    </row>
    <row r="57755" spans="43:43" x14ac:dyDescent="0.2">
      <c r="AQ57755" s="31"/>
    </row>
    <row r="57756" spans="43:43" x14ac:dyDescent="0.2">
      <c r="AQ57756" s="31"/>
    </row>
    <row r="57757" spans="43:43" x14ac:dyDescent="0.2">
      <c r="AQ57757" s="31"/>
    </row>
    <row r="57758" spans="43:43" x14ac:dyDescent="0.2">
      <c r="AQ57758" s="31"/>
    </row>
    <row r="57759" spans="43:43" x14ac:dyDescent="0.2">
      <c r="AQ57759" s="31"/>
    </row>
    <row r="57760" spans="43:43" x14ac:dyDescent="0.2">
      <c r="AQ57760" s="31"/>
    </row>
    <row r="57761" spans="43:43" x14ac:dyDescent="0.2">
      <c r="AQ57761" s="31"/>
    </row>
    <row r="57762" spans="43:43" x14ac:dyDescent="0.2">
      <c r="AQ57762" s="31"/>
    </row>
    <row r="57763" spans="43:43" x14ac:dyDescent="0.2">
      <c r="AQ57763" s="31"/>
    </row>
    <row r="57764" spans="43:43" x14ac:dyDescent="0.2">
      <c r="AQ57764" s="31"/>
    </row>
    <row r="57765" spans="43:43" x14ac:dyDescent="0.2">
      <c r="AQ57765" s="31"/>
    </row>
    <row r="57766" spans="43:43" x14ac:dyDescent="0.2">
      <c r="AQ57766" s="31"/>
    </row>
    <row r="57767" spans="43:43" x14ac:dyDescent="0.2">
      <c r="AQ57767" s="31"/>
    </row>
    <row r="57768" spans="43:43" x14ac:dyDescent="0.2">
      <c r="AQ57768" s="31"/>
    </row>
    <row r="57769" spans="43:43" x14ac:dyDescent="0.2">
      <c r="AQ57769" s="31"/>
    </row>
    <row r="57770" spans="43:43" x14ac:dyDescent="0.2">
      <c r="AQ57770" s="31"/>
    </row>
    <row r="57771" spans="43:43" x14ac:dyDescent="0.2">
      <c r="AQ57771" s="31"/>
    </row>
    <row r="57772" spans="43:43" x14ac:dyDescent="0.2">
      <c r="AQ57772" s="31"/>
    </row>
    <row r="57773" spans="43:43" x14ac:dyDescent="0.2">
      <c r="AQ57773" s="31"/>
    </row>
    <row r="57774" spans="43:43" x14ac:dyDescent="0.2">
      <c r="AQ57774" s="31"/>
    </row>
    <row r="57775" spans="43:43" x14ac:dyDescent="0.2">
      <c r="AQ57775" s="31"/>
    </row>
    <row r="57776" spans="43:43" x14ac:dyDescent="0.2">
      <c r="AQ57776" s="31"/>
    </row>
    <row r="57777" spans="43:43" x14ac:dyDescent="0.2">
      <c r="AQ57777" s="31"/>
    </row>
    <row r="57778" spans="43:43" x14ac:dyDescent="0.2">
      <c r="AQ57778" s="31"/>
    </row>
    <row r="57779" spans="43:43" x14ac:dyDescent="0.2">
      <c r="AQ57779" s="31"/>
    </row>
    <row r="57780" spans="43:43" x14ac:dyDescent="0.2">
      <c r="AQ57780" s="31"/>
    </row>
    <row r="57781" spans="43:43" x14ac:dyDescent="0.2">
      <c r="AQ57781" s="31"/>
    </row>
    <row r="57782" spans="43:43" x14ac:dyDescent="0.2">
      <c r="AQ57782" s="31"/>
    </row>
    <row r="57783" spans="43:43" x14ac:dyDescent="0.2">
      <c r="AQ57783" s="31"/>
    </row>
    <row r="57784" spans="43:43" x14ac:dyDescent="0.2">
      <c r="AQ57784" s="31"/>
    </row>
    <row r="57785" spans="43:43" x14ac:dyDescent="0.2">
      <c r="AQ57785" s="31"/>
    </row>
    <row r="57786" spans="43:43" x14ac:dyDescent="0.2">
      <c r="AQ57786" s="31"/>
    </row>
    <row r="57787" spans="43:43" x14ac:dyDescent="0.2">
      <c r="AQ57787" s="31"/>
    </row>
    <row r="57788" spans="43:43" x14ac:dyDescent="0.2">
      <c r="AQ57788" s="31"/>
    </row>
    <row r="57789" spans="43:43" x14ac:dyDescent="0.2">
      <c r="AQ57789" s="31"/>
    </row>
    <row r="57790" spans="43:43" x14ac:dyDescent="0.2">
      <c r="AQ57790" s="31"/>
    </row>
    <row r="57791" spans="43:43" x14ac:dyDescent="0.2">
      <c r="AQ57791" s="31"/>
    </row>
    <row r="57792" spans="43:43" x14ac:dyDescent="0.2">
      <c r="AQ57792" s="31"/>
    </row>
    <row r="57793" spans="43:43" x14ac:dyDescent="0.2">
      <c r="AQ57793" s="31"/>
    </row>
    <row r="57794" spans="43:43" x14ac:dyDescent="0.2">
      <c r="AQ57794" s="31"/>
    </row>
    <row r="57795" spans="43:43" x14ac:dyDescent="0.2">
      <c r="AQ57795" s="31"/>
    </row>
    <row r="57796" spans="43:43" x14ac:dyDescent="0.2">
      <c r="AQ57796" s="31"/>
    </row>
    <row r="57797" spans="43:43" x14ac:dyDescent="0.2">
      <c r="AQ57797" s="31"/>
    </row>
    <row r="57798" spans="43:43" x14ac:dyDescent="0.2">
      <c r="AQ57798" s="31"/>
    </row>
    <row r="57799" spans="43:43" x14ac:dyDescent="0.2">
      <c r="AQ57799" s="31"/>
    </row>
    <row r="57800" spans="43:43" x14ac:dyDescent="0.2">
      <c r="AQ57800" s="31"/>
    </row>
    <row r="57801" spans="43:43" x14ac:dyDescent="0.2">
      <c r="AQ57801" s="31"/>
    </row>
    <row r="57802" spans="43:43" x14ac:dyDescent="0.2">
      <c r="AQ57802" s="31"/>
    </row>
    <row r="57803" spans="43:43" x14ac:dyDescent="0.2">
      <c r="AQ57803" s="31"/>
    </row>
    <row r="57804" spans="43:43" x14ac:dyDescent="0.2">
      <c r="AQ57804" s="31"/>
    </row>
    <row r="57805" spans="43:43" x14ac:dyDescent="0.2">
      <c r="AQ57805" s="31"/>
    </row>
    <row r="57806" spans="43:43" x14ac:dyDescent="0.2">
      <c r="AQ57806" s="31"/>
    </row>
    <row r="57807" spans="43:43" x14ac:dyDescent="0.2">
      <c r="AQ57807" s="31"/>
    </row>
    <row r="57808" spans="43:43" x14ac:dyDescent="0.2">
      <c r="AQ57808" s="31"/>
    </row>
    <row r="57809" spans="43:43" x14ac:dyDescent="0.2">
      <c r="AQ57809" s="31"/>
    </row>
    <row r="57810" spans="43:43" x14ac:dyDescent="0.2">
      <c r="AQ57810" s="31"/>
    </row>
    <row r="57811" spans="43:43" x14ac:dyDescent="0.2">
      <c r="AQ57811" s="31"/>
    </row>
    <row r="57812" spans="43:43" x14ac:dyDescent="0.2">
      <c r="AQ57812" s="31"/>
    </row>
    <row r="57813" spans="43:43" x14ac:dyDescent="0.2">
      <c r="AQ57813" s="31"/>
    </row>
    <row r="57814" spans="43:43" x14ac:dyDescent="0.2">
      <c r="AQ57814" s="31"/>
    </row>
    <row r="57815" spans="43:43" x14ac:dyDescent="0.2">
      <c r="AQ57815" s="31"/>
    </row>
    <row r="57816" spans="43:43" x14ac:dyDescent="0.2">
      <c r="AQ57816" s="31"/>
    </row>
    <row r="57817" spans="43:43" x14ac:dyDescent="0.2">
      <c r="AQ57817" s="31"/>
    </row>
    <row r="57818" spans="43:43" x14ac:dyDescent="0.2">
      <c r="AQ57818" s="31"/>
    </row>
    <row r="57819" spans="43:43" x14ac:dyDescent="0.2">
      <c r="AQ57819" s="31"/>
    </row>
    <row r="57820" spans="43:43" x14ac:dyDescent="0.2">
      <c r="AQ57820" s="31"/>
    </row>
    <row r="57821" spans="43:43" x14ac:dyDescent="0.2">
      <c r="AQ57821" s="31"/>
    </row>
    <row r="57822" spans="43:43" x14ac:dyDescent="0.2">
      <c r="AQ57822" s="31"/>
    </row>
    <row r="57823" spans="43:43" x14ac:dyDescent="0.2">
      <c r="AQ57823" s="31"/>
    </row>
    <row r="57824" spans="43:43" x14ac:dyDescent="0.2">
      <c r="AQ57824" s="31"/>
    </row>
    <row r="57825" spans="43:43" x14ac:dyDescent="0.2">
      <c r="AQ57825" s="31"/>
    </row>
    <row r="57826" spans="43:43" x14ac:dyDescent="0.2">
      <c r="AQ57826" s="31"/>
    </row>
    <row r="57827" spans="43:43" x14ac:dyDescent="0.2">
      <c r="AQ57827" s="31"/>
    </row>
    <row r="57828" spans="43:43" x14ac:dyDescent="0.2">
      <c r="AQ57828" s="31"/>
    </row>
    <row r="57829" spans="43:43" x14ac:dyDescent="0.2">
      <c r="AQ57829" s="31"/>
    </row>
    <row r="57830" spans="43:43" x14ac:dyDescent="0.2">
      <c r="AQ57830" s="31"/>
    </row>
    <row r="57831" spans="43:43" x14ac:dyDescent="0.2">
      <c r="AQ57831" s="31"/>
    </row>
    <row r="57832" spans="43:43" x14ac:dyDescent="0.2">
      <c r="AQ57832" s="31"/>
    </row>
    <row r="57833" spans="43:43" x14ac:dyDescent="0.2">
      <c r="AQ57833" s="31"/>
    </row>
    <row r="57834" spans="43:43" x14ac:dyDescent="0.2">
      <c r="AQ57834" s="31"/>
    </row>
    <row r="57835" spans="43:43" x14ac:dyDescent="0.2">
      <c r="AQ57835" s="31"/>
    </row>
    <row r="57836" spans="43:43" x14ac:dyDescent="0.2">
      <c r="AQ57836" s="31"/>
    </row>
    <row r="57837" spans="43:43" x14ac:dyDescent="0.2">
      <c r="AQ57837" s="31"/>
    </row>
    <row r="57838" spans="43:43" x14ac:dyDescent="0.2">
      <c r="AQ57838" s="31"/>
    </row>
    <row r="57839" spans="43:43" x14ac:dyDescent="0.2">
      <c r="AQ57839" s="31"/>
    </row>
    <row r="57840" spans="43:43" x14ac:dyDescent="0.2">
      <c r="AQ57840" s="31"/>
    </row>
    <row r="57841" spans="43:43" x14ac:dyDescent="0.2">
      <c r="AQ57841" s="31"/>
    </row>
    <row r="57842" spans="43:43" x14ac:dyDescent="0.2">
      <c r="AQ57842" s="31"/>
    </row>
    <row r="57843" spans="43:43" x14ac:dyDescent="0.2">
      <c r="AQ57843" s="31"/>
    </row>
    <row r="57844" spans="43:43" x14ac:dyDescent="0.2">
      <c r="AQ57844" s="31"/>
    </row>
    <row r="57845" spans="43:43" x14ac:dyDescent="0.2">
      <c r="AQ57845" s="31"/>
    </row>
    <row r="57846" spans="43:43" x14ac:dyDescent="0.2">
      <c r="AQ57846" s="31"/>
    </row>
    <row r="57847" spans="43:43" x14ac:dyDescent="0.2">
      <c r="AQ57847" s="31"/>
    </row>
    <row r="57848" spans="43:43" x14ac:dyDescent="0.2">
      <c r="AQ57848" s="31"/>
    </row>
    <row r="57849" spans="43:43" x14ac:dyDescent="0.2">
      <c r="AQ57849" s="31"/>
    </row>
    <row r="57850" spans="43:43" x14ac:dyDescent="0.2">
      <c r="AQ57850" s="31"/>
    </row>
    <row r="57851" spans="43:43" x14ac:dyDescent="0.2">
      <c r="AQ57851" s="31"/>
    </row>
    <row r="57852" spans="43:43" x14ac:dyDescent="0.2">
      <c r="AQ57852" s="31"/>
    </row>
    <row r="57853" spans="43:43" x14ac:dyDescent="0.2">
      <c r="AQ57853" s="31"/>
    </row>
    <row r="57854" spans="43:43" x14ac:dyDescent="0.2">
      <c r="AQ57854" s="31"/>
    </row>
    <row r="57855" spans="43:43" x14ac:dyDescent="0.2">
      <c r="AQ57855" s="31"/>
    </row>
    <row r="57856" spans="43:43" x14ac:dyDescent="0.2">
      <c r="AQ57856" s="31"/>
    </row>
    <row r="57857" spans="43:43" x14ac:dyDescent="0.2">
      <c r="AQ57857" s="31"/>
    </row>
    <row r="57858" spans="43:43" x14ac:dyDescent="0.2">
      <c r="AQ57858" s="31"/>
    </row>
    <row r="57859" spans="43:43" x14ac:dyDescent="0.2">
      <c r="AQ57859" s="31"/>
    </row>
    <row r="57860" spans="43:43" x14ac:dyDescent="0.2">
      <c r="AQ57860" s="31"/>
    </row>
    <row r="57861" spans="43:43" x14ac:dyDescent="0.2">
      <c r="AQ57861" s="31"/>
    </row>
    <row r="57862" spans="43:43" x14ac:dyDescent="0.2">
      <c r="AQ57862" s="31"/>
    </row>
    <row r="57863" spans="43:43" x14ac:dyDescent="0.2">
      <c r="AQ57863" s="31"/>
    </row>
    <row r="57864" spans="43:43" x14ac:dyDescent="0.2">
      <c r="AQ57864" s="31"/>
    </row>
    <row r="57865" spans="43:43" x14ac:dyDescent="0.2">
      <c r="AQ57865" s="31"/>
    </row>
    <row r="57866" spans="43:43" x14ac:dyDescent="0.2">
      <c r="AQ57866" s="31"/>
    </row>
    <row r="57867" spans="43:43" x14ac:dyDescent="0.2">
      <c r="AQ57867" s="31"/>
    </row>
    <row r="57868" spans="43:43" x14ac:dyDescent="0.2">
      <c r="AQ57868" s="31"/>
    </row>
    <row r="57869" spans="43:43" x14ac:dyDescent="0.2">
      <c r="AQ57869" s="31"/>
    </row>
    <row r="57870" spans="43:43" x14ac:dyDescent="0.2">
      <c r="AQ57870" s="31"/>
    </row>
    <row r="57871" spans="43:43" x14ac:dyDescent="0.2">
      <c r="AQ57871" s="31"/>
    </row>
    <row r="57872" spans="43:43" x14ac:dyDescent="0.2">
      <c r="AQ57872" s="31"/>
    </row>
    <row r="57873" spans="43:43" x14ac:dyDescent="0.2">
      <c r="AQ57873" s="31"/>
    </row>
    <row r="57874" spans="43:43" x14ac:dyDescent="0.2">
      <c r="AQ57874" s="31"/>
    </row>
    <row r="57875" spans="43:43" x14ac:dyDescent="0.2">
      <c r="AQ57875" s="31"/>
    </row>
    <row r="57876" spans="43:43" x14ac:dyDescent="0.2">
      <c r="AQ57876" s="31"/>
    </row>
    <row r="57877" spans="43:43" x14ac:dyDescent="0.2">
      <c r="AQ57877" s="31"/>
    </row>
    <row r="57878" spans="43:43" x14ac:dyDescent="0.2">
      <c r="AQ57878" s="31"/>
    </row>
    <row r="57879" spans="43:43" x14ac:dyDescent="0.2">
      <c r="AQ57879" s="31"/>
    </row>
    <row r="57880" spans="43:43" x14ac:dyDescent="0.2">
      <c r="AQ57880" s="31"/>
    </row>
    <row r="57881" spans="43:43" x14ac:dyDescent="0.2">
      <c r="AQ57881" s="31"/>
    </row>
    <row r="57882" spans="43:43" x14ac:dyDescent="0.2">
      <c r="AQ57882" s="31"/>
    </row>
    <row r="57883" spans="43:43" x14ac:dyDescent="0.2">
      <c r="AQ57883" s="31"/>
    </row>
    <row r="57884" spans="43:43" x14ac:dyDescent="0.2">
      <c r="AQ57884" s="31"/>
    </row>
    <row r="57885" spans="43:43" x14ac:dyDescent="0.2">
      <c r="AQ57885" s="31"/>
    </row>
    <row r="57886" spans="43:43" x14ac:dyDescent="0.2">
      <c r="AQ57886" s="31"/>
    </row>
    <row r="57887" spans="43:43" x14ac:dyDescent="0.2">
      <c r="AQ57887" s="31"/>
    </row>
    <row r="57888" spans="43:43" x14ac:dyDescent="0.2">
      <c r="AQ57888" s="31"/>
    </row>
    <row r="57889" spans="43:43" x14ac:dyDescent="0.2">
      <c r="AQ57889" s="31"/>
    </row>
    <row r="57890" spans="43:43" x14ac:dyDescent="0.2">
      <c r="AQ57890" s="31"/>
    </row>
    <row r="57891" spans="43:43" x14ac:dyDescent="0.2">
      <c r="AQ57891" s="31"/>
    </row>
    <row r="57892" spans="43:43" x14ac:dyDescent="0.2">
      <c r="AQ57892" s="31"/>
    </row>
    <row r="57893" spans="43:43" x14ac:dyDescent="0.2">
      <c r="AQ57893" s="31"/>
    </row>
    <row r="57894" spans="43:43" x14ac:dyDescent="0.2">
      <c r="AQ57894" s="31"/>
    </row>
    <row r="57895" spans="43:43" x14ac:dyDescent="0.2">
      <c r="AQ57895" s="31"/>
    </row>
    <row r="57896" spans="43:43" x14ac:dyDescent="0.2">
      <c r="AQ57896" s="31"/>
    </row>
    <row r="57897" spans="43:43" x14ac:dyDescent="0.2">
      <c r="AQ57897" s="31"/>
    </row>
    <row r="57898" spans="43:43" x14ac:dyDescent="0.2">
      <c r="AQ57898" s="31"/>
    </row>
    <row r="57899" spans="43:43" x14ac:dyDescent="0.2">
      <c r="AQ57899" s="31"/>
    </row>
    <row r="57900" spans="43:43" x14ac:dyDescent="0.2">
      <c r="AQ57900" s="31"/>
    </row>
    <row r="57901" spans="43:43" x14ac:dyDescent="0.2">
      <c r="AQ57901" s="31"/>
    </row>
    <row r="57902" spans="43:43" x14ac:dyDescent="0.2">
      <c r="AQ57902" s="31"/>
    </row>
    <row r="57903" spans="43:43" x14ac:dyDescent="0.2">
      <c r="AQ57903" s="31"/>
    </row>
    <row r="57904" spans="43:43" x14ac:dyDescent="0.2">
      <c r="AQ57904" s="31"/>
    </row>
    <row r="57905" spans="43:43" x14ac:dyDescent="0.2">
      <c r="AQ57905" s="31"/>
    </row>
    <row r="57906" spans="43:43" x14ac:dyDescent="0.2">
      <c r="AQ57906" s="31"/>
    </row>
    <row r="57907" spans="43:43" x14ac:dyDescent="0.2">
      <c r="AQ57907" s="31"/>
    </row>
    <row r="57908" spans="43:43" x14ac:dyDescent="0.2">
      <c r="AQ57908" s="31"/>
    </row>
    <row r="57909" spans="43:43" x14ac:dyDescent="0.2">
      <c r="AQ57909" s="31"/>
    </row>
    <row r="57910" spans="43:43" x14ac:dyDescent="0.2">
      <c r="AQ57910" s="31"/>
    </row>
    <row r="57911" spans="43:43" x14ac:dyDescent="0.2">
      <c r="AQ57911" s="31"/>
    </row>
    <row r="57912" spans="43:43" x14ac:dyDescent="0.2">
      <c r="AQ57912" s="31"/>
    </row>
    <row r="57913" spans="43:43" x14ac:dyDescent="0.2">
      <c r="AQ57913" s="31"/>
    </row>
    <row r="57914" spans="43:43" x14ac:dyDescent="0.2">
      <c r="AQ57914" s="31"/>
    </row>
    <row r="57915" spans="43:43" x14ac:dyDescent="0.2">
      <c r="AQ57915" s="31"/>
    </row>
    <row r="57916" spans="43:43" x14ac:dyDescent="0.2">
      <c r="AQ57916" s="31"/>
    </row>
    <row r="57917" spans="43:43" x14ac:dyDescent="0.2">
      <c r="AQ57917" s="31"/>
    </row>
    <row r="57918" spans="43:43" x14ac:dyDescent="0.2">
      <c r="AQ57918" s="31"/>
    </row>
    <row r="57919" spans="43:43" x14ac:dyDescent="0.2">
      <c r="AQ57919" s="31"/>
    </row>
    <row r="57920" spans="43:43" x14ac:dyDescent="0.2">
      <c r="AQ57920" s="31"/>
    </row>
    <row r="57921" spans="43:43" x14ac:dyDescent="0.2">
      <c r="AQ57921" s="31"/>
    </row>
    <row r="57922" spans="43:43" x14ac:dyDescent="0.2">
      <c r="AQ57922" s="31"/>
    </row>
    <row r="57923" spans="43:43" x14ac:dyDescent="0.2">
      <c r="AQ57923" s="31"/>
    </row>
    <row r="57924" spans="43:43" x14ac:dyDescent="0.2">
      <c r="AQ57924" s="31"/>
    </row>
    <row r="57925" spans="43:43" x14ac:dyDescent="0.2">
      <c r="AQ57925" s="31"/>
    </row>
    <row r="57926" spans="43:43" x14ac:dyDescent="0.2">
      <c r="AQ57926" s="31"/>
    </row>
    <row r="57927" spans="43:43" x14ac:dyDescent="0.2">
      <c r="AQ57927" s="31"/>
    </row>
    <row r="57928" spans="43:43" x14ac:dyDescent="0.2">
      <c r="AQ57928" s="31"/>
    </row>
    <row r="57929" spans="43:43" x14ac:dyDescent="0.2">
      <c r="AQ57929" s="31"/>
    </row>
    <row r="57930" spans="43:43" x14ac:dyDescent="0.2">
      <c r="AQ57930" s="31"/>
    </row>
    <row r="57931" spans="43:43" x14ac:dyDescent="0.2">
      <c r="AQ57931" s="31"/>
    </row>
    <row r="57932" spans="43:43" x14ac:dyDescent="0.2">
      <c r="AQ57932" s="31"/>
    </row>
    <row r="57933" spans="43:43" x14ac:dyDescent="0.2">
      <c r="AQ57933" s="31"/>
    </row>
    <row r="57934" spans="43:43" x14ac:dyDescent="0.2">
      <c r="AQ57934" s="31"/>
    </row>
    <row r="57935" spans="43:43" x14ac:dyDescent="0.2">
      <c r="AQ57935" s="31"/>
    </row>
    <row r="57936" spans="43:43" x14ac:dyDescent="0.2">
      <c r="AQ57936" s="31"/>
    </row>
    <row r="57937" spans="43:43" x14ac:dyDescent="0.2">
      <c r="AQ57937" s="31"/>
    </row>
    <row r="57938" spans="43:43" x14ac:dyDescent="0.2">
      <c r="AQ57938" s="31"/>
    </row>
    <row r="57939" spans="43:43" x14ac:dyDescent="0.2">
      <c r="AQ57939" s="31"/>
    </row>
    <row r="57940" spans="43:43" x14ac:dyDescent="0.2">
      <c r="AQ57940" s="31"/>
    </row>
    <row r="57941" spans="43:43" x14ac:dyDescent="0.2">
      <c r="AQ57941" s="31"/>
    </row>
    <row r="57942" spans="43:43" x14ac:dyDescent="0.2">
      <c r="AQ57942" s="31"/>
    </row>
    <row r="57943" spans="43:43" x14ac:dyDescent="0.2">
      <c r="AQ57943" s="31"/>
    </row>
    <row r="57944" spans="43:43" x14ac:dyDescent="0.2">
      <c r="AQ57944" s="31"/>
    </row>
    <row r="57945" spans="43:43" x14ac:dyDescent="0.2">
      <c r="AQ57945" s="31"/>
    </row>
    <row r="57946" spans="43:43" x14ac:dyDescent="0.2">
      <c r="AQ57946" s="31"/>
    </row>
    <row r="57947" spans="43:43" x14ac:dyDescent="0.2">
      <c r="AQ57947" s="31"/>
    </row>
    <row r="57948" spans="43:43" x14ac:dyDescent="0.2">
      <c r="AQ57948" s="31"/>
    </row>
    <row r="57949" spans="43:43" x14ac:dyDescent="0.2">
      <c r="AQ57949" s="31"/>
    </row>
    <row r="57950" spans="43:43" x14ac:dyDescent="0.2">
      <c r="AQ57950" s="31"/>
    </row>
    <row r="57951" spans="43:43" x14ac:dyDescent="0.2">
      <c r="AQ57951" s="31"/>
    </row>
    <row r="57952" spans="43:43" x14ac:dyDescent="0.2">
      <c r="AQ57952" s="31"/>
    </row>
    <row r="57953" spans="43:43" x14ac:dyDescent="0.2">
      <c r="AQ57953" s="31"/>
    </row>
    <row r="57954" spans="43:43" x14ac:dyDescent="0.2">
      <c r="AQ57954" s="31"/>
    </row>
    <row r="57955" spans="43:43" x14ac:dyDescent="0.2">
      <c r="AQ57955" s="31"/>
    </row>
    <row r="57956" spans="43:43" x14ac:dyDescent="0.2">
      <c r="AQ57956" s="31"/>
    </row>
    <row r="57957" spans="43:43" x14ac:dyDescent="0.2">
      <c r="AQ57957" s="31"/>
    </row>
    <row r="57958" spans="43:43" x14ac:dyDescent="0.2">
      <c r="AQ57958" s="31"/>
    </row>
    <row r="57959" spans="43:43" x14ac:dyDescent="0.2">
      <c r="AQ57959" s="31"/>
    </row>
    <row r="57960" spans="43:43" x14ac:dyDescent="0.2">
      <c r="AQ57960" s="31"/>
    </row>
    <row r="57961" spans="43:43" x14ac:dyDescent="0.2">
      <c r="AQ57961" s="31"/>
    </row>
    <row r="57962" spans="43:43" x14ac:dyDescent="0.2">
      <c r="AQ57962" s="31"/>
    </row>
    <row r="57963" spans="43:43" x14ac:dyDescent="0.2">
      <c r="AQ57963" s="31"/>
    </row>
    <row r="57964" spans="43:43" x14ac:dyDescent="0.2">
      <c r="AQ57964" s="31"/>
    </row>
    <row r="57965" spans="43:43" x14ac:dyDescent="0.2">
      <c r="AQ57965" s="31"/>
    </row>
    <row r="57966" spans="43:43" x14ac:dyDescent="0.2">
      <c r="AQ57966" s="31"/>
    </row>
    <row r="57967" spans="43:43" x14ac:dyDescent="0.2">
      <c r="AQ57967" s="31"/>
    </row>
    <row r="57968" spans="43:43" x14ac:dyDescent="0.2">
      <c r="AQ57968" s="31"/>
    </row>
    <row r="57969" spans="43:43" x14ac:dyDescent="0.2">
      <c r="AQ57969" s="31"/>
    </row>
    <row r="57970" spans="43:43" x14ac:dyDescent="0.2">
      <c r="AQ57970" s="31"/>
    </row>
    <row r="57971" spans="43:43" x14ac:dyDescent="0.2">
      <c r="AQ57971" s="31"/>
    </row>
    <row r="57972" spans="43:43" x14ac:dyDescent="0.2">
      <c r="AQ57972" s="31"/>
    </row>
    <row r="57973" spans="43:43" x14ac:dyDescent="0.2">
      <c r="AQ57973" s="31"/>
    </row>
    <row r="57974" spans="43:43" x14ac:dyDescent="0.2">
      <c r="AQ57974" s="31"/>
    </row>
    <row r="57975" spans="43:43" x14ac:dyDescent="0.2">
      <c r="AQ57975" s="31"/>
    </row>
    <row r="57976" spans="43:43" x14ac:dyDescent="0.2">
      <c r="AQ57976" s="31"/>
    </row>
    <row r="57977" spans="43:43" x14ac:dyDescent="0.2">
      <c r="AQ57977" s="31"/>
    </row>
    <row r="57978" spans="43:43" x14ac:dyDescent="0.2">
      <c r="AQ57978" s="31"/>
    </row>
    <row r="57979" spans="43:43" x14ac:dyDescent="0.2">
      <c r="AQ57979" s="31"/>
    </row>
    <row r="57980" spans="43:43" x14ac:dyDescent="0.2">
      <c r="AQ57980" s="31"/>
    </row>
    <row r="57981" spans="43:43" x14ac:dyDescent="0.2">
      <c r="AQ57981" s="31"/>
    </row>
    <row r="57982" spans="43:43" x14ac:dyDescent="0.2">
      <c r="AQ57982" s="31"/>
    </row>
    <row r="57983" spans="43:43" x14ac:dyDescent="0.2">
      <c r="AQ57983" s="31"/>
    </row>
    <row r="57984" spans="43:43" x14ac:dyDescent="0.2">
      <c r="AQ57984" s="31"/>
    </row>
    <row r="57985" spans="43:43" x14ac:dyDescent="0.2">
      <c r="AQ57985" s="31"/>
    </row>
    <row r="57986" spans="43:43" x14ac:dyDescent="0.2">
      <c r="AQ57986" s="31"/>
    </row>
    <row r="57987" spans="43:43" x14ac:dyDescent="0.2">
      <c r="AQ57987" s="31"/>
    </row>
    <row r="57988" spans="43:43" x14ac:dyDescent="0.2">
      <c r="AQ57988" s="31"/>
    </row>
    <row r="57989" spans="43:43" x14ac:dyDescent="0.2">
      <c r="AQ57989" s="31"/>
    </row>
    <row r="57990" spans="43:43" x14ac:dyDescent="0.2">
      <c r="AQ57990" s="31"/>
    </row>
    <row r="57991" spans="43:43" x14ac:dyDescent="0.2">
      <c r="AQ57991" s="31"/>
    </row>
    <row r="57992" spans="43:43" x14ac:dyDescent="0.2">
      <c r="AQ57992" s="31"/>
    </row>
    <row r="57993" spans="43:43" x14ac:dyDescent="0.2">
      <c r="AQ57993" s="31"/>
    </row>
    <row r="57994" spans="43:43" x14ac:dyDescent="0.2">
      <c r="AQ57994" s="31"/>
    </row>
    <row r="57995" spans="43:43" x14ac:dyDescent="0.2">
      <c r="AQ57995" s="31"/>
    </row>
    <row r="57996" spans="43:43" x14ac:dyDescent="0.2">
      <c r="AQ57996" s="31"/>
    </row>
    <row r="57997" spans="43:43" x14ac:dyDescent="0.2">
      <c r="AQ57997" s="31"/>
    </row>
    <row r="57998" spans="43:43" x14ac:dyDescent="0.2">
      <c r="AQ57998" s="31"/>
    </row>
    <row r="57999" spans="43:43" x14ac:dyDescent="0.2">
      <c r="AQ57999" s="31"/>
    </row>
    <row r="58000" spans="43:43" x14ac:dyDescent="0.2">
      <c r="AQ58000" s="31"/>
    </row>
    <row r="58001" spans="43:43" x14ac:dyDescent="0.2">
      <c r="AQ58001" s="31"/>
    </row>
    <row r="58002" spans="43:43" x14ac:dyDescent="0.2">
      <c r="AQ58002" s="31"/>
    </row>
    <row r="58003" spans="43:43" x14ac:dyDescent="0.2">
      <c r="AQ58003" s="31"/>
    </row>
    <row r="58004" spans="43:43" x14ac:dyDescent="0.2">
      <c r="AQ58004" s="31"/>
    </row>
    <row r="58005" spans="43:43" x14ac:dyDescent="0.2">
      <c r="AQ58005" s="31"/>
    </row>
    <row r="58006" spans="43:43" x14ac:dyDescent="0.2">
      <c r="AQ58006" s="31"/>
    </row>
    <row r="58007" spans="43:43" x14ac:dyDescent="0.2">
      <c r="AQ58007" s="31"/>
    </row>
    <row r="58008" spans="43:43" x14ac:dyDescent="0.2">
      <c r="AQ58008" s="31"/>
    </row>
    <row r="58009" spans="43:43" x14ac:dyDescent="0.2">
      <c r="AQ58009" s="31"/>
    </row>
    <row r="58010" spans="43:43" x14ac:dyDescent="0.2">
      <c r="AQ58010" s="31"/>
    </row>
    <row r="58011" spans="43:43" x14ac:dyDescent="0.2">
      <c r="AQ58011" s="31"/>
    </row>
    <row r="58012" spans="43:43" x14ac:dyDescent="0.2">
      <c r="AQ58012" s="31"/>
    </row>
    <row r="58013" spans="43:43" x14ac:dyDescent="0.2">
      <c r="AQ58013" s="31"/>
    </row>
    <row r="58014" spans="43:43" x14ac:dyDescent="0.2">
      <c r="AQ58014" s="31"/>
    </row>
    <row r="58015" spans="43:43" x14ac:dyDescent="0.2">
      <c r="AQ58015" s="31"/>
    </row>
    <row r="58016" spans="43:43" x14ac:dyDescent="0.2">
      <c r="AQ58016" s="31"/>
    </row>
    <row r="58017" spans="43:43" x14ac:dyDescent="0.2">
      <c r="AQ58017" s="31"/>
    </row>
    <row r="58018" spans="43:43" x14ac:dyDescent="0.2">
      <c r="AQ58018" s="31"/>
    </row>
    <row r="58019" spans="43:43" x14ac:dyDescent="0.2">
      <c r="AQ58019" s="31"/>
    </row>
    <row r="58020" spans="43:43" x14ac:dyDescent="0.2">
      <c r="AQ58020" s="31"/>
    </row>
    <row r="58021" spans="43:43" x14ac:dyDescent="0.2">
      <c r="AQ58021" s="31"/>
    </row>
    <row r="58022" spans="43:43" x14ac:dyDescent="0.2">
      <c r="AQ58022" s="31"/>
    </row>
    <row r="58023" spans="43:43" x14ac:dyDescent="0.2">
      <c r="AQ58023" s="31"/>
    </row>
    <row r="58024" spans="43:43" x14ac:dyDescent="0.2">
      <c r="AQ58024" s="31"/>
    </row>
    <row r="58025" spans="43:43" x14ac:dyDescent="0.2">
      <c r="AQ58025" s="31"/>
    </row>
    <row r="58026" spans="43:43" x14ac:dyDescent="0.2">
      <c r="AQ58026" s="31"/>
    </row>
    <row r="58027" spans="43:43" x14ac:dyDescent="0.2">
      <c r="AQ58027" s="31"/>
    </row>
    <row r="58028" spans="43:43" x14ac:dyDescent="0.2">
      <c r="AQ58028" s="31"/>
    </row>
    <row r="58029" spans="43:43" x14ac:dyDescent="0.2">
      <c r="AQ58029" s="31"/>
    </row>
    <row r="58030" spans="43:43" x14ac:dyDescent="0.2">
      <c r="AQ58030" s="31"/>
    </row>
    <row r="58031" spans="43:43" x14ac:dyDescent="0.2">
      <c r="AQ58031" s="31"/>
    </row>
    <row r="58032" spans="43:43" x14ac:dyDescent="0.2">
      <c r="AQ58032" s="31"/>
    </row>
    <row r="58033" spans="43:43" x14ac:dyDescent="0.2">
      <c r="AQ58033" s="31"/>
    </row>
    <row r="58034" spans="43:43" x14ac:dyDescent="0.2">
      <c r="AQ58034" s="31"/>
    </row>
    <row r="58035" spans="43:43" x14ac:dyDescent="0.2">
      <c r="AQ58035" s="31"/>
    </row>
    <row r="58036" spans="43:43" x14ac:dyDescent="0.2">
      <c r="AQ58036" s="31"/>
    </row>
    <row r="58037" spans="43:43" x14ac:dyDescent="0.2">
      <c r="AQ58037" s="31"/>
    </row>
    <row r="58038" spans="43:43" x14ac:dyDescent="0.2">
      <c r="AQ58038" s="31"/>
    </row>
    <row r="58039" spans="43:43" x14ac:dyDescent="0.2">
      <c r="AQ58039" s="31"/>
    </row>
    <row r="58040" spans="43:43" x14ac:dyDescent="0.2">
      <c r="AQ58040" s="31"/>
    </row>
    <row r="58041" spans="43:43" x14ac:dyDescent="0.2">
      <c r="AQ58041" s="31"/>
    </row>
    <row r="58042" spans="43:43" x14ac:dyDescent="0.2">
      <c r="AQ58042" s="31"/>
    </row>
    <row r="58043" spans="43:43" x14ac:dyDescent="0.2">
      <c r="AQ58043" s="31"/>
    </row>
    <row r="58044" spans="43:43" x14ac:dyDescent="0.2">
      <c r="AQ58044" s="31"/>
    </row>
    <row r="58045" spans="43:43" x14ac:dyDescent="0.2">
      <c r="AQ58045" s="31"/>
    </row>
    <row r="58046" spans="43:43" x14ac:dyDescent="0.2">
      <c r="AQ58046" s="31"/>
    </row>
    <row r="58047" spans="43:43" x14ac:dyDescent="0.2">
      <c r="AQ58047" s="31"/>
    </row>
    <row r="58048" spans="43:43" x14ac:dyDescent="0.2">
      <c r="AQ58048" s="31"/>
    </row>
    <row r="58049" spans="43:43" x14ac:dyDescent="0.2">
      <c r="AQ58049" s="31"/>
    </row>
    <row r="58050" spans="43:43" x14ac:dyDescent="0.2">
      <c r="AQ58050" s="31"/>
    </row>
    <row r="58051" spans="43:43" x14ac:dyDescent="0.2">
      <c r="AQ58051" s="31"/>
    </row>
    <row r="58052" spans="43:43" x14ac:dyDescent="0.2">
      <c r="AQ58052" s="31"/>
    </row>
    <row r="58053" spans="43:43" x14ac:dyDescent="0.2">
      <c r="AQ58053" s="31"/>
    </row>
    <row r="58054" spans="43:43" x14ac:dyDescent="0.2">
      <c r="AQ58054" s="31"/>
    </row>
    <row r="58055" spans="43:43" x14ac:dyDescent="0.2">
      <c r="AQ58055" s="31"/>
    </row>
    <row r="58056" spans="43:43" x14ac:dyDescent="0.2">
      <c r="AQ58056" s="31"/>
    </row>
    <row r="58057" spans="43:43" x14ac:dyDescent="0.2">
      <c r="AQ58057" s="31"/>
    </row>
    <row r="58058" spans="43:43" x14ac:dyDescent="0.2">
      <c r="AQ58058" s="31"/>
    </row>
    <row r="58059" spans="43:43" x14ac:dyDescent="0.2">
      <c r="AQ58059" s="31"/>
    </row>
    <row r="58060" spans="43:43" x14ac:dyDescent="0.2">
      <c r="AQ58060" s="31"/>
    </row>
    <row r="58061" spans="43:43" x14ac:dyDescent="0.2">
      <c r="AQ58061" s="31"/>
    </row>
    <row r="58062" spans="43:43" x14ac:dyDescent="0.2">
      <c r="AQ58062" s="31"/>
    </row>
    <row r="58063" spans="43:43" x14ac:dyDescent="0.2">
      <c r="AQ58063" s="31"/>
    </row>
    <row r="58064" spans="43:43" x14ac:dyDescent="0.2">
      <c r="AQ58064" s="31"/>
    </row>
    <row r="58065" spans="43:43" x14ac:dyDescent="0.2">
      <c r="AQ58065" s="31"/>
    </row>
    <row r="58066" spans="43:43" x14ac:dyDescent="0.2">
      <c r="AQ58066" s="31"/>
    </row>
    <row r="58067" spans="43:43" x14ac:dyDescent="0.2">
      <c r="AQ58067" s="31"/>
    </row>
    <row r="58068" spans="43:43" x14ac:dyDescent="0.2">
      <c r="AQ58068" s="31"/>
    </row>
    <row r="58069" spans="43:43" x14ac:dyDescent="0.2">
      <c r="AQ58069" s="31"/>
    </row>
    <row r="58070" spans="43:43" x14ac:dyDescent="0.2">
      <c r="AQ58070" s="31"/>
    </row>
    <row r="58071" spans="43:43" x14ac:dyDescent="0.2">
      <c r="AQ58071" s="31"/>
    </row>
    <row r="58072" spans="43:43" x14ac:dyDescent="0.2">
      <c r="AQ58072" s="31"/>
    </row>
    <row r="58073" spans="43:43" x14ac:dyDescent="0.2">
      <c r="AQ58073" s="31"/>
    </row>
    <row r="58074" spans="43:43" x14ac:dyDescent="0.2">
      <c r="AQ58074" s="31"/>
    </row>
    <row r="58075" spans="43:43" x14ac:dyDescent="0.2">
      <c r="AQ58075" s="31"/>
    </row>
    <row r="58076" spans="43:43" x14ac:dyDescent="0.2">
      <c r="AQ58076" s="31"/>
    </row>
    <row r="58077" spans="43:43" x14ac:dyDescent="0.2">
      <c r="AQ58077" s="31"/>
    </row>
    <row r="58078" spans="43:43" x14ac:dyDescent="0.2">
      <c r="AQ58078" s="31"/>
    </row>
    <row r="58079" spans="43:43" x14ac:dyDescent="0.2">
      <c r="AQ58079" s="31"/>
    </row>
    <row r="58080" spans="43:43" x14ac:dyDescent="0.2">
      <c r="AQ58080" s="31"/>
    </row>
    <row r="58081" spans="43:43" x14ac:dyDescent="0.2">
      <c r="AQ58081" s="31"/>
    </row>
    <row r="58082" spans="43:43" x14ac:dyDescent="0.2">
      <c r="AQ58082" s="31"/>
    </row>
    <row r="58083" spans="43:43" x14ac:dyDescent="0.2">
      <c r="AQ58083" s="31"/>
    </row>
    <row r="58084" spans="43:43" x14ac:dyDescent="0.2">
      <c r="AQ58084" s="31"/>
    </row>
    <row r="58085" spans="43:43" x14ac:dyDescent="0.2">
      <c r="AQ58085" s="31"/>
    </row>
    <row r="58086" spans="43:43" x14ac:dyDescent="0.2">
      <c r="AQ58086" s="31"/>
    </row>
    <row r="58087" spans="43:43" x14ac:dyDescent="0.2">
      <c r="AQ58087" s="31"/>
    </row>
    <row r="58088" spans="43:43" x14ac:dyDescent="0.2">
      <c r="AQ58088" s="31"/>
    </row>
    <row r="58089" spans="43:43" x14ac:dyDescent="0.2">
      <c r="AQ58089" s="31"/>
    </row>
    <row r="58090" spans="43:43" x14ac:dyDescent="0.2">
      <c r="AQ58090" s="31"/>
    </row>
    <row r="58091" spans="43:43" x14ac:dyDescent="0.2">
      <c r="AQ58091" s="31"/>
    </row>
    <row r="58092" spans="43:43" x14ac:dyDescent="0.2">
      <c r="AQ58092" s="31"/>
    </row>
    <row r="58093" spans="43:43" x14ac:dyDescent="0.2">
      <c r="AQ58093" s="31"/>
    </row>
    <row r="58094" spans="43:43" x14ac:dyDescent="0.2">
      <c r="AQ58094" s="31"/>
    </row>
    <row r="58095" spans="43:43" x14ac:dyDescent="0.2">
      <c r="AQ58095" s="31"/>
    </row>
    <row r="58096" spans="43:43" x14ac:dyDescent="0.2">
      <c r="AQ58096" s="31"/>
    </row>
    <row r="58097" spans="43:43" x14ac:dyDescent="0.2">
      <c r="AQ58097" s="31"/>
    </row>
    <row r="58098" spans="43:43" x14ac:dyDescent="0.2">
      <c r="AQ58098" s="31"/>
    </row>
    <row r="58099" spans="43:43" x14ac:dyDescent="0.2">
      <c r="AQ58099" s="31"/>
    </row>
    <row r="58100" spans="43:43" x14ac:dyDescent="0.2">
      <c r="AQ58100" s="31"/>
    </row>
    <row r="58101" spans="43:43" x14ac:dyDescent="0.2">
      <c r="AQ58101" s="31"/>
    </row>
    <row r="58102" spans="43:43" x14ac:dyDescent="0.2">
      <c r="AQ58102" s="31"/>
    </row>
    <row r="58103" spans="43:43" x14ac:dyDescent="0.2">
      <c r="AQ58103" s="31"/>
    </row>
    <row r="58104" spans="43:43" x14ac:dyDescent="0.2">
      <c r="AQ58104" s="31"/>
    </row>
    <row r="58105" spans="43:43" x14ac:dyDescent="0.2">
      <c r="AQ58105" s="31"/>
    </row>
    <row r="58106" spans="43:43" x14ac:dyDescent="0.2">
      <c r="AQ58106" s="31"/>
    </row>
    <row r="58107" spans="43:43" x14ac:dyDescent="0.2">
      <c r="AQ58107" s="31"/>
    </row>
    <row r="58108" spans="43:43" x14ac:dyDescent="0.2">
      <c r="AQ58108" s="31"/>
    </row>
    <row r="58109" spans="43:43" x14ac:dyDescent="0.2">
      <c r="AQ58109" s="31"/>
    </row>
    <row r="58110" spans="43:43" x14ac:dyDescent="0.2">
      <c r="AQ58110" s="31"/>
    </row>
    <row r="58111" spans="43:43" x14ac:dyDescent="0.2">
      <c r="AQ58111" s="31"/>
    </row>
    <row r="58112" spans="43:43" x14ac:dyDescent="0.2">
      <c r="AQ58112" s="31"/>
    </row>
    <row r="58113" spans="43:43" x14ac:dyDescent="0.2">
      <c r="AQ58113" s="31"/>
    </row>
    <row r="58114" spans="43:43" x14ac:dyDescent="0.2">
      <c r="AQ58114" s="31"/>
    </row>
    <row r="58115" spans="43:43" x14ac:dyDescent="0.2">
      <c r="AQ58115" s="31"/>
    </row>
    <row r="58116" spans="43:43" x14ac:dyDescent="0.2">
      <c r="AQ58116" s="31"/>
    </row>
    <row r="58117" spans="43:43" x14ac:dyDescent="0.2">
      <c r="AQ58117" s="31"/>
    </row>
    <row r="58118" spans="43:43" x14ac:dyDescent="0.2">
      <c r="AQ58118" s="31"/>
    </row>
    <row r="58119" spans="43:43" x14ac:dyDescent="0.2">
      <c r="AQ58119" s="31"/>
    </row>
    <row r="58120" spans="43:43" x14ac:dyDescent="0.2">
      <c r="AQ58120" s="31"/>
    </row>
    <row r="58121" spans="43:43" x14ac:dyDescent="0.2">
      <c r="AQ58121" s="31"/>
    </row>
    <row r="58122" spans="43:43" x14ac:dyDescent="0.2">
      <c r="AQ58122" s="31"/>
    </row>
    <row r="58123" spans="43:43" x14ac:dyDescent="0.2">
      <c r="AQ58123" s="31"/>
    </row>
    <row r="58124" spans="43:43" x14ac:dyDescent="0.2">
      <c r="AQ58124" s="31"/>
    </row>
    <row r="58125" spans="43:43" x14ac:dyDescent="0.2">
      <c r="AQ58125" s="31"/>
    </row>
    <row r="58126" spans="43:43" x14ac:dyDescent="0.2">
      <c r="AQ58126" s="31"/>
    </row>
    <row r="58127" spans="43:43" x14ac:dyDescent="0.2">
      <c r="AQ58127" s="31"/>
    </row>
    <row r="58128" spans="43:43" x14ac:dyDescent="0.2">
      <c r="AQ58128" s="31"/>
    </row>
    <row r="58129" spans="43:43" x14ac:dyDescent="0.2">
      <c r="AQ58129" s="31"/>
    </row>
    <row r="58130" spans="43:43" x14ac:dyDescent="0.2">
      <c r="AQ58130" s="31"/>
    </row>
    <row r="58131" spans="43:43" x14ac:dyDescent="0.2">
      <c r="AQ58131" s="31"/>
    </row>
    <row r="58132" spans="43:43" x14ac:dyDescent="0.2">
      <c r="AQ58132" s="31"/>
    </row>
    <row r="58133" spans="43:43" x14ac:dyDescent="0.2">
      <c r="AQ58133" s="31"/>
    </row>
    <row r="58134" spans="43:43" x14ac:dyDescent="0.2">
      <c r="AQ58134" s="31"/>
    </row>
    <row r="58135" spans="43:43" x14ac:dyDescent="0.2">
      <c r="AQ58135" s="31"/>
    </row>
    <row r="58136" spans="43:43" x14ac:dyDescent="0.2">
      <c r="AQ58136" s="31"/>
    </row>
    <row r="58137" spans="43:43" x14ac:dyDescent="0.2">
      <c r="AQ58137" s="31"/>
    </row>
    <row r="58138" spans="43:43" x14ac:dyDescent="0.2">
      <c r="AQ58138" s="31"/>
    </row>
    <row r="58139" spans="43:43" x14ac:dyDescent="0.2">
      <c r="AQ58139" s="31"/>
    </row>
    <row r="58140" spans="43:43" x14ac:dyDescent="0.2">
      <c r="AQ58140" s="31"/>
    </row>
    <row r="58141" spans="43:43" x14ac:dyDescent="0.2">
      <c r="AQ58141" s="31"/>
    </row>
    <row r="58142" spans="43:43" x14ac:dyDescent="0.2">
      <c r="AQ58142" s="31"/>
    </row>
    <row r="58143" spans="43:43" x14ac:dyDescent="0.2">
      <c r="AQ58143" s="31"/>
    </row>
    <row r="58144" spans="43:43" x14ac:dyDescent="0.2">
      <c r="AQ58144" s="31"/>
    </row>
    <row r="58145" spans="43:43" x14ac:dyDescent="0.2">
      <c r="AQ58145" s="31"/>
    </row>
    <row r="58146" spans="43:43" x14ac:dyDescent="0.2">
      <c r="AQ58146" s="31"/>
    </row>
    <row r="58147" spans="43:43" x14ac:dyDescent="0.2">
      <c r="AQ58147" s="31"/>
    </row>
    <row r="58148" spans="43:43" x14ac:dyDescent="0.2">
      <c r="AQ58148" s="31"/>
    </row>
    <row r="58149" spans="43:43" x14ac:dyDescent="0.2">
      <c r="AQ58149" s="31"/>
    </row>
    <row r="58150" spans="43:43" x14ac:dyDescent="0.2">
      <c r="AQ58150" s="31"/>
    </row>
    <row r="58151" spans="43:43" x14ac:dyDescent="0.2">
      <c r="AQ58151" s="31"/>
    </row>
    <row r="58152" spans="43:43" x14ac:dyDescent="0.2">
      <c r="AQ58152" s="31"/>
    </row>
    <row r="58153" spans="43:43" x14ac:dyDescent="0.2">
      <c r="AQ58153" s="31"/>
    </row>
    <row r="58154" spans="43:43" x14ac:dyDescent="0.2">
      <c r="AQ58154" s="31"/>
    </row>
    <row r="58155" spans="43:43" x14ac:dyDescent="0.2">
      <c r="AQ58155" s="31"/>
    </row>
    <row r="58156" spans="43:43" x14ac:dyDescent="0.2">
      <c r="AQ58156" s="31"/>
    </row>
    <row r="58157" spans="43:43" x14ac:dyDescent="0.2">
      <c r="AQ58157" s="31"/>
    </row>
    <row r="58158" spans="43:43" x14ac:dyDescent="0.2">
      <c r="AQ58158" s="31"/>
    </row>
    <row r="58159" spans="43:43" x14ac:dyDescent="0.2">
      <c r="AQ58159" s="31"/>
    </row>
    <row r="58160" spans="43:43" x14ac:dyDescent="0.2">
      <c r="AQ58160" s="31"/>
    </row>
    <row r="58161" spans="43:43" x14ac:dyDescent="0.2">
      <c r="AQ58161" s="31"/>
    </row>
    <row r="58162" spans="43:43" x14ac:dyDescent="0.2">
      <c r="AQ58162" s="31"/>
    </row>
    <row r="58163" spans="43:43" x14ac:dyDescent="0.2">
      <c r="AQ58163" s="31"/>
    </row>
    <row r="58164" spans="43:43" x14ac:dyDescent="0.2">
      <c r="AQ58164" s="31"/>
    </row>
    <row r="58165" spans="43:43" x14ac:dyDescent="0.2">
      <c r="AQ58165" s="31"/>
    </row>
    <row r="58166" spans="43:43" x14ac:dyDescent="0.2">
      <c r="AQ58166" s="31"/>
    </row>
    <row r="58167" spans="43:43" x14ac:dyDescent="0.2">
      <c r="AQ58167" s="31"/>
    </row>
    <row r="58168" spans="43:43" x14ac:dyDescent="0.2">
      <c r="AQ58168" s="31"/>
    </row>
    <row r="58169" spans="43:43" x14ac:dyDescent="0.2">
      <c r="AQ58169" s="31"/>
    </row>
    <row r="58170" spans="43:43" x14ac:dyDescent="0.2">
      <c r="AQ58170" s="31"/>
    </row>
    <row r="58171" spans="43:43" x14ac:dyDescent="0.2">
      <c r="AQ58171" s="31"/>
    </row>
    <row r="58172" spans="43:43" x14ac:dyDescent="0.2">
      <c r="AQ58172" s="31"/>
    </row>
    <row r="58173" spans="43:43" x14ac:dyDescent="0.2">
      <c r="AQ58173" s="31"/>
    </row>
    <row r="58174" spans="43:43" x14ac:dyDescent="0.2">
      <c r="AQ58174" s="31"/>
    </row>
    <row r="58175" spans="43:43" x14ac:dyDescent="0.2">
      <c r="AQ58175" s="31"/>
    </row>
    <row r="58176" spans="43:43" x14ac:dyDescent="0.2">
      <c r="AQ58176" s="31"/>
    </row>
    <row r="58177" spans="43:43" x14ac:dyDescent="0.2">
      <c r="AQ58177" s="31"/>
    </row>
    <row r="58178" spans="43:43" x14ac:dyDescent="0.2">
      <c r="AQ58178" s="31"/>
    </row>
    <row r="58179" spans="43:43" x14ac:dyDescent="0.2">
      <c r="AQ58179" s="31"/>
    </row>
    <row r="58180" spans="43:43" x14ac:dyDescent="0.2">
      <c r="AQ58180" s="31"/>
    </row>
    <row r="58181" spans="43:43" x14ac:dyDescent="0.2">
      <c r="AQ58181" s="31"/>
    </row>
    <row r="58182" spans="43:43" x14ac:dyDescent="0.2">
      <c r="AQ58182" s="31"/>
    </row>
    <row r="58183" spans="43:43" x14ac:dyDescent="0.2">
      <c r="AQ58183" s="31"/>
    </row>
    <row r="58184" spans="43:43" x14ac:dyDescent="0.2">
      <c r="AQ58184" s="31"/>
    </row>
    <row r="58185" spans="43:43" x14ac:dyDescent="0.2">
      <c r="AQ58185" s="31"/>
    </row>
    <row r="58186" spans="43:43" x14ac:dyDescent="0.2">
      <c r="AQ58186" s="31"/>
    </row>
    <row r="58187" spans="43:43" x14ac:dyDescent="0.2">
      <c r="AQ58187" s="31"/>
    </row>
    <row r="58188" spans="43:43" x14ac:dyDescent="0.2">
      <c r="AQ58188" s="31"/>
    </row>
    <row r="58189" spans="43:43" x14ac:dyDescent="0.2">
      <c r="AQ58189" s="31"/>
    </row>
    <row r="58190" spans="43:43" x14ac:dyDescent="0.2">
      <c r="AQ58190" s="31"/>
    </row>
    <row r="58191" spans="43:43" x14ac:dyDescent="0.2">
      <c r="AQ58191" s="31"/>
    </row>
    <row r="58192" spans="43:43" x14ac:dyDescent="0.2">
      <c r="AQ58192" s="31"/>
    </row>
    <row r="58193" spans="43:43" x14ac:dyDescent="0.2">
      <c r="AQ58193" s="31"/>
    </row>
    <row r="58194" spans="43:43" x14ac:dyDescent="0.2">
      <c r="AQ58194" s="31"/>
    </row>
    <row r="58195" spans="43:43" x14ac:dyDescent="0.2">
      <c r="AQ58195" s="31"/>
    </row>
    <row r="58196" spans="43:43" x14ac:dyDescent="0.2">
      <c r="AQ58196" s="31"/>
    </row>
    <row r="58197" spans="43:43" x14ac:dyDescent="0.2">
      <c r="AQ58197" s="31"/>
    </row>
    <row r="58198" spans="43:43" x14ac:dyDescent="0.2">
      <c r="AQ58198" s="31"/>
    </row>
    <row r="58199" spans="43:43" x14ac:dyDescent="0.2">
      <c r="AQ58199" s="31"/>
    </row>
    <row r="58200" spans="43:43" x14ac:dyDescent="0.2">
      <c r="AQ58200" s="31"/>
    </row>
    <row r="58201" spans="43:43" x14ac:dyDescent="0.2">
      <c r="AQ58201" s="31"/>
    </row>
    <row r="58202" spans="43:43" x14ac:dyDescent="0.2">
      <c r="AQ58202" s="31"/>
    </row>
    <row r="58203" spans="43:43" x14ac:dyDescent="0.2">
      <c r="AQ58203" s="31"/>
    </row>
    <row r="58204" spans="43:43" x14ac:dyDescent="0.2">
      <c r="AQ58204" s="31"/>
    </row>
    <row r="58205" spans="43:43" x14ac:dyDescent="0.2">
      <c r="AQ58205" s="31"/>
    </row>
    <row r="58206" spans="43:43" x14ac:dyDescent="0.2">
      <c r="AQ58206" s="31"/>
    </row>
    <row r="58207" spans="43:43" x14ac:dyDescent="0.2">
      <c r="AQ58207" s="31"/>
    </row>
    <row r="58208" spans="43:43" x14ac:dyDescent="0.2">
      <c r="AQ58208" s="31"/>
    </row>
    <row r="58209" spans="43:43" x14ac:dyDescent="0.2">
      <c r="AQ58209" s="31"/>
    </row>
    <row r="58210" spans="43:43" x14ac:dyDescent="0.2">
      <c r="AQ58210" s="31"/>
    </row>
    <row r="58211" spans="43:43" x14ac:dyDescent="0.2">
      <c r="AQ58211" s="31"/>
    </row>
    <row r="58212" spans="43:43" x14ac:dyDescent="0.2">
      <c r="AQ58212" s="31"/>
    </row>
    <row r="58213" spans="43:43" x14ac:dyDescent="0.2">
      <c r="AQ58213" s="31"/>
    </row>
    <row r="58214" spans="43:43" x14ac:dyDescent="0.2">
      <c r="AQ58214" s="31"/>
    </row>
    <row r="58215" spans="43:43" x14ac:dyDescent="0.2">
      <c r="AQ58215" s="31"/>
    </row>
    <row r="58216" spans="43:43" x14ac:dyDescent="0.2">
      <c r="AQ58216" s="31"/>
    </row>
    <row r="58217" spans="43:43" x14ac:dyDescent="0.2">
      <c r="AQ58217" s="31"/>
    </row>
    <row r="58218" spans="43:43" x14ac:dyDescent="0.2">
      <c r="AQ58218" s="31"/>
    </row>
    <row r="58219" spans="43:43" x14ac:dyDescent="0.2">
      <c r="AQ58219" s="31"/>
    </row>
    <row r="58220" spans="43:43" x14ac:dyDescent="0.2">
      <c r="AQ58220" s="31"/>
    </row>
    <row r="58221" spans="43:43" x14ac:dyDescent="0.2">
      <c r="AQ58221" s="31"/>
    </row>
    <row r="58222" spans="43:43" x14ac:dyDescent="0.2">
      <c r="AQ58222" s="31"/>
    </row>
    <row r="58223" spans="43:43" x14ac:dyDescent="0.2">
      <c r="AQ58223" s="31"/>
    </row>
    <row r="58224" spans="43:43" x14ac:dyDescent="0.2">
      <c r="AQ58224" s="31"/>
    </row>
    <row r="58225" spans="43:43" x14ac:dyDescent="0.2">
      <c r="AQ58225" s="31"/>
    </row>
    <row r="58226" spans="43:43" x14ac:dyDescent="0.2">
      <c r="AQ58226" s="31"/>
    </row>
    <row r="58227" spans="43:43" x14ac:dyDescent="0.2">
      <c r="AQ58227" s="31"/>
    </row>
    <row r="58228" spans="43:43" x14ac:dyDescent="0.2">
      <c r="AQ58228" s="31"/>
    </row>
    <row r="58229" spans="43:43" x14ac:dyDescent="0.2">
      <c r="AQ58229" s="31"/>
    </row>
    <row r="58230" spans="43:43" x14ac:dyDescent="0.2">
      <c r="AQ58230" s="31"/>
    </row>
    <row r="58231" spans="43:43" x14ac:dyDescent="0.2">
      <c r="AQ58231" s="31"/>
    </row>
    <row r="58232" spans="43:43" x14ac:dyDescent="0.2">
      <c r="AQ58232" s="31"/>
    </row>
    <row r="58233" spans="43:43" x14ac:dyDescent="0.2">
      <c r="AQ58233" s="31"/>
    </row>
    <row r="58234" spans="43:43" x14ac:dyDescent="0.2">
      <c r="AQ58234" s="31"/>
    </row>
    <row r="58235" spans="43:43" x14ac:dyDescent="0.2">
      <c r="AQ58235" s="31"/>
    </row>
    <row r="58236" spans="43:43" x14ac:dyDescent="0.2">
      <c r="AQ58236" s="31"/>
    </row>
    <row r="58237" spans="43:43" x14ac:dyDescent="0.2">
      <c r="AQ58237" s="31"/>
    </row>
    <row r="58238" spans="43:43" x14ac:dyDescent="0.2">
      <c r="AQ58238" s="31"/>
    </row>
    <row r="58239" spans="43:43" x14ac:dyDescent="0.2">
      <c r="AQ58239" s="31"/>
    </row>
    <row r="58240" spans="43:43" x14ac:dyDescent="0.2">
      <c r="AQ58240" s="31"/>
    </row>
    <row r="58241" spans="43:43" x14ac:dyDescent="0.2">
      <c r="AQ58241" s="31"/>
    </row>
    <row r="58242" spans="43:43" x14ac:dyDescent="0.2">
      <c r="AQ58242" s="31"/>
    </row>
    <row r="58243" spans="43:43" x14ac:dyDescent="0.2">
      <c r="AQ58243" s="31"/>
    </row>
    <row r="58244" spans="43:43" x14ac:dyDescent="0.2">
      <c r="AQ58244" s="31"/>
    </row>
    <row r="58245" spans="43:43" x14ac:dyDescent="0.2">
      <c r="AQ58245" s="31"/>
    </row>
    <row r="58246" spans="43:43" x14ac:dyDescent="0.2">
      <c r="AQ58246" s="31"/>
    </row>
    <row r="58247" spans="43:43" x14ac:dyDescent="0.2">
      <c r="AQ58247" s="31"/>
    </row>
    <row r="58248" spans="43:43" x14ac:dyDescent="0.2">
      <c r="AQ58248" s="31"/>
    </row>
    <row r="58249" spans="43:43" x14ac:dyDescent="0.2">
      <c r="AQ58249" s="31"/>
    </row>
    <row r="58250" spans="43:43" x14ac:dyDescent="0.2">
      <c r="AQ58250" s="31"/>
    </row>
    <row r="58251" spans="43:43" x14ac:dyDescent="0.2">
      <c r="AQ58251" s="31"/>
    </row>
    <row r="58252" spans="43:43" x14ac:dyDescent="0.2">
      <c r="AQ58252" s="31"/>
    </row>
    <row r="58253" spans="43:43" x14ac:dyDescent="0.2">
      <c r="AQ58253" s="31"/>
    </row>
    <row r="58254" spans="43:43" x14ac:dyDescent="0.2">
      <c r="AQ58254" s="31"/>
    </row>
    <row r="58255" spans="43:43" x14ac:dyDescent="0.2">
      <c r="AQ58255" s="31"/>
    </row>
    <row r="58256" spans="43:43" x14ac:dyDescent="0.2">
      <c r="AQ58256" s="31"/>
    </row>
    <row r="58257" spans="43:43" x14ac:dyDescent="0.2">
      <c r="AQ58257" s="31"/>
    </row>
    <row r="58258" spans="43:43" x14ac:dyDescent="0.2">
      <c r="AQ58258" s="31"/>
    </row>
    <row r="58259" spans="43:43" x14ac:dyDescent="0.2">
      <c r="AQ58259" s="31"/>
    </row>
    <row r="58260" spans="43:43" x14ac:dyDescent="0.2">
      <c r="AQ58260" s="31"/>
    </row>
    <row r="58261" spans="43:43" x14ac:dyDescent="0.2">
      <c r="AQ58261" s="31"/>
    </row>
    <row r="58262" spans="43:43" x14ac:dyDescent="0.2">
      <c r="AQ58262" s="31"/>
    </row>
    <row r="58263" spans="43:43" x14ac:dyDescent="0.2">
      <c r="AQ58263" s="31"/>
    </row>
    <row r="58264" spans="43:43" x14ac:dyDescent="0.2">
      <c r="AQ58264" s="31"/>
    </row>
    <row r="58265" spans="43:43" x14ac:dyDescent="0.2">
      <c r="AQ58265" s="31"/>
    </row>
    <row r="58266" spans="43:43" x14ac:dyDescent="0.2">
      <c r="AQ58266" s="31"/>
    </row>
    <row r="58267" spans="43:43" x14ac:dyDescent="0.2">
      <c r="AQ58267" s="31"/>
    </row>
    <row r="58268" spans="43:43" x14ac:dyDescent="0.2">
      <c r="AQ58268" s="31"/>
    </row>
    <row r="58269" spans="43:43" x14ac:dyDescent="0.2">
      <c r="AQ58269" s="31"/>
    </row>
    <row r="58270" spans="43:43" x14ac:dyDescent="0.2">
      <c r="AQ58270" s="31"/>
    </row>
    <row r="58271" spans="43:43" x14ac:dyDescent="0.2">
      <c r="AQ58271" s="31"/>
    </row>
    <row r="58272" spans="43:43" x14ac:dyDescent="0.2">
      <c r="AQ58272" s="31"/>
    </row>
    <row r="58273" spans="43:43" x14ac:dyDescent="0.2">
      <c r="AQ58273" s="31"/>
    </row>
    <row r="58274" spans="43:43" x14ac:dyDescent="0.2">
      <c r="AQ58274" s="31"/>
    </row>
    <row r="58275" spans="43:43" x14ac:dyDescent="0.2">
      <c r="AQ58275" s="31"/>
    </row>
    <row r="58276" spans="43:43" x14ac:dyDescent="0.2">
      <c r="AQ58276" s="31"/>
    </row>
    <row r="58277" spans="43:43" x14ac:dyDescent="0.2">
      <c r="AQ58277" s="31"/>
    </row>
    <row r="58278" spans="43:43" x14ac:dyDescent="0.2">
      <c r="AQ58278" s="31"/>
    </row>
    <row r="58279" spans="43:43" x14ac:dyDescent="0.2">
      <c r="AQ58279" s="31"/>
    </row>
    <row r="58280" spans="43:43" x14ac:dyDescent="0.2">
      <c r="AQ58280" s="31"/>
    </row>
    <row r="58281" spans="43:43" x14ac:dyDescent="0.2">
      <c r="AQ58281" s="31"/>
    </row>
    <row r="58282" spans="43:43" x14ac:dyDescent="0.2">
      <c r="AQ58282" s="31"/>
    </row>
    <row r="58283" spans="43:43" x14ac:dyDescent="0.2">
      <c r="AQ58283" s="31"/>
    </row>
    <row r="58284" spans="43:43" x14ac:dyDescent="0.2">
      <c r="AQ58284" s="31"/>
    </row>
    <row r="58285" spans="43:43" x14ac:dyDescent="0.2">
      <c r="AQ58285" s="31"/>
    </row>
    <row r="58286" spans="43:43" x14ac:dyDescent="0.2">
      <c r="AQ58286" s="31"/>
    </row>
    <row r="58287" spans="43:43" x14ac:dyDescent="0.2">
      <c r="AQ58287" s="31"/>
    </row>
    <row r="58288" spans="43:43" x14ac:dyDescent="0.2">
      <c r="AQ58288" s="31"/>
    </row>
    <row r="58289" spans="43:43" x14ac:dyDescent="0.2">
      <c r="AQ58289" s="31"/>
    </row>
    <row r="58290" spans="43:43" x14ac:dyDescent="0.2">
      <c r="AQ58290" s="31"/>
    </row>
    <row r="58291" spans="43:43" x14ac:dyDescent="0.2">
      <c r="AQ58291" s="31"/>
    </row>
    <row r="58292" spans="43:43" x14ac:dyDescent="0.2">
      <c r="AQ58292" s="31"/>
    </row>
    <row r="58293" spans="43:43" x14ac:dyDescent="0.2">
      <c r="AQ58293" s="31"/>
    </row>
    <row r="58294" spans="43:43" x14ac:dyDescent="0.2">
      <c r="AQ58294" s="31"/>
    </row>
    <row r="58295" spans="43:43" x14ac:dyDescent="0.2">
      <c r="AQ58295" s="31"/>
    </row>
    <row r="58296" spans="43:43" x14ac:dyDescent="0.2">
      <c r="AQ58296" s="31"/>
    </row>
    <row r="58297" spans="43:43" x14ac:dyDescent="0.2">
      <c r="AQ58297" s="31"/>
    </row>
    <row r="58298" spans="43:43" x14ac:dyDescent="0.2">
      <c r="AQ58298" s="31"/>
    </row>
    <row r="58299" spans="43:43" x14ac:dyDescent="0.2">
      <c r="AQ58299" s="31"/>
    </row>
    <row r="58300" spans="43:43" x14ac:dyDescent="0.2">
      <c r="AQ58300" s="31"/>
    </row>
    <row r="58301" spans="43:43" x14ac:dyDescent="0.2">
      <c r="AQ58301" s="31"/>
    </row>
    <row r="58302" spans="43:43" x14ac:dyDescent="0.2">
      <c r="AQ58302" s="31"/>
    </row>
    <row r="58303" spans="43:43" x14ac:dyDescent="0.2">
      <c r="AQ58303" s="31"/>
    </row>
    <row r="58304" spans="43:43" x14ac:dyDescent="0.2">
      <c r="AQ58304" s="31"/>
    </row>
    <row r="58305" spans="43:43" x14ac:dyDescent="0.2">
      <c r="AQ58305" s="31"/>
    </row>
    <row r="58306" spans="43:43" x14ac:dyDescent="0.2">
      <c r="AQ58306" s="31"/>
    </row>
    <row r="58307" spans="43:43" x14ac:dyDescent="0.2">
      <c r="AQ58307" s="31"/>
    </row>
    <row r="58308" spans="43:43" x14ac:dyDescent="0.2">
      <c r="AQ58308" s="31"/>
    </row>
    <row r="58309" spans="43:43" x14ac:dyDescent="0.2">
      <c r="AQ58309" s="31"/>
    </row>
    <row r="58310" spans="43:43" x14ac:dyDescent="0.2">
      <c r="AQ58310" s="31"/>
    </row>
    <row r="58311" spans="43:43" x14ac:dyDescent="0.2">
      <c r="AQ58311" s="31"/>
    </row>
    <row r="58312" spans="43:43" x14ac:dyDescent="0.2">
      <c r="AQ58312" s="31"/>
    </row>
    <row r="58313" spans="43:43" x14ac:dyDescent="0.2">
      <c r="AQ58313" s="31"/>
    </row>
    <row r="58314" spans="43:43" x14ac:dyDescent="0.2">
      <c r="AQ58314" s="31"/>
    </row>
    <row r="58315" spans="43:43" x14ac:dyDescent="0.2">
      <c r="AQ58315" s="31"/>
    </row>
    <row r="58316" spans="43:43" x14ac:dyDescent="0.2">
      <c r="AQ58316" s="31"/>
    </row>
    <row r="58317" spans="43:43" x14ac:dyDescent="0.2">
      <c r="AQ58317" s="31"/>
    </row>
    <row r="58318" spans="43:43" x14ac:dyDescent="0.2">
      <c r="AQ58318" s="31"/>
    </row>
    <row r="58319" spans="43:43" x14ac:dyDescent="0.2">
      <c r="AQ58319" s="31"/>
    </row>
    <row r="58320" spans="43:43" x14ac:dyDescent="0.2">
      <c r="AQ58320" s="31"/>
    </row>
    <row r="58321" spans="43:43" x14ac:dyDescent="0.2">
      <c r="AQ58321" s="31"/>
    </row>
    <row r="58322" spans="43:43" x14ac:dyDescent="0.2">
      <c r="AQ58322" s="31"/>
    </row>
    <row r="58323" spans="43:43" x14ac:dyDescent="0.2">
      <c r="AQ58323" s="31"/>
    </row>
    <row r="58324" spans="43:43" x14ac:dyDescent="0.2">
      <c r="AQ58324" s="31"/>
    </row>
    <row r="58325" spans="43:43" x14ac:dyDescent="0.2">
      <c r="AQ58325" s="31"/>
    </row>
    <row r="58326" spans="43:43" x14ac:dyDescent="0.2">
      <c r="AQ58326" s="31"/>
    </row>
    <row r="58327" spans="43:43" x14ac:dyDescent="0.2">
      <c r="AQ58327" s="31"/>
    </row>
    <row r="58328" spans="43:43" x14ac:dyDescent="0.2">
      <c r="AQ58328" s="31"/>
    </row>
    <row r="58329" spans="43:43" x14ac:dyDescent="0.2">
      <c r="AQ58329" s="31"/>
    </row>
    <row r="58330" spans="43:43" x14ac:dyDescent="0.2">
      <c r="AQ58330" s="31"/>
    </row>
    <row r="58331" spans="43:43" x14ac:dyDescent="0.2">
      <c r="AQ58331" s="31"/>
    </row>
    <row r="58332" spans="43:43" x14ac:dyDescent="0.2">
      <c r="AQ58332" s="31"/>
    </row>
    <row r="58333" spans="43:43" x14ac:dyDescent="0.2">
      <c r="AQ58333" s="31"/>
    </row>
    <row r="58334" spans="43:43" x14ac:dyDescent="0.2">
      <c r="AQ58334" s="31"/>
    </row>
    <row r="58335" spans="43:43" x14ac:dyDescent="0.2">
      <c r="AQ58335" s="31"/>
    </row>
    <row r="58336" spans="43:43" x14ac:dyDescent="0.2">
      <c r="AQ58336" s="31"/>
    </row>
    <row r="58337" spans="43:43" x14ac:dyDescent="0.2">
      <c r="AQ58337" s="31"/>
    </row>
    <row r="58338" spans="43:43" x14ac:dyDescent="0.2">
      <c r="AQ58338" s="31"/>
    </row>
    <row r="58339" spans="43:43" x14ac:dyDescent="0.2">
      <c r="AQ58339" s="31"/>
    </row>
    <row r="58340" spans="43:43" x14ac:dyDescent="0.2">
      <c r="AQ58340" s="31"/>
    </row>
    <row r="58341" spans="43:43" x14ac:dyDescent="0.2">
      <c r="AQ58341" s="31"/>
    </row>
    <row r="58342" spans="43:43" x14ac:dyDescent="0.2">
      <c r="AQ58342" s="31"/>
    </row>
    <row r="58343" spans="43:43" x14ac:dyDescent="0.2">
      <c r="AQ58343" s="31"/>
    </row>
    <row r="58344" spans="43:43" x14ac:dyDescent="0.2">
      <c r="AQ58344" s="31"/>
    </row>
    <row r="58345" spans="43:43" x14ac:dyDescent="0.2">
      <c r="AQ58345" s="31"/>
    </row>
    <row r="58346" spans="43:43" x14ac:dyDescent="0.2">
      <c r="AQ58346" s="31"/>
    </row>
    <row r="58347" spans="43:43" x14ac:dyDescent="0.2">
      <c r="AQ58347" s="31"/>
    </row>
    <row r="58348" spans="43:43" x14ac:dyDescent="0.2">
      <c r="AQ58348" s="31"/>
    </row>
    <row r="58349" spans="43:43" x14ac:dyDescent="0.2">
      <c r="AQ58349" s="31"/>
    </row>
    <row r="58350" spans="43:43" x14ac:dyDescent="0.2">
      <c r="AQ58350" s="31"/>
    </row>
    <row r="58351" spans="43:43" x14ac:dyDescent="0.2">
      <c r="AQ58351" s="31"/>
    </row>
    <row r="58352" spans="43:43" x14ac:dyDescent="0.2">
      <c r="AQ58352" s="31"/>
    </row>
    <row r="58353" spans="43:43" x14ac:dyDescent="0.2">
      <c r="AQ58353" s="31"/>
    </row>
    <row r="58354" spans="43:43" x14ac:dyDescent="0.2">
      <c r="AQ58354" s="31"/>
    </row>
    <row r="58355" spans="43:43" x14ac:dyDescent="0.2">
      <c r="AQ58355" s="31"/>
    </row>
    <row r="58356" spans="43:43" x14ac:dyDescent="0.2">
      <c r="AQ58356" s="31"/>
    </row>
    <row r="58357" spans="43:43" x14ac:dyDescent="0.2">
      <c r="AQ58357" s="31"/>
    </row>
    <row r="58358" spans="43:43" x14ac:dyDescent="0.2">
      <c r="AQ58358" s="31"/>
    </row>
    <row r="58359" spans="43:43" x14ac:dyDescent="0.2">
      <c r="AQ58359" s="31"/>
    </row>
    <row r="58360" spans="43:43" x14ac:dyDescent="0.2">
      <c r="AQ58360" s="31"/>
    </row>
    <row r="58361" spans="43:43" x14ac:dyDescent="0.2">
      <c r="AQ58361" s="31"/>
    </row>
    <row r="58362" spans="43:43" x14ac:dyDescent="0.2">
      <c r="AQ58362" s="31"/>
    </row>
    <row r="58363" spans="43:43" x14ac:dyDescent="0.2">
      <c r="AQ58363" s="31"/>
    </row>
    <row r="58364" spans="43:43" x14ac:dyDescent="0.2">
      <c r="AQ58364" s="31"/>
    </row>
    <row r="58365" spans="43:43" x14ac:dyDescent="0.2">
      <c r="AQ58365" s="31"/>
    </row>
    <row r="58366" spans="43:43" x14ac:dyDescent="0.2">
      <c r="AQ58366" s="31"/>
    </row>
    <row r="58367" spans="43:43" x14ac:dyDescent="0.2">
      <c r="AQ58367" s="31"/>
    </row>
    <row r="58368" spans="43:43" x14ac:dyDescent="0.2">
      <c r="AQ58368" s="31"/>
    </row>
    <row r="58369" spans="43:43" x14ac:dyDescent="0.2">
      <c r="AQ58369" s="31"/>
    </row>
    <row r="58370" spans="43:43" x14ac:dyDescent="0.2">
      <c r="AQ58370" s="31"/>
    </row>
    <row r="58371" spans="43:43" x14ac:dyDescent="0.2">
      <c r="AQ58371" s="31"/>
    </row>
    <row r="58372" spans="43:43" x14ac:dyDescent="0.2">
      <c r="AQ58372" s="31"/>
    </row>
    <row r="58373" spans="43:43" x14ac:dyDescent="0.2">
      <c r="AQ58373" s="31"/>
    </row>
    <row r="58374" spans="43:43" x14ac:dyDescent="0.2">
      <c r="AQ58374" s="31"/>
    </row>
    <row r="58375" spans="43:43" x14ac:dyDescent="0.2">
      <c r="AQ58375" s="31"/>
    </row>
    <row r="58376" spans="43:43" x14ac:dyDescent="0.2">
      <c r="AQ58376" s="31"/>
    </row>
    <row r="58377" spans="43:43" x14ac:dyDescent="0.2">
      <c r="AQ58377" s="31"/>
    </row>
    <row r="58378" spans="43:43" x14ac:dyDescent="0.2">
      <c r="AQ58378" s="31"/>
    </row>
    <row r="58379" spans="43:43" x14ac:dyDescent="0.2">
      <c r="AQ58379" s="31"/>
    </row>
    <row r="58380" spans="43:43" x14ac:dyDescent="0.2">
      <c r="AQ58380" s="31"/>
    </row>
    <row r="58381" spans="43:43" x14ac:dyDescent="0.2">
      <c r="AQ58381" s="31"/>
    </row>
    <row r="58382" spans="43:43" x14ac:dyDescent="0.2">
      <c r="AQ58382" s="31"/>
    </row>
    <row r="58383" spans="43:43" x14ac:dyDescent="0.2">
      <c r="AQ58383" s="31"/>
    </row>
    <row r="58384" spans="43:43" x14ac:dyDescent="0.2">
      <c r="AQ58384" s="31"/>
    </row>
    <row r="58385" spans="43:43" x14ac:dyDescent="0.2">
      <c r="AQ58385" s="31"/>
    </row>
    <row r="58386" spans="43:43" x14ac:dyDescent="0.2">
      <c r="AQ58386" s="31"/>
    </row>
    <row r="58387" spans="43:43" x14ac:dyDescent="0.2">
      <c r="AQ58387" s="31"/>
    </row>
    <row r="58388" spans="43:43" x14ac:dyDescent="0.2">
      <c r="AQ58388" s="31"/>
    </row>
    <row r="58389" spans="43:43" x14ac:dyDescent="0.2">
      <c r="AQ58389" s="31"/>
    </row>
    <row r="58390" spans="43:43" x14ac:dyDescent="0.2">
      <c r="AQ58390" s="31"/>
    </row>
    <row r="58391" spans="43:43" x14ac:dyDescent="0.2">
      <c r="AQ58391" s="31"/>
    </row>
    <row r="58392" spans="43:43" x14ac:dyDescent="0.2">
      <c r="AQ58392" s="31"/>
    </row>
    <row r="58393" spans="43:43" x14ac:dyDescent="0.2">
      <c r="AQ58393" s="31"/>
    </row>
    <row r="58394" spans="43:43" x14ac:dyDescent="0.2">
      <c r="AQ58394" s="31"/>
    </row>
    <row r="58395" spans="43:43" x14ac:dyDescent="0.2">
      <c r="AQ58395" s="31"/>
    </row>
    <row r="58396" spans="43:43" x14ac:dyDescent="0.2">
      <c r="AQ58396" s="31"/>
    </row>
    <row r="58397" spans="43:43" x14ac:dyDescent="0.2">
      <c r="AQ58397" s="31"/>
    </row>
    <row r="58398" spans="43:43" x14ac:dyDescent="0.2">
      <c r="AQ58398" s="31"/>
    </row>
    <row r="58399" spans="43:43" x14ac:dyDescent="0.2">
      <c r="AQ58399" s="31"/>
    </row>
    <row r="58400" spans="43:43" x14ac:dyDescent="0.2">
      <c r="AQ58400" s="31"/>
    </row>
    <row r="58401" spans="43:43" x14ac:dyDescent="0.2">
      <c r="AQ58401" s="31"/>
    </row>
    <row r="58402" spans="43:43" x14ac:dyDescent="0.2">
      <c r="AQ58402" s="31"/>
    </row>
    <row r="58403" spans="43:43" x14ac:dyDescent="0.2">
      <c r="AQ58403" s="31"/>
    </row>
    <row r="58404" spans="43:43" x14ac:dyDescent="0.2">
      <c r="AQ58404" s="31"/>
    </row>
    <row r="58405" spans="43:43" x14ac:dyDescent="0.2">
      <c r="AQ58405" s="31"/>
    </row>
    <row r="58406" spans="43:43" x14ac:dyDescent="0.2">
      <c r="AQ58406" s="31"/>
    </row>
    <row r="58407" spans="43:43" x14ac:dyDescent="0.2">
      <c r="AQ58407" s="31"/>
    </row>
    <row r="58408" spans="43:43" x14ac:dyDescent="0.2">
      <c r="AQ58408" s="31"/>
    </row>
    <row r="58409" spans="43:43" x14ac:dyDescent="0.2">
      <c r="AQ58409" s="31"/>
    </row>
    <row r="58410" spans="43:43" x14ac:dyDescent="0.2">
      <c r="AQ58410" s="31"/>
    </row>
    <row r="58411" spans="43:43" x14ac:dyDescent="0.2">
      <c r="AQ58411" s="31"/>
    </row>
    <row r="58412" spans="43:43" x14ac:dyDescent="0.2">
      <c r="AQ58412" s="31"/>
    </row>
    <row r="58413" spans="43:43" x14ac:dyDescent="0.2">
      <c r="AQ58413" s="31"/>
    </row>
    <row r="58414" spans="43:43" x14ac:dyDescent="0.2">
      <c r="AQ58414" s="31"/>
    </row>
    <row r="58415" spans="43:43" x14ac:dyDescent="0.2">
      <c r="AQ58415" s="31"/>
    </row>
    <row r="58416" spans="43:43" x14ac:dyDescent="0.2">
      <c r="AQ58416" s="31"/>
    </row>
    <row r="58417" spans="43:43" x14ac:dyDescent="0.2">
      <c r="AQ58417" s="31"/>
    </row>
    <row r="58418" spans="43:43" x14ac:dyDescent="0.2">
      <c r="AQ58418" s="31"/>
    </row>
    <row r="58419" spans="43:43" x14ac:dyDescent="0.2">
      <c r="AQ58419" s="31"/>
    </row>
    <row r="58420" spans="43:43" x14ac:dyDescent="0.2">
      <c r="AQ58420" s="31"/>
    </row>
    <row r="58421" spans="43:43" x14ac:dyDescent="0.2">
      <c r="AQ58421" s="31"/>
    </row>
    <row r="58422" spans="43:43" x14ac:dyDescent="0.2">
      <c r="AQ58422" s="31"/>
    </row>
    <row r="58423" spans="43:43" x14ac:dyDescent="0.2">
      <c r="AQ58423" s="31"/>
    </row>
    <row r="58424" spans="43:43" x14ac:dyDescent="0.2">
      <c r="AQ58424" s="31"/>
    </row>
    <row r="58425" spans="43:43" x14ac:dyDescent="0.2">
      <c r="AQ58425" s="31"/>
    </row>
    <row r="58426" spans="43:43" x14ac:dyDescent="0.2">
      <c r="AQ58426" s="31"/>
    </row>
    <row r="58427" spans="43:43" x14ac:dyDescent="0.2">
      <c r="AQ58427" s="31"/>
    </row>
    <row r="58428" spans="43:43" x14ac:dyDescent="0.2">
      <c r="AQ58428" s="31"/>
    </row>
    <row r="58429" spans="43:43" x14ac:dyDescent="0.2">
      <c r="AQ58429" s="31"/>
    </row>
    <row r="58430" spans="43:43" x14ac:dyDescent="0.2">
      <c r="AQ58430" s="31"/>
    </row>
    <row r="58431" spans="43:43" x14ac:dyDescent="0.2">
      <c r="AQ58431" s="31"/>
    </row>
    <row r="58432" spans="43:43" x14ac:dyDescent="0.2">
      <c r="AQ58432" s="31"/>
    </row>
    <row r="58433" spans="43:43" x14ac:dyDescent="0.2">
      <c r="AQ58433" s="31"/>
    </row>
    <row r="58434" spans="43:43" x14ac:dyDescent="0.2">
      <c r="AQ58434" s="31"/>
    </row>
    <row r="58435" spans="43:43" x14ac:dyDescent="0.2">
      <c r="AQ58435" s="31"/>
    </row>
    <row r="58436" spans="43:43" x14ac:dyDescent="0.2">
      <c r="AQ58436" s="31"/>
    </row>
    <row r="58437" spans="43:43" x14ac:dyDescent="0.2">
      <c r="AQ58437" s="31"/>
    </row>
    <row r="58438" spans="43:43" x14ac:dyDescent="0.2">
      <c r="AQ58438" s="31"/>
    </row>
    <row r="58439" spans="43:43" x14ac:dyDescent="0.2">
      <c r="AQ58439" s="31"/>
    </row>
    <row r="58440" spans="43:43" x14ac:dyDescent="0.2">
      <c r="AQ58440" s="31"/>
    </row>
    <row r="58441" spans="43:43" x14ac:dyDescent="0.2">
      <c r="AQ58441" s="31"/>
    </row>
    <row r="58442" spans="43:43" x14ac:dyDescent="0.2">
      <c r="AQ58442" s="31"/>
    </row>
    <row r="58443" spans="43:43" x14ac:dyDescent="0.2">
      <c r="AQ58443" s="31"/>
    </row>
    <row r="58444" spans="43:43" x14ac:dyDescent="0.2">
      <c r="AQ58444" s="31"/>
    </row>
    <row r="58445" spans="43:43" x14ac:dyDescent="0.2">
      <c r="AQ58445" s="31"/>
    </row>
    <row r="58446" spans="43:43" x14ac:dyDescent="0.2">
      <c r="AQ58446" s="31"/>
    </row>
    <row r="58447" spans="43:43" x14ac:dyDescent="0.2">
      <c r="AQ58447" s="31"/>
    </row>
    <row r="58448" spans="43:43" x14ac:dyDescent="0.2">
      <c r="AQ58448" s="31"/>
    </row>
    <row r="58449" spans="43:43" x14ac:dyDescent="0.2">
      <c r="AQ58449" s="31"/>
    </row>
    <row r="58450" spans="43:43" x14ac:dyDescent="0.2">
      <c r="AQ58450" s="31"/>
    </row>
    <row r="58451" spans="43:43" x14ac:dyDescent="0.2">
      <c r="AQ58451" s="31"/>
    </row>
    <row r="58452" spans="43:43" x14ac:dyDescent="0.2">
      <c r="AQ58452" s="31"/>
    </row>
    <row r="58453" spans="43:43" x14ac:dyDescent="0.2">
      <c r="AQ58453" s="31"/>
    </row>
    <row r="58454" spans="43:43" x14ac:dyDescent="0.2">
      <c r="AQ58454" s="31"/>
    </row>
    <row r="58455" spans="43:43" x14ac:dyDescent="0.2">
      <c r="AQ58455" s="31"/>
    </row>
    <row r="58456" spans="43:43" x14ac:dyDescent="0.2">
      <c r="AQ58456" s="31"/>
    </row>
    <row r="58457" spans="43:43" x14ac:dyDescent="0.2">
      <c r="AQ58457" s="31"/>
    </row>
    <row r="58458" spans="43:43" x14ac:dyDescent="0.2">
      <c r="AQ58458" s="31"/>
    </row>
    <row r="58459" spans="43:43" x14ac:dyDescent="0.2">
      <c r="AQ58459" s="31"/>
    </row>
    <row r="58460" spans="43:43" x14ac:dyDescent="0.2">
      <c r="AQ58460" s="31"/>
    </row>
    <row r="58461" spans="43:43" x14ac:dyDescent="0.2">
      <c r="AQ58461" s="31"/>
    </row>
    <row r="58462" spans="43:43" x14ac:dyDescent="0.2">
      <c r="AQ58462" s="31"/>
    </row>
    <row r="58463" spans="43:43" x14ac:dyDescent="0.2">
      <c r="AQ58463" s="31"/>
    </row>
    <row r="58464" spans="43:43" x14ac:dyDescent="0.2">
      <c r="AQ58464" s="31"/>
    </row>
    <row r="58465" spans="43:43" x14ac:dyDescent="0.2">
      <c r="AQ58465" s="31"/>
    </row>
    <row r="58466" spans="43:43" x14ac:dyDescent="0.2">
      <c r="AQ58466" s="31"/>
    </row>
    <row r="58467" spans="43:43" x14ac:dyDescent="0.2">
      <c r="AQ58467" s="31"/>
    </row>
    <row r="58468" spans="43:43" x14ac:dyDescent="0.2">
      <c r="AQ58468" s="31"/>
    </row>
    <row r="58469" spans="43:43" x14ac:dyDescent="0.2">
      <c r="AQ58469" s="31"/>
    </row>
    <row r="58470" spans="43:43" x14ac:dyDescent="0.2">
      <c r="AQ58470" s="31"/>
    </row>
    <row r="58471" spans="43:43" x14ac:dyDescent="0.2">
      <c r="AQ58471" s="31"/>
    </row>
    <row r="58472" spans="43:43" x14ac:dyDescent="0.2">
      <c r="AQ58472" s="31"/>
    </row>
    <row r="58473" spans="43:43" x14ac:dyDescent="0.2">
      <c r="AQ58473" s="31"/>
    </row>
    <row r="58474" spans="43:43" x14ac:dyDescent="0.2">
      <c r="AQ58474" s="31"/>
    </row>
    <row r="58475" spans="43:43" x14ac:dyDescent="0.2">
      <c r="AQ58475" s="31"/>
    </row>
    <row r="58476" spans="43:43" x14ac:dyDescent="0.2">
      <c r="AQ58476" s="31"/>
    </row>
    <row r="58477" spans="43:43" x14ac:dyDescent="0.2">
      <c r="AQ58477" s="31"/>
    </row>
    <row r="58478" spans="43:43" x14ac:dyDescent="0.2">
      <c r="AQ58478" s="31"/>
    </row>
    <row r="58479" spans="43:43" x14ac:dyDescent="0.2">
      <c r="AQ58479" s="31"/>
    </row>
    <row r="58480" spans="43:43" x14ac:dyDescent="0.2">
      <c r="AQ58480" s="31"/>
    </row>
    <row r="58481" spans="43:43" x14ac:dyDescent="0.2">
      <c r="AQ58481" s="31"/>
    </row>
    <row r="58482" spans="43:43" x14ac:dyDescent="0.2">
      <c r="AQ58482" s="31"/>
    </row>
    <row r="58483" spans="43:43" x14ac:dyDescent="0.2">
      <c r="AQ58483" s="31"/>
    </row>
    <row r="58484" spans="43:43" x14ac:dyDescent="0.2">
      <c r="AQ58484" s="31"/>
    </row>
    <row r="58485" spans="43:43" x14ac:dyDescent="0.2">
      <c r="AQ58485" s="31"/>
    </row>
    <row r="58486" spans="43:43" x14ac:dyDescent="0.2">
      <c r="AQ58486" s="31"/>
    </row>
    <row r="58487" spans="43:43" x14ac:dyDescent="0.2">
      <c r="AQ58487" s="31"/>
    </row>
    <row r="58488" spans="43:43" x14ac:dyDescent="0.2">
      <c r="AQ58488" s="31"/>
    </row>
    <row r="58489" spans="43:43" x14ac:dyDescent="0.2">
      <c r="AQ58489" s="31"/>
    </row>
    <row r="58490" spans="43:43" x14ac:dyDescent="0.2">
      <c r="AQ58490" s="31"/>
    </row>
    <row r="58491" spans="43:43" x14ac:dyDescent="0.2">
      <c r="AQ58491" s="31"/>
    </row>
    <row r="58492" spans="43:43" x14ac:dyDescent="0.2">
      <c r="AQ58492" s="31"/>
    </row>
    <row r="58493" spans="43:43" x14ac:dyDescent="0.2">
      <c r="AQ58493" s="31"/>
    </row>
    <row r="58494" spans="43:43" x14ac:dyDescent="0.2">
      <c r="AQ58494" s="31"/>
    </row>
    <row r="58495" spans="43:43" x14ac:dyDescent="0.2">
      <c r="AQ58495" s="31"/>
    </row>
    <row r="58496" spans="43:43" x14ac:dyDescent="0.2">
      <c r="AQ58496" s="31"/>
    </row>
    <row r="58497" spans="43:43" x14ac:dyDescent="0.2">
      <c r="AQ58497" s="31"/>
    </row>
    <row r="58498" spans="43:43" x14ac:dyDescent="0.2">
      <c r="AQ58498" s="31"/>
    </row>
    <row r="58499" spans="43:43" x14ac:dyDescent="0.2">
      <c r="AQ58499" s="31"/>
    </row>
    <row r="58500" spans="43:43" x14ac:dyDescent="0.2">
      <c r="AQ58500" s="31"/>
    </row>
    <row r="58501" spans="43:43" x14ac:dyDescent="0.2">
      <c r="AQ58501" s="31"/>
    </row>
    <row r="58502" spans="43:43" x14ac:dyDescent="0.2">
      <c r="AQ58502" s="31"/>
    </row>
    <row r="58503" spans="43:43" x14ac:dyDescent="0.2">
      <c r="AQ58503" s="31"/>
    </row>
    <row r="58504" spans="43:43" x14ac:dyDescent="0.2">
      <c r="AQ58504" s="31"/>
    </row>
    <row r="58505" spans="43:43" x14ac:dyDescent="0.2">
      <c r="AQ58505" s="31"/>
    </row>
    <row r="58506" spans="43:43" x14ac:dyDescent="0.2">
      <c r="AQ58506" s="31"/>
    </row>
    <row r="58507" spans="43:43" x14ac:dyDescent="0.2">
      <c r="AQ58507" s="31"/>
    </row>
    <row r="58508" spans="43:43" x14ac:dyDescent="0.2">
      <c r="AQ58508" s="31"/>
    </row>
    <row r="58509" spans="43:43" x14ac:dyDescent="0.2">
      <c r="AQ58509" s="31"/>
    </row>
    <row r="58510" spans="43:43" x14ac:dyDescent="0.2">
      <c r="AQ58510" s="31"/>
    </row>
    <row r="58511" spans="43:43" x14ac:dyDescent="0.2">
      <c r="AQ58511" s="31"/>
    </row>
    <row r="58512" spans="43:43" x14ac:dyDescent="0.2">
      <c r="AQ58512" s="31"/>
    </row>
    <row r="58513" spans="43:43" x14ac:dyDescent="0.2">
      <c r="AQ58513" s="31"/>
    </row>
    <row r="58514" spans="43:43" x14ac:dyDescent="0.2">
      <c r="AQ58514" s="31"/>
    </row>
    <row r="58515" spans="43:43" x14ac:dyDescent="0.2">
      <c r="AQ58515" s="31"/>
    </row>
    <row r="58516" spans="43:43" x14ac:dyDescent="0.2">
      <c r="AQ58516" s="31"/>
    </row>
    <row r="58517" spans="43:43" x14ac:dyDescent="0.2">
      <c r="AQ58517" s="31"/>
    </row>
    <row r="58518" spans="43:43" x14ac:dyDescent="0.2">
      <c r="AQ58518" s="31"/>
    </row>
    <row r="58519" spans="43:43" x14ac:dyDescent="0.2">
      <c r="AQ58519" s="31"/>
    </row>
    <row r="58520" spans="43:43" x14ac:dyDescent="0.2">
      <c r="AQ58520" s="31"/>
    </row>
    <row r="58521" spans="43:43" x14ac:dyDescent="0.2">
      <c r="AQ58521" s="31"/>
    </row>
    <row r="58522" spans="43:43" x14ac:dyDescent="0.2">
      <c r="AQ58522" s="31"/>
    </row>
    <row r="58523" spans="43:43" x14ac:dyDescent="0.2">
      <c r="AQ58523" s="31"/>
    </row>
    <row r="58524" spans="43:43" x14ac:dyDescent="0.2">
      <c r="AQ58524" s="31"/>
    </row>
    <row r="58525" spans="43:43" x14ac:dyDescent="0.2">
      <c r="AQ58525" s="31"/>
    </row>
    <row r="58526" spans="43:43" x14ac:dyDescent="0.2">
      <c r="AQ58526" s="31"/>
    </row>
    <row r="58527" spans="43:43" x14ac:dyDescent="0.2">
      <c r="AQ58527" s="31"/>
    </row>
    <row r="58528" spans="43:43" x14ac:dyDescent="0.2">
      <c r="AQ58528" s="31"/>
    </row>
    <row r="58529" spans="43:43" x14ac:dyDescent="0.2">
      <c r="AQ58529" s="31"/>
    </row>
    <row r="58530" spans="43:43" x14ac:dyDescent="0.2">
      <c r="AQ58530" s="31"/>
    </row>
    <row r="58531" spans="43:43" x14ac:dyDescent="0.2">
      <c r="AQ58531" s="31"/>
    </row>
    <row r="58532" spans="43:43" x14ac:dyDescent="0.2">
      <c r="AQ58532" s="31"/>
    </row>
    <row r="58533" spans="43:43" x14ac:dyDescent="0.2">
      <c r="AQ58533" s="31"/>
    </row>
    <row r="58534" spans="43:43" x14ac:dyDescent="0.2">
      <c r="AQ58534" s="31"/>
    </row>
    <row r="58535" spans="43:43" x14ac:dyDescent="0.2">
      <c r="AQ58535" s="31"/>
    </row>
    <row r="58536" spans="43:43" x14ac:dyDescent="0.2">
      <c r="AQ58536" s="31"/>
    </row>
    <row r="58537" spans="43:43" x14ac:dyDescent="0.2">
      <c r="AQ58537" s="31"/>
    </row>
    <row r="58538" spans="43:43" x14ac:dyDescent="0.2">
      <c r="AQ58538" s="31"/>
    </row>
    <row r="58539" spans="43:43" x14ac:dyDescent="0.2">
      <c r="AQ58539" s="31"/>
    </row>
    <row r="58540" spans="43:43" x14ac:dyDescent="0.2">
      <c r="AQ58540" s="31"/>
    </row>
    <row r="58541" spans="43:43" x14ac:dyDescent="0.2">
      <c r="AQ58541" s="31"/>
    </row>
    <row r="58542" spans="43:43" x14ac:dyDescent="0.2">
      <c r="AQ58542" s="31"/>
    </row>
    <row r="58543" spans="43:43" x14ac:dyDescent="0.2">
      <c r="AQ58543" s="31"/>
    </row>
    <row r="58544" spans="43:43" x14ac:dyDescent="0.2">
      <c r="AQ58544" s="31"/>
    </row>
    <row r="58545" spans="43:43" x14ac:dyDescent="0.2">
      <c r="AQ58545" s="31"/>
    </row>
    <row r="58546" spans="43:43" x14ac:dyDescent="0.2">
      <c r="AQ58546" s="31"/>
    </row>
    <row r="58547" spans="43:43" x14ac:dyDescent="0.2">
      <c r="AQ58547" s="31"/>
    </row>
    <row r="58548" spans="43:43" x14ac:dyDescent="0.2">
      <c r="AQ58548" s="31"/>
    </row>
    <row r="58549" spans="43:43" x14ac:dyDescent="0.2">
      <c r="AQ58549" s="31"/>
    </row>
    <row r="58550" spans="43:43" x14ac:dyDescent="0.2">
      <c r="AQ58550" s="31"/>
    </row>
    <row r="58551" spans="43:43" x14ac:dyDescent="0.2">
      <c r="AQ58551" s="31"/>
    </row>
    <row r="58552" spans="43:43" x14ac:dyDescent="0.2">
      <c r="AQ58552" s="31"/>
    </row>
    <row r="58553" spans="43:43" x14ac:dyDescent="0.2">
      <c r="AQ58553" s="31"/>
    </row>
    <row r="58554" spans="43:43" x14ac:dyDescent="0.2">
      <c r="AQ58554" s="31"/>
    </row>
    <row r="58555" spans="43:43" x14ac:dyDescent="0.2">
      <c r="AQ58555" s="31"/>
    </row>
    <row r="58556" spans="43:43" x14ac:dyDescent="0.2">
      <c r="AQ58556" s="31"/>
    </row>
    <row r="58557" spans="43:43" x14ac:dyDescent="0.2">
      <c r="AQ58557" s="31"/>
    </row>
    <row r="58558" spans="43:43" x14ac:dyDescent="0.2">
      <c r="AQ58558" s="31"/>
    </row>
    <row r="58559" spans="43:43" x14ac:dyDescent="0.2">
      <c r="AQ58559" s="31"/>
    </row>
    <row r="58560" spans="43:43" x14ac:dyDescent="0.2">
      <c r="AQ58560" s="31"/>
    </row>
    <row r="58561" spans="43:43" x14ac:dyDescent="0.2">
      <c r="AQ58561" s="31"/>
    </row>
    <row r="58562" spans="43:43" x14ac:dyDescent="0.2">
      <c r="AQ58562" s="31"/>
    </row>
    <row r="58563" spans="43:43" x14ac:dyDescent="0.2">
      <c r="AQ58563" s="31"/>
    </row>
    <row r="58564" spans="43:43" x14ac:dyDescent="0.2">
      <c r="AQ58564" s="31"/>
    </row>
    <row r="58565" spans="43:43" x14ac:dyDescent="0.2">
      <c r="AQ58565" s="31"/>
    </row>
    <row r="58566" spans="43:43" x14ac:dyDescent="0.2">
      <c r="AQ58566" s="31"/>
    </row>
    <row r="58567" spans="43:43" x14ac:dyDescent="0.2">
      <c r="AQ58567" s="31"/>
    </row>
    <row r="58568" spans="43:43" x14ac:dyDescent="0.2">
      <c r="AQ58568" s="31"/>
    </row>
    <row r="58569" spans="43:43" x14ac:dyDescent="0.2">
      <c r="AQ58569" s="31"/>
    </row>
    <row r="58570" spans="43:43" x14ac:dyDescent="0.2">
      <c r="AQ58570" s="31"/>
    </row>
    <row r="58571" spans="43:43" x14ac:dyDescent="0.2">
      <c r="AQ58571" s="31"/>
    </row>
    <row r="58572" spans="43:43" x14ac:dyDescent="0.2">
      <c r="AQ58572" s="31"/>
    </row>
    <row r="58573" spans="43:43" x14ac:dyDescent="0.2">
      <c r="AQ58573" s="31"/>
    </row>
    <row r="58574" spans="43:43" x14ac:dyDescent="0.2">
      <c r="AQ58574" s="31"/>
    </row>
    <row r="58575" spans="43:43" x14ac:dyDescent="0.2">
      <c r="AQ58575" s="31"/>
    </row>
    <row r="58576" spans="43:43" x14ac:dyDescent="0.2">
      <c r="AQ58576" s="31"/>
    </row>
    <row r="58577" spans="43:43" x14ac:dyDescent="0.2">
      <c r="AQ58577" s="31"/>
    </row>
    <row r="58578" spans="43:43" x14ac:dyDescent="0.2">
      <c r="AQ58578" s="31"/>
    </row>
    <row r="58579" spans="43:43" x14ac:dyDescent="0.2">
      <c r="AQ58579" s="31"/>
    </row>
    <row r="58580" spans="43:43" x14ac:dyDescent="0.2">
      <c r="AQ58580" s="31"/>
    </row>
    <row r="58581" spans="43:43" x14ac:dyDescent="0.2">
      <c r="AQ58581" s="31"/>
    </row>
    <row r="58582" spans="43:43" x14ac:dyDescent="0.2">
      <c r="AQ58582" s="31"/>
    </row>
    <row r="58583" spans="43:43" x14ac:dyDescent="0.2">
      <c r="AQ58583" s="31"/>
    </row>
    <row r="58584" spans="43:43" x14ac:dyDescent="0.2">
      <c r="AQ58584" s="31"/>
    </row>
    <row r="58585" spans="43:43" x14ac:dyDescent="0.2">
      <c r="AQ58585" s="31"/>
    </row>
    <row r="58586" spans="43:43" x14ac:dyDescent="0.2">
      <c r="AQ58586" s="31"/>
    </row>
    <row r="58587" spans="43:43" x14ac:dyDescent="0.2">
      <c r="AQ58587" s="31"/>
    </row>
    <row r="58588" spans="43:43" x14ac:dyDescent="0.2">
      <c r="AQ58588" s="31"/>
    </row>
    <row r="58589" spans="43:43" x14ac:dyDescent="0.2">
      <c r="AQ58589" s="31"/>
    </row>
    <row r="58590" spans="43:43" x14ac:dyDescent="0.2">
      <c r="AQ58590" s="31"/>
    </row>
    <row r="58591" spans="43:43" x14ac:dyDescent="0.2">
      <c r="AQ58591" s="31"/>
    </row>
    <row r="58592" spans="43:43" x14ac:dyDescent="0.2">
      <c r="AQ58592" s="31"/>
    </row>
    <row r="58593" spans="43:43" x14ac:dyDescent="0.2">
      <c r="AQ58593" s="31"/>
    </row>
    <row r="58594" spans="43:43" x14ac:dyDescent="0.2">
      <c r="AQ58594" s="31"/>
    </row>
    <row r="58595" spans="43:43" x14ac:dyDescent="0.2">
      <c r="AQ58595" s="31"/>
    </row>
    <row r="58596" spans="43:43" x14ac:dyDescent="0.2">
      <c r="AQ58596" s="31"/>
    </row>
    <row r="58597" spans="43:43" x14ac:dyDescent="0.2">
      <c r="AQ58597" s="31"/>
    </row>
    <row r="58598" spans="43:43" x14ac:dyDescent="0.2">
      <c r="AQ58598" s="31"/>
    </row>
    <row r="58599" spans="43:43" x14ac:dyDescent="0.2">
      <c r="AQ58599" s="31"/>
    </row>
    <row r="58600" spans="43:43" x14ac:dyDescent="0.2">
      <c r="AQ58600" s="31"/>
    </row>
    <row r="58601" spans="43:43" x14ac:dyDescent="0.2">
      <c r="AQ58601" s="31"/>
    </row>
    <row r="58602" spans="43:43" x14ac:dyDescent="0.2">
      <c r="AQ58602" s="31"/>
    </row>
    <row r="58603" spans="43:43" x14ac:dyDescent="0.2">
      <c r="AQ58603" s="31"/>
    </row>
    <row r="58604" spans="43:43" x14ac:dyDescent="0.2">
      <c r="AQ58604" s="31"/>
    </row>
    <row r="58605" spans="43:43" x14ac:dyDescent="0.2">
      <c r="AQ58605" s="31"/>
    </row>
    <row r="58606" spans="43:43" x14ac:dyDescent="0.2">
      <c r="AQ58606" s="31"/>
    </row>
    <row r="58607" spans="43:43" x14ac:dyDescent="0.2">
      <c r="AQ58607" s="31"/>
    </row>
    <row r="58608" spans="43:43" x14ac:dyDescent="0.2">
      <c r="AQ58608" s="31"/>
    </row>
    <row r="58609" spans="43:43" x14ac:dyDescent="0.2">
      <c r="AQ58609" s="31"/>
    </row>
    <row r="58610" spans="43:43" x14ac:dyDescent="0.2">
      <c r="AQ58610" s="31"/>
    </row>
    <row r="58611" spans="43:43" x14ac:dyDescent="0.2">
      <c r="AQ58611" s="31"/>
    </row>
    <row r="58612" spans="43:43" x14ac:dyDescent="0.2">
      <c r="AQ58612" s="31"/>
    </row>
    <row r="58613" spans="43:43" x14ac:dyDescent="0.2">
      <c r="AQ58613" s="31"/>
    </row>
    <row r="58614" spans="43:43" x14ac:dyDescent="0.2">
      <c r="AQ58614" s="31"/>
    </row>
    <row r="58615" spans="43:43" x14ac:dyDescent="0.2">
      <c r="AQ58615" s="31"/>
    </row>
    <row r="58616" spans="43:43" x14ac:dyDescent="0.2">
      <c r="AQ58616" s="31"/>
    </row>
    <row r="58617" spans="43:43" x14ac:dyDescent="0.2">
      <c r="AQ58617" s="31"/>
    </row>
    <row r="58618" spans="43:43" x14ac:dyDescent="0.2">
      <c r="AQ58618" s="31"/>
    </row>
    <row r="58619" spans="43:43" x14ac:dyDescent="0.2">
      <c r="AQ58619" s="31"/>
    </row>
    <row r="58620" spans="43:43" x14ac:dyDescent="0.2">
      <c r="AQ58620" s="31"/>
    </row>
    <row r="58621" spans="43:43" x14ac:dyDescent="0.2">
      <c r="AQ58621" s="31"/>
    </row>
    <row r="58622" spans="43:43" x14ac:dyDescent="0.2">
      <c r="AQ58622" s="31"/>
    </row>
    <row r="58623" spans="43:43" x14ac:dyDescent="0.2">
      <c r="AQ58623" s="31"/>
    </row>
    <row r="58624" spans="43:43" x14ac:dyDescent="0.2">
      <c r="AQ58624" s="31"/>
    </row>
    <row r="58625" spans="43:43" x14ac:dyDescent="0.2">
      <c r="AQ58625" s="31"/>
    </row>
    <row r="58626" spans="43:43" x14ac:dyDescent="0.2">
      <c r="AQ58626" s="31"/>
    </row>
    <row r="58627" spans="43:43" x14ac:dyDescent="0.2">
      <c r="AQ58627" s="31"/>
    </row>
    <row r="58628" spans="43:43" x14ac:dyDescent="0.2">
      <c r="AQ58628" s="31"/>
    </row>
    <row r="58629" spans="43:43" x14ac:dyDescent="0.2">
      <c r="AQ58629" s="31"/>
    </row>
    <row r="58630" spans="43:43" x14ac:dyDescent="0.2">
      <c r="AQ58630" s="31"/>
    </row>
    <row r="58631" spans="43:43" x14ac:dyDescent="0.2">
      <c r="AQ58631" s="31"/>
    </row>
    <row r="58632" spans="43:43" x14ac:dyDescent="0.2">
      <c r="AQ58632" s="31"/>
    </row>
    <row r="58633" spans="43:43" x14ac:dyDescent="0.2">
      <c r="AQ58633" s="31"/>
    </row>
    <row r="58634" spans="43:43" x14ac:dyDescent="0.2">
      <c r="AQ58634" s="31"/>
    </row>
    <row r="58635" spans="43:43" x14ac:dyDescent="0.2">
      <c r="AQ58635" s="31"/>
    </row>
    <row r="58636" spans="43:43" x14ac:dyDescent="0.2">
      <c r="AQ58636" s="31"/>
    </row>
    <row r="58637" spans="43:43" x14ac:dyDescent="0.2">
      <c r="AQ58637" s="31"/>
    </row>
    <row r="58638" spans="43:43" x14ac:dyDescent="0.2">
      <c r="AQ58638" s="31"/>
    </row>
    <row r="58639" spans="43:43" x14ac:dyDescent="0.2">
      <c r="AQ58639" s="31"/>
    </row>
    <row r="58640" spans="43:43" x14ac:dyDescent="0.2">
      <c r="AQ58640" s="31"/>
    </row>
    <row r="58641" spans="43:43" x14ac:dyDescent="0.2">
      <c r="AQ58641" s="31"/>
    </row>
    <row r="58642" spans="43:43" x14ac:dyDescent="0.2">
      <c r="AQ58642" s="31"/>
    </row>
    <row r="58643" spans="43:43" x14ac:dyDescent="0.2">
      <c r="AQ58643" s="31"/>
    </row>
    <row r="58644" spans="43:43" x14ac:dyDescent="0.2">
      <c r="AQ58644" s="31"/>
    </row>
    <row r="58645" spans="43:43" x14ac:dyDescent="0.2">
      <c r="AQ58645" s="31"/>
    </row>
    <row r="58646" spans="43:43" x14ac:dyDescent="0.2">
      <c r="AQ58646" s="31"/>
    </row>
    <row r="58647" spans="43:43" x14ac:dyDescent="0.2">
      <c r="AQ58647" s="31"/>
    </row>
    <row r="58648" spans="43:43" x14ac:dyDescent="0.2">
      <c r="AQ58648" s="31"/>
    </row>
    <row r="58649" spans="43:43" x14ac:dyDescent="0.2">
      <c r="AQ58649" s="31"/>
    </row>
    <row r="58650" spans="43:43" x14ac:dyDescent="0.2">
      <c r="AQ58650" s="31"/>
    </row>
    <row r="58651" spans="43:43" x14ac:dyDescent="0.2">
      <c r="AQ58651" s="31"/>
    </row>
    <row r="58652" spans="43:43" x14ac:dyDescent="0.2">
      <c r="AQ58652" s="31"/>
    </row>
    <row r="58653" spans="43:43" x14ac:dyDescent="0.2">
      <c r="AQ58653" s="31"/>
    </row>
    <row r="58654" spans="43:43" x14ac:dyDescent="0.2">
      <c r="AQ58654" s="31"/>
    </row>
    <row r="58655" spans="43:43" x14ac:dyDescent="0.2">
      <c r="AQ58655" s="31"/>
    </row>
    <row r="58656" spans="43:43" x14ac:dyDescent="0.2">
      <c r="AQ58656" s="31"/>
    </row>
    <row r="58657" spans="43:43" x14ac:dyDescent="0.2">
      <c r="AQ58657" s="31"/>
    </row>
    <row r="58658" spans="43:43" x14ac:dyDescent="0.2">
      <c r="AQ58658" s="31"/>
    </row>
    <row r="58659" spans="43:43" x14ac:dyDescent="0.2">
      <c r="AQ58659" s="31"/>
    </row>
    <row r="58660" spans="43:43" x14ac:dyDescent="0.2">
      <c r="AQ58660" s="31"/>
    </row>
    <row r="58661" spans="43:43" x14ac:dyDescent="0.2">
      <c r="AQ58661" s="31"/>
    </row>
    <row r="58662" spans="43:43" x14ac:dyDescent="0.2">
      <c r="AQ58662" s="31"/>
    </row>
    <row r="58663" spans="43:43" x14ac:dyDescent="0.2">
      <c r="AQ58663" s="31"/>
    </row>
    <row r="58664" spans="43:43" x14ac:dyDescent="0.2">
      <c r="AQ58664" s="31"/>
    </row>
    <row r="58665" spans="43:43" x14ac:dyDescent="0.2">
      <c r="AQ58665" s="31"/>
    </row>
    <row r="58666" spans="43:43" x14ac:dyDescent="0.2">
      <c r="AQ58666" s="31"/>
    </row>
    <row r="58667" spans="43:43" x14ac:dyDescent="0.2">
      <c r="AQ58667" s="31"/>
    </row>
    <row r="58668" spans="43:43" x14ac:dyDescent="0.2">
      <c r="AQ58668" s="31"/>
    </row>
    <row r="58669" spans="43:43" x14ac:dyDescent="0.2">
      <c r="AQ58669" s="31"/>
    </row>
    <row r="58670" spans="43:43" x14ac:dyDescent="0.2">
      <c r="AQ58670" s="31"/>
    </row>
    <row r="58671" spans="43:43" x14ac:dyDescent="0.2">
      <c r="AQ58671" s="31"/>
    </row>
    <row r="58672" spans="43:43" x14ac:dyDescent="0.2">
      <c r="AQ58672" s="31"/>
    </row>
    <row r="58673" spans="43:43" x14ac:dyDescent="0.2">
      <c r="AQ58673" s="31"/>
    </row>
    <row r="58674" spans="43:43" x14ac:dyDescent="0.2">
      <c r="AQ58674" s="31"/>
    </row>
    <row r="58675" spans="43:43" x14ac:dyDescent="0.2">
      <c r="AQ58675" s="31"/>
    </row>
    <row r="58676" spans="43:43" x14ac:dyDescent="0.2">
      <c r="AQ58676" s="31"/>
    </row>
    <row r="58677" spans="43:43" x14ac:dyDescent="0.2">
      <c r="AQ58677" s="31"/>
    </row>
    <row r="58678" spans="43:43" x14ac:dyDescent="0.2">
      <c r="AQ58678" s="31"/>
    </row>
    <row r="58679" spans="43:43" x14ac:dyDescent="0.2">
      <c r="AQ58679" s="31"/>
    </row>
    <row r="58680" spans="43:43" x14ac:dyDescent="0.2">
      <c r="AQ58680" s="31"/>
    </row>
    <row r="58681" spans="43:43" x14ac:dyDescent="0.2">
      <c r="AQ58681" s="31"/>
    </row>
    <row r="58682" spans="43:43" x14ac:dyDescent="0.2">
      <c r="AQ58682" s="31"/>
    </row>
    <row r="58683" spans="43:43" x14ac:dyDescent="0.2">
      <c r="AQ58683" s="31"/>
    </row>
    <row r="58684" spans="43:43" x14ac:dyDescent="0.2">
      <c r="AQ58684" s="31"/>
    </row>
    <row r="58685" spans="43:43" x14ac:dyDescent="0.2">
      <c r="AQ58685" s="31"/>
    </row>
    <row r="58686" spans="43:43" x14ac:dyDescent="0.2">
      <c r="AQ58686" s="31"/>
    </row>
    <row r="58687" spans="43:43" x14ac:dyDescent="0.2">
      <c r="AQ58687" s="31"/>
    </row>
    <row r="58688" spans="43:43" x14ac:dyDescent="0.2">
      <c r="AQ58688" s="31"/>
    </row>
    <row r="58689" spans="43:43" x14ac:dyDescent="0.2">
      <c r="AQ58689" s="31"/>
    </row>
    <row r="58690" spans="43:43" x14ac:dyDescent="0.2">
      <c r="AQ58690" s="31"/>
    </row>
    <row r="58691" spans="43:43" x14ac:dyDescent="0.2">
      <c r="AQ58691" s="31"/>
    </row>
    <row r="58692" spans="43:43" x14ac:dyDescent="0.2">
      <c r="AQ58692" s="31"/>
    </row>
    <row r="58693" spans="43:43" x14ac:dyDescent="0.2">
      <c r="AQ58693" s="31"/>
    </row>
    <row r="58694" spans="43:43" x14ac:dyDescent="0.2">
      <c r="AQ58694" s="31"/>
    </row>
    <row r="58695" spans="43:43" x14ac:dyDescent="0.2">
      <c r="AQ58695" s="31"/>
    </row>
    <row r="58696" spans="43:43" x14ac:dyDescent="0.2">
      <c r="AQ58696" s="31"/>
    </row>
    <row r="58697" spans="43:43" x14ac:dyDescent="0.2">
      <c r="AQ58697" s="31"/>
    </row>
    <row r="58698" spans="43:43" x14ac:dyDescent="0.2">
      <c r="AQ58698" s="31"/>
    </row>
    <row r="58699" spans="43:43" x14ac:dyDescent="0.2">
      <c r="AQ58699" s="31"/>
    </row>
    <row r="58700" spans="43:43" x14ac:dyDescent="0.2">
      <c r="AQ58700" s="31"/>
    </row>
    <row r="58701" spans="43:43" x14ac:dyDescent="0.2">
      <c r="AQ58701" s="31"/>
    </row>
    <row r="58702" spans="43:43" x14ac:dyDescent="0.2">
      <c r="AQ58702" s="31"/>
    </row>
    <row r="58703" spans="43:43" x14ac:dyDescent="0.2">
      <c r="AQ58703" s="31"/>
    </row>
    <row r="58704" spans="43:43" x14ac:dyDescent="0.2">
      <c r="AQ58704" s="31"/>
    </row>
    <row r="58705" spans="43:43" x14ac:dyDescent="0.2">
      <c r="AQ58705" s="31"/>
    </row>
    <row r="58706" spans="43:43" x14ac:dyDescent="0.2">
      <c r="AQ58706" s="31"/>
    </row>
    <row r="58707" spans="43:43" x14ac:dyDescent="0.2">
      <c r="AQ58707" s="31"/>
    </row>
    <row r="58708" spans="43:43" x14ac:dyDescent="0.2">
      <c r="AQ58708" s="31"/>
    </row>
    <row r="58709" spans="43:43" x14ac:dyDescent="0.2">
      <c r="AQ58709" s="31"/>
    </row>
    <row r="58710" spans="43:43" x14ac:dyDescent="0.2">
      <c r="AQ58710" s="31"/>
    </row>
    <row r="58711" spans="43:43" x14ac:dyDescent="0.2">
      <c r="AQ58711" s="31"/>
    </row>
    <row r="58712" spans="43:43" x14ac:dyDescent="0.2">
      <c r="AQ58712" s="31"/>
    </row>
    <row r="58713" spans="43:43" x14ac:dyDescent="0.2">
      <c r="AQ58713" s="31"/>
    </row>
    <row r="58714" spans="43:43" x14ac:dyDescent="0.2">
      <c r="AQ58714" s="31"/>
    </row>
    <row r="58715" spans="43:43" x14ac:dyDescent="0.2">
      <c r="AQ58715" s="31"/>
    </row>
    <row r="58716" spans="43:43" x14ac:dyDescent="0.2">
      <c r="AQ58716" s="31"/>
    </row>
    <row r="58717" spans="43:43" x14ac:dyDescent="0.2">
      <c r="AQ58717" s="31"/>
    </row>
    <row r="58718" spans="43:43" x14ac:dyDescent="0.2">
      <c r="AQ58718" s="31"/>
    </row>
    <row r="58719" spans="43:43" x14ac:dyDescent="0.2">
      <c r="AQ58719" s="31"/>
    </row>
    <row r="58720" spans="43:43" x14ac:dyDescent="0.2">
      <c r="AQ58720" s="31"/>
    </row>
    <row r="58721" spans="43:43" x14ac:dyDescent="0.2">
      <c r="AQ58721" s="31"/>
    </row>
    <row r="58722" spans="43:43" x14ac:dyDescent="0.2">
      <c r="AQ58722" s="31"/>
    </row>
    <row r="58723" spans="43:43" x14ac:dyDescent="0.2">
      <c r="AQ58723" s="31"/>
    </row>
    <row r="58724" spans="43:43" x14ac:dyDescent="0.2">
      <c r="AQ58724" s="31"/>
    </row>
    <row r="58725" spans="43:43" x14ac:dyDescent="0.2">
      <c r="AQ58725" s="31"/>
    </row>
    <row r="58726" spans="43:43" x14ac:dyDescent="0.2">
      <c r="AQ58726" s="31"/>
    </row>
    <row r="58727" spans="43:43" x14ac:dyDescent="0.2">
      <c r="AQ58727" s="31"/>
    </row>
    <row r="58728" spans="43:43" x14ac:dyDescent="0.2">
      <c r="AQ58728" s="31"/>
    </row>
    <row r="58729" spans="43:43" x14ac:dyDescent="0.2">
      <c r="AQ58729" s="31"/>
    </row>
    <row r="58730" spans="43:43" x14ac:dyDescent="0.2">
      <c r="AQ58730" s="31"/>
    </row>
    <row r="58731" spans="43:43" x14ac:dyDescent="0.2">
      <c r="AQ58731" s="31"/>
    </row>
    <row r="58732" spans="43:43" x14ac:dyDescent="0.2">
      <c r="AQ58732" s="31"/>
    </row>
    <row r="58733" spans="43:43" x14ac:dyDescent="0.2">
      <c r="AQ58733" s="31"/>
    </row>
    <row r="58734" spans="43:43" x14ac:dyDescent="0.2">
      <c r="AQ58734" s="31"/>
    </row>
    <row r="58735" spans="43:43" x14ac:dyDescent="0.2">
      <c r="AQ58735" s="31"/>
    </row>
    <row r="58736" spans="43:43" x14ac:dyDescent="0.2">
      <c r="AQ58736" s="31"/>
    </row>
    <row r="58737" spans="43:43" x14ac:dyDescent="0.2">
      <c r="AQ58737" s="31"/>
    </row>
    <row r="58738" spans="43:43" x14ac:dyDescent="0.2">
      <c r="AQ58738" s="31"/>
    </row>
    <row r="58739" spans="43:43" x14ac:dyDescent="0.2">
      <c r="AQ58739" s="31"/>
    </row>
    <row r="58740" spans="43:43" x14ac:dyDescent="0.2">
      <c r="AQ58740" s="31"/>
    </row>
    <row r="58741" spans="43:43" x14ac:dyDescent="0.2">
      <c r="AQ58741" s="31"/>
    </row>
    <row r="58742" spans="43:43" x14ac:dyDescent="0.2">
      <c r="AQ58742" s="31"/>
    </row>
    <row r="58743" spans="43:43" x14ac:dyDescent="0.2">
      <c r="AQ58743" s="31"/>
    </row>
    <row r="58744" spans="43:43" x14ac:dyDescent="0.2">
      <c r="AQ58744" s="31"/>
    </row>
    <row r="58745" spans="43:43" x14ac:dyDescent="0.2">
      <c r="AQ58745" s="31"/>
    </row>
    <row r="58746" spans="43:43" x14ac:dyDescent="0.2">
      <c r="AQ58746" s="31"/>
    </row>
    <row r="58747" spans="43:43" x14ac:dyDescent="0.2">
      <c r="AQ58747" s="31"/>
    </row>
    <row r="58748" spans="43:43" x14ac:dyDescent="0.2">
      <c r="AQ58748" s="31"/>
    </row>
    <row r="58749" spans="43:43" x14ac:dyDescent="0.2">
      <c r="AQ58749" s="31"/>
    </row>
    <row r="58750" spans="43:43" x14ac:dyDescent="0.2">
      <c r="AQ58750" s="31"/>
    </row>
    <row r="58751" spans="43:43" x14ac:dyDescent="0.2">
      <c r="AQ58751" s="31"/>
    </row>
    <row r="58752" spans="43:43" x14ac:dyDescent="0.2">
      <c r="AQ58752" s="31"/>
    </row>
    <row r="58753" spans="43:43" x14ac:dyDescent="0.2">
      <c r="AQ58753" s="31"/>
    </row>
    <row r="58754" spans="43:43" x14ac:dyDescent="0.2">
      <c r="AQ58754" s="31"/>
    </row>
    <row r="58755" spans="43:43" x14ac:dyDescent="0.2">
      <c r="AQ58755" s="31"/>
    </row>
    <row r="58756" spans="43:43" x14ac:dyDescent="0.2">
      <c r="AQ58756" s="31"/>
    </row>
    <row r="58757" spans="43:43" x14ac:dyDescent="0.2">
      <c r="AQ58757" s="31"/>
    </row>
    <row r="58758" spans="43:43" x14ac:dyDescent="0.2">
      <c r="AQ58758" s="31"/>
    </row>
    <row r="58759" spans="43:43" x14ac:dyDescent="0.2">
      <c r="AQ58759" s="31"/>
    </row>
    <row r="58760" spans="43:43" x14ac:dyDescent="0.2">
      <c r="AQ58760" s="31"/>
    </row>
    <row r="58761" spans="43:43" x14ac:dyDescent="0.2">
      <c r="AQ58761" s="31"/>
    </row>
    <row r="58762" spans="43:43" x14ac:dyDescent="0.2">
      <c r="AQ58762" s="31"/>
    </row>
    <row r="58763" spans="43:43" x14ac:dyDescent="0.2">
      <c r="AQ58763" s="31"/>
    </row>
    <row r="58764" spans="43:43" x14ac:dyDescent="0.2">
      <c r="AQ58764" s="31"/>
    </row>
    <row r="58765" spans="43:43" x14ac:dyDescent="0.2">
      <c r="AQ58765" s="31"/>
    </row>
    <row r="58766" spans="43:43" x14ac:dyDescent="0.2">
      <c r="AQ58766" s="31"/>
    </row>
    <row r="58767" spans="43:43" x14ac:dyDescent="0.2">
      <c r="AQ58767" s="31"/>
    </row>
    <row r="58768" spans="43:43" x14ac:dyDescent="0.2">
      <c r="AQ58768" s="31"/>
    </row>
    <row r="58769" spans="43:43" x14ac:dyDescent="0.2">
      <c r="AQ58769" s="31"/>
    </row>
    <row r="58770" spans="43:43" x14ac:dyDescent="0.2">
      <c r="AQ58770" s="31"/>
    </row>
    <row r="58771" spans="43:43" x14ac:dyDescent="0.2">
      <c r="AQ58771" s="31"/>
    </row>
    <row r="58772" spans="43:43" x14ac:dyDescent="0.2">
      <c r="AQ58772" s="31"/>
    </row>
    <row r="58773" spans="43:43" x14ac:dyDescent="0.2">
      <c r="AQ58773" s="31"/>
    </row>
    <row r="58774" spans="43:43" x14ac:dyDescent="0.2">
      <c r="AQ58774" s="31"/>
    </row>
    <row r="58775" spans="43:43" x14ac:dyDescent="0.2">
      <c r="AQ58775" s="31"/>
    </row>
    <row r="58776" spans="43:43" x14ac:dyDescent="0.2">
      <c r="AQ58776" s="31"/>
    </row>
    <row r="58777" spans="43:43" x14ac:dyDescent="0.2">
      <c r="AQ58777" s="31"/>
    </row>
    <row r="58778" spans="43:43" x14ac:dyDescent="0.2">
      <c r="AQ58778" s="31"/>
    </row>
    <row r="58779" spans="43:43" x14ac:dyDescent="0.2">
      <c r="AQ58779" s="31"/>
    </row>
    <row r="58780" spans="43:43" x14ac:dyDescent="0.2">
      <c r="AQ58780" s="31"/>
    </row>
    <row r="58781" spans="43:43" x14ac:dyDescent="0.2">
      <c r="AQ58781" s="31"/>
    </row>
    <row r="58782" spans="43:43" x14ac:dyDescent="0.2">
      <c r="AQ58782" s="31"/>
    </row>
    <row r="58783" spans="43:43" x14ac:dyDescent="0.2">
      <c r="AQ58783" s="31"/>
    </row>
    <row r="58784" spans="43:43" x14ac:dyDescent="0.2">
      <c r="AQ58784" s="31"/>
    </row>
    <row r="58785" spans="43:43" x14ac:dyDescent="0.2">
      <c r="AQ58785" s="31"/>
    </row>
    <row r="58786" spans="43:43" x14ac:dyDescent="0.2">
      <c r="AQ58786" s="31"/>
    </row>
    <row r="58787" spans="43:43" x14ac:dyDescent="0.2">
      <c r="AQ58787" s="31"/>
    </row>
    <row r="58788" spans="43:43" x14ac:dyDescent="0.2">
      <c r="AQ58788" s="31"/>
    </row>
    <row r="58789" spans="43:43" x14ac:dyDescent="0.2">
      <c r="AQ58789" s="31"/>
    </row>
    <row r="58790" spans="43:43" x14ac:dyDescent="0.2">
      <c r="AQ58790" s="31"/>
    </row>
    <row r="58791" spans="43:43" x14ac:dyDescent="0.2">
      <c r="AQ58791" s="31"/>
    </row>
    <row r="58792" spans="43:43" x14ac:dyDescent="0.2">
      <c r="AQ58792" s="31"/>
    </row>
    <row r="58793" spans="43:43" x14ac:dyDescent="0.2">
      <c r="AQ58793" s="31"/>
    </row>
    <row r="58794" spans="43:43" x14ac:dyDescent="0.2">
      <c r="AQ58794" s="31"/>
    </row>
    <row r="58795" spans="43:43" x14ac:dyDescent="0.2">
      <c r="AQ58795" s="31"/>
    </row>
    <row r="58796" spans="43:43" x14ac:dyDescent="0.2">
      <c r="AQ58796" s="31"/>
    </row>
    <row r="58797" spans="43:43" x14ac:dyDescent="0.2">
      <c r="AQ58797" s="31"/>
    </row>
    <row r="58798" spans="43:43" x14ac:dyDescent="0.2">
      <c r="AQ58798" s="31"/>
    </row>
    <row r="58799" spans="43:43" x14ac:dyDescent="0.2">
      <c r="AQ58799" s="31"/>
    </row>
    <row r="58800" spans="43:43" x14ac:dyDescent="0.2">
      <c r="AQ58800" s="31"/>
    </row>
    <row r="58801" spans="43:43" x14ac:dyDescent="0.2">
      <c r="AQ58801" s="31"/>
    </row>
    <row r="58802" spans="43:43" x14ac:dyDescent="0.2">
      <c r="AQ58802" s="31"/>
    </row>
    <row r="58803" spans="43:43" x14ac:dyDescent="0.2">
      <c r="AQ58803" s="31"/>
    </row>
    <row r="58804" spans="43:43" x14ac:dyDescent="0.2">
      <c r="AQ58804" s="31"/>
    </row>
    <row r="58805" spans="43:43" x14ac:dyDescent="0.2">
      <c r="AQ58805" s="31"/>
    </row>
    <row r="58806" spans="43:43" x14ac:dyDescent="0.2">
      <c r="AQ58806" s="31"/>
    </row>
    <row r="58807" spans="43:43" x14ac:dyDescent="0.2">
      <c r="AQ58807" s="31"/>
    </row>
    <row r="58808" spans="43:43" x14ac:dyDescent="0.2">
      <c r="AQ58808" s="31"/>
    </row>
    <row r="58809" spans="43:43" x14ac:dyDescent="0.2">
      <c r="AQ58809" s="31"/>
    </row>
    <row r="58810" spans="43:43" x14ac:dyDescent="0.2">
      <c r="AQ58810" s="31"/>
    </row>
    <row r="58811" spans="43:43" x14ac:dyDescent="0.2">
      <c r="AQ58811" s="31"/>
    </row>
    <row r="58812" spans="43:43" x14ac:dyDescent="0.2">
      <c r="AQ58812" s="31"/>
    </row>
    <row r="58813" spans="43:43" x14ac:dyDescent="0.2">
      <c r="AQ58813" s="31"/>
    </row>
    <row r="58814" spans="43:43" x14ac:dyDescent="0.2">
      <c r="AQ58814" s="31"/>
    </row>
    <row r="58815" spans="43:43" x14ac:dyDescent="0.2">
      <c r="AQ58815" s="31"/>
    </row>
    <row r="58816" spans="43:43" x14ac:dyDescent="0.2">
      <c r="AQ58816" s="31"/>
    </row>
    <row r="58817" spans="43:43" x14ac:dyDescent="0.2">
      <c r="AQ58817" s="31"/>
    </row>
    <row r="58818" spans="43:43" x14ac:dyDescent="0.2">
      <c r="AQ58818" s="31"/>
    </row>
    <row r="58819" spans="43:43" x14ac:dyDescent="0.2">
      <c r="AQ58819" s="31"/>
    </row>
    <row r="58820" spans="43:43" x14ac:dyDescent="0.2">
      <c r="AQ58820" s="31"/>
    </row>
    <row r="58821" spans="43:43" x14ac:dyDescent="0.2">
      <c r="AQ58821" s="31"/>
    </row>
    <row r="58822" spans="43:43" x14ac:dyDescent="0.2">
      <c r="AQ58822" s="31"/>
    </row>
    <row r="58823" spans="43:43" x14ac:dyDescent="0.2">
      <c r="AQ58823" s="31"/>
    </row>
    <row r="58824" spans="43:43" x14ac:dyDescent="0.2">
      <c r="AQ58824" s="31"/>
    </row>
    <row r="58825" spans="43:43" x14ac:dyDescent="0.2">
      <c r="AQ58825" s="31"/>
    </row>
    <row r="58826" spans="43:43" x14ac:dyDescent="0.2">
      <c r="AQ58826" s="31"/>
    </row>
    <row r="58827" spans="43:43" x14ac:dyDescent="0.2">
      <c r="AQ58827" s="31"/>
    </row>
    <row r="58828" spans="43:43" x14ac:dyDescent="0.2">
      <c r="AQ58828" s="31"/>
    </row>
    <row r="58829" spans="43:43" x14ac:dyDescent="0.2">
      <c r="AQ58829" s="31"/>
    </row>
    <row r="58830" spans="43:43" x14ac:dyDescent="0.2">
      <c r="AQ58830" s="31"/>
    </row>
    <row r="58831" spans="43:43" x14ac:dyDescent="0.2">
      <c r="AQ58831" s="31"/>
    </row>
    <row r="58832" spans="43:43" x14ac:dyDescent="0.2">
      <c r="AQ58832" s="31"/>
    </row>
    <row r="58833" spans="43:43" x14ac:dyDescent="0.2">
      <c r="AQ58833" s="31"/>
    </row>
    <row r="58834" spans="43:43" x14ac:dyDescent="0.2">
      <c r="AQ58834" s="31"/>
    </row>
    <row r="58835" spans="43:43" x14ac:dyDescent="0.2">
      <c r="AQ58835" s="31"/>
    </row>
    <row r="58836" spans="43:43" x14ac:dyDescent="0.2">
      <c r="AQ58836" s="31"/>
    </row>
    <row r="58837" spans="43:43" x14ac:dyDescent="0.2">
      <c r="AQ58837" s="31"/>
    </row>
    <row r="58838" spans="43:43" x14ac:dyDescent="0.2">
      <c r="AQ58838" s="31"/>
    </row>
    <row r="58839" spans="43:43" x14ac:dyDescent="0.2">
      <c r="AQ58839" s="31"/>
    </row>
    <row r="58840" spans="43:43" x14ac:dyDescent="0.2">
      <c r="AQ58840" s="31"/>
    </row>
    <row r="58841" spans="43:43" x14ac:dyDescent="0.2">
      <c r="AQ58841" s="31"/>
    </row>
    <row r="58842" spans="43:43" x14ac:dyDescent="0.2">
      <c r="AQ58842" s="31"/>
    </row>
    <row r="58843" spans="43:43" x14ac:dyDescent="0.2">
      <c r="AQ58843" s="31"/>
    </row>
    <row r="58844" spans="43:43" x14ac:dyDescent="0.2">
      <c r="AQ58844" s="31"/>
    </row>
    <row r="58845" spans="43:43" x14ac:dyDescent="0.2">
      <c r="AQ58845" s="31"/>
    </row>
    <row r="58846" spans="43:43" x14ac:dyDescent="0.2">
      <c r="AQ58846" s="31"/>
    </row>
    <row r="58847" spans="43:43" x14ac:dyDescent="0.2">
      <c r="AQ58847" s="31"/>
    </row>
    <row r="58848" spans="43:43" x14ac:dyDescent="0.2">
      <c r="AQ58848" s="31"/>
    </row>
    <row r="58849" spans="43:43" x14ac:dyDescent="0.2">
      <c r="AQ58849" s="31"/>
    </row>
    <row r="58850" spans="43:43" x14ac:dyDescent="0.2">
      <c r="AQ58850" s="31"/>
    </row>
    <row r="58851" spans="43:43" x14ac:dyDescent="0.2">
      <c r="AQ58851" s="31"/>
    </row>
    <row r="58852" spans="43:43" x14ac:dyDescent="0.2">
      <c r="AQ58852" s="31"/>
    </row>
    <row r="58853" spans="43:43" x14ac:dyDescent="0.2">
      <c r="AQ58853" s="31"/>
    </row>
    <row r="58854" spans="43:43" x14ac:dyDescent="0.2">
      <c r="AQ58854" s="31"/>
    </row>
    <row r="58855" spans="43:43" x14ac:dyDescent="0.2">
      <c r="AQ58855" s="31"/>
    </row>
    <row r="58856" spans="43:43" x14ac:dyDescent="0.2">
      <c r="AQ58856" s="31"/>
    </row>
    <row r="58857" spans="43:43" x14ac:dyDescent="0.2">
      <c r="AQ58857" s="31"/>
    </row>
    <row r="58858" spans="43:43" x14ac:dyDescent="0.2">
      <c r="AQ58858" s="31"/>
    </row>
    <row r="58859" spans="43:43" x14ac:dyDescent="0.2">
      <c r="AQ58859" s="31"/>
    </row>
    <row r="58860" spans="43:43" x14ac:dyDescent="0.2">
      <c r="AQ58860" s="31"/>
    </row>
    <row r="58861" spans="43:43" x14ac:dyDescent="0.2">
      <c r="AQ58861" s="31"/>
    </row>
    <row r="58862" spans="43:43" x14ac:dyDescent="0.2">
      <c r="AQ58862" s="31"/>
    </row>
    <row r="58863" spans="43:43" x14ac:dyDescent="0.2">
      <c r="AQ58863" s="31"/>
    </row>
    <row r="58864" spans="43:43" x14ac:dyDescent="0.2">
      <c r="AQ58864" s="31"/>
    </row>
    <row r="58865" spans="43:43" x14ac:dyDescent="0.2">
      <c r="AQ58865" s="31"/>
    </row>
    <row r="58866" spans="43:43" x14ac:dyDescent="0.2">
      <c r="AQ58866" s="31"/>
    </row>
    <row r="58867" spans="43:43" x14ac:dyDescent="0.2">
      <c r="AQ58867" s="31"/>
    </row>
    <row r="58868" spans="43:43" x14ac:dyDescent="0.2">
      <c r="AQ58868" s="31"/>
    </row>
    <row r="58869" spans="43:43" x14ac:dyDescent="0.2">
      <c r="AQ58869" s="31"/>
    </row>
    <row r="58870" spans="43:43" x14ac:dyDescent="0.2">
      <c r="AQ58870" s="31"/>
    </row>
    <row r="58871" spans="43:43" x14ac:dyDescent="0.2">
      <c r="AQ58871" s="31"/>
    </row>
    <row r="58872" spans="43:43" x14ac:dyDescent="0.2">
      <c r="AQ58872" s="31"/>
    </row>
    <row r="58873" spans="43:43" x14ac:dyDescent="0.2">
      <c r="AQ58873" s="31"/>
    </row>
    <row r="58874" spans="43:43" x14ac:dyDescent="0.2">
      <c r="AQ58874" s="31"/>
    </row>
    <row r="58875" spans="43:43" x14ac:dyDescent="0.2">
      <c r="AQ58875" s="31"/>
    </row>
    <row r="58876" spans="43:43" x14ac:dyDescent="0.2">
      <c r="AQ58876" s="31"/>
    </row>
    <row r="58877" spans="43:43" x14ac:dyDescent="0.2">
      <c r="AQ58877" s="31"/>
    </row>
    <row r="58878" spans="43:43" x14ac:dyDescent="0.2">
      <c r="AQ58878" s="31"/>
    </row>
    <row r="58879" spans="43:43" x14ac:dyDescent="0.2">
      <c r="AQ58879" s="31"/>
    </row>
    <row r="58880" spans="43:43" x14ac:dyDescent="0.2">
      <c r="AQ58880" s="31"/>
    </row>
    <row r="58881" spans="43:43" x14ac:dyDescent="0.2">
      <c r="AQ58881" s="31"/>
    </row>
    <row r="58882" spans="43:43" x14ac:dyDescent="0.2">
      <c r="AQ58882" s="31"/>
    </row>
    <row r="58883" spans="43:43" x14ac:dyDescent="0.2">
      <c r="AQ58883" s="31"/>
    </row>
    <row r="58884" spans="43:43" x14ac:dyDescent="0.2">
      <c r="AQ58884" s="31"/>
    </row>
    <row r="58885" spans="43:43" x14ac:dyDescent="0.2">
      <c r="AQ58885" s="31"/>
    </row>
    <row r="58886" spans="43:43" x14ac:dyDescent="0.2">
      <c r="AQ58886" s="31"/>
    </row>
    <row r="58887" spans="43:43" x14ac:dyDescent="0.2">
      <c r="AQ58887" s="31"/>
    </row>
    <row r="58888" spans="43:43" x14ac:dyDescent="0.2">
      <c r="AQ58888" s="31"/>
    </row>
    <row r="58889" spans="43:43" x14ac:dyDescent="0.2">
      <c r="AQ58889" s="31"/>
    </row>
    <row r="58890" spans="43:43" x14ac:dyDescent="0.2">
      <c r="AQ58890" s="31"/>
    </row>
    <row r="58891" spans="43:43" x14ac:dyDescent="0.2">
      <c r="AQ58891" s="31"/>
    </row>
    <row r="58892" spans="43:43" x14ac:dyDescent="0.2">
      <c r="AQ58892" s="31"/>
    </row>
    <row r="58893" spans="43:43" x14ac:dyDescent="0.2">
      <c r="AQ58893" s="31"/>
    </row>
    <row r="58894" spans="43:43" x14ac:dyDescent="0.2">
      <c r="AQ58894" s="31"/>
    </row>
    <row r="58895" spans="43:43" x14ac:dyDescent="0.2">
      <c r="AQ58895" s="31"/>
    </row>
    <row r="58896" spans="43:43" x14ac:dyDescent="0.2">
      <c r="AQ58896" s="31"/>
    </row>
    <row r="58897" spans="43:43" x14ac:dyDescent="0.2">
      <c r="AQ58897" s="31"/>
    </row>
    <row r="58898" spans="43:43" x14ac:dyDescent="0.2">
      <c r="AQ58898" s="31"/>
    </row>
    <row r="58899" spans="43:43" x14ac:dyDescent="0.2">
      <c r="AQ58899" s="31"/>
    </row>
    <row r="58900" spans="43:43" x14ac:dyDescent="0.2">
      <c r="AQ58900" s="31"/>
    </row>
    <row r="58901" spans="43:43" x14ac:dyDescent="0.2">
      <c r="AQ58901" s="31"/>
    </row>
    <row r="58902" spans="43:43" x14ac:dyDescent="0.2">
      <c r="AQ58902" s="31"/>
    </row>
    <row r="58903" spans="43:43" x14ac:dyDescent="0.2">
      <c r="AQ58903" s="31"/>
    </row>
    <row r="58904" spans="43:43" x14ac:dyDescent="0.2">
      <c r="AQ58904" s="31"/>
    </row>
    <row r="58905" spans="43:43" x14ac:dyDescent="0.2">
      <c r="AQ58905" s="31"/>
    </row>
    <row r="58906" spans="43:43" x14ac:dyDescent="0.2">
      <c r="AQ58906" s="31"/>
    </row>
    <row r="58907" spans="43:43" x14ac:dyDescent="0.2">
      <c r="AQ58907" s="31"/>
    </row>
    <row r="58908" spans="43:43" x14ac:dyDescent="0.2">
      <c r="AQ58908" s="31"/>
    </row>
    <row r="58909" spans="43:43" x14ac:dyDescent="0.2">
      <c r="AQ58909" s="31"/>
    </row>
    <row r="58910" spans="43:43" x14ac:dyDescent="0.2">
      <c r="AQ58910" s="31"/>
    </row>
    <row r="58911" spans="43:43" x14ac:dyDescent="0.2">
      <c r="AQ58911" s="31"/>
    </row>
    <row r="58912" spans="43:43" x14ac:dyDescent="0.2">
      <c r="AQ58912" s="31"/>
    </row>
    <row r="58913" spans="43:43" x14ac:dyDescent="0.2">
      <c r="AQ58913" s="31"/>
    </row>
    <row r="58914" spans="43:43" x14ac:dyDescent="0.2">
      <c r="AQ58914" s="31"/>
    </row>
    <row r="58915" spans="43:43" x14ac:dyDescent="0.2">
      <c r="AQ58915" s="31"/>
    </row>
    <row r="58916" spans="43:43" x14ac:dyDescent="0.2">
      <c r="AQ58916" s="31"/>
    </row>
    <row r="58917" spans="43:43" x14ac:dyDescent="0.2">
      <c r="AQ58917" s="31"/>
    </row>
    <row r="58918" spans="43:43" x14ac:dyDescent="0.2">
      <c r="AQ58918" s="31"/>
    </row>
    <row r="58919" spans="43:43" x14ac:dyDescent="0.2">
      <c r="AQ58919" s="31"/>
    </row>
    <row r="58920" spans="43:43" x14ac:dyDescent="0.2">
      <c r="AQ58920" s="31"/>
    </row>
    <row r="58921" spans="43:43" x14ac:dyDescent="0.2">
      <c r="AQ58921" s="31"/>
    </row>
    <row r="58922" spans="43:43" x14ac:dyDescent="0.2">
      <c r="AQ58922" s="31"/>
    </row>
    <row r="58923" spans="43:43" x14ac:dyDescent="0.2">
      <c r="AQ58923" s="31"/>
    </row>
    <row r="58924" spans="43:43" x14ac:dyDescent="0.2">
      <c r="AQ58924" s="31"/>
    </row>
    <row r="58925" spans="43:43" x14ac:dyDescent="0.2">
      <c r="AQ58925" s="31"/>
    </row>
    <row r="58926" spans="43:43" x14ac:dyDescent="0.2">
      <c r="AQ58926" s="31"/>
    </row>
    <row r="58927" spans="43:43" x14ac:dyDescent="0.2">
      <c r="AQ58927" s="31"/>
    </row>
    <row r="58928" spans="43:43" x14ac:dyDescent="0.2">
      <c r="AQ58928" s="31"/>
    </row>
    <row r="58929" spans="43:43" x14ac:dyDescent="0.2">
      <c r="AQ58929" s="31"/>
    </row>
    <row r="58930" spans="43:43" x14ac:dyDescent="0.2">
      <c r="AQ58930" s="31"/>
    </row>
    <row r="58931" spans="43:43" x14ac:dyDescent="0.2">
      <c r="AQ58931" s="31"/>
    </row>
    <row r="58932" spans="43:43" x14ac:dyDescent="0.2">
      <c r="AQ58932" s="31"/>
    </row>
    <row r="58933" spans="43:43" x14ac:dyDescent="0.2">
      <c r="AQ58933" s="31"/>
    </row>
    <row r="58934" spans="43:43" x14ac:dyDescent="0.2">
      <c r="AQ58934" s="31"/>
    </row>
    <row r="58935" spans="43:43" x14ac:dyDescent="0.2">
      <c r="AQ58935" s="31"/>
    </row>
    <row r="58936" spans="43:43" x14ac:dyDescent="0.2">
      <c r="AQ58936" s="31"/>
    </row>
    <row r="58937" spans="43:43" x14ac:dyDescent="0.2">
      <c r="AQ58937" s="31"/>
    </row>
    <row r="58938" spans="43:43" x14ac:dyDescent="0.2">
      <c r="AQ58938" s="31"/>
    </row>
    <row r="58939" spans="43:43" x14ac:dyDescent="0.2">
      <c r="AQ58939" s="31"/>
    </row>
    <row r="58940" spans="43:43" x14ac:dyDescent="0.2">
      <c r="AQ58940" s="31"/>
    </row>
    <row r="58941" spans="43:43" x14ac:dyDescent="0.2">
      <c r="AQ58941" s="31"/>
    </row>
    <row r="58942" spans="43:43" x14ac:dyDescent="0.2">
      <c r="AQ58942" s="31"/>
    </row>
    <row r="58943" spans="43:43" x14ac:dyDescent="0.2">
      <c r="AQ58943" s="31"/>
    </row>
    <row r="58944" spans="43:43" x14ac:dyDescent="0.2">
      <c r="AQ58944" s="31"/>
    </row>
    <row r="58945" spans="43:43" x14ac:dyDescent="0.2">
      <c r="AQ58945" s="31"/>
    </row>
    <row r="58946" spans="43:43" x14ac:dyDescent="0.2">
      <c r="AQ58946" s="31"/>
    </row>
    <row r="58947" spans="43:43" x14ac:dyDescent="0.2">
      <c r="AQ58947" s="31"/>
    </row>
    <row r="58948" spans="43:43" x14ac:dyDescent="0.2">
      <c r="AQ58948" s="31"/>
    </row>
    <row r="58949" spans="43:43" x14ac:dyDescent="0.2">
      <c r="AQ58949" s="31"/>
    </row>
    <row r="58950" spans="43:43" x14ac:dyDescent="0.2">
      <c r="AQ58950" s="31"/>
    </row>
    <row r="58951" spans="43:43" x14ac:dyDescent="0.2">
      <c r="AQ58951" s="31"/>
    </row>
    <row r="58952" spans="43:43" x14ac:dyDescent="0.2">
      <c r="AQ58952" s="31"/>
    </row>
    <row r="58953" spans="43:43" x14ac:dyDescent="0.2">
      <c r="AQ58953" s="31"/>
    </row>
    <row r="58954" spans="43:43" x14ac:dyDescent="0.2">
      <c r="AQ58954" s="31"/>
    </row>
    <row r="58955" spans="43:43" x14ac:dyDescent="0.2">
      <c r="AQ58955" s="31"/>
    </row>
    <row r="58956" spans="43:43" x14ac:dyDescent="0.2">
      <c r="AQ58956" s="31"/>
    </row>
    <row r="58957" spans="43:43" x14ac:dyDescent="0.2">
      <c r="AQ58957" s="31"/>
    </row>
    <row r="58958" spans="43:43" x14ac:dyDescent="0.2">
      <c r="AQ58958" s="31"/>
    </row>
    <row r="58959" spans="43:43" x14ac:dyDescent="0.2">
      <c r="AQ58959" s="31"/>
    </row>
    <row r="58960" spans="43:43" x14ac:dyDescent="0.2">
      <c r="AQ58960" s="31"/>
    </row>
    <row r="58961" spans="43:43" x14ac:dyDescent="0.2">
      <c r="AQ58961" s="31"/>
    </row>
    <row r="58962" spans="43:43" x14ac:dyDescent="0.2">
      <c r="AQ58962" s="31"/>
    </row>
    <row r="58963" spans="43:43" x14ac:dyDescent="0.2">
      <c r="AQ58963" s="31"/>
    </row>
    <row r="58964" spans="43:43" x14ac:dyDescent="0.2">
      <c r="AQ58964" s="31"/>
    </row>
    <row r="58965" spans="43:43" x14ac:dyDescent="0.2">
      <c r="AQ58965" s="31"/>
    </row>
    <row r="58966" spans="43:43" x14ac:dyDescent="0.2">
      <c r="AQ58966" s="31"/>
    </row>
    <row r="58967" spans="43:43" x14ac:dyDescent="0.2">
      <c r="AQ58967" s="31"/>
    </row>
    <row r="58968" spans="43:43" x14ac:dyDescent="0.2">
      <c r="AQ58968" s="31"/>
    </row>
    <row r="58969" spans="43:43" x14ac:dyDescent="0.2">
      <c r="AQ58969" s="31"/>
    </row>
    <row r="58970" spans="43:43" x14ac:dyDescent="0.2">
      <c r="AQ58970" s="31"/>
    </row>
    <row r="58971" spans="43:43" x14ac:dyDescent="0.2">
      <c r="AQ58971" s="31"/>
    </row>
    <row r="58972" spans="43:43" x14ac:dyDescent="0.2">
      <c r="AQ58972" s="31"/>
    </row>
    <row r="58973" spans="43:43" x14ac:dyDescent="0.2">
      <c r="AQ58973" s="31"/>
    </row>
    <row r="58974" spans="43:43" x14ac:dyDescent="0.2">
      <c r="AQ58974" s="31"/>
    </row>
    <row r="58975" spans="43:43" x14ac:dyDescent="0.2">
      <c r="AQ58975" s="31"/>
    </row>
    <row r="58976" spans="43:43" x14ac:dyDescent="0.2">
      <c r="AQ58976" s="31"/>
    </row>
    <row r="58977" spans="43:43" x14ac:dyDescent="0.2">
      <c r="AQ58977" s="31"/>
    </row>
    <row r="58978" spans="43:43" x14ac:dyDescent="0.2">
      <c r="AQ58978" s="31"/>
    </row>
    <row r="58979" spans="43:43" x14ac:dyDescent="0.2">
      <c r="AQ58979" s="31"/>
    </row>
    <row r="58980" spans="43:43" x14ac:dyDescent="0.2">
      <c r="AQ58980" s="31"/>
    </row>
    <row r="58981" spans="43:43" x14ac:dyDescent="0.2">
      <c r="AQ58981" s="31"/>
    </row>
    <row r="58982" spans="43:43" x14ac:dyDescent="0.2">
      <c r="AQ58982" s="31"/>
    </row>
    <row r="58983" spans="43:43" x14ac:dyDescent="0.2">
      <c r="AQ58983" s="31"/>
    </row>
    <row r="58984" spans="43:43" x14ac:dyDescent="0.2">
      <c r="AQ58984" s="31"/>
    </row>
    <row r="58985" spans="43:43" x14ac:dyDescent="0.2">
      <c r="AQ58985" s="31"/>
    </row>
    <row r="58986" spans="43:43" x14ac:dyDescent="0.2">
      <c r="AQ58986" s="31"/>
    </row>
    <row r="58987" spans="43:43" x14ac:dyDescent="0.2">
      <c r="AQ58987" s="31"/>
    </row>
    <row r="58988" spans="43:43" x14ac:dyDescent="0.2">
      <c r="AQ58988" s="31"/>
    </row>
    <row r="58989" spans="43:43" x14ac:dyDescent="0.2">
      <c r="AQ58989" s="31"/>
    </row>
    <row r="58990" spans="43:43" x14ac:dyDescent="0.2">
      <c r="AQ58990" s="31"/>
    </row>
    <row r="58991" spans="43:43" x14ac:dyDescent="0.2">
      <c r="AQ58991" s="31"/>
    </row>
    <row r="58992" spans="43:43" x14ac:dyDescent="0.2">
      <c r="AQ58992" s="31"/>
    </row>
    <row r="58993" spans="43:43" x14ac:dyDescent="0.2">
      <c r="AQ58993" s="31"/>
    </row>
    <row r="58994" spans="43:43" x14ac:dyDescent="0.2">
      <c r="AQ58994" s="31"/>
    </row>
    <row r="58995" spans="43:43" x14ac:dyDescent="0.2">
      <c r="AQ58995" s="31"/>
    </row>
    <row r="58996" spans="43:43" x14ac:dyDescent="0.2">
      <c r="AQ58996" s="31"/>
    </row>
    <row r="58997" spans="43:43" x14ac:dyDescent="0.2">
      <c r="AQ58997" s="31"/>
    </row>
    <row r="58998" spans="43:43" x14ac:dyDescent="0.2">
      <c r="AQ58998" s="31"/>
    </row>
    <row r="58999" spans="43:43" x14ac:dyDescent="0.2">
      <c r="AQ58999" s="31"/>
    </row>
    <row r="59000" spans="43:43" x14ac:dyDescent="0.2">
      <c r="AQ59000" s="31"/>
    </row>
    <row r="59001" spans="43:43" x14ac:dyDescent="0.2">
      <c r="AQ59001" s="31"/>
    </row>
    <row r="59002" spans="43:43" x14ac:dyDescent="0.2">
      <c r="AQ59002" s="31"/>
    </row>
    <row r="59003" spans="43:43" x14ac:dyDescent="0.2">
      <c r="AQ59003" s="31"/>
    </row>
    <row r="59004" spans="43:43" x14ac:dyDescent="0.2">
      <c r="AQ59004" s="31"/>
    </row>
    <row r="59005" spans="43:43" x14ac:dyDescent="0.2">
      <c r="AQ59005" s="31"/>
    </row>
    <row r="59006" spans="43:43" x14ac:dyDescent="0.2">
      <c r="AQ59006" s="31"/>
    </row>
    <row r="59007" spans="43:43" x14ac:dyDescent="0.2">
      <c r="AQ59007" s="31"/>
    </row>
    <row r="59008" spans="43:43" x14ac:dyDescent="0.2">
      <c r="AQ59008" s="31"/>
    </row>
    <row r="59009" spans="43:43" x14ac:dyDescent="0.2">
      <c r="AQ59009" s="31"/>
    </row>
    <row r="59010" spans="43:43" x14ac:dyDescent="0.2">
      <c r="AQ59010" s="31"/>
    </row>
    <row r="59011" spans="43:43" x14ac:dyDescent="0.2">
      <c r="AQ59011" s="31"/>
    </row>
    <row r="59012" spans="43:43" x14ac:dyDescent="0.2">
      <c r="AQ59012" s="31"/>
    </row>
    <row r="59013" spans="43:43" x14ac:dyDescent="0.2">
      <c r="AQ59013" s="31"/>
    </row>
    <row r="59014" spans="43:43" x14ac:dyDescent="0.2">
      <c r="AQ59014" s="31"/>
    </row>
    <row r="59015" spans="43:43" x14ac:dyDescent="0.2">
      <c r="AQ59015" s="31"/>
    </row>
    <row r="59016" spans="43:43" x14ac:dyDescent="0.2">
      <c r="AQ59016" s="31"/>
    </row>
    <row r="59017" spans="43:43" x14ac:dyDescent="0.2">
      <c r="AQ59017" s="31"/>
    </row>
    <row r="59018" spans="43:43" x14ac:dyDescent="0.2">
      <c r="AQ59018" s="31"/>
    </row>
    <row r="59019" spans="43:43" x14ac:dyDescent="0.2">
      <c r="AQ59019" s="31"/>
    </row>
    <row r="59020" spans="43:43" x14ac:dyDescent="0.2">
      <c r="AQ59020" s="31"/>
    </row>
    <row r="59021" spans="43:43" x14ac:dyDescent="0.2">
      <c r="AQ59021" s="31"/>
    </row>
    <row r="59022" spans="43:43" x14ac:dyDescent="0.2">
      <c r="AQ59022" s="31"/>
    </row>
    <row r="59023" spans="43:43" x14ac:dyDescent="0.2">
      <c r="AQ59023" s="31"/>
    </row>
    <row r="59024" spans="43:43" x14ac:dyDescent="0.2">
      <c r="AQ59024" s="31"/>
    </row>
    <row r="59025" spans="43:43" x14ac:dyDescent="0.2">
      <c r="AQ59025" s="31"/>
    </row>
    <row r="59026" spans="43:43" x14ac:dyDescent="0.2">
      <c r="AQ59026" s="31"/>
    </row>
    <row r="59027" spans="43:43" x14ac:dyDescent="0.2">
      <c r="AQ59027" s="31"/>
    </row>
    <row r="59028" spans="43:43" x14ac:dyDescent="0.2">
      <c r="AQ59028" s="31"/>
    </row>
    <row r="59029" spans="43:43" x14ac:dyDescent="0.2">
      <c r="AQ59029" s="31"/>
    </row>
    <row r="59030" spans="43:43" x14ac:dyDescent="0.2">
      <c r="AQ59030" s="31"/>
    </row>
    <row r="59031" spans="43:43" x14ac:dyDescent="0.2">
      <c r="AQ59031" s="31"/>
    </row>
    <row r="59032" spans="43:43" x14ac:dyDescent="0.2">
      <c r="AQ59032" s="31"/>
    </row>
    <row r="59033" spans="43:43" x14ac:dyDescent="0.2">
      <c r="AQ59033" s="31"/>
    </row>
    <row r="59034" spans="43:43" x14ac:dyDescent="0.2">
      <c r="AQ59034" s="31"/>
    </row>
    <row r="59035" spans="43:43" x14ac:dyDescent="0.2">
      <c r="AQ59035" s="31"/>
    </row>
    <row r="59036" spans="43:43" x14ac:dyDescent="0.2">
      <c r="AQ59036" s="31"/>
    </row>
    <row r="59037" spans="43:43" x14ac:dyDescent="0.2">
      <c r="AQ59037" s="31"/>
    </row>
    <row r="59038" spans="43:43" x14ac:dyDescent="0.2">
      <c r="AQ59038" s="31"/>
    </row>
    <row r="59039" spans="43:43" x14ac:dyDescent="0.2">
      <c r="AQ59039" s="31"/>
    </row>
    <row r="59040" spans="43:43" x14ac:dyDescent="0.2">
      <c r="AQ59040" s="31"/>
    </row>
    <row r="59041" spans="43:43" x14ac:dyDescent="0.2">
      <c r="AQ59041" s="31"/>
    </row>
    <row r="59042" spans="43:43" x14ac:dyDescent="0.2">
      <c r="AQ59042" s="31"/>
    </row>
    <row r="59043" spans="43:43" x14ac:dyDescent="0.2">
      <c r="AQ59043" s="31"/>
    </row>
    <row r="59044" spans="43:43" x14ac:dyDescent="0.2">
      <c r="AQ59044" s="31"/>
    </row>
    <row r="59045" spans="43:43" x14ac:dyDescent="0.2">
      <c r="AQ59045" s="31"/>
    </row>
    <row r="59046" spans="43:43" x14ac:dyDescent="0.2">
      <c r="AQ59046" s="31"/>
    </row>
    <row r="59047" spans="43:43" x14ac:dyDescent="0.2">
      <c r="AQ59047" s="31"/>
    </row>
    <row r="59048" spans="43:43" x14ac:dyDescent="0.2">
      <c r="AQ59048" s="31"/>
    </row>
    <row r="59049" spans="43:43" x14ac:dyDescent="0.2">
      <c r="AQ59049" s="31"/>
    </row>
    <row r="59050" spans="43:43" x14ac:dyDescent="0.2">
      <c r="AQ59050" s="31"/>
    </row>
    <row r="59051" spans="43:43" x14ac:dyDescent="0.2">
      <c r="AQ59051" s="31"/>
    </row>
    <row r="59052" spans="43:43" x14ac:dyDescent="0.2">
      <c r="AQ59052" s="31"/>
    </row>
    <row r="59053" spans="43:43" x14ac:dyDescent="0.2">
      <c r="AQ59053" s="31"/>
    </row>
    <row r="59054" spans="43:43" x14ac:dyDescent="0.2">
      <c r="AQ59054" s="31"/>
    </row>
    <row r="59055" spans="43:43" x14ac:dyDescent="0.2">
      <c r="AQ59055" s="31"/>
    </row>
    <row r="59056" spans="43:43" x14ac:dyDescent="0.2">
      <c r="AQ59056" s="31"/>
    </row>
    <row r="59057" spans="43:43" x14ac:dyDescent="0.2">
      <c r="AQ59057" s="31"/>
    </row>
    <row r="59058" spans="43:43" x14ac:dyDescent="0.2">
      <c r="AQ59058" s="31"/>
    </row>
    <row r="59059" spans="43:43" x14ac:dyDescent="0.2">
      <c r="AQ59059" s="31"/>
    </row>
    <row r="59060" spans="43:43" x14ac:dyDescent="0.2">
      <c r="AQ59060" s="31"/>
    </row>
    <row r="59061" spans="43:43" x14ac:dyDescent="0.2">
      <c r="AQ59061" s="31"/>
    </row>
    <row r="59062" spans="43:43" x14ac:dyDescent="0.2">
      <c r="AQ59062" s="31"/>
    </row>
    <row r="59063" spans="43:43" x14ac:dyDescent="0.2">
      <c r="AQ59063" s="31"/>
    </row>
    <row r="59064" spans="43:43" x14ac:dyDescent="0.2">
      <c r="AQ59064" s="31"/>
    </row>
    <row r="59065" spans="43:43" x14ac:dyDescent="0.2">
      <c r="AQ59065" s="31"/>
    </row>
    <row r="59066" spans="43:43" x14ac:dyDescent="0.2">
      <c r="AQ59066" s="31"/>
    </row>
    <row r="59067" spans="43:43" x14ac:dyDescent="0.2">
      <c r="AQ59067" s="31"/>
    </row>
    <row r="59068" spans="43:43" x14ac:dyDescent="0.2">
      <c r="AQ59068" s="31"/>
    </row>
    <row r="59069" spans="43:43" x14ac:dyDescent="0.2">
      <c r="AQ59069" s="31"/>
    </row>
    <row r="59070" spans="43:43" x14ac:dyDescent="0.2">
      <c r="AQ59070" s="31"/>
    </row>
    <row r="59071" spans="43:43" x14ac:dyDescent="0.2">
      <c r="AQ59071" s="31"/>
    </row>
    <row r="59072" spans="43:43" x14ac:dyDescent="0.2">
      <c r="AQ59072" s="31"/>
    </row>
    <row r="59073" spans="43:43" x14ac:dyDescent="0.2">
      <c r="AQ59073" s="31"/>
    </row>
    <row r="59074" spans="43:43" x14ac:dyDescent="0.2">
      <c r="AQ59074" s="31"/>
    </row>
    <row r="59075" spans="43:43" x14ac:dyDescent="0.2">
      <c r="AQ59075" s="31"/>
    </row>
    <row r="59076" spans="43:43" x14ac:dyDescent="0.2">
      <c r="AQ59076" s="31"/>
    </row>
    <row r="59077" spans="43:43" x14ac:dyDescent="0.2">
      <c r="AQ59077" s="31"/>
    </row>
    <row r="59078" spans="43:43" x14ac:dyDescent="0.2">
      <c r="AQ59078" s="31"/>
    </row>
    <row r="59079" spans="43:43" x14ac:dyDescent="0.2">
      <c r="AQ59079" s="31"/>
    </row>
    <row r="59080" spans="43:43" x14ac:dyDescent="0.2">
      <c r="AQ59080" s="31"/>
    </row>
    <row r="59081" spans="43:43" x14ac:dyDescent="0.2">
      <c r="AQ59081" s="31"/>
    </row>
    <row r="59082" spans="43:43" x14ac:dyDescent="0.2">
      <c r="AQ59082" s="31"/>
    </row>
    <row r="59083" spans="43:43" x14ac:dyDescent="0.2">
      <c r="AQ59083" s="31"/>
    </row>
    <row r="59084" spans="43:43" x14ac:dyDescent="0.2">
      <c r="AQ59084" s="31"/>
    </row>
    <row r="59085" spans="43:43" x14ac:dyDescent="0.2">
      <c r="AQ59085" s="31"/>
    </row>
    <row r="59086" spans="43:43" x14ac:dyDescent="0.2">
      <c r="AQ59086" s="31"/>
    </row>
    <row r="59087" spans="43:43" x14ac:dyDescent="0.2">
      <c r="AQ59087" s="31"/>
    </row>
    <row r="59088" spans="43:43" x14ac:dyDescent="0.2">
      <c r="AQ59088" s="31"/>
    </row>
    <row r="59089" spans="43:43" x14ac:dyDescent="0.2">
      <c r="AQ59089" s="31"/>
    </row>
    <row r="59090" spans="43:43" x14ac:dyDescent="0.2">
      <c r="AQ59090" s="31"/>
    </row>
    <row r="59091" spans="43:43" x14ac:dyDescent="0.2">
      <c r="AQ59091" s="31"/>
    </row>
    <row r="59092" spans="43:43" x14ac:dyDescent="0.2">
      <c r="AQ59092" s="31"/>
    </row>
    <row r="59093" spans="43:43" x14ac:dyDescent="0.2">
      <c r="AQ59093" s="31"/>
    </row>
    <row r="59094" spans="43:43" x14ac:dyDescent="0.2">
      <c r="AQ59094" s="31"/>
    </row>
    <row r="59095" spans="43:43" x14ac:dyDescent="0.2">
      <c r="AQ59095" s="31"/>
    </row>
    <row r="59096" spans="43:43" x14ac:dyDescent="0.2">
      <c r="AQ59096" s="31"/>
    </row>
    <row r="59097" spans="43:43" x14ac:dyDescent="0.2">
      <c r="AQ59097" s="31"/>
    </row>
    <row r="59098" spans="43:43" x14ac:dyDescent="0.2">
      <c r="AQ59098" s="31"/>
    </row>
    <row r="59099" spans="43:43" x14ac:dyDescent="0.2">
      <c r="AQ59099" s="31"/>
    </row>
    <row r="59100" spans="43:43" x14ac:dyDescent="0.2">
      <c r="AQ59100" s="31"/>
    </row>
    <row r="59101" spans="43:43" x14ac:dyDescent="0.2">
      <c r="AQ59101" s="31"/>
    </row>
    <row r="59102" spans="43:43" x14ac:dyDescent="0.2">
      <c r="AQ59102" s="31"/>
    </row>
    <row r="59103" spans="43:43" x14ac:dyDescent="0.2">
      <c r="AQ59103" s="31"/>
    </row>
    <row r="59104" spans="43:43" x14ac:dyDescent="0.2">
      <c r="AQ59104" s="31"/>
    </row>
    <row r="59105" spans="43:43" x14ac:dyDescent="0.2">
      <c r="AQ59105" s="31"/>
    </row>
    <row r="59106" spans="43:43" x14ac:dyDescent="0.2">
      <c r="AQ59106" s="31"/>
    </row>
    <row r="59107" spans="43:43" x14ac:dyDescent="0.2">
      <c r="AQ59107" s="31"/>
    </row>
    <row r="59108" spans="43:43" x14ac:dyDescent="0.2">
      <c r="AQ59108" s="31"/>
    </row>
    <row r="59109" spans="43:43" x14ac:dyDescent="0.2">
      <c r="AQ59109" s="31"/>
    </row>
    <row r="59110" spans="43:43" x14ac:dyDescent="0.2">
      <c r="AQ59110" s="31"/>
    </row>
    <row r="59111" spans="43:43" x14ac:dyDescent="0.2">
      <c r="AQ59111" s="31"/>
    </row>
    <row r="59112" spans="43:43" x14ac:dyDescent="0.2">
      <c r="AQ59112" s="31"/>
    </row>
    <row r="59113" spans="43:43" x14ac:dyDescent="0.2">
      <c r="AQ59113" s="31"/>
    </row>
    <row r="59114" spans="43:43" x14ac:dyDescent="0.2">
      <c r="AQ59114" s="31"/>
    </row>
    <row r="59115" spans="43:43" x14ac:dyDescent="0.2">
      <c r="AQ59115" s="31"/>
    </row>
    <row r="59116" spans="43:43" x14ac:dyDescent="0.2">
      <c r="AQ59116" s="31"/>
    </row>
    <row r="59117" spans="43:43" x14ac:dyDescent="0.2">
      <c r="AQ59117" s="31"/>
    </row>
    <row r="59118" spans="43:43" x14ac:dyDescent="0.2">
      <c r="AQ59118" s="31"/>
    </row>
    <row r="59119" spans="43:43" x14ac:dyDescent="0.2">
      <c r="AQ59119" s="31"/>
    </row>
    <row r="59120" spans="43:43" x14ac:dyDescent="0.2">
      <c r="AQ59120" s="31"/>
    </row>
    <row r="59121" spans="43:43" x14ac:dyDescent="0.2">
      <c r="AQ59121" s="31"/>
    </row>
    <row r="59122" spans="43:43" x14ac:dyDescent="0.2">
      <c r="AQ59122" s="31"/>
    </row>
    <row r="59123" spans="43:43" x14ac:dyDescent="0.2">
      <c r="AQ59123" s="31"/>
    </row>
    <row r="59124" spans="43:43" x14ac:dyDescent="0.2">
      <c r="AQ59124" s="31"/>
    </row>
    <row r="59125" spans="43:43" x14ac:dyDescent="0.2">
      <c r="AQ59125" s="31"/>
    </row>
    <row r="59126" spans="43:43" x14ac:dyDescent="0.2">
      <c r="AQ59126" s="31"/>
    </row>
    <row r="59127" spans="43:43" x14ac:dyDescent="0.2">
      <c r="AQ59127" s="31"/>
    </row>
    <row r="59128" spans="43:43" x14ac:dyDescent="0.2">
      <c r="AQ59128" s="31"/>
    </row>
    <row r="59129" spans="43:43" x14ac:dyDescent="0.2">
      <c r="AQ59129" s="31"/>
    </row>
    <row r="59130" spans="43:43" x14ac:dyDescent="0.2">
      <c r="AQ59130" s="31"/>
    </row>
    <row r="59131" spans="43:43" x14ac:dyDescent="0.2">
      <c r="AQ59131" s="31"/>
    </row>
    <row r="59132" spans="43:43" x14ac:dyDescent="0.2">
      <c r="AQ59132" s="31"/>
    </row>
    <row r="59133" spans="43:43" x14ac:dyDescent="0.2">
      <c r="AQ59133" s="31"/>
    </row>
    <row r="59134" spans="43:43" x14ac:dyDescent="0.2">
      <c r="AQ59134" s="31"/>
    </row>
    <row r="59135" spans="43:43" x14ac:dyDescent="0.2">
      <c r="AQ59135" s="31"/>
    </row>
    <row r="59136" spans="43:43" x14ac:dyDescent="0.2">
      <c r="AQ59136" s="31"/>
    </row>
    <row r="59137" spans="43:43" x14ac:dyDescent="0.2">
      <c r="AQ59137" s="31"/>
    </row>
    <row r="59138" spans="43:43" x14ac:dyDescent="0.2">
      <c r="AQ59138" s="31"/>
    </row>
    <row r="59139" spans="43:43" x14ac:dyDescent="0.2">
      <c r="AQ59139" s="31"/>
    </row>
    <row r="59140" spans="43:43" x14ac:dyDescent="0.2">
      <c r="AQ59140" s="31"/>
    </row>
    <row r="59141" spans="43:43" x14ac:dyDescent="0.2">
      <c r="AQ59141" s="31"/>
    </row>
    <row r="59142" spans="43:43" x14ac:dyDescent="0.2">
      <c r="AQ59142" s="31"/>
    </row>
    <row r="59143" spans="43:43" x14ac:dyDescent="0.2">
      <c r="AQ59143" s="31"/>
    </row>
    <row r="59144" spans="43:43" x14ac:dyDescent="0.2">
      <c r="AQ59144" s="31"/>
    </row>
    <row r="59145" spans="43:43" x14ac:dyDescent="0.2">
      <c r="AQ59145" s="31"/>
    </row>
    <row r="59146" spans="43:43" x14ac:dyDescent="0.2">
      <c r="AQ59146" s="31"/>
    </row>
    <row r="59147" spans="43:43" x14ac:dyDescent="0.2">
      <c r="AQ59147" s="31"/>
    </row>
    <row r="59148" spans="43:43" x14ac:dyDescent="0.2">
      <c r="AQ59148" s="31"/>
    </row>
    <row r="59149" spans="43:43" x14ac:dyDescent="0.2">
      <c r="AQ59149" s="31"/>
    </row>
    <row r="59150" spans="43:43" x14ac:dyDescent="0.2">
      <c r="AQ59150" s="31"/>
    </row>
    <row r="59151" spans="43:43" x14ac:dyDescent="0.2">
      <c r="AQ59151" s="31"/>
    </row>
    <row r="59152" spans="43:43" x14ac:dyDescent="0.2">
      <c r="AQ59152" s="31"/>
    </row>
    <row r="59153" spans="43:43" x14ac:dyDescent="0.2">
      <c r="AQ59153" s="31"/>
    </row>
    <row r="59154" spans="43:43" x14ac:dyDescent="0.2">
      <c r="AQ59154" s="31"/>
    </row>
    <row r="59155" spans="43:43" x14ac:dyDescent="0.2">
      <c r="AQ59155" s="31"/>
    </row>
    <row r="59156" spans="43:43" x14ac:dyDescent="0.2">
      <c r="AQ59156" s="31"/>
    </row>
    <row r="59157" spans="43:43" x14ac:dyDescent="0.2">
      <c r="AQ59157" s="31"/>
    </row>
    <row r="59158" spans="43:43" x14ac:dyDescent="0.2">
      <c r="AQ59158" s="31"/>
    </row>
    <row r="59159" spans="43:43" x14ac:dyDescent="0.2">
      <c r="AQ59159" s="31"/>
    </row>
    <row r="59160" spans="43:43" x14ac:dyDescent="0.2">
      <c r="AQ59160" s="31"/>
    </row>
    <row r="59161" spans="43:43" x14ac:dyDescent="0.2">
      <c r="AQ59161" s="31"/>
    </row>
    <row r="59162" spans="43:43" x14ac:dyDescent="0.2">
      <c r="AQ59162" s="31"/>
    </row>
    <row r="59163" spans="43:43" x14ac:dyDescent="0.2">
      <c r="AQ59163" s="31"/>
    </row>
    <row r="59164" spans="43:43" x14ac:dyDescent="0.2">
      <c r="AQ59164" s="31"/>
    </row>
    <row r="59165" spans="43:43" x14ac:dyDescent="0.2">
      <c r="AQ59165" s="31"/>
    </row>
    <row r="59166" spans="43:43" x14ac:dyDescent="0.2">
      <c r="AQ59166" s="31"/>
    </row>
    <row r="59167" spans="43:43" x14ac:dyDescent="0.2">
      <c r="AQ59167" s="31"/>
    </row>
    <row r="59168" spans="43:43" x14ac:dyDescent="0.2">
      <c r="AQ59168" s="31"/>
    </row>
    <row r="59169" spans="43:43" x14ac:dyDescent="0.2">
      <c r="AQ59169" s="31"/>
    </row>
    <row r="59170" spans="43:43" x14ac:dyDescent="0.2">
      <c r="AQ59170" s="31"/>
    </row>
    <row r="59171" spans="43:43" x14ac:dyDescent="0.2">
      <c r="AQ59171" s="31"/>
    </row>
    <row r="59172" spans="43:43" x14ac:dyDescent="0.2">
      <c r="AQ59172" s="31"/>
    </row>
    <row r="59173" spans="43:43" x14ac:dyDescent="0.2">
      <c r="AQ59173" s="31"/>
    </row>
    <row r="59174" spans="43:43" x14ac:dyDescent="0.2">
      <c r="AQ59174" s="31"/>
    </row>
    <row r="59175" spans="43:43" x14ac:dyDescent="0.2">
      <c r="AQ59175" s="31"/>
    </row>
    <row r="59176" spans="43:43" x14ac:dyDescent="0.2">
      <c r="AQ59176" s="31"/>
    </row>
    <row r="59177" spans="43:43" x14ac:dyDescent="0.2">
      <c r="AQ59177" s="31"/>
    </row>
    <row r="59178" spans="43:43" x14ac:dyDescent="0.2">
      <c r="AQ59178" s="31"/>
    </row>
    <row r="59179" spans="43:43" x14ac:dyDescent="0.2">
      <c r="AQ59179" s="31"/>
    </row>
    <row r="59180" spans="43:43" x14ac:dyDescent="0.2">
      <c r="AQ59180" s="31"/>
    </row>
    <row r="59181" spans="43:43" x14ac:dyDescent="0.2">
      <c r="AQ59181" s="31"/>
    </row>
    <row r="59182" spans="43:43" x14ac:dyDescent="0.2">
      <c r="AQ59182" s="31"/>
    </row>
    <row r="59183" spans="43:43" x14ac:dyDescent="0.2">
      <c r="AQ59183" s="31"/>
    </row>
    <row r="59184" spans="43:43" x14ac:dyDescent="0.2">
      <c r="AQ59184" s="31"/>
    </row>
    <row r="59185" spans="43:43" x14ac:dyDescent="0.2">
      <c r="AQ59185" s="31"/>
    </row>
    <row r="59186" spans="43:43" x14ac:dyDescent="0.2">
      <c r="AQ59186" s="31"/>
    </row>
    <row r="59187" spans="43:43" x14ac:dyDescent="0.2">
      <c r="AQ59187" s="31"/>
    </row>
    <row r="59188" spans="43:43" x14ac:dyDescent="0.2">
      <c r="AQ59188" s="31"/>
    </row>
    <row r="59189" spans="43:43" x14ac:dyDescent="0.2">
      <c r="AQ59189" s="31"/>
    </row>
    <row r="59190" spans="43:43" x14ac:dyDescent="0.2">
      <c r="AQ59190" s="31"/>
    </row>
    <row r="59191" spans="43:43" x14ac:dyDescent="0.2">
      <c r="AQ59191" s="31"/>
    </row>
    <row r="59192" spans="43:43" x14ac:dyDescent="0.2">
      <c r="AQ59192" s="31"/>
    </row>
    <row r="59193" spans="43:43" x14ac:dyDescent="0.2">
      <c r="AQ59193" s="31"/>
    </row>
    <row r="59194" spans="43:43" x14ac:dyDescent="0.2">
      <c r="AQ59194" s="31"/>
    </row>
    <row r="59195" spans="43:43" x14ac:dyDescent="0.2">
      <c r="AQ59195" s="31"/>
    </row>
    <row r="59196" spans="43:43" x14ac:dyDescent="0.2">
      <c r="AQ59196" s="31"/>
    </row>
    <row r="59197" spans="43:43" x14ac:dyDescent="0.2">
      <c r="AQ59197" s="31"/>
    </row>
    <row r="59198" spans="43:43" x14ac:dyDescent="0.2">
      <c r="AQ59198" s="31"/>
    </row>
    <row r="59199" spans="43:43" x14ac:dyDescent="0.2">
      <c r="AQ59199" s="31"/>
    </row>
    <row r="59200" spans="43:43" x14ac:dyDescent="0.2">
      <c r="AQ59200" s="31"/>
    </row>
    <row r="59201" spans="43:43" x14ac:dyDescent="0.2">
      <c r="AQ59201" s="31"/>
    </row>
    <row r="59202" spans="43:43" x14ac:dyDescent="0.2">
      <c r="AQ59202" s="31"/>
    </row>
    <row r="59203" spans="43:43" x14ac:dyDescent="0.2">
      <c r="AQ59203" s="31"/>
    </row>
    <row r="59204" spans="43:43" x14ac:dyDescent="0.2">
      <c r="AQ59204" s="31"/>
    </row>
    <row r="59205" spans="43:43" x14ac:dyDescent="0.2">
      <c r="AQ59205" s="31"/>
    </row>
    <row r="59206" spans="43:43" x14ac:dyDescent="0.2">
      <c r="AQ59206" s="31"/>
    </row>
    <row r="59207" spans="43:43" x14ac:dyDescent="0.2">
      <c r="AQ59207" s="31"/>
    </row>
    <row r="59208" spans="43:43" x14ac:dyDescent="0.2">
      <c r="AQ59208" s="31"/>
    </row>
    <row r="59209" spans="43:43" x14ac:dyDescent="0.2">
      <c r="AQ59209" s="31"/>
    </row>
    <row r="59210" spans="43:43" x14ac:dyDescent="0.2">
      <c r="AQ59210" s="31"/>
    </row>
    <row r="59211" spans="43:43" x14ac:dyDescent="0.2">
      <c r="AQ59211" s="31"/>
    </row>
    <row r="59212" spans="43:43" x14ac:dyDescent="0.2">
      <c r="AQ59212" s="31"/>
    </row>
    <row r="59213" spans="43:43" x14ac:dyDescent="0.2">
      <c r="AQ59213" s="31"/>
    </row>
    <row r="59214" spans="43:43" x14ac:dyDescent="0.2">
      <c r="AQ59214" s="31"/>
    </row>
    <row r="59215" spans="43:43" x14ac:dyDescent="0.2">
      <c r="AQ59215" s="31"/>
    </row>
    <row r="59216" spans="43:43" x14ac:dyDescent="0.2">
      <c r="AQ59216" s="31"/>
    </row>
    <row r="59217" spans="43:43" x14ac:dyDescent="0.2">
      <c r="AQ59217" s="31"/>
    </row>
    <row r="59218" spans="43:43" x14ac:dyDescent="0.2">
      <c r="AQ59218" s="31"/>
    </row>
    <row r="59219" spans="43:43" x14ac:dyDescent="0.2">
      <c r="AQ59219" s="31"/>
    </row>
    <row r="59220" spans="43:43" x14ac:dyDescent="0.2">
      <c r="AQ59220" s="31"/>
    </row>
    <row r="59221" spans="43:43" x14ac:dyDescent="0.2">
      <c r="AQ59221" s="31"/>
    </row>
    <row r="59222" spans="43:43" x14ac:dyDescent="0.2">
      <c r="AQ59222" s="31"/>
    </row>
    <row r="59223" spans="43:43" x14ac:dyDescent="0.2">
      <c r="AQ59223" s="31"/>
    </row>
    <row r="59224" spans="43:43" x14ac:dyDescent="0.2">
      <c r="AQ59224" s="31"/>
    </row>
    <row r="59225" spans="43:43" x14ac:dyDescent="0.2">
      <c r="AQ59225" s="31"/>
    </row>
    <row r="59226" spans="43:43" x14ac:dyDescent="0.2">
      <c r="AQ59226" s="31"/>
    </row>
    <row r="59227" spans="43:43" x14ac:dyDescent="0.2">
      <c r="AQ59227" s="31"/>
    </row>
    <row r="59228" spans="43:43" x14ac:dyDescent="0.2">
      <c r="AQ59228" s="31"/>
    </row>
    <row r="59229" spans="43:43" x14ac:dyDescent="0.2">
      <c r="AQ59229" s="31"/>
    </row>
    <row r="59230" spans="43:43" x14ac:dyDescent="0.2">
      <c r="AQ59230" s="31"/>
    </row>
    <row r="59231" spans="43:43" x14ac:dyDescent="0.2">
      <c r="AQ59231" s="31"/>
    </row>
    <row r="59232" spans="43:43" x14ac:dyDescent="0.2">
      <c r="AQ59232" s="31"/>
    </row>
    <row r="59233" spans="43:43" x14ac:dyDescent="0.2">
      <c r="AQ59233" s="31"/>
    </row>
    <row r="59234" spans="43:43" x14ac:dyDescent="0.2">
      <c r="AQ59234" s="31"/>
    </row>
    <row r="59235" spans="43:43" x14ac:dyDescent="0.2">
      <c r="AQ59235" s="31"/>
    </row>
    <row r="59236" spans="43:43" x14ac:dyDescent="0.2">
      <c r="AQ59236" s="31"/>
    </row>
    <row r="59237" spans="43:43" x14ac:dyDescent="0.2">
      <c r="AQ59237" s="31"/>
    </row>
    <row r="59238" spans="43:43" x14ac:dyDescent="0.2">
      <c r="AQ59238" s="31"/>
    </row>
    <row r="59239" spans="43:43" x14ac:dyDescent="0.2">
      <c r="AQ59239" s="31"/>
    </row>
    <row r="59240" spans="43:43" x14ac:dyDescent="0.2">
      <c r="AQ59240" s="31"/>
    </row>
    <row r="59241" spans="43:43" x14ac:dyDescent="0.2">
      <c r="AQ59241" s="31"/>
    </row>
    <row r="59242" spans="43:43" x14ac:dyDescent="0.2">
      <c r="AQ59242" s="31"/>
    </row>
    <row r="59243" spans="43:43" x14ac:dyDescent="0.2">
      <c r="AQ59243" s="31"/>
    </row>
    <row r="59244" spans="43:43" x14ac:dyDescent="0.2">
      <c r="AQ59244" s="31"/>
    </row>
    <row r="59245" spans="43:43" x14ac:dyDescent="0.2">
      <c r="AQ59245" s="31"/>
    </row>
    <row r="59246" spans="43:43" x14ac:dyDescent="0.2">
      <c r="AQ59246" s="31"/>
    </row>
    <row r="59247" spans="43:43" x14ac:dyDescent="0.2">
      <c r="AQ59247" s="31"/>
    </row>
    <row r="59248" spans="43:43" x14ac:dyDescent="0.2">
      <c r="AQ59248" s="31"/>
    </row>
    <row r="59249" spans="43:43" x14ac:dyDescent="0.2">
      <c r="AQ59249" s="31"/>
    </row>
    <row r="59250" spans="43:43" x14ac:dyDescent="0.2">
      <c r="AQ59250" s="31"/>
    </row>
    <row r="59251" spans="43:43" x14ac:dyDescent="0.2">
      <c r="AQ59251" s="31"/>
    </row>
    <row r="59252" spans="43:43" x14ac:dyDescent="0.2">
      <c r="AQ59252" s="31"/>
    </row>
    <row r="59253" spans="43:43" x14ac:dyDescent="0.2">
      <c r="AQ59253" s="31"/>
    </row>
    <row r="59254" spans="43:43" x14ac:dyDescent="0.2">
      <c r="AQ59254" s="31"/>
    </row>
    <row r="59255" spans="43:43" x14ac:dyDescent="0.2">
      <c r="AQ59255" s="31"/>
    </row>
    <row r="59256" spans="43:43" x14ac:dyDescent="0.2">
      <c r="AQ59256" s="31"/>
    </row>
    <row r="59257" spans="43:43" x14ac:dyDescent="0.2">
      <c r="AQ59257" s="31"/>
    </row>
    <row r="59258" spans="43:43" x14ac:dyDescent="0.2">
      <c r="AQ59258" s="31"/>
    </row>
    <row r="59259" spans="43:43" x14ac:dyDescent="0.2">
      <c r="AQ59259" s="31"/>
    </row>
    <row r="59260" spans="43:43" x14ac:dyDescent="0.2">
      <c r="AQ59260" s="31"/>
    </row>
    <row r="59261" spans="43:43" x14ac:dyDescent="0.2">
      <c r="AQ59261" s="31"/>
    </row>
    <row r="59262" spans="43:43" x14ac:dyDescent="0.2">
      <c r="AQ59262" s="31"/>
    </row>
    <row r="59263" spans="43:43" x14ac:dyDescent="0.2">
      <c r="AQ59263" s="31"/>
    </row>
    <row r="59264" spans="43:43" x14ac:dyDescent="0.2">
      <c r="AQ59264" s="31"/>
    </row>
    <row r="59265" spans="43:43" x14ac:dyDescent="0.2">
      <c r="AQ59265" s="31"/>
    </row>
    <row r="59266" spans="43:43" x14ac:dyDescent="0.2">
      <c r="AQ59266" s="31"/>
    </row>
    <row r="59267" spans="43:43" x14ac:dyDescent="0.2">
      <c r="AQ59267" s="31"/>
    </row>
    <row r="59268" spans="43:43" x14ac:dyDescent="0.2">
      <c r="AQ59268" s="31"/>
    </row>
    <row r="59269" spans="43:43" x14ac:dyDescent="0.2">
      <c r="AQ59269" s="31"/>
    </row>
    <row r="59270" spans="43:43" x14ac:dyDescent="0.2">
      <c r="AQ59270" s="31"/>
    </row>
    <row r="59271" spans="43:43" x14ac:dyDescent="0.2">
      <c r="AQ59271" s="31"/>
    </row>
    <row r="59272" spans="43:43" x14ac:dyDescent="0.2">
      <c r="AQ59272" s="31"/>
    </row>
    <row r="59273" spans="43:43" x14ac:dyDescent="0.2">
      <c r="AQ59273" s="31"/>
    </row>
    <row r="59274" spans="43:43" x14ac:dyDescent="0.2">
      <c r="AQ59274" s="31"/>
    </row>
    <row r="59275" spans="43:43" x14ac:dyDescent="0.2">
      <c r="AQ59275" s="31"/>
    </row>
    <row r="59276" spans="43:43" x14ac:dyDescent="0.2">
      <c r="AQ59276" s="31"/>
    </row>
    <row r="59277" spans="43:43" x14ac:dyDescent="0.2">
      <c r="AQ59277" s="31"/>
    </row>
    <row r="59278" spans="43:43" x14ac:dyDescent="0.2">
      <c r="AQ59278" s="31"/>
    </row>
    <row r="59279" spans="43:43" x14ac:dyDescent="0.2">
      <c r="AQ59279" s="31"/>
    </row>
    <row r="59280" spans="43:43" x14ac:dyDescent="0.2">
      <c r="AQ59280" s="31"/>
    </row>
    <row r="59281" spans="43:43" x14ac:dyDescent="0.2">
      <c r="AQ59281" s="31"/>
    </row>
    <row r="59282" spans="43:43" x14ac:dyDescent="0.2">
      <c r="AQ59282" s="31"/>
    </row>
    <row r="59283" spans="43:43" x14ac:dyDescent="0.2">
      <c r="AQ59283" s="31"/>
    </row>
    <row r="59284" spans="43:43" x14ac:dyDescent="0.2">
      <c r="AQ59284" s="31"/>
    </row>
    <row r="59285" spans="43:43" x14ac:dyDescent="0.2">
      <c r="AQ59285" s="31"/>
    </row>
    <row r="59286" spans="43:43" x14ac:dyDescent="0.2">
      <c r="AQ59286" s="31"/>
    </row>
    <row r="59287" spans="43:43" x14ac:dyDescent="0.2">
      <c r="AQ59287" s="31"/>
    </row>
    <row r="59288" spans="43:43" x14ac:dyDescent="0.2">
      <c r="AQ59288" s="31"/>
    </row>
    <row r="59289" spans="43:43" x14ac:dyDescent="0.2">
      <c r="AQ59289" s="31"/>
    </row>
    <row r="59290" spans="43:43" x14ac:dyDescent="0.2">
      <c r="AQ59290" s="31"/>
    </row>
    <row r="59291" spans="43:43" x14ac:dyDescent="0.2">
      <c r="AQ59291" s="31"/>
    </row>
    <row r="59292" spans="43:43" x14ac:dyDescent="0.2">
      <c r="AQ59292" s="31"/>
    </row>
    <row r="59293" spans="43:43" x14ac:dyDescent="0.2">
      <c r="AQ59293" s="31"/>
    </row>
    <row r="59294" spans="43:43" x14ac:dyDescent="0.2">
      <c r="AQ59294" s="31"/>
    </row>
    <row r="59295" spans="43:43" x14ac:dyDescent="0.2">
      <c r="AQ59295" s="31"/>
    </row>
    <row r="59296" spans="43:43" x14ac:dyDescent="0.2">
      <c r="AQ59296" s="31"/>
    </row>
    <row r="59297" spans="43:43" x14ac:dyDescent="0.2">
      <c r="AQ59297" s="31"/>
    </row>
    <row r="59298" spans="43:43" x14ac:dyDescent="0.2">
      <c r="AQ59298" s="31"/>
    </row>
    <row r="59299" spans="43:43" x14ac:dyDescent="0.2">
      <c r="AQ59299" s="31"/>
    </row>
    <row r="59300" spans="43:43" x14ac:dyDescent="0.2">
      <c r="AQ59300" s="31"/>
    </row>
    <row r="59301" spans="43:43" x14ac:dyDescent="0.2">
      <c r="AQ59301" s="31"/>
    </row>
    <row r="59302" spans="43:43" x14ac:dyDescent="0.2">
      <c r="AQ59302" s="31"/>
    </row>
    <row r="59303" spans="43:43" x14ac:dyDescent="0.2">
      <c r="AQ59303" s="31"/>
    </row>
    <row r="59304" spans="43:43" x14ac:dyDescent="0.2">
      <c r="AQ59304" s="31"/>
    </row>
    <row r="59305" spans="43:43" x14ac:dyDescent="0.2">
      <c r="AQ59305" s="31"/>
    </row>
    <row r="59306" spans="43:43" x14ac:dyDescent="0.2">
      <c r="AQ59306" s="31"/>
    </row>
    <row r="59307" spans="43:43" x14ac:dyDescent="0.2">
      <c r="AQ59307" s="31"/>
    </row>
    <row r="59308" spans="43:43" x14ac:dyDescent="0.2">
      <c r="AQ59308" s="31"/>
    </row>
    <row r="59309" spans="43:43" x14ac:dyDescent="0.2">
      <c r="AQ59309" s="31"/>
    </row>
    <row r="59310" spans="43:43" x14ac:dyDescent="0.2">
      <c r="AQ59310" s="31"/>
    </row>
    <row r="59311" spans="43:43" x14ac:dyDescent="0.2">
      <c r="AQ59311" s="31"/>
    </row>
    <row r="59312" spans="43:43" x14ac:dyDescent="0.2">
      <c r="AQ59312" s="31"/>
    </row>
    <row r="59313" spans="43:43" x14ac:dyDescent="0.2">
      <c r="AQ59313" s="31"/>
    </row>
    <row r="59314" spans="43:43" x14ac:dyDescent="0.2">
      <c r="AQ59314" s="31"/>
    </row>
    <row r="59315" spans="43:43" x14ac:dyDescent="0.2">
      <c r="AQ59315" s="31"/>
    </row>
    <row r="59316" spans="43:43" x14ac:dyDescent="0.2">
      <c r="AQ59316" s="31"/>
    </row>
    <row r="59317" spans="43:43" x14ac:dyDescent="0.2">
      <c r="AQ59317" s="31"/>
    </row>
    <row r="59318" spans="43:43" x14ac:dyDescent="0.2">
      <c r="AQ59318" s="31"/>
    </row>
    <row r="59319" spans="43:43" x14ac:dyDescent="0.2">
      <c r="AQ59319" s="31"/>
    </row>
    <row r="59320" spans="43:43" x14ac:dyDescent="0.2">
      <c r="AQ59320" s="31"/>
    </row>
    <row r="59321" spans="43:43" x14ac:dyDescent="0.2">
      <c r="AQ59321" s="31"/>
    </row>
    <row r="59322" spans="43:43" x14ac:dyDescent="0.2">
      <c r="AQ59322" s="31"/>
    </row>
    <row r="59323" spans="43:43" x14ac:dyDescent="0.2">
      <c r="AQ59323" s="31"/>
    </row>
    <row r="59324" spans="43:43" x14ac:dyDescent="0.2">
      <c r="AQ59324" s="31"/>
    </row>
    <row r="59325" spans="43:43" x14ac:dyDescent="0.2">
      <c r="AQ59325" s="31"/>
    </row>
    <row r="59326" spans="43:43" x14ac:dyDescent="0.2">
      <c r="AQ59326" s="31"/>
    </row>
    <row r="59327" spans="43:43" x14ac:dyDescent="0.2">
      <c r="AQ59327" s="31"/>
    </row>
    <row r="59328" spans="43:43" x14ac:dyDescent="0.2">
      <c r="AQ59328" s="31"/>
    </row>
    <row r="59329" spans="43:43" x14ac:dyDescent="0.2">
      <c r="AQ59329" s="31"/>
    </row>
    <row r="59330" spans="43:43" x14ac:dyDescent="0.2">
      <c r="AQ59330" s="31"/>
    </row>
    <row r="59331" spans="43:43" x14ac:dyDescent="0.2">
      <c r="AQ59331" s="31"/>
    </row>
    <row r="59332" spans="43:43" x14ac:dyDescent="0.2">
      <c r="AQ59332" s="31"/>
    </row>
    <row r="59333" spans="43:43" x14ac:dyDescent="0.2">
      <c r="AQ59333" s="31"/>
    </row>
    <row r="59334" spans="43:43" x14ac:dyDescent="0.2">
      <c r="AQ59334" s="31"/>
    </row>
    <row r="59335" spans="43:43" x14ac:dyDescent="0.2">
      <c r="AQ59335" s="31"/>
    </row>
    <row r="59336" spans="43:43" x14ac:dyDescent="0.2">
      <c r="AQ59336" s="31"/>
    </row>
    <row r="59337" spans="43:43" x14ac:dyDescent="0.2">
      <c r="AQ59337" s="31"/>
    </row>
    <row r="59338" spans="43:43" x14ac:dyDescent="0.2">
      <c r="AQ59338" s="31"/>
    </row>
    <row r="59339" spans="43:43" x14ac:dyDescent="0.2">
      <c r="AQ59339" s="31"/>
    </row>
    <row r="59340" spans="43:43" x14ac:dyDescent="0.2">
      <c r="AQ59340" s="31"/>
    </row>
    <row r="59341" spans="43:43" x14ac:dyDescent="0.2">
      <c r="AQ59341" s="31"/>
    </row>
    <row r="59342" spans="43:43" x14ac:dyDescent="0.2">
      <c r="AQ59342" s="31"/>
    </row>
    <row r="59343" spans="43:43" x14ac:dyDescent="0.2">
      <c r="AQ59343" s="31"/>
    </row>
    <row r="59344" spans="43:43" x14ac:dyDescent="0.2">
      <c r="AQ59344" s="31"/>
    </row>
    <row r="59345" spans="43:43" x14ac:dyDescent="0.2">
      <c r="AQ59345" s="31"/>
    </row>
    <row r="59346" spans="43:43" x14ac:dyDescent="0.2">
      <c r="AQ59346" s="31"/>
    </row>
    <row r="59347" spans="43:43" x14ac:dyDescent="0.2">
      <c r="AQ59347" s="31"/>
    </row>
    <row r="59348" spans="43:43" x14ac:dyDescent="0.2">
      <c r="AQ59348" s="31"/>
    </row>
    <row r="59349" spans="43:43" x14ac:dyDescent="0.2">
      <c r="AQ59349" s="31"/>
    </row>
    <row r="59350" spans="43:43" x14ac:dyDescent="0.2">
      <c r="AQ59350" s="31"/>
    </row>
    <row r="59351" spans="43:43" x14ac:dyDescent="0.2">
      <c r="AQ59351" s="31"/>
    </row>
    <row r="59352" spans="43:43" x14ac:dyDescent="0.2">
      <c r="AQ59352" s="31"/>
    </row>
    <row r="59353" spans="43:43" x14ac:dyDescent="0.2">
      <c r="AQ59353" s="31"/>
    </row>
    <row r="59354" spans="43:43" x14ac:dyDescent="0.2">
      <c r="AQ59354" s="31"/>
    </row>
    <row r="59355" spans="43:43" x14ac:dyDescent="0.2">
      <c r="AQ59355" s="31"/>
    </row>
    <row r="59356" spans="43:43" x14ac:dyDescent="0.2">
      <c r="AQ59356" s="31"/>
    </row>
    <row r="59357" spans="43:43" x14ac:dyDescent="0.2">
      <c r="AQ59357" s="31"/>
    </row>
    <row r="59358" spans="43:43" x14ac:dyDescent="0.2">
      <c r="AQ59358" s="31"/>
    </row>
    <row r="59359" spans="43:43" x14ac:dyDescent="0.2">
      <c r="AQ59359" s="31"/>
    </row>
    <row r="59360" spans="43:43" x14ac:dyDescent="0.2">
      <c r="AQ59360" s="31"/>
    </row>
    <row r="59361" spans="43:43" x14ac:dyDescent="0.2">
      <c r="AQ59361" s="31"/>
    </row>
    <row r="59362" spans="43:43" x14ac:dyDescent="0.2">
      <c r="AQ59362" s="31"/>
    </row>
    <row r="59363" spans="43:43" x14ac:dyDescent="0.2">
      <c r="AQ59363" s="31"/>
    </row>
    <row r="59364" spans="43:43" x14ac:dyDescent="0.2">
      <c r="AQ59364" s="31"/>
    </row>
    <row r="59365" spans="43:43" x14ac:dyDescent="0.2">
      <c r="AQ59365" s="31"/>
    </row>
    <row r="59366" spans="43:43" x14ac:dyDescent="0.2">
      <c r="AQ59366" s="31"/>
    </row>
    <row r="59367" spans="43:43" x14ac:dyDescent="0.2">
      <c r="AQ59367" s="31"/>
    </row>
    <row r="59368" spans="43:43" x14ac:dyDescent="0.2">
      <c r="AQ59368" s="31"/>
    </row>
    <row r="59369" spans="43:43" x14ac:dyDescent="0.2">
      <c r="AQ59369" s="31"/>
    </row>
    <row r="59370" spans="43:43" x14ac:dyDescent="0.2">
      <c r="AQ59370" s="31"/>
    </row>
    <row r="59371" spans="43:43" x14ac:dyDescent="0.2">
      <c r="AQ59371" s="31"/>
    </row>
    <row r="59372" spans="43:43" x14ac:dyDescent="0.2">
      <c r="AQ59372" s="31"/>
    </row>
    <row r="59373" spans="43:43" x14ac:dyDescent="0.2">
      <c r="AQ59373" s="31"/>
    </row>
    <row r="59374" spans="43:43" x14ac:dyDescent="0.2">
      <c r="AQ59374" s="31"/>
    </row>
    <row r="59375" spans="43:43" x14ac:dyDescent="0.2">
      <c r="AQ59375" s="31"/>
    </row>
    <row r="59376" spans="43:43" x14ac:dyDescent="0.2">
      <c r="AQ59376" s="31"/>
    </row>
    <row r="59377" spans="43:43" x14ac:dyDescent="0.2">
      <c r="AQ59377" s="31"/>
    </row>
    <row r="59378" spans="43:43" x14ac:dyDescent="0.2">
      <c r="AQ59378" s="31"/>
    </row>
    <row r="59379" spans="43:43" x14ac:dyDescent="0.2">
      <c r="AQ59379" s="31"/>
    </row>
    <row r="59380" spans="43:43" x14ac:dyDescent="0.2">
      <c r="AQ59380" s="31"/>
    </row>
    <row r="59381" spans="43:43" x14ac:dyDescent="0.2">
      <c r="AQ59381" s="31"/>
    </row>
    <row r="59382" spans="43:43" x14ac:dyDescent="0.2">
      <c r="AQ59382" s="31"/>
    </row>
    <row r="59383" spans="43:43" x14ac:dyDescent="0.2">
      <c r="AQ59383" s="31"/>
    </row>
    <row r="59384" spans="43:43" x14ac:dyDescent="0.2">
      <c r="AQ59384" s="31"/>
    </row>
    <row r="59385" spans="43:43" x14ac:dyDescent="0.2">
      <c r="AQ59385" s="31"/>
    </row>
    <row r="59386" spans="43:43" x14ac:dyDescent="0.2">
      <c r="AQ59386" s="31"/>
    </row>
    <row r="59387" spans="43:43" x14ac:dyDescent="0.2">
      <c r="AQ59387" s="31"/>
    </row>
    <row r="59388" spans="43:43" x14ac:dyDescent="0.2">
      <c r="AQ59388" s="31"/>
    </row>
    <row r="59389" spans="43:43" x14ac:dyDescent="0.2">
      <c r="AQ59389" s="31"/>
    </row>
    <row r="59390" spans="43:43" x14ac:dyDescent="0.2">
      <c r="AQ59390" s="31"/>
    </row>
    <row r="59391" spans="43:43" x14ac:dyDescent="0.2">
      <c r="AQ59391" s="31"/>
    </row>
    <row r="59392" spans="43:43" x14ac:dyDescent="0.2">
      <c r="AQ59392" s="31"/>
    </row>
    <row r="59393" spans="43:43" x14ac:dyDescent="0.2">
      <c r="AQ59393" s="31"/>
    </row>
    <row r="59394" spans="43:43" x14ac:dyDescent="0.2">
      <c r="AQ59394" s="31"/>
    </row>
    <row r="59395" spans="43:43" x14ac:dyDescent="0.2">
      <c r="AQ59395" s="31"/>
    </row>
    <row r="59396" spans="43:43" x14ac:dyDescent="0.2">
      <c r="AQ59396" s="31"/>
    </row>
    <row r="59397" spans="43:43" x14ac:dyDescent="0.2">
      <c r="AQ59397" s="31"/>
    </row>
    <row r="59398" spans="43:43" x14ac:dyDescent="0.2">
      <c r="AQ59398" s="31"/>
    </row>
    <row r="59399" spans="43:43" x14ac:dyDescent="0.2">
      <c r="AQ59399" s="31"/>
    </row>
    <row r="59400" spans="43:43" x14ac:dyDescent="0.2">
      <c r="AQ59400" s="31"/>
    </row>
    <row r="59401" spans="43:43" x14ac:dyDescent="0.2">
      <c r="AQ59401" s="31"/>
    </row>
    <row r="59402" spans="43:43" x14ac:dyDescent="0.2">
      <c r="AQ59402" s="31"/>
    </row>
    <row r="59403" spans="43:43" x14ac:dyDescent="0.2">
      <c r="AQ59403" s="31"/>
    </row>
    <row r="59404" spans="43:43" x14ac:dyDescent="0.2">
      <c r="AQ59404" s="31"/>
    </row>
    <row r="59405" spans="43:43" x14ac:dyDescent="0.2">
      <c r="AQ59405" s="31"/>
    </row>
    <row r="59406" spans="43:43" x14ac:dyDescent="0.2">
      <c r="AQ59406" s="31"/>
    </row>
    <row r="59407" spans="43:43" x14ac:dyDescent="0.2">
      <c r="AQ59407" s="31"/>
    </row>
    <row r="59408" spans="43:43" x14ac:dyDescent="0.2">
      <c r="AQ59408" s="31"/>
    </row>
    <row r="59409" spans="43:43" x14ac:dyDescent="0.2">
      <c r="AQ59409" s="31"/>
    </row>
    <row r="59410" spans="43:43" x14ac:dyDescent="0.2">
      <c r="AQ59410" s="31"/>
    </row>
    <row r="59411" spans="43:43" x14ac:dyDescent="0.2">
      <c r="AQ59411" s="31"/>
    </row>
    <row r="59412" spans="43:43" x14ac:dyDescent="0.2">
      <c r="AQ59412" s="31"/>
    </row>
    <row r="59413" spans="43:43" x14ac:dyDescent="0.2">
      <c r="AQ59413" s="31"/>
    </row>
    <row r="59414" spans="43:43" x14ac:dyDescent="0.2">
      <c r="AQ59414" s="31"/>
    </row>
    <row r="59415" spans="43:43" x14ac:dyDescent="0.2">
      <c r="AQ59415" s="31"/>
    </row>
    <row r="59416" spans="43:43" x14ac:dyDescent="0.2">
      <c r="AQ59416" s="31"/>
    </row>
    <row r="59417" spans="43:43" x14ac:dyDescent="0.2">
      <c r="AQ59417" s="31"/>
    </row>
    <row r="59418" spans="43:43" x14ac:dyDescent="0.2">
      <c r="AQ59418" s="31"/>
    </row>
    <row r="59419" spans="43:43" x14ac:dyDescent="0.2">
      <c r="AQ59419" s="31"/>
    </row>
    <row r="59420" spans="43:43" x14ac:dyDescent="0.2">
      <c r="AQ59420" s="31"/>
    </row>
    <row r="59421" spans="43:43" x14ac:dyDescent="0.2">
      <c r="AQ59421" s="31"/>
    </row>
    <row r="59422" spans="43:43" x14ac:dyDescent="0.2">
      <c r="AQ59422" s="31"/>
    </row>
    <row r="59423" spans="43:43" x14ac:dyDescent="0.2">
      <c r="AQ59423" s="31"/>
    </row>
    <row r="59424" spans="43:43" x14ac:dyDescent="0.2">
      <c r="AQ59424" s="31"/>
    </row>
    <row r="59425" spans="43:43" x14ac:dyDescent="0.2">
      <c r="AQ59425" s="31"/>
    </row>
    <row r="59426" spans="43:43" x14ac:dyDescent="0.2">
      <c r="AQ59426" s="31"/>
    </row>
    <row r="59427" spans="43:43" x14ac:dyDescent="0.2">
      <c r="AQ59427" s="31"/>
    </row>
    <row r="59428" spans="43:43" x14ac:dyDescent="0.2">
      <c r="AQ59428" s="31"/>
    </row>
    <row r="59429" spans="43:43" x14ac:dyDescent="0.2">
      <c r="AQ59429" s="31"/>
    </row>
    <row r="59430" spans="43:43" x14ac:dyDescent="0.2">
      <c r="AQ59430" s="31"/>
    </row>
    <row r="59431" spans="43:43" x14ac:dyDescent="0.2">
      <c r="AQ59431" s="31"/>
    </row>
    <row r="59432" spans="43:43" x14ac:dyDescent="0.2">
      <c r="AQ59432" s="31"/>
    </row>
    <row r="59433" spans="43:43" x14ac:dyDescent="0.2">
      <c r="AQ59433" s="31"/>
    </row>
    <row r="59434" spans="43:43" x14ac:dyDescent="0.2">
      <c r="AQ59434" s="31"/>
    </row>
    <row r="59435" spans="43:43" x14ac:dyDescent="0.2">
      <c r="AQ59435" s="31"/>
    </row>
    <row r="59436" spans="43:43" x14ac:dyDescent="0.2">
      <c r="AQ59436" s="31"/>
    </row>
    <row r="59437" spans="43:43" x14ac:dyDescent="0.2">
      <c r="AQ59437" s="31"/>
    </row>
    <row r="59438" spans="43:43" x14ac:dyDescent="0.2">
      <c r="AQ59438" s="31"/>
    </row>
    <row r="59439" spans="43:43" x14ac:dyDescent="0.2">
      <c r="AQ59439" s="31"/>
    </row>
    <row r="59440" spans="43:43" x14ac:dyDescent="0.2">
      <c r="AQ59440" s="31"/>
    </row>
    <row r="59441" spans="43:43" x14ac:dyDescent="0.2">
      <c r="AQ59441" s="31"/>
    </row>
    <row r="59442" spans="43:43" x14ac:dyDescent="0.2">
      <c r="AQ59442" s="31"/>
    </row>
    <row r="59443" spans="43:43" x14ac:dyDescent="0.2">
      <c r="AQ59443" s="31"/>
    </row>
    <row r="59444" spans="43:43" x14ac:dyDescent="0.2">
      <c r="AQ59444" s="31"/>
    </row>
    <row r="59445" spans="43:43" x14ac:dyDescent="0.2">
      <c r="AQ59445" s="31"/>
    </row>
    <row r="59446" spans="43:43" x14ac:dyDescent="0.2">
      <c r="AQ59446" s="31"/>
    </row>
    <row r="59447" spans="43:43" x14ac:dyDescent="0.2">
      <c r="AQ59447" s="31"/>
    </row>
    <row r="59448" spans="43:43" x14ac:dyDescent="0.2">
      <c r="AQ59448" s="31"/>
    </row>
    <row r="59449" spans="43:43" x14ac:dyDescent="0.2">
      <c r="AQ59449" s="31"/>
    </row>
    <row r="59450" spans="43:43" x14ac:dyDescent="0.2">
      <c r="AQ59450" s="31"/>
    </row>
    <row r="59451" spans="43:43" x14ac:dyDescent="0.2">
      <c r="AQ59451" s="31"/>
    </row>
    <row r="59452" spans="43:43" x14ac:dyDescent="0.2">
      <c r="AQ59452" s="31"/>
    </row>
    <row r="59453" spans="43:43" x14ac:dyDescent="0.2">
      <c r="AQ59453" s="31"/>
    </row>
    <row r="59454" spans="43:43" x14ac:dyDescent="0.2">
      <c r="AQ59454" s="31"/>
    </row>
    <row r="59455" spans="43:43" x14ac:dyDescent="0.2">
      <c r="AQ59455" s="31"/>
    </row>
    <row r="59456" spans="43:43" x14ac:dyDescent="0.2">
      <c r="AQ59456" s="31"/>
    </row>
    <row r="59457" spans="43:43" x14ac:dyDescent="0.2">
      <c r="AQ59457" s="31"/>
    </row>
    <row r="59458" spans="43:43" x14ac:dyDescent="0.2">
      <c r="AQ59458" s="31"/>
    </row>
    <row r="59459" spans="43:43" x14ac:dyDescent="0.2">
      <c r="AQ59459" s="31"/>
    </row>
    <row r="59460" spans="43:43" x14ac:dyDescent="0.2">
      <c r="AQ59460" s="31"/>
    </row>
    <row r="59461" spans="43:43" x14ac:dyDescent="0.2">
      <c r="AQ59461" s="31"/>
    </row>
    <row r="59462" spans="43:43" x14ac:dyDescent="0.2">
      <c r="AQ59462" s="31"/>
    </row>
    <row r="59463" spans="43:43" x14ac:dyDescent="0.2">
      <c r="AQ59463" s="31"/>
    </row>
    <row r="59464" spans="43:43" x14ac:dyDescent="0.2">
      <c r="AQ59464" s="31"/>
    </row>
    <row r="59465" spans="43:43" x14ac:dyDescent="0.2">
      <c r="AQ59465" s="31"/>
    </row>
    <row r="59466" spans="43:43" x14ac:dyDescent="0.2">
      <c r="AQ59466" s="31"/>
    </row>
    <row r="59467" spans="43:43" x14ac:dyDescent="0.2">
      <c r="AQ59467" s="31"/>
    </row>
    <row r="59468" spans="43:43" x14ac:dyDescent="0.2">
      <c r="AQ59468" s="31"/>
    </row>
    <row r="59469" spans="43:43" x14ac:dyDescent="0.2">
      <c r="AQ59469" s="31"/>
    </row>
    <row r="59470" spans="43:43" x14ac:dyDescent="0.2">
      <c r="AQ59470" s="31"/>
    </row>
    <row r="59471" spans="43:43" x14ac:dyDescent="0.2">
      <c r="AQ59471" s="31"/>
    </row>
    <row r="59472" spans="43:43" x14ac:dyDescent="0.2">
      <c r="AQ59472" s="31"/>
    </row>
    <row r="59473" spans="43:43" x14ac:dyDescent="0.2">
      <c r="AQ59473" s="31"/>
    </row>
    <row r="59474" spans="43:43" x14ac:dyDescent="0.2">
      <c r="AQ59474" s="31"/>
    </row>
    <row r="59475" spans="43:43" x14ac:dyDescent="0.2">
      <c r="AQ59475" s="31"/>
    </row>
    <row r="59476" spans="43:43" x14ac:dyDescent="0.2">
      <c r="AQ59476" s="31"/>
    </row>
    <row r="59477" spans="43:43" x14ac:dyDescent="0.2">
      <c r="AQ59477" s="31"/>
    </row>
    <row r="59478" spans="43:43" x14ac:dyDescent="0.2">
      <c r="AQ59478" s="31"/>
    </row>
    <row r="59479" spans="43:43" x14ac:dyDescent="0.2">
      <c r="AQ59479" s="31"/>
    </row>
    <row r="59480" spans="43:43" x14ac:dyDescent="0.2">
      <c r="AQ59480" s="31"/>
    </row>
    <row r="59481" spans="43:43" x14ac:dyDescent="0.2">
      <c r="AQ59481" s="31"/>
    </row>
    <row r="59482" spans="43:43" x14ac:dyDescent="0.2">
      <c r="AQ59482" s="31"/>
    </row>
    <row r="59483" spans="43:43" x14ac:dyDescent="0.2">
      <c r="AQ59483" s="31"/>
    </row>
    <row r="59484" spans="43:43" x14ac:dyDescent="0.2">
      <c r="AQ59484" s="31"/>
    </row>
    <row r="59485" spans="43:43" x14ac:dyDescent="0.2">
      <c r="AQ59485" s="31"/>
    </row>
    <row r="59486" spans="43:43" x14ac:dyDescent="0.2">
      <c r="AQ59486" s="31"/>
    </row>
    <row r="59487" spans="43:43" x14ac:dyDescent="0.2">
      <c r="AQ59487" s="31"/>
    </row>
    <row r="59488" spans="43:43" x14ac:dyDescent="0.2">
      <c r="AQ59488" s="31"/>
    </row>
    <row r="59489" spans="43:43" x14ac:dyDescent="0.2">
      <c r="AQ59489" s="31"/>
    </row>
    <row r="59490" spans="43:43" x14ac:dyDescent="0.2">
      <c r="AQ59490" s="31"/>
    </row>
    <row r="59491" spans="43:43" x14ac:dyDescent="0.2">
      <c r="AQ59491" s="31"/>
    </row>
    <row r="59492" spans="43:43" x14ac:dyDescent="0.2">
      <c r="AQ59492" s="31"/>
    </row>
    <row r="59493" spans="43:43" x14ac:dyDescent="0.2">
      <c r="AQ59493" s="31"/>
    </row>
    <row r="59494" spans="43:43" x14ac:dyDescent="0.2">
      <c r="AQ59494" s="31"/>
    </row>
    <row r="59495" spans="43:43" x14ac:dyDescent="0.2">
      <c r="AQ59495" s="31"/>
    </row>
    <row r="59496" spans="43:43" x14ac:dyDescent="0.2">
      <c r="AQ59496" s="31"/>
    </row>
    <row r="59497" spans="43:43" x14ac:dyDescent="0.2">
      <c r="AQ59497" s="31"/>
    </row>
    <row r="59498" spans="43:43" x14ac:dyDescent="0.2">
      <c r="AQ59498" s="31"/>
    </row>
    <row r="59499" spans="43:43" x14ac:dyDescent="0.2">
      <c r="AQ59499" s="31"/>
    </row>
    <row r="59500" spans="43:43" x14ac:dyDescent="0.2">
      <c r="AQ59500" s="31"/>
    </row>
    <row r="59501" spans="43:43" x14ac:dyDescent="0.2">
      <c r="AQ59501" s="31"/>
    </row>
    <row r="59502" spans="43:43" x14ac:dyDescent="0.2">
      <c r="AQ59502" s="31"/>
    </row>
    <row r="59503" spans="43:43" x14ac:dyDescent="0.2">
      <c r="AQ59503" s="31"/>
    </row>
    <row r="59504" spans="43:43" x14ac:dyDescent="0.2">
      <c r="AQ59504" s="31"/>
    </row>
    <row r="59505" spans="43:43" x14ac:dyDescent="0.2">
      <c r="AQ59505" s="31"/>
    </row>
    <row r="59506" spans="43:43" x14ac:dyDescent="0.2">
      <c r="AQ59506" s="31"/>
    </row>
    <row r="59507" spans="43:43" x14ac:dyDescent="0.2">
      <c r="AQ59507" s="31"/>
    </row>
    <row r="59508" spans="43:43" x14ac:dyDescent="0.2">
      <c r="AQ59508" s="31"/>
    </row>
    <row r="59509" spans="43:43" x14ac:dyDescent="0.2">
      <c r="AQ59509" s="31"/>
    </row>
    <row r="59510" spans="43:43" x14ac:dyDescent="0.2">
      <c r="AQ59510" s="31"/>
    </row>
    <row r="59511" spans="43:43" x14ac:dyDescent="0.2">
      <c r="AQ59511" s="31"/>
    </row>
    <row r="59512" spans="43:43" x14ac:dyDescent="0.2">
      <c r="AQ59512" s="31"/>
    </row>
    <row r="59513" spans="43:43" x14ac:dyDescent="0.2">
      <c r="AQ59513" s="31"/>
    </row>
    <row r="59514" spans="43:43" x14ac:dyDescent="0.2">
      <c r="AQ59514" s="31"/>
    </row>
    <row r="59515" spans="43:43" x14ac:dyDescent="0.2">
      <c r="AQ59515" s="31"/>
    </row>
    <row r="59516" spans="43:43" x14ac:dyDescent="0.2">
      <c r="AQ59516" s="31"/>
    </row>
    <row r="59517" spans="43:43" x14ac:dyDescent="0.2">
      <c r="AQ59517" s="31"/>
    </row>
    <row r="59518" spans="43:43" x14ac:dyDescent="0.2">
      <c r="AQ59518" s="31"/>
    </row>
    <row r="59519" spans="43:43" x14ac:dyDescent="0.2">
      <c r="AQ59519" s="31"/>
    </row>
    <row r="59520" spans="43:43" x14ac:dyDescent="0.2">
      <c r="AQ59520" s="31"/>
    </row>
    <row r="59521" spans="43:43" x14ac:dyDescent="0.2">
      <c r="AQ59521" s="31"/>
    </row>
    <row r="59522" spans="43:43" x14ac:dyDescent="0.2">
      <c r="AQ59522" s="31"/>
    </row>
    <row r="59523" spans="43:43" x14ac:dyDescent="0.2">
      <c r="AQ59523" s="31"/>
    </row>
    <row r="59524" spans="43:43" x14ac:dyDescent="0.2">
      <c r="AQ59524" s="31"/>
    </row>
    <row r="59525" spans="43:43" x14ac:dyDescent="0.2">
      <c r="AQ59525" s="31"/>
    </row>
    <row r="59526" spans="43:43" x14ac:dyDescent="0.2">
      <c r="AQ59526" s="31"/>
    </row>
    <row r="59527" spans="43:43" x14ac:dyDescent="0.2">
      <c r="AQ59527" s="31"/>
    </row>
    <row r="59528" spans="43:43" x14ac:dyDescent="0.2">
      <c r="AQ59528" s="31"/>
    </row>
    <row r="59529" spans="43:43" x14ac:dyDescent="0.2">
      <c r="AQ59529" s="31"/>
    </row>
    <row r="59530" spans="43:43" x14ac:dyDescent="0.2">
      <c r="AQ59530" s="31"/>
    </row>
    <row r="59531" spans="43:43" x14ac:dyDescent="0.2">
      <c r="AQ59531" s="31"/>
    </row>
    <row r="59532" spans="43:43" x14ac:dyDescent="0.2">
      <c r="AQ59532" s="31"/>
    </row>
    <row r="59533" spans="43:43" x14ac:dyDescent="0.2">
      <c r="AQ59533" s="31"/>
    </row>
    <row r="59534" spans="43:43" x14ac:dyDescent="0.2">
      <c r="AQ59534" s="31"/>
    </row>
    <row r="59535" spans="43:43" x14ac:dyDescent="0.2">
      <c r="AQ59535" s="31"/>
    </row>
    <row r="59536" spans="43:43" x14ac:dyDescent="0.2">
      <c r="AQ59536" s="31"/>
    </row>
    <row r="59537" spans="43:43" x14ac:dyDescent="0.2">
      <c r="AQ59537" s="31"/>
    </row>
    <row r="59538" spans="43:43" x14ac:dyDescent="0.2">
      <c r="AQ59538" s="31"/>
    </row>
    <row r="59539" spans="43:43" x14ac:dyDescent="0.2">
      <c r="AQ59539" s="31"/>
    </row>
    <row r="59540" spans="43:43" x14ac:dyDescent="0.2">
      <c r="AQ59540" s="31"/>
    </row>
    <row r="59541" spans="43:43" x14ac:dyDescent="0.2">
      <c r="AQ59541" s="31"/>
    </row>
    <row r="59542" spans="43:43" x14ac:dyDescent="0.2">
      <c r="AQ59542" s="31"/>
    </row>
    <row r="59543" spans="43:43" x14ac:dyDescent="0.2">
      <c r="AQ59543" s="31"/>
    </row>
    <row r="59544" spans="43:43" x14ac:dyDescent="0.2">
      <c r="AQ59544" s="31"/>
    </row>
    <row r="59545" spans="43:43" x14ac:dyDescent="0.2">
      <c r="AQ59545" s="31"/>
    </row>
    <row r="59546" spans="43:43" x14ac:dyDescent="0.2">
      <c r="AQ59546" s="31"/>
    </row>
    <row r="59547" spans="43:43" x14ac:dyDescent="0.2">
      <c r="AQ59547" s="31"/>
    </row>
    <row r="59548" spans="43:43" x14ac:dyDescent="0.2">
      <c r="AQ59548" s="31"/>
    </row>
    <row r="59549" spans="43:43" x14ac:dyDescent="0.2">
      <c r="AQ59549" s="31"/>
    </row>
    <row r="59550" spans="43:43" x14ac:dyDescent="0.2">
      <c r="AQ59550" s="31"/>
    </row>
    <row r="59551" spans="43:43" x14ac:dyDescent="0.2">
      <c r="AQ59551" s="31"/>
    </row>
    <row r="59552" spans="43:43" x14ac:dyDescent="0.2">
      <c r="AQ59552" s="31"/>
    </row>
    <row r="59553" spans="43:43" x14ac:dyDescent="0.2">
      <c r="AQ59553" s="31"/>
    </row>
    <row r="59554" spans="43:43" x14ac:dyDescent="0.2">
      <c r="AQ59554" s="31"/>
    </row>
    <row r="59555" spans="43:43" x14ac:dyDescent="0.2">
      <c r="AQ59555" s="31"/>
    </row>
    <row r="59556" spans="43:43" x14ac:dyDescent="0.2">
      <c r="AQ59556" s="31"/>
    </row>
    <row r="59557" spans="43:43" x14ac:dyDescent="0.2">
      <c r="AQ59557" s="31"/>
    </row>
    <row r="59558" spans="43:43" x14ac:dyDescent="0.2">
      <c r="AQ59558" s="31"/>
    </row>
    <row r="59559" spans="43:43" x14ac:dyDescent="0.2">
      <c r="AQ59559" s="31"/>
    </row>
    <row r="59560" spans="43:43" x14ac:dyDescent="0.2">
      <c r="AQ59560" s="31"/>
    </row>
    <row r="59561" spans="43:43" x14ac:dyDescent="0.2">
      <c r="AQ59561" s="31"/>
    </row>
    <row r="59562" spans="43:43" x14ac:dyDescent="0.2">
      <c r="AQ59562" s="31"/>
    </row>
    <row r="59563" spans="43:43" x14ac:dyDescent="0.2">
      <c r="AQ59563" s="31"/>
    </row>
    <row r="59564" spans="43:43" x14ac:dyDescent="0.2">
      <c r="AQ59564" s="31"/>
    </row>
    <row r="59565" spans="43:43" x14ac:dyDescent="0.2">
      <c r="AQ59565" s="31"/>
    </row>
    <row r="59566" spans="43:43" x14ac:dyDescent="0.2">
      <c r="AQ59566" s="31"/>
    </row>
    <row r="59567" spans="43:43" x14ac:dyDescent="0.2">
      <c r="AQ59567" s="31"/>
    </row>
    <row r="59568" spans="43:43" x14ac:dyDescent="0.2">
      <c r="AQ59568" s="31"/>
    </row>
    <row r="59569" spans="43:43" x14ac:dyDescent="0.2">
      <c r="AQ59569" s="31"/>
    </row>
    <row r="59570" spans="43:43" x14ac:dyDescent="0.2">
      <c r="AQ59570" s="31"/>
    </row>
    <row r="59571" spans="43:43" x14ac:dyDescent="0.2">
      <c r="AQ59571" s="31"/>
    </row>
    <row r="59572" spans="43:43" x14ac:dyDescent="0.2">
      <c r="AQ59572" s="31"/>
    </row>
    <row r="59573" spans="43:43" x14ac:dyDescent="0.2">
      <c r="AQ59573" s="31"/>
    </row>
    <row r="59574" spans="43:43" x14ac:dyDescent="0.2">
      <c r="AQ59574" s="31"/>
    </row>
    <row r="59575" spans="43:43" x14ac:dyDescent="0.2">
      <c r="AQ59575" s="31"/>
    </row>
    <row r="59576" spans="43:43" x14ac:dyDescent="0.2">
      <c r="AQ59576" s="31"/>
    </row>
    <row r="59577" spans="43:43" x14ac:dyDescent="0.2">
      <c r="AQ59577" s="31"/>
    </row>
    <row r="59578" spans="43:43" x14ac:dyDescent="0.2">
      <c r="AQ59578" s="31"/>
    </row>
    <row r="59579" spans="43:43" x14ac:dyDescent="0.2">
      <c r="AQ59579" s="31"/>
    </row>
    <row r="59580" spans="43:43" x14ac:dyDescent="0.2">
      <c r="AQ59580" s="31"/>
    </row>
    <row r="59581" spans="43:43" x14ac:dyDescent="0.2">
      <c r="AQ59581" s="31"/>
    </row>
    <row r="59582" spans="43:43" x14ac:dyDescent="0.2">
      <c r="AQ59582" s="31"/>
    </row>
    <row r="59583" spans="43:43" x14ac:dyDescent="0.2">
      <c r="AQ59583" s="31"/>
    </row>
    <row r="59584" spans="43:43" x14ac:dyDescent="0.2">
      <c r="AQ59584" s="31"/>
    </row>
    <row r="59585" spans="43:43" x14ac:dyDescent="0.2">
      <c r="AQ59585" s="31"/>
    </row>
    <row r="59586" spans="43:43" x14ac:dyDescent="0.2">
      <c r="AQ59586" s="31"/>
    </row>
    <row r="59587" spans="43:43" x14ac:dyDescent="0.2">
      <c r="AQ59587" s="31"/>
    </row>
    <row r="59588" spans="43:43" x14ac:dyDescent="0.2">
      <c r="AQ59588" s="31"/>
    </row>
    <row r="59589" spans="43:43" x14ac:dyDescent="0.2">
      <c r="AQ59589" s="31"/>
    </row>
    <row r="59590" spans="43:43" x14ac:dyDescent="0.2">
      <c r="AQ59590" s="31"/>
    </row>
    <row r="59591" spans="43:43" x14ac:dyDescent="0.2">
      <c r="AQ59591" s="31"/>
    </row>
    <row r="59592" spans="43:43" x14ac:dyDescent="0.2">
      <c r="AQ59592" s="31"/>
    </row>
    <row r="59593" spans="43:43" x14ac:dyDescent="0.2">
      <c r="AQ59593" s="31"/>
    </row>
    <row r="59594" spans="43:43" x14ac:dyDescent="0.2">
      <c r="AQ59594" s="31"/>
    </row>
    <row r="59595" spans="43:43" x14ac:dyDescent="0.2">
      <c r="AQ59595" s="31"/>
    </row>
    <row r="59596" spans="43:43" x14ac:dyDescent="0.2">
      <c r="AQ59596" s="31"/>
    </row>
    <row r="59597" spans="43:43" x14ac:dyDescent="0.2">
      <c r="AQ59597" s="31"/>
    </row>
    <row r="59598" spans="43:43" x14ac:dyDescent="0.2">
      <c r="AQ59598" s="31"/>
    </row>
    <row r="59599" spans="43:43" x14ac:dyDescent="0.2">
      <c r="AQ59599" s="31"/>
    </row>
    <row r="59600" spans="43:43" x14ac:dyDescent="0.2">
      <c r="AQ59600" s="31"/>
    </row>
    <row r="59601" spans="43:43" x14ac:dyDescent="0.2">
      <c r="AQ59601" s="31"/>
    </row>
    <row r="59602" spans="43:43" x14ac:dyDescent="0.2">
      <c r="AQ59602" s="31"/>
    </row>
    <row r="59603" spans="43:43" x14ac:dyDescent="0.2">
      <c r="AQ59603" s="31"/>
    </row>
    <row r="59604" spans="43:43" x14ac:dyDescent="0.2">
      <c r="AQ59604" s="31"/>
    </row>
    <row r="59605" spans="43:43" x14ac:dyDescent="0.2">
      <c r="AQ59605" s="31"/>
    </row>
    <row r="59606" spans="43:43" x14ac:dyDescent="0.2">
      <c r="AQ59606" s="31"/>
    </row>
    <row r="59607" spans="43:43" x14ac:dyDescent="0.2">
      <c r="AQ59607" s="31"/>
    </row>
    <row r="59608" spans="43:43" x14ac:dyDescent="0.2">
      <c r="AQ59608" s="31"/>
    </row>
    <row r="59609" spans="43:43" x14ac:dyDescent="0.2">
      <c r="AQ59609" s="31"/>
    </row>
    <row r="59610" spans="43:43" x14ac:dyDescent="0.2">
      <c r="AQ59610" s="31"/>
    </row>
    <row r="59611" spans="43:43" x14ac:dyDescent="0.2">
      <c r="AQ59611" s="31"/>
    </row>
    <row r="59612" spans="43:43" x14ac:dyDescent="0.2">
      <c r="AQ59612" s="31"/>
    </row>
    <row r="59613" spans="43:43" x14ac:dyDescent="0.2">
      <c r="AQ59613" s="31"/>
    </row>
    <row r="59614" spans="43:43" x14ac:dyDescent="0.2">
      <c r="AQ59614" s="31"/>
    </row>
    <row r="59615" spans="43:43" x14ac:dyDescent="0.2">
      <c r="AQ59615" s="31"/>
    </row>
    <row r="59616" spans="43:43" x14ac:dyDescent="0.2">
      <c r="AQ59616" s="31"/>
    </row>
    <row r="59617" spans="43:43" x14ac:dyDescent="0.2">
      <c r="AQ59617" s="31"/>
    </row>
    <row r="59618" spans="43:43" x14ac:dyDescent="0.2">
      <c r="AQ59618" s="31"/>
    </row>
    <row r="59619" spans="43:43" x14ac:dyDescent="0.2">
      <c r="AQ59619" s="31"/>
    </row>
    <row r="59620" spans="43:43" x14ac:dyDescent="0.2">
      <c r="AQ59620" s="31"/>
    </row>
    <row r="59621" spans="43:43" x14ac:dyDescent="0.2">
      <c r="AQ59621" s="31"/>
    </row>
    <row r="59622" spans="43:43" x14ac:dyDescent="0.2">
      <c r="AQ59622" s="31"/>
    </row>
    <row r="59623" spans="43:43" x14ac:dyDescent="0.2">
      <c r="AQ59623" s="31"/>
    </row>
    <row r="59624" spans="43:43" x14ac:dyDescent="0.2">
      <c r="AQ59624" s="31"/>
    </row>
    <row r="59625" spans="43:43" x14ac:dyDescent="0.2">
      <c r="AQ59625" s="31"/>
    </row>
    <row r="59626" spans="43:43" x14ac:dyDescent="0.2">
      <c r="AQ59626" s="31"/>
    </row>
    <row r="59627" spans="43:43" x14ac:dyDescent="0.2">
      <c r="AQ59627" s="31"/>
    </row>
    <row r="59628" spans="43:43" x14ac:dyDescent="0.2">
      <c r="AQ59628" s="31"/>
    </row>
    <row r="59629" spans="43:43" x14ac:dyDescent="0.2">
      <c r="AQ59629" s="31"/>
    </row>
    <row r="59630" spans="43:43" x14ac:dyDescent="0.2">
      <c r="AQ59630" s="31"/>
    </row>
    <row r="59631" spans="43:43" x14ac:dyDescent="0.2">
      <c r="AQ59631" s="31"/>
    </row>
    <row r="59632" spans="43:43" x14ac:dyDescent="0.2">
      <c r="AQ59632" s="31"/>
    </row>
    <row r="59633" spans="43:43" x14ac:dyDescent="0.2">
      <c r="AQ59633" s="31"/>
    </row>
    <row r="59634" spans="43:43" x14ac:dyDescent="0.2">
      <c r="AQ59634" s="31"/>
    </row>
    <row r="59635" spans="43:43" x14ac:dyDescent="0.2">
      <c r="AQ59635" s="31"/>
    </row>
    <row r="59636" spans="43:43" x14ac:dyDescent="0.2">
      <c r="AQ59636" s="31"/>
    </row>
    <row r="59637" spans="43:43" x14ac:dyDescent="0.2">
      <c r="AQ59637" s="31"/>
    </row>
    <row r="59638" spans="43:43" x14ac:dyDescent="0.2">
      <c r="AQ59638" s="31"/>
    </row>
    <row r="59639" spans="43:43" x14ac:dyDescent="0.2">
      <c r="AQ59639" s="31"/>
    </row>
    <row r="59640" spans="43:43" x14ac:dyDescent="0.2">
      <c r="AQ59640" s="31"/>
    </row>
    <row r="59641" spans="43:43" x14ac:dyDescent="0.2">
      <c r="AQ59641" s="31"/>
    </row>
    <row r="59642" spans="43:43" x14ac:dyDescent="0.2">
      <c r="AQ59642" s="31"/>
    </row>
    <row r="59643" spans="43:43" x14ac:dyDescent="0.2">
      <c r="AQ59643" s="31"/>
    </row>
    <row r="59644" spans="43:43" x14ac:dyDescent="0.2">
      <c r="AQ59644" s="31"/>
    </row>
    <row r="59645" spans="43:43" x14ac:dyDescent="0.2">
      <c r="AQ59645" s="31"/>
    </row>
    <row r="59646" spans="43:43" x14ac:dyDescent="0.2">
      <c r="AQ59646" s="31"/>
    </row>
    <row r="59647" spans="43:43" x14ac:dyDescent="0.2">
      <c r="AQ59647" s="31"/>
    </row>
    <row r="59648" spans="43:43" x14ac:dyDescent="0.2">
      <c r="AQ59648" s="31"/>
    </row>
    <row r="59649" spans="43:43" x14ac:dyDescent="0.2">
      <c r="AQ59649" s="31"/>
    </row>
    <row r="59650" spans="43:43" x14ac:dyDescent="0.2">
      <c r="AQ59650" s="31"/>
    </row>
    <row r="59651" spans="43:43" x14ac:dyDescent="0.2">
      <c r="AQ59651" s="31"/>
    </row>
    <row r="59652" spans="43:43" x14ac:dyDescent="0.2">
      <c r="AQ59652" s="31"/>
    </row>
    <row r="59653" spans="43:43" x14ac:dyDescent="0.2">
      <c r="AQ59653" s="31"/>
    </row>
    <row r="59654" spans="43:43" x14ac:dyDescent="0.2">
      <c r="AQ59654" s="31"/>
    </row>
    <row r="59655" spans="43:43" x14ac:dyDescent="0.2">
      <c r="AQ59655" s="31"/>
    </row>
    <row r="59656" spans="43:43" x14ac:dyDescent="0.2">
      <c r="AQ59656" s="31"/>
    </row>
    <row r="59657" spans="43:43" x14ac:dyDescent="0.2">
      <c r="AQ59657" s="31"/>
    </row>
    <row r="59658" spans="43:43" x14ac:dyDescent="0.2">
      <c r="AQ59658" s="31"/>
    </row>
    <row r="59659" spans="43:43" x14ac:dyDescent="0.2">
      <c r="AQ59659" s="31"/>
    </row>
    <row r="59660" spans="43:43" x14ac:dyDescent="0.2">
      <c r="AQ59660" s="31"/>
    </row>
    <row r="59661" spans="43:43" x14ac:dyDescent="0.2">
      <c r="AQ59661" s="31"/>
    </row>
    <row r="59662" spans="43:43" x14ac:dyDescent="0.2">
      <c r="AQ59662" s="31"/>
    </row>
    <row r="59663" spans="43:43" x14ac:dyDescent="0.2">
      <c r="AQ59663" s="31"/>
    </row>
    <row r="59664" spans="43:43" x14ac:dyDescent="0.2">
      <c r="AQ59664" s="31"/>
    </row>
    <row r="59665" spans="43:43" x14ac:dyDescent="0.2">
      <c r="AQ59665" s="31"/>
    </row>
    <row r="59666" spans="43:43" x14ac:dyDescent="0.2">
      <c r="AQ59666" s="31"/>
    </row>
    <row r="59667" spans="43:43" x14ac:dyDescent="0.2">
      <c r="AQ59667" s="31"/>
    </row>
    <row r="59668" spans="43:43" x14ac:dyDescent="0.2">
      <c r="AQ59668" s="31"/>
    </row>
    <row r="59669" spans="43:43" x14ac:dyDescent="0.2">
      <c r="AQ59669" s="31"/>
    </row>
    <row r="59670" spans="43:43" x14ac:dyDescent="0.2">
      <c r="AQ59670" s="31"/>
    </row>
    <row r="59671" spans="43:43" x14ac:dyDescent="0.2">
      <c r="AQ59671" s="31"/>
    </row>
    <row r="59672" spans="43:43" x14ac:dyDescent="0.2">
      <c r="AQ59672" s="31"/>
    </row>
    <row r="59673" spans="43:43" x14ac:dyDescent="0.2">
      <c r="AQ59673" s="31"/>
    </row>
    <row r="59674" spans="43:43" x14ac:dyDescent="0.2">
      <c r="AQ59674" s="31"/>
    </row>
    <row r="59675" spans="43:43" x14ac:dyDescent="0.2">
      <c r="AQ59675" s="31"/>
    </row>
    <row r="59676" spans="43:43" x14ac:dyDescent="0.2">
      <c r="AQ59676" s="31"/>
    </row>
    <row r="59677" spans="43:43" x14ac:dyDescent="0.2">
      <c r="AQ59677" s="31"/>
    </row>
    <row r="59678" spans="43:43" x14ac:dyDescent="0.2">
      <c r="AQ59678" s="31"/>
    </row>
    <row r="59679" spans="43:43" x14ac:dyDescent="0.2">
      <c r="AQ59679" s="31"/>
    </row>
    <row r="59680" spans="43:43" x14ac:dyDescent="0.2">
      <c r="AQ59680" s="31"/>
    </row>
    <row r="59681" spans="43:43" x14ac:dyDescent="0.2">
      <c r="AQ59681" s="31"/>
    </row>
    <row r="59682" spans="43:43" x14ac:dyDescent="0.2">
      <c r="AQ59682" s="31"/>
    </row>
    <row r="59683" spans="43:43" x14ac:dyDescent="0.2">
      <c r="AQ59683" s="31"/>
    </row>
    <row r="59684" spans="43:43" x14ac:dyDescent="0.2">
      <c r="AQ59684" s="31"/>
    </row>
    <row r="59685" spans="43:43" x14ac:dyDescent="0.2">
      <c r="AQ59685" s="31"/>
    </row>
    <row r="59686" spans="43:43" x14ac:dyDescent="0.2">
      <c r="AQ59686" s="31"/>
    </row>
    <row r="59687" spans="43:43" x14ac:dyDescent="0.2">
      <c r="AQ59687" s="31"/>
    </row>
    <row r="59688" spans="43:43" x14ac:dyDescent="0.2">
      <c r="AQ59688" s="31"/>
    </row>
    <row r="59689" spans="43:43" x14ac:dyDescent="0.2">
      <c r="AQ59689" s="31"/>
    </row>
    <row r="59690" spans="43:43" x14ac:dyDescent="0.2">
      <c r="AQ59690" s="31"/>
    </row>
    <row r="59691" spans="43:43" x14ac:dyDescent="0.2">
      <c r="AQ59691" s="31"/>
    </row>
    <row r="59692" spans="43:43" x14ac:dyDescent="0.2">
      <c r="AQ59692" s="31"/>
    </row>
    <row r="59693" spans="43:43" x14ac:dyDescent="0.2">
      <c r="AQ59693" s="31"/>
    </row>
    <row r="59694" spans="43:43" x14ac:dyDescent="0.2">
      <c r="AQ59694" s="31"/>
    </row>
    <row r="59695" spans="43:43" x14ac:dyDescent="0.2">
      <c r="AQ59695" s="31"/>
    </row>
    <row r="59696" spans="43:43" x14ac:dyDescent="0.2">
      <c r="AQ59696" s="31"/>
    </row>
    <row r="59697" spans="43:43" x14ac:dyDescent="0.2">
      <c r="AQ59697" s="31"/>
    </row>
    <row r="59698" spans="43:43" x14ac:dyDescent="0.2">
      <c r="AQ59698" s="31"/>
    </row>
    <row r="59699" spans="43:43" x14ac:dyDescent="0.2">
      <c r="AQ59699" s="31"/>
    </row>
    <row r="59700" spans="43:43" x14ac:dyDescent="0.2">
      <c r="AQ59700" s="31"/>
    </row>
    <row r="59701" spans="43:43" x14ac:dyDescent="0.2">
      <c r="AQ59701" s="31"/>
    </row>
    <row r="59702" spans="43:43" x14ac:dyDescent="0.2">
      <c r="AQ59702" s="31"/>
    </row>
    <row r="59703" spans="43:43" x14ac:dyDescent="0.2">
      <c r="AQ59703" s="31"/>
    </row>
    <row r="59704" spans="43:43" x14ac:dyDescent="0.2">
      <c r="AQ59704" s="31"/>
    </row>
    <row r="59705" spans="43:43" x14ac:dyDescent="0.2">
      <c r="AQ59705" s="31"/>
    </row>
    <row r="59706" spans="43:43" x14ac:dyDescent="0.2">
      <c r="AQ59706" s="31"/>
    </row>
    <row r="59707" spans="43:43" x14ac:dyDescent="0.2">
      <c r="AQ59707" s="31"/>
    </row>
    <row r="59708" spans="43:43" x14ac:dyDescent="0.2">
      <c r="AQ59708" s="31"/>
    </row>
    <row r="59709" spans="43:43" x14ac:dyDescent="0.2">
      <c r="AQ59709" s="31"/>
    </row>
    <row r="59710" spans="43:43" x14ac:dyDescent="0.2">
      <c r="AQ59710" s="31"/>
    </row>
    <row r="59711" spans="43:43" x14ac:dyDescent="0.2">
      <c r="AQ59711" s="31"/>
    </row>
    <row r="59712" spans="43:43" x14ac:dyDescent="0.2">
      <c r="AQ59712" s="31"/>
    </row>
    <row r="59713" spans="43:43" x14ac:dyDescent="0.2">
      <c r="AQ59713" s="31"/>
    </row>
    <row r="59714" spans="43:43" x14ac:dyDescent="0.2">
      <c r="AQ59714" s="31"/>
    </row>
    <row r="59715" spans="43:43" x14ac:dyDescent="0.2">
      <c r="AQ59715" s="31"/>
    </row>
    <row r="59716" spans="43:43" x14ac:dyDescent="0.2">
      <c r="AQ59716" s="31"/>
    </row>
    <row r="59717" spans="43:43" x14ac:dyDescent="0.2">
      <c r="AQ59717" s="31"/>
    </row>
    <row r="59718" spans="43:43" x14ac:dyDescent="0.2">
      <c r="AQ59718" s="31"/>
    </row>
    <row r="59719" spans="43:43" x14ac:dyDescent="0.2">
      <c r="AQ59719" s="31"/>
    </row>
    <row r="59720" spans="43:43" x14ac:dyDescent="0.2">
      <c r="AQ59720" s="31"/>
    </row>
    <row r="59721" spans="43:43" x14ac:dyDescent="0.2">
      <c r="AQ59721" s="31"/>
    </row>
    <row r="59722" spans="43:43" x14ac:dyDescent="0.2">
      <c r="AQ59722" s="31"/>
    </row>
    <row r="59723" spans="43:43" x14ac:dyDescent="0.2">
      <c r="AQ59723" s="31"/>
    </row>
    <row r="59724" spans="43:43" x14ac:dyDescent="0.2">
      <c r="AQ59724" s="31"/>
    </row>
    <row r="59725" spans="43:43" x14ac:dyDescent="0.2">
      <c r="AQ59725" s="31"/>
    </row>
    <row r="59726" spans="43:43" x14ac:dyDescent="0.2">
      <c r="AQ59726" s="31"/>
    </row>
    <row r="59727" spans="43:43" x14ac:dyDescent="0.2">
      <c r="AQ59727" s="31"/>
    </row>
    <row r="59728" spans="43:43" x14ac:dyDescent="0.2">
      <c r="AQ59728" s="31"/>
    </row>
    <row r="59729" spans="43:43" x14ac:dyDescent="0.2">
      <c r="AQ59729" s="31"/>
    </row>
    <row r="59730" spans="43:43" x14ac:dyDescent="0.2">
      <c r="AQ59730" s="31"/>
    </row>
    <row r="59731" spans="43:43" x14ac:dyDescent="0.2">
      <c r="AQ59731" s="31"/>
    </row>
    <row r="59732" spans="43:43" x14ac:dyDescent="0.2">
      <c r="AQ59732" s="31"/>
    </row>
    <row r="59733" spans="43:43" x14ac:dyDescent="0.2">
      <c r="AQ59733" s="31"/>
    </row>
    <row r="59734" spans="43:43" x14ac:dyDescent="0.2">
      <c r="AQ59734" s="31"/>
    </row>
    <row r="59735" spans="43:43" x14ac:dyDescent="0.2">
      <c r="AQ59735" s="31"/>
    </row>
    <row r="59736" spans="43:43" x14ac:dyDescent="0.2">
      <c r="AQ59736" s="31"/>
    </row>
    <row r="59737" spans="43:43" x14ac:dyDescent="0.2">
      <c r="AQ59737" s="31"/>
    </row>
    <row r="59738" spans="43:43" x14ac:dyDescent="0.2">
      <c r="AQ59738" s="31"/>
    </row>
    <row r="59739" spans="43:43" x14ac:dyDescent="0.2">
      <c r="AQ59739" s="31"/>
    </row>
    <row r="59740" spans="43:43" x14ac:dyDescent="0.2">
      <c r="AQ59740" s="31"/>
    </row>
    <row r="59741" spans="43:43" x14ac:dyDescent="0.2">
      <c r="AQ59741" s="31"/>
    </row>
    <row r="59742" spans="43:43" x14ac:dyDescent="0.2">
      <c r="AQ59742" s="31"/>
    </row>
    <row r="59743" spans="43:43" x14ac:dyDescent="0.2">
      <c r="AQ59743" s="31"/>
    </row>
    <row r="59744" spans="43:43" x14ac:dyDescent="0.2">
      <c r="AQ59744" s="31"/>
    </row>
    <row r="59745" spans="43:43" x14ac:dyDescent="0.2">
      <c r="AQ59745" s="31"/>
    </row>
    <row r="59746" spans="43:43" x14ac:dyDescent="0.2">
      <c r="AQ59746" s="31"/>
    </row>
    <row r="59747" spans="43:43" x14ac:dyDescent="0.2">
      <c r="AQ59747" s="31"/>
    </row>
    <row r="59748" spans="43:43" x14ac:dyDescent="0.2">
      <c r="AQ59748" s="31"/>
    </row>
    <row r="59749" spans="43:43" x14ac:dyDescent="0.2">
      <c r="AQ59749" s="31"/>
    </row>
    <row r="59750" spans="43:43" x14ac:dyDescent="0.2">
      <c r="AQ59750" s="31"/>
    </row>
    <row r="59751" spans="43:43" x14ac:dyDescent="0.2">
      <c r="AQ59751" s="31"/>
    </row>
    <row r="59752" spans="43:43" x14ac:dyDescent="0.2">
      <c r="AQ59752" s="31"/>
    </row>
    <row r="59753" spans="43:43" x14ac:dyDescent="0.2">
      <c r="AQ59753" s="31"/>
    </row>
    <row r="59754" spans="43:43" x14ac:dyDescent="0.2">
      <c r="AQ59754" s="31"/>
    </row>
    <row r="59755" spans="43:43" x14ac:dyDescent="0.2">
      <c r="AQ59755" s="31"/>
    </row>
    <row r="59756" spans="43:43" x14ac:dyDescent="0.2">
      <c r="AQ59756" s="31"/>
    </row>
    <row r="59757" spans="43:43" x14ac:dyDescent="0.2">
      <c r="AQ59757" s="31"/>
    </row>
    <row r="59758" spans="43:43" x14ac:dyDescent="0.2">
      <c r="AQ59758" s="31"/>
    </row>
    <row r="59759" spans="43:43" x14ac:dyDescent="0.2">
      <c r="AQ59759" s="31"/>
    </row>
    <row r="59760" spans="43:43" x14ac:dyDescent="0.2">
      <c r="AQ59760" s="31"/>
    </row>
    <row r="59761" spans="43:43" x14ac:dyDescent="0.2">
      <c r="AQ59761" s="31"/>
    </row>
    <row r="59762" spans="43:43" x14ac:dyDescent="0.2">
      <c r="AQ59762" s="31"/>
    </row>
    <row r="59763" spans="43:43" x14ac:dyDescent="0.2">
      <c r="AQ59763" s="31"/>
    </row>
    <row r="59764" spans="43:43" x14ac:dyDescent="0.2">
      <c r="AQ59764" s="31"/>
    </row>
    <row r="59765" spans="43:43" x14ac:dyDescent="0.2">
      <c r="AQ59765" s="31"/>
    </row>
    <row r="59766" spans="43:43" x14ac:dyDescent="0.2">
      <c r="AQ59766" s="31"/>
    </row>
    <row r="59767" spans="43:43" x14ac:dyDescent="0.2">
      <c r="AQ59767" s="31"/>
    </row>
    <row r="59768" spans="43:43" x14ac:dyDescent="0.2">
      <c r="AQ59768" s="31"/>
    </row>
    <row r="59769" spans="43:43" x14ac:dyDescent="0.2">
      <c r="AQ59769" s="31"/>
    </row>
    <row r="59770" spans="43:43" x14ac:dyDescent="0.2">
      <c r="AQ59770" s="31"/>
    </row>
    <row r="59771" spans="43:43" x14ac:dyDescent="0.2">
      <c r="AQ59771" s="31"/>
    </row>
    <row r="59772" spans="43:43" x14ac:dyDescent="0.2">
      <c r="AQ59772" s="31"/>
    </row>
    <row r="59773" spans="43:43" x14ac:dyDescent="0.2">
      <c r="AQ59773" s="31"/>
    </row>
    <row r="59774" spans="43:43" x14ac:dyDescent="0.2">
      <c r="AQ59774" s="31"/>
    </row>
    <row r="59775" spans="43:43" x14ac:dyDescent="0.2">
      <c r="AQ59775" s="31"/>
    </row>
    <row r="59776" spans="43:43" x14ac:dyDescent="0.2">
      <c r="AQ59776" s="31"/>
    </row>
    <row r="59777" spans="43:43" x14ac:dyDescent="0.2">
      <c r="AQ59777" s="31"/>
    </row>
    <row r="59778" spans="43:43" x14ac:dyDescent="0.2">
      <c r="AQ59778" s="31"/>
    </row>
    <row r="59779" spans="43:43" x14ac:dyDescent="0.2">
      <c r="AQ59779" s="31"/>
    </row>
    <row r="59780" spans="43:43" x14ac:dyDescent="0.2">
      <c r="AQ59780" s="31"/>
    </row>
    <row r="59781" spans="43:43" x14ac:dyDescent="0.2">
      <c r="AQ59781" s="31"/>
    </row>
    <row r="59782" spans="43:43" x14ac:dyDescent="0.2">
      <c r="AQ59782" s="31"/>
    </row>
    <row r="59783" spans="43:43" x14ac:dyDescent="0.2">
      <c r="AQ59783" s="31"/>
    </row>
    <row r="59784" spans="43:43" x14ac:dyDescent="0.2">
      <c r="AQ59784" s="31"/>
    </row>
    <row r="59785" spans="43:43" x14ac:dyDescent="0.2">
      <c r="AQ59785" s="31"/>
    </row>
    <row r="59786" spans="43:43" x14ac:dyDescent="0.2">
      <c r="AQ59786" s="31"/>
    </row>
    <row r="59787" spans="43:43" x14ac:dyDescent="0.2">
      <c r="AQ59787" s="31"/>
    </row>
    <row r="59788" spans="43:43" x14ac:dyDescent="0.2">
      <c r="AQ59788" s="31"/>
    </row>
    <row r="59789" spans="43:43" x14ac:dyDescent="0.2">
      <c r="AQ59789" s="31"/>
    </row>
    <row r="59790" spans="43:43" x14ac:dyDescent="0.2">
      <c r="AQ59790" s="31"/>
    </row>
    <row r="59791" spans="43:43" x14ac:dyDescent="0.2">
      <c r="AQ59791" s="31"/>
    </row>
    <row r="59792" spans="43:43" x14ac:dyDescent="0.2">
      <c r="AQ59792" s="31"/>
    </row>
    <row r="59793" spans="43:43" x14ac:dyDescent="0.2">
      <c r="AQ59793" s="31"/>
    </row>
    <row r="59794" spans="43:43" x14ac:dyDescent="0.2">
      <c r="AQ59794" s="31"/>
    </row>
    <row r="59795" spans="43:43" x14ac:dyDescent="0.2">
      <c r="AQ59795" s="31"/>
    </row>
    <row r="59796" spans="43:43" x14ac:dyDescent="0.2">
      <c r="AQ59796" s="31"/>
    </row>
    <row r="59797" spans="43:43" x14ac:dyDescent="0.2">
      <c r="AQ59797" s="31"/>
    </row>
    <row r="59798" spans="43:43" x14ac:dyDescent="0.2">
      <c r="AQ59798" s="31"/>
    </row>
    <row r="59799" spans="43:43" x14ac:dyDescent="0.2">
      <c r="AQ59799" s="31"/>
    </row>
    <row r="59800" spans="43:43" x14ac:dyDescent="0.2">
      <c r="AQ59800" s="31"/>
    </row>
    <row r="59801" spans="43:43" x14ac:dyDescent="0.2">
      <c r="AQ59801" s="31"/>
    </row>
    <row r="59802" spans="43:43" x14ac:dyDescent="0.2">
      <c r="AQ59802" s="31"/>
    </row>
    <row r="59803" spans="43:43" x14ac:dyDescent="0.2">
      <c r="AQ59803" s="31"/>
    </row>
    <row r="59804" spans="43:43" x14ac:dyDescent="0.2">
      <c r="AQ59804" s="31"/>
    </row>
    <row r="59805" spans="43:43" x14ac:dyDescent="0.2">
      <c r="AQ59805" s="31"/>
    </row>
    <row r="59806" spans="43:43" x14ac:dyDescent="0.2">
      <c r="AQ59806" s="31"/>
    </row>
    <row r="59807" spans="43:43" x14ac:dyDescent="0.2">
      <c r="AQ59807" s="31"/>
    </row>
    <row r="59808" spans="43:43" x14ac:dyDescent="0.2">
      <c r="AQ59808" s="31"/>
    </row>
    <row r="59809" spans="43:43" x14ac:dyDescent="0.2">
      <c r="AQ59809" s="31"/>
    </row>
    <row r="59810" spans="43:43" x14ac:dyDescent="0.2">
      <c r="AQ59810" s="31"/>
    </row>
    <row r="59811" spans="43:43" x14ac:dyDescent="0.2">
      <c r="AQ59811" s="31"/>
    </row>
    <row r="59812" spans="43:43" x14ac:dyDescent="0.2">
      <c r="AQ59812" s="31"/>
    </row>
    <row r="59813" spans="43:43" x14ac:dyDescent="0.2">
      <c r="AQ59813" s="31"/>
    </row>
    <row r="59814" spans="43:43" x14ac:dyDescent="0.2">
      <c r="AQ59814" s="31"/>
    </row>
    <row r="59815" spans="43:43" x14ac:dyDescent="0.2">
      <c r="AQ59815" s="31"/>
    </row>
    <row r="59816" spans="43:43" x14ac:dyDescent="0.2">
      <c r="AQ59816" s="31"/>
    </row>
    <row r="59817" spans="43:43" x14ac:dyDescent="0.2">
      <c r="AQ59817" s="31"/>
    </row>
    <row r="59818" spans="43:43" x14ac:dyDescent="0.2">
      <c r="AQ59818" s="31"/>
    </row>
    <row r="59819" spans="43:43" x14ac:dyDescent="0.2">
      <c r="AQ59819" s="31"/>
    </row>
    <row r="59820" spans="43:43" x14ac:dyDescent="0.2">
      <c r="AQ59820" s="31"/>
    </row>
    <row r="59821" spans="43:43" x14ac:dyDescent="0.2">
      <c r="AQ59821" s="31"/>
    </row>
    <row r="59822" spans="43:43" x14ac:dyDescent="0.2">
      <c r="AQ59822" s="31"/>
    </row>
    <row r="59823" spans="43:43" x14ac:dyDescent="0.2">
      <c r="AQ59823" s="31"/>
    </row>
    <row r="59824" spans="43:43" x14ac:dyDescent="0.2">
      <c r="AQ59824" s="31"/>
    </row>
    <row r="59825" spans="43:43" x14ac:dyDescent="0.2">
      <c r="AQ59825" s="31"/>
    </row>
    <row r="59826" spans="43:43" x14ac:dyDescent="0.2">
      <c r="AQ59826" s="31"/>
    </row>
    <row r="59827" spans="43:43" x14ac:dyDescent="0.2">
      <c r="AQ59827" s="31"/>
    </row>
    <row r="59828" spans="43:43" x14ac:dyDescent="0.2">
      <c r="AQ59828" s="31"/>
    </row>
    <row r="59829" spans="43:43" x14ac:dyDescent="0.2">
      <c r="AQ59829" s="31"/>
    </row>
    <row r="59830" spans="43:43" x14ac:dyDescent="0.2">
      <c r="AQ59830" s="31"/>
    </row>
    <row r="59831" spans="43:43" x14ac:dyDescent="0.2">
      <c r="AQ59831" s="31"/>
    </row>
    <row r="59832" spans="43:43" x14ac:dyDescent="0.2">
      <c r="AQ59832" s="31"/>
    </row>
    <row r="59833" spans="43:43" x14ac:dyDescent="0.2">
      <c r="AQ59833" s="31"/>
    </row>
    <row r="59834" spans="43:43" x14ac:dyDescent="0.2">
      <c r="AQ59834" s="31"/>
    </row>
    <row r="59835" spans="43:43" x14ac:dyDescent="0.2">
      <c r="AQ59835" s="31"/>
    </row>
    <row r="59836" spans="43:43" x14ac:dyDescent="0.2">
      <c r="AQ59836" s="31"/>
    </row>
    <row r="59837" spans="43:43" x14ac:dyDescent="0.2">
      <c r="AQ59837" s="31"/>
    </row>
    <row r="59838" spans="43:43" x14ac:dyDescent="0.2">
      <c r="AQ59838" s="31"/>
    </row>
    <row r="59839" spans="43:43" x14ac:dyDescent="0.2">
      <c r="AQ59839" s="31"/>
    </row>
    <row r="59840" spans="43:43" x14ac:dyDescent="0.2">
      <c r="AQ59840" s="31"/>
    </row>
    <row r="59841" spans="43:43" x14ac:dyDescent="0.2">
      <c r="AQ59841" s="31"/>
    </row>
    <row r="59842" spans="43:43" x14ac:dyDescent="0.2">
      <c r="AQ59842" s="31"/>
    </row>
    <row r="59843" spans="43:43" x14ac:dyDescent="0.2">
      <c r="AQ59843" s="31"/>
    </row>
    <row r="59844" spans="43:43" x14ac:dyDescent="0.2">
      <c r="AQ59844" s="31"/>
    </row>
    <row r="59845" spans="43:43" x14ac:dyDescent="0.2">
      <c r="AQ59845" s="31"/>
    </row>
    <row r="59846" spans="43:43" x14ac:dyDescent="0.2">
      <c r="AQ59846" s="31"/>
    </row>
    <row r="59847" spans="43:43" x14ac:dyDescent="0.2">
      <c r="AQ59847" s="31"/>
    </row>
    <row r="59848" spans="43:43" x14ac:dyDescent="0.2">
      <c r="AQ59848" s="31"/>
    </row>
    <row r="59849" spans="43:43" x14ac:dyDescent="0.2">
      <c r="AQ59849" s="31"/>
    </row>
    <row r="59850" spans="43:43" x14ac:dyDescent="0.2">
      <c r="AQ59850" s="31"/>
    </row>
    <row r="59851" spans="43:43" x14ac:dyDescent="0.2">
      <c r="AQ59851" s="31"/>
    </row>
    <row r="59852" spans="43:43" x14ac:dyDescent="0.2">
      <c r="AQ59852" s="31"/>
    </row>
    <row r="59853" spans="43:43" x14ac:dyDescent="0.2">
      <c r="AQ59853" s="31"/>
    </row>
    <row r="59854" spans="43:43" x14ac:dyDescent="0.2">
      <c r="AQ59854" s="31"/>
    </row>
    <row r="59855" spans="43:43" x14ac:dyDescent="0.2">
      <c r="AQ59855" s="31"/>
    </row>
    <row r="59856" spans="43:43" x14ac:dyDescent="0.2">
      <c r="AQ59856" s="31"/>
    </row>
    <row r="59857" spans="43:43" x14ac:dyDescent="0.2">
      <c r="AQ59857" s="31"/>
    </row>
    <row r="59858" spans="43:43" x14ac:dyDescent="0.2">
      <c r="AQ59858" s="31"/>
    </row>
    <row r="59859" spans="43:43" x14ac:dyDescent="0.2">
      <c r="AQ59859" s="31"/>
    </row>
    <row r="59860" spans="43:43" x14ac:dyDescent="0.2">
      <c r="AQ59860" s="31"/>
    </row>
    <row r="59861" spans="43:43" x14ac:dyDescent="0.2">
      <c r="AQ59861" s="31"/>
    </row>
    <row r="59862" spans="43:43" x14ac:dyDescent="0.2">
      <c r="AQ59862" s="31"/>
    </row>
    <row r="59863" spans="43:43" x14ac:dyDescent="0.2">
      <c r="AQ59863" s="31"/>
    </row>
    <row r="59864" spans="43:43" x14ac:dyDescent="0.2">
      <c r="AQ59864" s="31"/>
    </row>
    <row r="59865" spans="43:43" x14ac:dyDescent="0.2">
      <c r="AQ59865" s="31"/>
    </row>
    <row r="59866" spans="43:43" x14ac:dyDescent="0.2">
      <c r="AQ59866" s="31"/>
    </row>
    <row r="59867" spans="43:43" x14ac:dyDescent="0.2">
      <c r="AQ59867" s="31"/>
    </row>
    <row r="59868" spans="43:43" x14ac:dyDescent="0.2">
      <c r="AQ59868" s="31"/>
    </row>
    <row r="59869" spans="43:43" x14ac:dyDescent="0.2">
      <c r="AQ59869" s="31"/>
    </row>
    <row r="59870" spans="43:43" x14ac:dyDescent="0.2">
      <c r="AQ59870" s="31"/>
    </row>
    <row r="59871" spans="43:43" x14ac:dyDescent="0.2">
      <c r="AQ59871" s="31"/>
    </row>
    <row r="59872" spans="43:43" x14ac:dyDescent="0.2">
      <c r="AQ59872" s="31"/>
    </row>
    <row r="59873" spans="43:43" x14ac:dyDescent="0.2">
      <c r="AQ59873" s="31"/>
    </row>
    <row r="59874" spans="43:43" x14ac:dyDescent="0.2">
      <c r="AQ59874" s="31"/>
    </row>
    <row r="59875" spans="43:43" x14ac:dyDescent="0.2">
      <c r="AQ59875" s="31"/>
    </row>
    <row r="59876" spans="43:43" x14ac:dyDescent="0.2">
      <c r="AQ59876" s="31"/>
    </row>
    <row r="59877" spans="43:43" x14ac:dyDescent="0.2">
      <c r="AQ59877" s="31"/>
    </row>
    <row r="59878" spans="43:43" x14ac:dyDescent="0.2">
      <c r="AQ59878" s="31"/>
    </row>
    <row r="59879" spans="43:43" x14ac:dyDescent="0.2">
      <c r="AQ59879" s="31"/>
    </row>
    <row r="59880" spans="43:43" x14ac:dyDescent="0.2">
      <c r="AQ59880" s="31"/>
    </row>
    <row r="59881" spans="43:43" x14ac:dyDescent="0.2">
      <c r="AQ59881" s="31"/>
    </row>
    <row r="59882" spans="43:43" x14ac:dyDescent="0.2">
      <c r="AQ59882" s="31"/>
    </row>
    <row r="59883" spans="43:43" x14ac:dyDescent="0.2">
      <c r="AQ59883" s="31"/>
    </row>
    <row r="59884" spans="43:43" x14ac:dyDescent="0.2">
      <c r="AQ59884" s="31"/>
    </row>
    <row r="59885" spans="43:43" x14ac:dyDescent="0.2">
      <c r="AQ59885" s="31"/>
    </row>
    <row r="59886" spans="43:43" x14ac:dyDescent="0.2">
      <c r="AQ59886" s="31"/>
    </row>
    <row r="59887" spans="43:43" x14ac:dyDescent="0.2">
      <c r="AQ59887" s="31"/>
    </row>
    <row r="59888" spans="43:43" x14ac:dyDescent="0.2">
      <c r="AQ59888" s="31"/>
    </row>
    <row r="59889" spans="43:43" x14ac:dyDescent="0.2">
      <c r="AQ59889" s="31"/>
    </row>
    <row r="59890" spans="43:43" x14ac:dyDescent="0.2">
      <c r="AQ59890" s="31"/>
    </row>
    <row r="59891" spans="43:43" x14ac:dyDescent="0.2">
      <c r="AQ59891" s="31"/>
    </row>
    <row r="59892" spans="43:43" x14ac:dyDescent="0.2">
      <c r="AQ59892" s="31"/>
    </row>
    <row r="59893" spans="43:43" x14ac:dyDescent="0.2">
      <c r="AQ59893" s="31"/>
    </row>
    <row r="59894" spans="43:43" x14ac:dyDescent="0.2">
      <c r="AQ59894" s="31"/>
    </row>
    <row r="59895" spans="43:43" x14ac:dyDescent="0.2">
      <c r="AQ59895" s="31"/>
    </row>
    <row r="59896" spans="43:43" x14ac:dyDescent="0.2">
      <c r="AQ59896" s="31"/>
    </row>
    <row r="59897" spans="43:43" x14ac:dyDescent="0.2">
      <c r="AQ59897" s="31"/>
    </row>
    <row r="59898" spans="43:43" x14ac:dyDescent="0.2">
      <c r="AQ59898" s="31"/>
    </row>
    <row r="59899" spans="43:43" x14ac:dyDescent="0.2">
      <c r="AQ59899" s="31"/>
    </row>
    <row r="59900" spans="43:43" x14ac:dyDescent="0.2">
      <c r="AQ59900" s="31"/>
    </row>
    <row r="59901" spans="43:43" x14ac:dyDescent="0.2">
      <c r="AQ59901" s="31"/>
    </row>
    <row r="59902" spans="43:43" x14ac:dyDescent="0.2">
      <c r="AQ59902" s="31"/>
    </row>
    <row r="59903" spans="43:43" x14ac:dyDescent="0.2">
      <c r="AQ59903" s="31"/>
    </row>
    <row r="59904" spans="43:43" x14ac:dyDescent="0.2">
      <c r="AQ59904" s="31"/>
    </row>
    <row r="59905" spans="43:43" x14ac:dyDescent="0.2">
      <c r="AQ59905" s="31"/>
    </row>
    <row r="59906" spans="43:43" x14ac:dyDescent="0.2">
      <c r="AQ59906" s="31"/>
    </row>
    <row r="59907" spans="43:43" x14ac:dyDescent="0.2">
      <c r="AQ59907" s="31"/>
    </row>
    <row r="59908" spans="43:43" x14ac:dyDescent="0.2">
      <c r="AQ59908" s="31"/>
    </row>
    <row r="59909" spans="43:43" x14ac:dyDescent="0.2">
      <c r="AQ59909" s="31"/>
    </row>
    <row r="59910" spans="43:43" x14ac:dyDescent="0.2">
      <c r="AQ59910" s="31"/>
    </row>
    <row r="59911" spans="43:43" x14ac:dyDescent="0.2">
      <c r="AQ59911" s="31"/>
    </row>
    <row r="59912" spans="43:43" x14ac:dyDescent="0.2">
      <c r="AQ59912" s="31"/>
    </row>
    <row r="59913" spans="43:43" x14ac:dyDescent="0.2">
      <c r="AQ59913" s="31"/>
    </row>
    <row r="59914" spans="43:43" x14ac:dyDescent="0.2">
      <c r="AQ59914" s="31"/>
    </row>
    <row r="59915" spans="43:43" x14ac:dyDescent="0.2">
      <c r="AQ59915" s="31"/>
    </row>
    <row r="59916" spans="43:43" x14ac:dyDescent="0.2">
      <c r="AQ59916" s="31"/>
    </row>
    <row r="59917" spans="43:43" x14ac:dyDescent="0.2">
      <c r="AQ59917" s="31"/>
    </row>
    <row r="59918" spans="43:43" x14ac:dyDescent="0.2">
      <c r="AQ59918" s="31"/>
    </row>
    <row r="59919" spans="43:43" x14ac:dyDescent="0.2">
      <c r="AQ59919" s="31"/>
    </row>
    <row r="59920" spans="43:43" x14ac:dyDescent="0.2">
      <c r="AQ59920" s="31"/>
    </row>
    <row r="59921" spans="43:43" x14ac:dyDescent="0.2">
      <c r="AQ59921" s="31"/>
    </row>
    <row r="59922" spans="43:43" x14ac:dyDescent="0.2">
      <c r="AQ59922" s="31"/>
    </row>
    <row r="59923" spans="43:43" x14ac:dyDescent="0.2">
      <c r="AQ59923" s="31"/>
    </row>
    <row r="59924" spans="43:43" x14ac:dyDescent="0.2">
      <c r="AQ59924" s="31"/>
    </row>
    <row r="59925" spans="43:43" x14ac:dyDescent="0.2">
      <c r="AQ59925" s="31"/>
    </row>
    <row r="59926" spans="43:43" x14ac:dyDescent="0.2">
      <c r="AQ59926" s="31"/>
    </row>
    <row r="59927" spans="43:43" x14ac:dyDescent="0.2">
      <c r="AQ59927" s="31"/>
    </row>
    <row r="59928" spans="43:43" x14ac:dyDescent="0.2">
      <c r="AQ59928" s="31"/>
    </row>
    <row r="59929" spans="43:43" x14ac:dyDescent="0.2">
      <c r="AQ59929" s="31"/>
    </row>
    <row r="59930" spans="43:43" x14ac:dyDescent="0.2">
      <c r="AQ59930" s="31"/>
    </row>
    <row r="59931" spans="43:43" x14ac:dyDescent="0.2">
      <c r="AQ59931" s="31"/>
    </row>
    <row r="59932" spans="43:43" x14ac:dyDescent="0.2">
      <c r="AQ59932" s="31"/>
    </row>
    <row r="59933" spans="43:43" x14ac:dyDescent="0.2">
      <c r="AQ59933" s="31"/>
    </row>
    <row r="59934" spans="43:43" x14ac:dyDescent="0.2">
      <c r="AQ59934" s="31"/>
    </row>
    <row r="59935" spans="43:43" x14ac:dyDescent="0.2">
      <c r="AQ59935" s="31"/>
    </row>
    <row r="59936" spans="43:43" x14ac:dyDescent="0.2">
      <c r="AQ59936" s="31"/>
    </row>
    <row r="59937" spans="43:43" x14ac:dyDescent="0.2">
      <c r="AQ59937" s="31"/>
    </row>
    <row r="59938" spans="43:43" x14ac:dyDescent="0.2">
      <c r="AQ59938" s="31"/>
    </row>
    <row r="59939" spans="43:43" x14ac:dyDescent="0.2">
      <c r="AQ59939" s="31"/>
    </row>
    <row r="59940" spans="43:43" x14ac:dyDescent="0.2">
      <c r="AQ59940" s="31"/>
    </row>
    <row r="59941" spans="43:43" x14ac:dyDescent="0.2">
      <c r="AQ59941" s="31"/>
    </row>
    <row r="59942" spans="43:43" x14ac:dyDescent="0.2">
      <c r="AQ59942" s="31"/>
    </row>
    <row r="59943" spans="43:43" x14ac:dyDescent="0.2">
      <c r="AQ59943" s="31"/>
    </row>
    <row r="59944" spans="43:43" x14ac:dyDescent="0.2">
      <c r="AQ59944" s="31"/>
    </row>
    <row r="59945" spans="43:43" x14ac:dyDescent="0.2">
      <c r="AQ59945" s="31"/>
    </row>
    <row r="59946" spans="43:43" x14ac:dyDescent="0.2">
      <c r="AQ59946" s="31"/>
    </row>
    <row r="59947" spans="43:43" x14ac:dyDescent="0.2">
      <c r="AQ59947" s="31"/>
    </row>
    <row r="59948" spans="43:43" x14ac:dyDescent="0.2">
      <c r="AQ59948" s="31"/>
    </row>
    <row r="59949" spans="43:43" x14ac:dyDescent="0.2">
      <c r="AQ59949" s="31"/>
    </row>
    <row r="59950" spans="43:43" x14ac:dyDescent="0.2">
      <c r="AQ59950" s="31"/>
    </row>
    <row r="59951" spans="43:43" x14ac:dyDescent="0.2">
      <c r="AQ59951" s="31"/>
    </row>
    <row r="59952" spans="43:43" x14ac:dyDescent="0.2">
      <c r="AQ59952" s="31"/>
    </row>
    <row r="59953" spans="43:43" x14ac:dyDescent="0.2">
      <c r="AQ59953" s="31"/>
    </row>
    <row r="59954" spans="43:43" x14ac:dyDescent="0.2">
      <c r="AQ59954" s="31"/>
    </row>
    <row r="59955" spans="43:43" x14ac:dyDescent="0.2">
      <c r="AQ59955" s="31"/>
    </row>
    <row r="59956" spans="43:43" x14ac:dyDescent="0.2">
      <c r="AQ59956" s="31"/>
    </row>
    <row r="59957" spans="43:43" x14ac:dyDescent="0.2">
      <c r="AQ59957" s="31"/>
    </row>
    <row r="59958" spans="43:43" x14ac:dyDescent="0.2">
      <c r="AQ59958" s="31"/>
    </row>
    <row r="59959" spans="43:43" x14ac:dyDescent="0.2">
      <c r="AQ59959" s="31"/>
    </row>
    <row r="59960" spans="43:43" x14ac:dyDescent="0.2">
      <c r="AQ59960" s="31"/>
    </row>
    <row r="59961" spans="43:43" x14ac:dyDescent="0.2">
      <c r="AQ59961" s="31"/>
    </row>
    <row r="59962" spans="43:43" x14ac:dyDescent="0.2">
      <c r="AQ59962" s="31"/>
    </row>
    <row r="59963" spans="43:43" x14ac:dyDescent="0.2">
      <c r="AQ59963" s="31"/>
    </row>
    <row r="59964" spans="43:43" x14ac:dyDescent="0.2">
      <c r="AQ59964" s="31"/>
    </row>
    <row r="59965" spans="43:43" x14ac:dyDescent="0.2">
      <c r="AQ59965" s="31"/>
    </row>
    <row r="59966" spans="43:43" x14ac:dyDescent="0.2">
      <c r="AQ59966" s="31"/>
    </row>
    <row r="59967" spans="43:43" x14ac:dyDescent="0.2">
      <c r="AQ59967" s="31"/>
    </row>
    <row r="59968" spans="43:43" x14ac:dyDescent="0.2">
      <c r="AQ59968" s="31"/>
    </row>
    <row r="59969" spans="43:43" x14ac:dyDescent="0.2">
      <c r="AQ59969" s="31"/>
    </row>
    <row r="59970" spans="43:43" x14ac:dyDescent="0.2">
      <c r="AQ59970" s="31"/>
    </row>
    <row r="59971" spans="43:43" x14ac:dyDescent="0.2">
      <c r="AQ59971" s="31"/>
    </row>
    <row r="59972" spans="43:43" x14ac:dyDescent="0.2">
      <c r="AQ59972" s="31"/>
    </row>
    <row r="59973" spans="43:43" x14ac:dyDescent="0.2">
      <c r="AQ59973" s="31"/>
    </row>
    <row r="59974" spans="43:43" x14ac:dyDescent="0.2">
      <c r="AQ59974" s="31"/>
    </row>
    <row r="59975" spans="43:43" x14ac:dyDescent="0.2">
      <c r="AQ59975" s="31"/>
    </row>
    <row r="59976" spans="43:43" x14ac:dyDescent="0.2">
      <c r="AQ59976" s="31"/>
    </row>
    <row r="59977" spans="43:43" x14ac:dyDescent="0.2">
      <c r="AQ59977" s="31"/>
    </row>
    <row r="59978" spans="43:43" x14ac:dyDescent="0.2">
      <c r="AQ59978" s="31"/>
    </row>
    <row r="59979" spans="43:43" x14ac:dyDescent="0.2">
      <c r="AQ59979" s="31"/>
    </row>
    <row r="59980" spans="43:43" x14ac:dyDescent="0.2">
      <c r="AQ59980" s="31"/>
    </row>
    <row r="59981" spans="43:43" x14ac:dyDescent="0.2">
      <c r="AQ59981" s="31"/>
    </row>
    <row r="59982" spans="43:43" x14ac:dyDescent="0.2">
      <c r="AQ59982" s="31"/>
    </row>
    <row r="59983" spans="43:43" x14ac:dyDescent="0.2">
      <c r="AQ59983" s="31"/>
    </row>
    <row r="59984" spans="43:43" x14ac:dyDescent="0.2">
      <c r="AQ59984" s="31"/>
    </row>
    <row r="59985" spans="43:43" x14ac:dyDescent="0.2">
      <c r="AQ59985" s="31"/>
    </row>
    <row r="59986" spans="43:43" x14ac:dyDescent="0.2">
      <c r="AQ59986" s="31"/>
    </row>
    <row r="59987" spans="43:43" x14ac:dyDescent="0.2">
      <c r="AQ59987" s="31"/>
    </row>
    <row r="59988" spans="43:43" x14ac:dyDescent="0.2">
      <c r="AQ59988" s="31"/>
    </row>
    <row r="59989" spans="43:43" x14ac:dyDescent="0.2">
      <c r="AQ59989" s="31"/>
    </row>
    <row r="59990" spans="43:43" x14ac:dyDescent="0.2">
      <c r="AQ59990" s="31"/>
    </row>
    <row r="59991" spans="43:43" x14ac:dyDescent="0.2">
      <c r="AQ59991" s="31"/>
    </row>
    <row r="59992" spans="43:43" x14ac:dyDescent="0.2">
      <c r="AQ59992" s="31"/>
    </row>
    <row r="59993" spans="43:43" x14ac:dyDescent="0.2">
      <c r="AQ59993" s="31"/>
    </row>
    <row r="59994" spans="43:43" x14ac:dyDescent="0.2">
      <c r="AQ59994" s="31"/>
    </row>
    <row r="59995" spans="43:43" x14ac:dyDescent="0.2">
      <c r="AQ59995" s="31"/>
    </row>
    <row r="59996" spans="43:43" x14ac:dyDescent="0.2">
      <c r="AQ59996" s="31"/>
    </row>
    <row r="59997" spans="43:43" x14ac:dyDescent="0.2">
      <c r="AQ59997" s="31"/>
    </row>
    <row r="59998" spans="43:43" x14ac:dyDescent="0.2">
      <c r="AQ59998" s="31"/>
    </row>
    <row r="59999" spans="43:43" x14ac:dyDescent="0.2">
      <c r="AQ59999" s="31"/>
    </row>
    <row r="60000" spans="43:43" x14ac:dyDescent="0.2">
      <c r="AQ60000" s="31"/>
    </row>
    <row r="60001" spans="43:43" x14ac:dyDescent="0.2">
      <c r="AQ60001" s="31"/>
    </row>
    <row r="60002" spans="43:43" x14ac:dyDescent="0.2">
      <c r="AQ60002" s="31"/>
    </row>
    <row r="60003" spans="43:43" x14ac:dyDescent="0.2">
      <c r="AQ60003" s="31"/>
    </row>
    <row r="60004" spans="43:43" x14ac:dyDescent="0.2">
      <c r="AQ60004" s="31"/>
    </row>
    <row r="60005" spans="43:43" x14ac:dyDescent="0.2">
      <c r="AQ60005" s="31"/>
    </row>
    <row r="60006" spans="43:43" x14ac:dyDescent="0.2">
      <c r="AQ60006" s="31"/>
    </row>
    <row r="60007" spans="43:43" x14ac:dyDescent="0.2">
      <c r="AQ60007" s="31"/>
    </row>
    <row r="60008" spans="43:43" x14ac:dyDescent="0.2">
      <c r="AQ60008" s="31"/>
    </row>
    <row r="60009" spans="43:43" x14ac:dyDescent="0.2">
      <c r="AQ60009" s="31"/>
    </row>
    <row r="60010" spans="43:43" x14ac:dyDescent="0.2">
      <c r="AQ60010" s="31"/>
    </row>
    <row r="60011" spans="43:43" x14ac:dyDescent="0.2">
      <c r="AQ60011" s="31"/>
    </row>
    <row r="60012" spans="43:43" x14ac:dyDescent="0.2">
      <c r="AQ60012" s="31"/>
    </row>
    <row r="60013" spans="43:43" x14ac:dyDescent="0.2">
      <c r="AQ60013" s="31"/>
    </row>
    <row r="60014" spans="43:43" x14ac:dyDescent="0.2">
      <c r="AQ60014" s="31"/>
    </row>
    <row r="60015" spans="43:43" x14ac:dyDescent="0.2">
      <c r="AQ60015" s="31"/>
    </row>
    <row r="60016" spans="43:43" x14ac:dyDescent="0.2">
      <c r="AQ60016" s="31"/>
    </row>
    <row r="60017" spans="43:43" x14ac:dyDescent="0.2">
      <c r="AQ60017" s="31"/>
    </row>
    <row r="60018" spans="43:43" x14ac:dyDescent="0.2">
      <c r="AQ60018" s="31"/>
    </row>
    <row r="60019" spans="43:43" x14ac:dyDescent="0.2">
      <c r="AQ60019" s="31"/>
    </row>
    <row r="60020" spans="43:43" x14ac:dyDescent="0.2">
      <c r="AQ60020" s="31"/>
    </row>
    <row r="60021" spans="43:43" x14ac:dyDescent="0.2">
      <c r="AQ60021" s="31"/>
    </row>
    <row r="60022" spans="43:43" x14ac:dyDescent="0.2">
      <c r="AQ60022" s="31"/>
    </row>
    <row r="60023" spans="43:43" x14ac:dyDescent="0.2">
      <c r="AQ60023" s="31"/>
    </row>
    <row r="60024" spans="43:43" x14ac:dyDescent="0.2">
      <c r="AQ60024" s="31"/>
    </row>
    <row r="60025" spans="43:43" x14ac:dyDescent="0.2">
      <c r="AQ60025" s="31"/>
    </row>
    <row r="60026" spans="43:43" x14ac:dyDescent="0.2">
      <c r="AQ60026" s="31"/>
    </row>
    <row r="60027" spans="43:43" x14ac:dyDescent="0.2">
      <c r="AQ60027" s="31"/>
    </row>
    <row r="60028" spans="43:43" x14ac:dyDescent="0.2">
      <c r="AQ60028" s="31"/>
    </row>
    <row r="60029" spans="43:43" x14ac:dyDescent="0.2">
      <c r="AQ60029" s="31"/>
    </row>
    <row r="60030" spans="43:43" x14ac:dyDescent="0.2">
      <c r="AQ60030" s="31"/>
    </row>
    <row r="60031" spans="43:43" x14ac:dyDescent="0.2">
      <c r="AQ60031" s="31"/>
    </row>
    <row r="60032" spans="43:43" x14ac:dyDescent="0.2">
      <c r="AQ60032" s="31"/>
    </row>
    <row r="60033" spans="43:43" x14ac:dyDescent="0.2">
      <c r="AQ60033" s="31"/>
    </row>
    <row r="60034" spans="43:43" x14ac:dyDescent="0.2">
      <c r="AQ60034" s="31"/>
    </row>
    <row r="60035" spans="43:43" x14ac:dyDescent="0.2">
      <c r="AQ60035" s="31"/>
    </row>
    <row r="60036" spans="43:43" x14ac:dyDescent="0.2">
      <c r="AQ60036" s="31"/>
    </row>
    <row r="60037" spans="43:43" x14ac:dyDescent="0.2">
      <c r="AQ60037" s="31"/>
    </row>
    <row r="60038" spans="43:43" x14ac:dyDescent="0.2">
      <c r="AQ60038" s="31"/>
    </row>
    <row r="60039" spans="43:43" x14ac:dyDescent="0.2">
      <c r="AQ60039" s="31"/>
    </row>
    <row r="60040" spans="43:43" x14ac:dyDescent="0.2">
      <c r="AQ60040" s="31"/>
    </row>
    <row r="60041" spans="43:43" x14ac:dyDescent="0.2">
      <c r="AQ60041" s="31"/>
    </row>
    <row r="60042" spans="43:43" x14ac:dyDescent="0.2">
      <c r="AQ60042" s="31"/>
    </row>
    <row r="60043" spans="43:43" x14ac:dyDescent="0.2">
      <c r="AQ60043" s="31"/>
    </row>
    <row r="60044" spans="43:43" x14ac:dyDescent="0.2">
      <c r="AQ60044" s="31"/>
    </row>
    <row r="60045" spans="43:43" x14ac:dyDescent="0.2">
      <c r="AQ60045" s="31"/>
    </row>
    <row r="60046" spans="43:43" x14ac:dyDescent="0.2">
      <c r="AQ60046" s="31"/>
    </row>
    <row r="60047" spans="43:43" x14ac:dyDescent="0.2">
      <c r="AQ60047" s="31"/>
    </row>
    <row r="60048" spans="43:43" x14ac:dyDescent="0.2">
      <c r="AQ60048" s="31"/>
    </row>
    <row r="60049" spans="43:43" x14ac:dyDescent="0.2">
      <c r="AQ60049" s="31"/>
    </row>
    <row r="60050" spans="43:43" x14ac:dyDescent="0.2">
      <c r="AQ60050" s="31"/>
    </row>
    <row r="60051" spans="43:43" x14ac:dyDescent="0.2">
      <c r="AQ60051" s="31"/>
    </row>
    <row r="60052" spans="43:43" x14ac:dyDescent="0.2">
      <c r="AQ60052" s="31"/>
    </row>
    <row r="60053" spans="43:43" x14ac:dyDescent="0.2">
      <c r="AQ60053" s="31"/>
    </row>
    <row r="60054" spans="43:43" x14ac:dyDescent="0.2">
      <c r="AQ60054" s="31"/>
    </row>
    <row r="60055" spans="43:43" x14ac:dyDescent="0.2">
      <c r="AQ60055" s="31"/>
    </row>
    <row r="60056" spans="43:43" x14ac:dyDescent="0.2">
      <c r="AQ60056" s="31"/>
    </row>
    <row r="60057" spans="43:43" x14ac:dyDescent="0.2">
      <c r="AQ60057" s="31"/>
    </row>
    <row r="60058" spans="43:43" x14ac:dyDescent="0.2">
      <c r="AQ60058" s="31"/>
    </row>
    <row r="60059" spans="43:43" x14ac:dyDescent="0.2">
      <c r="AQ60059" s="31"/>
    </row>
    <row r="60060" spans="43:43" x14ac:dyDescent="0.2">
      <c r="AQ60060" s="31"/>
    </row>
    <row r="60061" spans="43:43" x14ac:dyDescent="0.2">
      <c r="AQ60061" s="31"/>
    </row>
    <row r="60062" spans="43:43" x14ac:dyDescent="0.2">
      <c r="AQ60062" s="31"/>
    </row>
    <row r="60063" spans="43:43" x14ac:dyDescent="0.2">
      <c r="AQ60063" s="31"/>
    </row>
    <row r="60064" spans="43:43" x14ac:dyDescent="0.2">
      <c r="AQ60064" s="31"/>
    </row>
    <row r="60065" spans="43:43" x14ac:dyDescent="0.2">
      <c r="AQ60065" s="31"/>
    </row>
    <row r="60066" spans="43:43" x14ac:dyDescent="0.2">
      <c r="AQ60066" s="31"/>
    </row>
    <row r="60067" spans="43:43" x14ac:dyDescent="0.2">
      <c r="AQ60067" s="31"/>
    </row>
    <row r="60068" spans="43:43" x14ac:dyDescent="0.2">
      <c r="AQ60068" s="31"/>
    </row>
    <row r="60069" spans="43:43" x14ac:dyDescent="0.2">
      <c r="AQ60069" s="31"/>
    </row>
    <row r="60070" spans="43:43" x14ac:dyDescent="0.2">
      <c r="AQ60070" s="31"/>
    </row>
    <row r="60071" spans="43:43" x14ac:dyDescent="0.2">
      <c r="AQ60071" s="31"/>
    </row>
    <row r="60072" spans="43:43" x14ac:dyDescent="0.2">
      <c r="AQ60072" s="31"/>
    </row>
    <row r="60073" spans="43:43" x14ac:dyDescent="0.2">
      <c r="AQ60073" s="31"/>
    </row>
    <row r="60074" spans="43:43" x14ac:dyDescent="0.2">
      <c r="AQ60074" s="31"/>
    </row>
    <row r="60075" spans="43:43" x14ac:dyDescent="0.2">
      <c r="AQ60075" s="31"/>
    </row>
    <row r="60076" spans="43:43" x14ac:dyDescent="0.2">
      <c r="AQ60076" s="31"/>
    </row>
    <row r="60077" spans="43:43" x14ac:dyDescent="0.2">
      <c r="AQ60077" s="31"/>
    </row>
    <row r="60078" spans="43:43" x14ac:dyDescent="0.2">
      <c r="AQ60078" s="31"/>
    </row>
    <row r="60079" spans="43:43" x14ac:dyDescent="0.2">
      <c r="AQ60079" s="31"/>
    </row>
    <row r="60080" spans="43:43" x14ac:dyDescent="0.2">
      <c r="AQ60080" s="31"/>
    </row>
    <row r="60081" spans="43:43" x14ac:dyDescent="0.2">
      <c r="AQ60081" s="31"/>
    </row>
    <row r="60082" spans="43:43" x14ac:dyDescent="0.2">
      <c r="AQ60082" s="31"/>
    </row>
    <row r="60083" spans="43:43" x14ac:dyDescent="0.2">
      <c r="AQ60083" s="31"/>
    </row>
    <row r="60084" spans="43:43" x14ac:dyDescent="0.2">
      <c r="AQ60084" s="31"/>
    </row>
    <row r="60085" spans="43:43" x14ac:dyDescent="0.2">
      <c r="AQ60085" s="31"/>
    </row>
    <row r="60086" spans="43:43" x14ac:dyDescent="0.2">
      <c r="AQ60086" s="31"/>
    </row>
    <row r="60087" spans="43:43" x14ac:dyDescent="0.2">
      <c r="AQ60087" s="31"/>
    </row>
    <row r="60088" spans="43:43" x14ac:dyDescent="0.2">
      <c r="AQ60088" s="31"/>
    </row>
    <row r="60089" spans="43:43" x14ac:dyDescent="0.2">
      <c r="AQ60089" s="31"/>
    </row>
    <row r="60090" spans="43:43" x14ac:dyDescent="0.2">
      <c r="AQ60090" s="31"/>
    </row>
    <row r="60091" spans="43:43" x14ac:dyDescent="0.2">
      <c r="AQ60091" s="31"/>
    </row>
    <row r="60092" spans="43:43" x14ac:dyDescent="0.2">
      <c r="AQ60092" s="31"/>
    </row>
    <row r="60093" spans="43:43" x14ac:dyDescent="0.2">
      <c r="AQ60093" s="31"/>
    </row>
    <row r="60094" spans="43:43" x14ac:dyDescent="0.2">
      <c r="AQ60094" s="31"/>
    </row>
    <row r="60095" spans="43:43" x14ac:dyDescent="0.2">
      <c r="AQ60095" s="31"/>
    </row>
    <row r="60096" spans="43:43" x14ac:dyDescent="0.2">
      <c r="AQ60096" s="31"/>
    </row>
    <row r="60097" spans="43:43" x14ac:dyDescent="0.2">
      <c r="AQ60097" s="31"/>
    </row>
    <row r="60098" spans="43:43" x14ac:dyDescent="0.2">
      <c r="AQ60098" s="31"/>
    </row>
    <row r="60099" spans="43:43" x14ac:dyDescent="0.2">
      <c r="AQ60099" s="31"/>
    </row>
    <row r="60100" spans="43:43" x14ac:dyDescent="0.2">
      <c r="AQ60100" s="31"/>
    </row>
    <row r="60101" spans="43:43" x14ac:dyDescent="0.2">
      <c r="AQ60101" s="31"/>
    </row>
    <row r="60102" spans="43:43" x14ac:dyDescent="0.2">
      <c r="AQ60102" s="31"/>
    </row>
    <row r="60103" spans="43:43" x14ac:dyDescent="0.2">
      <c r="AQ60103" s="31"/>
    </row>
    <row r="60104" spans="43:43" x14ac:dyDescent="0.2">
      <c r="AQ60104" s="31"/>
    </row>
    <row r="60105" spans="43:43" x14ac:dyDescent="0.2">
      <c r="AQ60105" s="31"/>
    </row>
    <row r="60106" spans="43:43" x14ac:dyDescent="0.2">
      <c r="AQ60106" s="31"/>
    </row>
    <row r="60107" spans="43:43" x14ac:dyDescent="0.2">
      <c r="AQ60107" s="31"/>
    </row>
    <row r="60108" spans="43:43" x14ac:dyDescent="0.2">
      <c r="AQ60108" s="31"/>
    </row>
    <row r="60109" spans="43:43" x14ac:dyDescent="0.2">
      <c r="AQ60109" s="31"/>
    </row>
    <row r="60110" spans="43:43" x14ac:dyDescent="0.2">
      <c r="AQ60110" s="31"/>
    </row>
    <row r="60111" spans="43:43" x14ac:dyDescent="0.2">
      <c r="AQ60111" s="31"/>
    </row>
    <row r="60112" spans="43:43" x14ac:dyDescent="0.2">
      <c r="AQ60112" s="31"/>
    </row>
    <row r="60113" spans="43:43" x14ac:dyDescent="0.2">
      <c r="AQ60113" s="31"/>
    </row>
    <row r="60114" spans="43:43" x14ac:dyDescent="0.2">
      <c r="AQ60114" s="31"/>
    </row>
    <row r="60115" spans="43:43" x14ac:dyDescent="0.2">
      <c r="AQ60115" s="31"/>
    </row>
    <row r="60116" spans="43:43" x14ac:dyDescent="0.2">
      <c r="AQ60116" s="31"/>
    </row>
    <row r="60117" spans="43:43" x14ac:dyDescent="0.2">
      <c r="AQ60117" s="31"/>
    </row>
    <row r="60118" spans="43:43" x14ac:dyDescent="0.2">
      <c r="AQ60118" s="31"/>
    </row>
    <row r="60119" spans="43:43" x14ac:dyDescent="0.2">
      <c r="AQ60119" s="31"/>
    </row>
    <row r="60120" spans="43:43" x14ac:dyDescent="0.2">
      <c r="AQ60120" s="31"/>
    </row>
    <row r="60121" spans="43:43" x14ac:dyDescent="0.2">
      <c r="AQ60121" s="31"/>
    </row>
    <row r="60122" spans="43:43" x14ac:dyDescent="0.2">
      <c r="AQ60122" s="31"/>
    </row>
    <row r="60123" spans="43:43" x14ac:dyDescent="0.2">
      <c r="AQ60123" s="31"/>
    </row>
    <row r="60124" spans="43:43" x14ac:dyDescent="0.2">
      <c r="AQ60124" s="31"/>
    </row>
    <row r="60125" spans="43:43" x14ac:dyDescent="0.2">
      <c r="AQ60125" s="31"/>
    </row>
    <row r="60126" spans="43:43" x14ac:dyDescent="0.2">
      <c r="AQ60126" s="31"/>
    </row>
    <row r="60127" spans="43:43" x14ac:dyDescent="0.2">
      <c r="AQ60127" s="31"/>
    </row>
    <row r="60128" spans="43:43" x14ac:dyDescent="0.2">
      <c r="AQ60128" s="31"/>
    </row>
    <row r="60129" spans="43:43" x14ac:dyDescent="0.2">
      <c r="AQ60129" s="31"/>
    </row>
    <row r="60130" spans="43:43" x14ac:dyDescent="0.2">
      <c r="AQ60130" s="31"/>
    </row>
    <row r="60131" spans="43:43" x14ac:dyDescent="0.2">
      <c r="AQ60131" s="31"/>
    </row>
    <row r="60132" spans="43:43" x14ac:dyDescent="0.2">
      <c r="AQ60132" s="31"/>
    </row>
    <row r="60133" spans="43:43" x14ac:dyDescent="0.2">
      <c r="AQ60133" s="31"/>
    </row>
    <row r="60134" spans="43:43" x14ac:dyDescent="0.2">
      <c r="AQ60134" s="31"/>
    </row>
    <row r="60135" spans="43:43" x14ac:dyDescent="0.2">
      <c r="AQ60135" s="31"/>
    </row>
    <row r="60136" spans="43:43" x14ac:dyDescent="0.2">
      <c r="AQ60136" s="31"/>
    </row>
    <row r="60137" spans="43:43" x14ac:dyDescent="0.2">
      <c r="AQ60137" s="31"/>
    </row>
    <row r="60138" spans="43:43" x14ac:dyDescent="0.2">
      <c r="AQ60138" s="31"/>
    </row>
    <row r="60139" spans="43:43" x14ac:dyDescent="0.2">
      <c r="AQ60139" s="31"/>
    </row>
    <row r="60140" spans="43:43" x14ac:dyDescent="0.2">
      <c r="AQ60140" s="31"/>
    </row>
    <row r="60141" spans="43:43" x14ac:dyDescent="0.2">
      <c r="AQ60141" s="31"/>
    </row>
    <row r="60142" spans="43:43" x14ac:dyDescent="0.2">
      <c r="AQ60142" s="31"/>
    </row>
    <row r="60143" spans="43:43" x14ac:dyDescent="0.2">
      <c r="AQ60143" s="31"/>
    </row>
    <row r="60144" spans="43:43" x14ac:dyDescent="0.2">
      <c r="AQ60144" s="31"/>
    </row>
    <row r="60145" spans="43:43" x14ac:dyDescent="0.2">
      <c r="AQ60145" s="31"/>
    </row>
    <row r="60146" spans="43:43" x14ac:dyDescent="0.2">
      <c r="AQ60146" s="31"/>
    </row>
    <row r="60147" spans="43:43" x14ac:dyDescent="0.2">
      <c r="AQ60147" s="31"/>
    </row>
    <row r="60148" spans="43:43" x14ac:dyDescent="0.2">
      <c r="AQ60148" s="31"/>
    </row>
    <row r="60149" spans="43:43" x14ac:dyDescent="0.2">
      <c r="AQ60149" s="31"/>
    </row>
    <row r="60150" spans="43:43" x14ac:dyDescent="0.2">
      <c r="AQ60150" s="31"/>
    </row>
    <row r="60151" spans="43:43" x14ac:dyDescent="0.2">
      <c r="AQ60151" s="31"/>
    </row>
    <row r="60152" spans="43:43" x14ac:dyDescent="0.2">
      <c r="AQ60152" s="31"/>
    </row>
    <row r="60153" spans="43:43" x14ac:dyDescent="0.2">
      <c r="AQ60153" s="31"/>
    </row>
    <row r="60154" spans="43:43" x14ac:dyDescent="0.2">
      <c r="AQ60154" s="31"/>
    </row>
    <row r="60155" spans="43:43" x14ac:dyDescent="0.2">
      <c r="AQ60155" s="31"/>
    </row>
    <row r="60156" spans="43:43" x14ac:dyDescent="0.2">
      <c r="AQ60156" s="31"/>
    </row>
    <row r="60157" spans="43:43" x14ac:dyDescent="0.2">
      <c r="AQ60157" s="31"/>
    </row>
    <row r="60158" spans="43:43" x14ac:dyDescent="0.2">
      <c r="AQ60158" s="31"/>
    </row>
    <row r="60159" spans="43:43" x14ac:dyDescent="0.2">
      <c r="AQ60159" s="31"/>
    </row>
    <row r="60160" spans="43:43" x14ac:dyDescent="0.2">
      <c r="AQ60160" s="31"/>
    </row>
    <row r="60161" spans="43:43" x14ac:dyDescent="0.2">
      <c r="AQ60161" s="31"/>
    </row>
    <row r="60162" spans="43:43" x14ac:dyDescent="0.2">
      <c r="AQ60162" s="31"/>
    </row>
    <row r="60163" spans="43:43" x14ac:dyDescent="0.2">
      <c r="AQ60163" s="31"/>
    </row>
    <row r="60164" spans="43:43" x14ac:dyDescent="0.2">
      <c r="AQ60164" s="31"/>
    </row>
    <row r="60165" spans="43:43" x14ac:dyDescent="0.2">
      <c r="AQ60165" s="31"/>
    </row>
    <row r="60166" spans="43:43" x14ac:dyDescent="0.2">
      <c r="AQ60166" s="31"/>
    </row>
    <row r="60167" spans="43:43" x14ac:dyDescent="0.2">
      <c r="AQ60167" s="31"/>
    </row>
    <row r="60168" spans="43:43" x14ac:dyDescent="0.2">
      <c r="AQ60168" s="31"/>
    </row>
    <row r="60169" spans="43:43" x14ac:dyDescent="0.2">
      <c r="AQ60169" s="31"/>
    </row>
    <row r="60170" spans="43:43" x14ac:dyDescent="0.2">
      <c r="AQ60170" s="31"/>
    </row>
    <row r="60171" spans="43:43" x14ac:dyDescent="0.2">
      <c r="AQ60171" s="31"/>
    </row>
    <row r="60172" spans="43:43" x14ac:dyDescent="0.2">
      <c r="AQ60172" s="31"/>
    </row>
    <row r="60173" spans="43:43" x14ac:dyDescent="0.2">
      <c r="AQ60173" s="31"/>
    </row>
    <row r="60174" spans="43:43" x14ac:dyDescent="0.2">
      <c r="AQ60174" s="31"/>
    </row>
    <row r="60175" spans="43:43" x14ac:dyDescent="0.2">
      <c r="AQ60175" s="31"/>
    </row>
    <row r="60176" spans="43:43" x14ac:dyDescent="0.2">
      <c r="AQ60176" s="31"/>
    </row>
    <row r="60177" spans="43:43" x14ac:dyDescent="0.2">
      <c r="AQ60177" s="31"/>
    </row>
    <row r="60178" spans="43:43" x14ac:dyDescent="0.2">
      <c r="AQ60178" s="31"/>
    </row>
    <row r="60179" spans="43:43" x14ac:dyDescent="0.2">
      <c r="AQ60179" s="31"/>
    </row>
    <row r="60180" spans="43:43" x14ac:dyDescent="0.2">
      <c r="AQ60180" s="31"/>
    </row>
    <row r="60181" spans="43:43" x14ac:dyDescent="0.2">
      <c r="AQ60181" s="31"/>
    </row>
    <row r="60182" spans="43:43" x14ac:dyDescent="0.2">
      <c r="AQ60182" s="31"/>
    </row>
    <row r="60183" spans="43:43" x14ac:dyDescent="0.2">
      <c r="AQ60183" s="31"/>
    </row>
    <row r="60184" spans="43:43" x14ac:dyDescent="0.2">
      <c r="AQ60184" s="31"/>
    </row>
    <row r="60185" spans="43:43" x14ac:dyDescent="0.2">
      <c r="AQ60185" s="31"/>
    </row>
    <row r="60186" spans="43:43" x14ac:dyDescent="0.2">
      <c r="AQ60186" s="31"/>
    </row>
    <row r="60187" spans="43:43" x14ac:dyDescent="0.2">
      <c r="AQ60187" s="31"/>
    </row>
    <row r="60188" spans="43:43" x14ac:dyDescent="0.2">
      <c r="AQ60188" s="31"/>
    </row>
    <row r="60189" spans="43:43" x14ac:dyDescent="0.2">
      <c r="AQ60189" s="31"/>
    </row>
    <row r="60190" spans="43:43" x14ac:dyDescent="0.2">
      <c r="AQ60190" s="31"/>
    </row>
    <row r="60191" spans="43:43" x14ac:dyDescent="0.2">
      <c r="AQ60191" s="31"/>
    </row>
    <row r="60192" spans="43:43" x14ac:dyDescent="0.2">
      <c r="AQ60192" s="31"/>
    </row>
    <row r="60193" spans="43:43" x14ac:dyDescent="0.2">
      <c r="AQ60193" s="31"/>
    </row>
    <row r="60194" spans="43:43" x14ac:dyDescent="0.2">
      <c r="AQ60194" s="31"/>
    </row>
    <row r="60195" spans="43:43" x14ac:dyDescent="0.2">
      <c r="AQ60195" s="31"/>
    </row>
    <row r="60196" spans="43:43" x14ac:dyDescent="0.2">
      <c r="AQ60196" s="31"/>
    </row>
    <row r="60197" spans="43:43" x14ac:dyDescent="0.2">
      <c r="AQ60197" s="31"/>
    </row>
    <row r="60198" spans="43:43" x14ac:dyDescent="0.2">
      <c r="AQ60198" s="31"/>
    </row>
    <row r="60199" spans="43:43" x14ac:dyDescent="0.2">
      <c r="AQ60199" s="31"/>
    </row>
    <row r="60200" spans="43:43" x14ac:dyDescent="0.2">
      <c r="AQ60200" s="31"/>
    </row>
    <row r="60201" spans="43:43" x14ac:dyDescent="0.2">
      <c r="AQ60201" s="31"/>
    </row>
    <row r="60202" spans="43:43" x14ac:dyDescent="0.2">
      <c r="AQ60202" s="31"/>
    </row>
    <row r="60203" spans="43:43" x14ac:dyDescent="0.2">
      <c r="AQ60203" s="31"/>
    </row>
    <row r="60204" spans="43:43" x14ac:dyDescent="0.2">
      <c r="AQ60204" s="31"/>
    </row>
    <row r="60205" spans="43:43" x14ac:dyDescent="0.2">
      <c r="AQ60205" s="31"/>
    </row>
    <row r="60206" spans="43:43" x14ac:dyDescent="0.2">
      <c r="AQ60206" s="31"/>
    </row>
    <row r="60207" spans="43:43" x14ac:dyDescent="0.2">
      <c r="AQ60207" s="31"/>
    </row>
    <row r="60208" spans="43:43" x14ac:dyDescent="0.2">
      <c r="AQ60208" s="31"/>
    </row>
    <row r="60209" spans="43:43" x14ac:dyDescent="0.2">
      <c r="AQ60209" s="31"/>
    </row>
    <row r="60210" spans="43:43" x14ac:dyDescent="0.2">
      <c r="AQ60210" s="31"/>
    </row>
    <row r="60211" spans="43:43" x14ac:dyDescent="0.2">
      <c r="AQ60211" s="31"/>
    </row>
    <row r="60212" spans="43:43" x14ac:dyDescent="0.2">
      <c r="AQ60212" s="31"/>
    </row>
    <row r="60213" spans="43:43" x14ac:dyDescent="0.2">
      <c r="AQ60213" s="31"/>
    </row>
    <row r="60214" spans="43:43" x14ac:dyDescent="0.2">
      <c r="AQ60214" s="31"/>
    </row>
    <row r="60215" spans="43:43" x14ac:dyDescent="0.2">
      <c r="AQ60215" s="31"/>
    </row>
    <row r="60216" spans="43:43" x14ac:dyDescent="0.2">
      <c r="AQ60216" s="31"/>
    </row>
    <row r="60217" spans="43:43" x14ac:dyDescent="0.2">
      <c r="AQ60217" s="31"/>
    </row>
    <row r="60218" spans="43:43" x14ac:dyDescent="0.2">
      <c r="AQ60218" s="31"/>
    </row>
    <row r="60219" spans="43:43" x14ac:dyDescent="0.2">
      <c r="AQ60219" s="31"/>
    </row>
    <row r="60220" spans="43:43" x14ac:dyDescent="0.2">
      <c r="AQ60220" s="31"/>
    </row>
    <row r="60221" spans="43:43" x14ac:dyDescent="0.2">
      <c r="AQ60221" s="31"/>
    </row>
    <row r="60222" spans="43:43" x14ac:dyDescent="0.2">
      <c r="AQ60222" s="31"/>
    </row>
    <row r="60223" spans="43:43" x14ac:dyDescent="0.2">
      <c r="AQ60223" s="31"/>
    </row>
    <row r="60224" spans="43:43" x14ac:dyDescent="0.2">
      <c r="AQ60224" s="31"/>
    </row>
    <row r="60225" spans="43:43" x14ac:dyDescent="0.2">
      <c r="AQ60225" s="31"/>
    </row>
    <row r="60226" spans="43:43" x14ac:dyDescent="0.2">
      <c r="AQ60226" s="31"/>
    </row>
    <row r="60227" spans="43:43" x14ac:dyDescent="0.2">
      <c r="AQ60227" s="31"/>
    </row>
    <row r="60228" spans="43:43" x14ac:dyDescent="0.2">
      <c r="AQ60228" s="31"/>
    </row>
    <row r="60229" spans="43:43" x14ac:dyDescent="0.2">
      <c r="AQ60229" s="31"/>
    </row>
    <row r="60230" spans="43:43" x14ac:dyDescent="0.2">
      <c r="AQ60230" s="31"/>
    </row>
    <row r="60231" spans="43:43" x14ac:dyDescent="0.2">
      <c r="AQ60231" s="31"/>
    </row>
    <row r="60232" spans="43:43" x14ac:dyDescent="0.2">
      <c r="AQ60232" s="31"/>
    </row>
    <row r="60233" spans="43:43" x14ac:dyDescent="0.2">
      <c r="AQ60233" s="31"/>
    </row>
    <row r="60234" spans="43:43" x14ac:dyDescent="0.2">
      <c r="AQ60234" s="31"/>
    </row>
    <row r="60235" spans="43:43" x14ac:dyDescent="0.2">
      <c r="AQ60235" s="31"/>
    </row>
    <row r="60236" spans="43:43" x14ac:dyDescent="0.2">
      <c r="AQ60236" s="31"/>
    </row>
    <row r="60237" spans="43:43" x14ac:dyDescent="0.2">
      <c r="AQ60237" s="31"/>
    </row>
    <row r="60238" spans="43:43" x14ac:dyDescent="0.2">
      <c r="AQ60238" s="31"/>
    </row>
    <row r="60239" spans="43:43" x14ac:dyDescent="0.2">
      <c r="AQ60239" s="31"/>
    </row>
    <row r="60240" spans="43:43" x14ac:dyDescent="0.2">
      <c r="AQ60240" s="31"/>
    </row>
    <row r="60241" spans="43:43" x14ac:dyDescent="0.2">
      <c r="AQ60241" s="31"/>
    </row>
    <row r="60242" spans="43:43" x14ac:dyDescent="0.2">
      <c r="AQ60242" s="31"/>
    </row>
    <row r="60243" spans="43:43" x14ac:dyDescent="0.2">
      <c r="AQ60243" s="31"/>
    </row>
    <row r="60244" spans="43:43" x14ac:dyDescent="0.2">
      <c r="AQ60244" s="31"/>
    </row>
    <row r="60245" spans="43:43" x14ac:dyDescent="0.2">
      <c r="AQ60245" s="31"/>
    </row>
    <row r="60246" spans="43:43" x14ac:dyDescent="0.2">
      <c r="AQ60246" s="31"/>
    </row>
    <row r="60247" spans="43:43" x14ac:dyDescent="0.2">
      <c r="AQ60247" s="31"/>
    </row>
    <row r="60248" spans="43:43" x14ac:dyDescent="0.2">
      <c r="AQ60248" s="31"/>
    </row>
    <row r="60249" spans="43:43" x14ac:dyDescent="0.2">
      <c r="AQ60249" s="31"/>
    </row>
    <row r="60250" spans="43:43" x14ac:dyDescent="0.2">
      <c r="AQ60250" s="31"/>
    </row>
    <row r="60251" spans="43:43" x14ac:dyDescent="0.2">
      <c r="AQ60251" s="31"/>
    </row>
    <row r="60252" spans="43:43" x14ac:dyDescent="0.2">
      <c r="AQ60252" s="31"/>
    </row>
    <row r="60253" spans="43:43" x14ac:dyDescent="0.2">
      <c r="AQ60253" s="31"/>
    </row>
    <row r="60254" spans="43:43" x14ac:dyDescent="0.2">
      <c r="AQ60254" s="31"/>
    </row>
    <row r="60255" spans="43:43" x14ac:dyDescent="0.2">
      <c r="AQ60255" s="31"/>
    </row>
    <row r="60256" spans="43:43" x14ac:dyDescent="0.2">
      <c r="AQ60256" s="31"/>
    </row>
    <row r="60257" spans="43:43" x14ac:dyDescent="0.2">
      <c r="AQ60257" s="31"/>
    </row>
    <row r="60258" spans="43:43" x14ac:dyDescent="0.2">
      <c r="AQ60258" s="31"/>
    </row>
    <row r="60259" spans="43:43" x14ac:dyDescent="0.2">
      <c r="AQ60259" s="31"/>
    </row>
    <row r="60260" spans="43:43" x14ac:dyDescent="0.2">
      <c r="AQ60260" s="31"/>
    </row>
    <row r="60261" spans="43:43" x14ac:dyDescent="0.2">
      <c r="AQ60261" s="31"/>
    </row>
    <row r="60262" spans="43:43" x14ac:dyDescent="0.2">
      <c r="AQ60262" s="31"/>
    </row>
    <row r="60263" spans="43:43" x14ac:dyDescent="0.2">
      <c r="AQ60263" s="31"/>
    </row>
    <row r="60264" spans="43:43" x14ac:dyDescent="0.2">
      <c r="AQ60264" s="31"/>
    </row>
    <row r="60265" spans="43:43" x14ac:dyDescent="0.2">
      <c r="AQ60265" s="31"/>
    </row>
    <row r="60266" spans="43:43" x14ac:dyDescent="0.2">
      <c r="AQ60266" s="31"/>
    </row>
    <row r="60267" spans="43:43" x14ac:dyDescent="0.2">
      <c r="AQ60267" s="31"/>
    </row>
    <row r="60268" spans="43:43" x14ac:dyDescent="0.2">
      <c r="AQ60268" s="31"/>
    </row>
    <row r="60269" spans="43:43" x14ac:dyDescent="0.2">
      <c r="AQ60269" s="31"/>
    </row>
    <row r="60270" spans="43:43" x14ac:dyDescent="0.2">
      <c r="AQ60270" s="31"/>
    </row>
    <row r="60271" spans="43:43" x14ac:dyDescent="0.2">
      <c r="AQ60271" s="31"/>
    </row>
    <row r="60272" spans="43:43" x14ac:dyDescent="0.2">
      <c r="AQ60272" s="31"/>
    </row>
    <row r="60273" spans="43:43" x14ac:dyDescent="0.2">
      <c r="AQ60273" s="31"/>
    </row>
    <row r="60274" spans="43:43" x14ac:dyDescent="0.2">
      <c r="AQ60274" s="31"/>
    </row>
    <row r="60275" spans="43:43" x14ac:dyDescent="0.2">
      <c r="AQ60275" s="31"/>
    </row>
    <row r="60276" spans="43:43" x14ac:dyDescent="0.2">
      <c r="AQ60276" s="31"/>
    </row>
    <row r="60277" spans="43:43" x14ac:dyDescent="0.2">
      <c r="AQ60277" s="31"/>
    </row>
    <row r="60278" spans="43:43" x14ac:dyDescent="0.2">
      <c r="AQ60278" s="31"/>
    </row>
    <row r="60279" spans="43:43" x14ac:dyDescent="0.2">
      <c r="AQ60279" s="31"/>
    </row>
    <row r="60280" spans="43:43" x14ac:dyDescent="0.2">
      <c r="AQ60280" s="31"/>
    </row>
    <row r="60281" spans="43:43" x14ac:dyDescent="0.2">
      <c r="AQ60281" s="31"/>
    </row>
    <row r="60282" spans="43:43" x14ac:dyDescent="0.2">
      <c r="AQ60282" s="31"/>
    </row>
    <row r="60283" spans="43:43" x14ac:dyDescent="0.2">
      <c r="AQ60283" s="31"/>
    </row>
    <row r="60284" spans="43:43" x14ac:dyDescent="0.2">
      <c r="AQ60284" s="31"/>
    </row>
    <row r="60285" spans="43:43" x14ac:dyDescent="0.2">
      <c r="AQ60285" s="31"/>
    </row>
    <row r="60286" spans="43:43" x14ac:dyDescent="0.2">
      <c r="AQ60286" s="31"/>
    </row>
    <row r="60287" spans="43:43" x14ac:dyDescent="0.2">
      <c r="AQ60287" s="31"/>
    </row>
    <row r="60288" spans="43:43" x14ac:dyDescent="0.2">
      <c r="AQ60288" s="31"/>
    </row>
    <row r="60289" spans="43:43" x14ac:dyDescent="0.2">
      <c r="AQ60289" s="31"/>
    </row>
    <row r="60290" spans="43:43" x14ac:dyDescent="0.2">
      <c r="AQ60290" s="31"/>
    </row>
    <row r="60291" spans="43:43" x14ac:dyDescent="0.2">
      <c r="AQ60291" s="31"/>
    </row>
    <row r="60292" spans="43:43" x14ac:dyDescent="0.2">
      <c r="AQ60292" s="31"/>
    </row>
    <row r="60293" spans="43:43" x14ac:dyDescent="0.2">
      <c r="AQ60293" s="31"/>
    </row>
    <row r="60294" spans="43:43" x14ac:dyDescent="0.2">
      <c r="AQ60294" s="31"/>
    </row>
    <row r="60295" spans="43:43" x14ac:dyDescent="0.2">
      <c r="AQ60295" s="31"/>
    </row>
    <row r="60296" spans="43:43" x14ac:dyDescent="0.2">
      <c r="AQ60296" s="31"/>
    </row>
    <row r="60297" spans="43:43" x14ac:dyDescent="0.2">
      <c r="AQ60297" s="31"/>
    </row>
    <row r="60298" spans="43:43" x14ac:dyDescent="0.2">
      <c r="AQ60298" s="31"/>
    </row>
    <row r="60299" spans="43:43" x14ac:dyDescent="0.2">
      <c r="AQ60299" s="31"/>
    </row>
    <row r="60300" spans="43:43" x14ac:dyDescent="0.2">
      <c r="AQ60300" s="31"/>
    </row>
    <row r="60301" spans="43:43" x14ac:dyDescent="0.2">
      <c r="AQ60301" s="31"/>
    </row>
    <row r="60302" spans="43:43" x14ac:dyDescent="0.2">
      <c r="AQ60302" s="31"/>
    </row>
    <row r="60303" spans="43:43" x14ac:dyDescent="0.2">
      <c r="AQ60303" s="31"/>
    </row>
    <row r="60304" spans="43:43" x14ac:dyDescent="0.2">
      <c r="AQ60304" s="31"/>
    </row>
    <row r="60305" spans="43:43" x14ac:dyDescent="0.2">
      <c r="AQ60305" s="31"/>
    </row>
    <row r="60306" spans="43:43" x14ac:dyDescent="0.2">
      <c r="AQ60306" s="31"/>
    </row>
    <row r="60307" spans="43:43" x14ac:dyDescent="0.2">
      <c r="AQ60307" s="31"/>
    </row>
    <row r="60308" spans="43:43" x14ac:dyDescent="0.2">
      <c r="AQ60308" s="31"/>
    </row>
    <row r="60309" spans="43:43" x14ac:dyDescent="0.2">
      <c r="AQ60309" s="31"/>
    </row>
    <row r="60310" spans="43:43" x14ac:dyDescent="0.2">
      <c r="AQ60310" s="31"/>
    </row>
    <row r="60311" spans="43:43" x14ac:dyDescent="0.2">
      <c r="AQ60311" s="31"/>
    </row>
    <row r="60312" spans="43:43" x14ac:dyDescent="0.2">
      <c r="AQ60312" s="31"/>
    </row>
    <row r="60313" spans="43:43" x14ac:dyDescent="0.2">
      <c r="AQ60313" s="31"/>
    </row>
    <row r="60314" spans="43:43" x14ac:dyDescent="0.2">
      <c r="AQ60314" s="31"/>
    </row>
    <row r="60315" spans="43:43" x14ac:dyDescent="0.2">
      <c r="AQ60315" s="31"/>
    </row>
    <row r="60316" spans="43:43" x14ac:dyDescent="0.2">
      <c r="AQ60316" s="31"/>
    </row>
    <row r="60317" spans="43:43" x14ac:dyDescent="0.2">
      <c r="AQ60317" s="31"/>
    </row>
    <row r="60318" spans="43:43" x14ac:dyDescent="0.2">
      <c r="AQ60318" s="31"/>
    </row>
    <row r="60319" spans="43:43" x14ac:dyDescent="0.2">
      <c r="AQ60319" s="31"/>
    </row>
    <row r="60320" spans="43:43" x14ac:dyDescent="0.2">
      <c r="AQ60320" s="31"/>
    </row>
    <row r="60321" spans="43:43" x14ac:dyDescent="0.2">
      <c r="AQ60321" s="31"/>
    </row>
    <row r="60322" spans="43:43" x14ac:dyDescent="0.2">
      <c r="AQ60322" s="31"/>
    </row>
    <row r="60323" spans="43:43" x14ac:dyDescent="0.2">
      <c r="AQ60323" s="31"/>
    </row>
    <row r="60324" spans="43:43" x14ac:dyDescent="0.2">
      <c r="AQ60324" s="31"/>
    </row>
    <row r="60325" spans="43:43" x14ac:dyDescent="0.2">
      <c r="AQ60325" s="31"/>
    </row>
    <row r="60326" spans="43:43" x14ac:dyDescent="0.2">
      <c r="AQ60326" s="31"/>
    </row>
    <row r="60327" spans="43:43" x14ac:dyDescent="0.2">
      <c r="AQ60327" s="31"/>
    </row>
    <row r="60328" spans="43:43" x14ac:dyDescent="0.2">
      <c r="AQ60328" s="31"/>
    </row>
    <row r="60329" spans="43:43" x14ac:dyDescent="0.2">
      <c r="AQ60329" s="31"/>
    </row>
    <row r="60330" spans="43:43" x14ac:dyDescent="0.2">
      <c r="AQ60330" s="31"/>
    </row>
    <row r="60331" spans="43:43" x14ac:dyDescent="0.2">
      <c r="AQ60331" s="31"/>
    </row>
    <row r="60332" spans="43:43" x14ac:dyDescent="0.2">
      <c r="AQ60332" s="31"/>
    </row>
    <row r="60333" spans="43:43" x14ac:dyDescent="0.2">
      <c r="AQ60333" s="31"/>
    </row>
    <row r="60334" spans="43:43" x14ac:dyDescent="0.2">
      <c r="AQ60334" s="31"/>
    </row>
    <row r="60335" spans="43:43" x14ac:dyDescent="0.2">
      <c r="AQ60335" s="31"/>
    </row>
    <row r="60336" spans="43:43" x14ac:dyDescent="0.2">
      <c r="AQ60336" s="31"/>
    </row>
    <row r="60337" spans="43:43" x14ac:dyDescent="0.2">
      <c r="AQ60337" s="31"/>
    </row>
    <row r="60338" spans="43:43" x14ac:dyDescent="0.2">
      <c r="AQ60338" s="31"/>
    </row>
    <row r="60339" spans="43:43" x14ac:dyDescent="0.2">
      <c r="AQ60339" s="31"/>
    </row>
    <row r="60340" spans="43:43" x14ac:dyDescent="0.2">
      <c r="AQ60340" s="31"/>
    </row>
    <row r="60341" spans="43:43" x14ac:dyDescent="0.2">
      <c r="AQ60341" s="31"/>
    </row>
    <row r="60342" spans="43:43" x14ac:dyDescent="0.2">
      <c r="AQ60342" s="31"/>
    </row>
    <row r="60343" spans="43:43" x14ac:dyDescent="0.2">
      <c r="AQ60343" s="31"/>
    </row>
    <row r="60344" spans="43:43" x14ac:dyDescent="0.2">
      <c r="AQ60344" s="31"/>
    </row>
    <row r="60345" spans="43:43" x14ac:dyDescent="0.2">
      <c r="AQ60345" s="31"/>
    </row>
    <row r="60346" spans="43:43" x14ac:dyDescent="0.2">
      <c r="AQ60346" s="31"/>
    </row>
    <row r="60347" spans="43:43" x14ac:dyDescent="0.2">
      <c r="AQ60347" s="31"/>
    </row>
    <row r="60348" spans="43:43" x14ac:dyDescent="0.2">
      <c r="AQ60348" s="31"/>
    </row>
    <row r="60349" spans="43:43" x14ac:dyDescent="0.2">
      <c r="AQ60349" s="31"/>
    </row>
    <row r="60350" spans="43:43" x14ac:dyDescent="0.2">
      <c r="AQ60350" s="31"/>
    </row>
    <row r="60351" spans="43:43" x14ac:dyDescent="0.2">
      <c r="AQ60351" s="31"/>
    </row>
    <row r="60352" spans="43:43" x14ac:dyDescent="0.2">
      <c r="AQ60352" s="31"/>
    </row>
    <row r="60353" spans="43:43" x14ac:dyDescent="0.2">
      <c r="AQ60353" s="31"/>
    </row>
    <row r="60354" spans="43:43" x14ac:dyDescent="0.2">
      <c r="AQ60354" s="31"/>
    </row>
    <row r="60355" spans="43:43" x14ac:dyDescent="0.2">
      <c r="AQ60355" s="31"/>
    </row>
    <row r="60356" spans="43:43" x14ac:dyDescent="0.2">
      <c r="AQ60356" s="31"/>
    </row>
    <row r="60357" spans="43:43" x14ac:dyDescent="0.2">
      <c r="AQ60357" s="31"/>
    </row>
    <row r="60358" spans="43:43" x14ac:dyDescent="0.2">
      <c r="AQ60358" s="31"/>
    </row>
    <row r="60359" spans="43:43" x14ac:dyDescent="0.2">
      <c r="AQ60359" s="31"/>
    </row>
    <row r="60360" spans="43:43" x14ac:dyDescent="0.2">
      <c r="AQ60360" s="31"/>
    </row>
    <row r="60361" spans="43:43" x14ac:dyDescent="0.2">
      <c r="AQ60361" s="31"/>
    </row>
    <row r="60362" spans="43:43" x14ac:dyDescent="0.2">
      <c r="AQ60362" s="31"/>
    </row>
    <row r="60363" spans="43:43" x14ac:dyDescent="0.2">
      <c r="AQ60363" s="31"/>
    </row>
    <row r="60364" spans="43:43" x14ac:dyDescent="0.2">
      <c r="AQ60364" s="31"/>
    </row>
    <row r="60365" spans="43:43" x14ac:dyDescent="0.2">
      <c r="AQ60365" s="31"/>
    </row>
    <row r="60366" spans="43:43" x14ac:dyDescent="0.2">
      <c r="AQ60366" s="31"/>
    </row>
    <row r="60367" spans="43:43" x14ac:dyDescent="0.2">
      <c r="AQ60367" s="31"/>
    </row>
    <row r="60368" spans="43:43" x14ac:dyDescent="0.2">
      <c r="AQ60368" s="31"/>
    </row>
    <row r="60369" spans="43:43" x14ac:dyDescent="0.2">
      <c r="AQ60369" s="31"/>
    </row>
    <row r="60370" spans="43:43" x14ac:dyDescent="0.2">
      <c r="AQ60370" s="31"/>
    </row>
    <row r="60371" spans="43:43" x14ac:dyDescent="0.2">
      <c r="AQ60371" s="31"/>
    </row>
    <row r="60372" spans="43:43" x14ac:dyDescent="0.2">
      <c r="AQ60372" s="31"/>
    </row>
    <row r="60373" spans="43:43" x14ac:dyDescent="0.2">
      <c r="AQ60373" s="31"/>
    </row>
    <row r="60374" spans="43:43" x14ac:dyDescent="0.2">
      <c r="AQ60374" s="31"/>
    </row>
    <row r="60375" spans="43:43" x14ac:dyDescent="0.2">
      <c r="AQ60375" s="31"/>
    </row>
    <row r="60376" spans="43:43" x14ac:dyDescent="0.2">
      <c r="AQ60376" s="31"/>
    </row>
    <row r="60377" spans="43:43" x14ac:dyDescent="0.2">
      <c r="AQ60377" s="31"/>
    </row>
    <row r="60378" spans="43:43" x14ac:dyDescent="0.2">
      <c r="AQ60378" s="31"/>
    </row>
    <row r="60379" spans="43:43" x14ac:dyDescent="0.2">
      <c r="AQ60379" s="31"/>
    </row>
    <row r="60380" spans="43:43" x14ac:dyDescent="0.2">
      <c r="AQ60380" s="31"/>
    </row>
    <row r="60381" spans="43:43" x14ac:dyDescent="0.2">
      <c r="AQ60381" s="31"/>
    </row>
    <row r="60382" spans="43:43" x14ac:dyDescent="0.2">
      <c r="AQ60382" s="31"/>
    </row>
    <row r="60383" spans="43:43" x14ac:dyDescent="0.2">
      <c r="AQ60383" s="31"/>
    </row>
    <row r="60384" spans="43:43" x14ac:dyDescent="0.2">
      <c r="AQ60384" s="31"/>
    </row>
    <row r="60385" spans="43:43" x14ac:dyDescent="0.2">
      <c r="AQ60385" s="31"/>
    </row>
    <row r="60386" spans="43:43" x14ac:dyDescent="0.2">
      <c r="AQ60386" s="31"/>
    </row>
    <row r="60387" spans="43:43" x14ac:dyDescent="0.2">
      <c r="AQ60387" s="31"/>
    </row>
    <row r="60388" spans="43:43" x14ac:dyDescent="0.2">
      <c r="AQ60388" s="31"/>
    </row>
    <row r="60389" spans="43:43" x14ac:dyDescent="0.2">
      <c r="AQ60389" s="31"/>
    </row>
    <row r="60390" spans="43:43" x14ac:dyDescent="0.2">
      <c r="AQ60390" s="31"/>
    </row>
    <row r="60391" spans="43:43" x14ac:dyDescent="0.2">
      <c r="AQ60391" s="31"/>
    </row>
    <row r="60392" spans="43:43" x14ac:dyDescent="0.2">
      <c r="AQ60392" s="31"/>
    </row>
    <row r="60393" spans="43:43" x14ac:dyDescent="0.2">
      <c r="AQ60393" s="31"/>
    </row>
    <row r="60394" spans="43:43" x14ac:dyDescent="0.2">
      <c r="AQ60394" s="31"/>
    </row>
    <row r="60395" spans="43:43" x14ac:dyDescent="0.2">
      <c r="AQ60395" s="31"/>
    </row>
    <row r="60396" spans="43:43" x14ac:dyDescent="0.2">
      <c r="AQ60396" s="31"/>
    </row>
    <row r="60397" spans="43:43" x14ac:dyDescent="0.2">
      <c r="AQ60397" s="31"/>
    </row>
    <row r="60398" spans="43:43" x14ac:dyDescent="0.2">
      <c r="AQ60398" s="31"/>
    </row>
    <row r="60399" spans="43:43" x14ac:dyDescent="0.2">
      <c r="AQ60399" s="31"/>
    </row>
    <row r="60400" spans="43:43" x14ac:dyDescent="0.2">
      <c r="AQ60400" s="31"/>
    </row>
    <row r="60401" spans="43:43" x14ac:dyDescent="0.2">
      <c r="AQ60401" s="31"/>
    </row>
    <row r="60402" spans="43:43" x14ac:dyDescent="0.2">
      <c r="AQ60402" s="31"/>
    </row>
    <row r="60403" spans="43:43" x14ac:dyDescent="0.2">
      <c r="AQ60403" s="31"/>
    </row>
    <row r="60404" spans="43:43" x14ac:dyDescent="0.2">
      <c r="AQ60404" s="31"/>
    </row>
    <row r="60405" spans="43:43" x14ac:dyDescent="0.2">
      <c r="AQ60405" s="31"/>
    </row>
    <row r="60406" spans="43:43" x14ac:dyDescent="0.2">
      <c r="AQ60406" s="31"/>
    </row>
    <row r="60407" spans="43:43" x14ac:dyDescent="0.2">
      <c r="AQ60407" s="31"/>
    </row>
    <row r="60408" spans="43:43" x14ac:dyDescent="0.2">
      <c r="AQ60408" s="31"/>
    </row>
    <row r="60409" spans="43:43" x14ac:dyDescent="0.2">
      <c r="AQ60409" s="31"/>
    </row>
    <row r="60410" spans="43:43" x14ac:dyDescent="0.2">
      <c r="AQ60410" s="31"/>
    </row>
    <row r="60411" spans="43:43" x14ac:dyDescent="0.2">
      <c r="AQ60411" s="31"/>
    </row>
    <row r="60412" spans="43:43" x14ac:dyDescent="0.2">
      <c r="AQ60412" s="31"/>
    </row>
    <row r="60413" spans="43:43" x14ac:dyDescent="0.2">
      <c r="AQ60413" s="31"/>
    </row>
    <row r="60414" spans="43:43" x14ac:dyDescent="0.2">
      <c r="AQ60414" s="31"/>
    </row>
    <row r="60415" spans="43:43" x14ac:dyDescent="0.2">
      <c r="AQ60415" s="31"/>
    </row>
    <row r="60416" spans="43:43" x14ac:dyDescent="0.2">
      <c r="AQ60416" s="31"/>
    </row>
    <row r="60417" spans="43:43" x14ac:dyDescent="0.2">
      <c r="AQ60417" s="31"/>
    </row>
    <row r="60418" spans="43:43" x14ac:dyDescent="0.2">
      <c r="AQ60418" s="31"/>
    </row>
    <row r="60419" spans="43:43" x14ac:dyDescent="0.2">
      <c r="AQ60419" s="31"/>
    </row>
    <row r="60420" spans="43:43" x14ac:dyDescent="0.2">
      <c r="AQ60420" s="31"/>
    </row>
    <row r="60421" spans="43:43" x14ac:dyDescent="0.2">
      <c r="AQ60421" s="31"/>
    </row>
    <row r="60422" spans="43:43" x14ac:dyDescent="0.2">
      <c r="AQ60422" s="31"/>
    </row>
    <row r="60423" spans="43:43" x14ac:dyDescent="0.2">
      <c r="AQ60423" s="31"/>
    </row>
    <row r="60424" spans="43:43" x14ac:dyDescent="0.2">
      <c r="AQ60424" s="31"/>
    </row>
    <row r="60425" spans="43:43" x14ac:dyDescent="0.2">
      <c r="AQ60425" s="31"/>
    </row>
    <row r="60426" spans="43:43" x14ac:dyDescent="0.2">
      <c r="AQ60426" s="31"/>
    </row>
    <row r="60427" spans="43:43" x14ac:dyDescent="0.2">
      <c r="AQ60427" s="31"/>
    </row>
    <row r="60428" spans="43:43" x14ac:dyDescent="0.2">
      <c r="AQ60428" s="31"/>
    </row>
    <row r="60429" spans="43:43" x14ac:dyDescent="0.2">
      <c r="AQ60429" s="31"/>
    </row>
    <row r="60430" spans="43:43" x14ac:dyDescent="0.2">
      <c r="AQ60430" s="31"/>
    </row>
    <row r="60431" spans="43:43" x14ac:dyDescent="0.2">
      <c r="AQ60431" s="31"/>
    </row>
    <row r="60432" spans="43:43" x14ac:dyDescent="0.2">
      <c r="AQ60432" s="31"/>
    </row>
    <row r="60433" spans="43:43" x14ac:dyDescent="0.2">
      <c r="AQ60433" s="31"/>
    </row>
    <row r="60434" spans="43:43" x14ac:dyDescent="0.2">
      <c r="AQ60434" s="31"/>
    </row>
    <row r="60435" spans="43:43" x14ac:dyDescent="0.2">
      <c r="AQ60435" s="31"/>
    </row>
    <row r="60436" spans="43:43" x14ac:dyDescent="0.2">
      <c r="AQ60436" s="31"/>
    </row>
    <row r="60437" spans="43:43" x14ac:dyDescent="0.2">
      <c r="AQ60437" s="31"/>
    </row>
    <row r="60438" spans="43:43" x14ac:dyDescent="0.2">
      <c r="AQ60438" s="31"/>
    </row>
    <row r="60439" spans="43:43" x14ac:dyDescent="0.2">
      <c r="AQ60439" s="31"/>
    </row>
    <row r="60440" spans="43:43" x14ac:dyDescent="0.2">
      <c r="AQ60440" s="31"/>
    </row>
    <row r="60441" spans="43:43" x14ac:dyDescent="0.2">
      <c r="AQ60441" s="31"/>
    </row>
    <row r="60442" spans="43:43" x14ac:dyDescent="0.2">
      <c r="AQ60442" s="31"/>
    </row>
    <row r="60443" spans="43:43" x14ac:dyDescent="0.2">
      <c r="AQ60443" s="31"/>
    </row>
    <row r="60444" spans="43:43" x14ac:dyDescent="0.2">
      <c r="AQ60444" s="31"/>
    </row>
    <row r="60445" spans="43:43" x14ac:dyDescent="0.2">
      <c r="AQ60445" s="31"/>
    </row>
    <row r="60446" spans="43:43" x14ac:dyDescent="0.2">
      <c r="AQ60446" s="31"/>
    </row>
    <row r="60447" spans="43:43" x14ac:dyDescent="0.2">
      <c r="AQ60447" s="31"/>
    </row>
    <row r="60448" spans="43:43" x14ac:dyDescent="0.2">
      <c r="AQ60448" s="31"/>
    </row>
    <row r="60449" spans="43:43" x14ac:dyDescent="0.2">
      <c r="AQ60449" s="31"/>
    </row>
    <row r="60450" spans="43:43" x14ac:dyDescent="0.2">
      <c r="AQ60450" s="31"/>
    </row>
    <row r="60451" spans="43:43" x14ac:dyDescent="0.2">
      <c r="AQ60451" s="31"/>
    </row>
    <row r="60452" spans="43:43" x14ac:dyDescent="0.2">
      <c r="AQ60452" s="31"/>
    </row>
    <row r="60453" spans="43:43" x14ac:dyDescent="0.2">
      <c r="AQ60453" s="31"/>
    </row>
    <row r="60454" spans="43:43" x14ac:dyDescent="0.2">
      <c r="AQ60454" s="31"/>
    </row>
    <row r="60455" spans="43:43" x14ac:dyDescent="0.2">
      <c r="AQ60455" s="31"/>
    </row>
    <row r="60456" spans="43:43" x14ac:dyDescent="0.2">
      <c r="AQ60456" s="31"/>
    </row>
    <row r="60457" spans="43:43" x14ac:dyDescent="0.2">
      <c r="AQ60457" s="31"/>
    </row>
    <row r="60458" spans="43:43" x14ac:dyDescent="0.2">
      <c r="AQ60458" s="31"/>
    </row>
    <row r="60459" spans="43:43" x14ac:dyDescent="0.2">
      <c r="AQ60459" s="31"/>
    </row>
    <row r="60460" spans="43:43" x14ac:dyDescent="0.2">
      <c r="AQ60460" s="31"/>
    </row>
    <row r="60461" spans="43:43" x14ac:dyDescent="0.2">
      <c r="AQ60461" s="31"/>
    </row>
    <row r="60462" spans="43:43" x14ac:dyDescent="0.2">
      <c r="AQ60462" s="31"/>
    </row>
    <row r="60463" spans="43:43" x14ac:dyDescent="0.2">
      <c r="AQ60463" s="31"/>
    </row>
    <row r="60464" spans="43:43" x14ac:dyDescent="0.2">
      <c r="AQ60464" s="31"/>
    </row>
    <row r="60465" spans="43:43" x14ac:dyDescent="0.2">
      <c r="AQ60465" s="31"/>
    </row>
    <row r="60466" spans="43:43" x14ac:dyDescent="0.2">
      <c r="AQ60466" s="31"/>
    </row>
    <row r="60467" spans="43:43" x14ac:dyDescent="0.2">
      <c r="AQ60467" s="31"/>
    </row>
    <row r="60468" spans="43:43" x14ac:dyDescent="0.2">
      <c r="AQ60468" s="31"/>
    </row>
    <row r="60469" spans="43:43" x14ac:dyDescent="0.2">
      <c r="AQ60469" s="31"/>
    </row>
    <row r="60470" spans="43:43" x14ac:dyDescent="0.2">
      <c r="AQ60470" s="31"/>
    </row>
    <row r="60471" spans="43:43" x14ac:dyDescent="0.2">
      <c r="AQ60471" s="31"/>
    </row>
    <row r="60472" spans="43:43" x14ac:dyDescent="0.2">
      <c r="AQ60472" s="31"/>
    </row>
    <row r="60473" spans="43:43" x14ac:dyDescent="0.2">
      <c r="AQ60473" s="31"/>
    </row>
    <row r="60474" spans="43:43" x14ac:dyDescent="0.2">
      <c r="AQ60474" s="31"/>
    </row>
    <row r="60475" spans="43:43" x14ac:dyDescent="0.2">
      <c r="AQ60475" s="31"/>
    </row>
    <row r="60476" spans="43:43" x14ac:dyDescent="0.2">
      <c r="AQ60476" s="31"/>
    </row>
    <row r="60477" spans="43:43" x14ac:dyDescent="0.2">
      <c r="AQ60477" s="31"/>
    </row>
    <row r="60478" spans="43:43" x14ac:dyDescent="0.2">
      <c r="AQ60478" s="31"/>
    </row>
    <row r="60479" spans="43:43" x14ac:dyDescent="0.2">
      <c r="AQ60479" s="31"/>
    </row>
    <row r="60480" spans="43:43" x14ac:dyDescent="0.2">
      <c r="AQ60480" s="31"/>
    </row>
    <row r="60481" spans="43:43" x14ac:dyDescent="0.2">
      <c r="AQ60481" s="31"/>
    </row>
    <row r="60482" spans="43:43" x14ac:dyDescent="0.2">
      <c r="AQ60482" s="31"/>
    </row>
    <row r="60483" spans="43:43" x14ac:dyDescent="0.2">
      <c r="AQ60483" s="31"/>
    </row>
    <row r="60484" spans="43:43" x14ac:dyDescent="0.2">
      <c r="AQ60484" s="31"/>
    </row>
    <row r="60485" spans="43:43" x14ac:dyDescent="0.2">
      <c r="AQ60485" s="31"/>
    </row>
    <row r="60486" spans="43:43" x14ac:dyDescent="0.2">
      <c r="AQ60486" s="31"/>
    </row>
    <row r="60487" spans="43:43" x14ac:dyDescent="0.2">
      <c r="AQ60487" s="31"/>
    </row>
    <row r="60488" spans="43:43" x14ac:dyDescent="0.2">
      <c r="AQ60488" s="31"/>
    </row>
    <row r="60489" spans="43:43" x14ac:dyDescent="0.2">
      <c r="AQ60489" s="31"/>
    </row>
    <row r="60490" spans="43:43" x14ac:dyDescent="0.2">
      <c r="AQ60490" s="31"/>
    </row>
    <row r="60491" spans="43:43" x14ac:dyDescent="0.2">
      <c r="AQ60491" s="31"/>
    </row>
    <row r="60492" spans="43:43" x14ac:dyDescent="0.2">
      <c r="AQ60492" s="31"/>
    </row>
    <row r="60493" spans="43:43" x14ac:dyDescent="0.2">
      <c r="AQ60493" s="31"/>
    </row>
    <row r="60494" spans="43:43" x14ac:dyDescent="0.2">
      <c r="AQ60494" s="31"/>
    </row>
    <row r="60495" spans="43:43" x14ac:dyDescent="0.2">
      <c r="AQ60495" s="31"/>
    </row>
    <row r="60496" spans="43:43" x14ac:dyDescent="0.2">
      <c r="AQ60496" s="31"/>
    </row>
    <row r="60497" spans="43:43" x14ac:dyDescent="0.2">
      <c r="AQ60497" s="31"/>
    </row>
    <row r="60498" spans="43:43" x14ac:dyDescent="0.2">
      <c r="AQ60498" s="31"/>
    </row>
    <row r="60499" spans="43:43" x14ac:dyDescent="0.2">
      <c r="AQ60499" s="31"/>
    </row>
    <row r="60500" spans="43:43" x14ac:dyDescent="0.2">
      <c r="AQ60500" s="31"/>
    </row>
    <row r="60501" spans="43:43" x14ac:dyDescent="0.2">
      <c r="AQ60501" s="31"/>
    </row>
    <row r="60502" spans="43:43" x14ac:dyDescent="0.2">
      <c r="AQ60502" s="31"/>
    </row>
    <row r="60503" spans="43:43" x14ac:dyDescent="0.2">
      <c r="AQ60503" s="31"/>
    </row>
    <row r="60504" spans="43:43" x14ac:dyDescent="0.2">
      <c r="AQ60504" s="31"/>
    </row>
    <row r="60505" spans="43:43" x14ac:dyDescent="0.2">
      <c r="AQ60505" s="31"/>
    </row>
    <row r="60506" spans="43:43" x14ac:dyDescent="0.2">
      <c r="AQ60506" s="31"/>
    </row>
    <row r="60507" spans="43:43" x14ac:dyDescent="0.2">
      <c r="AQ60507" s="31"/>
    </row>
    <row r="60508" spans="43:43" x14ac:dyDescent="0.2">
      <c r="AQ60508" s="31"/>
    </row>
    <row r="60509" spans="43:43" x14ac:dyDescent="0.2">
      <c r="AQ60509" s="31"/>
    </row>
    <row r="60510" spans="43:43" x14ac:dyDescent="0.2">
      <c r="AQ60510" s="31"/>
    </row>
    <row r="60511" spans="43:43" x14ac:dyDescent="0.2">
      <c r="AQ60511" s="31"/>
    </row>
    <row r="60512" spans="43:43" x14ac:dyDescent="0.2">
      <c r="AQ60512" s="31"/>
    </row>
    <row r="60513" spans="43:43" x14ac:dyDescent="0.2">
      <c r="AQ60513" s="31"/>
    </row>
    <row r="60514" spans="43:43" x14ac:dyDescent="0.2">
      <c r="AQ60514" s="31"/>
    </row>
    <row r="60515" spans="43:43" x14ac:dyDescent="0.2">
      <c r="AQ60515" s="31"/>
    </row>
    <row r="60516" spans="43:43" x14ac:dyDescent="0.2">
      <c r="AQ60516" s="31"/>
    </row>
    <row r="60517" spans="43:43" x14ac:dyDescent="0.2">
      <c r="AQ60517" s="31"/>
    </row>
    <row r="60518" spans="43:43" x14ac:dyDescent="0.2">
      <c r="AQ60518" s="31"/>
    </row>
    <row r="60519" spans="43:43" x14ac:dyDescent="0.2">
      <c r="AQ60519" s="31"/>
    </row>
    <row r="60520" spans="43:43" x14ac:dyDescent="0.2">
      <c r="AQ60520" s="31"/>
    </row>
    <row r="60521" spans="43:43" x14ac:dyDescent="0.2">
      <c r="AQ60521" s="31"/>
    </row>
    <row r="60522" spans="43:43" x14ac:dyDescent="0.2">
      <c r="AQ60522" s="31"/>
    </row>
    <row r="60523" spans="43:43" x14ac:dyDescent="0.2">
      <c r="AQ60523" s="31"/>
    </row>
    <row r="60524" spans="43:43" x14ac:dyDescent="0.2">
      <c r="AQ60524" s="31"/>
    </row>
    <row r="60525" spans="43:43" x14ac:dyDescent="0.2">
      <c r="AQ60525" s="31"/>
    </row>
    <row r="60526" spans="43:43" x14ac:dyDescent="0.2">
      <c r="AQ60526" s="31"/>
    </row>
    <row r="60527" spans="43:43" x14ac:dyDescent="0.2">
      <c r="AQ60527" s="31"/>
    </row>
    <row r="60528" spans="43:43" x14ac:dyDescent="0.2">
      <c r="AQ60528" s="31"/>
    </row>
    <row r="60529" spans="43:43" x14ac:dyDescent="0.2">
      <c r="AQ60529" s="31"/>
    </row>
    <row r="60530" spans="43:43" x14ac:dyDescent="0.2">
      <c r="AQ60530" s="31"/>
    </row>
    <row r="60531" spans="43:43" x14ac:dyDescent="0.2">
      <c r="AQ60531" s="31"/>
    </row>
    <row r="60532" spans="43:43" x14ac:dyDescent="0.2">
      <c r="AQ60532" s="31"/>
    </row>
    <row r="60533" spans="43:43" x14ac:dyDescent="0.2">
      <c r="AQ60533" s="31"/>
    </row>
    <row r="60534" spans="43:43" x14ac:dyDescent="0.2">
      <c r="AQ60534" s="31"/>
    </row>
    <row r="60535" spans="43:43" x14ac:dyDescent="0.2">
      <c r="AQ60535" s="31"/>
    </row>
    <row r="60536" spans="43:43" x14ac:dyDescent="0.2">
      <c r="AQ60536" s="31"/>
    </row>
    <row r="60537" spans="43:43" x14ac:dyDescent="0.2">
      <c r="AQ60537" s="31"/>
    </row>
    <row r="60538" spans="43:43" x14ac:dyDescent="0.2">
      <c r="AQ60538" s="31"/>
    </row>
    <row r="60539" spans="43:43" x14ac:dyDescent="0.2">
      <c r="AQ60539" s="31"/>
    </row>
    <row r="60540" spans="43:43" x14ac:dyDescent="0.2">
      <c r="AQ60540" s="31"/>
    </row>
    <row r="60541" spans="43:43" x14ac:dyDescent="0.2">
      <c r="AQ60541" s="31"/>
    </row>
    <row r="60542" spans="43:43" x14ac:dyDescent="0.2">
      <c r="AQ60542" s="31"/>
    </row>
    <row r="60543" spans="43:43" x14ac:dyDescent="0.2">
      <c r="AQ60543" s="31"/>
    </row>
    <row r="60544" spans="43:43" x14ac:dyDescent="0.2">
      <c r="AQ60544" s="31"/>
    </row>
    <row r="60545" spans="43:43" x14ac:dyDescent="0.2">
      <c r="AQ60545" s="31"/>
    </row>
    <row r="60546" spans="43:43" x14ac:dyDescent="0.2">
      <c r="AQ60546" s="31"/>
    </row>
    <row r="60547" spans="43:43" x14ac:dyDescent="0.2">
      <c r="AQ60547" s="31"/>
    </row>
    <row r="60548" spans="43:43" x14ac:dyDescent="0.2">
      <c r="AQ60548" s="31"/>
    </row>
    <row r="60549" spans="43:43" x14ac:dyDescent="0.2">
      <c r="AQ60549" s="31"/>
    </row>
    <row r="60550" spans="43:43" x14ac:dyDescent="0.2">
      <c r="AQ60550" s="31"/>
    </row>
    <row r="60551" spans="43:43" x14ac:dyDescent="0.2">
      <c r="AQ60551" s="31"/>
    </row>
    <row r="60552" spans="43:43" x14ac:dyDescent="0.2">
      <c r="AQ60552" s="31"/>
    </row>
    <row r="60553" spans="43:43" x14ac:dyDescent="0.2">
      <c r="AQ60553" s="31"/>
    </row>
    <row r="60554" spans="43:43" x14ac:dyDescent="0.2">
      <c r="AQ60554" s="31"/>
    </row>
    <row r="60555" spans="43:43" x14ac:dyDescent="0.2">
      <c r="AQ60555" s="31"/>
    </row>
    <row r="60556" spans="43:43" x14ac:dyDescent="0.2">
      <c r="AQ60556" s="31"/>
    </row>
    <row r="60557" spans="43:43" x14ac:dyDescent="0.2">
      <c r="AQ60557" s="31"/>
    </row>
    <row r="60558" spans="43:43" x14ac:dyDescent="0.2">
      <c r="AQ60558" s="31"/>
    </row>
    <row r="60559" spans="43:43" x14ac:dyDescent="0.2">
      <c r="AQ60559" s="31"/>
    </row>
    <row r="60560" spans="43:43" x14ac:dyDescent="0.2">
      <c r="AQ60560" s="31"/>
    </row>
    <row r="60561" spans="43:43" x14ac:dyDescent="0.2">
      <c r="AQ60561" s="31"/>
    </row>
    <row r="60562" spans="43:43" x14ac:dyDescent="0.2">
      <c r="AQ60562" s="31"/>
    </row>
    <row r="60563" spans="43:43" x14ac:dyDescent="0.2">
      <c r="AQ60563" s="31"/>
    </row>
    <row r="60564" spans="43:43" x14ac:dyDescent="0.2">
      <c r="AQ60564" s="31"/>
    </row>
    <row r="60565" spans="43:43" x14ac:dyDescent="0.2">
      <c r="AQ60565" s="31"/>
    </row>
    <row r="60566" spans="43:43" x14ac:dyDescent="0.2">
      <c r="AQ60566" s="31"/>
    </row>
    <row r="60567" spans="43:43" x14ac:dyDescent="0.2">
      <c r="AQ60567" s="31"/>
    </row>
    <row r="60568" spans="43:43" x14ac:dyDescent="0.2">
      <c r="AQ60568" s="31"/>
    </row>
    <row r="60569" spans="43:43" x14ac:dyDescent="0.2">
      <c r="AQ60569" s="31"/>
    </row>
    <row r="60570" spans="43:43" x14ac:dyDescent="0.2">
      <c r="AQ60570" s="31"/>
    </row>
    <row r="60571" spans="43:43" x14ac:dyDescent="0.2">
      <c r="AQ60571" s="31"/>
    </row>
    <row r="60572" spans="43:43" x14ac:dyDescent="0.2">
      <c r="AQ60572" s="31"/>
    </row>
    <row r="60573" spans="43:43" x14ac:dyDescent="0.2">
      <c r="AQ60573" s="31"/>
    </row>
    <row r="60574" spans="43:43" x14ac:dyDescent="0.2">
      <c r="AQ60574" s="31"/>
    </row>
    <row r="60575" spans="43:43" x14ac:dyDescent="0.2">
      <c r="AQ60575" s="31"/>
    </row>
    <row r="60576" spans="43:43" x14ac:dyDescent="0.2">
      <c r="AQ60576" s="31"/>
    </row>
    <row r="60577" spans="43:43" x14ac:dyDescent="0.2">
      <c r="AQ60577" s="31"/>
    </row>
    <row r="60578" spans="43:43" x14ac:dyDescent="0.2">
      <c r="AQ60578" s="31"/>
    </row>
    <row r="60579" spans="43:43" x14ac:dyDescent="0.2">
      <c r="AQ60579" s="31"/>
    </row>
    <row r="60580" spans="43:43" x14ac:dyDescent="0.2">
      <c r="AQ60580" s="31"/>
    </row>
    <row r="60581" spans="43:43" x14ac:dyDescent="0.2">
      <c r="AQ60581" s="31"/>
    </row>
    <row r="60582" spans="43:43" x14ac:dyDescent="0.2">
      <c r="AQ60582" s="31"/>
    </row>
    <row r="60583" spans="43:43" x14ac:dyDescent="0.2">
      <c r="AQ60583" s="31"/>
    </row>
    <row r="60584" spans="43:43" x14ac:dyDescent="0.2">
      <c r="AQ60584" s="31"/>
    </row>
    <row r="60585" spans="43:43" x14ac:dyDescent="0.2">
      <c r="AQ60585" s="31"/>
    </row>
    <row r="60586" spans="43:43" x14ac:dyDescent="0.2">
      <c r="AQ60586" s="31"/>
    </row>
    <row r="60587" spans="43:43" x14ac:dyDescent="0.2">
      <c r="AQ60587" s="31"/>
    </row>
    <row r="60588" spans="43:43" x14ac:dyDescent="0.2">
      <c r="AQ60588" s="31"/>
    </row>
    <row r="60589" spans="43:43" x14ac:dyDescent="0.2">
      <c r="AQ60589" s="31"/>
    </row>
    <row r="60590" spans="43:43" x14ac:dyDescent="0.2">
      <c r="AQ60590" s="31"/>
    </row>
    <row r="60591" spans="43:43" x14ac:dyDescent="0.2">
      <c r="AQ60591" s="31"/>
    </row>
    <row r="60592" spans="43:43" x14ac:dyDescent="0.2">
      <c r="AQ60592" s="31"/>
    </row>
    <row r="60593" spans="43:43" x14ac:dyDescent="0.2">
      <c r="AQ60593" s="31"/>
    </row>
    <row r="60594" spans="43:43" x14ac:dyDescent="0.2">
      <c r="AQ60594" s="31"/>
    </row>
    <row r="60595" spans="43:43" x14ac:dyDescent="0.2">
      <c r="AQ60595" s="31"/>
    </row>
    <row r="60596" spans="43:43" x14ac:dyDescent="0.2">
      <c r="AQ60596" s="31"/>
    </row>
    <row r="60597" spans="43:43" x14ac:dyDescent="0.2">
      <c r="AQ60597" s="31"/>
    </row>
    <row r="60598" spans="43:43" x14ac:dyDescent="0.2">
      <c r="AQ60598" s="31"/>
    </row>
    <row r="60599" spans="43:43" x14ac:dyDescent="0.2">
      <c r="AQ60599" s="31"/>
    </row>
    <row r="60600" spans="43:43" x14ac:dyDescent="0.2">
      <c r="AQ60600" s="31"/>
    </row>
    <row r="60601" spans="43:43" x14ac:dyDescent="0.2">
      <c r="AQ60601" s="31"/>
    </row>
    <row r="60602" spans="43:43" x14ac:dyDescent="0.2">
      <c r="AQ60602" s="31"/>
    </row>
    <row r="60603" spans="43:43" x14ac:dyDescent="0.2">
      <c r="AQ60603" s="31"/>
    </row>
    <row r="60604" spans="43:43" x14ac:dyDescent="0.2">
      <c r="AQ60604" s="31"/>
    </row>
    <row r="60605" spans="43:43" x14ac:dyDescent="0.2">
      <c r="AQ60605" s="31"/>
    </row>
    <row r="60606" spans="43:43" x14ac:dyDescent="0.2">
      <c r="AQ60606" s="31"/>
    </row>
    <row r="60607" spans="43:43" x14ac:dyDescent="0.2">
      <c r="AQ60607" s="31"/>
    </row>
    <row r="60608" spans="43:43" x14ac:dyDescent="0.2">
      <c r="AQ60608" s="31"/>
    </row>
    <row r="60609" spans="43:43" x14ac:dyDescent="0.2">
      <c r="AQ60609" s="31"/>
    </row>
    <row r="60610" spans="43:43" x14ac:dyDescent="0.2">
      <c r="AQ60610" s="31"/>
    </row>
    <row r="60611" spans="43:43" x14ac:dyDescent="0.2">
      <c r="AQ60611" s="31"/>
    </row>
    <row r="60612" spans="43:43" x14ac:dyDescent="0.2">
      <c r="AQ60612" s="31"/>
    </row>
    <row r="60613" spans="43:43" x14ac:dyDescent="0.2">
      <c r="AQ60613" s="31"/>
    </row>
    <row r="60614" spans="43:43" x14ac:dyDescent="0.2">
      <c r="AQ60614" s="31"/>
    </row>
    <row r="60615" spans="43:43" x14ac:dyDescent="0.2">
      <c r="AQ60615" s="31"/>
    </row>
    <row r="60616" spans="43:43" x14ac:dyDescent="0.2">
      <c r="AQ60616" s="31"/>
    </row>
    <row r="60617" spans="43:43" x14ac:dyDescent="0.2">
      <c r="AQ60617" s="31"/>
    </row>
    <row r="60618" spans="43:43" x14ac:dyDescent="0.2">
      <c r="AQ60618" s="31"/>
    </row>
    <row r="60619" spans="43:43" x14ac:dyDescent="0.2">
      <c r="AQ60619" s="31"/>
    </row>
    <row r="60620" spans="43:43" x14ac:dyDescent="0.2">
      <c r="AQ60620" s="31"/>
    </row>
    <row r="60621" spans="43:43" x14ac:dyDescent="0.2">
      <c r="AQ60621" s="31"/>
    </row>
    <row r="60622" spans="43:43" x14ac:dyDescent="0.2">
      <c r="AQ60622" s="31"/>
    </row>
    <row r="60623" spans="43:43" x14ac:dyDescent="0.2">
      <c r="AQ60623" s="31"/>
    </row>
    <row r="60624" spans="43:43" x14ac:dyDescent="0.2">
      <c r="AQ60624" s="31"/>
    </row>
    <row r="60625" spans="43:43" x14ac:dyDescent="0.2">
      <c r="AQ60625" s="31"/>
    </row>
    <row r="60626" spans="43:43" x14ac:dyDescent="0.2">
      <c r="AQ60626" s="31"/>
    </row>
    <row r="60627" spans="43:43" x14ac:dyDescent="0.2">
      <c r="AQ60627" s="31"/>
    </row>
    <row r="60628" spans="43:43" x14ac:dyDescent="0.2">
      <c r="AQ60628" s="31"/>
    </row>
    <row r="60629" spans="43:43" x14ac:dyDescent="0.2">
      <c r="AQ60629" s="31"/>
    </row>
    <row r="60630" spans="43:43" x14ac:dyDescent="0.2">
      <c r="AQ60630" s="31"/>
    </row>
    <row r="60631" spans="43:43" x14ac:dyDescent="0.2">
      <c r="AQ60631" s="31"/>
    </row>
    <row r="60632" spans="43:43" x14ac:dyDescent="0.2">
      <c r="AQ60632" s="31"/>
    </row>
    <row r="60633" spans="43:43" x14ac:dyDescent="0.2">
      <c r="AQ60633" s="31"/>
    </row>
    <row r="60634" spans="43:43" x14ac:dyDescent="0.2">
      <c r="AQ60634" s="31"/>
    </row>
    <row r="60635" spans="43:43" x14ac:dyDescent="0.2">
      <c r="AQ60635" s="31"/>
    </row>
    <row r="60636" spans="43:43" x14ac:dyDescent="0.2">
      <c r="AQ60636" s="31"/>
    </row>
    <row r="60637" spans="43:43" x14ac:dyDescent="0.2">
      <c r="AQ60637" s="31"/>
    </row>
    <row r="60638" spans="43:43" x14ac:dyDescent="0.2">
      <c r="AQ60638" s="31"/>
    </row>
    <row r="60639" spans="43:43" x14ac:dyDescent="0.2">
      <c r="AQ60639" s="31"/>
    </row>
    <row r="60640" spans="43:43" x14ac:dyDescent="0.2">
      <c r="AQ60640" s="31"/>
    </row>
    <row r="60641" spans="43:43" x14ac:dyDescent="0.2">
      <c r="AQ60641" s="31"/>
    </row>
    <row r="60642" spans="43:43" x14ac:dyDescent="0.2">
      <c r="AQ60642" s="31"/>
    </row>
    <row r="60643" spans="43:43" x14ac:dyDescent="0.2">
      <c r="AQ60643" s="31"/>
    </row>
    <row r="60644" spans="43:43" x14ac:dyDescent="0.2">
      <c r="AQ60644" s="31"/>
    </row>
    <row r="60645" spans="43:43" x14ac:dyDescent="0.2">
      <c r="AQ60645" s="31"/>
    </row>
    <row r="60646" spans="43:43" x14ac:dyDescent="0.2">
      <c r="AQ60646" s="31"/>
    </row>
    <row r="60647" spans="43:43" x14ac:dyDescent="0.2">
      <c r="AQ60647" s="31"/>
    </row>
    <row r="60648" spans="43:43" x14ac:dyDescent="0.2">
      <c r="AQ60648" s="31"/>
    </row>
    <row r="60649" spans="43:43" x14ac:dyDescent="0.2">
      <c r="AQ60649" s="31"/>
    </row>
    <row r="60650" spans="43:43" x14ac:dyDescent="0.2">
      <c r="AQ60650" s="31"/>
    </row>
    <row r="60651" spans="43:43" x14ac:dyDescent="0.2">
      <c r="AQ60651" s="31"/>
    </row>
    <row r="60652" spans="43:43" x14ac:dyDescent="0.2">
      <c r="AQ60652" s="31"/>
    </row>
    <row r="60653" spans="43:43" x14ac:dyDescent="0.2">
      <c r="AQ60653" s="31"/>
    </row>
    <row r="60654" spans="43:43" x14ac:dyDescent="0.2">
      <c r="AQ60654" s="31"/>
    </row>
    <row r="60655" spans="43:43" x14ac:dyDescent="0.2">
      <c r="AQ60655" s="31"/>
    </row>
    <row r="60656" spans="43:43" x14ac:dyDescent="0.2">
      <c r="AQ60656" s="31"/>
    </row>
    <row r="60657" spans="43:43" x14ac:dyDescent="0.2">
      <c r="AQ60657" s="31"/>
    </row>
    <row r="60658" spans="43:43" x14ac:dyDescent="0.2">
      <c r="AQ60658" s="31"/>
    </row>
    <row r="60659" spans="43:43" x14ac:dyDescent="0.2">
      <c r="AQ60659" s="31"/>
    </row>
    <row r="60660" spans="43:43" x14ac:dyDescent="0.2">
      <c r="AQ60660" s="31"/>
    </row>
    <row r="60661" spans="43:43" x14ac:dyDescent="0.2">
      <c r="AQ60661" s="31"/>
    </row>
    <row r="60662" spans="43:43" x14ac:dyDescent="0.2">
      <c r="AQ60662" s="31"/>
    </row>
    <row r="60663" spans="43:43" x14ac:dyDescent="0.2">
      <c r="AQ60663" s="31"/>
    </row>
    <row r="60664" spans="43:43" x14ac:dyDescent="0.2">
      <c r="AQ60664" s="31"/>
    </row>
    <row r="60665" spans="43:43" x14ac:dyDescent="0.2">
      <c r="AQ60665" s="31"/>
    </row>
    <row r="60666" spans="43:43" x14ac:dyDescent="0.2">
      <c r="AQ60666" s="31"/>
    </row>
    <row r="60667" spans="43:43" x14ac:dyDescent="0.2">
      <c r="AQ60667" s="31"/>
    </row>
    <row r="60668" spans="43:43" x14ac:dyDescent="0.2">
      <c r="AQ60668" s="31"/>
    </row>
    <row r="60669" spans="43:43" x14ac:dyDescent="0.2">
      <c r="AQ60669" s="31"/>
    </row>
    <row r="60670" spans="43:43" x14ac:dyDescent="0.2">
      <c r="AQ60670" s="31"/>
    </row>
    <row r="60671" spans="43:43" x14ac:dyDescent="0.2">
      <c r="AQ60671" s="31"/>
    </row>
    <row r="60672" spans="43:43" x14ac:dyDescent="0.2">
      <c r="AQ60672" s="31"/>
    </row>
    <row r="60673" spans="43:43" x14ac:dyDescent="0.2">
      <c r="AQ60673" s="31"/>
    </row>
    <row r="60674" spans="43:43" x14ac:dyDescent="0.2">
      <c r="AQ60674" s="31"/>
    </row>
    <row r="60675" spans="43:43" x14ac:dyDescent="0.2">
      <c r="AQ60675" s="31"/>
    </row>
    <row r="60676" spans="43:43" x14ac:dyDescent="0.2">
      <c r="AQ60676" s="31"/>
    </row>
    <row r="60677" spans="43:43" x14ac:dyDescent="0.2">
      <c r="AQ60677" s="31"/>
    </row>
    <row r="60678" spans="43:43" x14ac:dyDescent="0.2">
      <c r="AQ60678" s="31"/>
    </row>
    <row r="60679" spans="43:43" x14ac:dyDescent="0.2">
      <c r="AQ60679" s="31"/>
    </row>
    <row r="60680" spans="43:43" x14ac:dyDescent="0.2">
      <c r="AQ60680" s="31"/>
    </row>
    <row r="60681" spans="43:43" x14ac:dyDescent="0.2">
      <c r="AQ60681" s="31"/>
    </row>
    <row r="60682" spans="43:43" x14ac:dyDescent="0.2">
      <c r="AQ60682" s="31"/>
    </row>
    <row r="60683" spans="43:43" x14ac:dyDescent="0.2">
      <c r="AQ60683" s="31"/>
    </row>
    <row r="60684" spans="43:43" x14ac:dyDescent="0.2">
      <c r="AQ60684" s="31"/>
    </row>
    <row r="60685" spans="43:43" x14ac:dyDescent="0.2">
      <c r="AQ60685" s="31"/>
    </row>
    <row r="60686" spans="43:43" x14ac:dyDescent="0.2">
      <c r="AQ60686" s="31"/>
    </row>
    <row r="60687" spans="43:43" x14ac:dyDescent="0.2">
      <c r="AQ60687" s="31"/>
    </row>
    <row r="60688" spans="43:43" x14ac:dyDescent="0.2">
      <c r="AQ60688" s="31"/>
    </row>
    <row r="60689" spans="43:43" x14ac:dyDescent="0.2">
      <c r="AQ60689" s="31"/>
    </row>
    <row r="60690" spans="43:43" x14ac:dyDescent="0.2">
      <c r="AQ60690" s="31"/>
    </row>
    <row r="60691" spans="43:43" x14ac:dyDescent="0.2">
      <c r="AQ60691" s="31"/>
    </row>
    <row r="60692" spans="43:43" x14ac:dyDescent="0.2">
      <c r="AQ60692" s="31"/>
    </row>
    <row r="60693" spans="43:43" x14ac:dyDescent="0.2">
      <c r="AQ60693" s="31"/>
    </row>
    <row r="60694" spans="43:43" x14ac:dyDescent="0.2">
      <c r="AQ60694" s="31"/>
    </row>
    <row r="60695" spans="43:43" x14ac:dyDescent="0.2">
      <c r="AQ60695" s="31"/>
    </row>
    <row r="60696" spans="43:43" x14ac:dyDescent="0.2">
      <c r="AQ60696" s="31"/>
    </row>
    <row r="60697" spans="43:43" x14ac:dyDescent="0.2">
      <c r="AQ60697" s="31"/>
    </row>
    <row r="60698" spans="43:43" x14ac:dyDescent="0.2">
      <c r="AQ60698" s="31"/>
    </row>
    <row r="60699" spans="43:43" x14ac:dyDescent="0.2">
      <c r="AQ60699" s="31"/>
    </row>
    <row r="60700" spans="43:43" x14ac:dyDescent="0.2">
      <c r="AQ60700" s="31"/>
    </row>
    <row r="60701" spans="43:43" x14ac:dyDescent="0.2">
      <c r="AQ60701" s="31"/>
    </row>
    <row r="60702" spans="43:43" x14ac:dyDescent="0.2">
      <c r="AQ60702" s="31"/>
    </row>
    <row r="60703" spans="43:43" x14ac:dyDescent="0.2">
      <c r="AQ60703" s="31"/>
    </row>
    <row r="60704" spans="43:43" x14ac:dyDescent="0.2">
      <c r="AQ60704" s="31"/>
    </row>
    <row r="60705" spans="43:43" x14ac:dyDescent="0.2">
      <c r="AQ60705" s="31"/>
    </row>
    <row r="60706" spans="43:43" x14ac:dyDescent="0.2">
      <c r="AQ60706" s="31"/>
    </row>
    <row r="60707" spans="43:43" x14ac:dyDescent="0.2">
      <c r="AQ60707" s="31"/>
    </row>
    <row r="60708" spans="43:43" x14ac:dyDescent="0.2">
      <c r="AQ60708" s="31"/>
    </row>
    <row r="60709" spans="43:43" x14ac:dyDescent="0.2">
      <c r="AQ60709" s="31"/>
    </row>
    <row r="60710" spans="43:43" x14ac:dyDescent="0.2">
      <c r="AQ60710" s="31"/>
    </row>
    <row r="60711" spans="43:43" x14ac:dyDescent="0.2">
      <c r="AQ60711" s="31"/>
    </row>
    <row r="60712" spans="43:43" x14ac:dyDescent="0.2">
      <c r="AQ60712" s="31"/>
    </row>
    <row r="60713" spans="43:43" x14ac:dyDescent="0.2">
      <c r="AQ60713" s="31"/>
    </row>
    <row r="60714" spans="43:43" x14ac:dyDescent="0.2">
      <c r="AQ60714" s="31"/>
    </row>
    <row r="60715" spans="43:43" x14ac:dyDescent="0.2">
      <c r="AQ60715" s="31"/>
    </row>
    <row r="60716" spans="43:43" x14ac:dyDescent="0.2">
      <c r="AQ60716" s="31"/>
    </row>
    <row r="60717" spans="43:43" x14ac:dyDescent="0.2">
      <c r="AQ60717" s="31"/>
    </row>
    <row r="60718" spans="43:43" x14ac:dyDescent="0.2">
      <c r="AQ60718" s="31"/>
    </row>
    <row r="60719" spans="43:43" x14ac:dyDescent="0.2">
      <c r="AQ60719" s="31"/>
    </row>
    <row r="60720" spans="43:43" x14ac:dyDescent="0.2">
      <c r="AQ60720" s="31"/>
    </row>
    <row r="60721" spans="43:43" x14ac:dyDescent="0.2">
      <c r="AQ60721" s="31"/>
    </row>
    <row r="60722" spans="43:43" x14ac:dyDescent="0.2">
      <c r="AQ60722" s="31"/>
    </row>
    <row r="60723" spans="43:43" x14ac:dyDescent="0.2">
      <c r="AQ60723" s="31"/>
    </row>
    <row r="60724" spans="43:43" x14ac:dyDescent="0.2">
      <c r="AQ60724" s="31"/>
    </row>
    <row r="60725" spans="43:43" x14ac:dyDescent="0.2">
      <c r="AQ60725" s="31"/>
    </row>
    <row r="60726" spans="43:43" x14ac:dyDescent="0.2">
      <c r="AQ60726" s="31"/>
    </row>
    <row r="60727" spans="43:43" x14ac:dyDescent="0.2">
      <c r="AQ60727" s="31"/>
    </row>
    <row r="60728" spans="43:43" x14ac:dyDescent="0.2">
      <c r="AQ60728" s="31"/>
    </row>
    <row r="60729" spans="43:43" x14ac:dyDescent="0.2">
      <c r="AQ60729" s="31"/>
    </row>
    <row r="60730" spans="43:43" x14ac:dyDescent="0.2">
      <c r="AQ60730" s="31"/>
    </row>
    <row r="60731" spans="43:43" x14ac:dyDescent="0.2">
      <c r="AQ60731" s="31"/>
    </row>
    <row r="60732" spans="43:43" x14ac:dyDescent="0.2">
      <c r="AQ60732" s="31"/>
    </row>
    <row r="60733" spans="43:43" x14ac:dyDescent="0.2">
      <c r="AQ60733" s="31"/>
    </row>
    <row r="60734" spans="43:43" x14ac:dyDescent="0.2">
      <c r="AQ60734" s="31"/>
    </row>
    <row r="60735" spans="43:43" x14ac:dyDescent="0.2">
      <c r="AQ60735" s="31"/>
    </row>
    <row r="60736" spans="43:43" x14ac:dyDescent="0.2">
      <c r="AQ60736" s="31"/>
    </row>
    <row r="60737" spans="43:43" x14ac:dyDescent="0.2">
      <c r="AQ60737" s="31"/>
    </row>
    <row r="60738" spans="43:43" x14ac:dyDescent="0.2">
      <c r="AQ60738" s="31"/>
    </row>
    <row r="60739" spans="43:43" x14ac:dyDescent="0.2">
      <c r="AQ60739" s="31"/>
    </row>
    <row r="60740" spans="43:43" x14ac:dyDescent="0.2">
      <c r="AQ60740" s="31"/>
    </row>
    <row r="60741" spans="43:43" x14ac:dyDescent="0.2">
      <c r="AQ60741" s="31"/>
    </row>
    <row r="60742" spans="43:43" x14ac:dyDescent="0.2">
      <c r="AQ60742" s="31"/>
    </row>
    <row r="60743" spans="43:43" x14ac:dyDescent="0.2">
      <c r="AQ60743" s="31"/>
    </row>
    <row r="60744" spans="43:43" x14ac:dyDescent="0.2">
      <c r="AQ60744" s="31"/>
    </row>
    <row r="60745" spans="43:43" x14ac:dyDescent="0.2">
      <c r="AQ60745" s="31"/>
    </row>
    <row r="60746" spans="43:43" x14ac:dyDescent="0.2">
      <c r="AQ60746" s="31"/>
    </row>
    <row r="60747" spans="43:43" x14ac:dyDescent="0.2">
      <c r="AQ60747" s="31"/>
    </row>
    <row r="60748" spans="43:43" x14ac:dyDescent="0.2">
      <c r="AQ60748" s="31"/>
    </row>
    <row r="60749" spans="43:43" x14ac:dyDescent="0.2">
      <c r="AQ60749" s="31"/>
    </row>
    <row r="60750" spans="43:43" x14ac:dyDescent="0.2">
      <c r="AQ60750" s="31"/>
    </row>
    <row r="60751" spans="43:43" x14ac:dyDescent="0.2">
      <c r="AQ60751" s="31"/>
    </row>
    <row r="60752" spans="43:43" x14ac:dyDescent="0.2">
      <c r="AQ60752" s="31"/>
    </row>
    <row r="60753" spans="43:43" x14ac:dyDescent="0.2">
      <c r="AQ60753" s="31"/>
    </row>
    <row r="60754" spans="43:43" x14ac:dyDescent="0.2">
      <c r="AQ60754" s="31"/>
    </row>
    <row r="60755" spans="43:43" x14ac:dyDescent="0.2">
      <c r="AQ60755" s="31"/>
    </row>
    <row r="60756" spans="43:43" x14ac:dyDescent="0.2">
      <c r="AQ60756" s="31"/>
    </row>
    <row r="60757" spans="43:43" x14ac:dyDescent="0.2">
      <c r="AQ60757" s="31"/>
    </row>
    <row r="60758" spans="43:43" x14ac:dyDescent="0.2">
      <c r="AQ60758" s="31"/>
    </row>
    <row r="60759" spans="43:43" x14ac:dyDescent="0.2">
      <c r="AQ60759" s="31"/>
    </row>
    <row r="60760" spans="43:43" x14ac:dyDescent="0.2">
      <c r="AQ60760" s="31"/>
    </row>
    <row r="60761" spans="43:43" x14ac:dyDescent="0.2">
      <c r="AQ60761" s="31"/>
    </row>
    <row r="60762" spans="43:43" x14ac:dyDescent="0.2">
      <c r="AQ60762" s="31"/>
    </row>
    <row r="60763" spans="43:43" x14ac:dyDescent="0.2">
      <c r="AQ60763" s="31"/>
    </row>
    <row r="60764" spans="43:43" x14ac:dyDescent="0.2">
      <c r="AQ60764" s="31"/>
    </row>
    <row r="60765" spans="43:43" x14ac:dyDescent="0.2">
      <c r="AQ60765" s="31"/>
    </row>
    <row r="60766" spans="43:43" x14ac:dyDescent="0.2">
      <c r="AQ60766" s="31"/>
    </row>
    <row r="60767" spans="43:43" x14ac:dyDescent="0.2">
      <c r="AQ60767" s="31"/>
    </row>
    <row r="60768" spans="43:43" x14ac:dyDescent="0.2">
      <c r="AQ60768" s="31"/>
    </row>
    <row r="60769" spans="43:43" x14ac:dyDescent="0.2">
      <c r="AQ60769" s="31"/>
    </row>
    <row r="60770" spans="43:43" x14ac:dyDescent="0.2">
      <c r="AQ60770" s="31"/>
    </row>
    <row r="60771" spans="43:43" x14ac:dyDescent="0.2">
      <c r="AQ60771" s="31"/>
    </row>
    <row r="60772" spans="43:43" x14ac:dyDescent="0.2">
      <c r="AQ60772" s="31"/>
    </row>
    <row r="60773" spans="43:43" x14ac:dyDescent="0.2">
      <c r="AQ60773" s="31"/>
    </row>
    <row r="60774" spans="43:43" x14ac:dyDescent="0.2">
      <c r="AQ60774" s="31"/>
    </row>
    <row r="60775" spans="43:43" x14ac:dyDescent="0.2">
      <c r="AQ60775" s="31"/>
    </row>
    <row r="60776" spans="43:43" x14ac:dyDescent="0.2">
      <c r="AQ60776" s="31"/>
    </row>
    <row r="60777" spans="43:43" x14ac:dyDescent="0.2">
      <c r="AQ60777" s="31"/>
    </row>
    <row r="60778" spans="43:43" x14ac:dyDescent="0.2">
      <c r="AQ60778" s="31"/>
    </row>
    <row r="60779" spans="43:43" x14ac:dyDescent="0.2">
      <c r="AQ60779" s="31"/>
    </row>
    <row r="60780" spans="43:43" x14ac:dyDescent="0.2">
      <c r="AQ60780" s="31"/>
    </row>
    <row r="60781" spans="43:43" x14ac:dyDescent="0.2">
      <c r="AQ60781" s="31"/>
    </row>
    <row r="60782" spans="43:43" x14ac:dyDescent="0.2">
      <c r="AQ60782" s="31"/>
    </row>
    <row r="60783" spans="43:43" x14ac:dyDescent="0.2">
      <c r="AQ60783" s="31"/>
    </row>
    <row r="60784" spans="43:43" x14ac:dyDescent="0.2">
      <c r="AQ60784" s="31"/>
    </row>
    <row r="60785" spans="43:43" x14ac:dyDescent="0.2">
      <c r="AQ60785" s="31"/>
    </row>
    <row r="60786" spans="43:43" x14ac:dyDescent="0.2">
      <c r="AQ60786" s="31"/>
    </row>
    <row r="60787" spans="43:43" x14ac:dyDescent="0.2">
      <c r="AQ60787" s="31"/>
    </row>
    <row r="60788" spans="43:43" x14ac:dyDescent="0.2">
      <c r="AQ60788" s="31"/>
    </row>
    <row r="60789" spans="43:43" x14ac:dyDescent="0.2">
      <c r="AQ60789" s="31"/>
    </row>
    <row r="60790" spans="43:43" x14ac:dyDescent="0.2">
      <c r="AQ60790" s="31"/>
    </row>
    <row r="60791" spans="43:43" x14ac:dyDescent="0.2">
      <c r="AQ60791" s="31"/>
    </row>
    <row r="60792" spans="43:43" x14ac:dyDescent="0.2">
      <c r="AQ60792" s="31"/>
    </row>
    <row r="60793" spans="43:43" x14ac:dyDescent="0.2">
      <c r="AQ60793" s="31"/>
    </row>
    <row r="60794" spans="43:43" x14ac:dyDescent="0.2">
      <c r="AQ60794" s="31"/>
    </row>
    <row r="60795" spans="43:43" x14ac:dyDescent="0.2">
      <c r="AQ60795" s="31"/>
    </row>
    <row r="60796" spans="43:43" x14ac:dyDescent="0.2">
      <c r="AQ60796" s="31"/>
    </row>
    <row r="60797" spans="43:43" x14ac:dyDescent="0.2">
      <c r="AQ60797" s="31"/>
    </row>
    <row r="60798" spans="43:43" x14ac:dyDescent="0.2">
      <c r="AQ60798" s="31"/>
    </row>
    <row r="60799" spans="43:43" x14ac:dyDescent="0.2">
      <c r="AQ60799" s="31"/>
    </row>
    <row r="60800" spans="43:43" x14ac:dyDescent="0.2">
      <c r="AQ60800" s="31"/>
    </row>
    <row r="60801" spans="43:43" x14ac:dyDescent="0.2">
      <c r="AQ60801" s="31"/>
    </row>
    <row r="60802" spans="43:43" x14ac:dyDescent="0.2">
      <c r="AQ60802" s="31"/>
    </row>
    <row r="60803" spans="43:43" x14ac:dyDescent="0.2">
      <c r="AQ60803" s="31"/>
    </row>
    <row r="60804" spans="43:43" x14ac:dyDescent="0.2">
      <c r="AQ60804" s="31"/>
    </row>
    <row r="60805" spans="43:43" x14ac:dyDescent="0.2">
      <c r="AQ60805" s="31"/>
    </row>
    <row r="60806" spans="43:43" x14ac:dyDescent="0.2">
      <c r="AQ60806" s="31"/>
    </row>
    <row r="60807" spans="43:43" x14ac:dyDescent="0.2">
      <c r="AQ60807" s="31"/>
    </row>
    <row r="60808" spans="43:43" x14ac:dyDescent="0.2">
      <c r="AQ60808" s="31"/>
    </row>
    <row r="60809" spans="43:43" x14ac:dyDescent="0.2">
      <c r="AQ60809" s="31"/>
    </row>
    <row r="60810" spans="43:43" x14ac:dyDescent="0.2">
      <c r="AQ60810" s="31"/>
    </row>
    <row r="60811" spans="43:43" x14ac:dyDescent="0.2">
      <c r="AQ60811" s="31"/>
    </row>
    <row r="60812" spans="43:43" x14ac:dyDescent="0.2">
      <c r="AQ60812" s="31"/>
    </row>
    <row r="60813" spans="43:43" x14ac:dyDescent="0.2">
      <c r="AQ60813" s="31"/>
    </row>
    <row r="60814" spans="43:43" x14ac:dyDescent="0.2">
      <c r="AQ60814" s="31"/>
    </row>
    <row r="60815" spans="43:43" x14ac:dyDescent="0.2">
      <c r="AQ60815" s="31"/>
    </row>
    <row r="60816" spans="43:43" x14ac:dyDescent="0.2">
      <c r="AQ60816" s="31"/>
    </row>
    <row r="60817" spans="43:43" x14ac:dyDescent="0.2">
      <c r="AQ60817" s="31"/>
    </row>
    <row r="60818" spans="43:43" x14ac:dyDescent="0.2">
      <c r="AQ60818" s="31"/>
    </row>
    <row r="60819" spans="43:43" x14ac:dyDescent="0.2">
      <c r="AQ60819" s="31"/>
    </row>
    <row r="60820" spans="43:43" x14ac:dyDescent="0.2">
      <c r="AQ60820" s="31"/>
    </row>
    <row r="60821" spans="43:43" x14ac:dyDescent="0.2">
      <c r="AQ60821" s="31"/>
    </row>
    <row r="60822" spans="43:43" x14ac:dyDescent="0.2">
      <c r="AQ60822" s="31"/>
    </row>
    <row r="60823" spans="43:43" x14ac:dyDescent="0.2">
      <c r="AQ60823" s="31"/>
    </row>
    <row r="60824" spans="43:43" x14ac:dyDescent="0.2">
      <c r="AQ60824" s="31"/>
    </row>
    <row r="60825" spans="43:43" x14ac:dyDescent="0.2">
      <c r="AQ60825" s="31"/>
    </row>
    <row r="60826" spans="43:43" x14ac:dyDescent="0.2">
      <c r="AQ60826" s="31"/>
    </row>
    <row r="60827" spans="43:43" x14ac:dyDescent="0.2">
      <c r="AQ60827" s="31"/>
    </row>
    <row r="60828" spans="43:43" x14ac:dyDescent="0.2">
      <c r="AQ60828" s="31"/>
    </row>
    <row r="60829" spans="43:43" x14ac:dyDescent="0.2">
      <c r="AQ60829" s="31"/>
    </row>
    <row r="60830" spans="43:43" x14ac:dyDescent="0.2">
      <c r="AQ60830" s="31"/>
    </row>
    <row r="60831" spans="43:43" x14ac:dyDescent="0.2">
      <c r="AQ60831" s="31"/>
    </row>
    <row r="60832" spans="43:43" x14ac:dyDescent="0.2">
      <c r="AQ60832" s="31"/>
    </row>
    <row r="60833" spans="43:43" x14ac:dyDescent="0.2">
      <c r="AQ60833" s="31"/>
    </row>
    <row r="60834" spans="43:43" x14ac:dyDescent="0.2">
      <c r="AQ60834" s="31"/>
    </row>
    <row r="60835" spans="43:43" x14ac:dyDescent="0.2">
      <c r="AQ60835" s="31"/>
    </row>
    <row r="60836" spans="43:43" x14ac:dyDescent="0.2">
      <c r="AQ60836" s="31"/>
    </row>
    <row r="60837" spans="43:43" x14ac:dyDescent="0.2">
      <c r="AQ60837" s="31"/>
    </row>
    <row r="60838" spans="43:43" x14ac:dyDescent="0.2">
      <c r="AQ60838" s="31"/>
    </row>
    <row r="60839" spans="43:43" x14ac:dyDescent="0.2">
      <c r="AQ60839" s="31"/>
    </row>
    <row r="60840" spans="43:43" x14ac:dyDescent="0.2">
      <c r="AQ60840" s="31"/>
    </row>
    <row r="60841" spans="43:43" x14ac:dyDescent="0.2">
      <c r="AQ60841" s="31"/>
    </row>
    <row r="60842" spans="43:43" x14ac:dyDescent="0.2">
      <c r="AQ60842" s="31"/>
    </row>
    <row r="60843" spans="43:43" x14ac:dyDescent="0.2">
      <c r="AQ60843" s="31"/>
    </row>
    <row r="60844" spans="43:43" x14ac:dyDescent="0.2">
      <c r="AQ60844" s="31"/>
    </row>
    <row r="60845" spans="43:43" x14ac:dyDescent="0.2">
      <c r="AQ60845" s="31"/>
    </row>
    <row r="60846" spans="43:43" x14ac:dyDescent="0.2">
      <c r="AQ60846" s="31"/>
    </row>
    <row r="60847" spans="43:43" x14ac:dyDescent="0.2">
      <c r="AQ60847" s="31"/>
    </row>
    <row r="60848" spans="43:43" x14ac:dyDescent="0.2">
      <c r="AQ60848" s="31"/>
    </row>
    <row r="60849" spans="43:43" x14ac:dyDescent="0.2">
      <c r="AQ60849" s="31"/>
    </row>
    <row r="60850" spans="43:43" x14ac:dyDescent="0.2">
      <c r="AQ60850" s="31"/>
    </row>
    <row r="60851" spans="43:43" x14ac:dyDescent="0.2">
      <c r="AQ60851" s="31"/>
    </row>
    <row r="60852" spans="43:43" x14ac:dyDescent="0.2">
      <c r="AQ60852" s="31"/>
    </row>
    <row r="60853" spans="43:43" x14ac:dyDescent="0.2">
      <c r="AQ60853" s="31"/>
    </row>
    <row r="60854" spans="43:43" x14ac:dyDescent="0.2">
      <c r="AQ60854" s="31"/>
    </row>
    <row r="60855" spans="43:43" x14ac:dyDescent="0.2">
      <c r="AQ60855" s="31"/>
    </row>
    <row r="60856" spans="43:43" x14ac:dyDescent="0.2">
      <c r="AQ60856" s="31"/>
    </row>
    <row r="60857" spans="43:43" x14ac:dyDescent="0.2">
      <c r="AQ60857" s="31"/>
    </row>
    <row r="60858" spans="43:43" x14ac:dyDescent="0.2">
      <c r="AQ60858" s="31"/>
    </row>
    <row r="60859" spans="43:43" x14ac:dyDescent="0.2">
      <c r="AQ60859" s="31"/>
    </row>
    <row r="60860" spans="43:43" x14ac:dyDescent="0.2">
      <c r="AQ60860" s="31"/>
    </row>
    <row r="60861" spans="43:43" x14ac:dyDescent="0.2">
      <c r="AQ60861" s="31"/>
    </row>
    <row r="60862" spans="43:43" x14ac:dyDescent="0.2">
      <c r="AQ60862" s="31"/>
    </row>
    <row r="60863" spans="43:43" x14ac:dyDescent="0.2">
      <c r="AQ60863" s="31"/>
    </row>
    <row r="60864" spans="43:43" x14ac:dyDescent="0.2">
      <c r="AQ60864" s="31"/>
    </row>
    <row r="60865" spans="43:43" x14ac:dyDescent="0.2">
      <c r="AQ60865" s="31"/>
    </row>
    <row r="60866" spans="43:43" x14ac:dyDescent="0.2">
      <c r="AQ60866" s="31"/>
    </row>
    <row r="60867" spans="43:43" x14ac:dyDescent="0.2">
      <c r="AQ60867" s="31"/>
    </row>
    <row r="60868" spans="43:43" x14ac:dyDescent="0.2">
      <c r="AQ60868" s="31"/>
    </row>
    <row r="60869" spans="43:43" x14ac:dyDescent="0.2">
      <c r="AQ60869" s="31"/>
    </row>
    <row r="60870" spans="43:43" x14ac:dyDescent="0.2">
      <c r="AQ60870" s="31"/>
    </row>
    <row r="60871" spans="43:43" x14ac:dyDescent="0.2">
      <c r="AQ60871" s="31"/>
    </row>
    <row r="60872" spans="43:43" x14ac:dyDescent="0.2">
      <c r="AQ60872" s="31"/>
    </row>
    <row r="60873" spans="43:43" x14ac:dyDescent="0.2">
      <c r="AQ60873" s="31"/>
    </row>
    <row r="60874" spans="43:43" x14ac:dyDescent="0.2">
      <c r="AQ60874" s="31"/>
    </row>
    <row r="60875" spans="43:43" x14ac:dyDescent="0.2">
      <c r="AQ60875" s="31"/>
    </row>
    <row r="60876" spans="43:43" x14ac:dyDescent="0.2">
      <c r="AQ60876" s="31"/>
    </row>
    <row r="60877" spans="43:43" x14ac:dyDescent="0.2">
      <c r="AQ60877" s="31"/>
    </row>
    <row r="60878" spans="43:43" x14ac:dyDescent="0.2">
      <c r="AQ60878" s="31"/>
    </row>
    <row r="60879" spans="43:43" x14ac:dyDescent="0.2">
      <c r="AQ60879" s="31"/>
    </row>
    <row r="60880" spans="43:43" x14ac:dyDescent="0.2">
      <c r="AQ60880" s="31"/>
    </row>
    <row r="60881" spans="43:43" x14ac:dyDescent="0.2">
      <c r="AQ60881" s="31"/>
    </row>
    <row r="60882" spans="43:43" x14ac:dyDescent="0.2">
      <c r="AQ60882" s="31"/>
    </row>
    <row r="60883" spans="43:43" x14ac:dyDescent="0.2">
      <c r="AQ60883" s="31"/>
    </row>
    <row r="60884" spans="43:43" x14ac:dyDescent="0.2">
      <c r="AQ60884" s="31"/>
    </row>
    <row r="60885" spans="43:43" x14ac:dyDescent="0.2">
      <c r="AQ60885" s="31"/>
    </row>
    <row r="60886" spans="43:43" x14ac:dyDescent="0.2">
      <c r="AQ60886" s="31"/>
    </row>
    <row r="60887" spans="43:43" x14ac:dyDescent="0.2">
      <c r="AQ60887" s="31"/>
    </row>
    <row r="60888" spans="43:43" x14ac:dyDescent="0.2">
      <c r="AQ60888" s="31"/>
    </row>
    <row r="60889" spans="43:43" x14ac:dyDescent="0.2">
      <c r="AQ60889" s="31"/>
    </row>
    <row r="60890" spans="43:43" x14ac:dyDescent="0.2">
      <c r="AQ60890" s="31"/>
    </row>
    <row r="60891" spans="43:43" x14ac:dyDescent="0.2">
      <c r="AQ60891" s="31"/>
    </row>
    <row r="60892" spans="43:43" x14ac:dyDescent="0.2">
      <c r="AQ60892" s="31"/>
    </row>
    <row r="60893" spans="43:43" x14ac:dyDescent="0.2">
      <c r="AQ60893" s="31"/>
    </row>
    <row r="60894" spans="43:43" x14ac:dyDescent="0.2">
      <c r="AQ60894" s="31"/>
    </row>
    <row r="60895" spans="43:43" x14ac:dyDescent="0.2">
      <c r="AQ60895" s="31"/>
    </row>
    <row r="60896" spans="43:43" x14ac:dyDescent="0.2">
      <c r="AQ60896" s="31"/>
    </row>
    <row r="60897" spans="43:43" x14ac:dyDescent="0.2">
      <c r="AQ60897" s="31"/>
    </row>
    <row r="60898" spans="43:43" x14ac:dyDescent="0.2">
      <c r="AQ60898" s="31"/>
    </row>
    <row r="60899" spans="43:43" x14ac:dyDescent="0.2">
      <c r="AQ60899" s="31"/>
    </row>
    <row r="60900" spans="43:43" x14ac:dyDescent="0.2">
      <c r="AQ60900" s="31"/>
    </row>
    <row r="60901" spans="43:43" x14ac:dyDescent="0.2">
      <c r="AQ60901" s="31"/>
    </row>
    <row r="60902" spans="43:43" x14ac:dyDescent="0.2">
      <c r="AQ60902" s="31"/>
    </row>
    <row r="60903" spans="43:43" x14ac:dyDescent="0.2">
      <c r="AQ60903" s="31"/>
    </row>
    <row r="60904" spans="43:43" x14ac:dyDescent="0.2">
      <c r="AQ60904" s="31"/>
    </row>
    <row r="60905" spans="43:43" x14ac:dyDescent="0.2">
      <c r="AQ60905" s="31"/>
    </row>
    <row r="60906" spans="43:43" x14ac:dyDescent="0.2">
      <c r="AQ60906" s="31"/>
    </row>
    <row r="60907" spans="43:43" x14ac:dyDescent="0.2">
      <c r="AQ60907" s="31"/>
    </row>
    <row r="60908" spans="43:43" x14ac:dyDescent="0.2">
      <c r="AQ60908" s="31"/>
    </row>
    <row r="60909" spans="43:43" x14ac:dyDescent="0.2">
      <c r="AQ60909" s="31"/>
    </row>
    <row r="60910" spans="43:43" x14ac:dyDescent="0.2">
      <c r="AQ60910" s="31"/>
    </row>
    <row r="60911" spans="43:43" x14ac:dyDescent="0.2">
      <c r="AQ60911" s="31"/>
    </row>
    <row r="60912" spans="43:43" x14ac:dyDescent="0.2">
      <c r="AQ60912" s="31"/>
    </row>
    <row r="60913" spans="43:43" x14ac:dyDescent="0.2">
      <c r="AQ60913" s="31"/>
    </row>
    <row r="60914" spans="43:43" x14ac:dyDescent="0.2">
      <c r="AQ60914" s="31"/>
    </row>
    <row r="60915" spans="43:43" x14ac:dyDescent="0.2">
      <c r="AQ60915" s="31"/>
    </row>
    <row r="60916" spans="43:43" x14ac:dyDescent="0.2">
      <c r="AQ60916" s="31"/>
    </row>
    <row r="60917" spans="43:43" x14ac:dyDescent="0.2">
      <c r="AQ60917" s="31"/>
    </row>
    <row r="60918" spans="43:43" x14ac:dyDescent="0.2">
      <c r="AQ60918" s="31"/>
    </row>
    <row r="60919" spans="43:43" x14ac:dyDescent="0.2">
      <c r="AQ60919" s="31"/>
    </row>
    <row r="60920" spans="43:43" x14ac:dyDescent="0.2">
      <c r="AQ60920" s="31"/>
    </row>
    <row r="60921" spans="43:43" x14ac:dyDescent="0.2">
      <c r="AQ60921" s="31"/>
    </row>
    <row r="60922" spans="43:43" x14ac:dyDescent="0.2">
      <c r="AQ60922" s="31"/>
    </row>
    <row r="60923" spans="43:43" x14ac:dyDescent="0.2">
      <c r="AQ60923" s="31"/>
    </row>
    <row r="60924" spans="43:43" x14ac:dyDescent="0.2">
      <c r="AQ60924" s="31"/>
    </row>
    <row r="60925" spans="43:43" x14ac:dyDescent="0.2">
      <c r="AQ60925" s="31"/>
    </row>
    <row r="60926" spans="43:43" x14ac:dyDescent="0.2">
      <c r="AQ60926" s="31"/>
    </row>
    <row r="60927" spans="43:43" x14ac:dyDescent="0.2">
      <c r="AQ60927" s="31"/>
    </row>
    <row r="60928" spans="43:43" x14ac:dyDescent="0.2">
      <c r="AQ60928" s="31"/>
    </row>
    <row r="60929" spans="43:43" x14ac:dyDescent="0.2">
      <c r="AQ60929" s="31"/>
    </row>
    <row r="60930" spans="43:43" x14ac:dyDescent="0.2">
      <c r="AQ60930" s="31"/>
    </row>
    <row r="60931" spans="43:43" x14ac:dyDescent="0.2">
      <c r="AQ60931" s="31"/>
    </row>
    <row r="60932" spans="43:43" x14ac:dyDescent="0.2">
      <c r="AQ60932" s="31"/>
    </row>
    <row r="60933" spans="43:43" x14ac:dyDescent="0.2">
      <c r="AQ60933" s="31"/>
    </row>
    <row r="60934" spans="43:43" x14ac:dyDescent="0.2">
      <c r="AQ60934" s="31"/>
    </row>
    <row r="60935" spans="43:43" x14ac:dyDescent="0.2">
      <c r="AQ60935" s="31"/>
    </row>
    <row r="60936" spans="43:43" x14ac:dyDescent="0.2">
      <c r="AQ60936" s="31"/>
    </row>
    <row r="60937" spans="43:43" x14ac:dyDescent="0.2">
      <c r="AQ60937" s="31"/>
    </row>
    <row r="60938" spans="43:43" x14ac:dyDescent="0.2">
      <c r="AQ60938" s="31"/>
    </row>
    <row r="60939" spans="43:43" x14ac:dyDescent="0.2">
      <c r="AQ60939" s="31"/>
    </row>
    <row r="60940" spans="43:43" x14ac:dyDescent="0.2">
      <c r="AQ60940" s="31"/>
    </row>
    <row r="60941" spans="43:43" x14ac:dyDescent="0.2">
      <c r="AQ60941" s="31"/>
    </row>
    <row r="60942" spans="43:43" x14ac:dyDescent="0.2">
      <c r="AQ60942" s="31"/>
    </row>
    <row r="60943" spans="43:43" x14ac:dyDescent="0.2">
      <c r="AQ60943" s="31"/>
    </row>
    <row r="60944" spans="43:43" x14ac:dyDescent="0.2">
      <c r="AQ60944" s="31"/>
    </row>
    <row r="60945" spans="43:43" x14ac:dyDescent="0.2">
      <c r="AQ60945" s="31"/>
    </row>
    <row r="60946" spans="43:43" x14ac:dyDescent="0.2">
      <c r="AQ60946" s="31"/>
    </row>
    <row r="60947" spans="43:43" x14ac:dyDescent="0.2">
      <c r="AQ60947" s="31"/>
    </row>
    <row r="60948" spans="43:43" x14ac:dyDescent="0.2">
      <c r="AQ60948" s="31"/>
    </row>
    <row r="60949" spans="43:43" x14ac:dyDescent="0.2">
      <c r="AQ60949" s="31"/>
    </row>
    <row r="60950" spans="43:43" x14ac:dyDescent="0.2">
      <c r="AQ60950" s="31"/>
    </row>
    <row r="60951" spans="43:43" x14ac:dyDescent="0.2">
      <c r="AQ60951" s="31"/>
    </row>
    <row r="60952" spans="43:43" x14ac:dyDescent="0.2">
      <c r="AQ60952" s="31"/>
    </row>
    <row r="60953" spans="43:43" x14ac:dyDescent="0.2">
      <c r="AQ60953" s="31"/>
    </row>
    <row r="60954" spans="43:43" x14ac:dyDescent="0.2">
      <c r="AQ60954" s="31"/>
    </row>
    <row r="60955" spans="43:43" x14ac:dyDescent="0.2">
      <c r="AQ60955" s="31"/>
    </row>
    <row r="60956" spans="43:43" x14ac:dyDescent="0.2">
      <c r="AQ60956" s="31"/>
    </row>
    <row r="60957" spans="43:43" x14ac:dyDescent="0.2">
      <c r="AQ60957" s="31"/>
    </row>
    <row r="60958" spans="43:43" x14ac:dyDescent="0.2">
      <c r="AQ60958" s="31"/>
    </row>
    <row r="60959" spans="43:43" x14ac:dyDescent="0.2">
      <c r="AQ60959" s="31"/>
    </row>
    <row r="60960" spans="43:43" x14ac:dyDescent="0.2">
      <c r="AQ60960" s="31"/>
    </row>
    <row r="60961" spans="43:43" x14ac:dyDescent="0.2">
      <c r="AQ60961" s="31"/>
    </row>
    <row r="60962" spans="43:43" x14ac:dyDescent="0.2">
      <c r="AQ60962" s="31"/>
    </row>
    <row r="60963" spans="43:43" x14ac:dyDescent="0.2">
      <c r="AQ60963" s="31"/>
    </row>
    <row r="60964" spans="43:43" x14ac:dyDescent="0.2">
      <c r="AQ60964" s="31"/>
    </row>
    <row r="60965" spans="43:43" x14ac:dyDescent="0.2">
      <c r="AQ60965" s="31"/>
    </row>
    <row r="60966" spans="43:43" x14ac:dyDescent="0.2">
      <c r="AQ60966" s="31"/>
    </row>
    <row r="60967" spans="43:43" x14ac:dyDescent="0.2">
      <c r="AQ60967" s="31"/>
    </row>
    <row r="60968" spans="43:43" x14ac:dyDescent="0.2">
      <c r="AQ60968" s="31"/>
    </row>
    <row r="60969" spans="43:43" x14ac:dyDescent="0.2">
      <c r="AQ60969" s="31"/>
    </row>
    <row r="60970" spans="43:43" x14ac:dyDescent="0.2">
      <c r="AQ60970" s="31"/>
    </row>
    <row r="60971" spans="43:43" x14ac:dyDescent="0.2">
      <c r="AQ60971" s="31"/>
    </row>
    <row r="60972" spans="43:43" x14ac:dyDescent="0.2">
      <c r="AQ60972" s="31"/>
    </row>
    <row r="60973" spans="43:43" x14ac:dyDescent="0.2">
      <c r="AQ60973" s="31"/>
    </row>
    <row r="60974" spans="43:43" x14ac:dyDescent="0.2">
      <c r="AQ60974" s="31"/>
    </row>
    <row r="60975" spans="43:43" x14ac:dyDescent="0.2">
      <c r="AQ60975" s="31"/>
    </row>
    <row r="60976" spans="43:43" x14ac:dyDescent="0.2">
      <c r="AQ60976" s="31"/>
    </row>
    <row r="60977" spans="43:43" x14ac:dyDescent="0.2">
      <c r="AQ60977" s="31"/>
    </row>
    <row r="60978" spans="43:43" x14ac:dyDescent="0.2">
      <c r="AQ60978" s="31"/>
    </row>
    <row r="60979" spans="43:43" x14ac:dyDescent="0.2">
      <c r="AQ60979" s="31"/>
    </row>
    <row r="60980" spans="43:43" x14ac:dyDescent="0.2">
      <c r="AQ60980" s="31"/>
    </row>
    <row r="60981" spans="43:43" x14ac:dyDescent="0.2">
      <c r="AQ60981" s="31"/>
    </row>
    <row r="60982" spans="43:43" x14ac:dyDescent="0.2">
      <c r="AQ60982" s="31"/>
    </row>
    <row r="60983" spans="43:43" x14ac:dyDescent="0.2">
      <c r="AQ60983" s="31"/>
    </row>
    <row r="60984" spans="43:43" x14ac:dyDescent="0.2">
      <c r="AQ60984" s="31"/>
    </row>
    <row r="60985" spans="43:43" x14ac:dyDescent="0.2">
      <c r="AQ60985" s="31"/>
    </row>
    <row r="60986" spans="43:43" x14ac:dyDescent="0.2">
      <c r="AQ60986" s="31"/>
    </row>
    <row r="60987" spans="43:43" x14ac:dyDescent="0.2">
      <c r="AQ60987" s="31"/>
    </row>
    <row r="60988" spans="43:43" x14ac:dyDescent="0.2">
      <c r="AQ60988" s="31"/>
    </row>
    <row r="60989" spans="43:43" x14ac:dyDescent="0.2">
      <c r="AQ60989" s="31"/>
    </row>
    <row r="60990" spans="43:43" x14ac:dyDescent="0.2">
      <c r="AQ60990" s="31"/>
    </row>
    <row r="60991" spans="43:43" x14ac:dyDescent="0.2">
      <c r="AQ60991" s="31"/>
    </row>
    <row r="60992" spans="43:43" x14ac:dyDescent="0.2">
      <c r="AQ60992" s="31"/>
    </row>
    <row r="60993" spans="43:43" x14ac:dyDescent="0.2">
      <c r="AQ60993" s="31"/>
    </row>
    <row r="60994" spans="43:43" x14ac:dyDescent="0.2">
      <c r="AQ60994" s="31"/>
    </row>
    <row r="60995" spans="43:43" x14ac:dyDescent="0.2">
      <c r="AQ60995" s="31"/>
    </row>
    <row r="60996" spans="43:43" x14ac:dyDescent="0.2">
      <c r="AQ60996" s="31"/>
    </row>
    <row r="60997" spans="43:43" x14ac:dyDescent="0.2">
      <c r="AQ60997" s="31"/>
    </row>
    <row r="60998" spans="43:43" x14ac:dyDescent="0.2">
      <c r="AQ60998" s="31"/>
    </row>
    <row r="60999" spans="43:43" x14ac:dyDescent="0.2">
      <c r="AQ60999" s="31"/>
    </row>
    <row r="61000" spans="43:43" x14ac:dyDescent="0.2">
      <c r="AQ61000" s="31"/>
    </row>
    <row r="61001" spans="43:43" x14ac:dyDescent="0.2">
      <c r="AQ61001" s="31"/>
    </row>
    <row r="61002" spans="43:43" x14ac:dyDescent="0.2">
      <c r="AQ61002" s="31"/>
    </row>
    <row r="61003" spans="43:43" x14ac:dyDescent="0.2">
      <c r="AQ61003" s="31"/>
    </row>
    <row r="61004" spans="43:43" x14ac:dyDescent="0.2">
      <c r="AQ61004" s="31"/>
    </row>
    <row r="61005" spans="43:43" x14ac:dyDescent="0.2">
      <c r="AQ61005" s="31"/>
    </row>
    <row r="61006" spans="43:43" x14ac:dyDescent="0.2">
      <c r="AQ61006" s="31"/>
    </row>
    <row r="61007" spans="43:43" x14ac:dyDescent="0.2">
      <c r="AQ61007" s="31"/>
    </row>
    <row r="61008" spans="43:43" x14ac:dyDescent="0.2">
      <c r="AQ61008" s="31"/>
    </row>
    <row r="61009" spans="43:43" x14ac:dyDescent="0.2">
      <c r="AQ61009" s="31"/>
    </row>
    <row r="61010" spans="43:43" x14ac:dyDescent="0.2">
      <c r="AQ61010" s="31"/>
    </row>
    <row r="61011" spans="43:43" x14ac:dyDescent="0.2">
      <c r="AQ61011" s="31"/>
    </row>
    <row r="61012" spans="43:43" x14ac:dyDescent="0.2">
      <c r="AQ61012" s="31"/>
    </row>
    <row r="61013" spans="43:43" x14ac:dyDescent="0.2">
      <c r="AQ61013" s="31"/>
    </row>
    <row r="61014" spans="43:43" x14ac:dyDescent="0.2">
      <c r="AQ61014" s="31"/>
    </row>
    <row r="61015" spans="43:43" x14ac:dyDescent="0.2">
      <c r="AQ61015" s="31"/>
    </row>
    <row r="61016" spans="43:43" x14ac:dyDescent="0.2">
      <c r="AQ61016" s="31"/>
    </row>
    <row r="61017" spans="43:43" x14ac:dyDescent="0.2">
      <c r="AQ61017" s="31"/>
    </row>
    <row r="61018" spans="43:43" x14ac:dyDescent="0.2">
      <c r="AQ61018" s="31"/>
    </row>
    <row r="61019" spans="43:43" x14ac:dyDescent="0.2">
      <c r="AQ61019" s="31"/>
    </row>
    <row r="61020" spans="43:43" x14ac:dyDescent="0.2">
      <c r="AQ61020" s="31"/>
    </row>
    <row r="61021" spans="43:43" x14ac:dyDescent="0.2">
      <c r="AQ61021" s="31"/>
    </row>
    <row r="61022" spans="43:43" x14ac:dyDescent="0.2">
      <c r="AQ61022" s="31"/>
    </row>
    <row r="61023" spans="43:43" x14ac:dyDescent="0.2">
      <c r="AQ61023" s="31"/>
    </row>
    <row r="61024" spans="43:43" x14ac:dyDescent="0.2">
      <c r="AQ61024" s="31"/>
    </row>
    <row r="61025" spans="43:43" x14ac:dyDescent="0.2">
      <c r="AQ61025" s="31"/>
    </row>
    <row r="61026" spans="43:43" x14ac:dyDescent="0.2">
      <c r="AQ61026" s="31"/>
    </row>
    <row r="61027" spans="43:43" x14ac:dyDescent="0.2">
      <c r="AQ61027" s="31"/>
    </row>
    <row r="61028" spans="43:43" x14ac:dyDescent="0.2">
      <c r="AQ61028" s="31"/>
    </row>
    <row r="61029" spans="43:43" x14ac:dyDescent="0.2">
      <c r="AQ61029" s="31"/>
    </row>
    <row r="61030" spans="43:43" x14ac:dyDescent="0.2">
      <c r="AQ61030" s="31"/>
    </row>
    <row r="61031" spans="43:43" x14ac:dyDescent="0.2">
      <c r="AQ61031" s="31"/>
    </row>
    <row r="61032" spans="43:43" x14ac:dyDescent="0.2">
      <c r="AQ61032" s="31"/>
    </row>
    <row r="61033" spans="43:43" x14ac:dyDescent="0.2">
      <c r="AQ61033" s="31"/>
    </row>
    <row r="61034" spans="43:43" x14ac:dyDescent="0.2">
      <c r="AQ61034" s="31"/>
    </row>
    <row r="61035" spans="43:43" x14ac:dyDescent="0.2">
      <c r="AQ61035" s="31"/>
    </row>
    <row r="61036" spans="43:43" x14ac:dyDescent="0.2">
      <c r="AQ61036" s="31"/>
    </row>
    <row r="61037" spans="43:43" x14ac:dyDescent="0.2">
      <c r="AQ61037" s="31"/>
    </row>
    <row r="61038" spans="43:43" x14ac:dyDescent="0.2">
      <c r="AQ61038" s="31"/>
    </row>
    <row r="61039" spans="43:43" x14ac:dyDescent="0.2">
      <c r="AQ61039" s="31"/>
    </row>
    <row r="61040" spans="43:43" x14ac:dyDescent="0.2">
      <c r="AQ61040" s="31"/>
    </row>
    <row r="61041" spans="43:43" x14ac:dyDescent="0.2">
      <c r="AQ61041" s="31"/>
    </row>
    <row r="61042" spans="43:43" x14ac:dyDescent="0.2">
      <c r="AQ61042" s="31"/>
    </row>
    <row r="61043" spans="43:43" x14ac:dyDescent="0.2">
      <c r="AQ61043" s="31"/>
    </row>
    <row r="61044" spans="43:43" x14ac:dyDescent="0.2">
      <c r="AQ61044" s="31"/>
    </row>
    <row r="61045" spans="43:43" x14ac:dyDescent="0.2">
      <c r="AQ61045" s="31"/>
    </row>
    <row r="61046" spans="43:43" x14ac:dyDescent="0.2">
      <c r="AQ61046" s="31"/>
    </row>
    <row r="61047" spans="43:43" x14ac:dyDescent="0.2">
      <c r="AQ61047" s="31"/>
    </row>
    <row r="61048" spans="43:43" x14ac:dyDescent="0.2">
      <c r="AQ61048" s="31"/>
    </row>
    <row r="61049" spans="43:43" x14ac:dyDescent="0.2">
      <c r="AQ61049" s="31"/>
    </row>
    <row r="61050" spans="43:43" x14ac:dyDescent="0.2">
      <c r="AQ61050" s="31"/>
    </row>
    <row r="61051" spans="43:43" x14ac:dyDescent="0.2">
      <c r="AQ61051" s="31"/>
    </row>
    <row r="61052" spans="43:43" x14ac:dyDescent="0.2">
      <c r="AQ61052" s="31"/>
    </row>
    <row r="61053" spans="43:43" x14ac:dyDescent="0.2">
      <c r="AQ61053" s="31"/>
    </row>
    <row r="61054" spans="43:43" x14ac:dyDescent="0.2">
      <c r="AQ61054" s="31"/>
    </row>
    <row r="61055" spans="43:43" x14ac:dyDescent="0.2">
      <c r="AQ61055" s="31"/>
    </row>
    <row r="61056" spans="43:43" x14ac:dyDescent="0.2">
      <c r="AQ61056" s="31"/>
    </row>
    <row r="61057" spans="43:43" x14ac:dyDescent="0.2">
      <c r="AQ61057" s="31"/>
    </row>
    <row r="61058" spans="43:43" x14ac:dyDescent="0.2">
      <c r="AQ61058" s="31"/>
    </row>
    <row r="61059" spans="43:43" x14ac:dyDescent="0.2">
      <c r="AQ61059" s="31"/>
    </row>
    <row r="61060" spans="43:43" x14ac:dyDescent="0.2">
      <c r="AQ61060" s="31"/>
    </row>
    <row r="61061" spans="43:43" x14ac:dyDescent="0.2">
      <c r="AQ61061" s="31"/>
    </row>
    <row r="61062" spans="43:43" x14ac:dyDescent="0.2">
      <c r="AQ61062" s="31"/>
    </row>
    <row r="61063" spans="43:43" x14ac:dyDescent="0.2">
      <c r="AQ61063" s="31"/>
    </row>
    <row r="61064" spans="43:43" x14ac:dyDescent="0.2">
      <c r="AQ61064" s="31"/>
    </row>
    <row r="61065" spans="43:43" x14ac:dyDescent="0.2">
      <c r="AQ61065" s="31"/>
    </row>
    <row r="61066" spans="43:43" x14ac:dyDescent="0.2">
      <c r="AQ61066" s="31"/>
    </row>
    <row r="61067" spans="43:43" x14ac:dyDescent="0.2">
      <c r="AQ61067" s="31"/>
    </row>
    <row r="61068" spans="43:43" x14ac:dyDescent="0.2">
      <c r="AQ61068" s="31"/>
    </row>
    <row r="61069" spans="43:43" x14ac:dyDescent="0.2">
      <c r="AQ61069" s="31"/>
    </row>
    <row r="61070" spans="43:43" x14ac:dyDescent="0.2">
      <c r="AQ61070" s="31"/>
    </row>
    <row r="61071" spans="43:43" x14ac:dyDescent="0.2">
      <c r="AQ61071" s="31"/>
    </row>
    <row r="61072" spans="43:43" x14ac:dyDescent="0.2">
      <c r="AQ61072" s="31"/>
    </row>
    <row r="61073" spans="43:43" x14ac:dyDescent="0.2">
      <c r="AQ61073" s="31"/>
    </row>
    <row r="61074" spans="43:43" x14ac:dyDescent="0.2">
      <c r="AQ61074" s="31"/>
    </row>
    <row r="61075" spans="43:43" x14ac:dyDescent="0.2">
      <c r="AQ61075" s="31"/>
    </row>
    <row r="61076" spans="43:43" x14ac:dyDescent="0.2">
      <c r="AQ61076" s="31"/>
    </row>
    <row r="61077" spans="43:43" x14ac:dyDescent="0.2">
      <c r="AQ61077" s="31"/>
    </row>
    <row r="61078" spans="43:43" x14ac:dyDescent="0.2">
      <c r="AQ61078" s="31"/>
    </row>
    <row r="61079" spans="43:43" x14ac:dyDescent="0.2">
      <c r="AQ61079" s="31"/>
    </row>
    <row r="61080" spans="43:43" x14ac:dyDescent="0.2">
      <c r="AQ61080" s="31"/>
    </row>
    <row r="61081" spans="43:43" x14ac:dyDescent="0.2">
      <c r="AQ61081" s="31"/>
    </row>
    <row r="61082" spans="43:43" x14ac:dyDescent="0.2">
      <c r="AQ61082" s="31"/>
    </row>
    <row r="61083" spans="43:43" x14ac:dyDescent="0.2">
      <c r="AQ61083" s="31"/>
    </row>
    <row r="61084" spans="43:43" x14ac:dyDescent="0.2">
      <c r="AQ61084" s="31"/>
    </row>
    <row r="61085" spans="43:43" x14ac:dyDescent="0.2">
      <c r="AQ61085" s="31"/>
    </row>
    <row r="61086" spans="43:43" x14ac:dyDescent="0.2">
      <c r="AQ61086" s="31"/>
    </row>
    <row r="61087" spans="43:43" x14ac:dyDescent="0.2">
      <c r="AQ61087" s="31"/>
    </row>
    <row r="61088" spans="43:43" x14ac:dyDescent="0.2">
      <c r="AQ61088" s="31"/>
    </row>
    <row r="61089" spans="43:43" x14ac:dyDescent="0.2">
      <c r="AQ61089" s="31"/>
    </row>
    <row r="61090" spans="43:43" x14ac:dyDescent="0.2">
      <c r="AQ61090" s="31"/>
    </row>
    <row r="61091" spans="43:43" x14ac:dyDescent="0.2">
      <c r="AQ61091" s="31"/>
    </row>
    <row r="61092" spans="43:43" x14ac:dyDescent="0.2">
      <c r="AQ61092" s="31"/>
    </row>
    <row r="61093" spans="43:43" x14ac:dyDescent="0.2">
      <c r="AQ61093" s="31"/>
    </row>
    <row r="61094" spans="43:43" x14ac:dyDescent="0.2">
      <c r="AQ61094" s="31"/>
    </row>
    <row r="61095" spans="43:43" x14ac:dyDescent="0.2">
      <c r="AQ61095" s="31"/>
    </row>
    <row r="61096" spans="43:43" x14ac:dyDescent="0.2">
      <c r="AQ61096" s="31"/>
    </row>
    <row r="61097" spans="43:43" x14ac:dyDescent="0.2">
      <c r="AQ61097" s="31"/>
    </row>
    <row r="61098" spans="43:43" x14ac:dyDescent="0.2">
      <c r="AQ61098" s="31"/>
    </row>
    <row r="61099" spans="43:43" x14ac:dyDescent="0.2">
      <c r="AQ61099" s="31"/>
    </row>
    <row r="61100" spans="43:43" x14ac:dyDescent="0.2">
      <c r="AQ61100" s="31"/>
    </row>
    <row r="61101" spans="43:43" x14ac:dyDescent="0.2">
      <c r="AQ61101" s="31"/>
    </row>
    <row r="61102" spans="43:43" x14ac:dyDescent="0.2">
      <c r="AQ61102" s="31"/>
    </row>
    <row r="61103" spans="43:43" x14ac:dyDescent="0.2">
      <c r="AQ61103" s="31"/>
    </row>
    <row r="61104" spans="43:43" x14ac:dyDescent="0.2">
      <c r="AQ61104" s="31"/>
    </row>
    <row r="61105" spans="43:43" x14ac:dyDescent="0.2">
      <c r="AQ61105" s="31"/>
    </row>
    <row r="61106" spans="43:43" x14ac:dyDescent="0.2">
      <c r="AQ61106" s="31"/>
    </row>
    <row r="61107" spans="43:43" x14ac:dyDescent="0.2">
      <c r="AQ61107" s="31"/>
    </row>
    <row r="61108" spans="43:43" x14ac:dyDescent="0.2">
      <c r="AQ61108" s="31"/>
    </row>
    <row r="61109" spans="43:43" x14ac:dyDescent="0.2">
      <c r="AQ61109" s="31"/>
    </row>
    <row r="61110" spans="43:43" x14ac:dyDescent="0.2">
      <c r="AQ61110" s="31"/>
    </row>
    <row r="61111" spans="43:43" x14ac:dyDescent="0.2">
      <c r="AQ61111" s="31"/>
    </row>
    <row r="61112" spans="43:43" x14ac:dyDescent="0.2">
      <c r="AQ61112" s="31"/>
    </row>
    <row r="61113" spans="43:43" x14ac:dyDescent="0.2">
      <c r="AQ61113" s="31"/>
    </row>
    <row r="61114" spans="43:43" x14ac:dyDescent="0.2">
      <c r="AQ61114" s="31"/>
    </row>
    <row r="61115" spans="43:43" x14ac:dyDescent="0.2">
      <c r="AQ61115" s="31"/>
    </row>
    <row r="61116" spans="43:43" x14ac:dyDescent="0.2">
      <c r="AQ61116" s="31"/>
    </row>
    <row r="61117" spans="43:43" x14ac:dyDescent="0.2">
      <c r="AQ61117" s="31"/>
    </row>
    <row r="61118" spans="43:43" x14ac:dyDescent="0.2">
      <c r="AQ61118" s="31"/>
    </row>
    <row r="61119" spans="43:43" x14ac:dyDescent="0.2">
      <c r="AQ61119" s="31"/>
    </row>
    <row r="61120" spans="43:43" x14ac:dyDescent="0.2">
      <c r="AQ61120" s="31"/>
    </row>
    <row r="61121" spans="43:43" x14ac:dyDescent="0.2">
      <c r="AQ61121" s="31"/>
    </row>
    <row r="61122" spans="43:43" x14ac:dyDescent="0.2">
      <c r="AQ61122" s="31"/>
    </row>
    <row r="61123" spans="43:43" x14ac:dyDescent="0.2">
      <c r="AQ61123" s="31"/>
    </row>
    <row r="61124" spans="43:43" x14ac:dyDescent="0.2">
      <c r="AQ61124" s="31"/>
    </row>
    <row r="61125" spans="43:43" x14ac:dyDescent="0.2">
      <c r="AQ61125" s="31"/>
    </row>
    <row r="61126" spans="43:43" x14ac:dyDescent="0.2">
      <c r="AQ61126" s="31"/>
    </row>
    <row r="61127" spans="43:43" x14ac:dyDescent="0.2">
      <c r="AQ61127" s="31"/>
    </row>
    <row r="61128" spans="43:43" x14ac:dyDescent="0.2">
      <c r="AQ61128" s="31"/>
    </row>
    <row r="61129" spans="43:43" x14ac:dyDescent="0.2">
      <c r="AQ61129" s="31"/>
    </row>
    <row r="61130" spans="43:43" x14ac:dyDescent="0.2">
      <c r="AQ61130" s="31"/>
    </row>
    <row r="61131" spans="43:43" x14ac:dyDescent="0.2">
      <c r="AQ61131" s="31"/>
    </row>
    <row r="61132" spans="43:43" x14ac:dyDescent="0.2">
      <c r="AQ61132" s="31"/>
    </row>
    <row r="61133" spans="43:43" x14ac:dyDescent="0.2">
      <c r="AQ61133" s="31"/>
    </row>
    <row r="61134" spans="43:43" x14ac:dyDescent="0.2">
      <c r="AQ61134" s="31"/>
    </row>
    <row r="61135" spans="43:43" x14ac:dyDescent="0.2">
      <c r="AQ61135" s="31"/>
    </row>
    <row r="61136" spans="43:43" x14ac:dyDescent="0.2">
      <c r="AQ61136" s="31"/>
    </row>
    <row r="61137" spans="43:43" x14ac:dyDescent="0.2">
      <c r="AQ61137" s="31"/>
    </row>
    <row r="61138" spans="43:43" x14ac:dyDescent="0.2">
      <c r="AQ61138" s="31"/>
    </row>
    <row r="61139" spans="43:43" x14ac:dyDescent="0.2">
      <c r="AQ61139" s="31"/>
    </row>
    <row r="61140" spans="43:43" x14ac:dyDescent="0.2">
      <c r="AQ61140" s="31"/>
    </row>
    <row r="61141" spans="43:43" x14ac:dyDescent="0.2">
      <c r="AQ61141" s="31"/>
    </row>
    <row r="61142" spans="43:43" x14ac:dyDescent="0.2">
      <c r="AQ61142" s="31"/>
    </row>
    <row r="61143" spans="43:43" x14ac:dyDescent="0.2">
      <c r="AQ61143" s="31"/>
    </row>
    <row r="61144" spans="43:43" x14ac:dyDescent="0.2">
      <c r="AQ61144" s="31"/>
    </row>
    <row r="61145" spans="43:43" x14ac:dyDescent="0.2">
      <c r="AQ61145" s="31"/>
    </row>
    <row r="61146" spans="43:43" x14ac:dyDescent="0.2">
      <c r="AQ61146" s="31"/>
    </row>
    <row r="61147" spans="43:43" x14ac:dyDescent="0.2">
      <c r="AQ61147" s="31"/>
    </row>
    <row r="61148" spans="43:43" x14ac:dyDescent="0.2">
      <c r="AQ61148" s="31"/>
    </row>
    <row r="61149" spans="43:43" x14ac:dyDescent="0.2">
      <c r="AQ61149" s="31"/>
    </row>
    <row r="61150" spans="43:43" x14ac:dyDescent="0.2">
      <c r="AQ61150" s="31"/>
    </row>
    <row r="61151" spans="43:43" x14ac:dyDescent="0.2">
      <c r="AQ61151" s="31"/>
    </row>
    <row r="61152" spans="43:43" x14ac:dyDescent="0.2">
      <c r="AQ61152" s="31"/>
    </row>
    <row r="61153" spans="43:43" x14ac:dyDescent="0.2">
      <c r="AQ61153" s="31"/>
    </row>
    <row r="61154" spans="43:43" x14ac:dyDescent="0.2">
      <c r="AQ61154" s="31"/>
    </row>
    <row r="61155" spans="43:43" x14ac:dyDescent="0.2">
      <c r="AQ61155" s="31"/>
    </row>
    <row r="61156" spans="43:43" x14ac:dyDescent="0.2">
      <c r="AQ61156" s="31"/>
    </row>
    <row r="61157" spans="43:43" x14ac:dyDescent="0.2">
      <c r="AQ61157" s="31"/>
    </row>
    <row r="61158" spans="43:43" x14ac:dyDescent="0.2">
      <c r="AQ61158" s="31"/>
    </row>
    <row r="61159" spans="43:43" x14ac:dyDescent="0.2">
      <c r="AQ61159" s="31"/>
    </row>
    <row r="61160" spans="43:43" x14ac:dyDescent="0.2">
      <c r="AQ61160" s="31"/>
    </row>
    <row r="61161" spans="43:43" x14ac:dyDescent="0.2">
      <c r="AQ61161" s="31"/>
    </row>
    <row r="61162" spans="43:43" x14ac:dyDescent="0.2">
      <c r="AQ61162" s="31"/>
    </row>
    <row r="61163" spans="43:43" x14ac:dyDescent="0.2">
      <c r="AQ61163" s="31"/>
    </row>
    <row r="61164" spans="43:43" x14ac:dyDescent="0.2">
      <c r="AQ61164" s="31"/>
    </row>
    <row r="61165" spans="43:43" x14ac:dyDescent="0.2">
      <c r="AQ61165" s="31"/>
    </row>
    <row r="61166" spans="43:43" x14ac:dyDescent="0.2">
      <c r="AQ61166" s="31"/>
    </row>
    <row r="61167" spans="43:43" x14ac:dyDescent="0.2">
      <c r="AQ61167" s="31"/>
    </row>
    <row r="61168" spans="43:43" x14ac:dyDescent="0.2">
      <c r="AQ61168" s="31"/>
    </row>
    <row r="61169" spans="43:43" x14ac:dyDescent="0.2">
      <c r="AQ61169" s="31"/>
    </row>
    <row r="61170" spans="43:43" x14ac:dyDescent="0.2">
      <c r="AQ61170" s="31"/>
    </row>
    <row r="61171" spans="43:43" x14ac:dyDescent="0.2">
      <c r="AQ61171" s="31"/>
    </row>
    <row r="61172" spans="43:43" x14ac:dyDescent="0.2">
      <c r="AQ61172" s="31"/>
    </row>
    <row r="61173" spans="43:43" x14ac:dyDescent="0.2">
      <c r="AQ61173" s="31"/>
    </row>
    <row r="61174" spans="43:43" x14ac:dyDescent="0.2">
      <c r="AQ61174" s="31"/>
    </row>
    <row r="61175" spans="43:43" x14ac:dyDescent="0.2">
      <c r="AQ61175" s="31"/>
    </row>
    <row r="61176" spans="43:43" x14ac:dyDescent="0.2">
      <c r="AQ61176" s="31"/>
    </row>
    <row r="61177" spans="43:43" x14ac:dyDescent="0.2">
      <c r="AQ61177" s="31"/>
    </row>
    <row r="61178" spans="43:43" x14ac:dyDescent="0.2">
      <c r="AQ61178" s="31"/>
    </row>
    <row r="61179" spans="43:43" x14ac:dyDescent="0.2">
      <c r="AQ61179" s="31"/>
    </row>
    <row r="61180" spans="43:43" x14ac:dyDescent="0.2">
      <c r="AQ61180" s="31"/>
    </row>
    <row r="61181" spans="43:43" x14ac:dyDescent="0.2">
      <c r="AQ61181" s="31"/>
    </row>
    <row r="61182" spans="43:43" x14ac:dyDescent="0.2">
      <c r="AQ61182" s="31"/>
    </row>
    <row r="61183" spans="43:43" x14ac:dyDescent="0.2">
      <c r="AQ61183" s="31"/>
    </row>
    <row r="61184" spans="43:43" x14ac:dyDescent="0.2">
      <c r="AQ61184" s="31"/>
    </row>
    <row r="61185" spans="43:43" x14ac:dyDescent="0.2">
      <c r="AQ61185" s="31"/>
    </row>
    <row r="61186" spans="43:43" x14ac:dyDescent="0.2">
      <c r="AQ61186" s="31"/>
    </row>
    <row r="61187" spans="43:43" x14ac:dyDescent="0.2">
      <c r="AQ61187" s="31"/>
    </row>
    <row r="61188" spans="43:43" x14ac:dyDescent="0.2">
      <c r="AQ61188" s="31"/>
    </row>
    <row r="61189" spans="43:43" x14ac:dyDescent="0.2">
      <c r="AQ61189" s="31"/>
    </row>
    <row r="61190" spans="43:43" x14ac:dyDescent="0.2">
      <c r="AQ61190" s="31"/>
    </row>
    <row r="61191" spans="43:43" x14ac:dyDescent="0.2">
      <c r="AQ61191" s="31"/>
    </row>
    <row r="61192" spans="43:43" x14ac:dyDescent="0.2">
      <c r="AQ61192" s="31"/>
    </row>
    <row r="61193" spans="43:43" x14ac:dyDescent="0.2">
      <c r="AQ61193" s="31"/>
    </row>
    <row r="61194" spans="43:43" x14ac:dyDescent="0.2">
      <c r="AQ61194" s="31"/>
    </row>
    <row r="61195" spans="43:43" x14ac:dyDescent="0.2">
      <c r="AQ61195" s="31"/>
    </row>
    <row r="61196" spans="43:43" x14ac:dyDescent="0.2">
      <c r="AQ61196" s="31"/>
    </row>
    <row r="61197" spans="43:43" x14ac:dyDescent="0.2">
      <c r="AQ61197" s="31"/>
    </row>
    <row r="61198" spans="43:43" x14ac:dyDescent="0.2">
      <c r="AQ61198" s="31"/>
    </row>
    <row r="61199" spans="43:43" x14ac:dyDescent="0.2">
      <c r="AQ61199" s="31"/>
    </row>
    <row r="61200" spans="43:43" x14ac:dyDescent="0.2">
      <c r="AQ61200" s="31"/>
    </row>
    <row r="61201" spans="43:43" x14ac:dyDescent="0.2">
      <c r="AQ61201" s="31"/>
    </row>
    <row r="61202" spans="43:43" x14ac:dyDescent="0.2">
      <c r="AQ61202" s="31"/>
    </row>
    <row r="61203" spans="43:43" x14ac:dyDescent="0.2">
      <c r="AQ61203" s="31"/>
    </row>
    <row r="61204" spans="43:43" x14ac:dyDescent="0.2">
      <c r="AQ61204" s="31"/>
    </row>
    <row r="61205" spans="43:43" x14ac:dyDescent="0.2">
      <c r="AQ61205" s="31"/>
    </row>
    <row r="61206" spans="43:43" x14ac:dyDescent="0.2">
      <c r="AQ61206" s="31"/>
    </row>
    <row r="61207" spans="43:43" x14ac:dyDescent="0.2">
      <c r="AQ61207" s="31"/>
    </row>
    <row r="61208" spans="43:43" x14ac:dyDescent="0.2">
      <c r="AQ61208" s="31"/>
    </row>
    <row r="61209" spans="43:43" x14ac:dyDescent="0.2">
      <c r="AQ61209" s="31"/>
    </row>
    <row r="61210" spans="43:43" x14ac:dyDescent="0.2">
      <c r="AQ61210" s="31"/>
    </row>
    <row r="61211" spans="43:43" x14ac:dyDescent="0.2">
      <c r="AQ61211" s="31"/>
    </row>
    <row r="61212" spans="43:43" x14ac:dyDescent="0.2">
      <c r="AQ61212" s="31"/>
    </row>
    <row r="61213" spans="43:43" x14ac:dyDescent="0.2">
      <c r="AQ61213" s="31"/>
    </row>
    <row r="61214" spans="43:43" x14ac:dyDescent="0.2">
      <c r="AQ61214" s="31"/>
    </row>
    <row r="61215" spans="43:43" x14ac:dyDescent="0.2">
      <c r="AQ61215" s="31"/>
    </row>
    <row r="61216" spans="43:43" x14ac:dyDescent="0.2">
      <c r="AQ61216" s="31"/>
    </row>
    <row r="61217" spans="43:43" x14ac:dyDescent="0.2">
      <c r="AQ61217" s="31"/>
    </row>
    <row r="61218" spans="43:43" x14ac:dyDescent="0.2">
      <c r="AQ61218" s="31"/>
    </row>
    <row r="61219" spans="43:43" x14ac:dyDescent="0.2">
      <c r="AQ61219" s="31"/>
    </row>
    <row r="61220" spans="43:43" x14ac:dyDescent="0.2">
      <c r="AQ61220" s="31"/>
    </row>
    <row r="61221" spans="43:43" x14ac:dyDescent="0.2">
      <c r="AQ61221" s="31"/>
    </row>
    <row r="61222" spans="43:43" x14ac:dyDescent="0.2">
      <c r="AQ61222" s="31"/>
    </row>
    <row r="61223" spans="43:43" x14ac:dyDescent="0.2">
      <c r="AQ61223" s="31"/>
    </row>
    <row r="61224" spans="43:43" x14ac:dyDescent="0.2">
      <c r="AQ61224" s="31"/>
    </row>
    <row r="61225" spans="43:43" x14ac:dyDescent="0.2">
      <c r="AQ61225" s="31"/>
    </row>
    <row r="61226" spans="43:43" x14ac:dyDescent="0.2">
      <c r="AQ61226" s="31"/>
    </row>
    <row r="61227" spans="43:43" x14ac:dyDescent="0.2">
      <c r="AQ61227" s="31"/>
    </row>
    <row r="61228" spans="43:43" x14ac:dyDescent="0.2">
      <c r="AQ61228" s="31"/>
    </row>
    <row r="61229" spans="43:43" x14ac:dyDescent="0.2">
      <c r="AQ61229" s="31"/>
    </row>
    <row r="61230" spans="43:43" x14ac:dyDescent="0.2">
      <c r="AQ61230" s="31"/>
    </row>
    <row r="61231" spans="43:43" x14ac:dyDescent="0.2">
      <c r="AQ61231" s="31"/>
    </row>
    <row r="61232" spans="43:43" x14ac:dyDescent="0.2">
      <c r="AQ61232" s="31"/>
    </row>
    <row r="61233" spans="43:43" x14ac:dyDescent="0.2">
      <c r="AQ61233" s="31"/>
    </row>
    <row r="61234" spans="43:43" x14ac:dyDescent="0.2">
      <c r="AQ61234" s="31"/>
    </row>
    <row r="61235" spans="43:43" x14ac:dyDescent="0.2">
      <c r="AQ61235" s="31"/>
    </row>
    <row r="61236" spans="43:43" x14ac:dyDescent="0.2">
      <c r="AQ61236" s="31"/>
    </row>
    <row r="61237" spans="43:43" x14ac:dyDescent="0.2">
      <c r="AQ61237" s="31"/>
    </row>
    <row r="61238" spans="43:43" x14ac:dyDescent="0.2">
      <c r="AQ61238" s="31"/>
    </row>
    <row r="61239" spans="43:43" x14ac:dyDescent="0.2">
      <c r="AQ61239" s="31"/>
    </row>
    <row r="61240" spans="43:43" x14ac:dyDescent="0.2">
      <c r="AQ61240" s="31"/>
    </row>
    <row r="61241" spans="43:43" x14ac:dyDescent="0.2">
      <c r="AQ61241" s="31"/>
    </row>
    <row r="61242" spans="43:43" x14ac:dyDescent="0.2">
      <c r="AQ61242" s="31"/>
    </row>
    <row r="61243" spans="43:43" x14ac:dyDescent="0.2">
      <c r="AQ61243" s="31"/>
    </row>
    <row r="61244" spans="43:43" x14ac:dyDescent="0.2">
      <c r="AQ61244" s="31"/>
    </row>
    <row r="61245" spans="43:43" x14ac:dyDescent="0.2">
      <c r="AQ61245" s="31"/>
    </row>
    <row r="61246" spans="43:43" x14ac:dyDescent="0.2">
      <c r="AQ61246" s="31"/>
    </row>
    <row r="61247" spans="43:43" x14ac:dyDescent="0.2">
      <c r="AQ61247" s="31"/>
    </row>
    <row r="61248" spans="43:43" x14ac:dyDescent="0.2">
      <c r="AQ61248" s="31"/>
    </row>
    <row r="61249" spans="43:43" x14ac:dyDescent="0.2">
      <c r="AQ61249" s="31"/>
    </row>
    <row r="61250" spans="43:43" x14ac:dyDescent="0.2">
      <c r="AQ61250" s="31"/>
    </row>
    <row r="61251" spans="43:43" x14ac:dyDescent="0.2">
      <c r="AQ61251" s="31"/>
    </row>
    <row r="61252" spans="43:43" x14ac:dyDescent="0.2">
      <c r="AQ61252" s="31"/>
    </row>
    <row r="61253" spans="43:43" x14ac:dyDescent="0.2">
      <c r="AQ61253" s="31"/>
    </row>
    <row r="61254" spans="43:43" x14ac:dyDescent="0.2">
      <c r="AQ61254" s="31"/>
    </row>
    <row r="61255" spans="43:43" x14ac:dyDescent="0.2">
      <c r="AQ61255" s="31"/>
    </row>
    <row r="61256" spans="43:43" x14ac:dyDescent="0.2">
      <c r="AQ61256" s="31"/>
    </row>
    <row r="61257" spans="43:43" x14ac:dyDescent="0.2">
      <c r="AQ61257" s="31"/>
    </row>
    <row r="61258" spans="43:43" x14ac:dyDescent="0.2">
      <c r="AQ61258" s="31"/>
    </row>
    <row r="61259" spans="43:43" x14ac:dyDescent="0.2">
      <c r="AQ61259" s="31"/>
    </row>
    <row r="61260" spans="43:43" x14ac:dyDescent="0.2">
      <c r="AQ61260" s="31"/>
    </row>
    <row r="61261" spans="43:43" x14ac:dyDescent="0.2">
      <c r="AQ61261" s="31"/>
    </row>
    <row r="61262" spans="43:43" x14ac:dyDescent="0.2">
      <c r="AQ61262" s="31"/>
    </row>
    <row r="61263" spans="43:43" x14ac:dyDescent="0.2">
      <c r="AQ61263" s="31"/>
    </row>
    <row r="61264" spans="43:43" x14ac:dyDescent="0.2">
      <c r="AQ61264" s="31"/>
    </row>
    <row r="61265" spans="43:43" x14ac:dyDescent="0.2">
      <c r="AQ61265" s="31"/>
    </row>
    <row r="61266" spans="43:43" x14ac:dyDescent="0.2">
      <c r="AQ61266" s="31"/>
    </row>
    <row r="61267" spans="43:43" x14ac:dyDescent="0.2">
      <c r="AQ61267" s="31"/>
    </row>
    <row r="61268" spans="43:43" x14ac:dyDescent="0.2">
      <c r="AQ61268" s="31"/>
    </row>
    <row r="61269" spans="43:43" x14ac:dyDescent="0.2">
      <c r="AQ61269" s="31"/>
    </row>
    <row r="61270" spans="43:43" x14ac:dyDescent="0.2">
      <c r="AQ61270" s="31"/>
    </row>
    <row r="61271" spans="43:43" x14ac:dyDescent="0.2">
      <c r="AQ61271" s="31"/>
    </row>
    <row r="61272" spans="43:43" x14ac:dyDescent="0.2">
      <c r="AQ61272" s="31"/>
    </row>
    <row r="61273" spans="43:43" x14ac:dyDescent="0.2">
      <c r="AQ61273" s="31"/>
    </row>
    <row r="61274" spans="43:43" x14ac:dyDescent="0.2">
      <c r="AQ61274" s="31"/>
    </row>
    <row r="61275" spans="43:43" x14ac:dyDescent="0.2">
      <c r="AQ61275" s="31"/>
    </row>
    <row r="61276" spans="43:43" x14ac:dyDescent="0.2">
      <c r="AQ61276" s="31"/>
    </row>
    <row r="61277" spans="43:43" x14ac:dyDescent="0.2">
      <c r="AQ61277" s="31"/>
    </row>
    <row r="61278" spans="43:43" x14ac:dyDescent="0.2">
      <c r="AQ61278" s="31"/>
    </row>
    <row r="61279" spans="43:43" x14ac:dyDescent="0.2">
      <c r="AQ61279" s="31"/>
    </row>
    <row r="61280" spans="43:43" x14ac:dyDescent="0.2">
      <c r="AQ61280" s="31"/>
    </row>
    <row r="61281" spans="43:43" x14ac:dyDescent="0.2">
      <c r="AQ61281" s="31"/>
    </row>
    <row r="61282" spans="43:43" x14ac:dyDescent="0.2">
      <c r="AQ61282" s="31"/>
    </row>
    <row r="61283" spans="43:43" x14ac:dyDescent="0.2">
      <c r="AQ61283" s="31"/>
    </row>
    <row r="61284" spans="43:43" x14ac:dyDescent="0.2">
      <c r="AQ61284" s="31"/>
    </row>
    <row r="61285" spans="43:43" x14ac:dyDescent="0.2">
      <c r="AQ61285" s="31"/>
    </row>
    <row r="61286" spans="43:43" x14ac:dyDescent="0.2">
      <c r="AQ61286" s="31"/>
    </row>
    <row r="61287" spans="43:43" x14ac:dyDescent="0.2">
      <c r="AQ61287" s="31"/>
    </row>
    <row r="61288" spans="43:43" x14ac:dyDescent="0.2">
      <c r="AQ61288" s="31"/>
    </row>
    <row r="61289" spans="43:43" x14ac:dyDescent="0.2">
      <c r="AQ61289" s="31"/>
    </row>
    <row r="61290" spans="43:43" x14ac:dyDescent="0.2">
      <c r="AQ61290" s="31"/>
    </row>
    <row r="61291" spans="43:43" x14ac:dyDescent="0.2">
      <c r="AQ61291" s="31"/>
    </row>
    <row r="61292" spans="43:43" x14ac:dyDescent="0.2">
      <c r="AQ61292" s="31"/>
    </row>
    <row r="61293" spans="43:43" x14ac:dyDescent="0.2">
      <c r="AQ61293" s="31"/>
    </row>
    <row r="61294" spans="43:43" x14ac:dyDescent="0.2">
      <c r="AQ61294" s="31"/>
    </row>
    <row r="61295" spans="43:43" x14ac:dyDescent="0.2">
      <c r="AQ61295" s="31"/>
    </row>
    <row r="61296" spans="43:43" x14ac:dyDescent="0.2">
      <c r="AQ61296" s="31"/>
    </row>
    <row r="61297" spans="43:43" x14ac:dyDescent="0.2">
      <c r="AQ61297" s="31"/>
    </row>
    <row r="61298" spans="43:43" x14ac:dyDescent="0.2">
      <c r="AQ61298" s="31"/>
    </row>
    <row r="61299" spans="43:43" x14ac:dyDescent="0.2">
      <c r="AQ61299" s="31"/>
    </row>
    <row r="61300" spans="43:43" x14ac:dyDescent="0.2">
      <c r="AQ61300" s="31"/>
    </row>
    <row r="61301" spans="43:43" x14ac:dyDescent="0.2">
      <c r="AQ61301" s="31"/>
    </row>
    <row r="61302" spans="43:43" x14ac:dyDescent="0.2">
      <c r="AQ61302" s="31"/>
    </row>
    <row r="61303" spans="43:43" x14ac:dyDescent="0.2">
      <c r="AQ61303" s="31"/>
    </row>
    <row r="61304" spans="43:43" x14ac:dyDescent="0.2">
      <c r="AQ61304" s="31"/>
    </row>
    <row r="61305" spans="43:43" x14ac:dyDescent="0.2">
      <c r="AQ61305" s="31"/>
    </row>
    <row r="61306" spans="43:43" x14ac:dyDescent="0.2">
      <c r="AQ61306" s="31"/>
    </row>
    <row r="61307" spans="43:43" x14ac:dyDescent="0.2">
      <c r="AQ61307" s="31"/>
    </row>
    <row r="61308" spans="43:43" x14ac:dyDescent="0.2">
      <c r="AQ61308" s="31"/>
    </row>
    <row r="61309" spans="43:43" x14ac:dyDescent="0.2">
      <c r="AQ61309" s="31"/>
    </row>
    <row r="61310" spans="43:43" x14ac:dyDescent="0.2">
      <c r="AQ61310" s="31"/>
    </row>
    <row r="61311" spans="43:43" x14ac:dyDescent="0.2">
      <c r="AQ61311" s="31"/>
    </row>
    <row r="61312" spans="43:43" x14ac:dyDescent="0.2">
      <c r="AQ61312" s="31"/>
    </row>
    <row r="61313" spans="43:43" x14ac:dyDescent="0.2">
      <c r="AQ61313" s="31"/>
    </row>
    <row r="61314" spans="43:43" x14ac:dyDescent="0.2">
      <c r="AQ61314" s="31"/>
    </row>
    <row r="61315" spans="43:43" x14ac:dyDescent="0.2">
      <c r="AQ61315" s="31"/>
    </row>
    <row r="61316" spans="43:43" x14ac:dyDescent="0.2">
      <c r="AQ61316" s="31"/>
    </row>
    <row r="61317" spans="43:43" x14ac:dyDescent="0.2">
      <c r="AQ61317" s="31"/>
    </row>
    <row r="61318" spans="43:43" x14ac:dyDescent="0.2">
      <c r="AQ61318" s="31"/>
    </row>
    <row r="61319" spans="43:43" x14ac:dyDescent="0.2">
      <c r="AQ61319" s="31"/>
    </row>
    <row r="61320" spans="43:43" x14ac:dyDescent="0.2">
      <c r="AQ61320" s="31"/>
    </row>
    <row r="61321" spans="43:43" x14ac:dyDescent="0.2">
      <c r="AQ61321" s="31"/>
    </row>
    <row r="61322" spans="43:43" x14ac:dyDescent="0.2">
      <c r="AQ61322" s="31"/>
    </row>
    <row r="61323" spans="43:43" x14ac:dyDescent="0.2">
      <c r="AQ61323" s="31"/>
    </row>
    <row r="61324" spans="43:43" x14ac:dyDescent="0.2">
      <c r="AQ61324" s="31"/>
    </row>
    <row r="61325" spans="43:43" x14ac:dyDescent="0.2">
      <c r="AQ61325" s="31"/>
    </row>
    <row r="61326" spans="43:43" x14ac:dyDescent="0.2">
      <c r="AQ61326" s="31"/>
    </row>
    <row r="61327" spans="43:43" x14ac:dyDescent="0.2">
      <c r="AQ61327" s="31"/>
    </row>
    <row r="61328" spans="43:43" x14ac:dyDescent="0.2">
      <c r="AQ61328" s="31"/>
    </row>
    <row r="61329" spans="43:43" x14ac:dyDescent="0.2">
      <c r="AQ61329" s="31"/>
    </row>
    <row r="61330" spans="43:43" x14ac:dyDescent="0.2">
      <c r="AQ61330" s="31"/>
    </row>
    <row r="61331" spans="43:43" x14ac:dyDescent="0.2">
      <c r="AQ61331" s="31"/>
    </row>
    <row r="61332" spans="43:43" x14ac:dyDescent="0.2">
      <c r="AQ61332" s="31"/>
    </row>
    <row r="61333" spans="43:43" x14ac:dyDescent="0.2">
      <c r="AQ61333" s="31"/>
    </row>
    <row r="61334" spans="43:43" x14ac:dyDescent="0.2">
      <c r="AQ61334" s="31"/>
    </row>
    <row r="61335" spans="43:43" x14ac:dyDescent="0.2">
      <c r="AQ61335" s="31"/>
    </row>
    <row r="61336" spans="43:43" x14ac:dyDescent="0.2">
      <c r="AQ61336" s="31"/>
    </row>
    <row r="61337" spans="43:43" x14ac:dyDescent="0.2">
      <c r="AQ61337" s="31"/>
    </row>
    <row r="61338" spans="43:43" x14ac:dyDescent="0.2">
      <c r="AQ61338" s="31"/>
    </row>
    <row r="61339" spans="43:43" x14ac:dyDescent="0.2">
      <c r="AQ61339" s="31"/>
    </row>
    <row r="61340" spans="43:43" x14ac:dyDescent="0.2">
      <c r="AQ61340" s="31"/>
    </row>
    <row r="61341" spans="43:43" x14ac:dyDescent="0.2">
      <c r="AQ61341" s="31"/>
    </row>
    <row r="61342" spans="43:43" x14ac:dyDescent="0.2">
      <c r="AQ61342" s="31"/>
    </row>
    <row r="61343" spans="43:43" x14ac:dyDescent="0.2">
      <c r="AQ61343" s="31"/>
    </row>
    <row r="61344" spans="43:43" x14ac:dyDescent="0.2">
      <c r="AQ61344" s="31"/>
    </row>
    <row r="61345" spans="43:43" x14ac:dyDescent="0.2">
      <c r="AQ61345" s="31"/>
    </row>
    <row r="61346" spans="43:43" x14ac:dyDescent="0.2">
      <c r="AQ61346" s="31"/>
    </row>
    <row r="61347" spans="43:43" x14ac:dyDescent="0.2">
      <c r="AQ61347" s="31"/>
    </row>
    <row r="61348" spans="43:43" x14ac:dyDescent="0.2">
      <c r="AQ61348" s="31"/>
    </row>
    <row r="61349" spans="43:43" x14ac:dyDescent="0.2">
      <c r="AQ61349" s="31"/>
    </row>
    <row r="61350" spans="43:43" x14ac:dyDescent="0.2">
      <c r="AQ61350" s="31"/>
    </row>
    <row r="61351" spans="43:43" x14ac:dyDescent="0.2">
      <c r="AQ61351" s="31"/>
    </row>
    <row r="61352" spans="43:43" x14ac:dyDescent="0.2">
      <c r="AQ61352" s="31"/>
    </row>
    <row r="61353" spans="43:43" x14ac:dyDescent="0.2">
      <c r="AQ61353" s="31"/>
    </row>
    <row r="61354" spans="43:43" x14ac:dyDescent="0.2">
      <c r="AQ61354" s="31"/>
    </row>
    <row r="61355" spans="43:43" x14ac:dyDescent="0.2">
      <c r="AQ61355" s="31"/>
    </row>
    <row r="61356" spans="43:43" x14ac:dyDescent="0.2">
      <c r="AQ61356" s="31"/>
    </row>
    <row r="61357" spans="43:43" x14ac:dyDescent="0.2">
      <c r="AQ61357" s="31"/>
    </row>
    <row r="61358" spans="43:43" x14ac:dyDescent="0.2">
      <c r="AQ61358" s="31"/>
    </row>
    <row r="61359" spans="43:43" x14ac:dyDescent="0.2">
      <c r="AQ61359" s="31"/>
    </row>
    <row r="61360" spans="43:43" x14ac:dyDescent="0.2">
      <c r="AQ61360" s="31"/>
    </row>
    <row r="61361" spans="43:43" x14ac:dyDescent="0.2">
      <c r="AQ61361" s="31"/>
    </row>
    <row r="61362" spans="43:43" x14ac:dyDescent="0.2">
      <c r="AQ61362" s="31"/>
    </row>
    <row r="61363" spans="43:43" x14ac:dyDescent="0.2">
      <c r="AQ61363" s="31"/>
    </row>
    <row r="61364" spans="43:43" x14ac:dyDescent="0.2">
      <c r="AQ61364" s="31"/>
    </row>
    <row r="61365" spans="43:43" x14ac:dyDescent="0.2">
      <c r="AQ61365" s="31"/>
    </row>
    <row r="61366" spans="43:43" x14ac:dyDescent="0.2">
      <c r="AQ61366" s="31"/>
    </row>
    <row r="61367" spans="43:43" x14ac:dyDescent="0.2">
      <c r="AQ61367" s="31"/>
    </row>
    <row r="61368" spans="43:43" x14ac:dyDescent="0.2">
      <c r="AQ61368" s="31"/>
    </row>
    <row r="61369" spans="43:43" x14ac:dyDescent="0.2">
      <c r="AQ61369" s="31"/>
    </row>
    <row r="61370" spans="43:43" x14ac:dyDescent="0.2">
      <c r="AQ61370" s="31"/>
    </row>
    <row r="61371" spans="43:43" x14ac:dyDescent="0.2">
      <c r="AQ61371" s="31"/>
    </row>
    <row r="61372" spans="43:43" x14ac:dyDescent="0.2">
      <c r="AQ61372" s="31"/>
    </row>
    <row r="61373" spans="43:43" x14ac:dyDescent="0.2">
      <c r="AQ61373" s="31"/>
    </row>
    <row r="61374" spans="43:43" x14ac:dyDescent="0.2">
      <c r="AQ61374" s="31"/>
    </row>
    <row r="61375" spans="43:43" x14ac:dyDescent="0.2">
      <c r="AQ61375" s="31"/>
    </row>
    <row r="61376" spans="43:43" x14ac:dyDescent="0.2">
      <c r="AQ61376" s="31"/>
    </row>
    <row r="61377" spans="43:43" x14ac:dyDescent="0.2">
      <c r="AQ61377" s="31"/>
    </row>
    <row r="61378" spans="43:43" x14ac:dyDescent="0.2">
      <c r="AQ61378" s="31"/>
    </row>
    <row r="61379" spans="43:43" x14ac:dyDescent="0.2">
      <c r="AQ61379" s="31"/>
    </row>
    <row r="61380" spans="43:43" x14ac:dyDescent="0.2">
      <c r="AQ61380" s="31"/>
    </row>
    <row r="61381" spans="43:43" x14ac:dyDescent="0.2">
      <c r="AQ61381" s="31"/>
    </row>
    <row r="61382" spans="43:43" x14ac:dyDescent="0.2">
      <c r="AQ61382" s="31"/>
    </row>
    <row r="61383" spans="43:43" x14ac:dyDescent="0.2">
      <c r="AQ61383" s="31"/>
    </row>
    <row r="61384" spans="43:43" x14ac:dyDescent="0.2">
      <c r="AQ61384" s="31"/>
    </row>
    <row r="61385" spans="43:43" x14ac:dyDescent="0.2">
      <c r="AQ61385" s="31"/>
    </row>
    <row r="61386" spans="43:43" x14ac:dyDescent="0.2">
      <c r="AQ61386" s="31"/>
    </row>
    <row r="61387" spans="43:43" x14ac:dyDescent="0.2">
      <c r="AQ61387" s="31"/>
    </row>
    <row r="61388" spans="43:43" x14ac:dyDescent="0.2">
      <c r="AQ61388" s="31"/>
    </row>
    <row r="61389" spans="43:43" x14ac:dyDescent="0.2">
      <c r="AQ61389" s="31"/>
    </row>
    <row r="61390" spans="43:43" x14ac:dyDescent="0.2">
      <c r="AQ61390" s="31"/>
    </row>
    <row r="61391" spans="43:43" x14ac:dyDescent="0.2">
      <c r="AQ61391" s="31"/>
    </row>
    <row r="61392" spans="43:43" x14ac:dyDescent="0.2">
      <c r="AQ61392" s="31"/>
    </row>
    <row r="61393" spans="43:43" x14ac:dyDescent="0.2">
      <c r="AQ61393" s="31"/>
    </row>
    <row r="61394" spans="43:43" x14ac:dyDescent="0.2">
      <c r="AQ61394" s="31"/>
    </row>
    <row r="61395" spans="43:43" x14ac:dyDescent="0.2">
      <c r="AQ61395" s="31"/>
    </row>
    <row r="61396" spans="43:43" x14ac:dyDescent="0.2">
      <c r="AQ61396" s="31"/>
    </row>
    <row r="61397" spans="43:43" x14ac:dyDescent="0.2">
      <c r="AQ61397" s="31"/>
    </row>
    <row r="61398" spans="43:43" x14ac:dyDescent="0.2">
      <c r="AQ61398" s="31"/>
    </row>
    <row r="61399" spans="43:43" x14ac:dyDescent="0.2">
      <c r="AQ61399" s="31"/>
    </row>
    <row r="61400" spans="43:43" x14ac:dyDescent="0.2">
      <c r="AQ61400" s="31"/>
    </row>
    <row r="61401" spans="43:43" x14ac:dyDescent="0.2">
      <c r="AQ61401" s="31"/>
    </row>
    <row r="61402" spans="43:43" x14ac:dyDescent="0.2">
      <c r="AQ61402" s="31"/>
    </row>
    <row r="61403" spans="43:43" x14ac:dyDescent="0.2">
      <c r="AQ61403" s="31"/>
    </row>
    <row r="61404" spans="43:43" x14ac:dyDescent="0.2">
      <c r="AQ61404" s="31"/>
    </row>
    <row r="61405" spans="43:43" x14ac:dyDescent="0.2">
      <c r="AQ61405" s="31"/>
    </row>
    <row r="61406" spans="43:43" x14ac:dyDescent="0.2">
      <c r="AQ61406" s="31"/>
    </row>
    <row r="61407" spans="43:43" x14ac:dyDescent="0.2">
      <c r="AQ61407" s="31"/>
    </row>
    <row r="61408" spans="43:43" x14ac:dyDescent="0.2">
      <c r="AQ61408" s="31"/>
    </row>
    <row r="61409" spans="43:43" x14ac:dyDescent="0.2">
      <c r="AQ61409" s="31"/>
    </row>
    <row r="61410" spans="43:43" x14ac:dyDescent="0.2">
      <c r="AQ61410" s="31"/>
    </row>
    <row r="61411" spans="43:43" x14ac:dyDescent="0.2">
      <c r="AQ61411" s="31"/>
    </row>
    <row r="61412" spans="43:43" x14ac:dyDescent="0.2">
      <c r="AQ61412" s="31"/>
    </row>
    <row r="61413" spans="43:43" x14ac:dyDescent="0.2">
      <c r="AQ61413" s="31"/>
    </row>
    <row r="61414" spans="43:43" x14ac:dyDescent="0.2">
      <c r="AQ61414" s="31"/>
    </row>
    <row r="61415" spans="43:43" x14ac:dyDescent="0.2">
      <c r="AQ61415" s="31"/>
    </row>
    <row r="61416" spans="43:43" x14ac:dyDescent="0.2">
      <c r="AQ61416" s="31"/>
    </row>
    <row r="61417" spans="43:43" x14ac:dyDescent="0.2">
      <c r="AQ61417" s="31"/>
    </row>
    <row r="61418" spans="43:43" x14ac:dyDescent="0.2">
      <c r="AQ61418" s="31"/>
    </row>
    <row r="61419" spans="43:43" x14ac:dyDescent="0.2">
      <c r="AQ61419" s="31"/>
    </row>
    <row r="61420" spans="43:43" x14ac:dyDescent="0.2">
      <c r="AQ61420" s="31"/>
    </row>
    <row r="61421" spans="43:43" x14ac:dyDescent="0.2">
      <c r="AQ61421" s="31"/>
    </row>
    <row r="61422" spans="43:43" x14ac:dyDescent="0.2">
      <c r="AQ61422" s="31"/>
    </row>
    <row r="61423" spans="43:43" x14ac:dyDescent="0.2">
      <c r="AQ61423" s="31"/>
    </row>
    <row r="61424" spans="43:43" x14ac:dyDescent="0.2">
      <c r="AQ61424" s="31"/>
    </row>
    <row r="61425" spans="43:43" x14ac:dyDescent="0.2">
      <c r="AQ61425" s="31"/>
    </row>
    <row r="61426" spans="43:43" x14ac:dyDescent="0.2">
      <c r="AQ61426" s="31"/>
    </row>
    <row r="61427" spans="43:43" x14ac:dyDescent="0.2">
      <c r="AQ61427" s="31"/>
    </row>
    <row r="61428" spans="43:43" x14ac:dyDescent="0.2">
      <c r="AQ61428" s="31"/>
    </row>
    <row r="61429" spans="43:43" x14ac:dyDescent="0.2">
      <c r="AQ61429" s="31"/>
    </row>
    <row r="61430" spans="43:43" x14ac:dyDescent="0.2">
      <c r="AQ61430" s="31"/>
    </row>
    <row r="61431" spans="43:43" x14ac:dyDescent="0.2">
      <c r="AQ61431" s="31"/>
    </row>
    <row r="61432" spans="43:43" x14ac:dyDescent="0.2">
      <c r="AQ61432" s="31"/>
    </row>
    <row r="61433" spans="43:43" x14ac:dyDescent="0.2">
      <c r="AQ61433" s="31"/>
    </row>
    <row r="61434" spans="43:43" x14ac:dyDescent="0.2">
      <c r="AQ61434" s="31"/>
    </row>
    <row r="61435" spans="43:43" x14ac:dyDescent="0.2">
      <c r="AQ61435" s="31"/>
    </row>
    <row r="61436" spans="43:43" x14ac:dyDescent="0.2">
      <c r="AQ61436" s="31"/>
    </row>
    <row r="61437" spans="43:43" x14ac:dyDescent="0.2">
      <c r="AQ61437" s="31"/>
    </row>
    <row r="61438" spans="43:43" x14ac:dyDescent="0.2">
      <c r="AQ61438" s="31"/>
    </row>
    <row r="61439" spans="43:43" x14ac:dyDescent="0.2">
      <c r="AQ61439" s="31"/>
    </row>
    <row r="61440" spans="43:43" x14ac:dyDescent="0.2">
      <c r="AQ61440" s="31"/>
    </row>
    <row r="61441" spans="43:43" x14ac:dyDescent="0.2">
      <c r="AQ61441" s="31"/>
    </row>
    <row r="61442" spans="43:43" x14ac:dyDescent="0.2">
      <c r="AQ61442" s="31"/>
    </row>
    <row r="61443" spans="43:43" x14ac:dyDescent="0.2">
      <c r="AQ61443" s="31"/>
    </row>
    <row r="61444" spans="43:43" x14ac:dyDescent="0.2">
      <c r="AQ61444" s="31"/>
    </row>
    <row r="61445" spans="43:43" x14ac:dyDescent="0.2">
      <c r="AQ61445" s="31"/>
    </row>
    <row r="61446" spans="43:43" x14ac:dyDescent="0.2">
      <c r="AQ61446" s="31"/>
    </row>
    <row r="61447" spans="43:43" x14ac:dyDescent="0.2">
      <c r="AQ61447" s="31"/>
    </row>
    <row r="61448" spans="43:43" x14ac:dyDescent="0.2">
      <c r="AQ61448" s="31"/>
    </row>
    <row r="61449" spans="43:43" x14ac:dyDescent="0.2">
      <c r="AQ61449" s="31"/>
    </row>
    <row r="61450" spans="43:43" x14ac:dyDescent="0.2">
      <c r="AQ61450" s="31"/>
    </row>
    <row r="61451" spans="43:43" x14ac:dyDescent="0.2">
      <c r="AQ61451" s="31"/>
    </row>
    <row r="61452" spans="43:43" x14ac:dyDescent="0.2">
      <c r="AQ61452" s="31"/>
    </row>
    <row r="61453" spans="43:43" x14ac:dyDescent="0.2">
      <c r="AQ61453" s="31"/>
    </row>
    <row r="61454" spans="43:43" x14ac:dyDescent="0.2">
      <c r="AQ61454" s="31"/>
    </row>
    <row r="61455" spans="43:43" x14ac:dyDescent="0.2">
      <c r="AQ61455" s="31"/>
    </row>
    <row r="61456" spans="43:43" x14ac:dyDescent="0.2">
      <c r="AQ61456" s="31"/>
    </row>
    <row r="61457" spans="43:43" x14ac:dyDescent="0.2">
      <c r="AQ61457" s="31"/>
    </row>
    <row r="61458" spans="43:43" x14ac:dyDescent="0.2">
      <c r="AQ61458" s="31"/>
    </row>
    <row r="61459" spans="43:43" x14ac:dyDescent="0.2">
      <c r="AQ61459" s="31"/>
    </row>
    <row r="61460" spans="43:43" x14ac:dyDescent="0.2">
      <c r="AQ61460" s="31"/>
    </row>
    <row r="61461" spans="43:43" x14ac:dyDescent="0.2">
      <c r="AQ61461" s="31"/>
    </row>
    <row r="61462" spans="43:43" x14ac:dyDescent="0.2">
      <c r="AQ61462" s="31"/>
    </row>
    <row r="61463" spans="43:43" x14ac:dyDescent="0.2">
      <c r="AQ61463" s="31"/>
    </row>
    <row r="61464" spans="43:43" x14ac:dyDescent="0.2">
      <c r="AQ61464" s="31"/>
    </row>
    <row r="61465" spans="43:43" x14ac:dyDescent="0.2">
      <c r="AQ61465" s="31"/>
    </row>
    <row r="61466" spans="43:43" x14ac:dyDescent="0.2">
      <c r="AQ61466" s="31"/>
    </row>
    <row r="61467" spans="43:43" x14ac:dyDescent="0.2">
      <c r="AQ61467" s="31"/>
    </row>
    <row r="61468" spans="43:43" x14ac:dyDescent="0.2">
      <c r="AQ61468" s="31"/>
    </row>
    <row r="61469" spans="43:43" x14ac:dyDescent="0.2">
      <c r="AQ61469" s="31"/>
    </row>
    <row r="61470" spans="43:43" x14ac:dyDescent="0.2">
      <c r="AQ61470" s="31"/>
    </row>
    <row r="61471" spans="43:43" x14ac:dyDescent="0.2">
      <c r="AQ61471" s="31"/>
    </row>
    <row r="61472" spans="43:43" x14ac:dyDescent="0.2">
      <c r="AQ61472" s="31"/>
    </row>
    <row r="61473" spans="43:43" x14ac:dyDescent="0.2">
      <c r="AQ61473" s="31"/>
    </row>
    <row r="61474" spans="43:43" x14ac:dyDescent="0.2">
      <c r="AQ61474" s="31"/>
    </row>
    <row r="61475" spans="43:43" x14ac:dyDescent="0.2">
      <c r="AQ61475" s="31"/>
    </row>
    <row r="61476" spans="43:43" x14ac:dyDescent="0.2">
      <c r="AQ61476" s="31"/>
    </row>
    <row r="61477" spans="43:43" x14ac:dyDescent="0.2">
      <c r="AQ61477" s="31"/>
    </row>
    <row r="61478" spans="43:43" x14ac:dyDescent="0.2">
      <c r="AQ61478" s="31"/>
    </row>
    <row r="61479" spans="43:43" x14ac:dyDescent="0.2">
      <c r="AQ61479" s="31"/>
    </row>
    <row r="61480" spans="43:43" x14ac:dyDescent="0.2">
      <c r="AQ61480" s="31"/>
    </row>
    <row r="61481" spans="43:43" x14ac:dyDescent="0.2">
      <c r="AQ61481" s="31"/>
    </row>
    <row r="61482" spans="43:43" x14ac:dyDescent="0.2">
      <c r="AQ61482" s="31"/>
    </row>
    <row r="61483" spans="43:43" x14ac:dyDescent="0.2">
      <c r="AQ61483" s="31"/>
    </row>
    <row r="61484" spans="43:43" x14ac:dyDescent="0.2">
      <c r="AQ61484" s="31"/>
    </row>
    <row r="61485" spans="43:43" x14ac:dyDescent="0.2">
      <c r="AQ61485" s="31"/>
    </row>
    <row r="61486" spans="43:43" x14ac:dyDescent="0.2">
      <c r="AQ61486" s="31"/>
    </row>
    <row r="61487" spans="43:43" x14ac:dyDescent="0.2">
      <c r="AQ61487" s="31"/>
    </row>
    <row r="61488" spans="43:43" x14ac:dyDescent="0.2">
      <c r="AQ61488" s="31"/>
    </row>
    <row r="61489" spans="43:43" x14ac:dyDescent="0.2">
      <c r="AQ61489" s="31"/>
    </row>
    <row r="61490" spans="43:43" x14ac:dyDescent="0.2">
      <c r="AQ61490" s="31"/>
    </row>
    <row r="61491" spans="43:43" x14ac:dyDescent="0.2">
      <c r="AQ61491" s="31"/>
    </row>
    <row r="61492" spans="43:43" x14ac:dyDescent="0.2">
      <c r="AQ61492" s="31"/>
    </row>
    <row r="61493" spans="43:43" x14ac:dyDescent="0.2">
      <c r="AQ61493" s="31"/>
    </row>
    <row r="61494" spans="43:43" x14ac:dyDescent="0.2">
      <c r="AQ61494" s="31"/>
    </row>
    <row r="61495" spans="43:43" x14ac:dyDescent="0.2">
      <c r="AQ61495" s="31"/>
    </row>
    <row r="61496" spans="43:43" x14ac:dyDescent="0.2">
      <c r="AQ61496" s="31"/>
    </row>
    <row r="61497" spans="43:43" x14ac:dyDescent="0.2">
      <c r="AQ61497" s="31"/>
    </row>
    <row r="61498" spans="43:43" x14ac:dyDescent="0.2">
      <c r="AQ61498" s="31"/>
    </row>
    <row r="61499" spans="43:43" x14ac:dyDescent="0.2">
      <c r="AQ61499" s="31"/>
    </row>
    <row r="61500" spans="43:43" x14ac:dyDescent="0.2">
      <c r="AQ61500" s="31"/>
    </row>
    <row r="61501" spans="43:43" x14ac:dyDescent="0.2">
      <c r="AQ61501" s="31"/>
    </row>
    <row r="61502" spans="43:43" x14ac:dyDescent="0.2">
      <c r="AQ61502" s="31"/>
    </row>
    <row r="61503" spans="43:43" x14ac:dyDescent="0.2">
      <c r="AQ61503" s="31"/>
    </row>
    <row r="61504" spans="43:43" x14ac:dyDescent="0.2">
      <c r="AQ61504" s="31"/>
    </row>
    <row r="61505" spans="43:43" x14ac:dyDescent="0.2">
      <c r="AQ61505" s="31"/>
    </row>
    <row r="61506" spans="43:43" x14ac:dyDescent="0.2">
      <c r="AQ61506" s="31"/>
    </row>
    <row r="61507" spans="43:43" x14ac:dyDescent="0.2">
      <c r="AQ61507" s="31"/>
    </row>
    <row r="61508" spans="43:43" x14ac:dyDescent="0.2">
      <c r="AQ61508" s="31"/>
    </row>
    <row r="61509" spans="43:43" x14ac:dyDescent="0.2">
      <c r="AQ61509" s="31"/>
    </row>
    <row r="61510" spans="43:43" x14ac:dyDescent="0.2">
      <c r="AQ61510" s="31"/>
    </row>
    <row r="61511" spans="43:43" x14ac:dyDescent="0.2">
      <c r="AQ61511" s="31"/>
    </row>
    <row r="61512" spans="43:43" x14ac:dyDescent="0.2">
      <c r="AQ61512" s="31"/>
    </row>
    <row r="61513" spans="43:43" x14ac:dyDescent="0.2">
      <c r="AQ61513" s="31"/>
    </row>
    <row r="61514" spans="43:43" x14ac:dyDescent="0.2">
      <c r="AQ61514" s="31"/>
    </row>
    <row r="61515" spans="43:43" x14ac:dyDescent="0.2">
      <c r="AQ61515" s="31"/>
    </row>
    <row r="61516" spans="43:43" x14ac:dyDescent="0.2">
      <c r="AQ61516" s="31"/>
    </row>
    <row r="61517" spans="43:43" x14ac:dyDescent="0.2">
      <c r="AQ61517" s="31"/>
    </row>
    <row r="61518" spans="43:43" x14ac:dyDescent="0.2">
      <c r="AQ61518" s="31"/>
    </row>
    <row r="61519" spans="43:43" x14ac:dyDescent="0.2">
      <c r="AQ61519" s="31"/>
    </row>
    <row r="61520" spans="43:43" x14ac:dyDescent="0.2">
      <c r="AQ61520" s="31"/>
    </row>
    <row r="61521" spans="43:43" x14ac:dyDescent="0.2">
      <c r="AQ61521" s="31"/>
    </row>
    <row r="61522" spans="43:43" x14ac:dyDescent="0.2">
      <c r="AQ61522" s="31"/>
    </row>
    <row r="61523" spans="43:43" x14ac:dyDescent="0.2">
      <c r="AQ61523" s="31"/>
    </row>
    <row r="61524" spans="43:43" x14ac:dyDescent="0.2">
      <c r="AQ61524" s="31"/>
    </row>
    <row r="61525" spans="43:43" x14ac:dyDescent="0.2">
      <c r="AQ61525" s="31"/>
    </row>
    <row r="61526" spans="43:43" x14ac:dyDescent="0.2">
      <c r="AQ61526" s="31"/>
    </row>
    <row r="61527" spans="43:43" x14ac:dyDescent="0.2">
      <c r="AQ61527" s="31"/>
    </row>
    <row r="61528" spans="43:43" x14ac:dyDescent="0.2">
      <c r="AQ61528" s="31"/>
    </row>
    <row r="61529" spans="43:43" x14ac:dyDescent="0.2">
      <c r="AQ61529" s="31"/>
    </row>
    <row r="61530" spans="43:43" x14ac:dyDescent="0.2">
      <c r="AQ61530" s="31"/>
    </row>
    <row r="61531" spans="43:43" x14ac:dyDescent="0.2">
      <c r="AQ61531" s="31"/>
    </row>
    <row r="61532" spans="43:43" x14ac:dyDescent="0.2">
      <c r="AQ61532" s="31"/>
    </row>
    <row r="61533" spans="43:43" x14ac:dyDescent="0.2">
      <c r="AQ61533" s="31"/>
    </row>
    <row r="61534" spans="43:43" x14ac:dyDescent="0.2">
      <c r="AQ61534" s="31"/>
    </row>
    <row r="61535" spans="43:43" x14ac:dyDescent="0.2">
      <c r="AQ61535" s="31"/>
    </row>
    <row r="61536" spans="43:43" x14ac:dyDescent="0.2">
      <c r="AQ61536" s="31"/>
    </row>
    <row r="61537" spans="43:43" x14ac:dyDescent="0.2">
      <c r="AQ61537" s="31"/>
    </row>
    <row r="61538" spans="43:43" x14ac:dyDescent="0.2">
      <c r="AQ61538" s="31"/>
    </row>
    <row r="61539" spans="43:43" x14ac:dyDescent="0.2">
      <c r="AQ61539" s="31"/>
    </row>
    <row r="61540" spans="43:43" x14ac:dyDescent="0.2">
      <c r="AQ61540" s="31"/>
    </row>
    <row r="61541" spans="43:43" x14ac:dyDescent="0.2">
      <c r="AQ61541" s="31"/>
    </row>
    <row r="61542" spans="43:43" x14ac:dyDescent="0.2">
      <c r="AQ61542" s="31"/>
    </row>
    <row r="61543" spans="43:43" x14ac:dyDescent="0.2">
      <c r="AQ61543" s="31"/>
    </row>
    <row r="61544" spans="43:43" x14ac:dyDescent="0.2">
      <c r="AQ61544" s="31"/>
    </row>
    <row r="61545" spans="43:43" x14ac:dyDescent="0.2">
      <c r="AQ61545" s="31"/>
    </row>
    <row r="61546" spans="43:43" x14ac:dyDescent="0.2">
      <c r="AQ61546" s="31"/>
    </row>
    <row r="61547" spans="43:43" x14ac:dyDescent="0.2">
      <c r="AQ61547" s="31"/>
    </row>
    <row r="61548" spans="43:43" x14ac:dyDescent="0.2">
      <c r="AQ61548" s="31"/>
    </row>
    <row r="61549" spans="43:43" x14ac:dyDescent="0.2">
      <c r="AQ61549" s="31"/>
    </row>
    <row r="61550" spans="43:43" x14ac:dyDescent="0.2">
      <c r="AQ61550" s="31"/>
    </row>
    <row r="61551" spans="43:43" x14ac:dyDescent="0.2">
      <c r="AQ61551" s="31"/>
    </row>
    <row r="61552" spans="43:43" x14ac:dyDescent="0.2">
      <c r="AQ61552" s="31"/>
    </row>
    <row r="61553" spans="43:43" x14ac:dyDescent="0.2">
      <c r="AQ61553" s="31"/>
    </row>
    <row r="61554" spans="43:43" x14ac:dyDescent="0.2">
      <c r="AQ61554" s="31"/>
    </row>
    <row r="61555" spans="43:43" x14ac:dyDescent="0.2">
      <c r="AQ61555" s="31"/>
    </row>
    <row r="61556" spans="43:43" x14ac:dyDescent="0.2">
      <c r="AQ61556" s="31"/>
    </row>
    <row r="61557" spans="43:43" x14ac:dyDescent="0.2">
      <c r="AQ61557" s="31"/>
    </row>
    <row r="61558" spans="43:43" x14ac:dyDescent="0.2">
      <c r="AQ61558" s="31"/>
    </row>
    <row r="61559" spans="43:43" x14ac:dyDescent="0.2">
      <c r="AQ61559" s="31"/>
    </row>
    <row r="61560" spans="43:43" x14ac:dyDescent="0.2">
      <c r="AQ61560" s="31"/>
    </row>
    <row r="61561" spans="43:43" x14ac:dyDescent="0.2">
      <c r="AQ61561" s="31"/>
    </row>
    <row r="61562" spans="43:43" x14ac:dyDescent="0.2">
      <c r="AQ61562" s="31"/>
    </row>
    <row r="61563" spans="43:43" x14ac:dyDescent="0.2">
      <c r="AQ61563" s="31"/>
    </row>
    <row r="61564" spans="43:43" x14ac:dyDescent="0.2">
      <c r="AQ61564" s="31"/>
    </row>
    <row r="61565" spans="43:43" x14ac:dyDescent="0.2">
      <c r="AQ61565" s="31"/>
    </row>
    <row r="61566" spans="43:43" x14ac:dyDescent="0.2">
      <c r="AQ61566" s="31"/>
    </row>
    <row r="61567" spans="43:43" x14ac:dyDescent="0.2">
      <c r="AQ61567" s="31"/>
    </row>
    <row r="61568" spans="43:43" x14ac:dyDescent="0.2">
      <c r="AQ61568" s="31"/>
    </row>
    <row r="61569" spans="43:43" x14ac:dyDescent="0.2">
      <c r="AQ61569" s="31"/>
    </row>
    <row r="61570" spans="43:43" x14ac:dyDescent="0.2">
      <c r="AQ61570" s="31"/>
    </row>
    <row r="61571" spans="43:43" x14ac:dyDescent="0.2">
      <c r="AQ61571" s="31"/>
    </row>
    <row r="61572" spans="43:43" x14ac:dyDescent="0.2">
      <c r="AQ61572" s="31"/>
    </row>
    <row r="61573" spans="43:43" x14ac:dyDescent="0.2">
      <c r="AQ61573" s="31"/>
    </row>
    <row r="61574" spans="43:43" x14ac:dyDescent="0.2">
      <c r="AQ61574" s="31"/>
    </row>
    <row r="61575" spans="43:43" x14ac:dyDescent="0.2">
      <c r="AQ61575" s="31"/>
    </row>
    <row r="61576" spans="43:43" x14ac:dyDescent="0.2">
      <c r="AQ61576" s="31"/>
    </row>
    <row r="61577" spans="43:43" x14ac:dyDescent="0.2">
      <c r="AQ61577" s="31"/>
    </row>
    <row r="61578" spans="43:43" x14ac:dyDescent="0.2">
      <c r="AQ61578" s="31"/>
    </row>
    <row r="61579" spans="43:43" x14ac:dyDescent="0.2">
      <c r="AQ61579" s="31"/>
    </row>
    <row r="61580" spans="43:43" x14ac:dyDescent="0.2">
      <c r="AQ61580" s="31"/>
    </row>
    <row r="61581" spans="43:43" x14ac:dyDescent="0.2">
      <c r="AQ61581" s="31"/>
    </row>
    <row r="61582" spans="43:43" x14ac:dyDescent="0.2">
      <c r="AQ61582" s="31"/>
    </row>
    <row r="61583" spans="43:43" x14ac:dyDescent="0.2">
      <c r="AQ61583" s="31"/>
    </row>
    <row r="61584" spans="43:43" x14ac:dyDescent="0.2">
      <c r="AQ61584" s="31"/>
    </row>
    <row r="61585" spans="43:43" x14ac:dyDescent="0.2">
      <c r="AQ61585" s="31"/>
    </row>
    <row r="61586" spans="43:43" x14ac:dyDescent="0.2">
      <c r="AQ61586" s="31"/>
    </row>
    <row r="61587" spans="43:43" x14ac:dyDescent="0.2">
      <c r="AQ61587" s="31"/>
    </row>
    <row r="61588" spans="43:43" x14ac:dyDescent="0.2">
      <c r="AQ61588" s="31"/>
    </row>
    <row r="61589" spans="43:43" x14ac:dyDescent="0.2">
      <c r="AQ61589" s="31"/>
    </row>
    <row r="61590" spans="43:43" x14ac:dyDescent="0.2">
      <c r="AQ61590" s="31"/>
    </row>
    <row r="61591" spans="43:43" x14ac:dyDescent="0.2">
      <c r="AQ61591" s="31"/>
    </row>
    <row r="61592" spans="43:43" x14ac:dyDescent="0.2">
      <c r="AQ61592" s="31"/>
    </row>
    <row r="61593" spans="43:43" x14ac:dyDescent="0.2">
      <c r="AQ61593" s="31"/>
    </row>
    <row r="61594" spans="43:43" x14ac:dyDescent="0.2">
      <c r="AQ61594" s="31"/>
    </row>
    <row r="61595" spans="43:43" x14ac:dyDescent="0.2">
      <c r="AQ61595" s="31"/>
    </row>
    <row r="61596" spans="43:43" x14ac:dyDescent="0.2">
      <c r="AQ61596" s="31"/>
    </row>
    <row r="61597" spans="43:43" x14ac:dyDescent="0.2">
      <c r="AQ61597" s="31"/>
    </row>
    <row r="61598" spans="43:43" x14ac:dyDescent="0.2">
      <c r="AQ61598" s="31"/>
    </row>
    <row r="61599" spans="43:43" x14ac:dyDescent="0.2">
      <c r="AQ61599" s="31"/>
    </row>
    <row r="61600" spans="43:43" x14ac:dyDescent="0.2">
      <c r="AQ61600" s="31"/>
    </row>
    <row r="61601" spans="43:43" x14ac:dyDescent="0.2">
      <c r="AQ61601" s="31"/>
    </row>
    <row r="61602" spans="43:43" x14ac:dyDescent="0.2">
      <c r="AQ61602" s="31"/>
    </row>
    <row r="61603" spans="43:43" x14ac:dyDescent="0.2">
      <c r="AQ61603" s="31"/>
    </row>
    <row r="61604" spans="43:43" x14ac:dyDescent="0.2">
      <c r="AQ61604" s="31"/>
    </row>
    <row r="61605" spans="43:43" x14ac:dyDescent="0.2">
      <c r="AQ61605" s="31"/>
    </row>
    <row r="61606" spans="43:43" x14ac:dyDescent="0.2">
      <c r="AQ61606" s="31"/>
    </row>
    <row r="61607" spans="43:43" x14ac:dyDescent="0.2">
      <c r="AQ61607" s="31"/>
    </row>
    <row r="61608" spans="43:43" x14ac:dyDescent="0.2">
      <c r="AQ61608" s="31"/>
    </row>
    <row r="61609" spans="43:43" x14ac:dyDescent="0.2">
      <c r="AQ61609" s="31"/>
    </row>
    <row r="61610" spans="43:43" x14ac:dyDescent="0.2">
      <c r="AQ61610" s="31"/>
    </row>
  </sheetData>
  <protectedRanges>
    <protectedRange password="C4A4" sqref="Y3425:AP3426 Y8:AQ10 Y3454:AP61737" name="Range1"/>
    <protectedRange password="C4A4" sqref="AO11:AP29" name="Range1_7"/>
    <protectedRange password="C4A4" sqref="AM11:AM29 W18:W29 X11:X17" name="Range1_14_1_8"/>
    <protectedRange password="C4A4" sqref="AM11:AM29 W18:W29 X11:X17" name="Range1_15_1_8"/>
    <protectedRange password="C4A4" sqref="AN11:AN29" name="Range1_14_1_2_6"/>
    <protectedRange password="C4A4" sqref="AN11:AN29" name="Range1_15_1_2_6"/>
    <protectedRange password="C4A4" sqref="AE11:AE29 AB11:AB29" name="Range1_14_2_6"/>
    <protectedRange password="C4A4" sqref="AE11:AE29 AB11:AB29" name="Range1_15_2_6"/>
    <protectedRange password="C4A4" sqref="AF11:AL29 AC11:AD29 Y12:AA29 Y11:Z11" name="Range1_14_1_1_6"/>
    <protectedRange password="C4A4" sqref="AF11:AL29 AC11:AD29 Y12:AA29 Y11:Z11" name="Range1_15_1_1_6"/>
    <protectedRange password="C4A4" sqref="AO30:AP464" name="Range1_8"/>
    <protectedRange password="C4A4" sqref="AM30:AM464 W30:W464" name="Range1_14_1_9"/>
    <protectedRange password="C4A4" sqref="AM30:AM464 W30:W464" name="Range1_15_1_9"/>
    <protectedRange password="C4A4" sqref="AN30:AN464" name="Range1_14_1_2_7"/>
    <protectedRange password="C4A4" sqref="AN30:AN464" name="Range1_15_1_2_7"/>
    <protectedRange password="C4A4" sqref="AB30:AB464 AE30:AE340 AE342:AE464" name="Range1_14_2_7"/>
    <protectedRange password="C4A4" sqref="AB30:AB464 AE30:AE340 AE342:AE464" name="Range1_15_2_7"/>
    <protectedRange password="C4A4" sqref="AF30:AL159 Y30:AA31 Y40:AA464 Y32:Z39 AC30:AD464 AF161:AL189 AF160:AH160 AJ160:AL160 AF197:AL200 AF190:AF196 AH190:AL196 AF216:AL221 AF201:AF215 AH201:AL215 AF225:AL416 AF222:AF224 AH222:AL224 AE341 AF447:AL448 AF438:AF446 AH438:AL446 AF451:AL464 AF449:AF450 AH449:AL450 AF432:AL437 AF417:AF431 AH417:AL431" name="Range1_14_1_1_7"/>
    <protectedRange password="C4A4" sqref="AF30:AL159 Y30:AA31 Y40:AA464 Y32:Z39 AC30:AD464 AF161:AL189 AF160:AH160 AJ160:AL160 AF197:AL200 AF190:AF196 AH190:AL196 AF216:AL221 AF201:AF215 AH201:AL215 AF225:AL416 AF222:AF224 AH222:AL224 AE341 AF447:AL448 AF438:AF446 AH438:AL446 AF451:AL464 AF449:AF450 AH449:AL450 AF432:AL437 AF417:AF431 AH417:AL431" name="Range1_15_1_1_7"/>
    <protectedRange password="C4A4" sqref="AO465:AP471" name="Range1_9"/>
    <protectedRange password="C4A4" sqref="AM465:AM471 X465:X471" name="Range1_14_1_10"/>
    <protectedRange password="C4A4" sqref="AM465:AM471 X465:X471" name="Range1_15_1_10"/>
    <protectedRange password="C4A4" sqref="AN465:AN471" name="Range1_14_1_2_8"/>
    <protectedRange password="C4A4" sqref="AN465:AN471" name="Range1_15_1_2_8"/>
    <protectedRange password="C4A4" sqref="AE465:AE471 AB465:AB471" name="Range1_14_2_8"/>
    <protectedRange password="C4A4" sqref="AE465:AE471 AB465:AB471" name="Range1_15_2_8"/>
    <protectedRange password="C4A4" sqref="AF465:AL471 AC465:AD471 Y465:AA468 Y469:Y471 AA469:AA471" name="Range1_14_1_1_8"/>
    <protectedRange password="C4A4" sqref="AF465:AL471 AC465:AD471 Y465:AA468 Y469:Y471 AA469:AA471" name="Range1_15_1_1_8"/>
    <protectedRange password="C4A4" sqref="AO472:AP694" name="Range1_10"/>
    <protectedRange password="C4A4" sqref="AM472:AM694 X472:X694" name="Range1_14_1_11"/>
    <protectedRange password="C4A4" sqref="AM472:AM694 X472:X694" name="Range1_15_1_11"/>
    <protectedRange password="C4A4" sqref="AN472:AN694" name="Range1_14_1_2_9"/>
    <protectedRange password="C4A4" sqref="AN472:AN694" name="Range1_15_1_2_9"/>
    <protectedRange password="C4A4" sqref="AE472:AE694 AB472:AB694" name="Range1_14_2_9"/>
    <protectedRange password="C4A4" sqref="AE472:AE694 AB472:AB694" name="Range1_15_2_9"/>
    <protectedRange password="C4A4" sqref="AF472:AL694 AC472:AD694 Y472:AA694" name="Range1_14_1_1_9"/>
    <protectedRange password="C4A4" sqref="AF472:AL694 AC472:AD694 Y472:AA694" name="Range1_15_1_1_9"/>
    <protectedRange password="C4A4" sqref="AO695:AP702" name="Range1_11"/>
    <protectedRange password="C4A4" sqref="AM695:AM702 X695:X702" name="Range1_14_1_12"/>
    <protectedRange password="C4A4" sqref="AM695:AM702 X695:X702" name="Range1_15_1_12"/>
    <protectedRange password="C4A4" sqref="AN695:AN702" name="Range1_14_1_2_10"/>
    <protectedRange password="C4A4" sqref="AN695:AN702" name="Range1_15_1_2_10"/>
    <protectedRange password="C4A4" sqref="AE695:AE702 AB695:AB702" name="Range1_14_2_10"/>
    <protectedRange password="C4A4" sqref="AE695:AE702 AB695:AB702" name="Range1_15_2_10"/>
    <protectedRange password="C4A4" sqref="AF695:AL702 AC695:AD702 Y695:AA702" name="Range1_14_1_1_10"/>
    <protectedRange password="C4A4" sqref="AF695:AL702 AC695:AD702 Y695:AA702" name="Range1_15_1_1_10"/>
    <protectedRange password="C4A4" sqref="AO703:AP1033" name="Range1_12"/>
    <protectedRange password="C4A4" sqref="AM703:AM1033 X703:X1033" name="Range1_14_1_13"/>
    <protectedRange password="C4A4" sqref="AM703:AM1033 X703:X1033" name="Range1_15_1_13"/>
    <protectedRange password="C4A4" sqref="AN703:AN1033" name="Range1_14_1_2_11"/>
    <protectedRange password="C4A4" sqref="AN703:AN1033" name="Range1_15_1_2_11"/>
    <protectedRange password="C4A4" sqref="AE703:AE1033 AB703:AB1033" name="Range1_14_2_11"/>
    <protectedRange password="C4A4" sqref="AE703:AE1033 AB703:AB1033" name="Range1_15_2_11"/>
    <protectedRange password="C4A4" sqref="AF703:AL718 AC703:AD1033 Y703:AA936 Y938:AA1033 Y937:Z937 AF720:AL928 AF719:AI719 AK719:AL719 AF929:AK929 AF930:AL941 AF943:AL943 AF942:AK942 AF946:AL1019 AF944:AK945 AF1022:AL1033 AF1020:AK1021" name="Range1_14_1_1_11"/>
    <protectedRange password="C4A4" sqref="AF703:AL718 AC703:AD1033 Y703:AA936 Y938:AA1033 Y937:Z937 AF720:AL928 AF719:AI719 AK719:AL719 AF929:AK929 AF930:AL941 AF943:AL943 AF942:AK942 AF946:AL1019 AF944:AK945 AF1022:AL1033 AF1020:AK1021" name="Range1_15_1_1_11"/>
    <protectedRange password="C4A4" sqref="AO1034:AP1143 AO1146:AP1162 AO1164:AP1286 AO1288:AP1320" name="Range1_2"/>
    <protectedRange password="C4A4" sqref="AM1034:AM1143 X1034:X1143 AM1146:AM1162 X1146:X1162 AM1164:AM1286 X1164:X1286 AM1288:AM1320 X1288:X1320" name="Range1_14_1_14"/>
    <protectedRange password="C4A4" sqref="AM1034:AM1143 X1034:X1143 AM1146:AM1162 X1146:X1162 AM1164:AM1286 X1164:X1286 AM1288:AM1320 X1288:X1320" name="Range1_15_1_14"/>
    <protectedRange password="C4A4" sqref="AN1034:AN1143 AN1146:AN1162 AN1164:AN1286 AN1288:AN1320" name="Range1_14_1_2_12"/>
    <protectedRange password="C4A4" sqref="AN1034:AN1143 AN1146:AN1162 AN1164:AN1286 AN1288:AN1320" name="Range1_15_1_2_12"/>
    <protectedRange password="C4A4" sqref="AE1034:AE1143 AB1034:AB1143 AE1146:AE1162 AB1146:AB1162 AE1164:AE1286 AB1164:AB1286 AE1288:AE1320 AB1288:AB1320" name="Range1_14_2_12"/>
    <protectedRange password="C4A4" sqref="AE1034:AE1143 AB1034:AB1143 AE1146:AE1162 AB1146:AB1162 AE1164:AE1286 AB1164:AB1286 AE1288:AE1320 AB1288:AB1320" name="Range1_15_2_12"/>
    <protectedRange password="C4A4" sqref="AF1034:AL1143 AC1034:AD1143 Y1034:AA1143 AF1146:AL1162 AC1146:AD1162 Y1146:AA1162 AF1164:AL1286 AC1164:AD1286 Y1164:AA1286 AF1288:AL1320 AC1288:AD1320 Y1288:AA1320" name="Range1_14_1_1_12"/>
    <protectedRange password="C4A4" sqref="AF1034:AL1143 AC1034:AD1143 Y1034:AA1143 AF1146:AL1162 AC1146:AD1162 Y1146:AA1162 AF1164:AL1286 AC1164:AD1286 Y1164:AA1286 AF1288:AL1320 AC1288:AD1320 Y1288:AA1320" name="Range1_15_1_1_12"/>
    <protectedRange password="C4A4" sqref="AO1144:AP1145" name="Range1_13"/>
    <protectedRange password="C4A4" sqref="AM1144:AM1145 X1144:X1145" name="Range1_14_1_15"/>
    <protectedRange password="C4A4" sqref="AM1144:AM1145 X1144:X1145" name="Range1_15_1_15"/>
    <protectedRange password="C4A4" sqref="AN1144:AN1145" name="Range1_14_1_2_13"/>
    <protectedRange password="C4A4" sqref="AN1144:AN1145" name="Range1_15_1_2_13"/>
    <protectedRange password="C4A4" sqref="AE1144:AE1145 AB1144:AB1145" name="Range1_14_2_13"/>
    <protectedRange password="C4A4" sqref="AE1144:AE1145 AB1144:AB1145" name="Range1_15_2_13"/>
    <protectedRange password="C4A4" sqref="AF1144:AL1145 AC1144:AD1145 Y1144:AA1145" name="Range1_14_1_1_13"/>
    <protectedRange password="C4A4" sqref="AF1144:AL1145 AC1144:AD1145 Y1144:AA1145" name="Range1_15_1_1_13"/>
    <protectedRange password="C4A4" sqref="AO1163:AP1163" name="Range1_14"/>
    <protectedRange password="C4A4" sqref="AM1163 X1163" name="Range1_14_1_16"/>
    <protectedRange password="C4A4" sqref="AM1163 X1163" name="Range1_15_1_16"/>
    <protectedRange password="C4A4" sqref="AN1163" name="Range1_14_1_2_14"/>
    <protectedRange password="C4A4" sqref="AN1163" name="Range1_15_1_2_14"/>
    <protectedRange password="C4A4" sqref="AE1163 AB1163" name="Range1_14_2_14"/>
    <protectedRange password="C4A4" sqref="AE1163 AB1163" name="Range1_15_2_14"/>
    <protectedRange password="C4A4" sqref="AF1163:AL1163 AC1163:AD1163 Y1163:AA1163" name="Range1_14_1_1_14"/>
    <protectedRange password="C4A4" sqref="AF1163:AL1163 AC1163:AD1163 Y1163:AA1163" name="Range1_15_1_1_14"/>
    <protectedRange password="C4A4" sqref="AO1287:AP1287" name="Range1_15"/>
    <protectedRange password="C4A4" sqref="AM1287 X1287" name="Range1_14_1_17"/>
    <protectedRange password="C4A4" sqref="AM1287 X1287" name="Range1_15_1_17"/>
    <protectedRange password="C4A4" sqref="AN1287" name="Range1_14_1_2_15"/>
    <protectedRange password="C4A4" sqref="AN1287" name="Range1_15_1_2_15"/>
    <protectedRange password="C4A4" sqref="AE1287 AB1287" name="Range1_14_2_15"/>
    <protectedRange password="C4A4" sqref="AE1287 AB1287" name="Range1_15_2_15"/>
    <protectedRange password="C4A4" sqref="AF1287:AL1287 AC1287:AD1287 Y1287:AA1287" name="Range1_14_1_1_15"/>
    <protectedRange password="C4A4" sqref="AF1287:AL1287 AC1287:AD1287 Y1287:AA1287" name="Range1_15_1_1_15"/>
    <protectedRange password="C4A4" sqref="AO1321:AP1384 AO1387:AP1428 AO1430:AP1545" name="Range1_16"/>
    <protectedRange password="C4A4" sqref="AM1321:AM1384 X1321:X1384 AM1387:AM1428 X1387:X1428 AM1430:AM1545 X1430:X1545" name="Range1_14_1_18"/>
    <protectedRange password="C4A4" sqref="AM1321:AM1384 X1321:X1384 AM1387:AM1428 X1387:X1428 AM1430:AM1545 X1430:X1545" name="Range1_15_1_18"/>
    <protectedRange password="C4A4" sqref="AN1321:AN1384 AN1387:AN1428 AN1430:AN1545" name="Range1_14_1_2_16"/>
    <protectedRange password="C4A4" sqref="AN1321:AN1384 AN1387:AN1428 AN1430:AN1545" name="Range1_15_1_2_16"/>
    <protectedRange password="C4A4" sqref="AE1321:AE1384 AB1321:AB1384 AE1387:AE1428 AB1387:AB1428 AE1430:AE1545 AB1430:AB1545" name="Range1_14_2_16"/>
    <protectedRange password="C4A4" sqref="AE1321:AE1384 AB1321:AB1384 AE1387:AE1428 AB1387:AB1428 AE1430:AE1545 AB1430:AB1545" name="Range1_15_2_16"/>
    <protectedRange password="C4A4" sqref="AF1321:AL1384 AC1321:AD1384 Y1321:AA1384 AF1387:AL1428 AC1387:AD1428 Y1387:AA1428 AF1430:AL1545 AC1430:AD1545 Y1430:AA1545" name="Range1_14_1_1_16"/>
    <protectedRange password="C4A4" sqref="AF1321:AL1384 AC1321:AD1384 Y1321:AA1384 AF1387:AL1428 AC1387:AD1428 Y1387:AA1428 AF1430:AL1545 AC1430:AD1545 Y1430:AA1545" name="Range1_15_1_1_16"/>
    <protectedRange password="C4A4" sqref="AO1385:AP1386" name="Range1_17"/>
    <protectedRange password="C4A4" sqref="X1385:X1386 AM1385:AM1386" name="Range1_14_1_19"/>
    <protectedRange password="C4A4" sqref="X1385:X1386 AM1385:AM1386" name="Range1_15_1_19"/>
    <protectedRange password="C4A4" sqref="AN1385:AN1386" name="Range1_14_1_2_17"/>
    <protectedRange password="C4A4" sqref="AN1385:AN1386" name="Range1_15_1_2_17"/>
    <protectedRange password="C4A4" sqref="AB1385:AB1386 AE1385:AE1386" name="Range1_14_2_17"/>
    <protectedRange password="C4A4" sqref="AB1385:AB1386 AE1385:AE1386" name="Range1_15_2_17"/>
    <protectedRange password="C4A4" sqref="Y1385:AA1386 AC1385:AD1386 AF1385:AL1386" name="Range1_14_1_1_17"/>
    <protectedRange password="C4A4" sqref="Y1385:AA1386 AC1385:AD1386 AF1385:AL1386" name="Range1_15_1_1_17"/>
    <protectedRange password="C4A4" sqref="AO1429:AP1429" name="Range1_18"/>
    <protectedRange password="C4A4" sqref="X1429 AM1429" name="Range1_14_1_20"/>
    <protectedRange password="C4A4" sqref="X1429 AM1429" name="Range1_15_1_20"/>
    <protectedRange password="C4A4" sqref="AN1429" name="Range1_14_1_2_18"/>
    <protectedRange password="C4A4" sqref="AN1429" name="Range1_15_1_2_18"/>
    <protectedRange password="C4A4" sqref="AB1429 AE1429" name="Range1_14_2_18"/>
    <protectedRange password="C4A4" sqref="AB1429 AE1429" name="Range1_15_2_18"/>
    <protectedRange password="C4A4" sqref="Y1429:AA1429 AC1429:AD1429 AF1429:AL1429" name="Range1_14_1_1_18"/>
    <protectedRange password="C4A4" sqref="Y1429:AA1429 AC1429:AD1429 AF1429:AL1429" name="Range1_15_1_1_18"/>
    <protectedRange password="C4A4" sqref="AO1546:AP1842 AO1844:AP2116 AO2118:AP2181" name="Range1_19"/>
    <protectedRange password="C4A4" sqref="AM1546:AM1842 X1546:X1842 AM1844:AM2116 X1844:X2116 AM2118:AM2181 X2118:X2181" name="Range1_14_1_21"/>
    <protectedRange password="C4A4" sqref="AM1546:AM1842 X1546:X1842 AM1844:AM2116 X1844:X2116 AM2118:AM2181 X2118:X2181" name="Range1_15_1_21"/>
    <protectedRange password="C4A4" sqref="AN1546:AN1842 AN1844:AN2116 AN2118:AN2181" name="Range1_14_1_2_19"/>
    <protectedRange password="C4A4" sqref="AN1546:AN1842 AN1844:AN2116 AN2118:AN2181" name="Range1_15_1_2_19"/>
    <protectedRange password="C4A4" sqref="AE1546:AE1842 AB1546:AB1842 AE1844:AE2116 AB1844:AB2116 AE2118:AE2181 AB2118:AB2181" name="Range1_14_2_19"/>
    <protectedRange password="C4A4" sqref="AE1546:AE1842 AB1546:AB1842 AE1844:AE2116 AB1844:AB2116 AE2118:AE2181 AB2118:AB2181" name="Range1_15_2_19"/>
    <protectedRange password="C4A4" sqref="AF1546:AL1842 AC1546:AD1842 Y1546:AA1842 AF1844:AL2116 AC1844:AD2116 Y1844:AA2116 AF2118:AL2181 AC2118:AD2181 Y2118:AA2181" name="Range1_14_1_1_19"/>
    <protectedRange password="C4A4" sqref="AF1546:AL1842 AC1546:AD1842 Y1546:AA1842 AF1844:AL2116 AC1844:AD2116 Y1844:AA2116 AF2118:AL2181 AC2118:AD2181 Y2118:AA2181" name="Range1_15_1_1_19"/>
    <protectedRange password="C4A4" sqref="AO1843:AP1843" name="Range1_20"/>
    <protectedRange password="C4A4" sqref="X1843 AM1843" name="Range1_14_1_22"/>
    <protectedRange password="C4A4" sqref="X1843 AM1843" name="Range1_15_1_22"/>
    <protectedRange password="C4A4" sqref="AN1843" name="Range1_14_1_2_20"/>
    <protectedRange password="C4A4" sqref="AN1843" name="Range1_15_1_2_20"/>
    <protectedRange password="C4A4" sqref="AB1843 AE1843" name="Range1_14_2_20"/>
    <protectedRange password="C4A4" sqref="AB1843 AE1843" name="Range1_15_2_20"/>
    <protectedRange password="C4A4" sqref="Y1843:AA1843 AC1843:AD1843 AF1843:AL1843" name="Range1_14_1_1_20"/>
    <protectedRange password="C4A4" sqref="Y1843:AA1843 AC1843:AD1843 AF1843:AL1843" name="Range1_15_1_1_20"/>
    <protectedRange password="C4A4" sqref="AO2117:AP2117" name="Range1_21"/>
    <protectedRange password="C4A4" sqref="X2117 AM2117" name="Range1_14_1_23"/>
    <protectedRange password="C4A4" sqref="X2117 AM2117" name="Range1_15_1_23"/>
    <protectedRange password="C4A4" sqref="AN2117" name="Range1_14_1_2_21"/>
    <protectedRange password="C4A4" sqref="AN2117" name="Range1_15_1_2_21"/>
    <protectedRange password="C4A4" sqref="AB2117 AE2117" name="Range1_14_2_21"/>
    <protectedRange password="C4A4" sqref="AB2117 AE2117" name="Range1_15_2_21"/>
    <protectedRange password="C4A4" sqref="Y2117:AA2117 AC2117:AD2117 AF2117:AL2117" name="Range1_14_1_1_21"/>
    <protectedRange password="C4A4" sqref="Y2117:AA2117 AC2117:AD2117 AF2117:AL2117" name="Range1_15_1_1_21"/>
    <protectedRange password="C4A4" sqref="AO2182:AP2187" name="Range1_23"/>
    <protectedRange password="C4A4" sqref="X2182:X2187 AM2182:AM2187" name="Range1_14_1_24"/>
    <protectedRange password="C4A4" sqref="X2182:X2187 AM2182:AM2187" name="Range1_15_1_24"/>
    <protectedRange password="C4A4" sqref="AN2182:AN2187" name="Range1_14_1_2_22"/>
    <protectedRange password="C4A4" sqref="AN2182:AN2187" name="Range1_15_1_2_22"/>
    <protectedRange password="C4A4" sqref="AB2182:AB2187 AE2182:AE2187" name="Range1_14_2_22"/>
    <protectedRange password="C4A4" sqref="AB2182:AB2187 AE2182:AE2187" name="Range1_15_2_22"/>
    <protectedRange password="C4A4" sqref="Y2182:AA2187 AC2182:AD2187 AF2182:AL2187" name="Range1_14_1_1_22"/>
    <protectedRange password="C4A4" sqref="Y2182:AA2187 AC2182:AD2187 AF2182:AL2187" name="Range1_15_1_1_22"/>
    <protectedRange password="C4A4" sqref="AO2188:AP2491" name="Range1_24"/>
    <protectedRange password="C4A4" sqref="AM2188:AM2491 X2188:X2491" name="Range1_14_1_25"/>
    <protectedRange password="C4A4" sqref="AM2188:AM2491 X2188:X2491" name="Range1_15_1_25"/>
    <protectedRange password="C4A4" sqref="AN2188:AN2491" name="Range1_14_1_2_23"/>
    <protectedRange password="C4A4" sqref="AN2188:AN2491" name="Range1_15_1_2_23"/>
    <protectedRange password="C4A4" sqref="AE2188:AE2491 AB2188:AB2491" name="Range1_14_2_23"/>
    <protectedRange password="C4A4" sqref="AE2188:AE2491 AB2188:AB2491" name="Range1_15_2_23"/>
    <protectedRange password="C4A4" sqref="AF2188:AL2491 AC2188:AD2491 Y2188:AA2491" name="Range1_14_1_1_23"/>
    <protectedRange password="C4A4" sqref="AF2188:AL2491 AC2188:AD2491 Y2188:AA2491" name="Range1_15_1_1_23"/>
    <protectedRange password="C4A4" sqref="AO2492:AP2496" name="Range1_25"/>
    <protectedRange password="C4A4" sqref="X2492:X2496 AM2492:AM2496" name="Range1_14_1_26"/>
    <protectedRange password="C4A4" sqref="X2492:X2496 AM2492:AM2496" name="Range1_15_1_26"/>
    <protectedRange password="C4A4" sqref="AN2492:AN2496" name="Range1_14_1_2_24"/>
    <protectedRange password="C4A4" sqref="AN2492:AN2496" name="Range1_15_1_2_24"/>
    <protectedRange password="C4A4" sqref="AB2492:AB2496 AE2492:AE2496" name="Range1_14_2_24"/>
    <protectedRange password="C4A4" sqref="AB2492:AB2496 AE2492:AE2496" name="Range1_15_2_24"/>
    <protectedRange password="C4A4" sqref="Y2492:AA2496 AC2492:AD2496 AF2492:AL2496" name="Range1_14_1_1_24"/>
    <protectedRange password="C4A4" sqref="Y2492:AA2496 AC2492:AD2496 AF2492:AL2496" name="Range1_15_1_1_24"/>
    <protectedRange password="C4A4" sqref="AO2497:AP2650" name="Range1_26"/>
    <protectedRange password="C4A4" sqref="AM2497:AM2650 X2497:X2650" name="Range1_14_1_27"/>
    <protectedRange password="C4A4" sqref="AM2497:AM2650 X2497:X2650" name="Range1_15_1_27"/>
    <protectedRange password="C4A4" sqref="AN2497:AN2650" name="Range1_14_1_2_25"/>
    <protectedRange password="C4A4" sqref="AN2497:AN2650" name="Range1_15_1_2_25"/>
    <protectedRange password="C4A4" sqref="AE2497:AE2650 AB2497:AB2650" name="Range1_14_2_25"/>
    <protectedRange password="C4A4" sqref="AE2497:AE2650 AB2497:AB2650" name="Range1_15_2_25"/>
    <protectedRange password="C4A4" sqref="AF2497:AL2650 AC2497:AD2650 Y2497:AA2650" name="Range1_14_1_1_25"/>
    <protectedRange password="C4A4" sqref="AF2497:AL2650 AC2497:AD2650 Y2497:AA2650" name="Range1_15_1_1_25"/>
    <protectedRange password="C4A4" sqref="AO2651:AP2654" name="Range1_27"/>
    <protectedRange password="C4A4" sqref="X2651:X2654 AM2651:AM2654" name="Range1_14_1_28"/>
    <protectedRange password="C4A4" sqref="X2651:X2654 AM2651:AM2654" name="Range1_15_1_28"/>
    <protectedRange password="C4A4" sqref="AN2651:AN2654" name="Range1_14_1_2_26"/>
    <protectedRange password="C4A4" sqref="AN2651:AN2654" name="Range1_15_1_2_26"/>
    <protectedRange password="C4A4" sqref="AB2651:AB2654 AE2651:AE2654" name="Range1_14_2_26"/>
    <protectedRange password="C4A4" sqref="AB2651:AB2654 AE2651:AE2654" name="Range1_15_2_26"/>
    <protectedRange password="C4A4" sqref="Y2651:AA2654 AC2651:AD2654 AF2651:AL2654" name="Range1_14_1_1_26"/>
    <protectedRange password="C4A4" sqref="Y2651:AA2654 AC2651:AD2654 AF2651:AL2654" name="Range1_15_1_1_26"/>
    <protectedRange password="C4A4" sqref="AO2655:AP2879" name="Range1_28"/>
    <protectedRange password="C4A4" sqref="W2655:W2879 AL2655:AL2879 AH2702:AH2708" name="Range1_14_1_29"/>
    <protectedRange password="C4A4" sqref="W2655:W2879 AL2655:AL2879 AH2702:AH2708" name="Range1_15_1_29"/>
    <protectedRange password="C4A4" sqref="AN2655:AN2879" name="Range1_14_1_2_27"/>
    <protectedRange password="C4A4" sqref="AN2655:AN2879" name="Range1_15_1_2_27"/>
    <protectedRange password="C4A4" sqref="AA2655:AA2775 AD2655:AD2879 AA2784:AA2879" name="Range1_14_2_27"/>
    <protectedRange password="C4A4" sqref="AA2655:AA2775 AD2655:AD2879 AA2784:AA2879" name="Range1_15_2_27"/>
    <protectedRange password="C4A4" sqref="X2655:Z2879 AB2655:AC2879 AE2655:AK2701 AE2709:AK2710 AE2702:AG2708 AI2702:AK2708 AE2717:AK2734 AE2711:AH2716 AJ2711:AK2716 AE2736:AK2740 AE2735:AF2735 AH2735:AK2735 AE2764:AK2764 AE2741:AH2763 AJ2741:AK2763 AE2768:AK2826 AE2765:AH2767 AJ2765:AK2767 AE2829:AK2869 AE2827:AH2828 AJ2827:AK2828 AE2872:AK2873 AE2870:AH2871 AJ2870:AK2871 AE2875:AK2879 AE2874:AH2874 AJ2874:AK2874" name="Range1_14_1_1_27"/>
    <protectedRange password="C4A4" sqref="X2655:Z2879 AB2655:AC2879 AE2655:AK2701 AE2709:AK2710 AE2702:AG2708 AI2702:AK2708 AE2717:AK2734 AE2711:AH2716 AJ2711:AK2716 AE2736:AK2740 AE2735:AF2735 AH2735:AK2735 AE2764:AK2764 AE2741:AH2763 AJ2741:AK2763 AE2768:AK2826 AE2765:AH2767 AJ2765:AK2767 AE2829:AK2869 AE2827:AH2828 AJ2827:AK2828 AE2872:AK2873 AE2870:AH2871 AJ2870:AK2871 AE2875:AK2879 AE2874:AH2874 AJ2874:AK2874" name="Range1_15_1_1_27"/>
    <protectedRange password="C4A4" sqref="AO2880:AP2949 AO2953:AP3024 AO3027:AP3065 AO3067:AP3090" name="Range1_22"/>
    <protectedRange password="C4A4" sqref="AM2880:AM2949 X2880:X2949 AM2953:AM3024 X2953:X3024 AM3027:AM3065 X3027:X3065 AM3067:AM3090 X3067:X3090" name="Range1_14_1_30"/>
    <protectedRange password="C4A4" sqref="AM2880:AM2949 X2880:X2949 AM2953:AM3024 X2953:X3024 AM3027:AM3065 X3027:X3065 AM3067:AM3090 X3067:X3090" name="Range1_15_1_30"/>
    <protectedRange password="C4A4" sqref="AN2880:AN2949 AN2953:AN3024 AN3027:AN3065 AN3067:AN3090" name="Range1_14_1_2_28"/>
    <protectedRange password="C4A4" sqref="AN2880:AN2949 AN2953:AN3024 AN3027:AN3065 AN3067:AN3090" name="Range1_15_1_2_28"/>
    <protectedRange password="C4A4" sqref="AE2880:AE2949 AB2880:AB2949 AE2953:AE3024 AB2953:AB3024 AE3027:AE3065 AB3027:AB3065 AE3067:AE3090 AB3067:AB3090" name="Range1_14_2_28"/>
    <protectedRange password="C4A4" sqref="AE2880:AE2949 AB2880:AB2949 AE2953:AE3024 AB2953:AB3024 AE3027:AE3065 AB3027:AB3065 AE3067:AE3090 AB3067:AB3090" name="Range1_15_2_28"/>
    <protectedRange password="C4A4" sqref="AC2880:AD2949 Y2880:AA2949 AF2880:AL2949 AC2953:AD3024 Y2953:AA3024 AF2953:AL3024 AC3027:AD3065 Y3027:AA3065 AF3027:AL3065 AC3067:AD3090 Y3067:AA3090 AF3067:AL3090" name="Range1_14_1_1_28"/>
    <protectedRange password="C4A4" sqref="AC2880:AD2949 Y2880:AA2949 AF2880:AL2949 AC2953:AD3024 Y2953:AA3024 AF2953:AL3024 AC3027:AD3065 Y3027:AA3065 AF3027:AL3065 AC3067:AD3090 Y3067:AA3090 AF3067:AL3090" name="Range1_15_1_1_28"/>
    <protectedRange password="C4A4" sqref="AO2950:AP2952" name="Range1_29"/>
    <protectedRange password="C4A4" sqref="X2950:X2952 AM2950:AM2952" name="Range1_14_1_31"/>
    <protectedRange password="C4A4" sqref="X2950:X2952 AM2950:AM2952" name="Range1_15_1_31"/>
    <protectedRange password="C4A4" sqref="AN2950:AN2952" name="Range1_14_1_2_29"/>
    <protectedRange password="C4A4" sqref="AN2950:AN2952" name="Range1_15_1_2_29"/>
    <protectedRange password="C4A4" sqref="AB2950:AB2952 AE2950:AE2952" name="Range1_14_2_29"/>
    <protectedRange password="C4A4" sqref="AB2950:AB2952 AE2950:AE2952" name="Range1_15_2_29"/>
    <protectedRange password="C4A4" sqref="Y2950:AA2952 AC2950:AD2952 AF2950:AL2952" name="Range1_14_1_1_29"/>
    <protectedRange password="C4A4" sqref="Y2950:AA2952 AC2950:AD2952 AF2950:AL2952" name="Range1_15_1_1_29"/>
    <protectedRange password="C4A4" sqref="AO3025:AP3026" name="Range1_30"/>
    <protectedRange password="C4A4" sqref="X3025:X3026 AM3025:AM3026" name="Range1_14_1_32"/>
    <protectedRange password="C4A4" sqref="X3025:X3026 AM3025:AM3026" name="Range1_15_1_32"/>
    <protectedRange password="C4A4" sqref="AN3025:AN3026" name="Range1_14_1_2_30"/>
    <protectedRange password="C4A4" sqref="AN3025:AN3026" name="Range1_15_1_2_30"/>
    <protectedRange password="C4A4" sqref="AB3025:AB3026 AE3025:AE3026" name="Range1_14_2_30"/>
    <protectedRange password="C4A4" sqref="AB3025:AB3026 AE3025:AE3026" name="Range1_15_2_30"/>
    <protectedRange password="C4A4" sqref="Y3025:AA3026 AC3025:AD3026 AF3025:AL3026" name="Range1_14_1_1_30"/>
    <protectedRange password="C4A4" sqref="Y3025:AA3026 AC3025:AD3026 AF3025:AL3026" name="Range1_15_1_1_30"/>
    <protectedRange password="C4A4" sqref="AO3066:AP3066" name="Range1_31"/>
    <protectedRange password="C4A4" sqref="X3066 AM3066" name="Range1_14_1_33"/>
    <protectedRange password="C4A4" sqref="X3066 AM3066" name="Range1_15_1_33"/>
    <protectedRange password="C4A4" sqref="AN3066" name="Range1_14_1_2_31"/>
    <protectedRange password="C4A4" sqref="AN3066" name="Range1_15_1_2_31"/>
    <protectedRange password="C4A4" sqref="AB3066 AE3066" name="Range1_14_2_31"/>
    <protectedRange password="C4A4" sqref="AB3066 AE3066" name="Range1_15_2_31"/>
    <protectedRange password="C4A4" sqref="Y3066:AA3066 AC3066:AD3066 AF3066:AL3066" name="Range1_14_1_1_31"/>
    <protectedRange password="C4A4" sqref="Y3066:AA3066 AC3066:AD3066 AF3066:AL3066" name="Range1_15_1_1_31"/>
    <protectedRange password="C4A4" sqref="AO3091:AP3140 AO3143:AP3300" name="Range1_32"/>
    <protectedRange password="C4A4" sqref="AM3091:AM3140 X3091:X3140 AM3143:AM3300 X3143:X3300" name="Range1_14_1_34"/>
    <protectedRange password="C4A4" sqref="AM3091:AM3140 X3091:X3140 AM3143:AM3300 X3143:X3300" name="Range1_15_1_34"/>
    <protectedRange password="C4A4" sqref="AN3091:AN3140 AN3143:AN3300" name="Range1_14_1_2_32"/>
    <protectedRange password="C4A4" sqref="AN3091:AN3140 AN3143:AN3300" name="Range1_15_1_2_32"/>
    <protectedRange password="C4A4" sqref="AE3091:AE3140 AB3091:AB3140 AE3143:AE3300 AB3143:AB3300" name="Range1_14_2_32"/>
    <protectedRange password="C4A4" sqref="AE3091:AE3140 AB3091:AB3140 AE3143:AE3300 AB3143:AB3300" name="Range1_15_2_32"/>
    <protectedRange password="C4A4" sqref="AF3091:AL3140 AC3091:AD3140 Y3091:AA3140 AF3143:AL3300 AC3143:AD3300 Y3143:AA3300" name="Range1_14_1_1_32"/>
    <protectedRange password="C4A4" sqref="AF3091:AL3140 AC3091:AD3140 Y3091:AA3140 AF3143:AL3300 AC3143:AD3300 Y3143:AA3300" name="Range1_15_1_1_32"/>
    <protectedRange password="C4A4" sqref="AO3141:AP3142" name="Range1_33"/>
    <protectedRange password="C4A4" sqref="X3141:X3142 AM3141:AM3142" name="Range1_14_1_35"/>
    <protectedRange password="C4A4" sqref="X3141:X3142 AM3141:AM3142" name="Range1_15_1_35"/>
    <protectedRange password="C4A4" sqref="AN3141:AN3142" name="Range1_14_1_2_33"/>
    <protectedRange password="C4A4" sqref="AN3141:AN3142" name="Range1_15_1_2_33"/>
    <protectedRange password="C4A4" sqref="AB3141:AB3142 AE3141:AE3142" name="Range1_14_2_33"/>
    <protectedRange password="C4A4" sqref="AB3141:AB3142 AE3141:AE3142" name="Range1_15_2_33"/>
    <protectedRange password="C4A4" sqref="Y3141:AA3142 AC3141:AD3142 AF3141:AL3142" name="Range1_14_1_1_33"/>
    <protectedRange password="C4A4" sqref="Y3141:AA3142 AC3141:AD3142 AF3141:AL3142" name="Range1_15_1_1_33"/>
    <protectedRange password="C4A4" sqref="AM3421:AN3421 AO3301:AP3422" name="Range1_34"/>
    <protectedRange password="C4A4" sqref="AM3422:AN3422 Y3423:AP3424" name="Range1_2_3"/>
    <protectedRange password="C4A4" sqref="AM3301:AM3420 X3301:X3420" name="Range1_14_1_36"/>
    <protectedRange password="C4A4" sqref="AM3301:AM3420 X3301:X3420" name="Range1_15_1_36"/>
    <protectedRange password="C4A4" sqref="AN3301:AN3420" name="Range1_14_1_2_34"/>
    <protectedRange password="C4A4" sqref="AN3301:AN3420" name="Range1_15_1_2_34"/>
    <protectedRange password="C4A4" sqref="AE3301:AE3421 AB3301:AB3421" name="Range1_14_2_34"/>
    <protectedRange password="C4A4" sqref="AE3301:AE3421 AB3301:AB3421" name="Range1_15_2_34"/>
    <protectedRange password="C4A4" sqref="AF3301:AL3421 AC3301:AD3421 Y3301:AA3421" name="Range1_14_1_1_34"/>
    <protectedRange password="C4A4" sqref="AF3301:AL3421 AC3301:AD3421 Y3301:AA3421" name="Range1_15_1_1_34"/>
    <protectedRange password="C4A4" sqref="Y3428:AN3451" name="Range1_22_1_1"/>
    <protectedRange password="C4A4" sqref="Y3427:AN3427" name="Range1_12_1_1_1"/>
  </protectedRanges>
  <sortState xmlns:xlrd2="http://schemas.microsoft.com/office/spreadsheetml/2017/richdata2" ref="A2651:BZ2879">
    <sortCondition ref="D2651:D2879"/>
  </sortState>
  <mergeCells count="6">
    <mergeCell ref="AN8:AQ9"/>
    <mergeCell ref="B7:W7"/>
    <mergeCell ref="Y7:AL7"/>
    <mergeCell ref="A8:A9"/>
    <mergeCell ref="B8:W9"/>
    <mergeCell ref="Y8:AL8"/>
  </mergeCells>
  <dataValidations count="2">
    <dataValidation type="list" allowBlank="1" showInputMessage="1" showErrorMessage="1" sqref="AQ11:AQ1033 AQ3425:AQ3451 AQ3454:AQ61737" xr:uid="{410A7F71-92D3-4FC0-83D5-1CCA2B654778}">
      <formula1>$AQ$1:$AQ$9</formula1>
    </dataValidation>
    <dataValidation type="list" allowBlank="1" showInputMessage="1" showErrorMessage="1" sqref="AQ1034:AQ3424" xr:uid="{99D5BF86-8333-4228-A956-C1BD1F171A17}">
      <formula1>$AP$1:$AP$9</formula1>
    </dataValidation>
  </dataValidations>
  <printOptions horizontalCentered="1"/>
  <pageMargins left="0.2" right="0.2" top="0.75" bottom="0.75" header="0.3" footer="0.3"/>
  <pageSetup scale="25" orientation="landscape"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Apr'20-Mar'21 002 WEXP</vt:lpstr>
      <vt:lpstr>'Apr''20-Mar''21 002 WEXP'!Print_Area</vt:lpstr>
      <vt:lpstr>'Apr''20-Mar''21 002 WEXP'!Print_Titles</vt:lpstr>
    </vt:vector>
  </TitlesOfParts>
  <Company>Atmos Energy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mrsmith</dc:creator>
  <cp:lastModifiedBy>Eric J Wilen</cp:lastModifiedBy>
  <cp:lastPrinted>2021-08-03T00:36:33Z</cp:lastPrinted>
  <dcterms:created xsi:type="dcterms:W3CDTF">2009-05-20T19:54:34Z</dcterms:created>
  <dcterms:modified xsi:type="dcterms:W3CDTF">2021-08-03T00:36:58Z</dcterms:modified>
</cp:coreProperties>
</file>